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ml.chartshap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5.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6.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30"/>
  <workbookPr defaultThemeVersion="166925"/>
  <mc:AlternateContent xmlns:mc="http://schemas.openxmlformats.org/markup-compatibility/2006">
    <mc:Choice Requires="x15">
      <x15ac:absPath xmlns:x15ac="http://schemas.microsoft.com/office/spreadsheetml/2010/11/ac" url="C:\Users\frank-a\Dropbox\Ukraine Solidarity\Release 8\"/>
    </mc:Choice>
  </mc:AlternateContent>
  <xr:revisionPtr revIDLastSave="22" documentId="13_ncr:1_{4DC61339-C0A8-42A7-B603-08F45511DEEA}" xr6:coauthVersionLast="47" xr6:coauthVersionMax="47" xr10:uidLastSave="{0483F88C-567E-4AC7-A341-CE5FD93A11C9}"/>
  <bookViews>
    <workbookView xWindow="0" yWindow="0" windowWidth="28800" windowHeight="18000" tabRatio="617" xr2:uid="{00000000-000D-0000-FFFF-FFFF00000000}"/>
  </bookViews>
  <sheets>
    <sheet name="ReadMe" sheetId="23" r:id="rId1"/>
    <sheet name="Updates and corrections" sheetId="40" r:id="rId2"/>
    <sheet name="Bilateral assistance, MAIN DATA" sheetId="1" r:id="rId3"/>
    <sheet name="Multilateral assistance" sheetId="5" r:id="rId4"/>
    <sheet name="Commercial assistance" sheetId="58" r:id="rId5"/>
    <sheet name="Country summary" sheetId="15" r:id="rId6"/>
    <sheet name="Aggregates by country group" sheetId="48" r:id="rId7"/>
    <sheet name="Data transparency index" sheetId="104" r:id="rId8"/>
    <sheet name="Figure 1 Aid over Time" sheetId="100" r:id="rId9"/>
    <sheet name="Figure 2 US vs Europe" sheetId="98" r:id="rId10"/>
    <sheet name="Figure 3 Ranking (€ billion)" sheetId="10" r:id="rId11"/>
    <sheet name="Figure 4 Ranking (% GDP)" sheetId="8" r:id="rId12"/>
    <sheet name="Figure 5 Ranking (% GDP + EU)" sheetId="32" r:id="rId13"/>
    <sheet name="Figure 6 Military commitments" sheetId="36" r:id="rId14"/>
    <sheet name="Figure 7 Financial commitments" sheetId="53" r:id="rId15"/>
    <sheet name="Figure 8 Military gap" sheetId="66" r:id="rId16"/>
    <sheet name="Figure 9 Budget support" sheetId="56" r:id="rId17"/>
    <sheet name="Figure 12 Refugee costs" sheetId="37" r:id="rId18"/>
    <sheet name="Figure 13 Refugees (€ billion)" sheetId="39" r:id="rId19"/>
    <sheet name="Figure 14 Refugees (% GDP)" sheetId="38" r:id="rId20"/>
    <sheet name="Figure 15 Aggreg. Heavy Weapons" sheetId="99" r:id="rId21"/>
    <sheet name="Figure 16 Heavy Weapons Ranking" sheetId="95" r:id="rId22"/>
    <sheet name="Figure A1 Incl. EU (€ billion)" sheetId="12" r:id="rId23"/>
    <sheet name="Figure A2 Stand up for Ukraine" sheetId="25" r:id="rId24"/>
    <sheet name="Figure A3 Weapon deliveries" sheetId="65" r:id="rId25"/>
    <sheet name="Financial aid by type" sheetId="52" r:id="rId26"/>
    <sheet name="EU aid shares" sheetId="41" r:id="rId27"/>
    <sheet name="EPF aid shares" sheetId="44" r:id="rId28"/>
    <sheet name="EIB aid shares" sheetId="43" r:id="rId29"/>
    <sheet name="Military aid by type" sheetId="57" r:id="rId30"/>
    <sheet name="Price List, Weapons &amp; Items" sheetId="24" r:id="rId31"/>
    <sheet name="Exchange rates" sheetId="3" r:id="rId32"/>
    <sheet name="Refugee cost calculations" sheetId="42" r:id="rId33"/>
    <sheet name="Committed weapons" sheetId="62" r:id="rId34"/>
    <sheet name="Delivered weapons" sheetId="63" r:id="rId35"/>
    <sheet name="In-kind military per country" sheetId="64" r:id="rId36"/>
    <sheet name="Share, heavy weapons to Ukraine" sheetId="92" r:id="rId37"/>
    <sheet name="Anti aircraft weapons" sheetId="102" r:id="rId38"/>
    <sheet name="Heavy weapon stocks" sheetId="78" r:id="rId39"/>
    <sheet name="Data transparency indices" sheetId="105" r:id="rId40"/>
  </sheets>
  <externalReferences>
    <externalReference r:id="rId41"/>
  </externalReferences>
  <definedNames>
    <definedName name="_xlnm._FilterDatabase" localSheetId="2" hidden="1">'Bilateral assistance, MAIN DATA'!$A$1:$AV$1191</definedName>
    <definedName name="_xlnm._FilterDatabase" localSheetId="4" hidden="1">'Commercial assistance'!$L$1:$L$1</definedName>
    <definedName name="_xlnm._FilterDatabase" localSheetId="34" hidden="1">'Delivered weapons'!$A$1:$AS$36</definedName>
    <definedName name="_xlnm._FilterDatabase" localSheetId="17" hidden="1">'Figure 12 Refugee costs'!$B$4:$F$4</definedName>
    <definedName name="_xlnm._FilterDatabase" localSheetId="18" hidden="1">'Figure 13 Refugees (€ billion)'!$B$4:$H$4</definedName>
    <definedName name="_xlnm._FilterDatabase" localSheetId="19" hidden="1">'Figure 14 Refugees (% GDP)'!$B$4:$E$4</definedName>
    <definedName name="_xlnm._FilterDatabase" localSheetId="21" hidden="1">'Figure 16 Heavy Weapons Ranking'!$B$4:$Q$4</definedName>
    <definedName name="_xlnm._FilterDatabase" localSheetId="10" hidden="1">'Figure 3 Ranking (€ billion)'!$B$4:$F$42</definedName>
    <definedName name="_xlnm._FilterDatabase" localSheetId="11" hidden="1">'Figure 4 Ranking (% GDP)'!$B$4:$C$4</definedName>
    <definedName name="_xlnm._FilterDatabase" localSheetId="12" hidden="1">'Figure 5 Ranking (% GDP + EU)'!$B$4:$E$4</definedName>
    <definedName name="_xlnm._FilterDatabase" localSheetId="13" hidden="1">'Figure 6 Military commitments'!$B$4:$E$4</definedName>
    <definedName name="_xlnm._FilterDatabase" localSheetId="14" hidden="1">'Figure 7 Financial commitments'!$B$4:$G$4</definedName>
    <definedName name="_xlnm._FilterDatabase" localSheetId="16" hidden="1">'Figure 9 Budget support'!$B$4:$F$21</definedName>
    <definedName name="_xlnm._FilterDatabase" localSheetId="22" hidden="1">'Figure A1 Incl. EU (€ billion)'!$B$4:$E$4</definedName>
    <definedName name="_xlnm._FilterDatabase" localSheetId="38" hidden="1">'Heavy weapon stocks'!$A$1:$OH$1</definedName>
    <definedName name="_xlnm._FilterDatabase" localSheetId="35" hidden="1">'In-kind military per country'!$M$1:$O$1</definedName>
    <definedName name="_xlnm._FilterDatabase" localSheetId="30" hidden="1">'Price List, Weapons &amp; Items'!$A$1:$P$1</definedName>
    <definedName name="_xlnm._FilterDatabase" localSheetId="36" hidden="1">'Share, heavy weapons to Ukraine'!$A$1:$P$1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37" l="1"/>
  <c r="F7" i="37"/>
  <c r="F8" i="37"/>
  <c r="F9" i="37"/>
  <c r="F10" i="37"/>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E6" i="37"/>
  <c r="E7" i="37"/>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D6" i="37"/>
  <c r="D7" i="37"/>
  <c r="D8" i="37"/>
  <c r="D9" i="37"/>
  <c r="D10" i="37"/>
  <c r="D11" i="37"/>
  <c r="D12" i="37"/>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F5" i="37"/>
  <c r="E5" i="37"/>
  <c r="D5" i="37"/>
  <c r="E6" i="56"/>
  <c r="E7" i="56"/>
  <c r="E8" i="56"/>
  <c r="E9" i="56"/>
  <c r="E10" i="56"/>
  <c r="E11" i="56"/>
  <c r="E12" i="56"/>
  <c r="E13" i="56"/>
  <c r="E14" i="56"/>
  <c r="E15" i="56"/>
  <c r="E16" i="56"/>
  <c r="E17" i="56"/>
  <c r="E18" i="56"/>
  <c r="E19" i="56"/>
  <c r="E20" i="56"/>
  <c r="E21" i="56"/>
  <c r="E22" i="56"/>
  <c r="E5" i="56"/>
  <c r="R5" i="92"/>
  <c r="O5" i="92"/>
  <c r="E9" i="105"/>
  <c r="E10" i="105"/>
  <c r="E11" i="105"/>
  <c r="E12" i="105"/>
  <c r="E13" i="105"/>
  <c r="E14" i="105"/>
  <c r="E15" i="105"/>
  <c r="E16" i="105"/>
  <c r="E17" i="105"/>
  <c r="E18" i="105"/>
  <c r="E19" i="105"/>
  <c r="E20" i="105"/>
  <c r="E39" i="104" s="1"/>
  <c r="E21" i="105"/>
  <c r="E22" i="105"/>
  <c r="E23" i="105"/>
  <c r="E42" i="104" s="1"/>
  <c r="E24" i="105"/>
  <c r="E25" i="105"/>
  <c r="E26" i="105"/>
  <c r="E27" i="105"/>
  <c r="E28" i="105"/>
  <c r="E29" i="105"/>
  <c r="E48" i="104" s="1"/>
  <c r="E30" i="105"/>
  <c r="E49" i="104" s="1"/>
  <c r="E31" i="105"/>
  <c r="E50" i="104" s="1"/>
  <c r="E32" i="105"/>
  <c r="E33" i="105"/>
  <c r="E34" i="105"/>
  <c r="E35" i="105"/>
  <c r="E54" i="104" s="1"/>
  <c r="E36" i="105"/>
  <c r="E37" i="105"/>
  <c r="E56" i="104" s="1"/>
  <c r="E38" i="105"/>
  <c r="E57" i="104" s="1"/>
  <c r="E39" i="105"/>
  <c r="E58" i="104" s="1"/>
  <c r="E40" i="105"/>
  <c r="E41" i="105"/>
  <c r="E60" i="104" s="1"/>
  <c r="E42" i="105"/>
  <c r="E43" i="105"/>
  <c r="E62" i="104" s="1"/>
  <c r="E44" i="105"/>
  <c r="E63" i="104" s="1"/>
  <c r="E45" i="105"/>
  <c r="E64" i="104" s="1"/>
  <c r="E46" i="105"/>
  <c r="E65" i="104" s="1"/>
  <c r="E47" i="105"/>
  <c r="E66" i="104" s="1"/>
  <c r="E48" i="105"/>
  <c r="E8" i="105"/>
  <c r="E27" i="104" s="1"/>
  <c r="G58" i="104"/>
  <c r="G46" i="104"/>
  <c r="G40" i="104"/>
  <c r="G59" i="104"/>
  <c r="G60" i="104"/>
  <c r="G35" i="104"/>
  <c r="G37" i="104"/>
  <c r="G27" i="104"/>
  <c r="G55" i="104"/>
  <c r="D43" i="104"/>
  <c r="D47" i="104"/>
  <c r="D66" i="104"/>
  <c r="D32" i="104"/>
  <c r="D58" i="104"/>
  <c r="D48" i="104"/>
  <c r="D46" i="104"/>
  <c r="D53" i="104"/>
  <c r="D30" i="104"/>
  <c r="D41" i="104"/>
  <c r="D40" i="104"/>
  <c r="D31" i="104"/>
  <c r="D57" i="104"/>
  <c r="D39" i="104"/>
  <c r="D64" i="104"/>
  <c r="D59" i="104"/>
  <c r="D60" i="104"/>
  <c r="D35" i="104"/>
  <c r="D50" i="104"/>
  <c r="D44" i="104"/>
  <c r="D52" i="104"/>
  <c r="D42" i="104"/>
  <c r="D56" i="104"/>
  <c r="D37" i="104"/>
  <c r="D33" i="104"/>
  <c r="D34" i="104"/>
  <c r="D36" i="104"/>
  <c r="D63" i="104"/>
  <c r="D67" i="104"/>
  <c r="D54" i="104"/>
  <c r="D51" i="104"/>
  <c r="D62" i="104"/>
  <c r="D49" i="104"/>
  <c r="D65" i="104"/>
  <c r="D28" i="104"/>
  <c r="D27" i="104"/>
  <c r="D55" i="104"/>
  <c r="D61" i="104"/>
  <c r="D45" i="104"/>
  <c r="D38" i="104"/>
  <c r="D29" i="104"/>
  <c r="C43" i="104"/>
  <c r="C47" i="104"/>
  <c r="C66" i="104"/>
  <c r="C32" i="104"/>
  <c r="C58" i="104"/>
  <c r="C48" i="104"/>
  <c r="C46" i="104"/>
  <c r="C53" i="104"/>
  <c r="C30" i="104"/>
  <c r="C41" i="104"/>
  <c r="C40" i="104"/>
  <c r="C31" i="104"/>
  <c r="C57" i="104"/>
  <c r="C39" i="104"/>
  <c r="C64" i="104"/>
  <c r="C59" i="104"/>
  <c r="C60" i="104"/>
  <c r="C35" i="104"/>
  <c r="C50" i="104"/>
  <c r="C44" i="104"/>
  <c r="C52" i="104"/>
  <c r="C42" i="104"/>
  <c r="C56" i="104"/>
  <c r="C37" i="104"/>
  <c r="C33" i="104"/>
  <c r="C34" i="104"/>
  <c r="C36" i="104"/>
  <c r="C63" i="104"/>
  <c r="C67" i="104"/>
  <c r="C54" i="104"/>
  <c r="C51" i="104"/>
  <c r="C62" i="104"/>
  <c r="C49" i="104"/>
  <c r="C65" i="104"/>
  <c r="C28" i="104"/>
  <c r="C27" i="104"/>
  <c r="C55" i="104"/>
  <c r="C61" i="104"/>
  <c r="C45" i="104"/>
  <c r="C38" i="104"/>
  <c r="C29" i="104"/>
  <c r="E43" i="104"/>
  <c r="E47" i="104"/>
  <c r="E32" i="104"/>
  <c r="E46" i="104"/>
  <c r="E53" i="104"/>
  <c r="E30" i="104"/>
  <c r="E41" i="104"/>
  <c r="E40" i="104"/>
  <c r="E31" i="104"/>
  <c r="E59" i="104"/>
  <c r="E35" i="104"/>
  <c r="E44" i="104"/>
  <c r="E52" i="104"/>
  <c r="E37" i="104"/>
  <c r="E33" i="104"/>
  <c r="E34" i="104"/>
  <c r="E36" i="104"/>
  <c r="E67" i="104"/>
  <c r="E51" i="104"/>
  <c r="E28" i="104"/>
  <c r="E55" i="104"/>
  <c r="E61" i="104"/>
  <c r="E45" i="104"/>
  <c r="E38" i="104"/>
  <c r="D52" i="105"/>
  <c r="D53" i="105" s="1"/>
  <c r="C52" i="105"/>
  <c r="C53" i="105" s="1"/>
  <c r="D51" i="105"/>
  <c r="C51" i="105"/>
  <c r="E29" i="104" l="1"/>
  <c r="D68" i="104"/>
  <c r="C68" i="104"/>
  <c r="E52" i="105"/>
  <c r="E53" i="105" s="1"/>
  <c r="E51" i="105"/>
  <c r="AV671" i="1"/>
  <c r="AU671" i="1"/>
  <c r="AT671" i="1"/>
  <c r="AS671" i="1"/>
  <c r="AP671" i="1"/>
  <c r="AO671" i="1"/>
  <c r="AM671" i="1"/>
  <c r="AC671" i="1"/>
  <c r="T671" i="1"/>
  <c r="R671" i="1"/>
  <c r="S671" i="1" s="1"/>
  <c r="Q671" i="1"/>
  <c r="P671" i="1"/>
  <c r="O671" i="1"/>
  <c r="L671" i="1"/>
  <c r="K671" i="1"/>
  <c r="J671" i="1"/>
  <c r="T675" i="1"/>
  <c r="R675" i="1"/>
  <c r="S675" i="1" s="1"/>
  <c r="Q675" i="1"/>
  <c r="P675" i="1"/>
  <c r="O675" i="1"/>
  <c r="L675" i="1"/>
  <c r="K675" i="1"/>
  <c r="J675" i="1"/>
  <c r="AV670" i="1"/>
  <c r="AU670" i="1"/>
  <c r="AT670" i="1"/>
  <c r="AS670" i="1"/>
  <c r="AP670" i="1"/>
  <c r="AO670" i="1"/>
  <c r="AM670" i="1"/>
  <c r="AC670" i="1"/>
  <c r="T670" i="1"/>
  <c r="Q670" i="1"/>
  <c r="P670" i="1"/>
  <c r="R670" i="1" s="1"/>
  <c r="S670" i="1" s="1"/>
  <c r="O670" i="1"/>
  <c r="L670" i="1"/>
  <c r="K670" i="1"/>
  <c r="J670" i="1"/>
  <c r="D8" i="42"/>
  <c r="D9" i="42"/>
  <c r="D10" i="42"/>
  <c r="D11" i="42"/>
  <c r="D12" i="42"/>
  <c r="D13" i="42"/>
  <c r="D14" i="42"/>
  <c r="D15" i="42"/>
  <c r="D16" i="42"/>
  <c r="D17" i="42"/>
  <c r="D18" i="42"/>
  <c r="D19" i="42"/>
  <c r="D20" i="42"/>
  <c r="D21" i="42"/>
  <c r="D22" i="42"/>
  <c r="D23" i="42"/>
  <c r="D24" i="42"/>
  <c r="D25" i="42"/>
  <c r="D26" i="42"/>
  <c r="D27" i="42"/>
  <c r="D28" i="42"/>
  <c r="D29" i="42"/>
  <c r="D30" i="42"/>
  <c r="D31" i="42"/>
  <c r="D32" i="42"/>
  <c r="D33" i="42"/>
  <c r="D34" i="42"/>
  <c r="D35" i="42"/>
  <c r="D36" i="42"/>
  <c r="D37" i="42"/>
  <c r="D38" i="42"/>
  <c r="D39" i="42"/>
  <c r="D40" i="42"/>
  <c r="D41" i="42"/>
  <c r="D42" i="42"/>
  <c r="D43" i="42"/>
  <c r="D44" i="42"/>
  <c r="D45" i="42"/>
  <c r="D46" i="42"/>
  <c r="D47" i="42"/>
  <c r="D48" i="42"/>
  <c r="D7" i="42"/>
  <c r="O444" i="1"/>
  <c r="DK17" i="92"/>
  <c r="DL17" i="92"/>
  <c r="DM17" i="92"/>
  <c r="DN17" i="92"/>
  <c r="DK31" i="92"/>
  <c r="DL31" i="92"/>
  <c r="DM31" i="92"/>
  <c r="DN31" i="92"/>
  <c r="DK37" i="92"/>
  <c r="DL37" i="92"/>
  <c r="DM37" i="92"/>
  <c r="DN37" i="92"/>
  <c r="DK38" i="92"/>
  <c r="DL38" i="92"/>
  <c r="DM38" i="92"/>
  <c r="DN38" i="92"/>
  <c r="DK39" i="92"/>
  <c r="DL39" i="92"/>
  <c r="DM39" i="92"/>
  <c r="DN39" i="92"/>
  <c r="DF17" i="92"/>
  <c r="DG17" i="92"/>
  <c r="DH17" i="92"/>
  <c r="DI17" i="92"/>
  <c r="DF31" i="92"/>
  <c r="DG31" i="92"/>
  <c r="DH31" i="92"/>
  <c r="DI31" i="92"/>
  <c r="DF37" i="92"/>
  <c r="DG37" i="92"/>
  <c r="DH37" i="92"/>
  <c r="DI37" i="92"/>
  <c r="DF38" i="92"/>
  <c r="DG38" i="92"/>
  <c r="DH38" i="92"/>
  <c r="DI38" i="92"/>
  <c r="DF39" i="92"/>
  <c r="DG39" i="92"/>
  <c r="DH39" i="92"/>
  <c r="DI39" i="92"/>
  <c r="E68" i="104" l="1"/>
  <c r="T922" i="1"/>
  <c r="T923" i="1"/>
  <c r="T924" i="1"/>
  <c r="T925" i="1"/>
  <c r="T926" i="1"/>
  <c r="AV921" i="1"/>
  <c r="AU921" i="1"/>
  <c r="AT921" i="1"/>
  <c r="AS921" i="1"/>
  <c r="AP921" i="1"/>
  <c r="AO921" i="1"/>
  <c r="AM921" i="1"/>
  <c r="AC921" i="1"/>
  <c r="S921" i="1"/>
  <c r="Q921" i="1"/>
  <c r="P921" i="1"/>
  <c r="O921" i="1"/>
  <c r="L921" i="1"/>
  <c r="K921" i="1"/>
  <c r="J921" i="1"/>
  <c r="AV917" i="1"/>
  <c r="AU917" i="1"/>
  <c r="AT917" i="1"/>
  <c r="AS917" i="1"/>
  <c r="AP917" i="1"/>
  <c r="AO917" i="1"/>
  <c r="AM917" i="1"/>
  <c r="AC917" i="1"/>
  <c r="T917" i="1"/>
  <c r="R917" i="1"/>
  <c r="S917" i="1" s="1"/>
  <c r="Q917" i="1"/>
  <c r="P917" i="1"/>
  <c r="O917" i="1"/>
  <c r="L917" i="1"/>
  <c r="K917" i="1"/>
  <c r="J917" i="1"/>
  <c r="AV916" i="1"/>
  <c r="AU916" i="1"/>
  <c r="AT916" i="1"/>
  <c r="AS916" i="1"/>
  <c r="AP916" i="1"/>
  <c r="AO916" i="1"/>
  <c r="AM916" i="1"/>
  <c r="AC916" i="1"/>
  <c r="T916" i="1"/>
  <c r="R916" i="1"/>
  <c r="S916" i="1" s="1"/>
  <c r="Q916" i="1"/>
  <c r="P916" i="1"/>
  <c r="O916" i="1"/>
  <c r="L916" i="1"/>
  <c r="K916" i="1"/>
  <c r="J916" i="1"/>
  <c r="AV1172" i="1"/>
  <c r="AU1172" i="1"/>
  <c r="AT1172" i="1"/>
  <c r="AS1172" i="1"/>
  <c r="AP1172" i="1"/>
  <c r="AO1172" i="1"/>
  <c r="AM1172" i="1"/>
  <c r="AC1172" i="1"/>
  <c r="T1172" i="1"/>
  <c r="R1172" i="1"/>
  <c r="S1172" i="1" s="1"/>
  <c r="Q1172" i="1"/>
  <c r="P1172" i="1"/>
  <c r="O1172" i="1"/>
  <c r="L1172" i="1"/>
  <c r="K1172" i="1"/>
  <c r="J1172" i="1"/>
  <c r="L200" i="24"/>
  <c r="F144" i="24"/>
  <c r="E39" i="57"/>
  <c r="Q1164" i="1"/>
  <c r="Q1165" i="1"/>
  <c r="Q1166" i="1"/>
  <c r="P1166" i="1"/>
  <c r="O1164" i="1"/>
  <c r="P1164" i="1" s="1"/>
  <c r="O1165" i="1"/>
  <c r="P1165" i="1" s="1"/>
  <c r="O1166" i="1"/>
  <c r="L1164" i="1"/>
  <c r="L1165" i="1"/>
  <c r="L1166" i="1"/>
  <c r="K1164" i="1"/>
  <c r="K1165" i="1"/>
  <c r="K1166" i="1"/>
  <c r="J1164" i="1"/>
  <c r="J1165" i="1"/>
  <c r="J1166" i="1"/>
  <c r="AM208" i="1"/>
  <c r="AN208" i="1"/>
  <c r="AO208" i="1"/>
  <c r="AP208" i="1"/>
  <c r="AS208" i="1"/>
  <c r="AT208" i="1"/>
  <c r="AU208" i="1"/>
  <c r="AV208" i="1"/>
  <c r="T208" i="1"/>
  <c r="R208" i="1"/>
  <c r="S208" i="1" s="1"/>
  <c r="Q208" i="1"/>
  <c r="O208" i="1"/>
  <c r="J208" i="1"/>
  <c r="K208" i="1"/>
  <c r="L208" i="1"/>
  <c r="AV1163" i="1"/>
  <c r="AU1163" i="1"/>
  <c r="AT1163" i="1"/>
  <c r="AS1163" i="1"/>
  <c r="AP1163" i="1"/>
  <c r="AO1163" i="1"/>
  <c r="AN1163" i="1"/>
  <c r="AM1163" i="1"/>
  <c r="AC1163" i="1"/>
  <c r="T1163" i="1"/>
  <c r="R1163" i="1"/>
  <c r="S1163" i="1" s="1"/>
  <c r="Q1163" i="1"/>
  <c r="O1163" i="1"/>
  <c r="P1163" i="1" s="1"/>
  <c r="L1163" i="1"/>
  <c r="K1163" i="1"/>
  <c r="J1163" i="1"/>
  <c r="L3" i="24"/>
  <c r="K3" i="24" s="1"/>
  <c r="L4" i="24"/>
  <c r="K4" i="24" s="1"/>
  <c r="L5" i="24"/>
  <c r="K5" i="24" s="1"/>
  <c r="L6" i="24"/>
  <c r="K6" i="24" s="1"/>
  <c r="L7" i="24"/>
  <c r="K7" i="24" s="1"/>
  <c r="L8" i="24"/>
  <c r="N8" i="24" s="1"/>
  <c r="L9" i="24"/>
  <c r="K9" i="24" s="1"/>
  <c r="L10" i="24"/>
  <c r="K10" i="24" s="1"/>
  <c r="L11" i="24"/>
  <c r="K11" i="24" s="1"/>
  <c r="L12" i="24"/>
  <c r="K12" i="24" s="1"/>
  <c r="L13" i="24"/>
  <c r="K13" i="24" s="1"/>
  <c r="N13" i="24"/>
  <c r="L14" i="24"/>
  <c r="K14" i="24" s="1"/>
  <c r="L15" i="24"/>
  <c r="K15" i="24" s="1"/>
  <c r="L16" i="24"/>
  <c r="K16" i="24" s="1"/>
  <c r="M16" i="24"/>
  <c r="N16" i="24"/>
  <c r="L17" i="24"/>
  <c r="K17" i="24" s="1"/>
  <c r="L18" i="24"/>
  <c r="K18" i="24" s="1"/>
  <c r="L19" i="24"/>
  <c r="K19" i="24" s="1"/>
  <c r="M19" i="24"/>
  <c r="N19" i="24"/>
  <c r="L20" i="24"/>
  <c r="K20" i="24" s="1"/>
  <c r="N20" i="24"/>
  <c r="L21" i="24"/>
  <c r="K21" i="24" s="1"/>
  <c r="L22" i="24"/>
  <c r="K22" i="24" s="1"/>
  <c r="L23" i="24"/>
  <c r="K23" i="24" s="1"/>
  <c r="L24" i="24"/>
  <c r="K24" i="24" s="1"/>
  <c r="N24" i="24"/>
  <c r="L25" i="24"/>
  <c r="K25" i="24" s="1"/>
  <c r="L26" i="24"/>
  <c r="K26" i="24" s="1"/>
  <c r="L27" i="24"/>
  <c r="K27" i="24" s="1"/>
  <c r="M27" i="24"/>
  <c r="N27" i="24"/>
  <c r="L28" i="24"/>
  <c r="K28" i="24" s="1"/>
  <c r="L29" i="24"/>
  <c r="K29" i="24" s="1"/>
  <c r="L30" i="24"/>
  <c r="K30" i="24" s="1"/>
  <c r="L31" i="24"/>
  <c r="K31" i="24" s="1"/>
  <c r="N31" i="24"/>
  <c r="L32" i="24"/>
  <c r="K32" i="24" s="1"/>
  <c r="L33" i="24"/>
  <c r="K33" i="24" s="1"/>
  <c r="L34" i="24"/>
  <c r="K34" i="24" s="1"/>
  <c r="M34" i="24"/>
  <c r="L35" i="24"/>
  <c r="K35" i="24" s="1"/>
  <c r="L36" i="24"/>
  <c r="K36" i="24" s="1"/>
  <c r="L37" i="24"/>
  <c r="K37" i="24" s="1"/>
  <c r="L38" i="24"/>
  <c r="K38" i="24" s="1"/>
  <c r="L39" i="24"/>
  <c r="K39" i="24" s="1"/>
  <c r="N39" i="24"/>
  <c r="L40" i="24"/>
  <c r="K40" i="24" s="1"/>
  <c r="M40" i="24"/>
  <c r="N40" i="24"/>
  <c r="L41" i="24"/>
  <c r="K41" i="24" s="1"/>
  <c r="N41" i="24"/>
  <c r="L42" i="24"/>
  <c r="K42" i="24" s="1"/>
  <c r="M42" i="24"/>
  <c r="N42" i="24"/>
  <c r="L43" i="24"/>
  <c r="K43" i="24" s="1"/>
  <c r="L44" i="24"/>
  <c r="K44" i="24" s="1"/>
  <c r="M44" i="24"/>
  <c r="N44" i="24"/>
  <c r="L45" i="24"/>
  <c r="K45" i="24" s="1"/>
  <c r="L46" i="24"/>
  <c r="K46" i="24" s="1"/>
  <c r="L47" i="24"/>
  <c r="K47" i="24" s="1"/>
  <c r="N47" i="24"/>
  <c r="L48" i="24"/>
  <c r="K48" i="24" s="1"/>
  <c r="M48" i="24"/>
  <c r="N48" i="24"/>
  <c r="L49" i="24"/>
  <c r="K49" i="24" s="1"/>
  <c r="N49" i="24"/>
  <c r="L50" i="24"/>
  <c r="K50" i="24" s="1"/>
  <c r="M50" i="24"/>
  <c r="N50" i="24"/>
  <c r="L51" i="24"/>
  <c r="N51" i="24" s="1"/>
  <c r="L52" i="24"/>
  <c r="K52" i="24" s="1"/>
  <c r="M52" i="24"/>
  <c r="N52" i="24"/>
  <c r="L53" i="24"/>
  <c r="K53" i="24" s="1"/>
  <c r="L54" i="24"/>
  <c r="K54" i="24" s="1"/>
  <c r="L55" i="24"/>
  <c r="K55" i="24" s="1"/>
  <c r="N55" i="24"/>
  <c r="L56" i="24"/>
  <c r="K56" i="24" s="1"/>
  <c r="M56" i="24"/>
  <c r="N56" i="24"/>
  <c r="L57" i="24"/>
  <c r="K57" i="24" s="1"/>
  <c r="N57" i="24"/>
  <c r="L58" i="24"/>
  <c r="K58" i="24" s="1"/>
  <c r="M58" i="24"/>
  <c r="L59" i="24"/>
  <c r="K59" i="24" s="1"/>
  <c r="M59" i="24"/>
  <c r="L60" i="24"/>
  <c r="K60" i="24" s="1"/>
  <c r="M60" i="24"/>
  <c r="N60" i="24"/>
  <c r="L61" i="24"/>
  <c r="K61" i="24" s="1"/>
  <c r="L62" i="24"/>
  <c r="K62" i="24" s="1"/>
  <c r="M62" i="24"/>
  <c r="L63" i="24"/>
  <c r="K63" i="24" s="1"/>
  <c r="N63" i="24"/>
  <c r="L64" i="24"/>
  <c r="K64" i="24" s="1"/>
  <c r="M64" i="24"/>
  <c r="N64" i="24"/>
  <c r="L65" i="24"/>
  <c r="K65" i="24" s="1"/>
  <c r="N65" i="24"/>
  <c r="L66" i="24"/>
  <c r="K66" i="24" s="1"/>
  <c r="M66" i="24"/>
  <c r="L67" i="24"/>
  <c r="K67" i="24" s="1"/>
  <c r="M67" i="24"/>
  <c r="L68" i="24"/>
  <c r="K68" i="24" s="1"/>
  <c r="M68" i="24"/>
  <c r="N68" i="24"/>
  <c r="L69" i="24"/>
  <c r="K69" i="24" s="1"/>
  <c r="L70" i="24"/>
  <c r="K70" i="24" s="1"/>
  <c r="M70" i="24"/>
  <c r="L71" i="24"/>
  <c r="K71" i="24" s="1"/>
  <c r="M71" i="24"/>
  <c r="N71" i="24"/>
  <c r="L72" i="24"/>
  <c r="K72" i="24" s="1"/>
  <c r="M72" i="24"/>
  <c r="L73" i="24"/>
  <c r="K73" i="24" s="1"/>
  <c r="N73" i="24"/>
  <c r="L74" i="24"/>
  <c r="K74" i="24" s="1"/>
  <c r="M74" i="24"/>
  <c r="N74" i="24"/>
  <c r="L75" i="24"/>
  <c r="K75" i="24" s="1"/>
  <c r="M75" i="24"/>
  <c r="L76" i="24"/>
  <c r="K76" i="24" s="1"/>
  <c r="M76" i="24"/>
  <c r="N76" i="24"/>
  <c r="L77" i="24"/>
  <c r="K77" i="24" s="1"/>
  <c r="M77" i="24"/>
  <c r="L78" i="24"/>
  <c r="K78" i="24" s="1"/>
  <c r="M78" i="24"/>
  <c r="L79" i="24"/>
  <c r="M79" i="24"/>
  <c r="N79" i="24"/>
  <c r="L80" i="24"/>
  <c r="K80" i="24" s="1"/>
  <c r="M80" i="24"/>
  <c r="L81" i="24"/>
  <c r="K81" i="24" s="1"/>
  <c r="M81" i="24"/>
  <c r="N81" i="24"/>
  <c r="L82" i="24"/>
  <c r="K82" i="24" s="1"/>
  <c r="M82" i="24"/>
  <c r="L83" i="24"/>
  <c r="K83" i="24" s="1"/>
  <c r="M83" i="24"/>
  <c r="N83" i="24"/>
  <c r="L84" i="24"/>
  <c r="K84" i="24" s="1"/>
  <c r="M84" i="24"/>
  <c r="N84" i="24"/>
  <c r="L85" i="24"/>
  <c r="K85" i="24" s="1"/>
  <c r="M85" i="24"/>
  <c r="L86" i="24"/>
  <c r="K86" i="24" s="1"/>
  <c r="M86" i="24"/>
  <c r="L87" i="24"/>
  <c r="K87" i="24" s="1"/>
  <c r="M87" i="24"/>
  <c r="N87" i="24"/>
  <c r="L88" i="24"/>
  <c r="K88" i="24" s="1"/>
  <c r="M88" i="24"/>
  <c r="N88" i="24"/>
  <c r="L89" i="24"/>
  <c r="K89" i="24" s="1"/>
  <c r="M89" i="24"/>
  <c r="N89" i="24"/>
  <c r="L90" i="24"/>
  <c r="K90" i="24" s="1"/>
  <c r="M90" i="24"/>
  <c r="L91" i="24"/>
  <c r="K91" i="24" s="1"/>
  <c r="M91" i="24"/>
  <c r="L92" i="24"/>
  <c r="K92" i="24" s="1"/>
  <c r="M92" i="24"/>
  <c r="N92" i="24"/>
  <c r="L93" i="24"/>
  <c r="K93" i="24" s="1"/>
  <c r="M93" i="24"/>
  <c r="L94" i="24"/>
  <c r="K94" i="24" s="1"/>
  <c r="M94" i="24"/>
  <c r="L95" i="24"/>
  <c r="K95" i="24" s="1"/>
  <c r="M95" i="24"/>
  <c r="N95" i="24"/>
  <c r="L96" i="24"/>
  <c r="K96" i="24" s="1"/>
  <c r="M96" i="24"/>
  <c r="N96" i="24"/>
  <c r="L97" i="24"/>
  <c r="K97" i="24" s="1"/>
  <c r="M97" i="24"/>
  <c r="N97" i="24"/>
  <c r="L98" i="24"/>
  <c r="K98" i="24" s="1"/>
  <c r="M98" i="24"/>
  <c r="L99" i="24"/>
  <c r="K99" i="24" s="1"/>
  <c r="M99" i="24"/>
  <c r="L100" i="24"/>
  <c r="K100" i="24" s="1"/>
  <c r="M100" i="24"/>
  <c r="N100" i="24"/>
  <c r="L101" i="24"/>
  <c r="K101" i="24" s="1"/>
  <c r="M101" i="24"/>
  <c r="L102" i="24"/>
  <c r="K102" i="24" s="1"/>
  <c r="M102" i="24"/>
  <c r="L103" i="24"/>
  <c r="K103" i="24" s="1"/>
  <c r="M103" i="24"/>
  <c r="N103" i="24"/>
  <c r="L104" i="24"/>
  <c r="K104" i="24" s="1"/>
  <c r="M104" i="24"/>
  <c r="N104" i="24"/>
  <c r="L105" i="24"/>
  <c r="K105" i="24" s="1"/>
  <c r="M105" i="24"/>
  <c r="N105" i="24"/>
  <c r="L106" i="24"/>
  <c r="K106" i="24" s="1"/>
  <c r="M106" i="24"/>
  <c r="L107" i="24"/>
  <c r="K107" i="24" s="1"/>
  <c r="M107" i="24"/>
  <c r="L108" i="24"/>
  <c r="K108" i="24" s="1"/>
  <c r="M108" i="24"/>
  <c r="N108" i="24"/>
  <c r="L109" i="24"/>
  <c r="K109" i="24" s="1"/>
  <c r="M109" i="24"/>
  <c r="L110" i="24"/>
  <c r="N110" i="24" s="1"/>
  <c r="M110" i="24"/>
  <c r="L111" i="24"/>
  <c r="M111" i="24"/>
  <c r="N111" i="24"/>
  <c r="L112" i="24"/>
  <c r="K112" i="24" s="1"/>
  <c r="M112" i="24"/>
  <c r="N112" i="24"/>
  <c r="L113" i="24"/>
  <c r="K113" i="24" s="1"/>
  <c r="M113" i="24"/>
  <c r="N113" i="24"/>
  <c r="L114" i="24"/>
  <c r="K114" i="24" s="1"/>
  <c r="M114" i="24"/>
  <c r="L115" i="24"/>
  <c r="K115" i="24" s="1"/>
  <c r="M115" i="24"/>
  <c r="N115" i="24"/>
  <c r="L116" i="24"/>
  <c r="K116" i="24" s="1"/>
  <c r="M116" i="24"/>
  <c r="N116" i="24"/>
  <c r="L117" i="24"/>
  <c r="K117" i="24" s="1"/>
  <c r="M117" i="24"/>
  <c r="L118" i="24"/>
  <c r="K118" i="24" s="1"/>
  <c r="M118" i="24"/>
  <c r="L119" i="24"/>
  <c r="K119" i="24" s="1"/>
  <c r="M119" i="24"/>
  <c r="N119" i="24"/>
  <c r="L120" i="24"/>
  <c r="K120" i="24" s="1"/>
  <c r="M120" i="24"/>
  <c r="N120" i="24"/>
  <c r="L121" i="24"/>
  <c r="K121" i="24" s="1"/>
  <c r="M121" i="24"/>
  <c r="N121" i="24"/>
  <c r="L122" i="24"/>
  <c r="K122" i="24" s="1"/>
  <c r="M122" i="24"/>
  <c r="L123" i="24"/>
  <c r="K123" i="24" s="1"/>
  <c r="M123" i="24"/>
  <c r="N123" i="24"/>
  <c r="L124" i="24"/>
  <c r="K124" i="24" s="1"/>
  <c r="M124" i="24"/>
  <c r="N124" i="24"/>
  <c r="L125" i="24"/>
  <c r="K125" i="24" s="1"/>
  <c r="M125" i="24"/>
  <c r="L126" i="24"/>
  <c r="K126" i="24" s="1"/>
  <c r="M126" i="24"/>
  <c r="L127" i="24"/>
  <c r="K127" i="24" s="1"/>
  <c r="M127" i="24"/>
  <c r="N127" i="24"/>
  <c r="L128" i="24"/>
  <c r="K128" i="24" s="1"/>
  <c r="M128" i="24"/>
  <c r="N128" i="24"/>
  <c r="L129" i="24"/>
  <c r="K129" i="24" s="1"/>
  <c r="M129" i="24"/>
  <c r="N129" i="24"/>
  <c r="L130" i="24"/>
  <c r="K130" i="24" s="1"/>
  <c r="M130" i="24"/>
  <c r="L131" i="24"/>
  <c r="K131" i="24" s="1"/>
  <c r="M131" i="24"/>
  <c r="N131" i="24"/>
  <c r="L132" i="24"/>
  <c r="K132" i="24" s="1"/>
  <c r="M132" i="24"/>
  <c r="N132" i="24"/>
  <c r="L133" i="24"/>
  <c r="K133" i="24" s="1"/>
  <c r="M133" i="24"/>
  <c r="L134" i="24"/>
  <c r="K134" i="24" s="1"/>
  <c r="M134" i="24"/>
  <c r="L135" i="24"/>
  <c r="K135" i="24" s="1"/>
  <c r="M135" i="24"/>
  <c r="N135" i="24"/>
  <c r="L136" i="24"/>
  <c r="K136" i="24" s="1"/>
  <c r="M136" i="24"/>
  <c r="N136" i="24"/>
  <c r="L137" i="24"/>
  <c r="K137" i="24" s="1"/>
  <c r="M137" i="24"/>
  <c r="L138" i="24"/>
  <c r="K138" i="24" s="1"/>
  <c r="M138" i="24"/>
  <c r="L139" i="24"/>
  <c r="K139" i="24" s="1"/>
  <c r="M139" i="24"/>
  <c r="N139" i="24"/>
  <c r="L140" i="24"/>
  <c r="M140" i="24"/>
  <c r="N140" i="24"/>
  <c r="L141" i="24"/>
  <c r="K141" i="24" s="1"/>
  <c r="M141" i="24"/>
  <c r="L142" i="24"/>
  <c r="M142" i="24"/>
  <c r="L143" i="24"/>
  <c r="M143" i="24"/>
  <c r="N143" i="24"/>
  <c r="L144" i="24"/>
  <c r="N144" i="24" s="1"/>
  <c r="M144" i="24"/>
  <c r="L145" i="24"/>
  <c r="N145" i="24" s="1"/>
  <c r="M145" i="24"/>
  <c r="L146" i="24"/>
  <c r="M146" i="24"/>
  <c r="N146" i="24"/>
  <c r="L147" i="24"/>
  <c r="M147" i="24"/>
  <c r="L148" i="24"/>
  <c r="N148" i="24" s="1"/>
  <c r="M148" i="24"/>
  <c r="L149" i="24"/>
  <c r="M149" i="24"/>
  <c r="N149" i="24"/>
  <c r="L150" i="24"/>
  <c r="M150" i="24"/>
  <c r="N150" i="24"/>
  <c r="L151" i="24"/>
  <c r="M151" i="24"/>
  <c r="N151" i="24"/>
  <c r="L152" i="24"/>
  <c r="N152" i="24" s="1"/>
  <c r="M152" i="24"/>
  <c r="L153" i="24"/>
  <c r="M153" i="24"/>
  <c r="N153" i="24"/>
  <c r="L154" i="24"/>
  <c r="M154" i="24"/>
  <c r="N154" i="24"/>
  <c r="L155" i="24"/>
  <c r="N155" i="24" s="1"/>
  <c r="M155" i="24"/>
  <c r="L156" i="24"/>
  <c r="N156" i="24" s="1"/>
  <c r="M156" i="24"/>
  <c r="L157" i="24"/>
  <c r="M157" i="24"/>
  <c r="N157" i="24"/>
  <c r="L158" i="24"/>
  <c r="M158" i="24"/>
  <c r="N158" i="24"/>
  <c r="L159" i="24"/>
  <c r="M159" i="24"/>
  <c r="N159" i="24"/>
  <c r="L160" i="24"/>
  <c r="N160" i="24" s="1"/>
  <c r="M160" i="24"/>
  <c r="L161" i="24"/>
  <c r="M161" i="24"/>
  <c r="N161" i="24"/>
  <c r="L162" i="24"/>
  <c r="M162" i="24"/>
  <c r="N162" i="24"/>
  <c r="L163" i="24"/>
  <c r="N163" i="24" s="1"/>
  <c r="M163" i="24"/>
  <c r="L164" i="24"/>
  <c r="M164" i="24"/>
  <c r="L165" i="24"/>
  <c r="M165" i="24"/>
  <c r="N165" i="24"/>
  <c r="L166" i="24"/>
  <c r="N166" i="24" s="1"/>
  <c r="M166" i="24"/>
  <c r="L167" i="24"/>
  <c r="N167" i="24" s="1"/>
  <c r="M167" i="24"/>
  <c r="L168" i="24"/>
  <c r="M168" i="24"/>
  <c r="L169" i="24"/>
  <c r="N169" i="24" s="1"/>
  <c r="M169" i="24"/>
  <c r="L170" i="24"/>
  <c r="N170" i="24" s="1"/>
  <c r="M170" i="24"/>
  <c r="L171" i="24"/>
  <c r="M171" i="24"/>
  <c r="N171" i="24"/>
  <c r="L172" i="24"/>
  <c r="M172" i="24"/>
  <c r="N172" i="24"/>
  <c r="L173" i="24"/>
  <c r="M173" i="24"/>
  <c r="N173" i="24"/>
  <c r="L174" i="24"/>
  <c r="N174" i="24" s="1"/>
  <c r="M174" i="24"/>
  <c r="L175" i="24"/>
  <c r="M175" i="24"/>
  <c r="N175" i="24"/>
  <c r="L176" i="24"/>
  <c r="M176" i="24"/>
  <c r="N176" i="24"/>
  <c r="L177" i="24"/>
  <c r="N177" i="24" s="1"/>
  <c r="M177" i="24"/>
  <c r="L178" i="24"/>
  <c r="N178" i="24" s="1"/>
  <c r="M178" i="24"/>
  <c r="L179" i="24"/>
  <c r="M179" i="24"/>
  <c r="N179" i="24"/>
  <c r="L180" i="24"/>
  <c r="M180" i="24"/>
  <c r="L181" i="24"/>
  <c r="M181" i="24"/>
  <c r="L182" i="24"/>
  <c r="M182" i="24"/>
  <c r="N182" i="24"/>
  <c r="L183" i="24"/>
  <c r="N183" i="24" s="1"/>
  <c r="M183" i="24"/>
  <c r="L184" i="24"/>
  <c r="N184" i="24" s="1"/>
  <c r="M184" i="24"/>
  <c r="L185" i="24"/>
  <c r="M185" i="24"/>
  <c r="N185" i="24"/>
  <c r="L186" i="24"/>
  <c r="M186" i="24"/>
  <c r="N186" i="24"/>
  <c r="L187" i="24"/>
  <c r="M187" i="24"/>
  <c r="N187" i="24"/>
  <c r="L188" i="24"/>
  <c r="N188" i="24" s="1"/>
  <c r="M188" i="24"/>
  <c r="L189" i="24"/>
  <c r="M189" i="24"/>
  <c r="N189" i="24"/>
  <c r="L190" i="24"/>
  <c r="M190" i="24"/>
  <c r="N190" i="24"/>
  <c r="L191" i="24"/>
  <c r="M191" i="24"/>
  <c r="L192" i="24"/>
  <c r="M192" i="24"/>
  <c r="N192" i="24"/>
  <c r="L193" i="24"/>
  <c r="M193" i="24"/>
  <c r="N193" i="24"/>
  <c r="L194" i="24"/>
  <c r="N194" i="24" s="1"/>
  <c r="M194" i="24"/>
  <c r="L195" i="24"/>
  <c r="N195" i="24" s="1"/>
  <c r="M195" i="24"/>
  <c r="L196" i="24"/>
  <c r="M196" i="24"/>
  <c r="N196" i="24"/>
  <c r="L197" i="24"/>
  <c r="M197" i="24"/>
  <c r="N197" i="24"/>
  <c r="L198" i="24"/>
  <c r="M198" i="24"/>
  <c r="N198" i="24"/>
  <c r="L199" i="24"/>
  <c r="N199" i="24" s="1"/>
  <c r="M199" i="24"/>
  <c r="M200" i="24"/>
  <c r="N200" i="24"/>
  <c r="L201" i="24"/>
  <c r="M201" i="24"/>
  <c r="N201" i="24"/>
  <c r="L202" i="24"/>
  <c r="N202" i="24" s="1"/>
  <c r="M202" i="24"/>
  <c r="L203" i="24"/>
  <c r="M203" i="24"/>
  <c r="N203" i="24"/>
  <c r="L204" i="24"/>
  <c r="M204" i="24"/>
  <c r="N204" i="24"/>
  <c r="L205" i="24"/>
  <c r="N205" i="24" s="1"/>
  <c r="M205" i="24"/>
  <c r="L206" i="24"/>
  <c r="N206" i="24" s="1"/>
  <c r="M206" i="24"/>
  <c r="L207" i="24"/>
  <c r="M207" i="24"/>
  <c r="N207" i="24"/>
  <c r="L208" i="24"/>
  <c r="N208" i="24" s="1"/>
  <c r="M208" i="24"/>
  <c r="L209" i="24"/>
  <c r="M209" i="24"/>
  <c r="N209" i="24"/>
  <c r="L210" i="24"/>
  <c r="M210" i="24"/>
  <c r="N210" i="24"/>
  <c r="L211" i="24"/>
  <c r="M211" i="24"/>
  <c r="N211" i="24"/>
  <c r="L212" i="24"/>
  <c r="M212" i="24"/>
  <c r="N212" i="24"/>
  <c r="L213" i="24"/>
  <c r="N213" i="24" s="1"/>
  <c r="M213" i="24"/>
  <c r="L214" i="24"/>
  <c r="N214" i="24" s="1"/>
  <c r="M214" i="24"/>
  <c r="L215" i="24"/>
  <c r="M215" i="24"/>
  <c r="N215" i="24"/>
  <c r="L216" i="24"/>
  <c r="N216" i="24" s="1"/>
  <c r="M216" i="24"/>
  <c r="L217" i="24"/>
  <c r="M217" i="24"/>
  <c r="N217" i="24"/>
  <c r="L218" i="24"/>
  <c r="M218" i="24"/>
  <c r="L219" i="24"/>
  <c r="N219" i="24" s="1"/>
  <c r="M219" i="24"/>
  <c r="L220" i="24"/>
  <c r="M220" i="24"/>
  <c r="N220" i="24"/>
  <c r="L221" i="24"/>
  <c r="M221" i="24"/>
  <c r="L222" i="24"/>
  <c r="N222" i="24" s="1"/>
  <c r="M222" i="24"/>
  <c r="L223" i="24"/>
  <c r="M223" i="24"/>
  <c r="N223" i="24"/>
  <c r="L224" i="24"/>
  <c r="M224" i="24"/>
  <c r="N224" i="24"/>
  <c r="L225" i="24"/>
  <c r="M225" i="24"/>
  <c r="N225" i="24"/>
  <c r="L226" i="24"/>
  <c r="M226" i="24"/>
  <c r="N226" i="24"/>
  <c r="L227" i="24"/>
  <c r="N227" i="24" s="1"/>
  <c r="M227" i="24"/>
  <c r="L228" i="24"/>
  <c r="N228" i="24" s="1"/>
  <c r="M228" i="24"/>
  <c r="L229" i="24"/>
  <c r="M229" i="24"/>
  <c r="N229" i="24"/>
  <c r="L230" i="24"/>
  <c r="N230" i="24" s="1"/>
  <c r="M230" i="24"/>
  <c r="L231" i="24"/>
  <c r="M231" i="24"/>
  <c r="N231" i="24"/>
  <c r="L232" i="24"/>
  <c r="M232" i="24"/>
  <c r="N232" i="24"/>
  <c r="L233" i="24"/>
  <c r="M233" i="24"/>
  <c r="N233" i="24"/>
  <c r="L234" i="24"/>
  <c r="M234" i="24"/>
  <c r="N234" i="24"/>
  <c r="L235" i="24"/>
  <c r="M235" i="24"/>
  <c r="L236" i="24"/>
  <c r="M236" i="24"/>
  <c r="N236" i="24"/>
  <c r="L237" i="24"/>
  <c r="M237" i="24"/>
  <c r="N237" i="24"/>
  <c r="L238" i="24"/>
  <c r="N238" i="24" s="1"/>
  <c r="M238" i="24"/>
  <c r="L239" i="24"/>
  <c r="N239" i="24" s="1"/>
  <c r="M239" i="24"/>
  <c r="L240" i="24"/>
  <c r="M240" i="24"/>
  <c r="N240" i="24"/>
  <c r="L241" i="24"/>
  <c r="N241" i="24" s="1"/>
  <c r="M241" i="24"/>
  <c r="L242" i="24"/>
  <c r="M242" i="24"/>
  <c r="N242" i="24"/>
  <c r="L243" i="24"/>
  <c r="M243" i="24"/>
  <c r="N243" i="24"/>
  <c r="L244" i="24"/>
  <c r="M244" i="24"/>
  <c r="N244" i="24"/>
  <c r="L245" i="24"/>
  <c r="M245" i="24"/>
  <c r="N245" i="24"/>
  <c r="L246" i="24"/>
  <c r="M246" i="24"/>
  <c r="L247" i="24"/>
  <c r="M247" i="24"/>
  <c r="N247" i="24"/>
  <c r="L248" i="24"/>
  <c r="M248" i="24"/>
  <c r="N248" i="24"/>
  <c r="L249" i="24"/>
  <c r="N249" i="24" s="1"/>
  <c r="M249" i="24"/>
  <c r="L250" i="24"/>
  <c r="N250" i="24" s="1"/>
  <c r="M250" i="24"/>
  <c r="L251" i="24"/>
  <c r="M251" i="24"/>
  <c r="N251" i="24"/>
  <c r="L252" i="24"/>
  <c r="N252" i="24" s="1"/>
  <c r="M252" i="24"/>
  <c r="L253" i="24"/>
  <c r="M253" i="24"/>
  <c r="N253" i="24"/>
  <c r="L254" i="24"/>
  <c r="M254" i="24"/>
  <c r="N254" i="24"/>
  <c r="L255" i="24"/>
  <c r="M255" i="24"/>
  <c r="N255" i="24"/>
  <c r="L256" i="24"/>
  <c r="M256" i="24"/>
  <c r="N256" i="24"/>
  <c r="L257" i="24"/>
  <c r="N257" i="24" s="1"/>
  <c r="M257" i="24"/>
  <c r="L258" i="24"/>
  <c r="N258" i="24" s="1"/>
  <c r="M258" i="24"/>
  <c r="L259" i="24"/>
  <c r="M259" i="24"/>
  <c r="N259" i="24"/>
  <c r="L260" i="24"/>
  <c r="N260" i="24" s="1"/>
  <c r="M260" i="24"/>
  <c r="L261" i="24"/>
  <c r="M261" i="24"/>
  <c r="N261" i="24"/>
  <c r="L262" i="24"/>
  <c r="M262" i="24"/>
  <c r="N262" i="24"/>
  <c r="L263" i="24"/>
  <c r="M263" i="24"/>
  <c r="N263" i="24"/>
  <c r="L264" i="24"/>
  <c r="M264" i="24"/>
  <c r="N264" i="24"/>
  <c r="L265" i="24"/>
  <c r="N265" i="24" s="1"/>
  <c r="M265" i="24"/>
  <c r="L266" i="24"/>
  <c r="N266" i="24" s="1"/>
  <c r="M266" i="24"/>
  <c r="L267" i="24"/>
  <c r="M267" i="24"/>
  <c r="N267" i="24"/>
  <c r="L268" i="24"/>
  <c r="N268" i="24" s="1"/>
  <c r="M268" i="24"/>
  <c r="L269" i="24"/>
  <c r="M269" i="24"/>
  <c r="N269" i="24"/>
  <c r="L270" i="24"/>
  <c r="M270" i="24"/>
  <c r="N270" i="24"/>
  <c r="L271" i="24"/>
  <c r="M271" i="24"/>
  <c r="N271" i="24"/>
  <c r="L272" i="24"/>
  <c r="M272" i="24"/>
  <c r="N272" i="24"/>
  <c r="L273" i="24"/>
  <c r="N273" i="24" s="1"/>
  <c r="M273" i="24"/>
  <c r="L274" i="24"/>
  <c r="N274" i="24" s="1"/>
  <c r="M274" i="24"/>
  <c r="L275" i="24"/>
  <c r="M275" i="24"/>
  <c r="N275" i="24"/>
  <c r="L276" i="24"/>
  <c r="N276" i="24" s="1"/>
  <c r="M276" i="24"/>
  <c r="L277" i="24"/>
  <c r="M277" i="24"/>
  <c r="N277" i="24"/>
  <c r="L278" i="24"/>
  <c r="M278" i="24"/>
  <c r="N278" i="24"/>
  <c r="L279" i="24"/>
  <c r="M279" i="24"/>
  <c r="N279" i="24"/>
  <c r="L280" i="24"/>
  <c r="M280" i="24"/>
  <c r="N280" i="24"/>
  <c r="L281" i="24"/>
  <c r="N281" i="24" s="1"/>
  <c r="M281" i="24"/>
  <c r="L282" i="24"/>
  <c r="N282" i="24" s="1"/>
  <c r="M282" i="24"/>
  <c r="L283" i="24"/>
  <c r="M283" i="24"/>
  <c r="N283" i="24"/>
  <c r="L284" i="24"/>
  <c r="N284" i="24" s="1"/>
  <c r="M284" i="24"/>
  <c r="L285" i="24"/>
  <c r="M285" i="24"/>
  <c r="N285" i="24"/>
  <c r="L286" i="24"/>
  <c r="M286" i="24"/>
  <c r="N286" i="24"/>
  <c r="L287" i="24"/>
  <c r="M287" i="24"/>
  <c r="N287" i="24"/>
  <c r="L288" i="24"/>
  <c r="M288" i="24"/>
  <c r="N288" i="24"/>
  <c r="L289" i="24"/>
  <c r="N289" i="24" s="1"/>
  <c r="M289" i="24"/>
  <c r="L290" i="24"/>
  <c r="N290" i="24" s="1"/>
  <c r="M290" i="24"/>
  <c r="L291" i="24"/>
  <c r="M291" i="24"/>
  <c r="N291" i="24"/>
  <c r="L292" i="24"/>
  <c r="N292" i="24" s="1"/>
  <c r="M292" i="24"/>
  <c r="L293" i="24"/>
  <c r="M293" i="24"/>
  <c r="N293" i="24"/>
  <c r="L294" i="24"/>
  <c r="M294" i="24"/>
  <c r="N294" i="24"/>
  <c r="L295" i="24"/>
  <c r="M295" i="24"/>
  <c r="N295" i="24"/>
  <c r="L296" i="24"/>
  <c r="M296" i="24"/>
  <c r="N296" i="24"/>
  <c r="L297" i="24"/>
  <c r="N297" i="24" s="1"/>
  <c r="M297" i="24"/>
  <c r="L298" i="24"/>
  <c r="N298" i="24" s="1"/>
  <c r="M298" i="24"/>
  <c r="L299" i="24"/>
  <c r="M299" i="24"/>
  <c r="L300" i="24"/>
  <c r="N300" i="24" s="1"/>
  <c r="M300" i="24"/>
  <c r="L301" i="24"/>
  <c r="N301" i="24" s="1"/>
  <c r="M301" i="24"/>
  <c r="L302" i="24"/>
  <c r="M302" i="24"/>
  <c r="L303" i="24"/>
  <c r="N303" i="24" s="1"/>
  <c r="M303" i="24"/>
  <c r="L304" i="24"/>
  <c r="N304" i="24" s="1"/>
  <c r="M304" i="24"/>
  <c r="L305" i="24"/>
  <c r="M305" i="24"/>
  <c r="L306" i="24"/>
  <c r="N306" i="24" s="1"/>
  <c r="M306" i="24"/>
  <c r="L307" i="24"/>
  <c r="N307" i="24" s="1"/>
  <c r="M307" i="24"/>
  <c r="L308" i="24"/>
  <c r="M308" i="24"/>
  <c r="L309" i="24"/>
  <c r="M309" i="24"/>
  <c r="L310" i="24"/>
  <c r="M310" i="24"/>
  <c r="N310" i="24"/>
  <c r="L311" i="24"/>
  <c r="M311" i="24"/>
  <c r="N311" i="24"/>
  <c r="L312" i="24"/>
  <c r="N312" i="24" s="1"/>
  <c r="M312" i="24"/>
  <c r="L313" i="24"/>
  <c r="N313" i="24" s="1"/>
  <c r="M313" i="24"/>
  <c r="L314" i="24"/>
  <c r="M314" i="24"/>
  <c r="N314" i="24"/>
  <c r="L315" i="24"/>
  <c r="N315" i="24" s="1"/>
  <c r="M315" i="24"/>
  <c r="L316" i="24"/>
  <c r="M316" i="24"/>
  <c r="N316" i="24"/>
  <c r="L317" i="24"/>
  <c r="M317" i="24"/>
  <c r="N317" i="24"/>
  <c r="L318" i="24"/>
  <c r="M318" i="24"/>
  <c r="N318" i="24"/>
  <c r="L319" i="24"/>
  <c r="M319" i="24"/>
  <c r="L320" i="24"/>
  <c r="M320" i="24"/>
  <c r="N320" i="24"/>
  <c r="L321" i="24"/>
  <c r="M321" i="24"/>
  <c r="N321" i="24"/>
  <c r="L322" i="24"/>
  <c r="M322" i="24"/>
  <c r="N322" i="24"/>
  <c r="L323" i="24"/>
  <c r="N323" i="24" s="1"/>
  <c r="M323" i="24"/>
  <c r="L324" i="24"/>
  <c r="N324" i="24" s="1"/>
  <c r="M324" i="24"/>
  <c r="L325" i="24"/>
  <c r="M325" i="24"/>
  <c r="N325" i="24"/>
  <c r="L326" i="24"/>
  <c r="N326" i="24" s="1"/>
  <c r="M326" i="24"/>
  <c r="L327" i="24"/>
  <c r="M327" i="24"/>
  <c r="N327" i="24"/>
  <c r="L328" i="24"/>
  <c r="M328" i="24"/>
  <c r="L329" i="24"/>
  <c r="M329" i="24"/>
  <c r="L330" i="24"/>
  <c r="N330" i="24" s="1"/>
  <c r="M330" i="24"/>
  <c r="L331" i="24"/>
  <c r="M331" i="24"/>
  <c r="N331" i="24"/>
  <c r="L332" i="24"/>
  <c r="N332" i="24" s="1"/>
  <c r="M332" i="24"/>
  <c r="L333" i="24"/>
  <c r="M333" i="24"/>
  <c r="N333" i="24"/>
  <c r="L334" i="24"/>
  <c r="M334" i="24"/>
  <c r="N334" i="24"/>
  <c r="L335" i="24"/>
  <c r="M335" i="24"/>
  <c r="N335" i="24"/>
  <c r="L336" i="24"/>
  <c r="M336" i="24"/>
  <c r="N336" i="24"/>
  <c r="L337" i="24"/>
  <c r="N337" i="24" s="1"/>
  <c r="M337" i="24"/>
  <c r="L338" i="24"/>
  <c r="N338" i="24" s="1"/>
  <c r="M338" i="24"/>
  <c r="L339" i="24"/>
  <c r="M339" i="24"/>
  <c r="N339" i="24"/>
  <c r="L340" i="24"/>
  <c r="N340" i="24" s="1"/>
  <c r="M340" i="24"/>
  <c r="L341" i="24"/>
  <c r="M341" i="24"/>
  <c r="N341" i="24"/>
  <c r="L342" i="24"/>
  <c r="M342" i="24"/>
  <c r="N342" i="24"/>
  <c r="L343" i="24"/>
  <c r="M343" i="24"/>
  <c r="N343" i="24"/>
  <c r="L344" i="24"/>
  <c r="M344" i="24"/>
  <c r="N344" i="24"/>
  <c r="L345" i="24"/>
  <c r="N345" i="24" s="1"/>
  <c r="M345" i="24"/>
  <c r="L346" i="24"/>
  <c r="N346" i="24" s="1"/>
  <c r="M346" i="24"/>
  <c r="L347" i="24"/>
  <c r="M347" i="24"/>
  <c r="N347" i="24"/>
  <c r="L348" i="24"/>
  <c r="N348" i="24" s="1"/>
  <c r="M348" i="24"/>
  <c r="L349" i="24"/>
  <c r="M349" i="24"/>
  <c r="N349" i="24"/>
  <c r="L350" i="24"/>
  <c r="M350" i="24"/>
  <c r="N350" i="24"/>
  <c r="L351" i="24"/>
  <c r="M351" i="24"/>
  <c r="N351" i="24"/>
  <c r="L352" i="24"/>
  <c r="M352" i="24"/>
  <c r="N352" i="24"/>
  <c r="L353" i="24"/>
  <c r="N353" i="24" s="1"/>
  <c r="M353" i="24"/>
  <c r="L354" i="24"/>
  <c r="N354" i="24" s="1"/>
  <c r="M354" i="24"/>
  <c r="L355" i="24"/>
  <c r="M355" i="24"/>
  <c r="N355" i="24"/>
  <c r="L356" i="24"/>
  <c r="N356" i="24" s="1"/>
  <c r="M356" i="24"/>
  <c r="L357" i="24"/>
  <c r="M357" i="24"/>
  <c r="N357" i="24"/>
  <c r="L358" i="24"/>
  <c r="M358" i="24"/>
  <c r="N358" i="24"/>
  <c r="L359" i="24"/>
  <c r="M359" i="24"/>
  <c r="L360" i="24"/>
  <c r="M360" i="24"/>
  <c r="N360" i="24"/>
  <c r="L361" i="24"/>
  <c r="M361" i="24"/>
  <c r="N361" i="24"/>
  <c r="L362" i="24"/>
  <c r="M362" i="24"/>
  <c r="N362" i="24"/>
  <c r="L363" i="24"/>
  <c r="M363" i="24"/>
  <c r="N363" i="24"/>
  <c r="L364" i="24"/>
  <c r="N364" i="24" s="1"/>
  <c r="M364" i="24"/>
  <c r="L365" i="24"/>
  <c r="N365" i="24" s="1"/>
  <c r="M365" i="24"/>
  <c r="L366" i="24"/>
  <c r="M366" i="24"/>
  <c r="N366" i="24"/>
  <c r="L367" i="24"/>
  <c r="N367" i="24" s="1"/>
  <c r="M367" i="24"/>
  <c r="L368" i="24"/>
  <c r="M368" i="24"/>
  <c r="N368" i="24"/>
  <c r="L369" i="24"/>
  <c r="M369" i="24"/>
  <c r="N369" i="24"/>
  <c r="L370" i="24"/>
  <c r="M370" i="24"/>
  <c r="N370" i="24"/>
  <c r="L371" i="24"/>
  <c r="M371" i="24"/>
  <c r="N371" i="24"/>
  <c r="L372" i="24"/>
  <c r="N372" i="24" s="1"/>
  <c r="M372" i="24"/>
  <c r="L373" i="24"/>
  <c r="N373" i="24" s="1"/>
  <c r="M373" i="24"/>
  <c r="L374" i="24"/>
  <c r="M374" i="24"/>
  <c r="N374" i="24"/>
  <c r="L375" i="24"/>
  <c r="N375" i="24" s="1"/>
  <c r="M375" i="24"/>
  <c r="L376" i="24"/>
  <c r="M376" i="24"/>
  <c r="L377" i="24"/>
  <c r="M377" i="24"/>
  <c r="N377" i="24"/>
  <c r="K378" i="24"/>
  <c r="L378" i="24"/>
  <c r="M378" i="24"/>
  <c r="N378" i="24"/>
  <c r="K379" i="24"/>
  <c r="L379" i="24"/>
  <c r="M379" i="24"/>
  <c r="N379" i="24"/>
  <c r="L380" i="24"/>
  <c r="N380" i="24" s="1"/>
  <c r="M380" i="24"/>
  <c r="L381" i="24"/>
  <c r="M381" i="24"/>
  <c r="N381" i="24"/>
  <c r="L382" i="24"/>
  <c r="M382" i="24"/>
  <c r="N382" i="24"/>
  <c r="L383" i="24"/>
  <c r="M383" i="24"/>
  <c r="N383" i="24"/>
  <c r="L384" i="24"/>
  <c r="M384" i="24"/>
  <c r="N384" i="24"/>
  <c r="L385" i="24"/>
  <c r="N385" i="24" s="1"/>
  <c r="M385" i="24"/>
  <c r="L386" i="24"/>
  <c r="N386" i="24" s="1"/>
  <c r="M386" i="24"/>
  <c r="L387" i="24"/>
  <c r="M387" i="24"/>
  <c r="N387" i="24"/>
  <c r="K388" i="24"/>
  <c r="L388" i="24"/>
  <c r="M388" i="24"/>
  <c r="N388" i="24"/>
  <c r="L389" i="24"/>
  <c r="M389" i="24"/>
  <c r="N389" i="24"/>
  <c r="K390" i="24"/>
  <c r="L390" i="24"/>
  <c r="N390" i="24" s="1"/>
  <c r="M390" i="24"/>
  <c r="K391" i="24"/>
  <c r="L391" i="24"/>
  <c r="M391" i="24"/>
  <c r="N391" i="24"/>
  <c r="K392" i="24"/>
  <c r="L393" i="24"/>
  <c r="N393" i="24" s="1"/>
  <c r="M393" i="24"/>
  <c r="L394" i="24"/>
  <c r="M394" i="24"/>
  <c r="N394" i="24"/>
  <c r="K395" i="24"/>
  <c r="L395" i="24"/>
  <c r="N395" i="24" s="1"/>
  <c r="M395" i="24"/>
  <c r="K396" i="24"/>
  <c r="L396" i="24"/>
  <c r="M396" i="24"/>
  <c r="N396" i="24"/>
  <c r="K397" i="24"/>
  <c r="L397" i="24"/>
  <c r="N397" i="24" s="1"/>
  <c r="M397" i="24"/>
  <c r="L398" i="24"/>
  <c r="N398" i="24" s="1"/>
  <c r="M398" i="24"/>
  <c r="L399" i="24"/>
  <c r="M399" i="24"/>
  <c r="N399" i="24"/>
  <c r="L400" i="24"/>
  <c r="N400" i="24" s="1"/>
  <c r="M400" i="24"/>
  <c r="L401" i="24"/>
  <c r="M401" i="24"/>
  <c r="N401" i="24"/>
  <c r="K402" i="24"/>
  <c r="L402" i="24"/>
  <c r="N402" i="24" s="1"/>
  <c r="M402" i="24"/>
  <c r="K403" i="24"/>
  <c r="L403" i="24"/>
  <c r="M403" i="24"/>
  <c r="N403" i="24"/>
  <c r="K404" i="24"/>
  <c r="L404" i="24"/>
  <c r="N404" i="24" s="1"/>
  <c r="M404" i="24"/>
  <c r="K405" i="24"/>
  <c r="L405" i="24"/>
  <c r="M405" i="24"/>
  <c r="N405" i="24"/>
  <c r="K406" i="24"/>
  <c r="L406" i="24"/>
  <c r="N406" i="24" s="1"/>
  <c r="M406" i="24"/>
  <c r="K407" i="24"/>
  <c r="L407" i="24"/>
  <c r="M407" i="24"/>
  <c r="N407" i="24"/>
  <c r="K408" i="24"/>
  <c r="L408" i="24"/>
  <c r="N408" i="24" s="1"/>
  <c r="M408" i="24"/>
  <c r="K409" i="24"/>
  <c r="L409" i="24"/>
  <c r="M409" i="24"/>
  <c r="N409" i="24"/>
  <c r="K410" i="24"/>
  <c r="L410" i="24"/>
  <c r="N410" i="24" s="1"/>
  <c r="M410" i="24"/>
  <c r="K411" i="24"/>
  <c r="L411" i="24"/>
  <c r="M411" i="24"/>
  <c r="N411" i="24"/>
  <c r="K412" i="24"/>
  <c r="L412" i="24"/>
  <c r="N412" i="24" s="1"/>
  <c r="M412" i="24"/>
  <c r="K413" i="24"/>
  <c r="L413" i="24"/>
  <c r="M413" i="24"/>
  <c r="N413" i="24"/>
  <c r="K414" i="24"/>
  <c r="L414" i="24"/>
  <c r="N414" i="24" s="1"/>
  <c r="M414" i="24"/>
  <c r="K415" i="24"/>
  <c r="K416" i="24"/>
  <c r="L416" i="24"/>
  <c r="M416" i="24"/>
  <c r="N416" i="24"/>
  <c r="K417" i="24"/>
  <c r="L417" i="24"/>
  <c r="N417" i="24" s="1"/>
  <c r="M417" i="24"/>
  <c r="K418" i="24"/>
  <c r="L418" i="24"/>
  <c r="M418" i="24"/>
  <c r="N418" i="24"/>
  <c r="K419" i="24"/>
  <c r="L419" i="24"/>
  <c r="N419" i="24" s="1"/>
  <c r="M419" i="24"/>
  <c r="K420" i="24"/>
  <c r="L420" i="24"/>
  <c r="M420" i="24"/>
  <c r="N420" i="24"/>
  <c r="K421" i="24"/>
  <c r="L421" i="24"/>
  <c r="N421" i="24" s="1"/>
  <c r="M421" i="24"/>
  <c r="K422" i="24"/>
  <c r="L422" i="24"/>
  <c r="M422" i="24"/>
  <c r="N422" i="24"/>
  <c r="K423" i="24"/>
  <c r="L423" i="24"/>
  <c r="N423" i="24" s="1"/>
  <c r="M423" i="24"/>
  <c r="K424" i="24"/>
  <c r="L424" i="24"/>
  <c r="M424" i="24"/>
  <c r="N424" i="24"/>
  <c r="K425" i="24"/>
  <c r="L425" i="24"/>
  <c r="N425" i="24" s="1"/>
  <c r="M425" i="24"/>
  <c r="K426" i="24"/>
  <c r="L426" i="24"/>
  <c r="M426" i="24"/>
  <c r="N426" i="24"/>
  <c r="K427" i="24"/>
  <c r="L427" i="24"/>
  <c r="N427" i="24" s="1"/>
  <c r="M427" i="24"/>
  <c r="K428" i="24"/>
  <c r="L428" i="24"/>
  <c r="M428" i="24"/>
  <c r="N428" i="24"/>
  <c r="K429" i="24"/>
  <c r="L429" i="24"/>
  <c r="N429" i="24" s="1"/>
  <c r="M429" i="24"/>
  <c r="K430" i="24"/>
  <c r="L430" i="24"/>
  <c r="M430" i="24"/>
  <c r="N430" i="24"/>
  <c r="K431" i="24"/>
  <c r="L431" i="24"/>
  <c r="N431" i="24" s="1"/>
  <c r="M431" i="24"/>
  <c r="K432" i="24"/>
  <c r="L432" i="24"/>
  <c r="M432" i="24"/>
  <c r="N432" i="24"/>
  <c r="K433" i="24"/>
  <c r="L433" i="24"/>
  <c r="N433" i="24" s="1"/>
  <c r="M433" i="24"/>
  <c r="K434" i="24"/>
  <c r="L434" i="24"/>
  <c r="M434" i="24"/>
  <c r="N434" i="24"/>
  <c r="K435" i="24"/>
  <c r="L435" i="24"/>
  <c r="N435" i="24" s="1"/>
  <c r="M435" i="24"/>
  <c r="K436" i="24"/>
  <c r="L436" i="24"/>
  <c r="M436" i="24"/>
  <c r="N436" i="24"/>
  <c r="K437" i="24"/>
  <c r="L437" i="24"/>
  <c r="N437" i="24" s="1"/>
  <c r="M437" i="24"/>
  <c r="K438" i="24"/>
  <c r="L438" i="24"/>
  <c r="M438" i="24"/>
  <c r="N438" i="24"/>
  <c r="K439" i="24"/>
  <c r="L439" i="24"/>
  <c r="N439" i="24" s="1"/>
  <c r="M439" i="24"/>
  <c r="K440" i="24"/>
  <c r="L440" i="24"/>
  <c r="M440" i="24"/>
  <c r="N440" i="24"/>
  <c r="K441" i="24"/>
  <c r="L441" i="24"/>
  <c r="N441" i="24" s="1"/>
  <c r="M441" i="24"/>
  <c r="K442" i="24"/>
  <c r="L442" i="24"/>
  <c r="M442" i="24"/>
  <c r="N442" i="24"/>
  <c r="K443" i="24"/>
  <c r="L443" i="24"/>
  <c r="N443" i="24" s="1"/>
  <c r="M443" i="24"/>
  <c r="K444" i="24"/>
  <c r="L444" i="24"/>
  <c r="M444" i="24"/>
  <c r="N444" i="24"/>
  <c r="K445" i="24"/>
  <c r="L445" i="24"/>
  <c r="N445" i="24" s="1"/>
  <c r="M445" i="24"/>
  <c r="K446" i="24"/>
  <c r="L446" i="24"/>
  <c r="M446" i="24"/>
  <c r="N446" i="24"/>
  <c r="K447" i="24"/>
  <c r="L447" i="24"/>
  <c r="N447" i="24" s="1"/>
  <c r="M447" i="24"/>
  <c r="K448" i="24"/>
  <c r="L448" i="24"/>
  <c r="M448" i="24"/>
  <c r="N448" i="24"/>
  <c r="K449" i="24"/>
  <c r="L449" i="24"/>
  <c r="N449" i="24" s="1"/>
  <c r="M449" i="24"/>
  <c r="K450" i="24"/>
  <c r="L450" i="24"/>
  <c r="M450" i="24"/>
  <c r="N450" i="24"/>
  <c r="K451" i="24"/>
  <c r="L451" i="24"/>
  <c r="N451" i="24" s="1"/>
  <c r="M451" i="24"/>
  <c r="K452" i="24"/>
  <c r="L452" i="24"/>
  <c r="M452" i="24"/>
  <c r="N452" i="24"/>
  <c r="K453" i="24"/>
  <c r="L453" i="24"/>
  <c r="N453" i="24" s="1"/>
  <c r="M453" i="24"/>
  <c r="K454" i="24"/>
  <c r="L454" i="24"/>
  <c r="M454" i="24"/>
  <c r="N454" i="24"/>
  <c r="K455" i="24"/>
  <c r="L455" i="24"/>
  <c r="N455" i="24" s="1"/>
  <c r="M455" i="24"/>
  <c r="K456" i="24"/>
  <c r="L456" i="24"/>
  <c r="M456" i="24"/>
  <c r="N456" i="24"/>
  <c r="K457" i="24"/>
  <c r="L457" i="24"/>
  <c r="N457" i="24" s="1"/>
  <c r="M457" i="24"/>
  <c r="K458" i="24"/>
  <c r="L458" i="24"/>
  <c r="M458" i="24"/>
  <c r="N458" i="24"/>
  <c r="K459" i="24"/>
  <c r="L459" i="24"/>
  <c r="N459" i="24" s="1"/>
  <c r="M459" i="24"/>
  <c r="K460" i="24"/>
  <c r="L460" i="24"/>
  <c r="M460" i="24"/>
  <c r="N460" i="24"/>
  <c r="K461" i="24"/>
  <c r="L461" i="24"/>
  <c r="N461" i="24" s="1"/>
  <c r="M461" i="24"/>
  <c r="L462" i="24"/>
  <c r="M462" i="24"/>
  <c r="N462" i="24"/>
  <c r="L463" i="24"/>
  <c r="M463" i="24"/>
  <c r="N463" i="24"/>
  <c r="L464" i="24"/>
  <c r="M464" i="24"/>
  <c r="N464" i="24"/>
  <c r="K465" i="24"/>
  <c r="L465" i="24"/>
  <c r="N465" i="24" s="1"/>
  <c r="M465" i="24"/>
  <c r="K466" i="24"/>
  <c r="L466" i="24"/>
  <c r="M466" i="24"/>
  <c r="L467" i="24"/>
  <c r="M467" i="24"/>
  <c r="N467" i="24"/>
  <c r="L468" i="24"/>
  <c r="M468" i="24"/>
  <c r="N468" i="24"/>
  <c r="K469" i="24"/>
  <c r="L469" i="24"/>
  <c r="M469" i="24"/>
  <c r="K470" i="24"/>
  <c r="L470" i="24"/>
  <c r="N470" i="24" s="1"/>
  <c r="M470" i="24"/>
  <c r="K471" i="24"/>
  <c r="L471" i="24"/>
  <c r="M471" i="24"/>
  <c r="N471" i="24"/>
  <c r="K472" i="24"/>
  <c r="L472" i="24"/>
  <c r="N472" i="24" s="1"/>
  <c r="M472" i="24"/>
  <c r="K473" i="24"/>
  <c r="L473" i="24"/>
  <c r="M473" i="24"/>
  <c r="N473" i="24"/>
  <c r="K474" i="24"/>
  <c r="L474" i="24"/>
  <c r="N474" i="24" s="1"/>
  <c r="M474" i="24"/>
  <c r="K475" i="24"/>
  <c r="L475" i="24"/>
  <c r="M475" i="24"/>
  <c r="N475" i="24"/>
  <c r="K476" i="24"/>
  <c r="L476" i="24"/>
  <c r="N476" i="24" s="1"/>
  <c r="M476" i="24"/>
  <c r="K477" i="24"/>
  <c r="L477" i="24"/>
  <c r="M477" i="24"/>
  <c r="N477" i="24"/>
  <c r="L478" i="24"/>
  <c r="M478" i="24"/>
  <c r="N478" i="24"/>
  <c r="L479" i="24"/>
  <c r="N479" i="24" s="1"/>
  <c r="M479" i="24"/>
  <c r="L480" i="24"/>
  <c r="N480" i="24" s="1"/>
  <c r="M480" i="24"/>
  <c r="L481" i="24"/>
  <c r="N481" i="24" s="1"/>
  <c r="M481" i="24"/>
  <c r="L482" i="24"/>
  <c r="N482" i="24" s="1"/>
  <c r="M482" i="24"/>
  <c r="L483" i="24"/>
  <c r="M483" i="24"/>
  <c r="N483" i="24"/>
  <c r="L484" i="24"/>
  <c r="M484" i="24"/>
  <c r="N484" i="24"/>
  <c r="L485" i="24"/>
  <c r="M485" i="24"/>
  <c r="N485" i="24"/>
  <c r="L486" i="24"/>
  <c r="M486" i="24"/>
  <c r="N486" i="24"/>
  <c r="K487" i="24"/>
  <c r="L487" i="24"/>
  <c r="N487" i="24" s="1"/>
  <c r="M487" i="24"/>
  <c r="K488" i="24"/>
  <c r="L488" i="24"/>
  <c r="M488" i="24"/>
  <c r="N488" i="24"/>
  <c r="K489" i="24"/>
  <c r="L489" i="24"/>
  <c r="N489" i="24" s="1"/>
  <c r="M489" i="24"/>
  <c r="K490" i="24"/>
  <c r="L490" i="24"/>
  <c r="M490" i="24"/>
  <c r="N490" i="24"/>
  <c r="K491" i="24"/>
  <c r="L491" i="24"/>
  <c r="N491" i="24" s="1"/>
  <c r="M491" i="24"/>
  <c r="K492" i="24"/>
  <c r="L492" i="24"/>
  <c r="M492" i="24"/>
  <c r="N492" i="24"/>
  <c r="K493" i="24"/>
  <c r="L493" i="24"/>
  <c r="M493" i="24"/>
  <c r="K494" i="24"/>
  <c r="L494" i="24"/>
  <c r="M494" i="24"/>
  <c r="N494" i="24"/>
  <c r="K495" i="24"/>
  <c r="L495" i="24"/>
  <c r="N495" i="24" s="1"/>
  <c r="M495" i="24"/>
  <c r="K496" i="24"/>
  <c r="L496" i="24"/>
  <c r="M496" i="24"/>
  <c r="N496" i="24"/>
  <c r="K497" i="24"/>
  <c r="L497" i="24"/>
  <c r="N497" i="24" s="1"/>
  <c r="M497" i="24"/>
  <c r="K498" i="24"/>
  <c r="AQ305" i="1" s="1"/>
  <c r="L498" i="24"/>
  <c r="M498" i="24"/>
  <c r="K499" i="24"/>
  <c r="L499" i="24"/>
  <c r="M499" i="24"/>
  <c r="K500" i="24"/>
  <c r="L500" i="24"/>
  <c r="M500" i="24"/>
  <c r="L501" i="24"/>
  <c r="M501" i="24"/>
  <c r="N501" i="24"/>
  <c r="L502" i="24"/>
  <c r="M502" i="24"/>
  <c r="N502" i="24"/>
  <c r="L503" i="24"/>
  <c r="M503" i="24"/>
  <c r="N503" i="24"/>
  <c r="L504" i="24"/>
  <c r="M504" i="24"/>
  <c r="N504" i="24"/>
  <c r="K505" i="24"/>
  <c r="L505" i="24"/>
  <c r="N505" i="24" s="1"/>
  <c r="M505" i="24"/>
  <c r="K506" i="24"/>
  <c r="L506" i="24"/>
  <c r="M506" i="24"/>
  <c r="N506" i="24"/>
  <c r="K507" i="24"/>
  <c r="L507" i="24"/>
  <c r="N507" i="24" s="1"/>
  <c r="M507" i="24"/>
  <c r="K508" i="24"/>
  <c r="L508" i="24"/>
  <c r="M508" i="24"/>
  <c r="N508" i="24"/>
  <c r="L509" i="24"/>
  <c r="N509" i="24" s="1"/>
  <c r="M509" i="24"/>
  <c r="K510" i="24"/>
  <c r="AQ394" i="1" s="1"/>
  <c r="L510" i="24"/>
  <c r="M510" i="24"/>
  <c r="N510" i="24"/>
  <c r="K511" i="24"/>
  <c r="L511" i="24"/>
  <c r="N511" i="24" s="1"/>
  <c r="M511" i="24"/>
  <c r="K512" i="24"/>
  <c r="AQ407" i="1" s="1"/>
  <c r="L512" i="24"/>
  <c r="M512" i="24"/>
  <c r="N512" i="24"/>
  <c r="K513" i="24"/>
  <c r="L513" i="24"/>
  <c r="N513" i="24" s="1"/>
  <c r="M513" i="24"/>
  <c r="K514" i="24"/>
  <c r="AQ393" i="1" s="1"/>
  <c r="L514" i="24"/>
  <c r="M514" i="24"/>
  <c r="N514" i="24"/>
  <c r="K515" i="24"/>
  <c r="L515" i="24"/>
  <c r="N515" i="24" s="1"/>
  <c r="M515" i="24"/>
  <c r="K516" i="24"/>
  <c r="L2" i="24"/>
  <c r="M2" i="24"/>
  <c r="N2" i="24"/>
  <c r="O3" i="24"/>
  <c r="P3" i="24"/>
  <c r="O4" i="24"/>
  <c r="P4" i="24"/>
  <c r="O5" i="24"/>
  <c r="P5" i="24"/>
  <c r="O6" i="24"/>
  <c r="P6" i="24"/>
  <c r="O7" i="24"/>
  <c r="P7" i="24"/>
  <c r="O8" i="24"/>
  <c r="P8" i="24"/>
  <c r="O9" i="24"/>
  <c r="P9" i="24"/>
  <c r="O10" i="24"/>
  <c r="P10" i="24"/>
  <c r="O11" i="24"/>
  <c r="P11" i="24"/>
  <c r="O12" i="24"/>
  <c r="P12" i="24"/>
  <c r="O13" i="24"/>
  <c r="P13" i="24"/>
  <c r="O14" i="24"/>
  <c r="P14" i="24"/>
  <c r="O15" i="24"/>
  <c r="P15" i="24"/>
  <c r="O16" i="24"/>
  <c r="P16" i="24"/>
  <c r="O17" i="24"/>
  <c r="P17" i="24"/>
  <c r="O18" i="24"/>
  <c r="P18" i="24"/>
  <c r="O19" i="24"/>
  <c r="P19" i="24"/>
  <c r="O20" i="24"/>
  <c r="P20" i="24"/>
  <c r="O21" i="24"/>
  <c r="P21" i="24"/>
  <c r="O22" i="24"/>
  <c r="P22" i="24"/>
  <c r="O23" i="24"/>
  <c r="P23" i="24"/>
  <c r="O24" i="24"/>
  <c r="P24" i="24"/>
  <c r="O25" i="24"/>
  <c r="P25" i="24"/>
  <c r="O26" i="24"/>
  <c r="P26" i="24"/>
  <c r="O27" i="24"/>
  <c r="P27" i="24"/>
  <c r="O28" i="24"/>
  <c r="P28" i="24"/>
  <c r="O29" i="24"/>
  <c r="P29" i="24"/>
  <c r="O30" i="24"/>
  <c r="P30" i="24"/>
  <c r="O31" i="24"/>
  <c r="P31" i="24"/>
  <c r="O142" i="24"/>
  <c r="P142" i="24"/>
  <c r="O143" i="24"/>
  <c r="P143" i="24"/>
  <c r="O144" i="24"/>
  <c r="P144" i="24"/>
  <c r="O145" i="24"/>
  <c r="P145" i="24"/>
  <c r="O146" i="24"/>
  <c r="P146" i="24"/>
  <c r="O147" i="24"/>
  <c r="P147" i="24"/>
  <c r="O32" i="24"/>
  <c r="P32" i="24"/>
  <c r="O33" i="24"/>
  <c r="P33" i="24"/>
  <c r="O148" i="24"/>
  <c r="P148" i="24"/>
  <c r="O149" i="24"/>
  <c r="P149" i="24"/>
  <c r="O150" i="24"/>
  <c r="P150" i="24"/>
  <c r="O151" i="24"/>
  <c r="P151" i="24"/>
  <c r="O152" i="24"/>
  <c r="P152" i="24"/>
  <c r="O153" i="24"/>
  <c r="P153" i="24"/>
  <c r="O154" i="24"/>
  <c r="P154" i="24"/>
  <c r="O34" i="24"/>
  <c r="P34" i="24"/>
  <c r="O155" i="24"/>
  <c r="P155" i="24"/>
  <c r="O156" i="24"/>
  <c r="P156" i="24"/>
  <c r="O157" i="24"/>
  <c r="P157" i="24"/>
  <c r="O35" i="24"/>
  <c r="P35" i="24"/>
  <c r="O158" i="24"/>
  <c r="P158" i="24"/>
  <c r="O159" i="24"/>
  <c r="P159" i="24"/>
  <c r="O160" i="24"/>
  <c r="P160" i="24"/>
  <c r="O36" i="24"/>
  <c r="P36" i="24"/>
  <c r="O37" i="24"/>
  <c r="P37" i="24"/>
  <c r="O161" i="24"/>
  <c r="P161" i="24"/>
  <c r="O162" i="24"/>
  <c r="P162" i="24"/>
  <c r="O163" i="24"/>
  <c r="P163" i="24"/>
  <c r="O164" i="24"/>
  <c r="P164" i="24"/>
  <c r="O165" i="24"/>
  <c r="P165" i="24"/>
  <c r="O166" i="24"/>
  <c r="P166" i="24"/>
  <c r="O167" i="24"/>
  <c r="P167" i="24"/>
  <c r="O168" i="24"/>
  <c r="P168" i="24"/>
  <c r="O38" i="24"/>
  <c r="P38" i="24"/>
  <c r="O39" i="24"/>
  <c r="P39" i="24"/>
  <c r="O40" i="24"/>
  <c r="P40" i="24"/>
  <c r="O169" i="24"/>
  <c r="P169" i="24"/>
  <c r="O170" i="24"/>
  <c r="P170" i="24"/>
  <c r="O171" i="24"/>
  <c r="P171" i="24"/>
  <c r="O172" i="24"/>
  <c r="P172" i="24"/>
  <c r="O41" i="24"/>
  <c r="P41" i="24"/>
  <c r="O173" i="24"/>
  <c r="P173" i="24"/>
  <c r="O174" i="24"/>
  <c r="P174" i="24"/>
  <c r="O175" i="24"/>
  <c r="P175" i="24"/>
  <c r="O176" i="24"/>
  <c r="P176" i="24"/>
  <c r="O177" i="24"/>
  <c r="P177" i="24"/>
  <c r="O42" i="24"/>
  <c r="P42" i="24"/>
  <c r="O178" i="24"/>
  <c r="P178" i="24"/>
  <c r="O179" i="24"/>
  <c r="P179" i="24"/>
  <c r="O180" i="24"/>
  <c r="P180" i="24"/>
  <c r="O181" i="24"/>
  <c r="P181" i="24"/>
  <c r="O182" i="24"/>
  <c r="P182" i="24"/>
  <c r="O43" i="24"/>
  <c r="P43" i="24"/>
  <c r="O183" i="24"/>
  <c r="P183" i="24"/>
  <c r="O184" i="24"/>
  <c r="P184" i="24"/>
  <c r="O185" i="24"/>
  <c r="P185" i="24"/>
  <c r="O186" i="24"/>
  <c r="P186" i="24"/>
  <c r="O187" i="24"/>
  <c r="P187" i="24"/>
  <c r="O188" i="24"/>
  <c r="P188" i="24"/>
  <c r="O189" i="24"/>
  <c r="P189" i="24"/>
  <c r="O44" i="24"/>
  <c r="P44" i="24"/>
  <c r="O190" i="24"/>
  <c r="P190" i="24"/>
  <c r="O191" i="24"/>
  <c r="P191" i="24"/>
  <c r="O192" i="24"/>
  <c r="P192" i="24"/>
  <c r="O193" i="24"/>
  <c r="P193" i="24"/>
  <c r="O194" i="24"/>
  <c r="P194" i="24"/>
  <c r="O195" i="24"/>
  <c r="P195" i="24"/>
  <c r="O196" i="24"/>
  <c r="P196" i="24"/>
  <c r="O197" i="24"/>
  <c r="P197" i="24"/>
  <c r="O198" i="24"/>
  <c r="P198" i="24"/>
  <c r="O199" i="24"/>
  <c r="P199" i="24"/>
  <c r="O200" i="24"/>
  <c r="P200" i="24"/>
  <c r="O201" i="24"/>
  <c r="P201" i="24"/>
  <c r="O202" i="24"/>
  <c r="P202" i="24"/>
  <c r="O203" i="24"/>
  <c r="P203" i="24"/>
  <c r="O204" i="24"/>
  <c r="P204" i="24"/>
  <c r="O205" i="24"/>
  <c r="P205" i="24"/>
  <c r="O206" i="24"/>
  <c r="P206" i="24"/>
  <c r="O207" i="24"/>
  <c r="P207" i="24"/>
  <c r="O45" i="24"/>
  <c r="P45" i="24"/>
  <c r="O208" i="24"/>
  <c r="P208" i="24"/>
  <c r="O209" i="24"/>
  <c r="P209" i="24"/>
  <c r="O210" i="24"/>
  <c r="P210" i="24"/>
  <c r="O211" i="24"/>
  <c r="P211" i="24"/>
  <c r="O212" i="24"/>
  <c r="P212" i="24"/>
  <c r="O213" i="24"/>
  <c r="P213" i="24"/>
  <c r="O214" i="24"/>
  <c r="P214" i="24"/>
  <c r="O215" i="24"/>
  <c r="P215" i="24"/>
  <c r="O216" i="24"/>
  <c r="P216" i="24"/>
  <c r="O217" i="24"/>
  <c r="P217" i="24"/>
  <c r="O218" i="24"/>
  <c r="P218" i="24"/>
  <c r="O219" i="24"/>
  <c r="P219" i="24"/>
  <c r="O220" i="24"/>
  <c r="P220" i="24"/>
  <c r="O221" i="24"/>
  <c r="P221" i="24"/>
  <c r="O222" i="24"/>
  <c r="P222" i="24"/>
  <c r="O223" i="24"/>
  <c r="P223" i="24"/>
  <c r="O224" i="24"/>
  <c r="P224" i="24"/>
  <c r="O225" i="24"/>
  <c r="P225" i="24"/>
  <c r="O226" i="24"/>
  <c r="P226" i="24"/>
  <c r="O227" i="24"/>
  <c r="P227" i="24"/>
  <c r="O228" i="24"/>
  <c r="P228" i="24"/>
  <c r="O229" i="24"/>
  <c r="P229" i="24"/>
  <c r="O230" i="24"/>
  <c r="P230" i="24"/>
  <c r="O231" i="24"/>
  <c r="P231" i="24"/>
  <c r="O232" i="24"/>
  <c r="P232" i="24"/>
  <c r="O233" i="24"/>
  <c r="P233" i="24"/>
  <c r="O234" i="24"/>
  <c r="P234" i="24"/>
  <c r="O235" i="24"/>
  <c r="P235" i="24"/>
  <c r="O236" i="24"/>
  <c r="P236" i="24"/>
  <c r="O237" i="24"/>
  <c r="P237" i="24"/>
  <c r="O238" i="24"/>
  <c r="P238" i="24"/>
  <c r="O239" i="24"/>
  <c r="P239" i="24"/>
  <c r="O240" i="24"/>
  <c r="P240" i="24"/>
  <c r="O241" i="24"/>
  <c r="P241" i="24"/>
  <c r="O242" i="24"/>
  <c r="P242" i="24"/>
  <c r="O243" i="24"/>
  <c r="P243" i="24"/>
  <c r="O244" i="24"/>
  <c r="P244" i="24"/>
  <c r="O245" i="24"/>
  <c r="P245" i="24"/>
  <c r="O246" i="24"/>
  <c r="P246" i="24"/>
  <c r="O247" i="24"/>
  <c r="P247" i="24"/>
  <c r="O248" i="24"/>
  <c r="P248" i="24"/>
  <c r="O249" i="24"/>
  <c r="P249" i="24"/>
  <c r="O250" i="24"/>
  <c r="P250" i="24"/>
  <c r="O251" i="24"/>
  <c r="P251" i="24"/>
  <c r="O252" i="24"/>
  <c r="P252" i="24"/>
  <c r="O253" i="24"/>
  <c r="P253" i="24"/>
  <c r="O254" i="24"/>
  <c r="P254" i="24"/>
  <c r="O255" i="24"/>
  <c r="P255" i="24"/>
  <c r="O256" i="24"/>
  <c r="P256" i="24"/>
  <c r="O257" i="24"/>
  <c r="P257" i="24"/>
  <c r="O258" i="24"/>
  <c r="P258" i="24"/>
  <c r="O259" i="24"/>
  <c r="P259" i="24"/>
  <c r="O260" i="24"/>
  <c r="P260" i="24"/>
  <c r="O261" i="24"/>
  <c r="P261" i="24"/>
  <c r="O262" i="24"/>
  <c r="P262" i="24"/>
  <c r="O263" i="24"/>
  <c r="P263" i="24"/>
  <c r="O264" i="24"/>
  <c r="P264" i="24"/>
  <c r="O265" i="24"/>
  <c r="P265" i="24"/>
  <c r="O266" i="24"/>
  <c r="P266" i="24"/>
  <c r="O267" i="24"/>
  <c r="P267" i="24"/>
  <c r="O268" i="24"/>
  <c r="P268" i="24"/>
  <c r="O269" i="24"/>
  <c r="P269" i="24"/>
  <c r="O270" i="24"/>
  <c r="P270" i="24"/>
  <c r="O271" i="24"/>
  <c r="P271" i="24"/>
  <c r="O272" i="24"/>
  <c r="P272" i="24"/>
  <c r="O273" i="24"/>
  <c r="P273" i="24"/>
  <c r="O274" i="24"/>
  <c r="P274" i="24"/>
  <c r="O275" i="24"/>
  <c r="P275" i="24"/>
  <c r="O276" i="24"/>
  <c r="P276" i="24"/>
  <c r="O277" i="24"/>
  <c r="P277" i="24"/>
  <c r="O278" i="24"/>
  <c r="P278" i="24"/>
  <c r="O279" i="24"/>
  <c r="P279" i="24"/>
  <c r="O280" i="24"/>
  <c r="P280" i="24"/>
  <c r="O281" i="24"/>
  <c r="P281" i="24"/>
  <c r="O282" i="24"/>
  <c r="P282" i="24"/>
  <c r="O283" i="24"/>
  <c r="P283" i="24"/>
  <c r="O284" i="24"/>
  <c r="P284" i="24"/>
  <c r="O285" i="24"/>
  <c r="P285" i="24"/>
  <c r="O286" i="24"/>
  <c r="P286" i="24"/>
  <c r="O46" i="24"/>
  <c r="P46" i="24"/>
  <c r="O287" i="24"/>
  <c r="P287" i="24"/>
  <c r="O288" i="24"/>
  <c r="P288" i="24"/>
  <c r="O47" i="24"/>
  <c r="P47" i="24"/>
  <c r="O289" i="24"/>
  <c r="P289" i="24"/>
  <c r="O290" i="24"/>
  <c r="P290" i="24"/>
  <c r="O291" i="24"/>
  <c r="P291" i="24"/>
  <c r="O292" i="24"/>
  <c r="P292" i="24"/>
  <c r="O48" i="24"/>
  <c r="P48" i="24"/>
  <c r="O293" i="24"/>
  <c r="P293" i="24"/>
  <c r="O294" i="24"/>
  <c r="P294" i="24"/>
  <c r="O295" i="24"/>
  <c r="P295" i="24"/>
  <c r="O296" i="24"/>
  <c r="P296" i="24"/>
  <c r="O297" i="24"/>
  <c r="P297" i="24"/>
  <c r="O298" i="24"/>
  <c r="P298" i="24"/>
  <c r="O299" i="24"/>
  <c r="P299" i="24"/>
  <c r="O49" i="24"/>
  <c r="P49" i="24"/>
  <c r="O300" i="24"/>
  <c r="P300" i="24"/>
  <c r="O301" i="24"/>
  <c r="P301" i="24"/>
  <c r="O302" i="24"/>
  <c r="P302" i="24"/>
  <c r="O303" i="24"/>
  <c r="P303" i="24"/>
  <c r="O304" i="24"/>
  <c r="P304" i="24"/>
  <c r="O305" i="24"/>
  <c r="P305" i="24"/>
  <c r="O306" i="24"/>
  <c r="P306" i="24"/>
  <c r="O307" i="24"/>
  <c r="P307" i="24"/>
  <c r="O308" i="24"/>
  <c r="P308" i="24"/>
  <c r="O50" i="24"/>
  <c r="P50" i="24"/>
  <c r="O309" i="24"/>
  <c r="P309" i="24"/>
  <c r="O310" i="24"/>
  <c r="P310" i="24"/>
  <c r="O311" i="24"/>
  <c r="P311" i="24"/>
  <c r="O312" i="24"/>
  <c r="P312" i="24"/>
  <c r="O313" i="24"/>
  <c r="P313" i="24"/>
  <c r="O51" i="24"/>
  <c r="P51" i="24"/>
  <c r="O314" i="24"/>
  <c r="P314" i="24"/>
  <c r="O315" i="24"/>
  <c r="P315" i="24"/>
  <c r="O316" i="24"/>
  <c r="P316" i="24"/>
  <c r="O317" i="24"/>
  <c r="P317" i="24"/>
  <c r="O318" i="24"/>
  <c r="P318" i="24"/>
  <c r="O319" i="24"/>
  <c r="P319" i="24"/>
  <c r="O52" i="24"/>
  <c r="P52" i="24"/>
  <c r="O53" i="24"/>
  <c r="P53" i="24"/>
  <c r="O54" i="24"/>
  <c r="P54" i="24"/>
  <c r="O55" i="24"/>
  <c r="P55" i="24"/>
  <c r="O56" i="24"/>
  <c r="P56" i="24"/>
  <c r="O57" i="24"/>
  <c r="P57" i="24"/>
  <c r="O58" i="24"/>
  <c r="P58" i="24"/>
  <c r="O59" i="24"/>
  <c r="P59" i="24"/>
  <c r="O60" i="24"/>
  <c r="P60" i="24"/>
  <c r="O61" i="24"/>
  <c r="P61" i="24"/>
  <c r="O62" i="24"/>
  <c r="P62" i="24"/>
  <c r="O63" i="24"/>
  <c r="P63" i="24"/>
  <c r="O64" i="24"/>
  <c r="P64" i="24"/>
  <c r="O65" i="24"/>
  <c r="P65" i="24"/>
  <c r="O320" i="24"/>
  <c r="P320" i="24"/>
  <c r="O66" i="24"/>
  <c r="P66" i="24"/>
  <c r="O67" i="24"/>
  <c r="P67" i="24"/>
  <c r="O68" i="24"/>
  <c r="P68" i="24"/>
  <c r="O69" i="24"/>
  <c r="P69" i="24"/>
  <c r="O321" i="24"/>
  <c r="P321" i="24"/>
  <c r="O70" i="24"/>
  <c r="P70" i="24"/>
  <c r="O330" i="24"/>
  <c r="P330" i="24"/>
  <c r="O331" i="24"/>
  <c r="P331" i="24"/>
  <c r="O332" i="24"/>
  <c r="P332" i="24"/>
  <c r="O71" i="24"/>
  <c r="P71" i="24"/>
  <c r="O72" i="24"/>
  <c r="P72" i="24"/>
  <c r="O73" i="24"/>
  <c r="P73" i="24"/>
  <c r="O333" i="24"/>
  <c r="P333" i="24"/>
  <c r="O74" i="24"/>
  <c r="P74" i="24"/>
  <c r="O334" i="24"/>
  <c r="P334" i="24"/>
  <c r="O322" i="24"/>
  <c r="P322" i="24"/>
  <c r="O75" i="24"/>
  <c r="P75" i="24"/>
  <c r="O76" i="24"/>
  <c r="P76" i="24"/>
  <c r="O335" i="24"/>
  <c r="P335" i="24"/>
  <c r="O336" i="24"/>
  <c r="P336" i="24"/>
  <c r="O337" i="24"/>
  <c r="P337" i="24"/>
  <c r="O323" i="24"/>
  <c r="P323" i="24"/>
  <c r="O338" i="24"/>
  <c r="P338" i="24"/>
  <c r="O77" i="24"/>
  <c r="P77" i="24"/>
  <c r="O78" i="24"/>
  <c r="P78" i="24"/>
  <c r="O79" i="24"/>
  <c r="P79" i="24"/>
  <c r="O80" i="24"/>
  <c r="P80" i="24"/>
  <c r="O81" i="24"/>
  <c r="P81" i="24"/>
  <c r="O82" i="24"/>
  <c r="P82" i="24"/>
  <c r="O83" i="24"/>
  <c r="P83" i="24"/>
  <c r="O84" i="24"/>
  <c r="P84" i="24"/>
  <c r="O85" i="24"/>
  <c r="P85" i="24"/>
  <c r="O339" i="24"/>
  <c r="P339" i="24"/>
  <c r="O340" i="24"/>
  <c r="P340" i="24"/>
  <c r="O341" i="24"/>
  <c r="P341" i="24"/>
  <c r="O86" i="24"/>
  <c r="P86" i="24"/>
  <c r="O87" i="24"/>
  <c r="P87" i="24"/>
  <c r="O88" i="24"/>
  <c r="P88" i="24"/>
  <c r="O89" i="24"/>
  <c r="P89" i="24"/>
  <c r="O342" i="24"/>
  <c r="P342" i="24"/>
  <c r="O90" i="24"/>
  <c r="P90" i="24"/>
  <c r="O343" i="24"/>
  <c r="P343" i="24"/>
  <c r="O344" i="24"/>
  <c r="P344" i="24"/>
  <c r="O345" i="24"/>
  <c r="P345" i="24"/>
  <c r="O324" i="24"/>
  <c r="P324" i="24"/>
  <c r="O91" i="24"/>
  <c r="P91" i="24"/>
  <c r="O346" i="24"/>
  <c r="P346" i="24"/>
  <c r="O92" i="24"/>
  <c r="P92" i="24"/>
  <c r="O347" i="24"/>
  <c r="P347" i="24"/>
  <c r="O93" i="24"/>
  <c r="P93" i="24"/>
  <c r="O348" i="24"/>
  <c r="P348" i="24"/>
  <c r="O325" i="24"/>
  <c r="P325" i="24"/>
  <c r="O94" i="24"/>
  <c r="P94" i="24"/>
  <c r="O349" i="24"/>
  <c r="P349" i="24"/>
  <c r="O95" i="24"/>
  <c r="P95" i="24"/>
  <c r="O350" i="24"/>
  <c r="P350" i="24"/>
  <c r="O96" i="24"/>
  <c r="P96" i="24"/>
  <c r="O351" i="24"/>
  <c r="P351" i="24"/>
  <c r="O352" i="24"/>
  <c r="P352" i="24"/>
  <c r="O353" i="24"/>
  <c r="P353" i="24"/>
  <c r="O97" i="24"/>
  <c r="P97" i="24"/>
  <c r="O98" i="24"/>
  <c r="P98" i="24"/>
  <c r="O99" i="24"/>
  <c r="P99" i="24"/>
  <c r="O354" i="24"/>
  <c r="P354" i="24"/>
  <c r="O100" i="24"/>
  <c r="P100" i="24"/>
  <c r="O355" i="24"/>
  <c r="P355" i="24"/>
  <c r="O356" i="24"/>
  <c r="P356" i="24"/>
  <c r="O357" i="24"/>
  <c r="P357" i="24"/>
  <c r="O101" i="24"/>
  <c r="P101" i="24"/>
  <c r="O358" i="24"/>
  <c r="P358" i="24"/>
  <c r="O359" i="24"/>
  <c r="P359" i="24"/>
  <c r="O102" i="24"/>
  <c r="P102" i="24"/>
  <c r="O360" i="24"/>
  <c r="P360" i="24"/>
  <c r="O103" i="24"/>
  <c r="P103" i="24"/>
  <c r="O361" i="24"/>
  <c r="P361" i="24"/>
  <c r="O362" i="24"/>
  <c r="P362" i="24"/>
  <c r="O363" i="24"/>
  <c r="P363" i="24"/>
  <c r="O364" i="24"/>
  <c r="P364" i="24"/>
  <c r="O365" i="24"/>
  <c r="P365" i="24"/>
  <c r="O366" i="24"/>
  <c r="P366" i="24"/>
  <c r="O104" i="24"/>
  <c r="P104" i="24"/>
  <c r="O367" i="24"/>
  <c r="P367" i="24"/>
  <c r="O326" i="24"/>
  <c r="P326" i="24"/>
  <c r="O368" i="24"/>
  <c r="P368" i="24"/>
  <c r="O369" i="24"/>
  <c r="P369" i="24"/>
  <c r="O370" i="24"/>
  <c r="P370" i="24"/>
  <c r="O327" i="24"/>
  <c r="P327" i="24"/>
  <c r="O105" i="24"/>
  <c r="P105" i="24"/>
  <c r="O371" i="24"/>
  <c r="P371" i="24"/>
  <c r="O372" i="24"/>
  <c r="P372" i="24"/>
  <c r="O373" i="24"/>
  <c r="P373" i="24"/>
  <c r="O374" i="24"/>
  <c r="P374" i="24"/>
  <c r="O106" i="24"/>
  <c r="P106" i="24"/>
  <c r="O107" i="24"/>
  <c r="P107" i="24"/>
  <c r="O375" i="24"/>
  <c r="P375" i="24"/>
  <c r="O108" i="24"/>
  <c r="P108" i="24"/>
  <c r="O376" i="24"/>
  <c r="P376" i="24"/>
  <c r="O328" i="24"/>
  <c r="P328" i="24"/>
  <c r="O329" i="24"/>
  <c r="P329" i="24"/>
  <c r="O109" i="24"/>
  <c r="P109" i="24"/>
  <c r="O110" i="24"/>
  <c r="P110" i="24"/>
  <c r="O111" i="24"/>
  <c r="P111" i="24"/>
  <c r="O377" i="24"/>
  <c r="P377" i="24"/>
  <c r="O112" i="24"/>
  <c r="P112" i="24"/>
  <c r="O113" i="24"/>
  <c r="P113" i="24"/>
  <c r="O378" i="24"/>
  <c r="P378" i="24"/>
  <c r="O114" i="24"/>
  <c r="P114" i="24"/>
  <c r="O379" i="24"/>
  <c r="P379" i="24"/>
  <c r="O380" i="24"/>
  <c r="P380" i="24"/>
  <c r="O381" i="24"/>
  <c r="P381" i="24"/>
  <c r="O382" i="24"/>
  <c r="P382" i="24"/>
  <c r="O383" i="24"/>
  <c r="P383" i="24"/>
  <c r="O384" i="24"/>
  <c r="P384" i="24"/>
  <c r="O385" i="24"/>
  <c r="P385" i="24"/>
  <c r="O115" i="24"/>
  <c r="P115" i="24"/>
  <c r="O116" i="24"/>
  <c r="P116" i="24"/>
  <c r="O117" i="24"/>
  <c r="P117" i="24"/>
  <c r="O386" i="24"/>
  <c r="P386" i="24"/>
  <c r="O387" i="24"/>
  <c r="P387" i="24"/>
  <c r="O388" i="24"/>
  <c r="P388" i="24"/>
  <c r="O389" i="24"/>
  <c r="P389" i="24"/>
  <c r="O390" i="24"/>
  <c r="P390" i="24"/>
  <c r="O118" i="24"/>
  <c r="P118" i="24"/>
  <c r="O391" i="24"/>
  <c r="P391" i="24"/>
  <c r="O392" i="24"/>
  <c r="P392" i="24"/>
  <c r="O119" i="24"/>
  <c r="P119" i="24"/>
  <c r="O393" i="24"/>
  <c r="P393" i="24"/>
  <c r="O394" i="24"/>
  <c r="P394" i="24"/>
  <c r="O395" i="24"/>
  <c r="P395" i="24"/>
  <c r="O396" i="24"/>
  <c r="P396" i="24"/>
  <c r="O120" i="24"/>
  <c r="P120" i="24"/>
  <c r="O121" i="24"/>
  <c r="P121" i="24"/>
  <c r="O122" i="24"/>
  <c r="P122" i="24"/>
  <c r="O397" i="24"/>
  <c r="P397" i="24"/>
  <c r="O123" i="24"/>
  <c r="P123" i="24"/>
  <c r="O124" i="24"/>
  <c r="P124" i="24"/>
  <c r="O125" i="24"/>
  <c r="P125" i="24"/>
  <c r="O398" i="24"/>
  <c r="P398" i="24"/>
  <c r="O399" i="24"/>
  <c r="P399" i="24"/>
  <c r="O126" i="24"/>
  <c r="P126" i="24"/>
  <c r="O400" i="24"/>
  <c r="P400" i="24"/>
  <c r="O401" i="24"/>
  <c r="P401" i="24"/>
  <c r="O402" i="24"/>
  <c r="P402" i="24"/>
  <c r="O403" i="24"/>
  <c r="P403" i="24"/>
  <c r="O404" i="24"/>
  <c r="P404" i="24"/>
  <c r="O405" i="24"/>
  <c r="P405" i="24"/>
  <c r="O406" i="24"/>
  <c r="P406" i="24"/>
  <c r="O407" i="24"/>
  <c r="P407" i="24"/>
  <c r="O408" i="24"/>
  <c r="P408" i="24"/>
  <c r="O409" i="24"/>
  <c r="P409" i="24"/>
  <c r="O410" i="24"/>
  <c r="P410" i="24"/>
  <c r="O411" i="24"/>
  <c r="P411" i="24"/>
  <c r="O412" i="24"/>
  <c r="P412" i="24"/>
  <c r="O413" i="24"/>
  <c r="P413" i="24"/>
  <c r="O414" i="24"/>
  <c r="P414" i="24"/>
  <c r="O415" i="24"/>
  <c r="P415" i="24"/>
  <c r="O416" i="24"/>
  <c r="P416" i="24"/>
  <c r="O417" i="24"/>
  <c r="P417" i="24"/>
  <c r="O418" i="24"/>
  <c r="P418" i="24"/>
  <c r="O419" i="24"/>
  <c r="P419" i="24"/>
  <c r="O420" i="24"/>
  <c r="P420" i="24"/>
  <c r="O421" i="24"/>
  <c r="P421" i="24"/>
  <c r="O422" i="24"/>
  <c r="P422" i="24"/>
  <c r="O423" i="24"/>
  <c r="P423" i="24"/>
  <c r="O424" i="24"/>
  <c r="P424" i="24"/>
  <c r="O425" i="24"/>
  <c r="P425" i="24"/>
  <c r="O426" i="24"/>
  <c r="P426" i="24"/>
  <c r="O427" i="24"/>
  <c r="P427" i="24"/>
  <c r="O428" i="24"/>
  <c r="P428" i="24"/>
  <c r="O429" i="24"/>
  <c r="P429" i="24"/>
  <c r="O430" i="24"/>
  <c r="P430" i="24"/>
  <c r="O431" i="24"/>
  <c r="P431" i="24"/>
  <c r="O432" i="24"/>
  <c r="P432" i="24"/>
  <c r="O433" i="24"/>
  <c r="P433" i="24"/>
  <c r="O434" i="24"/>
  <c r="P434" i="24"/>
  <c r="O435" i="24"/>
  <c r="P435" i="24"/>
  <c r="O436" i="24"/>
  <c r="P436" i="24"/>
  <c r="O437" i="24"/>
  <c r="P437" i="24"/>
  <c r="O438" i="24"/>
  <c r="P438" i="24"/>
  <c r="O439" i="24"/>
  <c r="P439" i="24"/>
  <c r="O440" i="24"/>
  <c r="P440" i="24"/>
  <c r="O441" i="24"/>
  <c r="P441" i="24"/>
  <c r="O442" i="24"/>
  <c r="P442" i="24"/>
  <c r="O443" i="24"/>
  <c r="P443" i="24"/>
  <c r="O444" i="24"/>
  <c r="P444" i="24"/>
  <c r="O445" i="24"/>
  <c r="P445" i="24"/>
  <c r="O446" i="24"/>
  <c r="P446" i="24"/>
  <c r="O447" i="24"/>
  <c r="P447" i="24"/>
  <c r="O448" i="24"/>
  <c r="P448" i="24"/>
  <c r="O449" i="24"/>
  <c r="P449" i="24"/>
  <c r="O450" i="24"/>
  <c r="P450" i="24"/>
  <c r="O451" i="24"/>
  <c r="P451" i="24"/>
  <c r="O452" i="24"/>
  <c r="P452" i="24"/>
  <c r="O453" i="24"/>
  <c r="P453" i="24"/>
  <c r="O454" i="24"/>
  <c r="P454" i="24"/>
  <c r="O455" i="24"/>
  <c r="P455" i="24"/>
  <c r="O456" i="24"/>
  <c r="P456" i="24"/>
  <c r="O457" i="24"/>
  <c r="P457" i="24"/>
  <c r="O458" i="24"/>
  <c r="P458" i="24"/>
  <c r="O459" i="24"/>
  <c r="P459" i="24"/>
  <c r="O460" i="24"/>
  <c r="P460" i="24"/>
  <c r="O461" i="24"/>
  <c r="P461" i="24"/>
  <c r="O462" i="24"/>
  <c r="P462" i="24"/>
  <c r="O463" i="24"/>
  <c r="P463" i="24"/>
  <c r="O464" i="24"/>
  <c r="P464" i="24"/>
  <c r="O465" i="24"/>
  <c r="P465" i="24"/>
  <c r="O466" i="24"/>
  <c r="P466" i="24"/>
  <c r="O467" i="24"/>
  <c r="P467" i="24"/>
  <c r="O468" i="24"/>
  <c r="P468" i="24"/>
  <c r="O127" i="24"/>
  <c r="P127" i="24"/>
  <c r="O469" i="24"/>
  <c r="P469" i="24"/>
  <c r="O470" i="24"/>
  <c r="P470" i="24"/>
  <c r="O471" i="24"/>
  <c r="P471" i="24"/>
  <c r="O472" i="24"/>
  <c r="P472" i="24"/>
  <c r="O473" i="24"/>
  <c r="P473" i="24"/>
  <c r="O474" i="24"/>
  <c r="P474" i="24"/>
  <c r="O475" i="24"/>
  <c r="P475" i="24"/>
  <c r="O476" i="24"/>
  <c r="P476" i="24"/>
  <c r="O477" i="24"/>
  <c r="P477" i="24"/>
  <c r="O478" i="24"/>
  <c r="P478" i="24"/>
  <c r="O479" i="24"/>
  <c r="P479" i="24"/>
  <c r="O480" i="24"/>
  <c r="P480" i="24"/>
  <c r="O128" i="24"/>
  <c r="P128" i="24"/>
  <c r="O129" i="24"/>
  <c r="P129" i="24"/>
  <c r="O481" i="24"/>
  <c r="P481" i="24"/>
  <c r="O482" i="24"/>
  <c r="P482" i="24"/>
  <c r="O483" i="24"/>
  <c r="P483" i="24"/>
  <c r="O484" i="24"/>
  <c r="P484" i="24"/>
  <c r="O485" i="24"/>
  <c r="P485" i="24"/>
  <c r="O130" i="24"/>
  <c r="P130" i="24"/>
  <c r="O131" i="24"/>
  <c r="P131" i="24"/>
  <c r="O132" i="24"/>
  <c r="P132" i="24"/>
  <c r="O486" i="24"/>
  <c r="P486" i="24"/>
  <c r="O487" i="24"/>
  <c r="P487" i="24"/>
  <c r="O488" i="24"/>
  <c r="P488" i="24"/>
  <c r="O489" i="24"/>
  <c r="P489" i="24"/>
  <c r="O490" i="24"/>
  <c r="P490" i="24"/>
  <c r="O491" i="24"/>
  <c r="P491" i="24"/>
  <c r="O492" i="24"/>
  <c r="P492" i="24"/>
  <c r="O493" i="24"/>
  <c r="P493" i="24"/>
  <c r="O133" i="24"/>
  <c r="P133" i="24"/>
  <c r="O494" i="24"/>
  <c r="P494" i="24"/>
  <c r="O495" i="24"/>
  <c r="P495" i="24"/>
  <c r="O496" i="24"/>
  <c r="P496" i="24"/>
  <c r="O497" i="24"/>
  <c r="P497" i="24"/>
  <c r="O498" i="24"/>
  <c r="P498" i="24"/>
  <c r="O499" i="24"/>
  <c r="P499" i="24"/>
  <c r="O134" i="24"/>
  <c r="P134" i="24"/>
  <c r="O500" i="24"/>
  <c r="P500" i="24"/>
  <c r="O135" i="24"/>
  <c r="P135" i="24"/>
  <c r="O501" i="24"/>
  <c r="P501" i="24"/>
  <c r="O502" i="24"/>
  <c r="P502" i="24"/>
  <c r="O503" i="24"/>
  <c r="P503" i="24"/>
  <c r="O504" i="24"/>
  <c r="P504" i="24"/>
  <c r="O505" i="24"/>
  <c r="P505" i="24"/>
  <c r="O506" i="24"/>
  <c r="P506" i="24"/>
  <c r="O507" i="24"/>
  <c r="P507" i="24"/>
  <c r="O508" i="24"/>
  <c r="P508" i="24"/>
  <c r="O136" i="24"/>
  <c r="P136" i="24"/>
  <c r="O509" i="24"/>
  <c r="P509" i="24"/>
  <c r="O510" i="24"/>
  <c r="P510" i="24"/>
  <c r="O137" i="24"/>
  <c r="P137" i="24"/>
  <c r="O511" i="24"/>
  <c r="P511" i="24"/>
  <c r="O138" i="24"/>
  <c r="P138" i="24"/>
  <c r="O512" i="24"/>
  <c r="P512" i="24"/>
  <c r="O139" i="24"/>
  <c r="P139" i="24"/>
  <c r="O513" i="24"/>
  <c r="P513" i="24"/>
  <c r="O140" i="24"/>
  <c r="P140" i="24"/>
  <c r="O141" i="24"/>
  <c r="P141" i="24"/>
  <c r="O514" i="24"/>
  <c r="P514" i="24"/>
  <c r="O515" i="24"/>
  <c r="P515" i="24"/>
  <c r="O516" i="24"/>
  <c r="P516" i="24"/>
  <c r="P2" i="24"/>
  <c r="O2" i="24"/>
  <c r="AV1183" i="1"/>
  <c r="AU1183" i="1"/>
  <c r="AT1183" i="1"/>
  <c r="AS1183" i="1"/>
  <c r="AP1183" i="1"/>
  <c r="AO1183" i="1"/>
  <c r="AM1183" i="1"/>
  <c r="AC1183" i="1"/>
  <c r="T1183" i="1"/>
  <c r="R1183" i="1"/>
  <c r="S1183" i="1" s="1"/>
  <c r="P1183" i="1"/>
  <c r="O1183" i="1"/>
  <c r="N1183" i="1"/>
  <c r="Q1183" i="1" s="1"/>
  <c r="L1183" i="1"/>
  <c r="K1183" i="1"/>
  <c r="J1183" i="1"/>
  <c r="E317" i="24"/>
  <c r="AJ397" i="1" s="1"/>
  <c r="E316" i="24"/>
  <c r="AJ398" i="1" s="1"/>
  <c r="AK398" i="1" s="1"/>
  <c r="R279" i="1"/>
  <c r="S279" i="1" s="1"/>
  <c r="Q278" i="1"/>
  <c r="Q279" i="1"/>
  <c r="Q280" i="1"/>
  <c r="P278" i="1"/>
  <c r="R278" i="1" s="1"/>
  <c r="S278" i="1" s="1"/>
  <c r="P279" i="1"/>
  <c r="P280" i="1"/>
  <c r="P281" i="1"/>
  <c r="O278" i="1"/>
  <c r="O279" i="1"/>
  <c r="O280" i="1"/>
  <c r="O281" i="1"/>
  <c r="L279" i="1"/>
  <c r="L280" i="1"/>
  <c r="K279" i="1"/>
  <c r="J279" i="1"/>
  <c r="F4" i="52"/>
  <c r="F5" i="52"/>
  <c r="F6" i="52"/>
  <c r="F7" i="52"/>
  <c r="F8" i="52"/>
  <c r="F9" i="52"/>
  <c r="F10" i="52"/>
  <c r="F11" i="52"/>
  <c r="F12" i="52"/>
  <c r="F13" i="52"/>
  <c r="F14" i="52"/>
  <c r="F15" i="52"/>
  <c r="F16" i="52"/>
  <c r="F17" i="52"/>
  <c r="F18" i="52"/>
  <c r="F19" i="52"/>
  <c r="F20" i="52"/>
  <c r="F21" i="52"/>
  <c r="F22" i="52"/>
  <c r="F23" i="52"/>
  <c r="F24" i="52"/>
  <c r="F26" i="52"/>
  <c r="F27" i="52"/>
  <c r="F28" i="52"/>
  <c r="F29" i="52"/>
  <c r="F30" i="52"/>
  <c r="F31" i="52"/>
  <c r="F32" i="52"/>
  <c r="F33" i="52"/>
  <c r="F36" i="52"/>
  <c r="F37" i="52"/>
  <c r="F40" i="52"/>
  <c r="F41" i="52"/>
  <c r="F42" i="52"/>
  <c r="F43" i="52"/>
  <c r="F2" i="52"/>
  <c r="E3" i="52"/>
  <c r="E4" i="52"/>
  <c r="E5" i="52"/>
  <c r="E6" i="52"/>
  <c r="E7" i="52"/>
  <c r="E8" i="52"/>
  <c r="E9" i="52"/>
  <c r="E10" i="52"/>
  <c r="E11" i="52"/>
  <c r="E12" i="52"/>
  <c r="E13" i="52"/>
  <c r="E14" i="52"/>
  <c r="E15" i="52"/>
  <c r="E16" i="52"/>
  <c r="E17" i="52"/>
  <c r="E18" i="52"/>
  <c r="E19" i="52"/>
  <c r="E20" i="52"/>
  <c r="E21" i="52"/>
  <c r="E22" i="52"/>
  <c r="E23" i="52"/>
  <c r="E24" i="52"/>
  <c r="E25" i="52"/>
  <c r="E26" i="52"/>
  <c r="E27" i="52"/>
  <c r="E29" i="52"/>
  <c r="E30" i="52"/>
  <c r="E31" i="52"/>
  <c r="E32" i="52"/>
  <c r="E33" i="52"/>
  <c r="E34" i="52"/>
  <c r="E35" i="52"/>
  <c r="E36" i="52"/>
  <c r="E37" i="52"/>
  <c r="E38" i="52"/>
  <c r="E39" i="52"/>
  <c r="E40" i="52"/>
  <c r="E41" i="52"/>
  <c r="E42" i="52"/>
  <c r="E43" i="52"/>
  <c r="E2" i="52"/>
  <c r="D5" i="52"/>
  <c r="D7" i="52"/>
  <c r="D8" i="52"/>
  <c r="D11" i="52"/>
  <c r="D14" i="52"/>
  <c r="D16" i="52"/>
  <c r="D17" i="52"/>
  <c r="D18" i="52"/>
  <c r="D20" i="52"/>
  <c r="D23" i="52"/>
  <c r="D24" i="52"/>
  <c r="D26" i="52"/>
  <c r="D30" i="52"/>
  <c r="D31" i="52"/>
  <c r="D32" i="52"/>
  <c r="D36" i="52"/>
  <c r="D37" i="52"/>
  <c r="D41" i="52"/>
  <c r="D43" i="52"/>
  <c r="D2" i="52"/>
  <c r="C3" i="52"/>
  <c r="C4" i="52"/>
  <c r="C5" i="52"/>
  <c r="C7" i="52"/>
  <c r="C8" i="52"/>
  <c r="C9" i="52"/>
  <c r="C10" i="52"/>
  <c r="C11" i="52"/>
  <c r="C13" i="52"/>
  <c r="C16" i="52"/>
  <c r="C17" i="52"/>
  <c r="C18" i="52"/>
  <c r="C22" i="52"/>
  <c r="C23" i="52"/>
  <c r="C24" i="52"/>
  <c r="C26" i="52"/>
  <c r="C27" i="52"/>
  <c r="C28" i="52"/>
  <c r="C29" i="52"/>
  <c r="C30" i="52"/>
  <c r="C31" i="52"/>
  <c r="C32" i="52"/>
  <c r="C33" i="52"/>
  <c r="C34" i="52"/>
  <c r="C35" i="52"/>
  <c r="C36" i="52"/>
  <c r="C37" i="52"/>
  <c r="C41" i="52"/>
  <c r="C42" i="52"/>
  <c r="C43" i="52"/>
  <c r="C2" i="52"/>
  <c r="L450" i="1"/>
  <c r="BA17" i="92"/>
  <c r="BB17" i="92"/>
  <c r="BC17" i="92"/>
  <c r="BD17" i="92"/>
  <c r="BA31" i="92"/>
  <c r="BB31" i="92"/>
  <c r="BC31" i="92"/>
  <c r="BD31" i="92"/>
  <c r="BA37" i="92"/>
  <c r="BB37" i="92"/>
  <c r="BC37" i="92"/>
  <c r="BD37" i="92"/>
  <c r="BA38" i="92"/>
  <c r="BB38" i="92"/>
  <c r="BC38" i="92"/>
  <c r="BD38" i="92"/>
  <c r="BA39" i="92"/>
  <c r="BB39" i="92"/>
  <c r="BC39" i="92"/>
  <c r="BD39" i="92"/>
  <c r="AM17" i="92"/>
  <c r="AN17" i="92"/>
  <c r="AO17" i="92"/>
  <c r="AP17" i="92"/>
  <c r="AM31" i="92"/>
  <c r="AN31" i="92"/>
  <c r="AO31" i="92"/>
  <c r="AP31" i="92"/>
  <c r="AM37" i="92"/>
  <c r="AN37" i="92"/>
  <c r="AO37" i="92"/>
  <c r="AP37" i="92"/>
  <c r="AM38" i="92"/>
  <c r="AN38" i="92"/>
  <c r="AO38" i="92"/>
  <c r="AP38" i="92"/>
  <c r="AM39" i="92"/>
  <c r="AN39" i="92"/>
  <c r="AO39" i="92"/>
  <c r="AP39" i="92"/>
  <c r="S34" i="92"/>
  <c r="PH37" i="78"/>
  <c r="PH38" i="78"/>
  <c r="PH39" i="78"/>
  <c r="PH33" i="78"/>
  <c r="PH34" i="78"/>
  <c r="PH35" i="78"/>
  <c r="PH36" i="78"/>
  <c r="PH3" i="78"/>
  <c r="PH4" i="78"/>
  <c r="PH5" i="78"/>
  <c r="PH6" i="78"/>
  <c r="PH7" i="78"/>
  <c r="PH8" i="78"/>
  <c r="PH9" i="78"/>
  <c r="PH10" i="78"/>
  <c r="PH11" i="78"/>
  <c r="PH12" i="78"/>
  <c r="PH13" i="78"/>
  <c r="PH14" i="78"/>
  <c r="PH15" i="78"/>
  <c r="PH16" i="78"/>
  <c r="PH17" i="78"/>
  <c r="PH18" i="78"/>
  <c r="PH19" i="78"/>
  <c r="PH20" i="78"/>
  <c r="PH21" i="78"/>
  <c r="PH22" i="78"/>
  <c r="PH23" i="78"/>
  <c r="PH24" i="78"/>
  <c r="PH25" i="78"/>
  <c r="PH26" i="78"/>
  <c r="PH27" i="78"/>
  <c r="PH28" i="78"/>
  <c r="PH29" i="78"/>
  <c r="PH30" i="78"/>
  <c r="PH31" i="78"/>
  <c r="PH32" i="78"/>
  <c r="PH2" i="78"/>
  <c r="MM3" i="78"/>
  <c r="S3" i="92" s="1"/>
  <c r="MM4" i="78"/>
  <c r="S4" i="92" s="1"/>
  <c r="MM5" i="78"/>
  <c r="S5" i="92" s="1"/>
  <c r="MM6" i="78"/>
  <c r="S6" i="92" s="1"/>
  <c r="MM7" i="78"/>
  <c r="S7" i="92" s="1"/>
  <c r="MM8" i="78"/>
  <c r="S8" i="92" s="1"/>
  <c r="MM9" i="78"/>
  <c r="S9" i="92" s="1"/>
  <c r="MM10" i="78"/>
  <c r="S10" i="92" s="1"/>
  <c r="MM11" i="78"/>
  <c r="S11" i="92" s="1"/>
  <c r="MM12" i="78"/>
  <c r="S12" i="92" s="1"/>
  <c r="MM13" i="78"/>
  <c r="S13" i="92" s="1"/>
  <c r="MM14" i="78"/>
  <c r="S14" i="92" s="1"/>
  <c r="MM17" i="78"/>
  <c r="S17" i="92" s="1"/>
  <c r="MM18" i="78"/>
  <c r="S18" i="92" s="1"/>
  <c r="MM19" i="78"/>
  <c r="S19" i="92" s="1"/>
  <c r="MM20" i="78"/>
  <c r="S20" i="92" s="1"/>
  <c r="MM21" i="78"/>
  <c r="S21" i="92" s="1"/>
  <c r="MM22" i="78"/>
  <c r="S22" i="92" s="1"/>
  <c r="MM23" i="78"/>
  <c r="S23" i="92" s="1"/>
  <c r="MM24" i="78"/>
  <c r="S24" i="92" s="1"/>
  <c r="MM25" i="78"/>
  <c r="S25" i="92" s="1"/>
  <c r="MM26" i="78"/>
  <c r="S26" i="92" s="1"/>
  <c r="MM27" i="78"/>
  <c r="S27" i="92" s="1"/>
  <c r="MM28" i="78"/>
  <c r="S28" i="92" s="1"/>
  <c r="MM29" i="78"/>
  <c r="S29" i="92" s="1"/>
  <c r="MM30" i="78"/>
  <c r="S30" i="92" s="1"/>
  <c r="MM32" i="78"/>
  <c r="S32" i="92" s="1"/>
  <c r="MM33" i="78"/>
  <c r="S33" i="92" s="1"/>
  <c r="MM34" i="78"/>
  <c r="MM35" i="78"/>
  <c r="S35" i="92" s="1"/>
  <c r="MM36" i="78"/>
  <c r="S36" i="92" s="1"/>
  <c r="MM37" i="78"/>
  <c r="S37" i="92" s="1"/>
  <c r="MM38" i="78"/>
  <c r="S38" i="92" s="1"/>
  <c r="MM39" i="78"/>
  <c r="S39" i="92" s="1"/>
  <c r="B22" i="64"/>
  <c r="B23" i="64"/>
  <c r="B24" i="64"/>
  <c r="B25" i="64"/>
  <c r="B26" i="64"/>
  <c r="B27" i="64"/>
  <c r="B28" i="64"/>
  <c r="B3" i="64"/>
  <c r="B29" i="64"/>
  <c r="B30" i="64"/>
  <c r="B31" i="64"/>
  <c r="B32" i="64"/>
  <c r="B33" i="64"/>
  <c r="B34" i="64"/>
  <c r="B35" i="64"/>
  <c r="B36" i="64"/>
  <c r="B37" i="64"/>
  <c r="B38" i="64"/>
  <c r="B39" i="64"/>
  <c r="B40" i="64"/>
  <c r="B41" i="64"/>
  <c r="F35" i="62"/>
  <c r="G35" i="62"/>
  <c r="H35" i="62"/>
  <c r="I35" i="62"/>
  <c r="J35" i="62"/>
  <c r="K35" i="62"/>
  <c r="L35" i="62"/>
  <c r="M35" i="62"/>
  <c r="N35" i="62"/>
  <c r="O35" i="62"/>
  <c r="P35" i="62"/>
  <c r="Q35" i="62"/>
  <c r="R35" i="62"/>
  <c r="S35" i="62"/>
  <c r="T35" i="62"/>
  <c r="U35" i="62"/>
  <c r="V35" i="62"/>
  <c r="W35" i="62"/>
  <c r="X35" i="62"/>
  <c r="Y35" i="62"/>
  <c r="Z35" i="62"/>
  <c r="AA35" i="62"/>
  <c r="AB35" i="62"/>
  <c r="AC35" i="62"/>
  <c r="AD35" i="62"/>
  <c r="AE35" i="62"/>
  <c r="AF35" i="62"/>
  <c r="AG35" i="62"/>
  <c r="AH35" i="62"/>
  <c r="AI35" i="62"/>
  <c r="AJ35" i="62"/>
  <c r="AK35" i="62"/>
  <c r="AL35" i="62"/>
  <c r="AM35" i="62"/>
  <c r="AN35" i="62"/>
  <c r="AO35" i="62"/>
  <c r="AP35" i="62"/>
  <c r="AQ35" i="62"/>
  <c r="AR35" i="62"/>
  <c r="AS35" i="62"/>
  <c r="J805" i="1"/>
  <c r="R237" i="1"/>
  <c r="S237" i="1" s="1"/>
  <c r="R238" i="1"/>
  <c r="S238" i="1" s="1"/>
  <c r="R239" i="1"/>
  <c r="S239" i="1" s="1"/>
  <c r="T168" i="1"/>
  <c r="T17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2" i="1"/>
  <c r="AV673" i="1"/>
  <c r="AV674"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8" i="1"/>
  <c r="AV919" i="1"/>
  <c r="AV920"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7" i="1"/>
  <c r="AV1168" i="1"/>
  <c r="AV1169" i="1"/>
  <c r="AV1170" i="1"/>
  <c r="AV1171" i="1"/>
  <c r="AV1173" i="1"/>
  <c r="AV1174" i="1"/>
  <c r="AV1175" i="1"/>
  <c r="AV1176" i="1"/>
  <c r="AV1177" i="1"/>
  <c r="AV1178" i="1"/>
  <c r="AV1179" i="1"/>
  <c r="AV1180" i="1"/>
  <c r="AV1181" i="1"/>
  <c r="AV1182" i="1"/>
  <c r="AV1184" i="1"/>
  <c r="AV1185" i="1"/>
  <c r="AV1186" i="1"/>
  <c r="AV1187" i="1"/>
  <c r="AV1188" i="1"/>
  <c r="AV1189" i="1"/>
  <c r="AV1190" i="1"/>
  <c r="AV1191" i="1"/>
  <c r="AU143" i="1"/>
  <c r="AV143" i="1"/>
  <c r="AU144" i="1"/>
  <c r="AV144" i="1"/>
  <c r="AU145" i="1"/>
  <c r="AV145" i="1"/>
  <c r="AU146" i="1"/>
  <c r="AV146" i="1"/>
  <c r="AU147" i="1"/>
  <c r="AV147" i="1"/>
  <c r="AU148" i="1"/>
  <c r="AV148" i="1"/>
  <c r="AU149" i="1"/>
  <c r="AV149" i="1"/>
  <c r="AU150" i="1"/>
  <c r="AV150" i="1"/>
  <c r="AU151" i="1"/>
  <c r="AV151" i="1"/>
  <c r="AU152" i="1"/>
  <c r="AV152" i="1"/>
  <c r="AU153" i="1"/>
  <c r="AV153" i="1"/>
  <c r="AU154" i="1"/>
  <c r="AV154" i="1"/>
  <c r="AU155" i="1"/>
  <c r="AV155" i="1"/>
  <c r="AU156" i="1"/>
  <c r="AV156" i="1"/>
  <c r="AU157" i="1"/>
  <c r="AV157" i="1"/>
  <c r="AU158" i="1"/>
  <c r="AV158" i="1"/>
  <c r="AU159" i="1"/>
  <c r="AV159" i="1"/>
  <c r="AU160" i="1"/>
  <c r="AV160" i="1"/>
  <c r="AU161" i="1"/>
  <c r="AV161" i="1"/>
  <c r="AU162" i="1"/>
  <c r="AV162" i="1"/>
  <c r="AU163" i="1"/>
  <c r="AV163" i="1"/>
  <c r="AU164" i="1"/>
  <c r="AV164" i="1"/>
  <c r="AU165" i="1"/>
  <c r="AV165" i="1"/>
  <c r="AU166" i="1"/>
  <c r="AV166" i="1"/>
  <c r="AU167" i="1"/>
  <c r="AV167" i="1"/>
  <c r="AU168" i="1"/>
  <c r="AV168" i="1"/>
  <c r="AU169" i="1"/>
  <c r="AV169" i="1"/>
  <c r="AU170" i="1"/>
  <c r="AV170" i="1"/>
  <c r="AU171" i="1"/>
  <c r="AV171" i="1"/>
  <c r="AU172" i="1"/>
  <c r="AV172" i="1"/>
  <c r="AU173" i="1"/>
  <c r="AV173" i="1"/>
  <c r="AU174" i="1"/>
  <c r="AV174" i="1"/>
  <c r="AU175" i="1"/>
  <c r="AV175" i="1"/>
  <c r="AU176" i="1"/>
  <c r="AV176" i="1"/>
  <c r="AU177" i="1"/>
  <c r="AV177" i="1"/>
  <c r="AU178" i="1"/>
  <c r="AV178" i="1"/>
  <c r="AU179" i="1"/>
  <c r="AV179" i="1"/>
  <c r="AU180" i="1"/>
  <c r="AV180" i="1"/>
  <c r="AU181" i="1"/>
  <c r="AV181" i="1"/>
  <c r="AU182" i="1"/>
  <c r="AV182" i="1"/>
  <c r="AU183" i="1"/>
  <c r="AV183" i="1"/>
  <c r="AU184" i="1"/>
  <c r="AV184" i="1"/>
  <c r="AU185" i="1"/>
  <c r="AV185" i="1"/>
  <c r="AU186" i="1"/>
  <c r="AV186" i="1"/>
  <c r="AU187" i="1"/>
  <c r="AV187" i="1"/>
  <c r="AU188" i="1"/>
  <c r="AV188" i="1"/>
  <c r="AU189" i="1"/>
  <c r="AV189" i="1"/>
  <c r="AU190" i="1"/>
  <c r="AV190" i="1"/>
  <c r="AU191" i="1"/>
  <c r="AV191" i="1"/>
  <c r="AU192" i="1"/>
  <c r="AV192" i="1"/>
  <c r="AU193" i="1"/>
  <c r="AV193" i="1"/>
  <c r="AU194" i="1"/>
  <c r="AV194" i="1"/>
  <c r="AU195" i="1"/>
  <c r="AV195" i="1"/>
  <c r="AU196" i="1"/>
  <c r="AV196" i="1"/>
  <c r="AU197" i="1"/>
  <c r="AV197" i="1"/>
  <c r="AU198" i="1"/>
  <c r="AV198" i="1"/>
  <c r="AU199" i="1"/>
  <c r="AV199" i="1"/>
  <c r="AU200" i="1"/>
  <c r="AV200" i="1"/>
  <c r="AU201" i="1"/>
  <c r="AV201" i="1"/>
  <c r="AU202" i="1"/>
  <c r="AV202" i="1"/>
  <c r="AU203" i="1"/>
  <c r="AV203" i="1"/>
  <c r="AU204" i="1"/>
  <c r="AV204" i="1"/>
  <c r="AU205" i="1"/>
  <c r="AV205" i="1"/>
  <c r="AU206" i="1"/>
  <c r="AV206" i="1"/>
  <c r="AU207" i="1"/>
  <c r="AV207" i="1"/>
  <c r="AU209" i="1"/>
  <c r="AV209" i="1"/>
  <c r="AU210" i="1"/>
  <c r="AV210" i="1"/>
  <c r="AU211" i="1"/>
  <c r="AV211" i="1"/>
  <c r="AU212" i="1"/>
  <c r="AV212" i="1"/>
  <c r="AU213" i="1"/>
  <c r="AV213" i="1"/>
  <c r="AU214" i="1"/>
  <c r="AV214" i="1"/>
  <c r="AU215" i="1"/>
  <c r="AV215" i="1"/>
  <c r="AU216" i="1"/>
  <c r="AV216" i="1"/>
  <c r="AU217" i="1"/>
  <c r="AV217" i="1"/>
  <c r="AU218" i="1"/>
  <c r="AV218" i="1"/>
  <c r="AU219" i="1"/>
  <c r="AV219" i="1"/>
  <c r="AU220" i="1"/>
  <c r="AV220" i="1"/>
  <c r="AU221" i="1"/>
  <c r="AV221" i="1"/>
  <c r="AU222" i="1"/>
  <c r="AV222" i="1"/>
  <c r="AU223" i="1"/>
  <c r="AV223" i="1"/>
  <c r="AU224" i="1"/>
  <c r="AV224" i="1"/>
  <c r="AU225" i="1"/>
  <c r="AV225" i="1"/>
  <c r="AU226" i="1"/>
  <c r="AV226" i="1"/>
  <c r="AU227" i="1"/>
  <c r="AV227" i="1"/>
  <c r="AU228" i="1"/>
  <c r="AV228" i="1"/>
  <c r="AU229" i="1"/>
  <c r="AV229" i="1"/>
  <c r="AU230" i="1"/>
  <c r="AV230" i="1"/>
  <c r="AU231" i="1"/>
  <c r="AV231" i="1"/>
  <c r="AU232" i="1"/>
  <c r="AV232" i="1"/>
  <c r="AU233" i="1"/>
  <c r="AV233" i="1"/>
  <c r="AU234" i="1"/>
  <c r="AV234" i="1"/>
  <c r="AU235" i="1"/>
  <c r="AV235" i="1"/>
  <c r="AU236" i="1"/>
  <c r="AV236" i="1"/>
  <c r="AU237" i="1"/>
  <c r="AV237" i="1"/>
  <c r="AU238" i="1"/>
  <c r="AV238" i="1"/>
  <c r="AU239" i="1"/>
  <c r="AV239" i="1"/>
  <c r="AU240" i="1"/>
  <c r="AV240" i="1"/>
  <c r="AU241" i="1"/>
  <c r="AV241" i="1"/>
  <c r="AU242" i="1"/>
  <c r="AV242" i="1"/>
  <c r="AU243" i="1"/>
  <c r="AV243" i="1"/>
  <c r="AU244" i="1"/>
  <c r="AV244" i="1"/>
  <c r="AU245" i="1"/>
  <c r="AV245" i="1"/>
  <c r="AU246" i="1"/>
  <c r="AV246" i="1"/>
  <c r="AU247" i="1"/>
  <c r="AV247" i="1"/>
  <c r="AU248" i="1"/>
  <c r="AV248" i="1"/>
  <c r="AU249" i="1"/>
  <c r="AV249" i="1"/>
  <c r="AU250" i="1"/>
  <c r="AV250" i="1"/>
  <c r="AU251" i="1"/>
  <c r="AV251" i="1"/>
  <c r="AU252" i="1"/>
  <c r="AV252" i="1"/>
  <c r="AU253" i="1"/>
  <c r="AV253" i="1"/>
  <c r="AU254" i="1"/>
  <c r="AV254" i="1"/>
  <c r="AU255" i="1"/>
  <c r="AV255" i="1"/>
  <c r="AU256" i="1"/>
  <c r="AV256" i="1"/>
  <c r="AU257" i="1"/>
  <c r="AV257" i="1"/>
  <c r="AU258" i="1"/>
  <c r="AV258" i="1"/>
  <c r="AU259" i="1"/>
  <c r="AV259" i="1"/>
  <c r="AU260" i="1"/>
  <c r="AV260" i="1"/>
  <c r="AU261" i="1"/>
  <c r="AV261" i="1"/>
  <c r="AU262" i="1"/>
  <c r="AV262" i="1"/>
  <c r="AU263" i="1"/>
  <c r="AV263" i="1"/>
  <c r="AU264" i="1"/>
  <c r="AV264" i="1"/>
  <c r="AU265" i="1"/>
  <c r="AV265" i="1"/>
  <c r="AU266" i="1"/>
  <c r="AV266" i="1"/>
  <c r="AU267" i="1"/>
  <c r="AV267" i="1"/>
  <c r="AU268" i="1"/>
  <c r="AV268" i="1"/>
  <c r="AU269" i="1"/>
  <c r="AV269" i="1"/>
  <c r="AU270" i="1"/>
  <c r="AV270" i="1"/>
  <c r="AU271" i="1"/>
  <c r="AV271" i="1"/>
  <c r="AU272" i="1"/>
  <c r="AV272" i="1"/>
  <c r="AU273" i="1"/>
  <c r="AV273" i="1"/>
  <c r="AU274" i="1"/>
  <c r="AV274" i="1"/>
  <c r="AU275" i="1"/>
  <c r="AV275" i="1"/>
  <c r="AU276" i="1"/>
  <c r="AV276" i="1"/>
  <c r="AU277" i="1"/>
  <c r="AV277" i="1"/>
  <c r="AU278" i="1"/>
  <c r="AV278" i="1"/>
  <c r="AU280" i="1"/>
  <c r="AV280" i="1"/>
  <c r="AU281" i="1"/>
  <c r="AV281" i="1"/>
  <c r="AU282" i="1"/>
  <c r="AV282" i="1"/>
  <c r="AU283" i="1"/>
  <c r="AV283" i="1"/>
  <c r="AU284" i="1"/>
  <c r="AV284" i="1"/>
  <c r="AU285" i="1"/>
  <c r="AV285" i="1"/>
  <c r="AU286" i="1"/>
  <c r="AV286" i="1"/>
  <c r="AU287" i="1"/>
  <c r="AV287" i="1"/>
  <c r="AU288" i="1"/>
  <c r="AV288" i="1"/>
  <c r="AU289" i="1"/>
  <c r="AV289" i="1"/>
  <c r="AU290" i="1"/>
  <c r="AV290" i="1"/>
  <c r="AU291" i="1"/>
  <c r="AV291" i="1"/>
  <c r="AU292" i="1"/>
  <c r="AV292" i="1"/>
  <c r="AU293" i="1"/>
  <c r="AV293" i="1"/>
  <c r="AU294" i="1"/>
  <c r="AV294" i="1"/>
  <c r="AU295" i="1"/>
  <c r="AV295" i="1"/>
  <c r="AU296" i="1"/>
  <c r="AV296" i="1"/>
  <c r="AU297" i="1"/>
  <c r="AV297" i="1"/>
  <c r="AU298" i="1"/>
  <c r="AV298" i="1"/>
  <c r="AU299" i="1"/>
  <c r="AV299" i="1"/>
  <c r="AU300" i="1"/>
  <c r="AV300" i="1"/>
  <c r="AU301" i="1"/>
  <c r="AV301" i="1"/>
  <c r="AU302" i="1"/>
  <c r="AV302" i="1"/>
  <c r="AU303" i="1"/>
  <c r="AV303" i="1"/>
  <c r="AU304" i="1"/>
  <c r="AV304" i="1"/>
  <c r="AU305" i="1"/>
  <c r="AV305" i="1"/>
  <c r="AU306" i="1"/>
  <c r="AV306" i="1"/>
  <c r="AU307" i="1"/>
  <c r="AV307" i="1"/>
  <c r="AU308" i="1"/>
  <c r="AV308" i="1"/>
  <c r="AU309" i="1"/>
  <c r="AV309" i="1"/>
  <c r="AU310" i="1"/>
  <c r="AV310" i="1"/>
  <c r="AU311" i="1"/>
  <c r="AV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2" i="1"/>
  <c r="AU673" i="1"/>
  <c r="AU674"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8" i="1"/>
  <c r="AU919" i="1"/>
  <c r="AU920"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3" i="1"/>
  <c r="AU964" i="1"/>
  <c r="AU965" i="1"/>
  <c r="AU966" i="1"/>
  <c r="AU967"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011" i="1"/>
  <c r="AU1012" i="1"/>
  <c r="AU1013" i="1"/>
  <c r="AU1014" i="1"/>
  <c r="AU1015" i="1"/>
  <c r="AU1016" i="1"/>
  <c r="AU1017" i="1"/>
  <c r="AU1018" i="1"/>
  <c r="AU1019" i="1"/>
  <c r="AU1020" i="1"/>
  <c r="AU1021" i="1"/>
  <c r="AU1022" i="1"/>
  <c r="AU1023" i="1"/>
  <c r="AU1024" i="1"/>
  <c r="AU1025" i="1"/>
  <c r="AU1026" i="1"/>
  <c r="AU1027" i="1"/>
  <c r="AU1028" i="1"/>
  <c r="AU1029" i="1"/>
  <c r="AU1030" i="1"/>
  <c r="AU1031" i="1"/>
  <c r="AU1032" i="1"/>
  <c r="AU1033" i="1"/>
  <c r="AU1034" i="1"/>
  <c r="AU1035" i="1"/>
  <c r="AU1036" i="1"/>
  <c r="AU1037" i="1"/>
  <c r="AU1038" i="1"/>
  <c r="AU1039" i="1"/>
  <c r="AU1040" i="1"/>
  <c r="AU1041" i="1"/>
  <c r="AU1042" i="1"/>
  <c r="AU1043" i="1"/>
  <c r="AU1044" i="1"/>
  <c r="AU1045" i="1"/>
  <c r="AU1046" i="1"/>
  <c r="AU1047" i="1"/>
  <c r="AU1048" i="1"/>
  <c r="AU1049" i="1"/>
  <c r="AU1050" i="1"/>
  <c r="AU1051" i="1"/>
  <c r="AU1052" i="1"/>
  <c r="AU1053" i="1"/>
  <c r="AU1054" i="1"/>
  <c r="AU1055" i="1"/>
  <c r="AU1056" i="1"/>
  <c r="AU1057" i="1"/>
  <c r="AU1058" i="1"/>
  <c r="AU1059" i="1"/>
  <c r="AU1060" i="1"/>
  <c r="AU1061" i="1"/>
  <c r="AU1062" i="1"/>
  <c r="AU1063" i="1"/>
  <c r="AU1064" i="1"/>
  <c r="AU1065" i="1"/>
  <c r="AU1066" i="1"/>
  <c r="AU1067" i="1"/>
  <c r="AU1068" i="1"/>
  <c r="AU1069" i="1"/>
  <c r="AU1070" i="1"/>
  <c r="AU1071" i="1"/>
  <c r="AU1072" i="1"/>
  <c r="AU1073" i="1"/>
  <c r="AU1074" i="1"/>
  <c r="AU1075" i="1"/>
  <c r="AU1076" i="1"/>
  <c r="AU1077" i="1"/>
  <c r="AU1078" i="1"/>
  <c r="AU1079" i="1"/>
  <c r="AU1080" i="1"/>
  <c r="AU1081" i="1"/>
  <c r="AU1082" i="1"/>
  <c r="AU1083" i="1"/>
  <c r="AU1084" i="1"/>
  <c r="AU1085" i="1"/>
  <c r="AU1086" i="1"/>
  <c r="AU1087" i="1"/>
  <c r="AU1088" i="1"/>
  <c r="AU1089" i="1"/>
  <c r="AU1090" i="1"/>
  <c r="AU1091" i="1"/>
  <c r="AU1092" i="1"/>
  <c r="AU1093" i="1"/>
  <c r="AU1094" i="1"/>
  <c r="AU1095" i="1"/>
  <c r="AU1096" i="1"/>
  <c r="AU1097" i="1"/>
  <c r="AU1098" i="1"/>
  <c r="AU1099" i="1"/>
  <c r="AU1100" i="1"/>
  <c r="AU1101" i="1"/>
  <c r="AU1102" i="1"/>
  <c r="AU1103" i="1"/>
  <c r="AU1104" i="1"/>
  <c r="AU1105" i="1"/>
  <c r="AU1106" i="1"/>
  <c r="AU1107" i="1"/>
  <c r="AU1108" i="1"/>
  <c r="AU1109" i="1"/>
  <c r="AU1110" i="1"/>
  <c r="AU1111" i="1"/>
  <c r="AU1112" i="1"/>
  <c r="AU1113" i="1"/>
  <c r="AU1114" i="1"/>
  <c r="AU1115" i="1"/>
  <c r="AU1116" i="1"/>
  <c r="AU1117" i="1"/>
  <c r="AU1118" i="1"/>
  <c r="AU1119" i="1"/>
  <c r="AU1120" i="1"/>
  <c r="AU1121" i="1"/>
  <c r="AU1122" i="1"/>
  <c r="AU1123" i="1"/>
  <c r="AU1124" i="1"/>
  <c r="AU1125" i="1"/>
  <c r="AU1126" i="1"/>
  <c r="AU1127" i="1"/>
  <c r="AU1128" i="1"/>
  <c r="AU1129" i="1"/>
  <c r="AU1130" i="1"/>
  <c r="AU1131" i="1"/>
  <c r="AU1132" i="1"/>
  <c r="AU1133" i="1"/>
  <c r="AU1134" i="1"/>
  <c r="AU1135" i="1"/>
  <c r="AU1136" i="1"/>
  <c r="AU1137" i="1"/>
  <c r="AU1138" i="1"/>
  <c r="AU1139" i="1"/>
  <c r="AU1140" i="1"/>
  <c r="AU1141" i="1"/>
  <c r="AU1142" i="1"/>
  <c r="AU1143" i="1"/>
  <c r="AU1144" i="1"/>
  <c r="AU1145" i="1"/>
  <c r="AU1146" i="1"/>
  <c r="AU1147" i="1"/>
  <c r="AU1148" i="1"/>
  <c r="AU1149" i="1"/>
  <c r="AU1150" i="1"/>
  <c r="AU1151" i="1"/>
  <c r="AU1152" i="1"/>
  <c r="AU1153" i="1"/>
  <c r="AU1154" i="1"/>
  <c r="AU1155" i="1"/>
  <c r="AU1156" i="1"/>
  <c r="AU1157" i="1"/>
  <c r="AU1158" i="1"/>
  <c r="AU1159" i="1"/>
  <c r="AU1160" i="1"/>
  <c r="AU1161" i="1"/>
  <c r="AU1162" i="1"/>
  <c r="AU1167" i="1"/>
  <c r="AU1168" i="1"/>
  <c r="AU1169" i="1"/>
  <c r="AU1170" i="1"/>
  <c r="AU1171" i="1"/>
  <c r="AU1173" i="1"/>
  <c r="AU1174" i="1"/>
  <c r="AU1175" i="1"/>
  <c r="AU1176" i="1"/>
  <c r="AU1177" i="1"/>
  <c r="AU1178" i="1"/>
  <c r="AU1179" i="1"/>
  <c r="AU1180" i="1"/>
  <c r="AU1181" i="1"/>
  <c r="AU1182" i="1"/>
  <c r="AU1184" i="1"/>
  <c r="AU1185" i="1"/>
  <c r="AU1186" i="1"/>
  <c r="AU1187" i="1"/>
  <c r="AU1188" i="1"/>
  <c r="AU1189" i="1"/>
  <c r="AU1190" i="1"/>
  <c r="AU1191" i="1"/>
  <c r="AU3" i="1"/>
  <c r="AV3" i="1"/>
  <c r="AU4" i="1"/>
  <c r="AV4" i="1"/>
  <c r="AU5" i="1"/>
  <c r="AV5" i="1"/>
  <c r="AU6" i="1"/>
  <c r="AV6" i="1"/>
  <c r="AU7" i="1"/>
  <c r="AV7" i="1"/>
  <c r="AU8" i="1"/>
  <c r="AV8" i="1"/>
  <c r="AU9" i="1"/>
  <c r="AV9" i="1"/>
  <c r="AU10" i="1"/>
  <c r="AV10" i="1"/>
  <c r="AU11" i="1"/>
  <c r="AV11" i="1"/>
  <c r="AU12" i="1"/>
  <c r="AV12" i="1"/>
  <c r="AU13" i="1"/>
  <c r="AV13" i="1"/>
  <c r="AU14" i="1"/>
  <c r="AV14" i="1"/>
  <c r="AU15" i="1"/>
  <c r="AV15" i="1"/>
  <c r="AU16" i="1"/>
  <c r="AV16" i="1"/>
  <c r="AU17" i="1"/>
  <c r="AV17" i="1"/>
  <c r="AU18" i="1"/>
  <c r="AV18" i="1"/>
  <c r="AU19" i="1"/>
  <c r="AV19" i="1"/>
  <c r="AU20" i="1"/>
  <c r="AV20" i="1"/>
  <c r="AU21" i="1"/>
  <c r="AV21" i="1"/>
  <c r="AU22" i="1"/>
  <c r="AV22" i="1"/>
  <c r="AU23" i="1"/>
  <c r="AV23" i="1"/>
  <c r="AU24" i="1"/>
  <c r="AV24" i="1"/>
  <c r="AU25" i="1"/>
  <c r="AV25" i="1"/>
  <c r="AU26" i="1"/>
  <c r="AV26" i="1"/>
  <c r="AU27" i="1"/>
  <c r="AV27" i="1"/>
  <c r="AU28" i="1"/>
  <c r="AV28" i="1"/>
  <c r="AU29" i="1"/>
  <c r="AV29" i="1"/>
  <c r="AU30" i="1"/>
  <c r="AV30" i="1"/>
  <c r="AU31" i="1"/>
  <c r="AV31" i="1"/>
  <c r="AU32" i="1"/>
  <c r="AV32" i="1"/>
  <c r="AU33" i="1"/>
  <c r="AV33" i="1"/>
  <c r="AU34" i="1"/>
  <c r="AV34" i="1"/>
  <c r="AU35" i="1"/>
  <c r="AV35" i="1"/>
  <c r="AU36" i="1"/>
  <c r="AV36" i="1"/>
  <c r="AU37" i="1"/>
  <c r="AV37" i="1"/>
  <c r="AU38" i="1"/>
  <c r="AV38" i="1"/>
  <c r="AU39" i="1"/>
  <c r="AV39" i="1"/>
  <c r="AU40" i="1"/>
  <c r="AV40" i="1"/>
  <c r="AU41" i="1"/>
  <c r="AV41" i="1"/>
  <c r="AU42" i="1"/>
  <c r="AV42" i="1"/>
  <c r="AU43" i="1"/>
  <c r="AV43" i="1"/>
  <c r="AU44" i="1"/>
  <c r="AV44" i="1"/>
  <c r="AU45" i="1"/>
  <c r="AV45" i="1"/>
  <c r="AU46" i="1"/>
  <c r="AV46" i="1"/>
  <c r="AU47" i="1"/>
  <c r="AV47" i="1"/>
  <c r="AU48" i="1"/>
  <c r="AV48" i="1"/>
  <c r="AU49" i="1"/>
  <c r="AV49" i="1"/>
  <c r="AU50" i="1"/>
  <c r="AV50" i="1"/>
  <c r="AU51" i="1"/>
  <c r="AV51" i="1"/>
  <c r="AU52" i="1"/>
  <c r="AV52" i="1"/>
  <c r="AU53" i="1"/>
  <c r="AV53" i="1"/>
  <c r="AU54" i="1"/>
  <c r="AV54" i="1"/>
  <c r="AU55" i="1"/>
  <c r="AV55" i="1"/>
  <c r="AU56" i="1"/>
  <c r="AV56" i="1"/>
  <c r="AU57" i="1"/>
  <c r="AV57" i="1"/>
  <c r="AU58" i="1"/>
  <c r="AV58" i="1"/>
  <c r="AU59" i="1"/>
  <c r="AV59" i="1"/>
  <c r="AU60" i="1"/>
  <c r="AV60" i="1"/>
  <c r="AU61" i="1"/>
  <c r="AV61" i="1"/>
  <c r="AU62" i="1"/>
  <c r="AV62" i="1"/>
  <c r="AU63" i="1"/>
  <c r="AV63" i="1"/>
  <c r="AU64" i="1"/>
  <c r="AV64" i="1"/>
  <c r="AU65" i="1"/>
  <c r="AV65" i="1"/>
  <c r="AU66" i="1"/>
  <c r="AV66" i="1"/>
  <c r="AU67" i="1"/>
  <c r="AV67" i="1"/>
  <c r="AU68" i="1"/>
  <c r="AV68" i="1"/>
  <c r="AU69" i="1"/>
  <c r="AV69" i="1"/>
  <c r="AU70" i="1"/>
  <c r="AV70" i="1"/>
  <c r="AU71" i="1"/>
  <c r="AV71" i="1"/>
  <c r="AU72" i="1"/>
  <c r="AV72" i="1"/>
  <c r="AU73" i="1"/>
  <c r="AV73" i="1"/>
  <c r="AU74" i="1"/>
  <c r="AV74" i="1"/>
  <c r="AU75" i="1"/>
  <c r="AV75" i="1"/>
  <c r="AU76" i="1"/>
  <c r="AV76" i="1"/>
  <c r="AU77" i="1"/>
  <c r="AV77" i="1"/>
  <c r="AU78" i="1"/>
  <c r="AV78" i="1"/>
  <c r="AU79" i="1"/>
  <c r="AV79" i="1"/>
  <c r="AU80" i="1"/>
  <c r="AV80" i="1"/>
  <c r="AU81" i="1"/>
  <c r="AV81" i="1"/>
  <c r="AU82" i="1"/>
  <c r="AV82" i="1"/>
  <c r="AU83" i="1"/>
  <c r="AV83" i="1"/>
  <c r="AU84" i="1"/>
  <c r="AV84" i="1"/>
  <c r="AU85" i="1"/>
  <c r="AV85" i="1"/>
  <c r="AU86" i="1"/>
  <c r="AV86" i="1"/>
  <c r="AU87" i="1"/>
  <c r="AV87" i="1"/>
  <c r="AU88" i="1"/>
  <c r="AV88" i="1"/>
  <c r="AU89" i="1"/>
  <c r="AV89" i="1"/>
  <c r="AU90" i="1"/>
  <c r="AV90" i="1"/>
  <c r="AU91" i="1"/>
  <c r="AV91" i="1"/>
  <c r="AU92" i="1"/>
  <c r="AV92" i="1"/>
  <c r="AU93" i="1"/>
  <c r="AV93" i="1"/>
  <c r="AU94" i="1"/>
  <c r="AV94" i="1"/>
  <c r="AU95" i="1"/>
  <c r="AV95" i="1"/>
  <c r="AU96" i="1"/>
  <c r="AV96" i="1"/>
  <c r="AU97" i="1"/>
  <c r="AV97" i="1"/>
  <c r="AU98" i="1"/>
  <c r="AV98" i="1"/>
  <c r="AU99" i="1"/>
  <c r="AV99" i="1"/>
  <c r="AU100" i="1"/>
  <c r="AV100" i="1"/>
  <c r="AU101" i="1"/>
  <c r="AV101" i="1"/>
  <c r="AU102" i="1"/>
  <c r="AV102" i="1"/>
  <c r="AU103" i="1"/>
  <c r="AV103" i="1"/>
  <c r="AU104" i="1"/>
  <c r="AV104" i="1"/>
  <c r="AU105" i="1"/>
  <c r="AV105" i="1"/>
  <c r="AU106" i="1"/>
  <c r="AV106" i="1"/>
  <c r="AU107" i="1"/>
  <c r="AV107" i="1"/>
  <c r="AU108" i="1"/>
  <c r="AV108" i="1"/>
  <c r="AU109" i="1"/>
  <c r="AV109" i="1"/>
  <c r="AU110" i="1"/>
  <c r="AV110" i="1"/>
  <c r="AU111" i="1"/>
  <c r="AV111" i="1"/>
  <c r="AU112" i="1"/>
  <c r="AV112" i="1"/>
  <c r="AU113" i="1"/>
  <c r="AV113" i="1"/>
  <c r="AU114" i="1"/>
  <c r="AV114" i="1"/>
  <c r="AU115" i="1"/>
  <c r="AV115" i="1"/>
  <c r="AU116" i="1"/>
  <c r="AV116" i="1"/>
  <c r="AU117" i="1"/>
  <c r="AV117" i="1"/>
  <c r="AU118" i="1"/>
  <c r="AV118" i="1"/>
  <c r="AU119" i="1"/>
  <c r="AV119" i="1"/>
  <c r="AU120" i="1"/>
  <c r="AV120" i="1"/>
  <c r="AU121" i="1"/>
  <c r="AV121" i="1"/>
  <c r="AU122" i="1"/>
  <c r="AV122" i="1"/>
  <c r="AU123" i="1"/>
  <c r="AV123" i="1"/>
  <c r="AU124" i="1"/>
  <c r="AV124" i="1"/>
  <c r="AU125" i="1"/>
  <c r="AV125" i="1"/>
  <c r="AU126" i="1"/>
  <c r="AV126" i="1"/>
  <c r="AU127" i="1"/>
  <c r="AV127" i="1"/>
  <c r="AU128" i="1"/>
  <c r="AV128" i="1"/>
  <c r="AU129" i="1"/>
  <c r="AV129" i="1"/>
  <c r="AU130" i="1"/>
  <c r="AV130" i="1"/>
  <c r="AU131" i="1"/>
  <c r="AV131" i="1"/>
  <c r="AU132" i="1"/>
  <c r="AV132" i="1"/>
  <c r="AU133" i="1"/>
  <c r="AV133" i="1"/>
  <c r="AU134" i="1"/>
  <c r="AV134" i="1"/>
  <c r="AU135" i="1"/>
  <c r="AV135" i="1"/>
  <c r="AU136" i="1"/>
  <c r="AV136" i="1"/>
  <c r="AU137" i="1"/>
  <c r="AV137" i="1"/>
  <c r="AU138" i="1"/>
  <c r="AV138" i="1"/>
  <c r="AU139" i="1"/>
  <c r="AV139" i="1"/>
  <c r="AU140" i="1"/>
  <c r="AV140" i="1"/>
  <c r="AU141" i="1"/>
  <c r="AV141" i="1"/>
  <c r="AU142" i="1"/>
  <c r="AV142" i="1"/>
  <c r="AV2" i="1"/>
  <c r="AU2" i="1"/>
  <c r="AS3" i="1"/>
  <c r="AT3" i="1"/>
  <c r="AS4" i="1"/>
  <c r="AT4" i="1"/>
  <c r="AS5" i="1"/>
  <c r="AT5" i="1"/>
  <c r="AS6" i="1"/>
  <c r="AT6" i="1"/>
  <c r="AS7" i="1"/>
  <c r="AT7" i="1"/>
  <c r="AS8" i="1"/>
  <c r="AT8" i="1"/>
  <c r="AS9" i="1"/>
  <c r="AT9" i="1"/>
  <c r="AS10" i="1"/>
  <c r="AT10" i="1"/>
  <c r="AS11" i="1"/>
  <c r="AT11" i="1"/>
  <c r="AS12" i="1"/>
  <c r="AT12" i="1"/>
  <c r="AS13" i="1"/>
  <c r="AT13" i="1"/>
  <c r="AS14" i="1"/>
  <c r="AT14" i="1"/>
  <c r="AS15" i="1"/>
  <c r="AT15" i="1"/>
  <c r="AS16" i="1"/>
  <c r="AT16" i="1"/>
  <c r="AS17" i="1"/>
  <c r="AT17" i="1"/>
  <c r="AS18" i="1"/>
  <c r="AT18" i="1"/>
  <c r="AS19" i="1"/>
  <c r="AT19" i="1"/>
  <c r="AS20" i="1"/>
  <c r="AT20" i="1"/>
  <c r="AS21" i="1"/>
  <c r="AT21" i="1"/>
  <c r="AS22" i="1"/>
  <c r="AT22" i="1"/>
  <c r="AS23" i="1"/>
  <c r="AT23" i="1"/>
  <c r="AS24" i="1"/>
  <c r="AT24" i="1"/>
  <c r="AS25" i="1"/>
  <c r="AT25" i="1"/>
  <c r="AS26" i="1"/>
  <c r="AT26" i="1"/>
  <c r="AS27" i="1"/>
  <c r="AT27" i="1"/>
  <c r="AS28" i="1"/>
  <c r="AT28" i="1"/>
  <c r="AS29" i="1"/>
  <c r="AT29" i="1"/>
  <c r="AS30" i="1"/>
  <c r="AT30" i="1"/>
  <c r="AS31" i="1"/>
  <c r="AT31" i="1"/>
  <c r="AS32" i="1"/>
  <c r="AT32" i="1"/>
  <c r="AS33" i="1"/>
  <c r="AT33" i="1"/>
  <c r="AS34" i="1"/>
  <c r="AT34" i="1"/>
  <c r="AS35" i="1"/>
  <c r="AT35" i="1"/>
  <c r="AS36" i="1"/>
  <c r="AT36" i="1"/>
  <c r="AS37" i="1"/>
  <c r="AT37" i="1"/>
  <c r="AS38" i="1"/>
  <c r="AT38" i="1"/>
  <c r="AS39" i="1"/>
  <c r="AT39" i="1"/>
  <c r="AS40" i="1"/>
  <c r="AT40" i="1"/>
  <c r="AS41" i="1"/>
  <c r="AT41" i="1"/>
  <c r="AS42" i="1"/>
  <c r="AT42" i="1"/>
  <c r="AS43" i="1"/>
  <c r="AT43" i="1"/>
  <c r="AS44" i="1"/>
  <c r="AT44" i="1"/>
  <c r="AS45" i="1"/>
  <c r="AT45" i="1"/>
  <c r="AS46" i="1"/>
  <c r="AT46" i="1"/>
  <c r="AS47" i="1"/>
  <c r="AT47" i="1"/>
  <c r="AS48" i="1"/>
  <c r="AT48" i="1"/>
  <c r="AS49" i="1"/>
  <c r="AT49" i="1"/>
  <c r="AS50" i="1"/>
  <c r="AT50" i="1"/>
  <c r="AS51" i="1"/>
  <c r="AT51" i="1"/>
  <c r="AS52" i="1"/>
  <c r="AT52" i="1"/>
  <c r="AS53" i="1"/>
  <c r="AT53" i="1"/>
  <c r="AS54" i="1"/>
  <c r="AT54" i="1"/>
  <c r="AS55" i="1"/>
  <c r="AT55" i="1"/>
  <c r="AS56" i="1"/>
  <c r="AT56" i="1"/>
  <c r="AS57" i="1"/>
  <c r="AT57" i="1"/>
  <c r="AS58" i="1"/>
  <c r="AT58" i="1"/>
  <c r="AS59" i="1"/>
  <c r="AT59" i="1"/>
  <c r="AS60" i="1"/>
  <c r="AT60" i="1"/>
  <c r="AS61" i="1"/>
  <c r="AT61" i="1"/>
  <c r="AS62" i="1"/>
  <c r="AT62" i="1"/>
  <c r="AS63" i="1"/>
  <c r="AT63" i="1"/>
  <c r="AS64" i="1"/>
  <c r="AT64" i="1"/>
  <c r="AS65" i="1"/>
  <c r="AT65" i="1"/>
  <c r="AS66" i="1"/>
  <c r="AT66" i="1"/>
  <c r="AS67" i="1"/>
  <c r="AT67" i="1"/>
  <c r="AS68" i="1"/>
  <c r="AT68" i="1"/>
  <c r="AS69" i="1"/>
  <c r="AT69" i="1"/>
  <c r="AS70" i="1"/>
  <c r="AT70" i="1"/>
  <c r="AS71" i="1"/>
  <c r="AT71" i="1"/>
  <c r="AS72" i="1"/>
  <c r="AT72" i="1"/>
  <c r="AS73" i="1"/>
  <c r="AT73" i="1"/>
  <c r="AS74" i="1"/>
  <c r="AT74" i="1"/>
  <c r="AS75" i="1"/>
  <c r="AT75" i="1"/>
  <c r="AS76" i="1"/>
  <c r="AT76" i="1"/>
  <c r="AS77" i="1"/>
  <c r="AT77" i="1"/>
  <c r="AS78" i="1"/>
  <c r="AT78" i="1"/>
  <c r="AS79" i="1"/>
  <c r="AT79" i="1"/>
  <c r="AS80" i="1"/>
  <c r="AT80" i="1"/>
  <c r="AS81" i="1"/>
  <c r="AT81" i="1"/>
  <c r="AS82" i="1"/>
  <c r="AT82" i="1"/>
  <c r="AS83" i="1"/>
  <c r="AT83" i="1"/>
  <c r="AS84" i="1"/>
  <c r="AT84" i="1"/>
  <c r="AS85" i="1"/>
  <c r="AT85" i="1"/>
  <c r="AS86" i="1"/>
  <c r="AT86" i="1"/>
  <c r="AS87" i="1"/>
  <c r="AT87" i="1"/>
  <c r="AS88" i="1"/>
  <c r="AT88" i="1"/>
  <c r="AS89" i="1"/>
  <c r="AT89" i="1"/>
  <c r="AS90" i="1"/>
  <c r="AT90" i="1"/>
  <c r="AS91" i="1"/>
  <c r="AT91" i="1"/>
  <c r="AS92" i="1"/>
  <c r="AT92" i="1"/>
  <c r="AS93" i="1"/>
  <c r="AT93" i="1"/>
  <c r="AS94" i="1"/>
  <c r="AT94" i="1"/>
  <c r="AS95" i="1"/>
  <c r="AT95" i="1"/>
  <c r="AS96" i="1"/>
  <c r="AT96" i="1"/>
  <c r="AS97" i="1"/>
  <c r="AT97" i="1"/>
  <c r="AS98" i="1"/>
  <c r="AT98" i="1"/>
  <c r="AS99" i="1"/>
  <c r="AT99" i="1"/>
  <c r="AS100" i="1"/>
  <c r="AT100" i="1"/>
  <c r="AS101" i="1"/>
  <c r="AT101" i="1"/>
  <c r="AS102" i="1"/>
  <c r="AT102" i="1"/>
  <c r="AS103" i="1"/>
  <c r="AT103" i="1"/>
  <c r="AS104" i="1"/>
  <c r="AT104" i="1"/>
  <c r="AS105" i="1"/>
  <c r="AT105" i="1"/>
  <c r="AS106" i="1"/>
  <c r="AT106" i="1"/>
  <c r="AS107" i="1"/>
  <c r="AT107" i="1"/>
  <c r="AS108" i="1"/>
  <c r="AT108" i="1"/>
  <c r="AS109" i="1"/>
  <c r="AT109" i="1"/>
  <c r="AS110" i="1"/>
  <c r="AT110" i="1"/>
  <c r="AS111" i="1"/>
  <c r="AT111" i="1"/>
  <c r="AS112" i="1"/>
  <c r="AT112" i="1"/>
  <c r="AS113" i="1"/>
  <c r="AT113" i="1"/>
  <c r="AS114" i="1"/>
  <c r="AT114" i="1"/>
  <c r="AS115" i="1"/>
  <c r="AT115" i="1"/>
  <c r="AS116" i="1"/>
  <c r="AT116" i="1"/>
  <c r="AS117" i="1"/>
  <c r="AT117" i="1"/>
  <c r="AS118" i="1"/>
  <c r="AT118" i="1"/>
  <c r="AS119" i="1"/>
  <c r="AT119" i="1"/>
  <c r="AS120" i="1"/>
  <c r="AT120" i="1"/>
  <c r="AS121" i="1"/>
  <c r="AT121" i="1"/>
  <c r="AS122" i="1"/>
  <c r="AT122" i="1"/>
  <c r="AS123" i="1"/>
  <c r="AT123" i="1"/>
  <c r="AS124" i="1"/>
  <c r="AT124" i="1"/>
  <c r="AS125" i="1"/>
  <c r="AT125" i="1"/>
  <c r="AS126" i="1"/>
  <c r="AT126" i="1"/>
  <c r="AS127" i="1"/>
  <c r="AT127" i="1"/>
  <c r="AS128" i="1"/>
  <c r="AT128" i="1"/>
  <c r="AS129" i="1"/>
  <c r="AT129" i="1"/>
  <c r="AS130" i="1"/>
  <c r="AT130" i="1"/>
  <c r="AS131" i="1"/>
  <c r="AT131" i="1"/>
  <c r="AS132" i="1"/>
  <c r="AT132" i="1"/>
  <c r="AS133" i="1"/>
  <c r="AT133" i="1"/>
  <c r="AS134" i="1"/>
  <c r="AT134" i="1"/>
  <c r="AS135" i="1"/>
  <c r="AT135" i="1"/>
  <c r="AS136" i="1"/>
  <c r="AT136" i="1"/>
  <c r="AS137" i="1"/>
  <c r="AT137" i="1"/>
  <c r="AS138" i="1"/>
  <c r="AT138" i="1"/>
  <c r="AS139" i="1"/>
  <c r="AT139" i="1"/>
  <c r="AS140" i="1"/>
  <c r="AT140" i="1"/>
  <c r="AS141" i="1"/>
  <c r="AT141" i="1"/>
  <c r="AS142" i="1"/>
  <c r="AT142" i="1"/>
  <c r="AS143" i="1"/>
  <c r="AT143" i="1"/>
  <c r="AS144" i="1"/>
  <c r="AT144" i="1"/>
  <c r="AS145" i="1"/>
  <c r="AT145" i="1"/>
  <c r="AS146" i="1"/>
  <c r="AT146" i="1"/>
  <c r="AS147" i="1"/>
  <c r="AT147" i="1"/>
  <c r="AS148" i="1"/>
  <c r="AT148" i="1"/>
  <c r="AS149" i="1"/>
  <c r="AT149" i="1"/>
  <c r="AS150" i="1"/>
  <c r="AT150" i="1"/>
  <c r="AS151" i="1"/>
  <c r="AT151" i="1"/>
  <c r="AS152" i="1"/>
  <c r="AT152" i="1"/>
  <c r="AS153" i="1"/>
  <c r="AT153" i="1"/>
  <c r="AS154" i="1"/>
  <c r="AT154" i="1"/>
  <c r="AS155" i="1"/>
  <c r="AT155" i="1"/>
  <c r="AS156" i="1"/>
  <c r="AT156" i="1"/>
  <c r="AS157" i="1"/>
  <c r="AT157" i="1"/>
  <c r="AS158" i="1"/>
  <c r="AT158" i="1"/>
  <c r="AS159" i="1"/>
  <c r="AT159" i="1"/>
  <c r="AS160" i="1"/>
  <c r="AT160" i="1"/>
  <c r="AS161" i="1"/>
  <c r="AT161" i="1"/>
  <c r="AS162" i="1"/>
  <c r="AT162" i="1"/>
  <c r="AS163" i="1"/>
  <c r="AT163" i="1"/>
  <c r="AS164" i="1"/>
  <c r="AT164" i="1"/>
  <c r="AS165" i="1"/>
  <c r="AT165" i="1"/>
  <c r="AS166" i="1"/>
  <c r="AT166" i="1"/>
  <c r="AS167" i="1"/>
  <c r="AT167" i="1"/>
  <c r="AS168" i="1"/>
  <c r="AT168" i="1"/>
  <c r="AS169" i="1"/>
  <c r="AT169" i="1"/>
  <c r="AS170" i="1"/>
  <c r="AT170" i="1"/>
  <c r="AS171" i="1"/>
  <c r="AT171" i="1"/>
  <c r="AS172" i="1"/>
  <c r="AT172" i="1"/>
  <c r="AS173" i="1"/>
  <c r="AT173" i="1"/>
  <c r="AS174" i="1"/>
  <c r="AT174" i="1"/>
  <c r="AS175" i="1"/>
  <c r="AT175" i="1"/>
  <c r="AS176" i="1"/>
  <c r="AT176" i="1"/>
  <c r="AS177" i="1"/>
  <c r="AT177" i="1"/>
  <c r="AS178" i="1"/>
  <c r="AT178" i="1"/>
  <c r="AS179" i="1"/>
  <c r="AT179" i="1"/>
  <c r="AS180" i="1"/>
  <c r="AT180" i="1"/>
  <c r="AS181" i="1"/>
  <c r="AT181" i="1"/>
  <c r="AS182" i="1"/>
  <c r="AT182" i="1"/>
  <c r="AS183" i="1"/>
  <c r="AT183" i="1"/>
  <c r="AS184" i="1"/>
  <c r="AT184" i="1"/>
  <c r="AS185" i="1"/>
  <c r="AT185" i="1"/>
  <c r="AS186" i="1"/>
  <c r="AT186" i="1"/>
  <c r="AS187" i="1"/>
  <c r="AT187" i="1"/>
  <c r="AS188" i="1"/>
  <c r="AT188" i="1"/>
  <c r="AS189" i="1"/>
  <c r="AT189" i="1"/>
  <c r="AS190" i="1"/>
  <c r="AT190" i="1"/>
  <c r="AS191" i="1"/>
  <c r="AT191" i="1"/>
  <c r="AS192" i="1"/>
  <c r="AT192" i="1"/>
  <c r="AS193" i="1"/>
  <c r="AT193" i="1"/>
  <c r="AS194" i="1"/>
  <c r="AT194" i="1"/>
  <c r="AS195" i="1"/>
  <c r="AT195" i="1"/>
  <c r="AS196" i="1"/>
  <c r="AT196" i="1"/>
  <c r="AS197" i="1"/>
  <c r="AT197" i="1"/>
  <c r="AS198" i="1"/>
  <c r="AT198" i="1"/>
  <c r="AS199" i="1"/>
  <c r="AT199" i="1"/>
  <c r="AS200" i="1"/>
  <c r="AT200" i="1"/>
  <c r="AS201" i="1"/>
  <c r="AT201" i="1"/>
  <c r="AS202" i="1"/>
  <c r="AT202" i="1"/>
  <c r="AS203" i="1"/>
  <c r="AT203" i="1"/>
  <c r="AS204" i="1"/>
  <c r="AT204" i="1"/>
  <c r="AS205" i="1"/>
  <c r="AT205" i="1"/>
  <c r="AS206" i="1"/>
  <c r="AT206" i="1"/>
  <c r="AS207" i="1"/>
  <c r="AT207" i="1"/>
  <c r="AS209" i="1"/>
  <c r="AT209" i="1"/>
  <c r="AS210" i="1"/>
  <c r="AT210" i="1"/>
  <c r="AS211" i="1"/>
  <c r="AT211" i="1"/>
  <c r="AS212" i="1"/>
  <c r="AT212" i="1"/>
  <c r="AS213" i="1"/>
  <c r="AT213" i="1"/>
  <c r="AS214" i="1"/>
  <c r="AT214" i="1"/>
  <c r="AS215" i="1"/>
  <c r="AT215" i="1"/>
  <c r="AS216" i="1"/>
  <c r="AT216" i="1"/>
  <c r="AS217" i="1"/>
  <c r="AT217" i="1"/>
  <c r="AS218" i="1"/>
  <c r="AT218" i="1"/>
  <c r="AS219" i="1"/>
  <c r="AT219" i="1"/>
  <c r="AS220" i="1"/>
  <c r="AT220" i="1"/>
  <c r="AS221" i="1"/>
  <c r="AT221" i="1"/>
  <c r="AS222" i="1"/>
  <c r="AT222" i="1"/>
  <c r="AS223" i="1"/>
  <c r="AT223" i="1"/>
  <c r="AS224" i="1"/>
  <c r="AT224" i="1"/>
  <c r="AS225" i="1"/>
  <c r="AT225" i="1"/>
  <c r="AS226" i="1"/>
  <c r="AT226" i="1"/>
  <c r="AS227" i="1"/>
  <c r="AT227" i="1"/>
  <c r="AS228" i="1"/>
  <c r="AT228" i="1"/>
  <c r="AS229" i="1"/>
  <c r="AT229" i="1"/>
  <c r="AS230" i="1"/>
  <c r="AT230" i="1"/>
  <c r="AS231" i="1"/>
  <c r="AT231" i="1"/>
  <c r="AS232" i="1"/>
  <c r="AT232" i="1"/>
  <c r="AS233" i="1"/>
  <c r="AT233" i="1"/>
  <c r="AS234" i="1"/>
  <c r="AT234" i="1"/>
  <c r="AS235" i="1"/>
  <c r="AT235" i="1"/>
  <c r="AS236" i="1"/>
  <c r="AT236" i="1"/>
  <c r="AS237" i="1"/>
  <c r="AT237" i="1"/>
  <c r="AS238" i="1"/>
  <c r="AT238" i="1"/>
  <c r="AS239" i="1"/>
  <c r="AT239" i="1"/>
  <c r="AS240" i="1"/>
  <c r="AT240" i="1"/>
  <c r="AS241" i="1"/>
  <c r="AT241" i="1"/>
  <c r="AS242" i="1"/>
  <c r="AT242" i="1"/>
  <c r="AS243" i="1"/>
  <c r="AT243" i="1"/>
  <c r="AS244" i="1"/>
  <c r="AT244" i="1"/>
  <c r="AS245" i="1"/>
  <c r="AT245" i="1"/>
  <c r="AS246" i="1"/>
  <c r="AT246" i="1"/>
  <c r="AS247" i="1"/>
  <c r="AT247" i="1"/>
  <c r="AS248" i="1"/>
  <c r="AT248" i="1"/>
  <c r="AS249" i="1"/>
  <c r="AT249" i="1"/>
  <c r="AS250" i="1"/>
  <c r="AT250" i="1"/>
  <c r="AS251" i="1"/>
  <c r="AT251" i="1"/>
  <c r="AS252" i="1"/>
  <c r="AT252" i="1"/>
  <c r="AS253" i="1"/>
  <c r="AT253" i="1"/>
  <c r="AS254" i="1"/>
  <c r="AT254" i="1"/>
  <c r="AS255" i="1"/>
  <c r="AT255" i="1"/>
  <c r="AS256" i="1"/>
  <c r="AT256" i="1"/>
  <c r="AS257" i="1"/>
  <c r="AT257" i="1"/>
  <c r="AS258" i="1"/>
  <c r="AT258" i="1"/>
  <c r="AS259" i="1"/>
  <c r="AT259" i="1"/>
  <c r="AS260" i="1"/>
  <c r="AT260" i="1"/>
  <c r="AS261" i="1"/>
  <c r="AT261" i="1"/>
  <c r="AS262" i="1"/>
  <c r="AT262" i="1"/>
  <c r="AS263" i="1"/>
  <c r="AT263" i="1"/>
  <c r="AS264" i="1"/>
  <c r="AT264" i="1"/>
  <c r="AS265" i="1"/>
  <c r="AT265" i="1"/>
  <c r="AS266" i="1"/>
  <c r="AT266" i="1"/>
  <c r="AS267" i="1"/>
  <c r="AT267" i="1"/>
  <c r="AS268" i="1"/>
  <c r="AT268" i="1"/>
  <c r="AS269" i="1"/>
  <c r="AT269" i="1"/>
  <c r="AS270" i="1"/>
  <c r="AT270" i="1"/>
  <c r="AS271" i="1"/>
  <c r="AT271" i="1"/>
  <c r="AS272" i="1"/>
  <c r="AT272" i="1"/>
  <c r="AS273" i="1"/>
  <c r="AT273" i="1"/>
  <c r="AS274" i="1"/>
  <c r="AT274" i="1"/>
  <c r="AS275" i="1"/>
  <c r="AT275" i="1"/>
  <c r="AS276" i="1"/>
  <c r="AT276" i="1"/>
  <c r="AS277" i="1"/>
  <c r="AT277" i="1"/>
  <c r="AS278" i="1"/>
  <c r="AT278" i="1"/>
  <c r="AS280" i="1"/>
  <c r="AT280" i="1"/>
  <c r="AS281" i="1"/>
  <c r="AT281" i="1"/>
  <c r="AS282" i="1"/>
  <c r="AT282" i="1"/>
  <c r="AS283" i="1"/>
  <c r="AT283" i="1"/>
  <c r="AS284" i="1"/>
  <c r="AT284" i="1"/>
  <c r="AS285" i="1"/>
  <c r="AT285" i="1"/>
  <c r="AS286" i="1"/>
  <c r="AT286" i="1"/>
  <c r="AS287" i="1"/>
  <c r="AT287" i="1"/>
  <c r="AS288" i="1"/>
  <c r="AT288" i="1"/>
  <c r="AS289" i="1"/>
  <c r="AT289" i="1"/>
  <c r="AS290" i="1"/>
  <c r="AT290" i="1"/>
  <c r="AS291" i="1"/>
  <c r="AT291" i="1"/>
  <c r="AS292" i="1"/>
  <c r="AT292" i="1"/>
  <c r="AS293" i="1"/>
  <c r="AT293" i="1"/>
  <c r="AS294" i="1"/>
  <c r="AT294" i="1"/>
  <c r="AS295" i="1"/>
  <c r="AT295" i="1"/>
  <c r="AS296" i="1"/>
  <c r="AT296" i="1"/>
  <c r="AS297" i="1"/>
  <c r="AT297" i="1"/>
  <c r="AS298" i="1"/>
  <c r="AT298" i="1"/>
  <c r="AS299" i="1"/>
  <c r="AT299" i="1"/>
  <c r="AS300" i="1"/>
  <c r="AT300" i="1"/>
  <c r="AS301" i="1"/>
  <c r="AT301" i="1"/>
  <c r="AS302" i="1"/>
  <c r="AT302" i="1"/>
  <c r="AS303" i="1"/>
  <c r="AT303" i="1"/>
  <c r="AS304" i="1"/>
  <c r="AT304" i="1"/>
  <c r="AS305" i="1"/>
  <c r="AT305" i="1"/>
  <c r="AS306" i="1"/>
  <c r="AT306" i="1"/>
  <c r="AS307" i="1"/>
  <c r="AT307" i="1"/>
  <c r="AS308" i="1"/>
  <c r="AT308" i="1"/>
  <c r="AS309" i="1"/>
  <c r="AT309" i="1"/>
  <c r="AS310" i="1"/>
  <c r="AT310" i="1"/>
  <c r="AS311" i="1"/>
  <c r="AT311" i="1"/>
  <c r="AS312" i="1"/>
  <c r="AT312" i="1"/>
  <c r="AS313" i="1"/>
  <c r="AT313" i="1"/>
  <c r="AS314" i="1"/>
  <c r="AT314" i="1"/>
  <c r="AS315" i="1"/>
  <c r="AT315" i="1"/>
  <c r="AS316" i="1"/>
  <c r="AT316" i="1"/>
  <c r="AS317" i="1"/>
  <c r="AT317" i="1"/>
  <c r="AS318" i="1"/>
  <c r="AT318" i="1"/>
  <c r="AS319" i="1"/>
  <c r="AT319" i="1"/>
  <c r="AS320" i="1"/>
  <c r="AT320" i="1"/>
  <c r="AS321" i="1"/>
  <c r="AT321" i="1"/>
  <c r="AS322" i="1"/>
  <c r="AT322" i="1"/>
  <c r="AS323" i="1"/>
  <c r="AT323" i="1"/>
  <c r="AS324" i="1"/>
  <c r="AT324" i="1"/>
  <c r="AS325" i="1"/>
  <c r="AT325" i="1"/>
  <c r="AS326" i="1"/>
  <c r="AT326" i="1"/>
  <c r="AS327" i="1"/>
  <c r="AT327" i="1"/>
  <c r="AS328" i="1"/>
  <c r="AT328" i="1"/>
  <c r="AS329" i="1"/>
  <c r="AT329" i="1"/>
  <c r="AS330" i="1"/>
  <c r="AT330" i="1"/>
  <c r="AS331" i="1"/>
  <c r="AT331" i="1"/>
  <c r="AS332" i="1"/>
  <c r="AT332" i="1"/>
  <c r="AS333" i="1"/>
  <c r="AT333" i="1"/>
  <c r="AS334" i="1"/>
  <c r="AT334" i="1"/>
  <c r="AS335" i="1"/>
  <c r="AT335" i="1"/>
  <c r="AS336" i="1"/>
  <c r="AT336" i="1"/>
  <c r="AS337" i="1"/>
  <c r="AT337" i="1"/>
  <c r="AS338" i="1"/>
  <c r="AT338" i="1"/>
  <c r="AS339" i="1"/>
  <c r="AT339" i="1"/>
  <c r="AS340" i="1"/>
  <c r="AT340" i="1"/>
  <c r="AS341" i="1"/>
  <c r="AT341" i="1"/>
  <c r="AS342" i="1"/>
  <c r="AT342" i="1"/>
  <c r="AS343" i="1"/>
  <c r="AT343" i="1"/>
  <c r="AS344" i="1"/>
  <c r="AT344" i="1"/>
  <c r="AS345" i="1"/>
  <c r="AT345" i="1"/>
  <c r="AS346" i="1"/>
  <c r="AT346" i="1"/>
  <c r="AS347" i="1"/>
  <c r="AT347" i="1"/>
  <c r="AS348" i="1"/>
  <c r="AT348" i="1"/>
  <c r="AS349" i="1"/>
  <c r="AT349" i="1"/>
  <c r="AS350" i="1"/>
  <c r="AT350" i="1"/>
  <c r="AS351" i="1"/>
  <c r="AT351" i="1"/>
  <c r="AS352" i="1"/>
  <c r="AT352" i="1"/>
  <c r="AS353" i="1"/>
  <c r="AT353" i="1"/>
  <c r="AS354" i="1"/>
  <c r="AT354" i="1"/>
  <c r="AS355" i="1"/>
  <c r="AT355" i="1"/>
  <c r="AS356" i="1"/>
  <c r="AT356" i="1"/>
  <c r="AS357" i="1"/>
  <c r="AT357" i="1"/>
  <c r="AS358" i="1"/>
  <c r="AT358" i="1"/>
  <c r="AS359" i="1"/>
  <c r="AT359" i="1"/>
  <c r="AS360" i="1"/>
  <c r="AT360" i="1"/>
  <c r="AS361" i="1"/>
  <c r="AT361" i="1"/>
  <c r="AS362" i="1"/>
  <c r="AT362" i="1"/>
  <c r="AS363" i="1"/>
  <c r="AT363" i="1"/>
  <c r="AS364" i="1"/>
  <c r="AT364" i="1"/>
  <c r="AS365" i="1"/>
  <c r="AT365" i="1"/>
  <c r="AS366" i="1"/>
  <c r="AT366" i="1"/>
  <c r="AS367" i="1"/>
  <c r="AT367" i="1"/>
  <c r="AS368" i="1"/>
  <c r="AT368" i="1"/>
  <c r="AS369" i="1"/>
  <c r="AT369" i="1"/>
  <c r="AS370" i="1"/>
  <c r="AT370" i="1"/>
  <c r="AS371" i="1"/>
  <c r="AT371" i="1"/>
  <c r="AS372" i="1"/>
  <c r="AT372" i="1"/>
  <c r="AS373" i="1"/>
  <c r="AT373" i="1"/>
  <c r="AS374" i="1"/>
  <c r="AT374" i="1"/>
  <c r="AS375" i="1"/>
  <c r="AT375" i="1"/>
  <c r="AS376" i="1"/>
  <c r="AT376" i="1"/>
  <c r="AS377" i="1"/>
  <c r="AT377" i="1"/>
  <c r="AS378" i="1"/>
  <c r="AT378" i="1"/>
  <c r="AS379" i="1"/>
  <c r="AT379" i="1"/>
  <c r="AS380" i="1"/>
  <c r="AT380" i="1"/>
  <c r="AS381" i="1"/>
  <c r="AT381" i="1"/>
  <c r="AS382" i="1"/>
  <c r="AT382" i="1"/>
  <c r="AS383" i="1"/>
  <c r="AT383" i="1"/>
  <c r="AS384" i="1"/>
  <c r="AT384" i="1"/>
  <c r="AS385" i="1"/>
  <c r="AT385" i="1"/>
  <c r="AS386" i="1"/>
  <c r="AT386" i="1"/>
  <c r="AS387" i="1"/>
  <c r="AT387" i="1"/>
  <c r="AS388" i="1"/>
  <c r="AT388" i="1"/>
  <c r="AS389" i="1"/>
  <c r="AT389" i="1"/>
  <c r="AS390" i="1"/>
  <c r="AT390" i="1"/>
  <c r="AS391" i="1"/>
  <c r="AT391" i="1"/>
  <c r="AS392" i="1"/>
  <c r="AT392" i="1"/>
  <c r="AS393" i="1"/>
  <c r="AT393" i="1"/>
  <c r="AS394" i="1"/>
  <c r="AT394" i="1"/>
  <c r="AS395" i="1"/>
  <c r="AT395" i="1"/>
  <c r="AS396" i="1"/>
  <c r="AT396" i="1"/>
  <c r="AS397" i="1"/>
  <c r="AT397" i="1"/>
  <c r="AS398" i="1"/>
  <c r="AT398" i="1"/>
  <c r="AS399" i="1"/>
  <c r="AT399" i="1"/>
  <c r="AS400" i="1"/>
  <c r="AT400" i="1"/>
  <c r="AS401" i="1"/>
  <c r="AT401" i="1"/>
  <c r="AS402" i="1"/>
  <c r="AT402" i="1"/>
  <c r="AS403" i="1"/>
  <c r="AT403" i="1"/>
  <c r="AS404" i="1"/>
  <c r="AT404" i="1"/>
  <c r="AS405" i="1"/>
  <c r="AT405" i="1"/>
  <c r="AS406" i="1"/>
  <c r="AT406" i="1"/>
  <c r="AS407" i="1"/>
  <c r="AT407" i="1"/>
  <c r="AS408" i="1"/>
  <c r="AT408" i="1"/>
  <c r="AS409" i="1"/>
  <c r="AT409" i="1"/>
  <c r="AS410" i="1"/>
  <c r="AT410" i="1"/>
  <c r="AS411" i="1"/>
  <c r="AT411" i="1"/>
  <c r="AS412" i="1"/>
  <c r="AT412" i="1"/>
  <c r="AS413" i="1"/>
  <c r="AT413" i="1"/>
  <c r="AS414" i="1"/>
  <c r="AT414" i="1"/>
  <c r="AS415" i="1"/>
  <c r="AT415" i="1"/>
  <c r="AS416" i="1"/>
  <c r="AT416" i="1"/>
  <c r="AS417" i="1"/>
  <c r="AT417" i="1"/>
  <c r="AS418" i="1"/>
  <c r="AT418" i="1"/>
  <c r="AS419" i="1"/>
  <c r="AT419" i="1"/>
  <c r="AS420" i="1"/>
  <c r="AT420" i="1"/>
  <c r="AS421" i="1"/>
  <c r="AT421" i="1"/>
  <c r="AS422" i="1"/>
  <c r="AT422" i="1"/>
  <c r="AS423" i="1"/>
  <c r="AT423" i="1"/>
  <c r="AS424" i="1"/>
  <c r="AT424" i="1"/>
  <c r="AS425" i="1"/>
  <c r="AT425" i="1"/>
  <c r="AS426" i="1"/>
  <c r="AT426" i="1"/>
  <c r="AS427" i="1"/>
  <c r="AT427" i="1"/>
  <c r="AS428" i="1"/>
  <c r="AT428" i="1"/>
  <c r="AS429" i="1"/>
  <c r="AT429" i="1"/>
  <c r="AS430" i="1"/>
  <c r="AT430" i="1"/>
  <c r="AS431" i="1"/>
  <c r="AT431" i="1"/>
  <c r="AS432" i="1"/>
  <c r="AT432" i="1"/>
  <c r="AS433" i="1"/>
  <c r="AT433" i="1"/>
  <c r="AS434" i="1"/>
  <c r="AT434" i="1"/>
  <c r="AS435" i="1"/>
  <c r="AT435" i="1"/>
  <c r="AS436" i="1"/>
  <c r="AT436" i="1"/>
  <c r="AS437" i="1"/>
  <c r="AT437" i="1"/>
  <c r="AS438" i="1"/>
  <c r="AT438" i="1"/>
  <c r="AS439" i="1"/>
  <c r="AT439" i="1"/>
  <c r="AS440" i="1"/>
  <c r="AT440" i="1"/>
  <c r="AS441" i="1"/>
  <c r="AT441" i="1"/>
  <c r="AS442" i="1"/>
  <c r="AT442" i="1"/>
  <c r="AS443" i="1"/>
  <c r="AT443" i="1"/>
  <c r="AS444" i="1"/>
  <c r="AT444" i="1"/>
  <c r="AS445" i="1"/>
  <c r="AT445" i="1"/>
  <c r="AS446" i="1"/>
  <c r="AT446" i="1"/>
  <c r="AS447" i="1"/>
  <c r="AT447" i="1"/>
  <c r="AS448" i="1"/>
  <c r="AT448" i="1"/>
  <c r="AS449" i="1"/>
  <c r="AT449" i="1"/>
  <c r="AS450" i="1"/>
  <c r="AT450" i="1"/>
  <c r="AS451" i="1"/>
  <c r="AT451" i="1"/>
  <c r="AS452" i="1"/>
  <c r="AT452" i="1"/>
  <c r="AS453" i="1"/>
  <c r="AT453" i="1"/>
  <c r="AS454" i="1"/>
  <c r="AT454" i="1"/>
  <c r="AS455" i="1"/>
  <c r="AT455" i="1"/>
  <c r="AS456" i="1"/>
  <c r="AT456" i="1"/>
  <c r="AS457" i="1"/>
  <c r="AT457" i="1"/>
  <c r="AS458" i="1"/>
  <c r="AT458" i="1"/>
  <c r="AS459" i="1"/>
  <c r="AT459" i="1"/>
  <c r="AS460" i="1"/>
  <c r="AT460" i="1"/>
  <c r="AS461" i="1"/>
  <c r="AT461" i="1"/>
  <c r="AS462" i="1"/>
  <c r="AT462" i="1"/>
  <c r="AS463" i="1"/>
  <c r="AT463" i="1"/>
  <c r="AS464" i="1"/>
  <c r="AT464" i="1"/>
  <c r="AS465" i="1"/>
  <c r="AT465" i="1"/>
  <c r="AS466" i="1"/>
  <c r="AT466" i="1"/>
  <c r="AS467" i="1"/>
  <c r="AT467" i="1"/>
  <c r="AS468" i="1"/>
  <c r="AT468" i="1"/>
  <c r="AS469" i="1"/>
  <c r="AT469" i="1"/>
  <c r="AS470" i="1"/>
  <c r="AT470" i="1"/>
  <c r="AS471" i="1"/>
  <c r="AT471" i="1"/>
  <c r="AS472" i="1"/>
  <c r="AT472" i="1"/>
  <c r="AS473" i="1"/>
  <c r="AT473" i="1"/>
  <c r="AS474" i="1"/>
  <c r="AT474" i="1"/>
  <c r="AS475" i="1"/>
  <c r="AT475" i="1"/>
  <c r="AS476" i="1"/>
  <c r="AT476" i="1"/>
  <c r="AS477" i="1"/>
  <c r="AT477" i="1"/>
  <c r="AS478" i="1"/>
  <c r="AT478" i="1"/>
  <c r="AS479" i="1"/>
  <c r="AT479" i="1"/>
  <c r="AS480" i="1"/>
  <c r="AT480" i="1"/>
  <c r="AS481" i="1"/>
  <c r="AT481" i="1"/>
  <c r="AS482" i="1"/>
  <c r="AT482" i="1"/>
  <c r="AS483" i="1"/>
  <c r="AT483" i="1"/>
  <c r="AS484" i="1"/>
  <c r="AT484" i="1"/>
  <c r="AS485" i="1"/>
  <c r="AT485" i="1"/>
  <c r="AS486" i="1"/>
  <c r="AT486" i="1"/>
  <c r="AS487" i="1"/>
  <c r="AT487" i="1"/>
  <c r="AS488" i="1"/>
  <c r="AT488" i="1"/>
  <c r="AS489" i="1"/>
  <c r="AT489" i="1"/>
  <c r="AS490" i="1"/>
  <c r="AT490" i="1"/>
  <c r="AS491" i="1"/>
  <c r="AT491" i="1"/>
  <c r="AS492" i="1"/>
  <c r="AT492" i="1"/>
  <c r="AS493" i="1"/>
  <c r="AT493" i="1"/>
  <c r="AS494" i="1"/>
  <c r="AT494" i="1"/>
  <c r="AS495" i="1"/>
  <c r="AT495" i="1"/>
  <c r="AS496" i="1"/>
  <c r="AT496" i="1"/>
  <c r="AS497" i="1"/>
  <c r="AT497" i="1"/>
  <c r="AS498" i="1"/>
  <c r="AT498" i="1"/>
  <c r="AS499" i="1"/>
  <c r="AT499" i="1"/>
  <c r="AS500" i="1"/>
  <c r="AT500" i="1"/>
  <c r="AS501" i="1"/>
  <c r="AT501" i="1"/>
  <c r="AS502" i="1"/>
  <c r="AT502" i="1"/>
  <c r="AS503" i="1"/>
  <c r="AT503" i="1"/>
  <c r="AS504" i="1"/>
  <c r="AT504" i="1"/>
  <c r="AS505" i="1"/>
  <c r="AT505" i="1"/>
  <c r="AS506" i="1"/>
  <c r="AT506" i="1"/>
  <c r="AS507" i="1"/>
  <c r="AT507" i="1"/>
  <c r="AS508" i="1"/>
  <c r="AT508" i="1"/>
  <c r="AS509" i="1"/>
  <c r="AT509" i="1"/>
  <c r="AS510" i="1"/>
  <c r="AT510" i="1"/>
  <c r="AS511" i="1"/>
  <c r="AT511" i="1"/>
  <c r="AS512" i="1"/>
  <c r="AT512" i="1"/>
  <c r="AS513" i="1"/>
  <c r="AT513" i="1"/>
  <c r="AS514" i="1"/>
  <c r="AT514" i="1"/>
  <c r="AS515" i="1"/>
  <c r="AT515" i="1"/>
  <c r="AS516" i="1"/>
  <c r="AT516" i="1"/>
  <c r="AS517" i="1"/>
  <c r="AT517" i="1"/>
  <c r="AS518" i="1"/>
  <c r="AT518" i="1"/>
  <c r="AS519" i="1"/>
  <c r="AT519" i="1"/>
  <c r="AS520" i="1"/>
  <c r="AT520" i="1"/>
  <c r="AS521" i="1"/>
  <c r="AT521" i="1"/>
  <c r="AS522" i="1"/>
  <c r="AT522" i="1"/>
  <c r="AS523" i="1"/>
  <c r="AT523" i="1"/>
  <c r="AS524" i="1"/>
  <c r="AT524" i="1"/>
  <c r="AS525" i="1"/>
  <c r="AT525" i="1"/>
  <c r="AS526" i="1"/>
  <c r="AT526" i="1"/>
  <c r="AS527" i="1"/>
  <c r="AT527" i="1"/>
  <c r="AS528" i="1"/>
  <c r="AT528" i="1"/>
  <c r="AS529" i="1"/>
  <c r="AT529" i="1"/>
  <c r="AS530" i="1"/>
  <c r="AT530" i="1"/>
  <c r="AS531" i="1"/>
  <c r="AT531" i="1"/>
  <c r="AS532" i="1"/>
  <c r="AT532" i="1"/>
  <c r="AS533" i="1"/>
  <c r="AT533" i="1"/>
  <c r="AS534" i="1"/>
  <c r="AT534" i="1"/>
  <c r="AS535" i="1"/>
  <c r="AT535" i="1"/>
  <c r="AS536" i="1"/>
  <c r="AT536" i="1"/>
  <c r="AS537" i="1"/>
  <c r="AT537" i="1"/>
  <c r="AS538" i="1"/>
  <c r="AT538" i="1"/>
  <c r="AS539" i="1"/>
  <c r="AT539" i="1"/>
  <c r="AS540" i="1"/>
  <c r="AT540" i="1"/>
  <c r="AS541" i="1"/>
  <c r="AT541" i="1"/>
  <c r="AS542" i="1"/>
  <c r="AT542" i="1"/>
  <c r="AS543" i="1"/>
  <c r="AT543" i="1"/>
  <c r="AS544" i="1"/>
  <c r="AT544" i="1"/>
  <c r="AS545" i="1"/>
  <c r="AT545" i="1"/>
  <c r="AS546" i="1"/>
  <c r="AT546" i="1"/>
  <c r="AS547" i="1"/>
  <c r="AT547" i="1"/>
  <c r="AS548" i="1"/>
  <c r="AT548" i="1"/>
  <c r="AS549" i="1"/>
  <c r="AT549" i="1"/>
  <c r="AS550" i="1"/>
  <c r="AT550" i="1"/>
  <c r="AS551" i="1"/>
  <c r="AT551" i="1"/>
  <c r="AS552" i="1"/>
  <c r="AT552" i="1"/>
  <c r="AS553" i="1"/>
  <c r="AT553" i="1"/>
  <c r="AS554" i="1"/>
  <c r="AT554" i="1"/>
  <c r="AS555" i="1"/>
  <c r="AT555" i="1"/>
  <c r="AS556" i="1"/>
  <c r="AT556" i="1"/>
  <c r="AS557" i="1"/>
  <c r="AT557" i="1"/>
  <c r="AS558" i="1"/>
  <c r="AT558" i="1"/>
  <c r="AS559" i="1"/>
  <c r="AT559" i="1"/>
  <c r="AS560" i="1"/>
  <c r="AT560" i="1"/>
  <c r="AS561" i="1"/>
  <c r="AT561" i="1"/>
  <c r="AS562" i="1"/>
  <c r="AT562" i="1"/>
  <c r="AS563" i="1"/>
  <c r="AT563" i="1"/>
  <c r="AS564" i="1"/>
  <c r="AT564" i="1"/>
  <c r="AS565" i="1"/>
  <c r="AT565" i="1"/>
  <c r="AS566" i="1"/>
  <c r="AT566" i="1"/>
  <c r="AS567" i="1"/>
  <c r="AT567" i="1"/>
  <c r="AS568" i="1"/>
  <c r="AT568" i="1"/>
  <c r="AS569" i="1"/>
  <c r="AT569" i="1"/>
  <c r="AS570" i="1"/>
  <c r="AT570" i="1"/>
  <c r="AS571" i="1"/>
  <c r="AT571" i="1"/>
  <c r="AS572" i="1"/>
  <c r="AT572" i="1"/>
  <c r="AS573" i="1"/>
  <c r="AT573" i="1"/>
  <c r="AS574" i="1"/>
  <c r="AT574" i="1"/>
  <c r="AS575" i="1"/>
  <c r="AT575" i="1"/>
  <c r="AS576" i="1"/>
  <c r="AT576" i="1"/>
  <c r="AS577" i="1"/>
  <c r="AT577" i="1"/>
  <c r="AS578" i="1"/>
  <c r="AT578" i="1"/>
  <c r="AS579" i="1"/>
  <c r="AT579" i="1"/>
  <c r="AS580" i="1"/>
  <c r="AT580" i="1"/>
  <c r="AS581" i="1"/>
  <c r="AT581" i="1"/>
  <c r="AS582" i="1"/>
  <c r="AT582" i="1"/>
  <c r="AS583" i="1"/>
  <c r="AT583" i="1"/>
  <c r="AS584" i="1"/>
  <c r="AT584" i="1"/>
  <c r="AS585" i="1"/>
  <c r="AT585" i="1"/>
  <c r="AS586" i="1"/>
  <c r="AT586" i="1"/>
  <c r="AS587" i="1"/>
  <c r="AT587" i="1"/>
  <c r="AS588" i="1"/>
  <c r="AT588" i="1"/>
  <c r="AS589" i="1"/>
  <c r="AT589" i="1"/>
  <c r="AS590" i="1"/>
  <c r="AT590" i="1"/>
  <c r="AS591" i="1"/>
  <c r="AT591" i="1"/>
  <c r="AS592" i="1"/>
  <c r="AT592" i="1"/>
  <c r="AS593" i="1"/>
  <c r="AT593" i="1"/>
  <c r="AS594" i="1"/>
  <c r="F18" i="105" s="1"/>
  <c r="AT594" i="1"/>
  <c r="AS595" i="1"/>
  <c r="AT595" i="1"/>
  <c r="AS596" i="1"/>
  <c r="AT596" i="1"/>
  <c r="AS597" i="1"/>
  <c r="AT597" i="1"/>
  <c r="AS598" i="1"/>
  <c r="AT598" i="1"/>
  <c r="AS599" i="1"/>
  <c r="AT599" i="1"/>
  <c r="AS600" i="1"/>
  <c r="AT600" i="1"/>
  <c r="AS601" i="1"/>
  <c r="AT601" i="1"/>
  <c r="AS602" i="1"/>
  <c r="AT602" i="1"/>
  <c r="AS603" i="1"/>
  <c r="AT603" i="1"/>
  <c r="AS604" i="1"/>
  <c r="AT604" i="1"/>
  <c r="AS605" i="1"/>
  <c r="AT605" i="1"/>
  <c r="AS606" i="1"/>
  <c r="AT606" i="1"/>
  <c r="AS607" i="1"/>
  <c r="AT607" i="1"/>
  <c r="AS608" i="1"/>
  <c r="AT608" i="1"/>
  <c r="AS609" i="1"/>
  <c r="AT609" i="1"/>
  <c r="AS610" i="1"/>
  <c r="AT610" i="1"/>
  <c r="AS611" i="1"/>
  <c r="AT611" i="1"/>
  <c r="AS612" i="1"/>
  <c r="AT612" i="1"/>
  <c r="AS613" i="1"/>
  <c r="AT613" i="1"/>
  <c r="AS614" i="1"/>
  <c r="AT614" i="1"/>
  <c r="AS615" i="1"/>
  <c r="AT615" i="1"/>
  <c r="AS616" i="1"/>
  <c r="AT616" i="1"/>
  <c r="AS617" i="1"/>
  <c r="AT617" i="1"/>
  <c r="AS618" i="1"/>
  <c r="AT618" i="1"/>
  <c r="AS619" i="1"/>
  <c r="AT619" i="1"/>
  <c r="AS620" i="1"/>
  <c r="AT620" i="1"/>
  <c r="AS621" i="1"/>
  <c r="AT621" i="1"/>
  <c r="AS622" i="1"/>
  <c r="AT622" i="1"/>
  <c r="AS623" i="1"/>
  <c r="AT623" i="1"/>
  <c r="AS624" i="1"/>
  <c r="AT624" i="1"/>
  <c r="AS625" i="1"/>
  <c r="AT625" i="1"/>
  <c r="AS626" i="1"/>
  <c r="AT626" i="1"/>
  <c r="AS627" i="1"/>
  <c r="AT627" i="1"/>
  <c r="AS628" i="1"/>
  <c r="AT628" i="1"/>
  <c r="AS629" i="1"/>
  <c r="AT629" i="1"/>
  <c r="AS630" i="1"/>
  <c r="AT630" i="1"/>
  <c r="AS631" i="1"/>
  <c r="AT631" i="1"/>
  <c r="AS632" i="1"/>
  <c r="AT632" i="1"/>
  <c r="AS633" i="1"/>
  <c r="AT633" i="1"/>
  <c r="AS634" i="1"/>
  <c r="AT634" i="1"/>
  <c r="AS635" i="1"/>
  <c r="AT635" i="1"/>
  <c r="AS636" i="1"/>
  <c r="AT636" i="1"/>
  <c r="AS637" i="1"/>
  <c r="AT637" i="1"/>
  <c r="AS638" i="1"/>
  <c r="AT638" i="1"/>
  <c r="AS639" i="1"/>
  <c r="AT639" i="1"/>
  <c r="AS640" i="1"/>
  <c r="AT640" i="1"/>
  <c r="AS641" i="1"/>
  <c r="AT641" i="1"/>
  <c r="AS642" i="1"/>
  <c r="AT642" i="1"/>
  <c r="AS643" i="1"/>
  <c r="AT643" i="1"/>
  <c r="AS644" i="1"/>
  <c r="AT644" i="1"/>
  <c r="AS645" i="1"/>
  <c r="AT645" i="1"/>
  <c r="AS646" i="1"/>
  <c r="AT646" i="1"/>
  <c r="AS647" i="1"/>
  <c r="AT647" i="1"/>
  <c r="AS648" i="1"/>
  <c r="AT648" i="1"/>
  <c r="AS649" i="1"/>
  <c r="AT649" i="1"/>
  <c r="AS650" i="1"/>
  <c r="AT650" i="1"/>
  <c r="AS651" i="1"/>
  <c r="AT651" i="1"/>
  <c r="AS652" i="1"/>
  <c r="AT652" i="1"/>
  <c r="AS653" i="1"/>
  <c r="AT653" i="1"/>
  <c r="AS654" i="1"/>
  <c r="AT654" i="1"/>
  <c r="AS655" i="1"/>
  <c r="AT655" i="1"/>
  <c r="AS656" i="1"/>
  <c r="AT656" i="1"/>
  <c r="AS657" i="1"/>
  <c r="AT657" i="1"/>
  <c r="AS658" i="1"/>
  <c r="AT658" i="1"/>
  <c r="AS659" i="1"/>
  <c r="AT659" i="1"/>
  <c r="AS660" i="1"/>
  <c r="AT660" i="1"/>
  <c r="AS661" i="1"/>
  <c r="AT661" i="1"/>
  <c r="AS662" i="1"/>
  <c r="AT662" i="1"/>
  <c r="AS663" i="1"/>
  <c r="AT663" i="1"/>
  <c r="AS664" i="1"/>
  <c r="AT664" i="1"/>
  <c r="AS665" i="1"/>
  <c r="AT665" i="1"/>
  <c r="AS666" i="1"/>
  <c r="AT666" i="1"/>
  <c r="AS667" i="1"/>
  <c r="AT667" i="1"/>
  <c r="AS668" i="1"/>
  <c r="AT668" i="1"/>
  <c r="AS669" i="1"/>
  <c r="AT669" i="1"/>
  <c r="AS672" i="1"/>
  <c r="AT672" i="1"/>
  <c r="AS673" i="1"/>
  <c r="AT673" i="1"/>
  <c r="AS674" i="1"/>
  <c r="AT674" i="1"/>
  <c r="AS676" i="1"/>
  <c r="AT676" i="1"/>
  <c r="AS677" i="1"/>
  <c r="AT677" i="1"/>
  <c r="AS678" i="1"/>
  <c r="AT678" i="1"/>
  <c r="AS679" i="1"/>
  <c r="AT679" i="1"/>
  <c r="AS680" i="1"/>
  <c r="AT680" i="1"/>
  <c r="AS681" i="1"/>
  <c r="AT681" i="1"/>
  <c r="AS682" i="1"/>
  <c r="AT682" i="1"/>
  <c r="AS683" i="1"/>
  <c r="AT683" i="1"/>
  <c r="AS684" i="1"/>
  <c r="AT684" i="1"/>
  <c r="AS685" i="1"/>
  <c r="AT685" i="1"/>
  <c r="AS686" i="1"/>
  <c r="AT686" i="1"/>
  <c r="AS687" i="1"/>
  <c r="AT687" i="1"/>
  <c r="AS688" i="1"/>
  <c r="AT688" i="1"/>
  <c r="AS689" i="1"/>
  <c r="AT689" i="1"/>
  <c r="AS690" i="1"/>
  <c r="AT690" i="1"/>
  <c r="AS691" i="1"/>
  <c r="AT691" i="1"/>
  <c r="AS692" i="1"/>
  <c r="AT692" i="1"/>
  <c r="AS693" i="1"/>
  <c r="AT693" i="1"/>
  <c r="AS694" i="1"/>
  <c r="AT694" i="1"/>
  <c r="AS695" i="1"/>
  <c r="AT695" i="1"/>
  <c r="AS696" i="1"/>
  <c r="AT696" i="1"/>
  <c r="AS697" i="1"/>
  <c r="AT697" i="1"/>
  <c r="AS698" i="1"/>
  <c r="AT698" i="1"/>
  <c r="AS699" i="1"/>
  <c r="AT699" i="1"/>
  <c r="AS700" i="1"/>
  <c r="AT700" i="1"/>
  <c r="AS701" i="1"/>
  <c r="AT701" i="1"/>
  <c r="AS702" i="1"/>
  <c r="AT702" i="1"/>
  <c r="AS703" i="1"/>
  <c r="AT703" i="1"/>
  <c r="AS704" i="1"/>
  <c r="AT704" i="1"/>
  <c r="AS705" i="1"/>
  <c r="AT705" i="1"/>
  <c r="AS706" i="1"/>
  <c r="AT706" i="1"/>
  <c r="AS707" i="1"/>
  <c r="AT707" i="1"/>
  <c r="AS708" i="1"/>
  <c r="AT708" i="1"/>
  <c r="AS709" i="1"/>
  <c r="AT709" i="1"/>
  <c r="AS710" i="1"/>
  <c r="AT710" i="1"/>
  <c r="AS711" i="1"/>
  <c r="AT711" i="1"/>
  <c r="AS712" i="1"/>
  <c r="AT712" i="1"/>
  <c r="AS713" i="1"/>
  <c r="AT713" i="1"/>
  <c r="AS714" i="1"/>
  <c r="AT714" i="1"/>
  <c r="AS715" i="1"/>
  <c r="AT715" i="1"/>
  <c r="AS716" i="1"/>
  <c r="AT716" i="1"/>
  <c r="AS717" i="1"/>
  <c r="AT717" i="1"/>
  <c r="AS718" i="1"/>
  <c r="AT718" i="1"/>
  <c r="AS719" i="1"/>
  <c r="AT719" i="1"/>
  <c r="AS720" i="1"/>
  <c r="AT720" i="1"/>
  <c r="AS721" i="1"/>
  <c r="AT721" i="1"/>
  <c r="AS722" i="1"/>
  <c r="AT722" i="1"/>
  <c r="AS723" i="1"/>
  <c r="AT723" i="1"/>
  <c r="AS724" i="1"/>
  <c r="AT724" i="1"/>
  <c r="AS725" i="1"/>
  <c r="AT725" i="1"/>
  <c r="AS726" i="1"/>
  <c r="AT726" i="1"/>
  <c r="AS727" i="1"/>
  <c r="AT727" i="1"/>
  <c r="AS728" i="1"/>
  <c r="AT728" i="1"/>
  <c r="AS729" i="1"/>
  <c r="AT729" i="1"/>
  <c r="AS730" i="1"/>
  <c r="AT730" i="1"/>
  <c r="AS731" i="1"/>
  <c r="AT731" i="1"/>
  <c r="AS732" i="1"/>
  <c r="AT732" i="1"/>
  <c r="AS733" i="1"/>
  <c r="AT733" i="1"/>
  <c r="AS734" i="1"/>
  <c r="AT734" i="1"/>
  <c r="AS735" i="1"/>
  <c r="AT735" i="1"/>
  <c r="AS736" i="1"/>
  <c r="AT736" i="1"/>
  <c r="AS737" i="1"/>
  <c r="AT737" i="1"/>
  <c r="AS738" i="1"/>
  <c r="AT738" i="1"/>
  <c r="AS739" i="1"/>
  <c r="AT739" i="1"/>
  <c r="AS740" i="1"/>
  <c r="AT740" i="1"/>
  <c r="AS741" i="1"/>
  <c r="AT741" i="1"/>
  <c r="AS742" i="1"/>
  <c r="AT742" i="1"/>
  <c r="AS743" i="1"/>
  <c r="AT743" i="1"/>
  <c r="AS744" i="1"/>
  <c r="AT744" i="1"/>
  <c r="AS745" i="1"/>
  <c r="AT745" i="1"/>
  <c r="AS746" i="1"/>
  <c r="AT746" i="1"/>
  <c r="AS747" i="1"/>
  <c r="AT747" i="1"/>
  <c r="AS748" i="1"/>
  <c r="AT748" i="1"/>
  <c r="AS749" i="1"/>
  <c r="AT749" i="1"/>
  <c r="AS750" i="1"/>
  <c r="AT750" i="1"/>
  <c r="AS751" i="1"/>
  <c r="AT751" i="1"/>
  <c r="AS752" i="1"/>
  <c r="AT752" i="1"/>
  <c r="AS753" i="1"/>
  <c r="AT753" i="1"/>
  <c r="AS754" i="1"/>
  <c r="AT754" i="1"/>
  <c r="AS755" i="1"/>
  <c r="AT755" i="1"/>
  <c r="AS756" i="1"/>
  <c r="AT756" i="1"/>
  <c r="AS757" i="1"/>
  <c r="AT757" i="1"/>
  <c r="AS758" i="1"/>
  <c r="AT758" i="1"/>
  <c r="AS759" i="1"/>
  <c r="AT759" i="1"/>
  <c r="AS760" i="1"/>
  <c r="AT760" i="1"/>
  <c r="AS761" i="1"/>
  <c r="AT761" i="1"/>
  <c r="AS762" i="1"/>
  <c r="AT762" i="1"/>
  <c r="AS763" i="1"/>
  <c r="AT763" i="1"/>
  <c r="AS764" i="1"/>
  <c r="AT764" i="1"/>
  <c r="AS765" i="1"/>
  <c r="AT765" i="1"/>
  <c r="AS766" i="1"/>
  <c r="AT766" i="1"/>
  <c r="AS767" i="1"/>
  <c r="AT767" i="1"/>
  <c r="AS768" i="1"/>
  <c r="AT768" i="1"/>
  <c r="AS769" i="1"/>
  <c r="AT769" i="1"/>
  <c r="AS770" i="1"/>
  <c r="AT770" i="1"/>
  <c r="AS771" i="1"/>
  <c r="AT771" i="1"/>
  <c r="AS772" i="1"/>
  <c r="AT772" i="1"/>
  <c r="AS773" i="1"/>
  <c r="AT773" i="1"/>
  <c r="AS774" i="1"/>
  <c r="AT774" i="1"/>
  <c r="AS775" i="1"/>
  <c r="AT775" i="1"/>
  <c r="AS776" i="1"/>
  <c r="AT776" i="1"/>
  <c r="AS777" i="1"/>
  <c r="AT777" i="1"/>
  <c r="AS778" i="1"/>
  <c r="AT778" i="1"/>
  <c r="AS779" i="1"/>
  <c r="AT779" i="1"/>
  <c r="AS780" i="1"/>
  <c r="AT780" i="1"/>
  <c r="AS781" i="1"/>
  <c r="AT781" i="1"/>
  <c r="AS782" i="1"/>
  <c r="AT782" i="1"/>
  <c r="AS783" i="1"/>
  <c r="AT783" i="1"/>
  <c r="AS784" i="1"/>
  <c r="AT784" i="1"/>
  <c r="AS785" i="1"/>
  <c r="AT785" i="1"/>
  <c r="AS786" i="1"/>
  <c r="AT786" i="1"/>
  <c r="AS787" i="1"/>
  <c r="AT787" i="1"/>
  <c r="AS788" i="1"/>
  <c r="AT788" i="1"/>
  <c r="AS789" i="1"/>
  <c r="AT789" i="1"/>
  <c r="AS790" i="1"/>
  <c r="AT790" i="1"/>
  <c r="AS791" i="1"/>
  <c r="AT791" i="1"/>
  <c r="AS792" i="1"/>
  <c r="AT792" i="1"/>
  <c r="AS793" i="1"/>
  <c r="AT793" i="1"/>
  <c r="AS794" i="1"/>
  <c r="AT794" i="1"/>
  <c r="AS795" i="1"/>
  <c r="AT795" i="1"/>
  <c r="AS796" i="1"/>
  <c r="AT796" i="1"/>
  <c r="AS797" i="1"/>
  <c r="AT797" i="1"/>
  <c r="AS798" i="1"/>
  <c r="AT798" i="1"/>
  <c r="AS799" i="1"/>
  <c r="AT799" i="1"/>
  <c r="AS800" i="1"/>
  <c r="AT800" i="1"/>
  <c r="AS801" i="1"/>
  <c r="AT801" i="1"/>
  <c r="AS802" i="1"/>
  <c r="AT802" i="1"/>
  <c r="AS803" i="1"/>
  <c r="AT803" i="1"/>
  <c r="AS804" i="1"/>
  <c r="AT804" i="1"/>
  <c r="AS805" i="1"/>
  <c r="AT805" i="1"/>
  <c r="AS806" i="1"/>
  <c r="AT806" i="1"/>
  <c r="AS807" i="1"/>
  <c r="AT807" i="1"/>
  <c r="AS808" i="1"/>
  <c r="AT808" i="1"/>
  <c r="AS809" i="1"/>
  <c r="AT809" i="1"/>
  <c r="AS810" i="1"/>
  <c r="AT810" i="1"/>
  <c r="AS811" i="1"/>
  <c r="AT811" i="1"/>
  <c r="AS812" i="1"/>
  <c r="AT812" i="1"/>
  <c r="AS813" i="1"/>
  <c r="AT813" i="1"/>
  <c r="AS814" i="1"/>
  <c r="AT814" i="1"/>
  <c r="AS815" i="1"/>
  <c r="AT815" i="1"/>
  <c r="AS816" i="1"/>
  <c r="AT816" i="1"/>
  <c r="AS817" i="1"/>
  <c r="AT817" i="1"/>
  <c r="AS818" i="1"/>
  <c r="AT818" i="1"/>
  <c r="AS819" i="1"/>
  <c r="AT819" i="1"/>
  <c r="AS820" i="1"/>
  <c r="AT820" i="1"/>
  <c r="AS821" i="1"/>
  <c r="AT821" i="1"/>
  <c r="AS822" i="1"/>
  <c r="AT822" i="1"/>
  <c r="AS823" i="1"/>
  <c r="AT823" i="1"/>
  <c r="AS824" i="1"/>
  <c r="AT824" i="1"/>
  <c r="AS825" i="1"/>
  <c r="AT825" i="1"/>
  <c r="AS826" i="1"/>
  <c r="AT826" i="1"/>
  <c r="AS827" i="1"/>
  <c r="AT827" i="1"/>
  <c r="AS828" i="1"/>
  <c r="AT828" i="1"/>
  <c r="AS829" i="1"/>
  <c r="AT829" i="1"/>
  <c r="AS830" i="1"/>
  <c r="AT830" i="1"/>
  <c r="AS831" i="1"/>
  <c r="AT831" i="1"/>
  <c r="AS832" i="1"/>
  <c r="AT832" i="1"/>
  <c r="AS833" i="1"/>
  <c r="AT833" i="1"/>
  <c r="AS834" i="1"/>
  <c r="AT834" i="1"/>
  <c r="AS835" i="1"/>
  <c r="AT835" i="1"/>
  <c r="AS836" i="1"/>
  <c r="AT836" i="1"/>
  <c r="AS837" i="1"/>
  <c r="AT837" i="1"/>
  <c r="AS838" i="1"/>
  <c r="AT838" i="1"/>
  <c r="AS839" i="1"/>
  <c r="AT839" i="1"/>
  <c r="AS840" i="1"/>
  <c r="AT840" i="1"/>
  <c r="AS841" i="1"/>
  <c r="AT841" i="1"/>
  <c r="AS842" i="1"/>
  <c r="AT842" i="1"/>
  <c r="AS843" i="1"/>
  <c r="AT843" i="1"/>
  <c r="AS844" i="1"/>
  <c r="AT844" i="1"/>
  <c r="AS845" i="1"/>
  <c r="AT845" i="1"/>
  <c r="AS846" i="1"/>
  <c r="AT846" i="1"/>
  <c r="AS847" i="1"/>
  <c r="AT847" i="1"/>
  <c r="AS848" i="1"/>
  <c r="AT848" i="1"/>
  <c r="AS849" i="1"/>
  <c r="AT849" i="1"/>
  <c r="AS850" i="1"/>
  <c r="AT850" i="1"/>
  <c r="AS851" i="1"/>
  <c r="AT851" i="1"/>
  <c r="AS852" i="1"/>
  <c r="AT852" i="1"/>
  <c r="AS853" i="1"/>
  <c r="AT853" i="1"/>
  <c r="AS854" i="1"/>
  <c r="AT854" i="1"/>
  <c r="AS855" i="1"/>
  <c r="AT855" i="1"/>
  <c r="AS856" i="1"/>
  <c r="AT856" i="1"/>
  <c r="AS857" i="1"/>
  <c r="AT857" i="1"/>
  <c r="AS858" i="1"/>
  <c r="AT858" i="1"/>
  <c r="AS859" i="1"/>
  <c r="AT859" i="1"/>
  <c r="AS860" i="1"/>
  <c r="AT860" i="1"/>
  <c r="AS861" i="1"/>
  <c r="AT861" i="1"/>
  <c r="AS862" i="1"/>
  <c r="AT862" i="1"/>
  <c r="AS863" i="1"/>
  <c r="AT863" i="1"/>
  <c r="AS864" i="1"/>
  <c r="AT864" i="1"/>
  <c r="AS865" i="1"/>
  <c r="AT865" i="1"/>
  <c r="AS866" i="1"/>
  <c r="AT866" i="1"/>
  <c r="AS867" i="1"/>
  <c r="AT867" i="1"/>
  <c r="AS868" i="1"/>
  <c r="AT868" i="1"/>
  <c r="AS869" i="1"/>
  <c r="AT869" i="1"/>
  <c r="AS870" i="1"/>
  <c r="AT870" i="1"/>
  <c r="AS871" i="1"/>
  <c r="AT871" i="1"/>
  <c r="AS872" i="1"/>
  <c r="AT872" i="1"/>
  <c r="AS873" i="1"/>
  <c r="AT873" i="1"/>
  <c r="AS874" i="1"/>
  <c r="AT874" i="1"/>
  <c r="AS875" i="1"/>
  <c r="AT875" i="1"/>
  <c r="AS876" i="1"/>
  <c r="AT876" i="1"/>
  <c r="AS877" i="1"/>
  <c r="AT877" i="1"/>
  <c r="AS878" i="1"/>
  <c r="AT878" i="1"/>
  <c r="AS879" i="1"/>
  <c r="AT879" i="1"/>
  <c r="AS880" i="1"/>
  <c r="AT880" i="1"/>
  <c r="AS881" i="1"/>
  <c r="AT881" i="1"/>
  <c r="AS882" i="1"/>
  <c r="AT882" i="1"/>
  <c r="AS883" i="1"/>
  <c r="AT883" i="1"/>
  <c r="AS884" i="1"/>
  <c r="AT884" i="1"/>
  <c r="AS885" i="1"/>
  <c r="AT885" i="1"/>
  <c r="AS886" i="1"/>
  <c r="AT886" i="1"/>
  <c r="AS887" i="1"/>
  <c r="AT887" i="1"/>
  <c r="AS888" i="1"/>
  <c r="AT888" i="1"/>
  <c r="AS889" i="1"/>
  <c r="AT889" i="1"/>
  <c r="AS890" i="1"/>
  <c r="AT890" i="1"/>
  <c r="AS891" i="1"/>
  <c r="AT891" i="1"/>
  <c r="AS892" i="1"/>
  <c r="AT892" i="1"/>
  <c r="AS893" i="1"/>
  <c r="AT893" i="1"/>
  <c r="AS894" i="1"/>
  <c r="AT894" i="1"/>
  <c r="AS895" i="1"/>
  <c r="AT895" i="1"/>
  <c r="AS896" i="1"/>
  <c r="AT896" i="1"/>
  <c r="AS897" i="1"/>
  <c r="AT897" i="1"/>
  <c r="AS898" i="1"/>
  <c r="AT898" i="1"/>
  <c r="AS899" i="1"/>
  <c r="AT899" i="1"/>
  <c r="AS900" i="1"/>
  <c r="AT900" i="1"/>
  <c r="AS901" i="1"/>
  <c r="AT901" i="1"/>
  <c r="AS902" i="1"/>
  <c r="AT902" i="1"/>
  <c r="AS903" i="1"/>
  <c r="AT903" i="1"/>
  <c r="AS904" i="1"/>
  <c r="AT904" i="1"/>
  <c r="AS905" i="1"/>
  <c r="AT905" i="1"/>
  <c r="AS906" i="1"/>
  <c r="AT906" i="1"/>
  <c r="AS907" i="1"/>
  <c r="AT907" i="1"/>
  <c r="AS908" i="1"/>
  <c r="AT908" i="1"/>
  <c r="AS909" i="1"/>
  <c r="AT909" i="1"/>
  <c r="AS910" i="1"/>
  <c r="AT910" i="1"/>
  <c r="AS911" i="1"/>
  <c r="AT911" i="1"/>
  <c r="AS912" i="1"/>
  <c r="AT912" i="1"/>
  <c r="AS913" i="1"/>
  <c r="AT913" i="1"/>
  <c r="AS914" i="1"/>
  <c r="AT914" i="1"/>
  <c r="AS915" i="1"/>
  <c r="AT915" i="1"/>
  <c r="AS918" i="1"/>
  <c r="AT918" i="1"/>
  <c r="AS919" i="1"/>
  <c r="AT919" i="1"/>
  <c r="AS920" i="1"/>
  <c r="AT920" i="1"/>
  <c r="AS922" i="1"/>
  <c r="AT922" i="1"/>
  <c r="AS923" i="1"/>
  <c r="AT923" i="1"/>
  <c r="AS924" i="1"/>
  <c r="AT924" i="1"/>
  <c r="AS925" i="1"/>
  <c r="AT925" i="1"/>
  <c r="AS926" i="1"/>
  <c r="AT926" i="1"/>
  <c r="AS927" i="1"/>
  <c r="AT927" i="1"/>
  <c r="AS928" i="1"/>
  <c r="AT928" i="1"/>
  <c r="AS929" i="1"/>
  <c r="AT929" i="1"/>
  <c r="AS930" i="1"/>
  <c r="AT930" i="1"/>
  <c r="AS931" i="1"/>
  <c r="AT931" i="1"/>
  <c r="AS932" i="1"/>
  <c r="AT932" i="1"/>
  <c r="AS933" i="1"/>
  <c r="AT933" i="1"/>
  <c r="AS934" i="1"/>
  <c r="AT934" i="1"/>
  <c r="AS935" i="1"/>
  <c r="AT935" i="1"/>
  <c r="AS936" i="1"/>
  <c r="AT936" i="1"/>
  <c r="AS937" i="1"/>
  <c r="AT937" i="1"/>
  <c r="AS938" i="1"/>
  <c r="AT938" i="1"/>
  <c r="AS939" i="1"/>
  <c r="AT939" i="1"/>
  <c r="AS940" i="1"/>
  <c r="AT940" i="1"/>
  <c r="AS941" i="1"/>
  <c r="AT941" i="1"/>
  <c r="AS942" i="1"/>
  <c r="AT942" i="1"/>
  <c r="AS943" i="1"/>
  <c r="AT943" i="1"/>
  <c r="AS944" i="1"/>
  <c r="AT944" i="1"/>
  <c r="AS945" i="1"/>
  <c r="AT945" i="1"/>
  <c r="AS946" i="1"/>
  <c r="AT946" i="1"/>
  <c r="AS947" i="1"/>
  <c r="AT947" i="1"/>
  <c r="AS948" i="1"/>
  <c r="AT948" i="1"/>
  <c r="AS949" i="1"/>
  <c r="AT949" i="1"/>
  <c r="AS950" i="1"/>
  <c r="AT950" i="1"/>
  <c r="AS951" i="1"/>
  <c r="AT951" i="1"/>
  <c r="AS952" i="1"/>
  <c r="AT952" i="1"/>
  <c r="AS953" i="1"/>
  <c r="AT953" i="1"/>
  <c r="AS954" i="1"/>
  <c r="AT954" i="1"/>
  <c r="AS955" i="1"/>
  <c r="AT955" i="1"/>
  <c r="AS956" i="1"/>
  <c r="AT956" i="1"/>
  <c r="AS957" i="1"/>
  <c r="AT957" i="1"/>
  <c r="AS958" i="1"/>
  <c r="AT958" i="1"/>
  <c r="AS959" i="1"/>
  <c r="AT959" i="1"/>
  <c r="AS960" i="1"/>
  <c r="AT960" i="1"/>
  <c r="AS961" i="1"/>
  <c r="AT961" i="1"/>
  <c r="AS962" i="1"/>
  <c r="AT962" i="1"/>
  <c r="AS963" i="1"/>
  <c r="AT963" i="1"/>
  <c r="AS964" i="1"/>
  <c r="AT964" i="1"/>
  <c r="AS965" i="1"/>
  <c r="AT965" i="1"/>
  <c r="AS966" i="1"/>
  <c r="AT966" i="1"/>
  <c r="AS967" i="1"/>
  <c r="AT967" i="1"/>
  <c r="AS968" i="1"/>
  <c r="AT968" i="1"/>
  <c r="AS969" i="1"/>
  <c r="AT969" i="1"/>
  <c r="AS970" i="1"/>
  <c r="AT970" i="1"/>
  <c r="AS971" i="1"/>
  <c r="AT971" i="1"/>
  <c r="AS972" i="1"/>
  <c r="AT972" i="1"/>
  <c r="AS973" i="1"/>
  <c r="AT973" i="1"/>
  <c r="AS974" i="1"/>
  <c r="AT974" i="1"/>
  <c r="AS975" i="1"/>
  <c r="AT975" i="1"/>
  <c r="AS976" i="1"/>
  <c r="AT976" i="1"/>
  <c r="AS977" i="1"/>
  <c r="AT977" i="1"/>
  <c r="AS978" i="1"/>
  <c r="AT978" i="1"/>
  <c r="AS979" i="1"/>
  <c r="AT979" i="1"/>
  <c r="AS980" i="1"/>
  <c r="AT980" i="1"/>
  <c r="AS981" i="1"/>
  <c r="AT981" i="1"/>
  <c r="AS982" i="1"/>
  <c r="AT982" i="1"/>
  <c r="AS983" i="1"/>
  <c r="AT983" i="1"/>
  <c r="AS984" i="1"/>
  <c r="AT984" i="1"/>
  <c r="AS985" i="1"/>
  <c r="AT985" i="1"/>
  <c r="AS986" i="1"/>
  <c r="AT986" i="1"/>
  <c r="AS987" i="1"/>
  <c r="AT987" i="1"/>
  <c r="AS988" i="1"/>
  <c r="AT988" i="1"/>
  <c r="AS989" i="1"/>
  <c r="AT989" i="1"/>
  <c r="AS990" i="1"/>
  <c r="AT990" i="1"/>
  <c r="AS991" i="1"/>
  <c r="AT991" i="1"/>
  <c r="AS992" i="1"/>
  <c r="AT992" i="1"/>
  <c r="AS993" i="1"/>
  <c r="AT993" i="1"/>
  <c r="AS994" i="1"/>
  <c r="AT994" i="1"/>
  <c r="AS995" i="1"/>
  <c r="AT995" i="1"/>
  <c r="AS996" i="1"/>
  <c r="AT996" i="1"/>
  <c r="AS997" i="1"/>
  <c r="AT997" i="1"/>
  <c r="AS998" i="1"/>
  <c r="AT998" i="1"/>
  <c r="AS999" i="1"/>
  <c r="AT999" i="1"/>
  <c r="AS1000" i="1"/>
  <c r="AT1000" i="1"/>
  <c r="AS1001" i="1"/>
  <c r="AT1001" i="1"/>
  <c r="AS1002" i="1"/>
  <c r="AT1002" i="1"/>
  <c r="AS1003" i="1"/>
  <c r="AT1003" i="1"/>
  <c r="AS1004" i="1"/>
  <c r="AT1004" i="1"/>
  <c r="AS1005" i="1"/>
  <c r="AT1005" i="1"/>
  <c r="AS1006" i="1"/>
  <c r="AT1006" i="1"/>
  <c r="AS1007" i="1"/>
  <c r="AT1007" i="1"/>
  <c r="AS1008" i="1"/>
  <c r="AT1008" i="1"/>
  <c r="AS1009" i="1"/>
  <c r="AT1009" i="1"/>
  <c r="AS1010" i="1"/>
  <c r="AT1010" i="1"/>
  <c r="AS1011" i="1"/>
  <c r="AT1011" i="1"/>
  <c r="AS1012" i="1"/>
  <c r="AT1012" i="1"/>
  <c r="AS1013" i="1"/>
  <c r="AT1013" i="1"/>
  <c r="AS1014" i="1"/>
  <c r="AT1014" i="1"/>
  <c r="AS1015" i="1"/>
  <c r="AT1015" i="1"/>
  <c r="AS1016" i="1"/>
  <c r="AT1016" i="1"/>
  <c r="AS1017" i="1"/>
  <c r="AT1017" i="1"/>
  <c r="AS1018" i="1"/>
  <c r="AT1018" i="1"/>
  <c r="AS1019" i="1"/>
  <c r="AT1019" i="1"/>
  <c r="AS1020" i="1"/>
  <c r="AT1020" i="1"/>
  <c r="AS1021" i="1"/>
  <c r="AT1021" i="1"/>
  <c r="AS1022" i="1"/>
  <c r="AT1022" i="1"/>
  <c r="AS1023" i="1"/>
  <c r="AT1023" i="1"/>
  <c r="AS1024" i="1"/>
  <c r="AT1024" i="1"/>
  <c r="AS1025" i="1"/>
  <c r="AT1025" i="1"/>
  <c r="AS1026" i="1"/>
  <c r="AT1026" i="1"/>
  <c r="AS1027" i="1"/>
  <c r="AT1027" i="1"/>
  <c r="AS1028" i="1"/>
  <c r="AT1028" i="1"/>
  <c r="AS1029" i="1"/>
  <c r="AT1029" i="1"/>
  <c r="AS1030" i="1"/>
  <c r="AT1030" i="1"/>
  <c r="AS1031" i="1"/>
  <c r="AT1031" i="1"/>
  <c r="AS1032" i="1"/>
  <c r="AT1032" i="1"/>
  <c r="AS1033" i="1"/>
  <c r="AT1033" i="1"/>
  <c r="AS1034" i="1"/>
  <c r="AT1034" i="1"/>
  <c r="AS1035" i="1"/>
  <c r="AT1035" i="1"/>
  <c r="AS1036" i="1"/>
  <c r="AT1036" i="1"/>
  <c r="AS1037" i="1"/>
  <c r="AT1037" i="1"/>
  <c r="AS1038" i="1"/>
  <c r="AT1038" i="1"/>
  <c r="AS1039" i="1"/>
  <c r="AT1039" i="1"/>
  <c r="AS1040" i="1"/>
  <c r="AT1040" i="1"/>
  <c r="AS1041" i="1"/>
  <c r="AT1041" i="1"/>
  <c r="AS1042" i="1"/>
  <c r="AT1042" i="1"/>
  <c r="AS1043" i="1"/>
  <c r="AT1043" i="1"/>
  <c r="AS1044" i="1"/>
  <c r="AT1044" i="1"/>
  <c r="AS1045" i="1"/>
  <c r="AT1045" i="1"/>
  <c r="AS1046" i="1"/>
  <c r="AT1046" i="1"/>
  <c r="AS1047" i="1"/>
  <c r="AT1047" i="1"/>
  <c r="AS1048" i="1"/>
  <c r="AT1048" i="1"/>
  <c r="AS1049" i="1"/>
  <c r="AT1049" i="1"/>
  <c r="AS1050" i="1"/>
  <c r="AT1050" i="1"/>
  <c r="AS1051" i="1"/>
  <c r="AT1051" i="1"/>
  <c r="AS1052" i="1"/>
  <c r="AT1052" i="1"/>
  <c r="AS1053" i="1"/>
  <c r="AT1053" i="1"/>
  <c r="AS1054" i="1"/>
  <c r="AT1054" i="1"/>
  <c r="AS1055" i="1"/>
  <c r="AT1055" i="1"/>
  <c r="AS1056" i="1"/>
  <c r="AT1056" i="1"/>
  <c r="AS1057" i="1"/>
  <c r="AT1057" i="1"/>
  <c r="AS1058" i="1"/>
  <c r="AT1058" i="1"/>
  <c r="AS1059" i="1"/>
  <c r="AT1059" i="1"/>
  <c r="AS1060" i="1"/>
  <c r="AT1060" i="1"/>
  <c r="AS1061" i="1"/>
  <c r="AT1061" i="1"/>
  <c r="AS1062" i="1"/>
  <c r="AT1062" i="1"/>
  <c r="AS1063" i="1"/>
  <c r="AT1063" i="1"/>
  <c r="AS1064" i="1"/>
  <c r="AT1064" i="1"/>
  <c r="AS1065" i="1"/>
  <c r="AT1065" i="1"/>
  <c r="AS1066" i="1"/>
  <c r="AT1066" i="1"/>
  <c r="AS1067" i="1"/>
  <c r="AT1067" i="1"/>
  <c r="AS1068" i="1"/>
  <c r="AT1068" i="1"/>
  <c r="AS1069" i="1"/>
  <c r="AT1069" i="1"/>
  <c r="AS1070" i="1"/>
  <c r="AT1070" i="1"/>
  <c r="AS1071" i="1"/>
  <c r="AT1071" i="1"/>
  <c r="AS1072" i="1"/>
  <c r="AT1072" i="1"/>
  <c r="AS1073" i="1"/>
  <c r="AT1073" i="1"/>
  <c r="AS1074" i="1"/>
  <c r="AT1074" i="1"/>
  <c r="AS1075" i="1"/>
  <c r="AT1075" i="1"/>
  <c r="AS1076" i="1"/>
  <c r="AT1076" i="1"/>
  <c r="AS1077" i="1"/>
  <c r="AT1077" i="1"/>
  <c r="AS1078" i="1"/>
  <c r="AT1078" i="1"/>
  <c r="AS1079" i="1"/>
  <c r="AT1079" i="1"/>
  <c r="AS1080" i="1"/>
  <c r="AT1080" i="1"/>
  <c r="AS1081" i="1"/>
  <c r="AT1081" i="1"/>
  <c r="AS1082" i="1"/>
  <c r="AT1082" i="1"/>
  <c r="AS1083" i="1"/>
  <c r="AT1083" i="1"/>
  <c r="AS1084" i="1"/>
  <c r="AT1084" i="1"/>
  <c r="AS1085" i="1"/>
  <c r="AT1085" i="1"/>
  <c r="AS1086" i="1"/>
  <c r="AT1086" i="1"/>
  <c r="AS1087" i="1"/>
  <c r="AT1087" i="1"/>
  <c r="AS1088" i="1"/>
  <c r="AT1088" i="1"/>
  <c r="AS1089" i="1"/>
  <c r="AT1089" i="1"/>
  <c r="AS1090" i="1"/>
  <c r="AT1090" i="1"/>
  <c r="AS1091" i="1"/>
  <c r="AT1091" i="1"/>
  <c r="AS1092" i="1"/>
  <c r="AT1092" i="1"/>
  <c r="AS1093" i="1"/>
  <c r="AT1093" i="1"/>
  <c r="AS1094" i="1"/>
  <c r="AT1094" i="1"/>
  <c r="AS1095" i="1"/>
  <c r="AT1095" i="1"/>
  <c r="AS1096" i="1"/>
  <c r="AT1096" i="1"/>
  <c r="AS1097" i="1"/>
  <c r="AT1097" i="1"/>
  <c r="AS1098" i="1"/>
  <c r="AT1098" i="1"/>
  <c r="AS1099" i="1"/>
  <c r="AT1099" i="1"/>
  <c r="AS1100" i="1"/>
  <c r="AT1100" i="1"/>
  <c r="AS1101" i="1"/>
  <c r="AT1101" i="1"/>
  <c r="AS1102" i="1"/>
  <c r="AT1102" i="1"/>
  <c r="AS1103" i="1"/>
  <c r="AT1103" i="1"/>
  <c r="AS1104" i="1"/>
  <c r="AT1104" i="1"/>
  <c r="AS1105" i="1"/>
  <c r="AT1105" i="1"/>
  <c r="AS1106" i="1"/>
  <c r="AT1106" i="1"/>
  <c r="AS1107" i="1"/>
  <c r="AT1107" i="1"/>
  <c r="AS1108" i="1"/>
  <c r="AT1108" i="1"/>
  <c r="AS1109" i="1"/>
  <c r="AT1109" i="1"/>
  <c r="AS1110" i="1"/>
  <c r="AT1110" i="1"/>
  <c r="AS1111" i="1"/>
  <c r="AT1111" i="1"/>
  <c r="AS1112" i="1"/>
  <c r="AT1112" i="1"/>
  <c r="AS1113" i="1"/>
  <c r="AT1113" i="1"/>
  <c r="AS1114" i="1"/>
  <c r="AT1114" i="1"/>
  <c r="AS1115" i="1"/>
  <c r="AT1115" i="1"/>
  <c r="AS1116" i="1"/>
  <c r="AT1116" i="1"/>
  <c r="AS1117" i="1"/>
  <c r="AT1117" i="1"/>
  <c r="AS1118" i="1"/>
  <c r="AT1118" i="1"/>
  <c r="AS1119" i="1"/>
  <c r="AT1119" i="1"/>
  <c r="AS1120" i="1"/>
  <c r="AT1120" i="1"/>
  <c r="AS1121" i="1"/>
  <c r="AT1121" i="1"/>
  <c r="AS1122" i="1"/>
  <c r="AT1122" i="1"/>
  <c r="AS1123" i="1"/>
  <c r="AT1123" i="1"/>
  <c r="AS1124" i="1"/>
  <c r="AT1124" i="1"/>
  <c r="AS1125" i="1"/>
  <c r="AT1125" i="1"/>
  <c r="AS1126" i="1"/>
  <c r="AT1126" i="1"/>
  <c r="AS1127" i="1"/>
  <c r="AT1127" i="1"/>
  <c r="AS1128" i="1"/>
  <c r="AT1128" i="1"/>
  <c r="AS1129" i="1"/>
  <c r="AT1129" i="1"/>
  <c r="AS1130" i="1"/>
  <c r="AT1130" i="1"/>
  <c r="AS1131" i="1"/>
  <c r="AT1131" i="1"/>
  <c r="AS1132" i="1"/>
  <c r="AT1132" i="1"/>
  <c r="AS1133" i="1"/>
  <c r="AT1133" i="1"/>
  <c r="AS1134" i="1"/>
  <c r="AT1134" i="1"/>
  <c r="AS1135" i="1"/>
  <c r="AT1135" i="1"/>
  <c r="AS1136" i="1"/>
  <c r="AT1136" i="1"/>
  <c r="AS1137" i="1"/>
  <c r="AT1137" i="1"/>
  <c r="AS1138" i="1"/>
  <c r="AT1138" i="1"/>
  <c r="AS1139" i="1"/>
  <c r="AT1139" i="1"/>
  <c r="AS1140" i="1"/>
  <c r="AT1140" i="1"/>
  <c r="AS1141" i="1"/>
  <c r="AT1141" i="1"/>
  <c r="AS1142" i="1"/>
  <c r="AT1142" i="1"/>
  <c r="AS1143" i="1"/>
  <c r="AT1143" i="1"/>
  <c r="AS1144" i="1"/>
  <c r="AT1144" i="1"/>
  <c r="AS1145" i="1"/>
  <c r="AT1145" i="1"/>
  <c r="AS1146" i="1"/>
  <c r="AT1146" i="1"/>
  <c r="AS1147" i="1"/>
  <c r="AT1147" i="1"/>
  <c r="AS1148" i="1"/>
  <c r="AT1148" i="1"/>
  <c r="AS1149" i="1"/>
  <c r="AT1149" i="1"/>
  <c r="AS1150" i="1"/>
  <c r="AT1150" i="1"/>
  <c r="AS1151" i="1"/>
  <c r="AT1151" i="1"/>
  <c r="AS1152" i="1"/>
  <c r="AT1152" i="1"/>
  <c r="AS1153" i="1"/>
  <c r="AT1153" i="1"/>
  <c r="AS1154" i="1"/>
  <c r="AT1154" i="1"/>
  <c r="AS1155" i="1"/>
  <c r="AT1155" i="1"/>
  <c r="AS1156" i="1"/>
  <c r="AT1156" i="1"/>
  <c r="AS1157" i="1"/>
  <c r="AT1157" i="1"/>
  <c r="AS1158" i="1"/>
  <c r="AT1158" i="1"/>
  <c r="AS1159" i="1"/>
  <c r="AT1159" i="1"/>
  <c r="AS1160" i="1"/>
  <c r="AT1160" i="1"/>
  <c r="AS1161" i="1"/>
  <c r="AT1161" i="1"/>
  <c r="AS1162" i="1"/>
  <c r="AT1162" i="1"/>
  <c r="AS1167" i="1"/>
  <c r="AT1167" i="1"/>
  <c r="AS1168" i="1"/>
  <c r="AT1168" i="1"/>
  <c r="AS1169" i="1"/>
  <c r="AT1169" i="1"/>
  <c r="AS1170" i="1"/>
  <c r="AT1170" i="1"/>
  <c r="AS1171" i="1"/>
  <c r="AT1171" i="1"/>
  <c r="AS1173" i="1"/>
  <c r="AT1173" i="1"/>
  <c r="AS1174" i="1"/>
  <c r="AT1174" i="1"/>
  <c r="AS1175" i="1"/>
  <c r="AT1175" i="1"/>
  <c r="AS1176" i="1"/>
  <c r="AT1176" i="1"/>
  <c r="AS1177" i="1"/>
  <c r="AT1177" i="1"/>
  <c r="AS1178" i="1"/>
  <c r="AT1178" i="1"/>
  <c r="AS1179" i="1"/>
  <c r="AT1179" i="1"/>
  <c r="AS1180" i="1"/>
  <c r="AT1180" i="1"/>
  <c r="AS1181" i="1"/>
  <c r="AT1181" i="1"/>
  <c r="AS1182" i="1"/>
  <c r="AT1182" i="1"/>
  <c r="AS1184" i="1"/>
  <c r="AT1184" i="1"/>
  <c r="AS1185" i="1"/>
  <c r="AT1185" i="1"/>
  <c r="AS1186" i="1"/>
  <c r="AT1186" i="1"/>
  <c r="AS1187" i="1"/>
  <c r="AT1187" i="1"/>
  <c r="AS1188" i="1"/>
  <c r="AT1188" i="1"/>
  <c r="AS1189" i="1"/>
  <c r="AT1189" i="1"/>
  <c r="AS1190" i="1"/>
  <c r="AT1190" i="1"/>
  <c r="AS1191" i="1"/>
  <c r="AT1191" i="1"/>
  <c r="AQ435" i="1"/>
  <c r="AQ570" i="1"/>
  <c r="AQ304" i="1"/>
  <c r="AQ306" i="1"/>
  <c r="AQ700" i="1"/>
  <c r="AQ446" i="1"/>
  <c r="AQ447" i="1"/>
  <c r="AQ448" i="1"/>
  <c r="AQ364" i="1"/>
  <c r="AQ414" i="1"/>
  <c r="AQ445" i="1"/>
  <c r="AQ678" i="1"/>
  <c r="E52" i="24"/>
  <c r="AJ384" i="1" s="1"/>
  <c r="AK384" i="1" s="1"/>
  <c r="F319" i="24"/>
  <c r="N319" i="24" s="1"/>
  <c r="F309" i="24"/>
  <c r="N309" i="24" s="1"/>
  <c r="E495" i="24"/>
  <c r="E496" i="24"/>
  <c r="AJ324" i="1" s="1"/>
  <c r="AL324" i="1" s="1"/>
  <c r="E302" i="24"/>
  <c r="AJ764" i="1" s="1"/>
  <c r="AL764" i="1" s="1"/>
  <c r="E303" i="24"/>
  <c r="E497" i="24"/>
  <c r="AJ304" i="1" s="1"/>
  <c r="AL304" i="1" s="1"/>
  <c r="E498" i="24"/>
  <c r="AJ305" i="1" s="1"/>
  <c r="AL305" i="1" s="1"/>
  <c r="E499" i="24"/>
  <c r="AJ306" i="1" s="1"/>
  <c r="E304" i="24"/>
  <c r="AJ338" i="1" s="1"/>
  <c r="AL338" i="1" s="1"/>
  <c r="E134" i="24"/>
  <c r="AJ340" i="1" s="1"/>
  <c r="AK340" i="1" s="1"/>
  <c r="E500" i="24"/>
  <c r="AJ700" i="1" s="1"/>
  <c r="AL700" i="1" s="1"/>
  <c r="E376" i="24"/>
  <c r="E31" i="24"/>
  <c r="E305" i="24"/>
  <c r="E306" i="24"/>
  <c r="E328" i="24"/>
  <c r="E135" i="24"/>
  <c r="E307" i="24"/>
  <c r="E329" i="24"/>
  <c r="E308" i="24"/>
  <c r="E501" i="24"/>
  <c r="E50" i="24"/>
  <c r="E502" i="24"/>
  <c r="AJ896" i="1" s="1"/>
  <c r="AL896" i="1" s="1"/>
  <c r="E309" i="24"/>
  <c r="AJ122" i="1" s="1"/>
  <c r="E503" i="24"/>
  <c r="AJ901" i="1" s="1"/>
  <c r="AL901" i="1" s="1"/>
  <c r="E310" i="24"/>
  <c r="AJ1150" i="1" s="1"/>
  <c r="AK1150" i="1" s="1"/>
  <c r="E109" i="24"/>
  <c r="AJ1149" i="1" s="1"/>
  <c r="AK1149" i="1" s="1"/>
  <c r="E504" i="24"/>
  <c r="AJ1148" i="1" s="1"/>
  <c r="AK1148" i="1" s="1"/>
  <c r="E311" i="24"/>
  <c r="AJ1136" i="1" s="1"/>
  <c r="AK1136" i="1" s="1"/>
  <c r="E312" i="24"/>
  <c r="AJ352" i="1" s="1"/>
  <c r="AK352" i="1" s="1"/>
  <c r="E505" i="24"/>
  <c r="AJ446" i="1" s="1"/>
  <c r="E506" i="24"/>
  <c r="AJ447" i="1" s="1"/>
  <c r="AK447" i="1" s="1"/>
  <c r="E507" i="24"/>
  <c r="AJ448" i="1" s="1"/>
  <c r="AK448" i="1" s="1"/>
  <c r="E313" i="24"/>
  <c r="E508" i="24"/>
  <c r="AJ364" i="1" s="1"/>
  <c r="AK364" i="1" s="1"/>
  <c r="E136" i="24"/>
  <c r="AJ367" i="1" s="1"/>
  <c r="AK367" i="1" s="1"/>
  <c r="E509" i="24"/>
  <c r="AJ368" i="1" s="1"/>
  <c r="E510" i="24"/>
  <c r="AJ394" i="1" s="1"/>
  <c r="AK394" i="1" s="1"/>
  <c r="E137" i="24"/>
  <c r="AJ396" i="1" s="1"/>
  <c r="AK396" i="1" s="1"/>
  <c r="E511" i="24"/>
  <c r="AJ401" i="1" s="1"/>
  <c r="AK401" i="1" s="1"/>
  <c r="E138" i="24"/>
  <c r="AJ406" i="1" s="1"/>
  <c r="AK406" i="1" s="1"/>
  <c r="E512" i="24"/>
  <c r="AJ407" i="1" s="1"/>
  <c r="AK407" i="1" s="1"/>
  <c r="E139" i="24"/>
  <c r="AJ408" i="1" s="1"/>
  <c r="AK408" i="1" s="1"/>
  <c r="E513" i="24"/>
  <c r="E140" i="24"/>
  <c r="E141" i="24"/>
  <c r="AJ431" i="1" s="1"/>
  <c r="AK431" i="1" s="1"/>
  <c r="E51" i="24"/>
  <c r="AJ363" i="1" s="1"/>
  <c r="E514" i="24"/>
  <c r="AJ393" i="1" s="1"/>
  <c r="AK393" i="1" s="1"/>
  <c r="E110" i="24"/>
  <c r="AJ419" i="1" s="1"/>
  <c r="AK419" i="1" s="1"/>
  <c r="E111" i="24"/>
  <c r="AJ420" i="1" s="1"/>
  <c r="E314" i="24"/>
  <c r="AJ378" i="1" s="1"/>
  <c r="AK378" i="1" s="1"/>
  <c r="E315" i="24"/>
  <c r="E377" i="24"/>
  <c r="AJ403" i="1" s="1"/>
  <c r="AJ445" i="1"/>
  <c r="AK445" i="1" s="1"/>
  <c r="E112" i="24"/>
  <c r="AJ786" i="1" s="1"/>
  <c r="AL786" i="1" s="1"/>
  <c r="E318" i="24"/>
  <c r="AJ335" i="1" s="1"/>
  <c r="AL335" i="1" s="1"/>
  <c r="E516" i="24"/>
  <c r="AJ678" i="1" s="1"/>
  <c r="AL678" i="1" s="1"/>
  <c r="E319" i="24"/>
  <c r="AJ240" i="1" s="1"/>
  <c r="F499" i="24"/>
  <c r="N499" i="24" s="1"/>
  <c r="F498" i="24"/>
  <c r="N498" i="24" s="1"/>
  <c r="F302" i="24"/>
  <c r="N302" i="24" s="1"/>
  <c r="F493" i="24"/>
  <c r="N493" i="24" s="1"/>
  <c r="F469" i="24"/>
  <c r="N469" i="24" s="1"/>
  <c r="F191" i="24"/>
  <c r="N191" i="24" s="1"/>
  <c r="F164" i="24"/>
  <c r="N164" i="24" s="1"/>
  <c r="F147" i="24"/>
  <c r="N147" i="24" s="1"/>
  <c r="F142" i="24"/>
  <c r="N142" i="24" s="1"/>
  <c r="AN3" i="1"/>
  <c r="AN10" i="1"/>
  <c r="AN12" i="1"/>
  <c r="AN13" i="1"/>
  <c r="AN14" i="1"/>
  <c r="AN15" i="1"/>
  <c r="AN16" i="1"/>
  <c r="AN17" i="1"/>
  <c r="AN18" i="1"/>
  <c r="AN19" i="1"/>
  <c r="AN20" i="1"/>
  <c r="AN21" i="1"/>
  <c r="AN24" i="1"/>
  <c r="AN25" i="1"/>
  <c r="AN26" i="1"/>
  <c r="AN27" i="1"/>
  <c r="AN28" i="1"/>
  <c r="AN29" i="1"/>
  <c r="AN30" i="1"/>
  <c r="AN31" i="1"/>
  <c r="AN32" i="1"/>
  <c r="AN33" i="1"/>
  <c r="AN35" i="1"/>
  <c r="AN36" i="1"/>
  <c r="AN37" i="1"/>
  <c r="AN41" i="1"/>
  <c r="AN42" i="1"/>
  <c r="AN43" i="1"/>
  <c r="AN44" i="1"/>
  <c r="AN45" i="1"/>
  <c r="AN46" i="1"/>
  <c r="AN48" i="1"/>
  <c r="AN50" i="1"/>
  <c r="AN55" i="1"/>
  <c r="AN56" i="1"/>
  <c r="AN57" i="1"/>
  <c r="AN58" i="1"/>
  <c r="AN60" i="1"/>
  <c r="AN61" i="1"/>
  <c r="AN62" i="1"/>
  <c r="AN64" i="1"/>
  <c r="AN65" i="1"/>
  <c r="AN66" i="1"/>
  <c r="AN67" i="1"/>
  <c r="AN69" i="1"/>
  <c r="AN70" i="1"/>
  <c r="AN71" i="1"/>
  <c r="AN76" i="1"/>
  <c r="AN77" i="1"/>
  <c r="AN96" i="1"/>
  <c r="AN97" i="1"/>
  <c r="AN98" i="1"/>
  <c r="AN99" i="1"/>
  <c r="AN100" i="1"/>
  <c r="AN101" i="1"/>
  <c r="AN102" i="1"/>
  <c r="AN103" i="1"/>
  <c r="AN104" i="1"/>
  <c r="AN105" i="1"/>
  <c r="AN108" i="1"/>
  <c r="AN109" i="1"/>
  <c r="AN110" i="1"/>
  <c r="AN111" i="1"/>
  <c r="AN112" i="1"/>
  <c r="AN113" i="1"/>
  <c r="AN114" i="1"/>
  <c r="AN117" i="1"/>
  <c r="AN118" i="1"/>
  <c r="AN119" i="1"/>
  <c r="AN120" i="1"/>
  <c r="AN121" i="1"/>
  <c r="AN122" i="1"/>
  <c r="AN132" i="1"/>
  <c r="AN133" i="1"/>
  <c r="AN134" i="1"/>
  <c r="AN135" i="1"/>
  <c r="AN136" i="1"/>
  <c r="AN139" i="1"/>
  <c r="AN140" i="1"/>
  <c r="AN141" i="1"/>
  <c r="AN142" i="1"/>
  <c r="AN143" i="1"/>
  <c r="AN144" i="1"/>
  <c r="AN145" i="1"/>
  <c r="AN146" i="1"/>
  <c r="AN147" i="1"/>
  <c r="AN148" i="1"/>
  <c r="AN149" i="1"/>
  <c r="AN150" i="1"/>
  <c r="AN151" i="1"/>
  <c r="AN152" i="1"/>
  <c r="AN153" i="1"/>
  <c r="AN154" i="1"/>
  <c r="AN155" i="1"/>
  <c r="AN156" i="1"/>
  <c r="AN160" i="1"/>
  <c r="AN163" i="1"/>
  <c r="AN165" i="1"/>
  <c r="AN167" i="1"/>
  <c r="AN168" i="1"/>
  <c r="AN170" i="1"/>
  <c r="AN171" i="1"/>
  <c r="AN172" i="1"/>
  <c r="AN177" i="1"/>
  <c r="AN185" i="1"/>
  <c r="AN186" i="1"/>
  <c r="AN187" i="1"/>
  <c r="AN196" i="1"/>
  <c r="AN197" i="1"/>
  <c r="AN198" i="1"/>
  <c r="AN199" i="1"/>
  <c r="AN200" i="1"/>
  <c r="AN201" i="1"/>
  <c r="AN202" i="1"/>
  <c r="AN203" i="1"/>
  <c r="AN204" i="1"/>
  <c r="AN205" i="1"/>
  <c r="AN206" i="1"/>
  <c r="AN207" i="1"/>
  <c r="AN212" i="1"/>
  <c r="AN213" i="1"/>
  <c r="AN214" i="1"/>
  <c r="AN215" i="1"/>
  <c r="AN216" i="1"/>
  <c r="AN217" i="1"/>
  <c r="AN218" i="1"/>
  <c r="AN219" i="1"/>
  <c r="AN220" i="1"/>
  <c r="AN221" i="1"/>
  <c r="AN223" i="1"/>
  <c r="AN224" i="1"/>
  <c r="AN225" i="1"/>
  <c r="AN227" i="1"/>
  <c r="AN228" i="1"/>
  <c r="AN229" i="1"/>
  <c r="AN230" i="1"/>
  <c r="AN231" i="1"/>
  <c r="AN232" i="1"/>
  <c r="AN233" i="1"/>
  <c r="AN234" i="1"/>
  <c r="AN237" i="1"/>
  <c r="AN238" i="1"/>
  <c r="AN239" i="1"/>
  <c r="AN240" i="1"/>
  <c r="AN241" i="1"/>
  <c r="AN244" i="1"/>
  <c r="AN246" i="1"/>
  <c r="AN247" i="1"/>
  <c r="AN250" i="1"/>
  <c r="AN251" i="1"/>
  <c r="AN252" i="1"/>
  <c r="AN254" i="1"/>
  <c r="AN255" i="1"/>
  <c r="AN256" i="1"/>
  <c r="AN257" i="1"/>
  <c r="AN260" i="1"/>
  <c r="AN261" i="1"/>
  <c r="AN262" i="1"/>
  <c r="AN266" i="1"/>
  <c r="AN268" i="1"/>
  <c r="AN269" i="1"/>
  <c r="AN270" i="1"/>
  <c r="AN271" i="1"/>
  <c r="AN272" i="1"/>
  <c r="AN273" i="1"/>
  <c r="AN274" i="1"/>
  <c r="AN283" i="1"/>
  <c r="AN284" i="1"/>
  <c r="AN285" i="1"/>
  <c r="AN286" i="1"/>
  <c r="AN287" i="1"/>
  <c r="AN288" i="1"/>
  <c r="AN290" i="1"/>
  <c r="AN291" i="1"/>
  <c r="AN292" i="1"/>
  <c r="AN294" i="1"/>
  <c r="AN295" i="1"/>
  <c r="AN296" i="1"/>
  <c r="AN297" i="1"/>
  <c r="AN298" i="1"/>
  <c r="AN300" i="1"/>
  <c r="AN301" i="1"/>
  <c r="AN302" i="1"/>
  <c r="AN303" i="1"/>
  <c r="AN304" i="1"/>
  <c r="AN305" i="1"/>
  <c r="AN306" i="1"/>
  <c r="AN307" i="1"/>
  <c r="AN309" i="1"/>
  <c r="AN310" i="1"/>
  <c r="AN314" i="1"/>
  <c r="AN315" i="1"/>
  <c r="AN316" i="1"/>
  <c r="AN317" i="1"/>
  <c r="AN318" i="1"/>
  <c r="AN319" i="1"/>
  <c r="AN320" i="1"/>
  <c r="AN321" i="1"/>
  <c r="AN322" i="1"/>
  <c r="AN323" i="1"/>
  <c r="AN324" i="1"/>
  <c r="AN329" i="1"/>
  <c r="AN330" i="1"/>
  <c r="AN333" i="1"/>
  <c r="AN334" i="1"/>
  <c r="AN335" i="1"/>
  <c r="AN337" i="1"/>
  <c r="AN338" i="1"/>
  <c r="AN339" i="1"/>
  <c r="AN340" i="1"/>
  <c r="AN347" i="1"/>
  <c r="AN348" i="1"/>
  <c r="AN349" i="1"/>
  <c r="AN350" i="1"/>
  <c r="AN351" i="1"/>
  <c r="AN352" i="1"/>
  <c r="AN353" i="1"/>
  <c r="AN354" i="1"/>
  <c r="AN355" i="1"/>
  <c r="AN356" i="1"/>
  <c r="AN357" i="1"/>
  <c r="AN358" i="1"/>
  <c r="AN359" i="1"/>
  <c r="AN360" i="1"/>
  <c r="AN361" i="1"/>
  <c r="AN363" i="1"/>
  <c r="AN364" i="1"/>
  <c r="AN365" i="1"/>
  <c r="AN366" i="1"/>
  <c r="AN367" i="1"/>
  <c r="AN368" i="1"/>
  <c r="AN369" i="1"/>
  <c r="AN370" i="1"/>
  <c r="AN371" i="1"/>
  <c r="AN372" i="1"/>
  <c r="AN373" i="1"/>
  <c r="AN374" i="1"/>
  <c r="AN375" i="1"/>
  <c r="AN377" i="1"/>
  <c r="AN378" i="1"/>
  <c r="AN379" i="1"/>
  <c r="AN380" i="1"/>
  <c r="AN381" i="1"/>
  <c r="AN382" i="1"/>
  <c r="AN383" i="1"/>
  <c r="AN384" i="1"/>
  <c r="AN385" i="1"/>
  <c r="AN386" i="1"/>
  <c r="AN387" i="1"/>
  <c r="AN388" i="1"/>
  <c r="AN390" i="1"/>
  <c r="AN391" i="1"/>
  <c r="AN392" i="1"/>
  <c r="AN393" i="1"/>
  <c r="AN394" i="1"/>
  <c r="AN395" i="1"/>
  <c r="AN396" i="1"/>
  <c r="AN397" i="1"/>
  <c r="AN398" i="1"/>
  <c r="AN400" i="1"/>
  <c r="AN401" i="1"/>
  <c r="AN402" i="1"/>
  <c r="AN403" i="1"/>
  <c r="AN404" i="1"/>
  <c r="AN405" i="1"/>
  <c r="AN406" i="1"/>
  <c r="AN407" i="1"/>
  <c r="AN408" i="1"/>
  <c r="AN409" i="1"/>
  <c r="AN410" i="1"/>
  <c r="AN411" i="1"/>
  <c r="AN412" i="1"/>
  <c r="AN413" i="1"/>
  <c r="AN414" i="1"/>
  <c r="AN415" i="1"/>
  <c r="AN417" i="1"/>
  <c r="AN418" i="1"/>
  <c r="AN419" i="1"/>
  <c r="AN420" i="1"/>
  <c r="AN421" i="1"/>
  <c r="AN422" i="1"/>
  <c r="AN423" i="1"/>
  <c r="AN424" i="1"/>
  <c r="AN425" i="1"/>
  <c r="AN426" i="1"/>
  <c r="AN427" i="1"/>
  <c r="AN429" i="1"/>
  <c r="AN430" i="1"/>
  <c r="AN431" i="1"/>
  <c r="AN432" i="1"/>
  <c r="AN433" i="1"/>
  <c r="AN434" i="1"/>
  <c r="AN435" i="1"/>
  <c r="AN436" i="1"/>
  <c r="AN437" i="1"/>
  <c r="AN438" i="1"/>
  <c r="AN441" i="1"/>
  <c r="AN443" i="1"/>
  <c r="AN444" i="1"/>
  <c r="AN445" i="1"/>
  <c r="AN446" i="1"/>
  <c r="AN447" i="1"/>
  <c r="AN448" i="1"/>
  <c r="AN449" i="1"/>
  <c r="AN457" i="1"/>
  <c r="AN458" i="1"/>
  <c r="AN459" i="1"/>
  <c r="AN460" i="1"/>
  <c r="AN461" i="1"/>
  <c r="AN462" i="1"/>
  <c r="AN463" i="1"/>
  <c r="AN464" i="1"/>
  <c r="AN465" i="1"/>
  <c r="AN466" i="1"/>
  <c r="AN467" i="1"/>
  <c r="AN468" i="1"/>
  <c r="AN469" i="1"/>
  <c r="AN470" i="1"/>
  <c r="AN471" i="1"/>
  <c r="AN472" i="1"/>
  <c r="AN473" i="1"/>
  <c r="AN477" i="1"/>
  <c r="AN479" i="1"/>
  <c r="AN481" i="1"/>
  <c r="AN482" i="1"/>
  <c r="AN483" i="1"/>
  <c r="AN486" i="1"/>
  <c r="AN487" i="1"/>
  <c r="AN488" i="1"/>
  <c r="AN489" i="1"/>
  <c r="AN494" i="1"/>
  <c r="AN496" i="1"/>
  <c r="AN497" i="1"/>
  <c r="AN498" i="1"/>
  <c r="AN499" i="1"/>
  <c r="AN500" i="1"/>
  <c r="AN501" i="1"/>
  <c r="AN502" i="1"/>
  <c r="AN506" i="1"/>
  <c r="AN507" i="1"/>
  <c r="AN508" i="1"/>
  <c r="AN509" i="1"/>
  <c r="AN512" i="1"/>
  <c r="AN513" i="1"/>
  <c r="AN514" i="1"/>
  <c r="AN515" i="1"/>
  <c r="AN521" i="1"/>
  <c r="AN522" i="1"/>
  <c r="AN523" i="1"/>
  <c r="AN524" i="1"/>
  <c r="AN525" i="1"/>
  <c r="AN526" i="1"/>
  <c r="AN528" i="1"/>
  <c r="AN529" i="1"/>
  <c r="AN530" i="1"/>
  <c r="AN532" i="1"/>
  <c r="AN533" i="1"/>
  <c r="AN538" i="1"/>
  <c r="AN539" i="1"/>
  <c r="AN540" i="1"/>
  <c r="AN541" i="1"/>
  <c r="AN542" i="1"/>
  <c r="AN543" i="1"/>
  <c r="AN547" i="1"/>
  <c r="AN548" i="1"/>
  <c r="AN549" i="1"/>
  <c r="AN552" i="1"/>
  <c r="AN553" i="1"/>
  <c r="AN554" i="1"/>
  <c r="AN556" i="1"/>
  <c r="AN557" i="1"/>
  <c r="AN558" i="1"/>
  <c r="AN559" i="1"/>
  <c r="AN560" i="1"/>
  <c r="AN561" i="1"/>
  <c r="AN562" i="1"/>
  <c r="AN563" i="1"/>
  <c r="AN564" i="1"/>
  <c r="AN566" i="1"/>
  <c r="AN567" i="1"/>
  <c r="AN568" i="1"/>
  <c r="AN570" i="1"/>
  <c r="AN571" i="1"/>
  <c r="AN573" i="1"/>
  <c r="AN574" i="1"/>
  <c r="AN575" i="1"/>
  <c r="AN576" i="1"/>
  <c r="AN584" i="1"/>
  <c r="AN585" i="1"/>
  <c r="AN586" i="1"/>
  <c r="AN587" i="1"/>
  <c r="AN588" i="1"/>
  <c r="AN589" i="1"/>
  <c r="AN595" i="1"/>
  <c r="AN596" i="1"/>
  <c r="AN597" i="1"/>
  <c r="AN599" i="1"/>
  <c r="AN600" i="1"/>
  <c r="AN601" i="1"/>
  <c r="AN602" i="1"/>
  <c r="AN603" i="1"/>
  <c r="AN604" i="1"/>
  <c r="AN605" i="1"/>
  <c r="AN606" i="1"/>
  <c r="AN607" i="1"/>
  <c r="AN609" i="1"/>
  <c r="AN610" i="1"/>
  <c r="AN611" i="1"/>
  <c r="AN612" i="1"/>
  <c r="AN613" i="1"/>
  <c r="AN614" i="1"/>
  <c r="AN616" i="1"/>
  <c r="AN619" i="1"/>
  <c r="AN620" i="1"/>
  <c r="AN621" i="1"/>
  <c r="AN622" i="1"/>
  <c r="AN623" i="1"/>
  <c r="AN628" i="1"/>
  <c r="AN629" i="1"/>
  <c r="AN630" i="1"/>
  <c r="AN635" i="1"/>
  <c r="AN641" i="1"/>
  <c r="AN642" i="1"/>
  <c r="AN643" i="1"/>
  <c r="AN644" i="1"/>
  <c r="AN645" i="1"/>
  <c r="AN646" i="1"/>
  <c r="AN647" i="1"/>
  <c r="AN648" i="1"/>
  <c r="AN649" i="1"/>
  <c r="AN650" i="1"/>
  <c r="AN653" i="1"/>
  <c r="AN656" i="1"/>
  <c r="AN657" i="1"/>
  <c r="AN658" i="1"/>
  <c r="AN659" i="1"/>
  <c r="AN660" i="1"/>
  <c r="AN661" i="1"/>
  <c r="AN662" i="1"/>
  <c r="AN663" i="1"/>
  <c r="AN664" i="1"/>
  <c r="AN665" i="1"/>
  <c r="AN676" i="1"/>
  <c r="AN678" i="1"/>
  <c r="AN680" i="1"/>
  <c r="AN682" i="1"/>
  <c r="AN683" i="1"/>
  <c r="AN684" i="1"/>
  <c r="AN685" i="1"/>
  <c r="AN686" i="1"/>
  <c r="AN687" i="1"/>
  <c r="AN688" i="1"/>
  <c r="AN689" i="1"/>
  <c r="AN690" i="1"/>
  <c r="AN691" i="1"/>
  <c r="AN692" i="1"/>
  <c r="AN693" i="1"/>
  <c r="AN694" i="1"/>
  <c r="AN695" i="1"/>
  <c r="AN700" i="1"/>
  <c r="AN701" i="1"/>
  <c r="AN702" i="1"/>
  <c r="AN703" i="1"/>
  <c r="AN704" i="1"/>
  <c r="AN705" i="1"/>
  <c r="AN706" i="1"/>
  <c r="AN707" i="1"/>
  <c r="AN709" i="1"/>
  <c r="AN710" i="1"/>
  <c r="AN711" i="1"/>
  <c r="AN719" i="1"/>
  <c r="AN720" i="1"/>
  <c r="AN724" i="1"/>
  <c r="AN726" i="1"/>
  <c r="AN727" i="1"/>
  <c r="AN729" i="1"/>
  <c r="AN730" i="1"/>
  <c r="AN731" i="1"/>
  <c r="AN734" i="1"/>
  <c r="AN735" i="1"/>
  <c r="AN736" i="1"/>
  <c r="AN740" i="1"/>
  <c r="AN741" i="1"/>
  <c r="AN742" i="1"/>
  <c r="AN743" i="1"/>
  <c r="AN744" i="1"/>
  <c r="AN746" i="1"/>
  <c r="AN747" i="1"/>
  <c r="AN748" i="1"/>
  <c r="AN749" i="1"/>
  <c r="AN750" i="1"/>
  <c r="AN754" i="1"/>
  <c r="AN755" i="1"/>
  <c r="AN756" i="1"/>
  <c r="AN757" i="1"/>
  <c r="AN758" i="1"/>
  <c r="AN759" i="1"/>
  <c r="AN760" i="1"/>
  <c r="AN761" i="1"/>
  <c r="AN762" i="1"/>
  <c r="AN763" i="1"/>
  <c r="AN764" i="1"/>
  <c r="AN766" i="1"/>
  <c r="AN767" i="1"/>
  <c r="AN769" i="1"/>
  <c r="AN770" i="1"/>
  <c r="AN772" i="1"/>
  <c r="AN773" i="1"/>
  <c r="AN774" i="1"/>
  <c r="AN776" i="1"/>
  <c r="AN777" i="1"/>
  <c r="AN778" i="1"/>
  <c r="AN780" i="1"/>
  <c r="AN781" i="1"/>
  <c r="AN782" i="1"/>
  <c r="AN783" i="1"/>
  <c r="AN784" i="1"/>
  <c r="AN785" i="1"/>
  <c r="AN786" i="1"/>
  <c r="AN787" i="1"/>
  <c r="AN788" i="1"/>
  <c r="AN789" i="1"/>
  <c r="AN790" i="1"/>
  <c r="AN791" i="1"/>
  <c r="AN792" i="1"/>
  <c r="AN793" i="1"/>
  <c r="AN794" i="1"/>
  <c r="AN795" i="1"/>
  <c r="AN796" i="1"/>
  <c r="AN797" i="1"/>
  <c r="AN804" i="1"/>
  <c r="AN806" i="1"/>
  <c r="AN807" i="1"/>
  <c r="AN808" i="1"/>
  <c r="AN809" i="1"/>
  <c r="AN811" i="1"/>
  <c r="AN812" i="1"/>
  <c r="AN814" i="1"/>
  <c r="AN818" i="1"/>
  <c r="AN825" i="1"/>
  <c r="AN826" i="1"/>
  <c r="AN827" i="1"/>
  <c r="AN828" i="1"/>
  <c r="AN829" i="1"/>
  <c r="AN831" i="1"/>
  <c r="AN832" i="1"/>
  <c r="AN833" i="1"/>
  <c r="AN834" i="1"/>
  <c r="AN835" i="1"/>
  <c r="AN836" i="1"/>
  <c r="AN837" i="1"/>
  <c r="AN852" i="1"/>
  <c r="AN855" i="1"/>
  <c r="AN857" i="1"/>
  <c r="AN858" i="1"/>
  <c r="AN859" i="1"/>
  <c r="AN860" i="1"/>
  <c r="AN861" i="1"/>
  <c r="AN862" i="1"/>
  <c r="AN863" i="1"/>
  <c r="AN864" i="1"/>
  <c r="AN865" i="1"/>
  <c r="AN866" i="1"/>
  <c r="AN867" i="1"/>
  <c r="AN868" i="1"/>
  <c r="AN869" i="1"/>
  <c r="AN870" i="1"/>
  <c r="AN871" i="1"/>
  <c r="AN872" i="1"/>
  <c r="AN873" i="1"/>
  <c r="AN874" i="1"/>
  <c r="AN876" i="1"/>
  <c r="AN877" i="1"/>
  <c r="AN878" i="1"/>
  <c r="AN880" i="1"/>
  <c r="AN881" i="1"/>
  <c r="AN882" i="1"/>
  <c r="AN883" i="1"/>
  <c r="AN884" i="1"/>
  <c r="AN885" i="1"/>
  <c r="AN886" i="1"/>
  <c r="AN887" i="1"/>
  <c r="AN888" i="1"/>
  <c r="AN889" i="1"/>
  <c r="AN890" i="1"/>
  <c r="AN891" i="1"/>
  <c r="AN892" i="1"/>
  <c r="AN893" i="1"/>
  <c r="AN894" i="1"/>
  <c r="AN895" i="1"/>
  <c r="AN896" i="1"/>
  <c r="AN897" i="1"/>
  <c r="AN898" i="1"/>
  <c r="AN900" i="1"/>
  <c r="AN901"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51" i="1"/>
  <c r="AN952" i="1"/>
  <c r="AN953" i="1"/>
  <c r="AN954" i="1"/>
  <c r="AN955" i="1"/>
  <c r="AN956" i="1"/>
  <c r="AN957" i="1"/>
  <c r="AN958" i="1"/>
  <c r="AN959" i="1"/>
  <c r="AN961" i="1"/>
  <c r="AN962" i="1"/>
  <c r="AN966" i="1"/>
  <c r="AN967" i="1"/>
  <c r="AN968" i="1"/>
  <c r="AN971" i="1"/>
  <c r="AN972" i="1"/>
  <c r="AN973" i="1"/>
  <c r="AN974" i="1"/>
  <c r="AN975" i="1"/>
  <c r="AN976" i="1"/>
  <c r="AN977" i="1"/>
  <c r="AN978" i="1"/>
  <c r="AN979" i="1"/>
  <c r="AN980" i="1"/>
  <c r="AN982" i="1"/>
  <c r="AN983" i="1"/>
  <c r="AN984" i="1"/>
  <c r="AN985" i="1"/>
  <c r="AN986" i="1"/>
  <c r="AN988" i="1"/>
  <c r="AN989" i="1"/>
  <c r="AN990" i="1"/>
  <c r="AN991" i="1"/>
  <c r="AN992" i="1"/>
  <c r="AN993" i="1"/>
  <c r="AN995" i="1"/>
  <c r="AN996" i="1"/>
  <c r="AN997" i="1"/>
  <c r="AN998" i="1"/>
  <c r="AN999" i="1"/>
  <c r="AN1000" i="1"/>
  <c r="AN1003" i="1"/>
  <c r="AN1004" i="1"/>
  <c r="AN1005" i="1"/>
  <c r="AN1006" i="1"/>
  <c r="AN1007" i="1"/>
  <c r="AN1009" i="1"/>
  <c r="AN1010" i="1"/>
  <c r="AN1011" i="1"/>
  <c r="AN1012" i="1"/>
  <c r="AN1014" i="1"/>
  <c r="AN1015" i="1"/>
  <c r="AN1016" i="1"/>
  <c r="AN1017" i="1"/>
  <c r="AN1018" i="1"/>
  <c r="AN1019" i="1"/>
  <c r="AN1020" i="1"/>
  <c r="AN1021" i="1"/>
  <c r="AN1022" i="1"/>
  <c r="AN1023" i="1"/>
  <c r="AN1024" i="1"/>
  <c r="AN1025" i="1"/>
  <c r="AN1026" i="1"/>
  <c r="AN1027" i="1"/>
  <c r="AN1028" i="1"/>
  <c r="AN1029" i="1"/>
  <c r="AN1030" i="1"/>
  <c r="AN1031" i="1"/>
  <c r="AN1032" i="1"/>
  <c r="AN1033"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7" i="1"/>
  <c r="AN1058" i="1"/>
  <c r="AN1059" i="1"/>
  <c r="AN1060" i="1"/>
  <c r="AN1061" i="1"/>
  <c r="AN1062" i="1"/>
  <c r="AN1063" i="1"/>
  <c r="AN1064" i="1"/>
  <c r="AN1065" i="1"/>
  <c r="AN1066" i="1"/>
  <c r="AN1067" i="1"/>
  <c r="AN1068" i="1"/>
  <c r="AN1069" i="1"/>
  <c r="AN1070" i="1"/>
  <c r="AN1071" i="1"/>
  <c r="AN1072" i="1"/>
  <c r="AN1074" i="1"/>
  <c r="AN1075" i="1"/>
  <c r="AN1076" i="1"/>
  <c r="AN1077" i="1"/>
  <c r="AN1078" i="1"/>
  <c r="AN1079" i="1"/>
  <c r="AN1080" i="1"/>
  <c r="AN1082" i="1"/>
  <c r="AN1083" i="1"/>
  <c r="AN1084" i="1"/>
  <c r="AN1086" i="1"/>
  <c r="AN1091" i="1"/>
  <c r="AN1093" i="1"/>
  <c r="AN1094" i="1"/>
  <c r="AN1095" i="1"/>
  <c r="AN1096" i="1"/>
  <c r="AN1097" i="1"/>
  <c r="AN1098" i="1"/>
  <c r="AN1099" i="1"/>
  <c r="AN1100" i="1"/>
  <c r="AN1101" i="1"/>
  <c r="AN1102" i="1"/>
  <c r="AN1103" i="1"/>
  <c r="AN1104" i="1"/>
  <c r="AN1105" i="1"/>
  <c r="AN1106" i="1"/>
  <c r="AN1107" i="1"/>
  <c r="AN1108" i="1"/>
  <c r="AN1109" i="1"/>
  <c r="AN1110" i="1"/>
  <c r="AN1111" i="1"/>
  <c r="AN1112" i="1"/>
  <c r="AN1114" i="1"/>
  <c r="AN1115" i="1"/>
  <c r="AN1116" i="1"/>
  <c r="AN1117" i="1"/>
  <c r="AN1118" i="1"/>
  <c r="AN1119" i="1"/>
  <c r="AN1120" i="1"/>
  <c r="AN1121" i="1"/>
  <c r="AN1122" i="1"/>
  <c r="AN1124" i="1"/>
  <c r="AN1126"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J3" i="1"/>
  <c r="K3" i="1"/>
  <c r="L3" i="1"/>
  <c r="J4" i="1"/>
  <c r="K4" i="1"/>
  <c r="L4" i="1"/>
  <c r="J5" i="1"/>
  <c r="K5" i="1"/>
  <c r="L5" i="1"/>
  <c r="J6" i="1"/>
  <c r="K6" i="1"/>
  <c r="L6" i="1"/>
  <c r="J7" i="1"/>
  <c r="K7" i="1"/>
  <c r="L7" i="1"/>
  <c r="J8" i="1"/>
  <c r="K8" i="1"/>
  <c r="L8" i="1"/>
  <c r="J9" i="1"/>
  <c r="K9" i="1"/>
  <c r="L9" i="1"/>
  <c r="J10" i="1"/>
  <c r="K10" i="1"/>
  <c r="L10" i="1"/>
  <c r="J11" i="1"/>
  <c r="K11" i="1"/>
  <c r="L11" i="1"/>
  <c r="J12" i="1"/>
  <c r="K12" i="1"/>
  <c r="L12" i="1"/>
  <c r="J13" i="1"/>
  <c r="K13" i="1"/>
  <c r="L13" i="1"/>
  <c r="J14" i="1"/>
  <c r="K14" i="1"/>
  <c r="L14" i="1"/>
  <c r="J15" i="1"/>
  <c r="K15" i="1"/>
  <c r="L15" i="1"/>
  <c r="J16" i="1"/>
  <c r="K16" i="1"/>
  <c r="L16" i="1"/>
  <c r="J17" i="1"/>
  <c r="K17" i="1"/>
  <c r="L17" i="1"/>
  <c r="J18" i="1"/>
  <c r="K18" i="1"/>
  <c r="L18" i="1"/>
  <c r="J19" i="1"/>
  <c r="K19" i="1"/>
  <c r="L19" i="1"/>
  <c r="J20" i="1"/>
  <c r="K20" i="1"/>
  <c r="L20" i="1"/>
  <c r="J21" i="1"/>
  <c r="K21" i="1"/>
  <c r="L21" i="1"/>
  <c r="J22" i="1"/>
  <c r="K22" i="1"/>
  <c r="L22" i="1"/>
  <c r="J23" i="1"/>
  <c r="K23" i="1"/>
  <c r="L23" i="1"/>
  <c r="J24" i="1"/>
  <c r="K24" i="1"/>
  <c r="L24" i="1"/>
  <c r="J25" i="1"/>
  <c r="K25" i="1"/>
  <c r="L25" i="1"/>
  <c r="J26" i="1"/>
  <c r="K26" i="1"/>
  <c r="L26" i="1"/>
  <c r="J27" i="1"/>
  <c r="K27" i="1"/>
  <c r="L27" i="1"/>
  <c r="J28" i="1"/>
  <c r="K28" i="1"/>
  <c r="L28" i="1"/>
  <c r="J29" i="1"/>
  <c r="K29" i="1"/>
  <c r="L29" i="1"/>
  <c r="J30" i="1"/>
  <c r="K30" i="1"/>
  <c r="L30" i="1"/>
  <c r="J31" i="1"/>
  <c r="K31" i="1"/>
  <c r="L31" i="1"/>
  <c r="J32" i="1"/>
  <c r="K32" i="1"/>
  <c r="L32" i="1"/>
  <c r="J33" i="1"/>
  <c r="K33" i="1"/>
  <c r="L33" i="1"/>
  <c r="J34" i="1"/>
  <c r="K34" i="1"/>
  <c r="L34" i="1"/>
  <c r="J35" i="1"/>
  <c r="K35" i="1"/>
  <c r="L35" i="1"/>
  <c r="J36" i="1"/>
  <c r="K36" i="1"/>
  <c r="L36" i="1"/>
  <c r="J37" i="1"/>
  <c r="K37" i="1"/>
  <c r="L37" i="1"/>
  <c r="J38" i="1"/>
  <c r="K38" i="1"/>
  <c r="L38" i="1"/>
  <c r="J39" i="1"/>
  <c r="K39" i="1"/>
  <c r="L39" i="1"/>
  <c r="J40" i="1"/>
  <c r="K40" i="1"/>
  <c r="L40" i="1"/>
  <c r="J41" i="1"/>
  <c r="K41" i="1"/>
  <c r="L41" i="1"/>
  <c r="J42" i="1"/>
  <c r="K42" i="1"/>
  <c r="L42" i="1"/>
  <c r="J43" i="1"/>
  <c r="K43" i="1"/>
  <c r="L43" i="1"/>
  <c r="J44" i="1"/>
  <c r="K44" i="1"/>
  <c r="L44" i="1"/>
  <c r="J45" i="1"/>
  <c r="K45" i="1"/>
  <c r="L45" i="1"/>
  <c r="J46" i="1"/>
  <c r="K46" i="1"/>
  <c r="L46" i="1"/>
  <c r="J47" i="1"/>
  <c r="K47" i="1"/>
  <c r="L47" i="1"/>
  <c r="J48" i="1"/>
  <c r="K48" i="1"/>
  <c r="L48" i="1"/>
  <c r="J49" i="1"/>
  <c r="K49" i="1"/>
  <c r="L49" i="1"/>
  <c r="J50" i="1"/>
  <c r="K50" i="1"/>
  <c r="L50" i="1"/>
  <c r="J51" i="1"/>
  <c r="K51" i="1"/>
  <c r="L51" i="1"/>
  <c r="J52" i="1"/>
  <c r="K52" i="1"/>
  <c r="L52" i="1"/>
  <c r="J53" i="1"/>
  <c r="K53" i="1"/>
  <c r="L53" i="1"/>
  <c r="J54" i="1"/>
  <c r="K54" i="1"/>
  <c r="L54" i="1"/>
  <c r="J55" i="1"/>
  <c r="K55" i="1"/>
  <c r="L55" i="1"/>
  <c r="J56" i="1"/>
  <c r="K56" i="1"/>
  <c r="L56" i="1"/>
  <c r="J57" i="1"/>
  <c r="K57" i="1"/>
  <c r="L57" i="1"/>
  <c r="J58" i="1"/>
  <c r="K58" i="1"/>
  <c r="L58" i="1"/>
  <c r="J59" i="1"/>
  <c r="K59" i="1"/>
  <c r="L59" i="1"/>
  <c r="J60" i="1"/>
  <c r="K60" i="1"/>
  <c r="L60" i="1"/>
  <c r="J61" i="1"/>
  <c r="K61" i="1"/>
  <c r="L61" i="1"/>
  <c r="J62" i="1"/>
  <c r="K62" i="1"/>
  <c r="L62" i="1"/>
  <c r="J63" i="1"/>
  <c r="K63" i="1"/>
  <c r="L63" i="1"/>
  <c r="J64" i="1"/>
  <c r="K64" i="1"/>
  <c r="L64" i="1"/>
  <c r="J65" i="1"/>
  <c r="K65" i="1"/>
  <c r="L65" i="1"/>
  <c r="J66" i="1"/>
  <c r="K66" i="1"/>
  <c r="L66" i="1"/>
  <c r="J67" i="1"/>
  <c r="K67" i="1"/>
  <c r="L67" i="1"/>
  <c r="J68" i="1"/>
  <c r="K68" i="1"/>
  <c r="L68" i="1"/>
  <c r="J69" i="1"/>
  <c r="K69" i="1"/>
  <c r="L69" i="1"/>
  <c r="J70" i="1"/>
  <c r="K70" i="1"/>
  <c r="L70" i="1"/>
  <c r="J71" i="1"/>
  <c r="K71" i="1"/>
  <c r="L71" i="1"/>
  <c r="J72" i="1"/>
  <c r="K72" i="1"/>
  <c r="L72" i="1"/>
  <c r="J73" i="1"/>
  <c r="K73" i="1"/>
  <c r="L73" i="1"/>
  <c r="J74" i="1"/>
  <c r="K74" i="1"/>
  <c r="L74" i="1"/>
  <c r="J75" i="1"/>
  <c r="K75" i="1"/>
  <c r="L75" i="1"/>
  <c r="J76" i="1"/>
  <c r="K76" i="1"/>
  <c r="L76" i="1"/>
  <c r="J77" i="1"/>
  <c r="K77" i="1"/>
  <c r="L77" i="1"/>
  <c r="J78" i="1"/>
  <c r="K78" i="1"/>
  <c r="L78" i="1"/>
  <c r="J79" i="1"/>
  <c r="K79" i="1"/>
  <c r="L79" i="1"/>
  <c r="J80" i="1"/>
  <c r="K80" i="1"/>
  <c r="L80" i="1"/>
  <c r="J81" i="1"/>
  <c r="K81" i="1"/>
  <c r="L81" i="1"/>
  <c r="J82" i="1"/>
  <c r="K82" i="1"/>
  <c r="L82" i="1"/>
  <c r="J83" i="1"/>
  <c r="K83" i="1"/>
  <c r="L83" i="1"/>
  <c r="J84" i="1"/>
  <c r="K84" i="1"/>
  <c r="L84" i="1"/>
  <c r="J85" i="1"/>
  <c r="K85" i="1"/>
  <c r="L85" i="1"/>
  <c r="J86" i="1"/>
  <c r="K86" i="1"/>
  <c r="L86" i="1"/>
  <c r="J87" i="1"/>
  <c r="K87" i="1"/>
  <c r="L87" i="1"/>
  <c r="J88" i="1"/>
  <c r="K88" i="1"/>
  <c r="L88" i="1"/>
  <c r="J89" i="1"/>
  <c r="K89" i="1"/>
  <c r="L89" i="1"/>
  <c r="J90" i="1"/>
  <c r="K90" i="1"/>
  <c r="L90" i="1"/>
  <c r="J91" i="1"/>
  <c r="K91" i="1"/>
  <c r="L91" i="1"/>
  <c r="J92" i="1"/>
  <c r="K92" i="1"/>
  <c r="L92" i="1"/>
  <c r="J93" i="1"/>
  <c r="K93" i="1"/>
  <c r="L93" i="1"/>
  <c r="J94" i="1"/>
  <c r="K94" i="1"/>
  <c r="L94" i="1"/>
  <c r="J95" i="1"/>
  <c r="K95" i="1"/>
  <c r="L95" i="1"/>
  <c r="J96" i="1"/>
  <c r="K96" i="1"/>
  <c r="L96" i="1"/>
  <c r="J97" i="1"/>
  <c r="K97" i="1"/>
  <c r="L97" i="1"/>
  <c r="J98" i="1"/>
  <c r="K98" i="1"/>
  <c r="L98" i="1"/>
  <c r="J99" i="1"/>
  <c r="K99" i="1"/>
  <c r="L99" i="1"/>
  <c r="J100" i="1"/>
  <c r="K100" i="1"/>
  <c r="L100" i="1"/>
  <c r="J101" i="1"/>
  <c r="K101" i="1"/>
  <c r="L101" i="1"/>
  <c r="J102" i="1"/>
  <c r="K102" i="1"/>
  <c r="L102" i="1"/>
  <c r="J103" i="1"/>
  <c r="K103" i="1"/>
  <c r="L103" i="1"/>
  <c r="J104" i="1"/>
  <c r="K104" i="1"/>
  <c r="L104" i="1"/>
  <c r="J105" i="1"/>
  <c r="K105" i="1"/>
  <c r="L105" i="1"/>
  <c r="J106" i="1"/>
  <c r="K106" i="1"/>
  <c r="L106" i="1"/>
  <c r="J107" i="1"/>
  <c r="K107" i="1"/>
  <c r="L107" i="1"/>
  <c r="J108" i="1"/>
  <c r="K108" i="1"/>
  <c r="L108" i="1"/>
  <c r="J109" i="1"/>
  <c r="K109" i="1"/>
  <c r="L109" i="1"/>
  <c r="J110" i="1"/>
  <c r="K110" i="1"/>
  <c r="L110" i="1"/>
  <c r="J111" i="1"/>
  <c r="K111" i="1"/>
  <c r="L111" i="1"/>
  <c r="J112" i="1"/>
  <c r="K112" i="1"/>
  <c r="L112" i="1"/>
  <c r="J113" i="1"/>
  <c r="K113" i="1"/>
  <c r="L113" i="1"/>
  <c r="J114" i="1"/>
  <c r="K114" i="1"/>
  <c r="L114" i="1"/>
  <c r="J115" i="1"/>
  <c r="K115" i="1"/>
  <c r="L115" i="1"/>
  <c r="J116" i="1"/>
  <c r="K116" i="1"/>
  <c r="L116" i="1"/>
  <c r="J117" i="1"/>
  <c r="K117" i="1"/>
  <c r="L117" i="1"/>
  <c r="J118" i="1"/>
  <c r="K118" i="1"/>
  <c r="L118" i="1"/>
  <c r="J119" i="1"/>
  <c r="K119" i="1"/>
  <c r="L119" i="1"/>
  <c r="J120" i="1"/>
  <c r="K120" i="1"/>
  <c r="L120" i="1"/>
  <c r="J121" i="1"/>
  <c r="K121" i="1"/>
  <c r="L121" i="1"/>
  <c r="J122" i="1"/>
  <c r="K122" i="1"/>
  <c r="L122" i="1"/>
  <c r="J123" i="1"/>
  <c r="K123" i="1"/>
  <c r="L123" i="1"/>
  <c r="J124" i="1"/>
  <c r="K124" i="1"/>
  <c r="L124" i="1"/>
  <c r="J125" i="1"/>
  <c r="K125" i="1"/>
  <c r="L125" i="1"/>
  <c r="J126" i="1"/>
  <c r="K126" i="1"/>
  <c r="L126" i="1"/>
  <c r="J127" i="1"/>
  <c r="K127" i="1"/>
  <c r="L127" i="1"/>
  <c r="J128" i="1"/>
  <c r="K128" i="1"/>
  <c r="L128" i="1"/>
  <c r="J129" i="1"/>
  <c r="K129" i="1"/>
  <c r="L129" i="1"/>
  <c r="J130" i="1"/>
  <c r="K130" i="1"/>
  <c r="L130" i="1"/>
  <c r="J131" i="1"/>
  <c r="K131" i="1"/>
  <c r="L131" i="1"/>
  <c r="J132" i="1"/>
  <c r="K132" i="1"/>
  <c r="L132" i="1"/>
  <c r="J133" i="1"/>
  <c r="K133" i="1"/>
  <c r="L133" i="1"/>
  <c r="J134" i="1"/>
  <c r="K134" i="1"/>
  <c r="L134" i="1"/>
  <c r="J135" i="1"/>
  <c r="K135" i="1"/>
  <c r="L135" i="1"/>
  <c r="J136" i="1"/>
  <c r="K136" i="1"/>
  <c r="L136" i="1"/>
  <c r="J137" i="1"/>
  <c r="K137" i="1"/>
  <c r="L137" i="1"/>
  <c r="J138" i="1"/>
  <c r="K138" i="1"/>
  <c r="L138" i="1"/>
  <c r="J139" i="1"/>
  <c r="K139" i="1"/>
  <c r="L139" i="1"/>
  <c r="J140" i="1"/>
  <c r="K140" i="1"/>
  <c r="L140" i="1"/>
  <c r="J141" i="1"/>
  <c r="K141" i="1"/>
  <c r="L141" i="1"/>
  <c r="J142" i="1"/>
  <c r="K142" i="1"/>
  <c r="L142" i="1"/>
  <c r="J143" i="1"/>
  <c r="K143" i="1"/>
  <c r="L143" i="1"/>
  <c r="J144" i="1"/>
  <c r="K144" i="1"/>
  <c r="L144" i="1"/>
  <c r="J145" i="1"/>
  <c r="K145" i="1"/>
  <c r="L145" i="1"/>
  <c r="J146" i="1"/>
  <c r="K146" i="1"/>
  <c r="L146" i="1"/>
  <c r="J147" i="1"/>
  <c r="K147" i="1"/>
  <c r="L147" i="1"/>
  <c r="J148" i="1"/>
  <c r="K148" i="1"/>
  <c r="L148" i="1"/>
  <c r="J149" i="1"/>
  <c r="K149" i="1"/>
  <c r="L149" i="1"/>
  <c r="J150" i="1"/>
  <c r="K150" i="1"/>
  <c r="L150" i="1"/>
  <c r="J151" i="1"/>
  <c r="K151" i="1"/>
  <c r="L151" i="1"/>
  <c r="J152" i="1"/>
  <c r="K152" i="1"/>
  <c r="L152" i="1"/>
  <c r="J153" i="1"/>
  <c r="K153" i="1"/>
  <c r="L153" i="1"/>
  <c r="J154" i="1"/>
  <c r="K154" i="1"/>
  <c r="L154" i="1"/>
  <c r="J155" i="1"/>
  <c r="K155" i="1"/>
  <c r="L155" i="1"/>
  <c r="J156" i="1"/>
  <c r="K156" i="1"/>
  <c r="L156" i="1"/>
  <c r="J157" i="1"/>
  <c r="K157" i="1"/>
  <c r="L157" i="1"/>
  <c r="J158" i="1"/>
  <c r="K158" i="1"/>
  <c r="L158" i="1"/>
  <c r="J159" i="1"/>
  <c r="K159" i="1"/>
  <c r="L159" i="1"/>
  <c r="J160" i="1"/>
  <c r="K160" i="1"/>
  <c r="L160" i="1"/>
  <c r="J161" i="1"/>
  <c r="K161" i="1"/>
  <c r="L161" i="1"/>
  <c r="J162" i="1"/>
  <c r="K162" i="1"/>
  <c r="L162" i="1"/>
  <c r="J163" i="1"/>
  <c r="K163" i="1"/>
  <c r="L163" i="1"/>
  <c r="J164" i="1"/>
  <c r="K164" i="1"/>
  <c r="L164" i="1"/>
  <c r="J165" i="1"/>
  <c r="K165" i="1"/>
  <c r="L165" i="1"/>
  <c r="J166" i="1"/>
  <c r="K166" i="1"/>
  <c r="L166" i="1"/>
  <c r="J167" i="1"/>
  <c r="K167" i="1"/>
  <c r="L167" i="1"/>
  <c r="J168" i="1"/>
  <c r="K168" i="1"/>
  <c r="L168" i="1"/>
  <c r="J169" i="1"/>
  <c r="K169" i="1"/>
  <c r="L169" i="1"/>
  <c r="J170" i="1"/>
  <c r="K170" i="1"/>
  <c r="L170" i="1"/>
  <c r="J171" i="1"/>
  <c r="K171" i="1"/>
  <c r="L171" i="1"/>
  <c r="J172" i="1"/>
  <c r="K172" i="1"/>
  <c r="L172" i="1"/>
  <c r="J173" i="1"/>
  <c r="K173" i="1"/>
  <c r="L173" i="1"/>
  <c r="J174" i="1"/>
  <c r="K174" i="1"/>
  <c r="L174" i="1"/>
  <c r="J175" i="1"/>
  <c r="K175" i="1"/>
  <c r="L175" i="1"/>
  <c r="J176" i="1"/>
  <c r="K176" i="1"/>
  <c r="L176" i="1"/>
  <c r="J177" i="1"/>
  <c r="K177" i="1"/>
  <c r="L177" i="1"/>
  <c r="J178" i="1"/>
  <c r="K178" i="1"/>
  <c r="L178" i="1"/>
  <c r="J179" i="1"/>
  <c r="K179" i="1"/>
  <c r="L179" i="1"/>
  <c r="J180" i="1"/>
  <c r="K180" i="1"/>
  <c r="L180" i="1"/>
  <c r="J181" i="1"/>
  <c r="K181" i="1"/>
  <c r="L181" i="1"/>
  <c r="J182" i="1"/>
  <c r="K182" i="1"/>
  <c r="L182" i="1"/>
  <c r="J183" i="1"/>
  <c r="K183" i="1"/>
  <c r="L183" i="1"/>
  <c r="J184" i="1"/>
  <c r="K184" i="1"/>
  <c r="L184" i="1"/>
  <c r="J185" i="1"/>
  <c r="K185" i="1"/>
  <c r="L185" i="1"/>
  <c r="J186" i="1"/>
  <c r="K186" i="1"/>
  <c r="L186" i="1"/>
  <c r="J187" i="1"/>
  <c r="K187" i="1"/>
  <c r="L187" i="1"/>
  <c r="J188" i="1"/>
  <c r="K188" i="1"/>
  <c r="L188" i="1"/>
  <c r="J189" i="1"/>
  <c r="K189" i="1"/>
  <c r="L189" i="1"/>
  <c r="J190" i="1"/>
  <c r="K190" i="1"/>
  <c r="L190" i="1"/>
  <c r="J191" i="1"/>
  <c r="K191" i="1"/>
  <c r="L191" i="1"/>
  <c r="J192" i="1"/>
  <c r="K192" i="1"/>
  <c r="L192" i="1"/>
  <c r="J193" i="1"/>
  <c r="K193" i="1"/>
  <c r="L193" i="1"/>
  <c r="J194" i="1"/>
  <c r="K194" i="1"/>
  <c r="L194" i="1"/>
  <c r="J195" i="1"/>
  <c r="K195" i="1"/>
  <c r="L195" i="1"/>
  <c r="J196" i="1"/>
  <c r="K196" i="1"/>
  <c r="L196" i="1"/>
  <c r="J197" i="1"/>
  <c r="K197" i="1"/>
  <c r="L197" i="1"/>
  <c r="J198" i="1"/>
  <c r="K198" i="1"/>
  <c r="L198" i="1"/>
  <c r="J199" i="1"/>
  <c r="K199" i="1"/>
  <c r="L199" i="1"/>
  <c r="J200" i="1"/>
  <c r="K200" i="1"/>
  <c r="L200" i="1"/>
  <c r="J201" i="1"/>
  <c r="K201" i="1"/>
  <c r="L201" i="1"/>
  <c r="J202" i="1"/>
  <c r="K202" i="1"/>
  <c r="L202" i="1"/>
  <c r="J203" i="1"/>
  <c r="K203" i="1"/>
  <c r="L203" i="1"/>
  <c r="J204" i="1"/>
  <c r="K204" i="1"/>
  <c r="L204" i="1"/>
  <c r="J205" i="1"/>
  <c r="K205" i="1"/>
  <c r="L205" i="1"/>
  <c r="J206" i="1"/>
  <c r="K206" i="1"/>
  <c r="L206" i="1"/>
  <c r="J207" i="1"/>
  <c r="K207" i="1"/>
  <c r="L207" i="1"/>
  <c r="J209" i="1"/>
  <c r="K209" i="1"/>
  <c r="L209" i="1"/>
  <c r="J210" i="1"/>
  <c r="K210" i="1"/>
  <c r="L210" i="1"/>
  <c r="J211" i="1"/>
  <c r="K211" i="1"/>
  <c r="L211" i="1"/>
  <c r="J212" i="1"/>
  <c r="K212" i="1"/>
  <c r="L212" i="1"/>
  <c r="J213" i="1"/>
  <c r="K213" i="1"/>
  <c r="L213" i="1"/>
  <c r="J214" i="1"/>
  <c r="K214" i="1"/>
  <c r="L214" i="1"/>
  <c r="J215" i="1"/>
  <c r="K215" i="1"/>
  <c r="L215" i="1"/>
  <c r="J216" i="1"/>
  <c r="K216" i="1"/>
  <c r="L216" i="1"/>
  <c r="J217" i="1"/>
  <c r="K217" i="1"/>
  <c r="L217" i="1"/>
  <c r="J218" i="1"/>
  <c r="K218" i="1"/>
  <c r="L218" i="1"/>
  <c r="J219" i="1"/>
  <c r="K219" i="1"/>
  <c r="L219" i="1"/>
  <c r="J220" i="1"/>
  <c r="K220" i="1"/>
  <c r="L220" i="1"/>
  <c r="J221" i="1"/>
  <c r="K221" i="1"/>
  <c r="L221" i="1"/>
  <c r="J222" i="1"/>
  <c r="K222" i="1"/>
  <c r="L222" i="1"/>
  <c r="J223" i="1"/>
  <c r="K223" i="1"/>
  <c r="L223" i="1"/>
  <c r="J224" i="1"/>
  <c r="K224" i="1"/>
  <c r="L224" i="1"/>
  <c r="J225" i="1"/>
  <c r="K225" i="1"/>
  <c r="L225" i="1"/>
  <c r="J226" i="1"/>
  <c r="K226" i="1"/>
  <c r="L226" i="1"/>
  <c r="J227" i="1"/>
  <c r="K227" i="1"/>
  <c r="L227" i="1"/>
  <c r="J228" i="1"/>
  <c r="K228" i="1"/>
  <c r="L228" i="1"/>
  <c r="J229" i="1"/>
  <c r="K229" i="1"/>
  <c r="L229" i="1"/>
  <c r="J230" i="1"/>
  <c r="K230" i="1"/>
  <c r="L230" i="1"/>
  <c r="J231" i="1"/>
  <c r="K231" i="1"/>
  <c r="L231" i="1"/>
  <c r="J232" i="1"/>
  <c r="K232" i="1"/>
  <c r="L232" i="1"/>
  <c r="J233" i="1"/>
  <c r="K233" i="1"/>
  <c r="L233" i="1"/>
  <c r="J234" i="1"/>
  <c r="K234" i="1"/>
  <c r="L234" i="1"/>
  <c r="J235" i="1"/>
  <c r="K235" i="1"/>
  <c r="L235" i="1"/>
  <c r="J236" i="1"/>
  <c r="K236" i="1"/>
  <c r="L236" i="1"/>
  <c r="J237" i="1"/>
  <c r="K237" i="1"/>
  <c r="L237" i="1"/>
  <c r="J238" i="1"/>
  <c r="K238" i="1"/>
  <c r="L238" i="1"/>
  <c r="J239" i="1"/>
  <c r="K239" i="1"/>
  <c r="L239" i="1"/>
  <c r="J240" i="1"/>
  <c r="K240" i="1"/>
  <c r="L240" i="1"/>
  <c r="J241" i="1"/>
  <c r="K241" i="1"/>
  <c r="L241" i="1"/>
  <c r="J242" i="1"/>
  <c r="K242" i="1"/>
  <c r="L242" i="1"/>
  <c r="J243" i="1"/>
  <c r="K243" i="1"/>
  <c r="L243" i="1"/>
  <c r="J244" i="1"/>
  <c r="K244" i="1"/>
  <c r="L244" i="1"/>
  <c r="J245" i="1"/>
  <c r="K245" i="1"/>
  <c r="L245" i="1"/>
  <c r="J246" i="1"/>
  <c r="K246" i="1"/>
  <c r="L246" i="1"/>
  <c r="J247" i="1"/>
  <c r="K247" i="1"/>
  <c r="L247" i="1"/>
  <c r="J248" i="1"/>
  <c r="K248" i="1"/>
  <c r="L248" i="1"/>
  <c r="J249" i="1"/>
  <c r="K249" i="1"/>
  <c r="L249" i="1"/>
  <c r="J250" i="1"/>
  <c r="K250" i="1"/>
  <c r="L250" i="1"/>
  <c r="J251" i="1"/>
  <c r="K251" i="1"/>
  <c r="L251" i="1"/>
  <c r="J252" i="1"/>
  <c r="K252" i="1"/>
  <c r="L252" i="1"/>
  <c r="J253" i="1"/>
  <c r="K253" i="1"/>
  <c r="L253" i="1"/>
  <c r="J254" i="1"/>
  <c r="K254" i="1"/>
  <c r="L254" i="1"/>
  <c r="J255" i="1"/>
  <c r="K255" i="1"/>
  <c r="L255" i="1"/>
  <c r="J256" i="1"/>
  <c r="K256" i="1"/>
  <c r="L256" i="1"/>
  <c r="J257" i="1"/>
  <c r="K257" i="1"/>
  <c r="L257" i="1"/>
  <c r="J258" i="1"/>
  <c r="K258" i="1"/>
  <c r="L258" i="1"/>
  <c r="J259" i="1"/>
  <c r="K259" i="1"/>
  <c r="L259" i="1"/>
  <c r="J260" i="1"/>
  <c r="K260" i="1"/>
  <c r="L260" i="1"/>
  <c r="J261" i="1"/>
  <c r="K261" i="1"/>
  <c r="L261" i="1"/>
  <c r="J262" i="1"/>
  <c r="K262" i="1"/>
  <c r="L262" i="1"/>
  <c r="J263" i="1"/>
  <c r="K263" i="1"/>
  <c r="L263" i="1"/>
  <c r="J264" i="1"/>
  <c r="K264" i="1"/>
  <c r="L264" i="1"/>
  <c r="J265" i="1"/>
  <c r="K265" i="1"/>
  <c r="L265" i="1"/>
  <c r="J266" i="1"/>
  <c r="K266" i="1"/>
  <c r="L266" i="1"/>
  <c r="J267" i="1"/>
  <c r="K267" i="1"/>
  <c r="L267" i="1"/>
  <c r="J268" i="1"/>
  <c r="K268" i="1"/>
  <c r="L268" i="1"/>
  <c r="J269" i="1"/>
  <c r="K269" i="1"/>
  <c r="L269" i="1"/>
  <c r="J270" i="1"/>
  <c r="K270" i="1"/>
  <c r="L270" i="1"/>
  <c r="J271" i="1"/>
  <c r="K271" i="1"/>
  <c r="L271" i="1"/>
  <c r="J272" i="1"/>
  <c r="K272" i="1"/>
  <c r="L272" i="1"/>
  <c r="J273" i="1"/>
  <c r="K273" i="1"/>
  <c r="L273" i="1"/>
  <c r="J274" i="1"/>
  <c r="K274" i="1"/>
  <c r="L274" i="1"/>
  <c r="J275" i="1"/>
  <c r="K275" i="1"/>
  <c r="L275" i="1"/>
  <c r="J276" i="1"/>
  <c r="K276" i="1"/>
  <c r="L276" i="1"/>
  <c r="J277" i="1"/>
  <c r="K277" i="1"/>
  <c r="L277" i="1"/>
  <c r="J278" i="1"/>
  <c r="K278" i="1"/>
  <c r="L278" i="1"/>
  <c r="J280" i="1"/>
  <c r="K280" i="1"/>
  <c r="J281" i="1"/>
  <c r="K281" i="1"/>
  <c r="L281" i="1"/>
  <c r="J282" i="1"/>
  <c r="K282" i="1"/>
  <c r="L282" i="1"/>
  <c r="J283" i="1"/>
  <c r="K283" i="1"/>
  <c r="L283" i="1"/>
  <c r="J284" i="1"/>
  <c r="K284" i="1"/>
  <c r="L284" i="1"/>
  <c r="J285" i="1"/>
  <c r="K285" i="1"/>
  <c r="L285" i="1"/>
  <c r="J286" i="1"/>
  <c r="K286" i="1"/>
  <c r="L286" i="1"/>
  <c r="J287" i="1"/>
  <c r="K287" i="1"/>
  <c r="L287" i="1"/>
  <c r="J288" i="1"/>
  <c r="K288" i="1"/>
  <c r="L288" i="1"/>
  <c r="J289" i="1"/>
  <c r="K289" i="1"/>
  <c r="L289" i="1"/>
  <c r="J290" i="1"/>
  <c r="K290" i="1"/>
  <c r="L290" i="1"/>
  <c r="J291" i="1"/>
  <c r="K291" i="1"/>
  <c r="L291" i="1"/>
  <c r="J292" i="1"/>
  <c r="K292" i="1"/>
  <c r="L292" i="1"/>
  <c r="J293" i="1"/>
  <c r="K293" i="1"/>
  <c r="L293" i="1"/>
  <c r="J294" i="1"/>
  <c r="K294" i="1"/>
  <c r="L294" i="1"/>
  <c r="J295" i="1"/>
  <c r="K295" i="1"/>
  <c r="L295" i="1"/>
  <c r="J296" i="1"/>
  <c r="K296" i="1"/>
  <c r="L296" i="1"/>
  <c r="J297" i="1"/>
  <c r="K297" i="1"/>
  <c r="L297" i="1"/>
  <c r="J298" i="1"/>
  <c r="K298" i="1"/>
  <c r="L298" i="1"/>
  <c r="J299" i="1"/>
  <c r="K299" i="1"/>
  <c r="L299" i="1"/>
  <c r="J300" i="1"/>
  <c r="K300" i="1"/>
  <c r="L300" i="1"/>
  <c r="J301" i="1"/>
  <c r="K301" i="1"/>
  <c r="L301" i="1"/>
  <c r="J302" i="1"/>
  <c r="K302" i="1"/>
  <c r="L302" i="1"/>
  <c r="J303" i="1"/>
  <c r="K303" i="1"/>
  <c r="L303" i="1"/>
  <c r="J304" i="1"/>
  <c r="K304" i="1"/>
  <c r="L304" i="1"/>
  <c r="J305" i="1"/>
  <c r="K305" i="1"/>
  <c r="L305" i="1"/>
  <c r="J306" i="1"/>
  <c r="K306" i="1"/>
  <c r="L306" i="1"/>
  <c r="J307" i="1"/>
  <c r="K307" i="1"/>
  <c r="L307" i="1"/>
  <c r="J308" i="1"/>
  <c r="K308" i="1"/>
  <c r="L308" i="1"/>
  <c r="J309" i="1"/>
  <c r="K309" i="1"/>
  <c r="L309" i="1"/>
  <c r="J310" i="1"/>
  <c r="K310" i="1"/>
  <c r="L310" i="1"/>
  <c r="J311" i="1"/>
  <c r="K311" i="1"/>
  <c r="L311" i="1"/>
  <c r="J312" i="1"/>
  <c r="K312" i="1"/>
  <c r="L312" i="1"/>
  <c r="J313" i="1"/>
  <c r="K313" i="1"/>
  <c r="L313" i="1"/>
  <c r="J314" i="1"/>
  <c r="K314" i="1"/>
  <c r="L314" i="1"/>
  <c r="J315" i="1"/>
  <c r="K315" i="1"/>
  <c r="L315" i="1"/>
  <c r="J316" i="1"/>
  <c r="K316" i="1"/>
  <c r="L316" i="1"/>
  <c r="J317" i="1"/>
  <c r="K317" i="1"/>
  <c r="L317" i="1"/>
  <c r="J318" i="1"/>
  <c r="K318" i="1"/>
  <c r="L318" i="1"/>
  <c r="J319" i="1"/>
  <c r="K319" i="1"/>
  <c r="L319" i="1"/>
  <c r="J320" i="1"/>
  <c r="K320" i="1"/>
  <c r="L320" i="1"/>
  <c r="J321" i="1"/>
  <c r="K321" i="1"/>
  <c r="L321" i="1"/>
  <c r="J322" i="1"/>
  <c r="K322" i="1"/>
  <c r="L322" i="1"/>
  <c r="J323" i="1"/>
  <c r="K323" i="1"/>
  <c r="L323" i="1"/>
  <c r="J324" i="1"/>
  <c r="K324" i="1"/>
  <c r="L324" i="1"/>
  <c r="J325" i="1"/>
  <c r="K325" i="1"/>
  <c r="L325" i="1"/>
  <c r="J326" i="1"/>
  <c r="K326" i="1"/>
  <c r="L326" i="1"/>
  <c r="J327" i="1"/>
  <c r="K327" i="1"/>
  <c r="L327" i="1"/>
  <c r="J328" i="1"/>
  <c r="K328" i="1"/>
  <c r="L328" i="1"/>
  <c r="J329" i="1"/>
  <c r="K329" i="1"/>
  <c r="L329" i="1"/>
  <c r="J330" i="1"/>
  <c r="K330" i="1"/>
  <c r="L330" i="1"/>
  <c r="J331" i="1"/>
  <c r="K331" i="1"/>
  <c r="L331" i="1"/>
  <c r="J332" i="1"/>
  <c r="K332" i="1"/>
  <c r="L332" i="1"/>
  <c r="J333" i="1"/>
  <c r="K333" i="1"/>
  <c r="L333" i="1"/>
  <c r="J334" i="1"/>
  <c r="K334" i="1"/>
  <c r="L334" i="1"/>
  <c r="J335" i="1"/>
  <c r="K335" i="1"/>
  <c r="L335" i="1"/>
  <c r="J336" i="1"/>
  <c r="K336" i="1"/>
  <c r="L336" i="1"/>
  <c r="J337" i="1"/>
  <c r="K337" i="1"/>
  <c r="L337" i="1"/>
  <c r="J338" i="1"/>
  <c r="K338" i="1"/>
  <c r="L338" i="1"/>
  <c r="J339" i="1"/>
  <c r="K339" i="1"/>
  <c r="L339" i="1"/>
  <c r="J340" i="1"/>
  <c r="K340" i="1"/>
  <c r="L340" i="1"/>
  <c r="J341" i="1"/>
  <c r="K341" i="1"/>
  <c r="L341" i="1"/>
  <c r="J342" i="1"/>
  <c r="K342" i="1"/>
  <c r="L342" i="1"/>
  <c r="J343" i="1"/>
  <c r="K343" i="1"/>
  <c r="L343" i="1"/>
  <c r="J344" i="1"/>
  <c r="K344" i="1"/>
  <c r="L344" i="1"/>
  <c r="J345" i="1"/>
  <c r="K345" i="1"/>
  <c r="L345" i="1"/>
  <c r="J346" i="1"/>
  <c r="K346" i="1"/>
  <c r="L346" i="1"/>
  <c r="J347" i="1"/>
  <c r="K347" i="1"/>
  <c r="L347" i="1"/>
  <c r="J348" i="1"/>
  <c r="K348" i="1"/>
  <c r="L348" i="1"/>
  <c r="J349" i="1"/>
  <c r="K349" i="1"/>
  <c r="L349" i="1"/>
  <c r="J350" i="1"/>
  <c r="K350" i="1"/>
  <c r="L350" i="1"/>
  <c r="J351" i="1"/>
  <c r="K351" i="1"/>
  <c r="L351" i="1"/>
  <c r="J352" i="1"/>
  <c r="K352" i="1"/>
  <c r="L352" i="1"/>
  <c r="J353" i="1"/>
  <c r="K353" i="1"/>
  <c r="L353" i="1"/>
  <c r="J354" i="1"/>
  <c r="K354" i="1"/>
  <c r="L354" i="1"/>
  <c r="J355" i="1"/>
  <c r="K355" i="1"/>
  <c r="L355" i="1"/>
  <c r="J356" i="1"/>
  <c r="K356" i="1"/>
  <c r="L356" i="1"/>
  <c r="J357" i="1"/>
  <c r="K357" i="1"/>
  <c r="L357" i="1"/>
  <c r="J358" i="1"/>
  <c r="K358" i="1"/>
  <c r="L358" i="1"/>
  <c r="J359" i="1"/>
  <c r="K359" i="1"/>
  <c r="L359" i="1"/>
  <c r="J360" i="1"/>
  <c r="K360" i="1"/>
  <c r="L360" i="1"/>
  <c r="J361" i="1"/>
  <c r="K361" i="1"/>
  <c r="L361" i="1"/>
  <c r="J362" i="1"/>
  <c r="K362" i="1"/>
  <c r="L362" i="1"/>
  <c r="J363" i="1"/>
  <c r="K363" i="1"/>
  <c r="L363" i="1"/>
  <c r="J364" i="1"/>
  <c r="K364" i="1"/>
  <c r="L364" i="1"/>
  <c r="J365" i="1"/>
  <c r="K365" i="1"/>
  <c r="L365" i="1"/>
  <c r="J366" i="1"/>
  <c r="K366" i="1"/>
  <c r="L366" i="1"/>
  <c r="J367" i="1"/>
  <c r="K367" i="1"/>
  <c r="L367" i="1"/>
  <c r="J368" i="1"/>
  <c r="K368" i="1"/>
  <c r="L368" i="1"/>
  <c r="J369" i="1"/>
  <c r="K369" i="1"/>
  <c r="L369" i="1"/>
  <c r="J370" i="1"/>
  <c r="K370" i="1"/>
  <c r="L370" i="1"/>
  <c r="J371" i="1"/>
  <c r="K371" i="1"/>
  <c r="L371" i="1"/>
  <c r="J372" i="1"/>
  <c r="K372" i="1"/>
  <c r="L372" i="1"/>
  <c r="J373" i="1"/>
  <c r="K373" i="1"/>
  <c r="L373" i="1"/>
  <c r="J374" i="1"/>
  <c r="K374" i="1"/>
  <c r="L374" i="1"/>
  <c r="J375" i="1"/>
  <c r="K375" i="1"/>
  <c r="L375" i="1"/>
  <c r="J376" i="1"/>
  <c r="K376" i="1"/>
  <c r="L376" i="1"/>
  <c r="J377" i="1"/>
  <c r="K377" i="1"/>
  <c r="L377" i="1"/>
  <c r="J378" i="1"/>
  <c r="K378" i="1"/>
  <c r="L378" i="1"/>
  <c r="J379" i="1"/>
  <c r="K379" i="1"/>
  <c r="L379" i="1"/>
  <c r="J380" i="1"/>
  <c r="K380" i="1"/>
  <c r="L380" i="1"/>
  <c r="J381" i="1"/>
  <c r="K381" i="1"/>
  <c r="L381" i="1"/>
  <c r="J382" i="1"/>
  <c r="K382" i="1"/>
  <c r="L382" i="1"/>
  <c r="J383" i="1"/>
  <c r="K383" i="1"/>
  <c r="L383" i="1"/>
  <c r="J384" i="1"/>
  <c r="K384" i="1"/>
  <c r="L384" i="1"/>
  <c r="J385" i="1"/>
  <c r="K385" i="1"/>
  <c r="L385" i="1"/>
  <c r="J386" i="1"/>
  <c r="K386" i="1"/>
  <c r="L386" i="1"/>
  <c r="J387" i="1"/>
  <c r="K387" i="1"/>
  <c r="L387" i="1"/>
  <c r="J388" i="1"/>
  <c r="K388" i="1"/>
  <c r="L388" i="1"/>
  <c r="J389" i="1"/>
  <c r="K389" i="1"/>
  <c r="L389" i="1"/>
  <c r="J390" i="1"/>
  <c r="K390" i="1"/>
  <c r="L390" i="1"/>
  <c r="J391" i="1"/>
  <c r="K391" i="1"/>
  <c r="L391" i="1"/>
  <c r="J392" i="1"/>
  <c r="K392" i="1"/>
  <c r="L392" i="1"/>
  <c r="J393" i="1"/>
  <c r="K393" i="1"/>
  <c r="L393" i="1"/>
  <c r="J394" i="1"/>
  <c r="K394" i="1"/>
  <c r="L394" i="1"/>
  <c r="J395" i="1"/>
  <c r="K395" i="1"/>
  <c r="L395" i="1"/>
  <c r="J396" i="1"/>
  <c r="K396" i="1"/>
  <c r="L396" i="1"/>
  <c r="J397" i="1"/>
  <c r="K397" i="1"/>
  <c r="L397" i="1"/>
  <c r="J398" i="1"/>
  <c r="K398" i="1"/>
  <c r="L398" i="1"/>
  <c r="J399" i="1"/>
  <c r="K399" i="1"/>
  <c r="L399" i="1"/>
  <c r="J400" i="1"/>
  <c r="K400" i="1"/>
  <c r="L400" i="1"/>
  <c r="J401" i="1"/>
  <c r="K401" i="1"/>
  <c r="L401" i="1"/>
  <c r="J402" i="1"/>
  <c r="K402" i="1"/>
  <c r="L402" i="1"/>
  <c r="J403" i="1"/>
  <c r="K403" i="1"/>
  <c r="L403" i="1"/>
  <c r="J404" i="1"/>
  <c r="K404" i="1"/>
  <c r="L404" i="1"/>
  <c r="J405" i="1"/>
  <c r="K405" i="1"/>
  <c r="L405" i="1"/>
  <c r="J406" i="1"/>
  <c r="K406" i="1"/>
  <c r="L406" i="1"/>
  <c r="J407" i="1"/>
  <c r="K407" i="1"/>
  <c r="L407" i="1"/>
  <c r="J408" i="1"/>
  <c r="K408" i="1"/>
  <c r="L408" i="1"/>
  <c r="J409" i="1"/>
  <c r="K409" i="1"/>
  <c r="L409" i="1"/>
  <c r="J410" i="1"/>
  <c r="K410" i="1"/>
  <c r="L410" i="1"/>
  <c r="J411" i="1"/>
  <c r="K411" i="1"/>
  <c r="L411" i="1"/>
  <c r="J412" i="1"/>
  <c r="K412" i="1"/>
  <c r="L412" i="1"/>
  <c r="J413" i="1"/>
  <c r="K413" i="1"/>
  <c r="L413" i="1"/>
  <c r="J414" i="1"/>
  <c r="K414" i="1"/>
  <c r="L414" i="1"/>
  <c r="J415" i="1"/>
  <c r="K415" i="1"/>
  <c r="L415" i="1"/>
  <c r="J416" i="1"/>
  <c r="K416" i="1"/>
  <c r="L416" i="1"/>
  <c r="J417" i="1"/>
  <c r="K417" i="1"/>
  <c r="L417" i="1"/>
  <c r="J418" i="1"/>
  <c r="K418" i="1"/>
  <c r="L418" i="1"/>
  <c r="J419" i="1"/>
  <c r="K419" i="1"/>
  <c r="L419" i="1"/>
  <c r="J420" i="1"/>
  <c r="K420" i="1"/>
  <c r="L420" i="1"/>
  <c r="J421" i="1"/>
  <c r="K421" i="1"/>
  <c r="L421" i="1"/>
  <c r="J422" i="1"/>
  <c r="K422" i="1"/>
  <c r="L422" i="1"/>
  <c r="J423" i="1"/>
  <c r="K423" i="1"/>
  <c r="L423" i="1"/>
  <c r="J424" i="1"/>
  <c r="K424" i="1"/>
  <c r="L424" i="1"/>
  <c r="J425" i="1"/>
  <c r="K425" i="1"/>
  <c r="L425" i="1"/>
  <c r="J426" i="1"/>
  <c r="K426" i="1"/>
  <c r="L426" i="1"/>
  <c r="J427" i="1"/>
  <c r="K427" i="1"/>
  <c r="L427" i="1"/>
  <c r="J428" i="1"/>
  <c r="K428" i="1"/>
  <c r="L428" i="1"/>
  <c r="J429" i="1"/>
  <c r="K429" i="1"/>
  <c r="L429" i="1"/>
  <c r="J430" i="1"/>
  <c r="K430" i="1"/>
  <c r="L430" i="1"/>
  <c r="J431" i="1"/>
  <c r="K431" i="1"/>
  <c r="L431" i="1"/>
  <c r="J432" i="1"/>
  <c r="K432" i="1"/>
  <c r="L432" i="1"/>
  <c r="J433" i="1"/>
  <c r="K433" i="1"/>
  <c r="L433" i="1"/>
  <c r="J434" i="1"/>
  <c r="K434" i="1"/>
  <c r="L434" i="1"/>
  <c r="J435" i="1"/>
  <c r="K435" i="1"/>
  <c r="L435" i="1"/>
  <c r="J436" i="1"/>
  <c r="K436" i="1"/>
  <c r="L436" i="1"/>
  <c r="J437" i="1"/>
  <c r="K437" i="1"/>
  <c r="L437" i="1"/>
  <c r="J438" i="1"/>
  <c r="K438" i="1"/>
  <c r="L438" i="1"/>
  <c r="J439" i="1"/>
  <c r="K439" i="1"/>
  <c r="L439" i="1"/>
  <c r="J440" i="1"/>
  <c r="K440" i="1"/>
  <c r="L440" i="1"/>
  <c r="J441" i="1"/>
  <c r="K441" i="1"/>
  <c r="L441" i="1"/>
  <c r="J442" i="1"/>
  <c r="K442" i="1"/>
  <c r="L442" i="1"/>
  <c r="J443" i="1"/>
  <c r="K443" i="1"/>
  <c r="L443" i="1"/>
  <c r="J444" i="1"/>
  <c r="K444" i="1"/>
  <c r="L444" i="1"/>
  <c r="J445" i="1"/>
  <c r="K445" i="1"/>
  <c r="L445" i="1"/>
  <c r="J446" i="1"/>
  <c r="K446" i="1"/>
  <c r="L446" i="1"/>
  <c r="J447" i="1"/>
  <c r="K447" i="1"/>
  <c r="L447" i="1"/>
  <c r="J448" i="1"/>
  <c r="K448" i="1"/>
  <c r="L448" i="1"/>
  <c r="J449" i="1"/>
  <c r="K449" i="1"/>
  <c r="L449" i="1"/>
  <c r="J450" i="1"/>
  <c r="K450" i="1"/>
  <c r="J451" i="1"/>
  <c r="K451" i="1"/>
  <c r="L451" i="1"/>
  <c r="J452" i="1"/>
  <c r="K452" i="1"/>
  <c r="L452" i="1"/>
  <c r="J453" i="1"/>
  <c r="K453" i="1"/>
  <c r="L453" i="1"/>
  <c r="J454" i="1"/>
  <c r="K454" i="1"/>
  <c r="L454" i="1"/>
  <c r="J455" i="1"/>
  <c r="K455" i="1"/>
  <c r="L455" i="1"/>
  <c r="J456" i="1"/>
  <c r="K456" i="1"/>
  <c r="L456" i="1"/>
  <c r="J457" i="1"/>
  <c r="K457" i="1"/>
  <c r="L457" i="1"/>
  <c r="J458" i="1"/>
  <c r="K458" i="1"/>
  <c r="L458" i="1"/>
  <c r="J459" i="1"/>
  <c r="K459" i="1"/>
  <c r="L459" i="1"/>
  <c r="J460" i="1"/>
  <c r="K460" i="1"/>
  <c r="L460" i="1"/>
  <c r="J461" i="1"/>
  <c r="K461" i="1"/>
  <c r="L461" i="1"/>
  <c r="J462" i="1"/>
  <c r="K462" i="1"/>
  <c r="L462" i="1"/>
  <c r="J463" i="1"/>
  <c r="K463" i="1"/>
  <c r="L463" i="1"/>
  <c r="J464" i="1"/>
  <c r="K464" i="1"/>
  <c r="L464" i="1"/>
  <c r="J465" i="1"/>
  <c r="K465" i="1"/>
  <c r="L465" i="1"/>
  <c r="J466" i="1"/>
  <c r="K466" i="1"/>
  <c r="L466" i="1"/>
  <c r="J467" i="1"/>
  <c r="K467" i="1"/>
  <c r="L467" i="1"/>
  <c r="J468" i="1"/>
  <c r="K468" i="1"/>
  <c r="L468" i="1"/>
  <c r="J469" i="1"/>
  <c r="K469" i="1"/>
  <c r="L469" i="1"/>
  <c r="J470" i="1"/>
  <c r="K470" i="1"/>
  <c r="L470" i="1"/>
  <c r="J471" i="1"/>
  <c r="K471" i="1"/>
  <c r="L471" i="1"/>
  <c r="J472" i="1"/>
  <c r="K472" i="1"/>
  <c r="L472" i="1"/>
  <c r="J473" i="1"/>
  <c r="K473" i="1"/>
  <c r="L473" i="1"/>
  <c r="J474" i="1"/>
  <c r="K474" i="1"/>
  <c r="L474" i="1"/>
  <c r="J475" i="1"/>
  <c r="K475" i="1"/>
  <c r="L475" i="1"/>
  <c r="J476" i="1"/>
  <c r="K476" i="1"/>
  <c r="L476" i="1"/>
  <c r="J477" i="1"/>
  <c r="K477" i="1"/>
  <c r="L477" i="1"/>
  <c r="J478" i="1"/>
  <c r="K478" i="1"/>
  <c r="L478" i="1"/>
  <c r="J479" i="1"/>
  <c r="K479" i="1"/>
  <c r="L479" i="1"/>
  <c r="J480" i="1"/>
  <c r="K480" i="1"/>
  <c r="L480" i="1"/>
  <c r="J481" i="1"/>
  <c r="K481" i="1"/>
  <c r="L481" i="1"/>
  <c r="J482" i="1"/>
  <c r="K482" i="1"/>
  <c r="L482" i="1"/>
  <c r="J483" i="1"/>
  <c r="K483" i="1"/>
  <c r="L483" i="1"/>
  <c r="J484" i="1"/>
  <c r="K484" i="1"/>
  <c r="L484" i="1"/>
  <c r="J485" i="1"/>
  <c r="K485" i="1"/>
  <c r="L485" i="1"/>
  <c r="J486" i="1"/>
  <c r="K486" i="1"/>
  <c r="L486" i="1"/>
  <c r="J487" i="1"/>
  <c r="K487" i="1"/>
  <c r="L487" i="1"/>
  <c r="J488" i="1"/>
  <c r="K488" i="1"/>
  <c r="L488" i="1"/>
  <c r="J489" i="1"/>
  <c r="K489" i="1"/>
  <c r="L489" i="1"/>
  <c r="J490" i="1"/>
  <c r="K490" i="1"/>
  <c r="L490" i="1"/>
  <c r="J491" i="1"/>
  <c r="K491" i="1"/>
  <c r="L491" i="1"/>
  <c r="J492" i="1"/>
  <c r="K492" i="1"/>
  <c r="L492" i="1"/>
  <c r="J493" i="1"/>
  <c r="K493" i="1"/>
  <c r="L493" i="1"/>
  <c r="J494" i="1"/>
  <c r="K494" i="1"/>
  <c r="L494" i="1"/>
  <c r="J495" i="1"/>
  <c r="K495" i="1"/>
  <c r="L495" i="1"/>
  <c r="J496" i="1"/>
  <c r="K496" i="1"/>
  <c r="L496" i="1"/>
  <c r="J497" i="1"/>
  <c r="K497" i="1"/>
  <c r="L497" i="1"/>
  <c r="J498" i="1"/>
  <c r="K498" i="1"/>
  <c r="L498" i="1"/>
  <c r="J499" i="1"/>
  <c r="K499" i="1"/>
  <c r="L499" i="1"/>
  <c r="J500" i="1"/>
  <c r="K500" i="1"/>
  <c r="L500" i="1"/>
  <c r="J501" i="1"/>
  <c r="K501" i="1"/>
  <c r="L501" i="1"/>
  <c r="J502" i="1"/>
  <c r="K502" i="1"/>
  <c r="L502" i="1"/>
  <c r="J503" i="1"/>
  <c r="K503" i="1"/>
  <c r="L503" i="1"/>
  <c r="J504" i="1"/>
  <c r="K504" i="1"/>
  <c r="L504" i="1"/>
  <c r="J505" i="1"/>
  <c r="K505" i="1"/>
  <c r="L505" i="1"/>
  <c r="J506" i="1"/>
  <c r="K506" i="1"/>
  <c r="L506" i="1"/>
  <c r="J507" i="1"/>
  <c r="K507" i="1"/>
  <c r="L507" i="1"/>
  <c r="J508" i="1"/>
  <c r="K508" i="1"/>
  <c r="L508" i="1"/>
  <c r="J509" i="1"/>
  <c r="K509" i="1"/>
  <c r="L509" i="1"/>
  <c r="J510" i="1"/>
  <c r="K510" i="1"/>
  <c r="L510" i="1"/>
  <c r="J511" i="1"/>
  <c r="K511" i="1"/>
  <c r="L511" i="1"/>
  <c r="J512" i="1"/>
  <c r="K512" i="1"/>
  <c r="L512" i="1"/>
  <c r="J513" i="1"/>
  <c r="K513" i="1"/>
  <c r="L513" i="1"/>
  <c r="J514" i="1"/>
  <c r="K514" i="1"/>
  <c r="L514" i="1"/>
  <c r="J515" i="1"/>
  <c r="K515" i="1"/>
  <c r="L515" i="1"/>
  <c r="J516" i="1"/>
  <c r="K516" i="1"/>
  <c r="L516" i="1"/>
  <c r="J517" i="1"/>
  <c r="K517" i="1"/>
  <c r="L517" i="1"/>
  <c r="J518" i="1"/>
  <c r="K518" i="1"/>
  <c r="L518" i="1"/>
  <c r="J519" i="1"/>
  <c r="K519" i="1"/>
  <c r="L519" i="1"/>
  <c r="J520" i="1"/>
  <c r="K520" i="1"/>
  <c r="L520" i="1"/>
  <c r="J521" i="1"/>
  <c r="K521" i="1"/>
  <c r="L521" i="1"/>
  <c r="J522" i="1"/>
  <c r="K522" i="1"/>
  <c r="L522" i="1"/>
  <c r="J523" i="1"/>
  <c r="K523" i="1"/>
  <c r="L523" i="1"/>
  <c r="J524" i="1"/>
  <c r="K524" i="1"/>
  <c r="L524" i="1"/>
  <c r="J525" i="1"/>
  <c r="K525" i="1"/>
  <c r="L525" i="1"/>
  <c r="J526" i="1"/>
  <c r="K526" i="1"/>
  <c r="L526" i="1"/>
  <c r="J527" i="1"/>
  <c r="K527" i="1"/>
  <c r="L527" i="1"/>
  <c r="J528" i="1"/>
  <c r="K528" i="1"/>
  <c r="L528" i="1"/>
  <c r="J529" i="1"/>
  <c r="K529" i="1"/>
  <c r="L529" i="1"/>
  <c r="J530" i="1"/>
  <c r="K530" i="1"/>
  <c r="L530" i="1"/>
  <c r="J531" i="1"/>
  <c r="K531" i="1"/>
  <c r="L531" i="1"/>
  <c r="J532" i="1"/>
  <c r="K532" i="1"/>
  <c r="L532" i="1"/>
  <c r="J533" i="1"/>
  <c r="K533" i="1"/>
  <c r="L533" i="1"/>
  <c r="J534" i="1"/>
  <c r="K534" i="1"/>
  <c r="L534" i="1"/>
  <c r="J535" i="1"/>
  <c r="K535" i="1"/>
  <c r="L535" i="1"/>
  <c r="J536" i="1"/>
  <c r="K536" i="1"/>
  <c r="L536" i="1"/>
  <c r="J537" i="1"/>
  <c r="K537" i="1"/>
  <c r="L537" i="1"/>
  <c r="J538" i="1"/>
  <c r="K538" i="1"/>
  <c r="L538" i="1"/>
  <c r="J539" i="1"/>
  <c r="K539" i="1"/>
  <c r="L539" i="1"/>
  <c r="J540" i="1"/>
  <c r="K540" i="1"/>
  <c r="L540" i="1"/>
  <c r="J541" i="1"/>
  <c r="K541" i="1"/>
  <c r="L541" i="1"/>
  <c r="J542" i="1"/>
  <c r="K542" i="1"/>
  <c r="L542" i="1"/>
  <c r="J543" i="1"/>
  <c r="K543" i="1"/>
  <c r="L543" i="1"/>
  <c r="J544" i="1"/>
  <c r="K544" i="1"/>
  <c r="L544" i="1"/>
  <c r="J545" i="1"/>
  <c r="K545" i="1"/>
  <c r="L545" i="1"/>
  <c r="J546" i="1"/>
  <c r="K546" i="1"/>
  <c r="L546" i="1"/>
  <c r="J547" i="1"/>
  <c r="K547" i="1"/>
  <c r="L547" i="1"/>
  <c r="J548" i="1"/>
  <c r="K548" i="1"/>
  <c r="L548" i="1"/>
  <c r="J549" i="1"/>
  <c r="K549" i="1"/>
  <c r="L549" i="1"/>
  <c r="J550" i="1"/>
  <c r="K550" i="1"/>
  <c r="L550" i="1"/>
  <c r="J551" i="1"/>
  <c r="K551" i="1"/>
  <c r="L551" i="1"/>
  <c r="J552" i="1"/>
  <c r="K552" i="1"/>
  <c r="L552" i="1"/>
  <c r="J553" i="1"/>
  <c r="K553" i="1"/>
  <c r="L553" i="1"/>
  <c r="J554" i="1"/>
  <c r="K554" i="1"/>
  <c r="L554" i="1"/>
  <c r="J555" i="1"/>
  <c r="K555" i="1"/>
  <c r="L555" i="1"/>
  <c r="J556" i="1"/>
  <c r="K556" i="1"/>
  <c r="L556" i="1"/>
  <c r="J557" i="1"/>
  <c r="K557" i="1"/>
  <c r="L557" i="1"/>
  <c r="J558" i="1"/>
  <c r="K558" i="1"/>
  <c r="L558" i="1"/>
  <c r="J559" i="1"/>
  <c r="K559" i="1"/>
  <c r="L559" i="1"/>
  <c r="J560" i="1"/>
  <c r="K560" i="1"/>
  <c r="L560" i="1"/>
  <c r="J561" i="1"/>
  <c r="K561" i="1"/>
  <c r="L561" i="1"/>
  <c r="J562" i="1"/>
  <c r="K562" i="1"/>
  <c r="L562" i="1"/>
  <c r="J563" i="1"/>
  <c r="K563" i="1"/>
  <c r="L563" i="1"/>
  <c r="J564" i="1"/>
  <c r="K564" i="1"/>
  <c r="L564" i="1"/>
  <c r="J565" i="1"/>
  <c r="K565" i="1"/>
  <c r="L565" i="1"/>
  <c r="J566" i="1"/>
  <c r="K566" i="1"/>
  <c r="L566" i="1"/>
  <c r="J567" i="1"/>
  <c r="K567" i="1"/>
  <c r="L567" i="1"/>
  <c r="J568" i="1"/>
  <c r="K568" i="1"/>
  <c r="L568" i="1"/>
  <c r="J569" i="1"/>
  <c r="K569" i="1"/>
  <c r="L569" i="1"/>
  <c r="J570" i="1"/>
  <c r="K570" i="1"/>
  <c r="L570" i="1"/>
  <c r="J571" i="1"/>
  <c r="K571" i="1"/>
  <c r="L571" i="1"/>
  <c r="J572" i="1"/>
  <c r="K572" i="1"/>
  <c r="L572" i="1"/>
  <c r="J573" i="1"/>
  <c r="K573" i="1"/>
  <c r="L573" i="1"/>
  <c r="J574" i="1"/>
  <c r="K574" i="1"/>
  <c r="L574" i="1"/>
  <c r="J575" i="1"/>
  <c r="K575" i="1"/>
  <c r="L575" i="1"/>
  <c r="J576" i="1"/>
  <c r="K576" i="1"/>
  <c r="L576" i="1"/>
  <c r="J577" i="1"/>
  <c r="K577" i="1"/>
  <c r="L577" i="1"/>
  <c r="J578" i="1"/>
  <c r="K578" i="1"/>
  <c r="L578" i="1"/>
  <c r="J579" i="1"/>
  <c r="K579" i="1"/>
  <c r="L579" i="1"/>
  <c r="J580" i="1"/>
  <c r="K580" i="1"/>
  <c r="L580" i="1"/>
  <c r="J581" i="1"/>
  <c r="K581" i="1"/>
  <c r="L581" i="1"/>
  <c r="J582" i="1"/>
  <c r="K582" i="1"/>
  <c r="L582" i="1"/>
  <c r="J583" i="1"/>
  <c r="K583" i="1"/>
  <c r="L583" i="1"/>
  <c r="J584" i="1"/>
  <c r="K584" i="1"/>
  <c r="L584" i="1"/>
  <c r="J585" i="1"/>
  <c r="K585" i="1"/>
  <c r="L585" i="1"/>
  <c r="J586" i="1"/>
  <c r="K586" i="1"/>
  <c r="L586" i="1"/>
  <c r="J587" i="1"/>
  <c r="K587" i="1"/>
  <c r="L587" i="1"/>
  <c r="J588" i="1"/>
  <c r="K588" i="1"/>
  <c r="L588" i="1"/>
  <c r="J589" i="1"/>
  <c r="K589" i="1"/>
  <c r="L589" i="1"/>
  <c r="J590" i="1"/>
  <c r="K590" i="1"/>
  <c r="L590" i="1"/>
  <c r="J591" i="1"/>
  <c r="K591" i="1"/>
  <c r="L591" i="1"/>
  <c r="J592" i="1"/>
  <c r="K592" i="1"/>
  <c r="L592" i="1"/>
  <c r="J593" i="1"/>
  <c r="K593" i="1"/>
  <c r="L593" i="1"/>
  <c r="J594" i="1"/>
  <c r="K594" i="1"/>
  <c r="L594" i="1"/>
  <c r="J595" i="1"/>
  <c r="K595" i="1"/>
  <c r="L595" i="1"/>
  <c r="J596" i="1"/>
  <c r="K596" i="1"/>
  <c r="L596" i="1"/>
  <c r="J597" i="1"/>
  <c r="K597" i="1"/>
  <c r="L597" i="1"/>
  <c r="J598" i="1"/>
  <c r="K598" i="1"/>
  <c r="L598" i="1"/>
  <c r="J599" i="1"/>
  <c r="K599" i="1"/>
  <c r="L599" i="1"/>
  <c r="J600" i="1"/>
  <c r="K600" i="1"/>
  <c r="L600" i="1"/>
  <c r="J601" i="1"/>
  <c r="K601" i="1"/>
  <c r="L601" i="1"/>
  <c r="J602" i="1"/>
  <c r="K602" i="1"/>
  <c r="L602" i="1"/>
  <c r="J603" i="1"/>
  <c r="K603" i="1"/>
  <c r="L603" i="1"/>
  <c r="J604" i="1"/>
  <c r="K604" i="1"/>
  <c r="L604" i="1"/>
  <c r="J605" i="1"/>
  <c r="K605" i="1"/>
  <c r="L605" i="1"/>
  <c r="J606" i="1"/>
  <c r="K606" i="1"/>
  <c r="L606" i="1"/>
  <c r="J607" i="1"/>
  <c r="K607" i="1"/>
  <c r="L607" i="1"/>
  <c r="J608" i="1"/>
  <c r="K608" i="1"/>
  <c r="L608" i="1"/>
  <c r="J609" i="1"/>
  <c r="K609" i="1"/>
  <c r="L609" i="1"/>
  <c r="J610" i="1"/>
  <c r="K610" i="1"/>
  <c r="L610" i="1"/>
  <c r="J611" i="1"/>
  <c r="K611" i="1"/>
  <c r="L611" i="1"/>
  <c r="J612" i="1"/>
  <c r="K612" i="1"/>
  <c r="L612" i="1"/>
  <c r="J613" i="1"/>
  <c r="K613" i="1"/>
  <c r="L613" i="1"/>
  <c r="J614" i="1"/>
  <c r="K614" i="1"/>
  <c r="L614" i="1"/>
  <c r="J615" i="1"/>
  <c r="K615" i="1"/>
  <c r="L615" i="1"/>
  <c r="J616" i="1"/>
  <c r="K616" i="1"/>
  <c r="L616" i="1"/>
  <c r="J617" i="1"/>
  <c r="K617" i="1"/>
  <c r="L617" i="1"/>
  <c r="J618" i="1"/>
  <c r="K618" i="1"/>
  <c r="L618" i="1"/>
  <c r="J619" i="1"/>
  <c r="K619" i="1"/>
  <c r="L619" i="1"/>
  <c r="J620" i="1"/>
  <c r="K620" i="1"/>
  <c r="L620" i="1"/>
  <c r="J621" i="1"/>
  <c r="K621" i="1"/>
  <c r="L621" i="1"/>
  <c r="J622" i="1"/>
  <c r="K622" i="1"/>
  <c r="L622" i="1"/>
  <c r="J623" i="1"/>
  <c r="K623" i="1"/>
  <c r="L623" i="1"/>
  <c r="J624" i="1"/>
  <c r="K624" i="1"/>
  <c r="L624" i="1"/>
  <c r="J625" i="1"/>
  <c r="K625" i="1"/>
  <c r="L625" i="1"/>
  <c r="J626" i="1"/>
  <c r="K626" i="1"/>
  <c r="L626" i="1"/>
  <c r="J627" i="1"/>
  <c r="K627" i="1"/>
  <c r="L627" i="1"/>
  <c r="J628" i="1"/>
  <c r="K628" i="1"/>
  <c r="L628" i="1"/>
  <c r="J629" i="1"/>
  <c r="K629" i="1"/>
  <c r="L629" i="1"/>
  <c r="J630" i="1"/>
  <c r="K630" i="1"/>
  <c r="L630" i="1"/>
  <c r="J631" i="1"/>
  <c r="K631" i="1"/>
  <c r="L631" i="1"/>
  <c r="J632" i="1"/>
  <c r="K632" i="1"/>
  <c r="L632" i="1"/>
  <c r="J633" i="1"/>
  <c r="K633" i="1"/>
  <c r="L633" i="1"/>
  <c r="J634" i="1"/>
  <c r="K634" i="1"/>
  <c r="L634" i="1"/>
  <c r="J635" i="1"/>
  <c r="K635" i="1"/>
  <c r="L635" i="1"/>
  <c r="J636" i="1"/>
  <c r="K636" i="1"/>
  <c r="L636" i="1"/>
  <c r="J637" i="1"/>
  <c r="K637" i="1"/>
  <c r="L637" i="1"/>
  <c r="J638" i="1"/>
  <c r="K638" i="1"/>
  <c r="L638" i="1"/>
  <c r="J639" i="1"/>
  <c r="K639" i="1"/>
  <c r="L639" i="1"/>
  <c r="J640" i="1"/>
  <c r="K640" i="1"/>
  <c r="L640" i="1"/>
  <c r="J641" i="1"/>
  <c r="K641" i="1"/>
  <c r="L641" i="1"/>
  <c r="J642" i="1"/>
  <c r="K642" i="1"/>
  <c r="L642" i="1"/>
  <c r="J643" i="1"/>
  <c r="K643" i="1"/>
  <c r="L643" i="1"/>
  <c r="J644" i="1"/>
  <c r="K644" i="1"/>
  <c r="L644" i="1"/>
  <c r="J645" i="1"/>
  <c r="K645" i="1"/>
  <c r="L645" i="1"/>
  <c r="J646" i="1"/>
  <c r="K646" i="1"/>
  <c r="L646" i="1"/>
  <c r="J647" i="1"/>
  <c r="K647" i="1"/>
  <c r="L647" i="1"/>
  <c r="J648" i="1"/>
  <c r="K648" i="1"/>
  <c r="L648" i="1"/>
  <c r="J649" i="1"/>
  <c r="K649" i="1"/>
  <c r="L649" i="1"/>
  <c r="J650" i="1"/>
  <c r="K650" i="1"/>
  <c r="L650" i="1"/>
  <c r="J651" i="1"/>
  <c r="K651" i="1"/>
  <c r="L651" i="1"/>
  <c r="J652" i="1"/>
  <c r="K652" i="1"/>
  <c r="L652" i="1"/>
  <c r="J653" i="1"/>
  <c r="K653" i="1"/>
  <c r="L653" i="1"/>
  <c r="J654" i="1"/>
  <c r="K654" i="1"/>
  <c r="L654" i="1"/>
  <c r="J655" i="1"/>
  <c r="K655" i="1"/>
  <c r="L655" i="1"/>
  <c r="J656" i="1"/>
  <c r="K656" i="1"/>
  <c r="L656" i="1"/>
  <c r="J657" i="1"/>
  <c r="K657" i="1"/>
  <c r="L657" i="1"/>
  <c r="J658" i="1"/>
  <c r="K658" i="1"/>
  <c r="L658" i="1"/>
  <c r="J659" i="1"/>
  <c r="K659" i="1"/>
  <c r="L659" i="1"/>
  <c r="J660" i="1"/>
  <c r="K660" i="1"/>
  <c r="L660" i="1"/>
  <c r="J661" i="1"/>
  <c r="K661" i="1"/>
  <c r="L661" i="1"/>
  <c r="J662" i="1"/>
  <c r="K662" i="1"/>
  <c r="L662" i="1"/>
  <c r="J663" i="1"/>
  <c r="K663" i="1"/>
  <c r="L663" i="1"/>
  <c r="J664" i="1"/>
  <c r="K664" i="1"/>
  <c r="L664" i="1"/>
  <c r="J665" i="1"/>
  <c r="K665" i="1"/>
  <c r="L665" i="1"/>
  <c r="J666" i="1"/>
  <c r="K666" i="1"/>
  <c r="L666" i="1"/>
  <c r="J667" i="1"/>
  <c r="K667" i="1"/>
  <c r="L667" i="1"/>
  <c r="J668" i="1"/>
  <c r="K668" i="1"/>
  <c r="L668" i="1"/>
  <c r="J669" i="1"/>
  <c r="K669" i="1"/>
  <c r="L669" i="1"/>
  <c r="J672" i="1"/>
  <c r="K672" i="1"/>
  <c r="L672" i="1"/>
  <c r="J673" i="1"/>
  <c r="K673" i="1"/>
  <c r="L673" i="1"/>
  <c r="J674" i="1"/>
  <c r="K674" i="1"/>
  <c r="L674" i="1"/>
  <c r="J676" i="1"/>
  <c r="K676" i="1"/>
  <c r="L676" i="1"/>
  <c r="J677" i="1"/>
  <c r="K677" i="1"/>
  <c r="L677" i="1"/>
  <c r="J678" i="1"/>
  <c r="K678" i="1"/>
  <c r="L678" i="1"/>
  <c r="J679" i="1"/>
  <c r="K679" i="1"/>
  <c r="L679" i="1"/>
  <c r="J680" i="1"/>
  <c r="K680" i="1"/>
  <c r="L680" i="1"/>
  <c r="J681" i="1"/>
  <c r="K681" i="1"/>
  <c r="L681" i="1"/>
  <c r="J682" i="1"/>
  <c r="K682" i="1"/>
  <c r="L682" i="1"/>
  <c r="J683" i="1"/>
  <c r="K683" i="1"/>
  <c r="L683" i="1"/>
  <c r="J684" i="1"/>
  <c r="K684" i="1"/>
  <c r="L684" i="1"/>
  <c r="J685" i="1"/>
  <c r="K685" i="1"/>
  <c r="L685" i="1"/>
  <c r="J686" i="1"/>
  <c r="K686" i="1"/>
  <c r="L686" i="1"/>
  <c r="J687" i="1"/>
  <c r="K687" i="1"/>
  <c r="L687" i="1"/>
  <c r="J688" i="1"/>
  <c r="K688" i="1"/>
  <c r="L688" i="1"/>
  <c r="J689" i="1"/>
  <c r="K689" i="1"/>
  <c r="L689" i="1"/>
  <c r="J690" i="1"/>
  <c r="K690" i="1"/>
  <c r="L690" i="1"/>
  <c r="J691" i="1"/>
  <c r="K691" i="1"/>
  <c r="L691" i="1"/>
  <c r="J692" i="1"/>
  <c r="K692" i="1"/>
  <c r="L692" i="1"/>
  <c r="J693" i="1"/>
  <c r="K693" i="1"/>
  <c r="L693" i="1"/>
  <c r="J694" i="1"/>
  <c r="K694" i="1"/>
  <c r="L694" i="1"/>
  <c r="J695" i="1"/>
  <c r="K695" i="1"/>
  <c r="L695" i="1"/>
  <c r="J696" i="1"/>
  <c r="K696" i="1"/>
  <c r="L696" i="1"/>
  <c r="J697" i="1"/>
  <c r="K697" i="1"/>
  <c r="L697" i="1"/>
  <c r="J698" i="1"/>
  <c r="K698" i="1"/>
  <c r="L698" i="1"/>
  <c r="J699" i="1"/>
  <c r="K699" i="1"/>
  <c r="L699" i="1"/>
  <c r="J700" i="1"/>
  <c r="K700" i="1"/>
  <c r="L700" i="1"/>
  <c r="J701" i="1"/>
  <c r="K701" i="1"/>
  <c r="L701" i="1"/>
  <c r="J702" i="1"/>
  <c r="K702" i="1"/>
  <c r="L702" i="1"/>
  <c r="J703" i="1"/>
  <c r="K703" i="1"/>
  <c r="L703" i="1"/>
  <c r="J704" i="1"/>
  <c r="K704" i="1"/>
  <c r="L704" i="1"/>
  <c r="J705" i="1"/>
  <c r="K705" i="1"/>
  <c r="L705" i="1"/>
  <c r="J706" i="1"/>
  <c r="K706" i="1"/>
  <c r="L706" i="1"/>
  <c r="J707" i="1"/>
  <c r="K707" i="1"/>
  <c r="L707" i="1"/>
  <c r="J708" i="1"/>
  <c r="K708" i="1"/>
  <c r="L708" i="1"/>
  <c r="J709" i="1"/>
  <c r="K709" i="1"/>
  <c r="L709" i="1"/>
  <c r="J710" i="1"/>
  <c r="K710" i="1"/>
  <c r="L710" i="1"/>
  <c r="J711" i="1"/>
  <c r="K711" i="1"/>
  <c r="L711" i="1"/>
  <c r="J712" i="1"/>
  <c r="K712" i="1"/>
  <c r="L712" i="1"/>
  <c r="J713" i="1"/>
  <c r="K713" i="1"/>
  <c r="L713" i="1"/>
  <c r="J714" i="1"/>
  <c r="K714" i="1"/>
  <c r="L714" i="1"/>
  <c r="J715" i="1"/>
  <c r="K715" i="1"/>
  <c r="L715" i="1"/>
  <c r="J716" i="1"/>
  <c r="K716" i="1"/>
  <c r="L716" i="1"/>
  <c r="J717" i="1"/>
  <c r="K717" i="1"/>
  <c r="L717" i="1"/>
  <c r="J718" i="1"/>
  <c r="K718" i="1"/>
  <c r="L718" i="1"/>
  <c r="J719" i="1"/>
  <c r="K719" i="1"/>
  <c r="L719" i="1"/>
  <c r="J720" i="1"/>
  <c r="K720" i="1"/>
  <c r="L720" i="1"/>
  <c r="J721" i="1"/>
  <c r="K721" i="1"/>
  <c r="L721" i="1"/>
  <c r="J722" i="1"/>
  <c r="K722" i="1"/>
  <c r="L722" i="1"/>
  <c r="J723" i="1"/>
  <c r="K723" i="1"/>
  <c r="L723" i="1"/>
  <c r="J724" i="1"/>
  <c r="K724" i="1"/>
  <c r="L724" i="1"/>
  <c r="J725" i="1"/>
  <c r="K725" i="1"/>
  <c r="L725" i="1"/>
  <c r="J726" i="1"/>
  <c r="K726" i="1"/>
  <c r="L726" i="1"/>
  <c r="J727" i="1"/>
  <c r="K727" i="1"/>
  <c r="L727" i="1"/>
  <c r="J728" i="1"/>
  <c r="K728" i="1"/>
  <c r="L728" i="1"/>
  <c r="J729" i="1"/>
  <c r="K729" i="1"/>
  <c r="L729" i="1"/>
  <c r="J730" i="1"/>
  <c r="K730" i="1"/>
  <c r="L730" i="1"/>
  <c r="J731" i="1"/>
  <c r="K731" i="1"/>
  <c r="L731" i="1"/>
  <c r="J732" i="1"/>
  <c r="K732" i="1"/>
  <c r="L732" i="1"/>
  <c r="J733" i="1"/>
  <c r="K733" i="1"/>
  <c r="L733" i="1"/>
  <c r="J734" i="1"/>
  <c r="K734" i="1"/>
  <c r="L734" i="1"/>
  <c r="J735" i="1"/>
  <c r="K735" i="1"/>
  <c r="L735" i="1"/>
  <c r="J736" i="1"/>
  <c r="K736" i="1"/>
  <c r="L736" i="1"/>
  <c r="J737" i="1"/>
  <c r="K737" i="1"/>
  <c r="L737" i="1"/>
  <c r="J738" i="1"/>
  <c r="K738" i="1"/>
  <c r="L738" i="1"/>
  <c r="J739" i="1"/>
  <c r="K739" i="1"/>
  <c r="L739" i="1"/>
  <c r="J740" i="1"/>
  <c r="K740" i="1"/>
  <c r="L740" i="1"/>
  <c r="J741" i="1"/>
  <c r="K741" i="1"/>
  <c r="L741" i="1"/>
  <c r="J742" i="1"/>
  <c r="K742" i="1"/>
  <c r="L742" i="1"/>
  <c r="J743" i="1"/>
  <c r="K743" i="1"/>
  <c r="L743" i="1"/>
  <c r="J744" i="1"/>
  <c r="K744" i="1"/>
  <c r="L744" i="1"/>
  <c r="J745" i="1"/>
  <c r="K745" i="1"/>
  <c r="L745" i="1"/>
  <c r="J746" i="1"/>
  <c r="K746" i="1"/>
  <c r="L746" i="1"/>
  <c r="J747" i="1"/>
  <c r="K747" i="1"/>
  <c r="L747" i="1"/>
  <c r="J748" i="1"/>
  <c r="K748" i="1"/>
  <c r="L748" i="1"/>
  <c r="J749" i="1"/>
  <c r="K749" i="1"/>
  <c r="L749" i="1"/>
  <c r="J750" i="1"/>
  <c r="K750" i="1"/>
  <c r="L750" i="1"/>
  <c r="J751" i="1"/>
  <c r="K751" i="1"/>
  <c r="L751" i="1"/>
  <c r="J752" i="1"/>
  <c r="K752" i="1"/>
  <c r="L752" i="1"/>
  <c r="J753" i="1"/>
  <c r="K753" i="1"/>
  <c r="L753" i="1"/>
  <c r="J754" i="1"/>
  <c r="K754" i="1"/>
  <c r="L754" i="1"/>
  <c r="J755" i="1"/>
  <c r="K755" i="1"/>
  <c r="L755" i="1"/>
  <c r="J756" i="1"/>
  <c r="K756" i="1"/>
  <c r="L756" i="1"/>
  <c r="J757" i="1"/>
  <c r="K757" i="1"/>
  <c r="L757" i="1"/>
  <c r="J758" i="1"/>
  <c r="K758" i="1"/>
  <c r="L758" i="1"/>
  <c r="J759" i="1"/>
  <c r="K759" i="1"/>
  <c r="L759" i="1"/>
  <c r="J760" i="1"/>
  <c r="K760" i="1"/>
  <c r="L760" i="1"/>
  <c r="J761" i="1"/>
  <c r="K761" i="1"/>
  <c r="L761" i="1"/>
  <c r="J762" i="1"/>
  <c r="K762" i="1"/>
  <c r="L762" i="1"/>
  <c r="J763" i="1"/>
  <c r="K763" i="1"/>
  <c r="L763" i="1"/>
  <c r="J764" i="1"/>
  <c r="K764" i="1"/>
  <c r="L764" i="1"/>
  <c r="J765" i="1"/>
  <c r="K765" i="1"/>
  <c r="L765" i="1"/>
  <c r="J766" i="1"/>
  <c r="K766" i="1"/>
  <c r="L766" i="1"/>
  <c r="J767" i="1"/>
  <c r="K767" i="1"/>
  <c r="L767" i="1"/>
  <c r="J768" i="1"/>
  <c r="K768" i="1"/>
  <c r="L768" i="1"/>
  <c r="J769" i="1"/>
  <c r="K769" i="1"/>
  <c r="L769" i="1"/>
  <c r="J770" i="1"/>
  <c r="K770" i="1"/>
  <c r="L770" i="1"/>
  <c r="J771" i="1"/>
  <c r="K771" i="1"/>
  <c r="L771" i="1"/>
  <c r="J772" i="1"/>
  <c r="K772" i="1"/>
  <c r="L772" i="1"/>
  <c r="J773" i="1"/>
  <c r="K773" i="1"/>
  <c r="L773" i="1"/>
  <c r="J774" i="1"/>
  <c r="K774" i="1"/>
  <c r="L774" i="1"/>
  <c r="J775" i="1"/>
  <c r="K775" i="1"/>
  <c r="L775" i="1"/>
  <c r="J776" i="1"/>
  <c r="K776" i="1"/>
  <c r="L776" i="1"/>
  <c r="J777" i="1"/>
  <c r="K777" i="1"/>
  <c r="L777" i="1"/>
  <c r="J778" i="1"/>
  <c r="K778" i="1"/>
  <c r="L778" i="1"/>
  <c r="J779" i="1"/>
  <c r="K779" i="1"/>
  <c r="L779" i="1"/>
  <c r="J780" i="1"/>
  <c r="K780" i="1"/>
  <c r="L780" i="1"/>
  <c r="J781" i="1"/>
  <c r="K781" i="1"/>
  <c r="L781" i="1"/>
  <c r="J782" i="1"/>
  <c r="K782" i="1"/>
  <c r="L782" i="1"/>
  <c r="J783" i="1"/>
  <c r="K783" i="1"/>
  <c r="L783" i="1"/>
  <c r="J784" i="1"/>
  <c r="K784" i="1"/>
  <c r="L784" i="1"/>
  <c r="J785" i="1"/>
  <c r="K785" i="1"/>
  <c r="L785" i="1"/>
  <c r="J786" i="1"/>
  <c r="K786" i="1"/>
  <c r="L786" i="1"/>
  <c r="J787" i="1"/>
  <c r="K787" i="1"/>
  <c r="L787" i="1"/>
  <c r="J788" i="1"/>
  <c r="K788" i="1"/>
  <c r="L788" i="1"/>
  <c r="J789" i="1"/>
  <c r="K789" i="1"/>
  <c r="L789" i="1"/>
  <c r="J790" i="1"/>
  <c r="K790" i="1"/>
  <c r="L790" i="1"/>
  <c r="J791" i="1"/>
  <c r="K791" i="1"/>
  <c r="L791" i="1"/>
  <c r="J792" i="1"/>
  <c r="K792" i="1"/>
  <c r="L792" i="1"/>
  <c r="J793" i="1"/>
  <c r="K793" i="1"/>
  <c r="L793" i="1"/>
  <c r="J794" i="1"/>
  <c r="K794" i="1"/>
  <c r="L794" i="1"/>
  <c r="J795" i="1"/>
  <c r="K795" i="1"/>
  <c r="L795" i="1"/>
  <c r="J796" i="1"/>
  <c r="K796" i="1"/>
  <c r="L796" i="1"/>
  <c r="J797" i="1"/>
  <c r="K797" i="1"/>
  <c r="L797" i="1"/>
  <c r="J798" i="1"/>
  <c r="K798" i="1"/>
  <c r="L798" i="1"/>
  <c r="J799" i="1"/>
  <c r="K799" i="1"/>
  <c r="L799" i="1"/>
  <c r="J800" i="1"/>
  <c r="K800" i="1"/>
  <c r="L800" i="1"/>
  <c r="J801" i="1"/>
  <c r="K801" i="1"/>
  <c r="L801" i="1"/>
  <c r="J802" i="1"/>
  <c r="K802" i="1"/>
  <c r="L802" i="1"/>
  <c r="J803" i="1"/>
  <c r="K803" i="1"/>
  <c r="L803" i="1"/>
  <c r="J804" i="1"/>
  <c r="K804" i="1"/>
  <c r="L804" i="1"/>
  <c r="K805" i="1"/>
  <c r="L805" i="1"/>
  <c r="J806" i="1"/>
  <c r="K806" i="1"/>
  <c r="L806" i="1"/>
  <c r="J807" i="1"/>
  <c r="K807" i="1"/>
  <c r="L807" i="1"/>
  <c r="J808" i="1"/>
  <c r="K808" i="1"/>
  <c r="L808" i="1"/>
  <c r="J809" i="1"/>
  <c r="K809" i="1"/>
  <c r="L809" i="1"/>
  <c r="J810" i="1"/>
  <c r="K810" i="1"/>
  <c r="L810" i="1"/>
  <c r="J811" i="1"/>
  <c r="K811" i="1"/>
  <c r="L811" i="1"/>
  <c r="J812" i="1"/>
  <c r="K812" i="1"/>
  <c r="L812" i="1"/>
  <c r="J813" i="1"/>
  <c r="K813" i="1"/>
  <c r="L813" i="1"/>
  <c r="J814" i="1"/>
  <c r="K814" i="1"/>
  <c r="L814" i="1"/>
  <c r="J815" i="1"/>
  <c r="K815" i="1"/>
  <c r="L815" i="1"/>
  <c r="J816" i="1"/>
  <c r="K816" i="1"/>
  <c r="L816" i="1"/>
  <c r="J817" i="1"/>
  <c r="K817" i="1"/>
  <c r="L817" i="1"/>
  <c r="J818" i="1"/>
  <c r="K818" i="1"/>
  <c r="L818" i="1"/>
  <c r="J819" i="1"/>
  <c r="K819" i="1"/>
  <c r="L819" i="1"/>
  <c r="J820" i="1"/>
  <c r="K820" i="1"/>
  <c r="L820" i="1"/>
  <c r="J821" i="1"/>
  <c r="K821" i="1"/>
  <c r="L821" i="1"/>
  <c r="J822" i="1"/>
  <c r="K822" i="1"/>
  <c r="L822" i="1"/>
  <c r="J823" i="1"/>
  <c r="K823" i="1"/>
  <c r="L823" i="1"/>
  <c r="J824" i="1"/>
  <c r="K824" i="1"/>
  <c r="L824" i="1"/>
  <c r="J825" i="1"/>
  <c r="K825" i="1"/>
  <c r="L825" i="1"/>
  <c r="J826" i="1"/>
  <c r="K826" i="1"/>
  <c r="L826" i="1"/>
  <c r="J827" i="1"/>
  <c r="K827" i="1"/>
  <c r="L827" i="1"/>
  <c r="J828" i="1"/>
  <c r="K828" i="1"/>
  <c r="L828" i="1"/>
  <c r="J829" i="1"/>
  <c r="K829" i="1"/>
  <c r="L829" i="1"/>
  <c r="J830" i="1"/>
  <c r="K830" i="1"/>
  <c r="L830" i="1"/>
  <c r="J831" i="1"/>
  <c r="K831" i="1"/>
  <c r="L831" i="1"/>
  <c r="J832" i="1"/>
  <c r="K832" i="1"/>
  <c r="L832" i="1"/>
  <c r="J833" i="1"/>
  <c r="K833" i="1"/>
  <c r="L833" i="1"/>
  <c r="J834" i="1"/>
  <c r="K834" i="1"/>
  <c r="L834" i="1"/>
  <c r="J835" i="1"/>
  <c r="K835" i="1"/>
  <c r="L835" i="1"/>
  <c r="J836" i="1"/>
  <c r="K836" i="1"/>
  <c r="L836" i="1"/>
  <c r="J837" i="1"/>
  <c r="K837" i="1"/>
  <c r="L837" i="1"/>
  <c r="J838" i="1"/>
  <c r="K838" i="1"/>
  <c r="L838" i="1"/>
  <c r="J839" i="1"/>
  <c r="K839" i="1"/>
  <c r="L839" i="1"/>
  <c r="J840" i="1"/>
  <c r="K840" i="1"/>
  <c r="L840" i="1"/>
  <c r="J841" i="1"/>
  <c r="K841" i="1"/>
  <c r="L841" i="1"/>
  <c r="J842" i="1"/>
  <c r="K842" i="1"/>
  <c r="L842" i="1"/>
  <c r="J843" i="1"/>
  <c r="K843" i="1"/>
  <c r="L843" i="1"/>
  <c r="J844" i="1"/>
  <c r="K844" i="1"/>
  <c r="L844" i="1"/>
  <c r="J845" i="1"/>
  <c r="K845" i="1"/>
  <c r="L845" i="1"/>
  <c r="J846" i="1"/>
  <c r="K846" i="1"/>
  <c r="L846" i="1"/>
  <c r="J847" i="1"/>
  <c r="K847" i="1"/>
  <c r="L847" i="1"/>
  <c r="J848" i="1"/>
  <c r="K848" i="1"/>
  <c r="L848" i="1"/>
  <c r="J849" i="1"/>
  <c r="K849" i="1"/>
  <c r="L849" i="1"/>
  <c r="J850" i="1"/>
  <c r="K850" i="1"/>
  <c r="L850" i="1"/>
  <c r="J851" i="1"/>
  <c r="K851" i="1"/>
  <c r="L851" i="1"/>
  <c r="J852" i="1"/>
  <c r="K852" i="1"/>
  <c r="L852" i="1"/>
  <c r="J853" i="1"/>
  <c r="K853" i="1"/>
  <c r="L853" i="1"/>
  <c r="J854" i="1"/>
  <c r="K854" i="1"/>
  <c r="L854" i="1"/>
  <c r="J855" i="1"/>
  <c r="K855" i="1"/>
  <c r="L855" i="1"/>
  <c r="J856" i="1"/>
  <c r="K856" i="1"/>
  <c r="L856" i="1"/>
  <c r="J857" i="1"/>
  <c r="K857" i="1"/>
  <c r="L857" i="1"/>
  <c r="J858" i="1"/>
  <c r="K858" i="1"/>
  <c r="L858" i="1"/>
  <c r="J859" i="1"/>
  <c r="K859" i="1"/>
  <c r="L859" i="1"/>
  <c r="J860" i="1"/>
  <c r="K860" i="1"/>
  <c r="L860" i="1"/>
  <c r="J861" i="1"/>
  <c r="K861" i="1"/>
  <c r="L861" i="1"/>
  <c r="J862" i="1"/>
  <c r="K862" i="1"/>
  <c r="L862" i="1"/>
  <c r="J863" i="1"/>
  <c r="K863" i="1"/>
  <c r="L863" i="1"/>
  <c r="J864" i="1"/>
  <c r="K864" i="1"/>
  <c r="L864" i="1"/>
  <c r="J865" i="1"/>
  <c r="K865" i="1"/>
  <c r="L865" i="1"/>
  <c r="J866" i="1"/>
  <c r="K866" i="1"/>
  <c r="L866" i="1"/>
  <c r="J867" i="1"/>
  <c r="K867" i="1"/>
  <c r="L867" i="1"/>
  <c r="J868" i="1"/>
  <c r="K868" i="1"/>
  <c r="L868" i="1"/>
  <c r="J869" i="1"/>
  <c r="K869" i="1"/>
  <c r="L869" i="1"/>
  <c r="J870" i="1"/>
  <c r="K870" i="1"/>
  <c r="L870" i="1"/>
  <c r="J871" i="1"/>
  <c r="K871" i="1"/>
  <c r="L871" i="1"/>
  <c r="J872" i="1"/>
  <c r="K872" i="1"/>
  <c r="L872" i="1"/>
  <c r="J873" i="1"/>
  <c r="K873" i="1"/>
  <c r="L873" i="1"/>
  <c r="J874" i="1"/>
  <c r="K874" i="1"/>
  <c r="L874" i="1"/>
  <c r="J875" i="1"/>
  <c r="K875" i="1"/>
  <c r="L875" i="1"/>
  <c r="J876" i="1"/>
  <c r="K876" i="1"/>
  <c r="L876" i="1"/>
  <c r="J877" i="1"/>
  <c r="K877" i="1"/>
  <c r="L877" i="1"/>
  <c r="J878" i="1"/>
  <c r="K878" i="1"/>
  <c r="L878" i="1"/>
  <c r="J879" i="1"/>
  <c r="K879" i="1"/>
  <c r="L879" i="1"/>
  <c r="J880" i="1"/>
  <c r="K880" i="1"/>
  <c r="L880" i="1"/>
  <c r="J881" i="1"/>
  <c r="K881" i="1"/>
  <c r="L881" i="1"/>
  <c r="J882" i="1"/>
  <c r="K882" i="1"/>
  <c r="L882" i="1"/>
  <c r="J883" i="1"/>
  <c r="K883" i="1"/>
  <c r="L883" i="1"/>
  <c r="J884" i="1"/>
  <c r="K884" i="1"/>
  <c r="L884" i="1"/>
  <c r="J885" i="1"/>
  <c r="K885" i="1"/>
  <c r="L885" i="1"/>
  <c r="J886" i="1"/>
  <c r="K886" i="1"/>
  <c r="L886" i="1"/>
  <c r="J887" i="1"/>
  <c r="K887" i="1"/>
  <c r="L887" i="1"/>
  <c r="J888" i="1"/>
  <c r="K888" i="1"/>
  <c r="L888" i="1"/>
  <c r="J889" i="1"/>
  <c r="K889" i="1"/>
  <c r="L889" i="1"/>
  <c r="J890" i="1"/>
  <c r="K890" i="1"/>
  <c r="L890" i="1"/>
  <c r="J891" i="1"/>
  <c r="K891" i="1"/>
  <c r="L891" i="1"/>
  <c r="J892" i="1"/>
  <c r="K892" i="1"/>
  <c r="L892" i="1"/>
  <c r="J893" i="1"/>
  <c r="K893" i="1"/>
  <c r="L893" i="1"/>
  <c r="J894" i="1"/>
  <c r="K894" i="1"/>
  <c r="L894" i="1"/>
  <c r="J895" i="1"/>
  <c r="K895" i="1"/>
  <c r="L895" i="1"/>
  <c r="J896" i="1"/>
  <c r="K896" i="1"/>
  <c r="L896" i="1"/>
  <c r="J897" i="1"/>
  <c r="K897" i="1"/>
  <c r="L897" i="1"/>
  <c r="J898" i="1"/>
  <c r="K898" i="1"/>
  <c r="L898" i="1"/>
  <c r="J899" i="1"/>
  <c r="K899" i="1"/>
  <c r="L899" i="1"/>
  <c r="J900" i="1"/>
  <c r="K900" i="1"/>
  <c r="L900" i="1"/>
  <c r="J901" i="1"/>
  <c r="K901" i="1"/>
  <c r="L901" i="1"/>
  <c r="J902" i="1"/>
  <c r="K902" i="1"/>
  <c r="L902" i="1"/>
  <c r="J903" i="1"/>
  <c r="K903" i="1"/>
  <c r="L903" i="1"/>
  <c r="J904" i="1"/>
  <c r="K904" i="1"/>
  <c r="L904" i="1"/>
  <c r="J905" i="1"/>
  <c r="K905" i="1"/>
  <c r="L905" i="1"/>
  <c r="J906" i="1"/>
  <c r="K906" i="1"/>
  <c r="L906" i="1"/>
  <c r="J907" i="1"/>
  <c r="K907" i="1"/>
  <c r="L907" i="1"/>
  <c r="J908" i="1"/>
  <c r="K908" i="1"/>
  <c r="L908" i="1"/>
  <c r="J909" i="1"/>
  <c r="K909" i="1"/>
  <c r="L909" i="1"/>
  <c r="J910" i="1"/>
  <c r="K910" i="1"/>
  <c r="L910" i="1"/>
  <c r="J911" i="1"/>
  <c r="K911" i="1"/>
  <c r="L911" i="1"/>
  <c r="J912" i="1"/>
  <c r="K912" i="1"/>
  <c r="L912" i="1"/>
  <c r="J913" i="1"/>
  <c r="K913" i="1"/>
  <c r="L913" i="1"/>
  <c r="J914" i="1"/>
  <c r="K914" i="1"/>
  <c r="L914" i="1"/>
  <c r="J915" i="1"/>
  <c r="K915" i="1"/>
  <c r="L915" i="1"/>
  <c r="J918" i="1"/>
  <c r="K918" i="1"/>
  <c r="L918" i="1"/>
  <c r="J919" i="1"/>
  <c r="K919" i="1"/>
  <c r="L919" i="1"/>
  <c r="J920" i="1"/>
  <c r="K920" i="1"/>
  <c r="L920" i="1"/>
  <c r="J922" i="1"/>
  <c r="K922" i="1"/>
  <c r="L922" i="1"/>
  <c r="J923" i="1"/>
  <c r="K923" i="1"/>
  <c r="L923" i="1"/>
  <c r="J924" i="1"/>
  <c r="K924" i="1"/>
  <c r="L924" i="1"/>
  <c r="J925" i="1"/>
  <c r="K925" i="1"/>
  <c r="L925" i="1"/>
  <c r="J926" i="1"/>
  <c r="K926" i="1"/>
  <c r="L926" i="1"/>
  <c r="J927" i="1"/>
  <c r="K927" i="1"/>
  <c r="L927" i="1"/>
  <c r="J928" i="1"/>
  <c r="K928" i="1"/>
  <c r="L928" i="1"/>
  <c r="J929" i="1"/>
  <c r="K929" i="1"/>
  <c r="L929" i="1"/>
  <c r="J930" i="1"/>
  <c r="K930" i="1"/>
  <c r="L930" i="1"/>
  <c r="J931" i="1"/>
  <c r="K931" i="1"/>
  <c r="L931" i="1"/>
  <c r="J932" i="1"/>
  <c r="K932" i="1"/>
  <c r="L932" i="1"/>
  <c r="J933" i="1"/>
  <c r="K933" i="1"/>
  <c r="L933" i="1"/>
  <c r="J934" i="1"/>
  <c r="K934" i="1"/>
  <c r="L934" i="1"/>
  <c r="J935" i="1"/>
  <c r="K935" i="1"/>
  <c r="L935" i="1"/>
  <c r="J936" i="1"/>
  <c r="K936" i="1"/>
  <c r="L936" i="1"/>
  <c r="J937" i="1"/>
  <c r="K937" i="1"/>
  <c r="L937" i="1"/>
  <c r="J938" i="1"/>
  <c r="K938" i="1"/>
  <c r="L938" i="1"/>
  <c r="J939" i="1"/>
  <c r="K939" i="1"/>
  <c r="L939" i="1"/>
  <c r="J940" i="1"/>
  <c r="K940" i="1"/>
  <c r="L940" i="1"/>
  <c r="J941" i="1"/>
  <c r="K941" i="1"/>
  <c r="L941" i="1"/>
  <c r="J942" i="1"/>
  <c r="K942" i="1"/>
  <c r="L942" i="1"/>
  <c r="J943" i="1"/>
  <c r="K943" i="1"/>
  <c r="L943" i="1"/>
  <c r="J944" i="1"/>
  <c r="K944" i="1"/>
  <c r="L944" i="1"/>
  <c r="J945" i="1"/>
  <c r="K945" i="1"/>
  <c r="L945" i="1"/>
  <c r="J946" i="1"/>
  <c r="K946" i="1"/>
  <c r="L946" i="1"/>
  <c r="J947" i="1"/>
  <c r="K947" i="1"/>
  <c r="L947" i="1"/>
  <c r="J948" i="1"/>
  <c r="K948" i="1"/>
  <c r="L948" i="1"/>
  <c r="J949" i="1"/>
  <c r="K949" i="1"/>
  <c r="L949" i="1"/>
  <c r="J950" i="1"/>
  <c r="K950" i="1"/>
  <c r="L950" i="1"/>
  <c r="J951" i="1"/>
  <c r="K951" i="1"/>
  <c r="L951" i="1"/>
  <c r="J952" i="1"/>
  <c r="K952" i="1"/>
  <c r="L952" i="1"/>
  <c r="J953" i="1"/>
  <c r="K953" i="1"/>
  <c r="L953" i="1"/>
  <c r="J954" i="1"/>
  <c r="K954" i="1"/>
  <c r="L954" i="1"/>
  <c r="J955" i="1"/>
  <c r="K955" i="1"/>
  <c r="L955" i="1"/>
  <c r="J956" i="1"/>
  <c r="K956" i="1"/>
  <c r="L956" i="1"/>
  <c r="J957" i="1"/>
  <c r="K957" i="1"/>
  <c r="L957" i="1"/>
  <c r="J958" i="1"/>
  <c r="K958" i="1"/>
  <c r="L958" i="1"/>
  <c r="J959" i="1"/>
  <c r="K959" i="1"/>
  <c r="L959" i="1"/>
  <c r="J960" i="1"/>
  <c r="K960" i="1"/>
  <c r="L960" i="1"/>
  <c r="J961" i="1"/>
  <c r="K961" i="1"/>
  <c r="L961" i="1"/>
  <c r="J962" i="1"/>
  <c r="K962" i="1"/>
  <c r="L962" i="1"/>
  <c r="J963" i="1"/>
  <c r="K963" i="1"/>
  <c r="L963" i="1"/>
  <c r="J964" i="1"/>
  <c r="K964" i="1"/>
  <c r="L964" i="1"/>
  <c r="J965" i="1"/>
  <c r="K965" i="1"/>
  <c r="L965" i="1"/>
  <c r="J966" i="1"/>
  <c r="K966" i="1"/>
  <c r="L966" i="1"/>
  <c r="J967" i="1"/>
  <c r="K967" i="1"/>
  <c r="L967" i="1"/>
  <c r="J968" i="1"/>
  <c r="K968" i="1"/>
  <c r="L968" i="1"/>
  <c r="J969" i="1"/>
  <c r="K969" i="1"/>
  <c r="L969" i="1"/>
  <c r="J970" i="1"/>
  <c r="K970" i="1"/>
  <c r="L970" i="1"/>
  <c r="J971" i="1"/>
  <c r="K971" i="1"/>
  <c r="L971" i="1"/>
  <c r="J972" i="1"/>
  <c r="K972" i="1"/>
  <c r="L972" i="1"/>
  <c r="J973" i="1"/>
  <c r="K973" i="1"/>
  <c r="L973" i="1"/>
  <c r="J974" i="1"/>
  <c r="K974" i="1"/>
  <c r="L974" i="1"/>
  <c r="J975" i="1"/>
  <c r="K975" i="1"/>
  <c r="L975" i="1"/>
  <c r="J976" i="1"/>
  <c r="K976" i="1"/>
  <c r="L976" i="1"/>
  <c r="J977" i="1"/>
  <c r="K977" i="1"/>
  <c r="L977" i="1"/>
  <c r="J978" i="1"/>
  <c r="K978" i="1"/>
  <c r="L978" i="1"/>
  <c r="J979" i="1"/>
  <c r="K979" i="1"/>
  <c r="L979" i="1"/>
  <c r="J980" i="1"/>
  <c r="K980" i="1"/>
  <c r="L980" i="1"/>
  <c r="J981" i="1"/>
  <c r="K981" i="1"/>
  <c r="L981" i="1"/>
  <c r="J982" i="1"/>
  <c r="K982" i="1"/>
  <c r="L982" i="1"/>
  <c r="J983" i="1"/>
  <c r="K983" i="1"/>
  <c r="L983" i="1"/>
  <c r="J984" i="1"/>
  <c r="K984" i="1"/>
  <c r="L984" i="1"/>
  <c r="J985" i="1"/>
  <c r="K985" i="1"/>
  <c r="L985" i="1"/>
  <c r="J986" i="1"/>
  <c r="K986" i="1"/>
  <c r="L986" i="1"/>
  <c r="J987" i="1"/>
  <c r="K987" i="1"/>
  <c r="L987" i="1"/>
  <c r="J988" i="1"/>
  <c r="K988" i="1"/>
  <c r="L988" i="1"/>
  <c r="J989" i="1"/>
  <c r="K989" i="1"/>
  <c r="L989" i="1"/>
  <c r="J990" i="1"/>
  <c r="K990" i="1"/>
  <c r="L990" i="1"/>
  <c r="J991" i="1"/>
  <c r="K991" i="1"/>
  <c r="L991" i="1"/>
  <c r="J992" i="1"/>
  <c r="K992" i="1"/>
  <c r="L992" i="1"/>
  <c r="J993" i="1"/>
  <c r="K993" i="1"/>
  <c r="L993" i="1"/>
  <c r="J994" i="1"/>
  <c r="K994" i="1"/>
  <c r="L994" i="1"/>
  <c r="J995" i="1"/>
  <c r="K995" i="1"/>
  <c r="L995" i="1"/>
  <c r="J996" i="1"/>
  <c r="K996" i="1"/>
  <c r="L996" i="1"/>
  <c r="J997" i="1"/>
  <c r="K997" i="1"/>
  <c r="L997" i="1"/>
  <c r="J998" i="1"/>
  <c r="K998" i="1"/>
  <c r="L998" i="1"/>
  <c r="J999" i="1"/>
  <c r="K999" i="1"/>
  <c r="L999" i="1"/>
  <c r="J1000" i="1"/>
  <c r="K1000" i="1"/>
  <c r="L1000" i="1"/>
  <c r="J1001" i="1"/>
  <c r="K1001" i="1"/>
  <c r="L1001" i="1"/>
  <c r="J1002" i="1"/>
  <c r="K1002" i="1"/>
  <c r="L1002" i="1"/>
  <c r="J1003" i="1"/>
  <c r="K1003" i="1"/>
  <c r="L1003" i="1"/>
  <c r="J1004" i="1"/>
  <c r="K1004" i="1"/>
  <c r="L1004" i="1"/>
  <c r="J1005" i="1"/>
  <c r="K1005" i="1"/>
  <c r="L1005" i="1"/>
  <c r="J1006" i="1"/>
  <c r="K1006" i="1"/>
  <c r="L1006" i="1"/>
  <c r="J1007" i="1"/>
  <c r="K1007" i="1"/>
  <c r="L1007" i="1"/>
  <c r="J1008" i="1"/>
  <c r="K1008" i="1"/>
  <c r="L1008" i="1"/>
  <c r="J1009" i="1"/>
  <c r="K1009" i="1"/>
  <c r="L1009" i="1"/>
  <c r="J1010" i="1"/>
  <c r="K1010" i="1"/>
  <c r="L1010" i="1"/>
  <c r="J1011" i="1"/>
  <c r="K1011" i="1"/>
  <c r="L1011" i="1"/>
  <c r="J1012" i="1"/>
  <c r="K1012" i="1"/>
  <c r="L1012" i="1"/>
  <c r="J1013" i="1"/>
  <c r="K1013" i="1"/>
  <c r="L1013" i="1"/>
  <c r="J1014" i="1"/>
  <c r="K1014" i="1"/>
  <c r="L1014" i="1"/>
  <c r="J1015" i="1"/>
  <c r="K1015" i="1"/>
  <c r="L1015" i="1"/>
  <c r="J1016" i="1"/>
  <c r="K1016" i="1"/>
  <c r="L1016" i="1"/>
  <c r="J1017" i="1"/>
  <c r="K1017" i="1"/>
  <c r="L1017" i="1"/>
  <c r="J1018" i="1"/>
  <c r="K1018" i="1"/>
  <c r="L1018" i="1"/>
  <c r="J1019" i="1"/>
  <c r="K1019" i="1"/>
  <c r="L1019" i="1"/>
  <c r="J1020" i="1"/>
  <c r="K1020" i="1"/>
  <c r="L1020" i="1"/>
  <c r="J1021" i="1"/>
  <c r="K1021" i="1"/>
  <c r="L1021" i="1"/>
  <c r="J1022" i="1"/>
  <c r="K1022" i="1"/>
  <c r="L1022" i="1"/>
  <c r="J1023" i="1"/>
  <c r="K1023" i="1"/>
  <c r="L1023" i="1"/>
  <c r="J1024" i="1"/>
  <c r="K1024" i="1"/>
  <c r="L1024" i="1"/>
  <c r="J1025" i="1"/>
  <c r="K1025" i="1"/>
  <c r="L1025" i="1"/>
  <c r="J1026" i="1"/>
  <c r="K1026" i="1"/>
  <c r="L1026" i="1"/>
  <c r="J1027" i="1"/>
  <c r="K1027" i="1"/>
  <c r="L1027" i="1"/>
  <c r="J1028" i="1"/>
  <c r="K1028" i="1"/>
  <c r="L1028" i="1"/>
  <c r="J1029" i="1"/>
  <c r="K1029" i="1"/>
  <c r="L1029" i="1"/>
  <c r="J1030" i="1"/>
  <c r="K1030" i="1"/>
  <c r="L1030" i="1"/>
  <c r="J1031" i="1"/>
  <c r="K1031" i="1"/>
  <c r="L1031" i="1"/>
  <c r="J1032" i="1"/>
  <c r="K1032" i="1"/>
  <c r="L1032" i="1"/>
  <c r="J1033" i="1"/>
  <c r="K1033" i="1"/>
  <c r="L1033" i="1"/>
  <c r="J1034" i="1"/>
  <c r="K1034" i="1"/>
  <c r="L1034" i="1"/>
  <c r="J1035" i="1"/>
  <c r="K1035" i="1"/>
  <c r="L1035" i="1"/>
  <c r="J1036" i="1"/>
  <c r="K1036" i="1"/>
  <c r="L1036" i="1"/>
  <c r="J1037" i="1"/>
  <c r="K1037" i="1"/>
  <c r="L1037" i="1"/>
  <c r="J1038" i="1"/>
  <c r="K1038" i="1"/>
  <c r="L1038" i="1"/>
  <c r="J1039" i="1"/>
  <c r="K1039" i="1"/>
  <c r="L1039" i="1"/>
  <c r="J1040" i="1"/>
  <c r="K1040" i="1"/>
  <c r="L1040" i="1"/>
  <c r="J1041" i="1"/>
  <c r="K1041" i="1"/>
  <c r="L1041" i="1"/>
  <c r="J1042" i="1"/>
  <c r="K1042" i="1"/>
  <c r="L1042" i="1"/>
  <c r="J1043" i="1"/>
  <c r="K1043" i="1"/>
  <c r="L1043" i="1"/>
  <c r="J1044" i="1"/>
  <c r="K1044" i="1"/>
  <c r="L1044" i="1"/>
  <c r="J1045" i="1"/>
  <c r="K1045" i="1"/>
  <c r="L1045" i="1"/>
  <c r="J1046" i="1"/>
  <c r="K1046" i="1"/>
  <c r="L1046" i="1"/>
  <c r="J1047" i="1"/>
  <c r="K1047" i="1"/>
  <c r="L1047" i="1"/>
  <c r="J1048" i="1"/>
  <c r="K1048" i="1"/>
  <c r="L1048" i="1"/>
  <c r="J1049" i="1"/>
  <c r="K1049" i="1"/>
  <c r="L1049" i="1"/>
  <c r="J1050" i="1"/>
  <c r="K1050" i="1"/>
  <c r="L1050" i="1"/>
  <c r="J1051" i="1"/>
  <c r="K1051" i="1"/>
  <c r="L1051" i="1"/>
  <c r="J1052" i="1"/>
  <c r="K1052" i="1"/>
  <c r="L1052" i="1"/>
  <c r="J1053" i="1"/>
  <c r="K1053" i="1"/>
  <c r="L1053" i="1"/>
  <c r="J1054" i="1"/>
  <c r="K1054" i="1"/>
  <c r="L1054" i="1"/>
  <c r="J1055" i="1"/>
  <c r="K1055" i="1"/>
  <c r="L1055" i="1"/>
  <c r="J1056" i="1"/>
  <c r="K1056" i="1"/>
  <c r="L1056" i="1"/>
  <c r="J1057" i="1"/>
  <c r="K1057" i="1"/>
  <c r="L1057" i="1"/>
  <c r="J1058" i="1"/>
  <c r="K1058" i="1"/>
  <c r="L1058" i="1"/>
  <c r="J1059" i="1"/>
  <c r="K1059" i="1"/>
  <c r="L1059" i="1"/>
  <c r="J1060" i="1"/>
  <c r="K1060" i="1"/>
  <c r="L1060" i="1"/>
  <c r="J1061" i="1"/>
  <c r="K1061" i="1"/>
  <c r="L1061" i="1"/>
  <c r="J1062" i="1"/>
  <c r="K1062" i="1"/>
  <c r="L1062" i="1"/>
  <c r="J1063" i="1"/>
  <c r="K1063" i="1"/>
  <c r="L1063" i="1"/>
  <c r="J1064" i="1"/>
  <c r="K1064" i="1"/>
  <c r="L1064" i="1"/>
  <c r="J1065" i="1"/>
  <c r="K1065" i="1"/>
  <c r="L1065" i="1"/>
  <c r="J1066" i="1"/>
  <c r="K1066" i="1"/>
  <c r="L1066" i="1"/>
  <c r="J1067" i="1"/>
  <c r="K1067" i="1"/>
  <c r="L1067" i="1"/>
  <c r="J1068" i="1"/>
  <c r="K1068" i="1"/>
  <c r="L1068" i="1"/>
  <c r="J1069" i="1"/>
  <c r="K1069" i="1"/>
  <c r="L1069" i="1"/>
  <c r="J1070" i="1"/>
  <c r="K1070" i="1"/>
  <c r="L1070" i="1"/>
  <c r="J1071" i="1"/>
  <c r="K1071" i="1"/>
  <c r="L1071" i="1"/>
  <c r="J1072" i="1"/>
  <c r="K1072" i="1"/>
  <c r="L1072" i="1"/>
  <c r="J1073" i="1"/>
  <c r="K1073" i="1"/>
  <c r="L1073" i="1"/>
  <c r="J1074" i="1"/>
  <c r="K1074" i="1"/>
  <c r="L1074" i="1"/>
  <c r="J1075" i="1"/>
  <c r="K1075" i="1"/>
  <c r="L1075" i="1"/>
  <c r="J1076" i="1"/>
  <c r="K1076" i="1"/>
  <c r="L1076" i="1"/>
  <c r="J1077" i="1"/>
  <c r="K1077" i="1"/>
  <c r="L1077" i="1"/>
  <c r="J1078" i="1"/>
  <c r="K1078" i="1"/>
  <c r="L1078" i="1"/>
  <c r="J1079" i="1"/>
  <c r="K1079" i="1"/>
  <c r="L1079" i="1"/>
  <c r="J1080" i="1"/>
  <c r="K1080" i="1"/>
  <c r="L1080" i="1"/>
  <c r="J1081" i="1"/>
  <c r="K1081" i="1"/>
  <c r="L1081" i="1"/>
  <c r="J1082" i="1"/>
  <c r="K1082" i="1"/>
  <c r="L1082" i="1"/>
  <c r="J1083" i="1"/>
  <c r="K1083" i="1"/>
  <c r="L1083" i="1"/>
  <c r="J1084" i="1"/>
  <c r="K1084" i="1"/>
  <c r="L1084" i="1"/>
  <c r="J1085" i="1"/>
  <c r="K1085" i="1"/>
  <c r="L1085" i="1"/>
  <c r="J1086" i="1"/>
  <c r="K1086" i="1"/>
  <c r="L1086" i="1"/>
  <c r="J1087" i="1"/>
  <c r="K1087" i="1"/>
  <c r="L1087" i="1"/>
  <c r="J1088" i="1"/>
  <c r="K1088" i="1"/>
  <c r="L1088" i="1"/>
  <c r="J1089" i="1"/>
  <c r="K1089" i="1"/>
  <c r="L1089" i="1"/>
  <c r="J1090" i="1"/>
  <c r="K1090" i="1"/>
  <c r="L1090" i="1"/>
  <c r="J1091" i="1"/>
  <c r="K1091" i="1"/>
  <c r="L1091" i="1"/>
  <c r="J1092" i="1"/>
  <c r="K1092" i="1"/>
  <c r="L1092" i="1"/>
  <c r="J1093" i="1"/>
  <c r="K1093" i="1"/>
  <c r="L1093" i="1"/>
  <c r="J1094" i="1"/>
  <c r="K1094" i="1"/>
  <c r="L1094" i="1"/>
  <c r="J1095" i="1"/>
  <c r="K1095" i="1"/>
  <c r="L1095" i="1"/>
  <c r="J1096" i="1"/>
  <c r="K1096" i="1"/>
  <c r="L1096" i="1"/>
  <c r="J1097" i="1"/>
  <c r="K1097" i="1"/>
  <c r="L1097" i="1"/>
  <c r="J1098" i="1"/>
  <c r="K1098" i="1"/>
  <c r="L1098" i="1"/>
  <c r="J1099" i="1"/>
  <c r="K1099" i="1"/>
  <c r="L1099" i="1"/>
  <c r="J1100" i="1"/>
  <c r="K1100" i="1"/>
  <c r="L1100" i="1"/>
  <c r="J1101" i="1"/>
  <c r="K1101" i="1"/>
  <c r="L1101" i="1"/>
  <c r="J1102" i="1"/>
  <c r="K1102" i="1"/>
  <c r="L1102" i="1"/>
  <c r="J1103" i="1"/>
  <c r="K1103" i="1"/>
  <c r="L1103" i="1"/>
  <c r="J1104" i="1"/>
  <c r="K1104" i="1"/>
  <c r="L1104" i="1"/>
  <c r="J1105" i="1"/>
  <c r="K1105" i="1"/>
  <c r="L1105" i="1"/>
  <c r="J1106" i="1"/>
  <c r="K1106" i="1"/>
  <c r="L1106" i="1"/>
  <c r="J1107" i="1"/>
  <c r="K1107" i="1"/>
  <c r="L1107" i="1"/>
  <c r="J1108" i="1"/>
  <c r="K1108" i="1"/>
  <c r="L1108" i="1"/>
  <c r="J1109" i="1"/>
  <c r="K1109" i="1"/>
  <c r="L1109" i="1"/>
  <c r="J1110" i="1"/>
  <c r="K1110" i="1"/>
  <c r="L1110" i="1"/>
  <c r="J1111" i="1"/>
  <c r="K1111" i="1"/>
  <c r="L1111" i="1"/>
  <c r="J1112" i="1"/>
  <c r="K1112" i="1"/>
  <c r="L1112" i="1"/>
  <c r="J1113" i="1"/>
  <c r="K1113" i="1"/>
  <c r="L1113" i="1"/>
  <c r="J1114" i="1"/>
  <c r="K1114" i="1"/>
  <c r="L1114" i="1"/>
  <c r="J1115" i="1"/>
  <c r="K1115" i="1"/>
  <c r="L1115" i="1"/>
  <c r="J1116" i="1"/>
  <c r="K1116" i="1"/>
  <c r="L1116" i="1"/>
  <c r="J1117" i="1"/>
  <c r="K1117" i="1"/>
  <c r="L1117" i="1"/>
  <c r="J1118" i="1"/>
  <c r="K1118" i="1"/>
  <c r="L1118" i="1"/>
  <c r="J1119" i="1"/>
  <c r="K1119" i="1"/>
  <c r="L1119" i="1"/>
  <c r="J1120" i="1"/>
  <c r="K1120" i="1"/>
  <c r="L1120" i="1"/>
  <c r="J1121" i="1"/>
  <c r="K1121" i="1"/>
  <c r="L1121" i="1"/>
  <c r="J1122" i="1"/>
  <c r="K1122" i="1"/>
  <c r="L1122" i="1"/>
  <c r="J1123" i="1"/>
  <c r="K1123" i="1"/>
  <c r="L1123" i="1"/>
  <c r="J1124" i="1"/>
  <c r="K1124" i="1"/>
  <c r="L1124" i="1"/>
  <c r="J1125" i="1"/>
  <c r="K1125" i="1"/>
  <c r="L1125" i="1"/>
  <c r="J1126" i="1"/>
  <c r="K1126" i="1"/>
  <c r="L1126" i="1"/>
  <c r="J1127" i="1"/>
  <c r="K1127" i="1"/>
  <c r="L1127" i="1"/>
  <c r="J1128" i="1"/>
  <c r="K1128" i="1"/>
  <c r="L1128" i="1"/>
  <c r="J1129" i="1"/>
  <c r="K1129" i="1"/>
  <c r="L1129" i="1"/>
  <c r="J1130" i="1"/>
  <c r="K1130" i="1"/>
  <c r="L1130" i="1"/>
  <c r="J1131" i="1"/>
  <c r="K1131" i="1"/>
  <c r="L1131" i="1"/>
  <c r="J1132" i="1"/>
  <c r="K1132" i="1"/>
  <c r="L1132" i="1"/>
  <c r="J1133" i="1"/>
  <c r="K1133" i="1"/>
  <c r="L1133" i="1"/>
  <c r="J1134" i="1"/>
  <c r="K1134" i="1"/>
  <c r="L1134" i="1"/>
  <c r="J1135" i="1"/>
  <c r="K1135" i="1"/>
  <c r="L1135" i="1"/>
  <c r="J1136" i="1"/>
  <c r="K1136" i="1"/>
  <c r="L1136" i="1"/>
  <c r="J1137" i="1"/>
  <c r="K1137" i="1"/>
  <c r="L1137" i="1"/>
  <c r="J1138" i="1"/>
  <c r="K1138" i="1"/>
  <c r="L1138" i="1"/>
  <c r="J1139" i="1"/>
  <c r="K1139" i="1"/>
  <c r="L1139" i="1"/>
  <c r="J1140" i="1"/>
  <c r="K1140" i="1"/>
  <c r="L1140" i="1"/>
  <c r="J1141" i="1"/>
  <c r="K1141" i="1"/>
  <c r="L1141" i="1"/>
  <c r="J1142" i="1"/>
  <c r="K1142" i="1"/>
  <c r="L1142" i="1"/>
  <c r="J1143" i="1"/>
  <c r="K1143" i="1"/>
  <c r="L1143" i="1"/>
  <c r="J1144" i="1"/>
  <c r="K1144" i="1"/>
  <c r="L1144" i="1"/>
  <c r="J1145" i="1"/>
  <c r="K1145" i="1"/>
  <c r="L1145" i="1"/>
  <c r="J1146" i="1"/>
  <c r="K1146" i="1"/>
  <c r="L1146" i="1"/>
  <c r="J1147" i="1"/>
  <c r="K1147" i="1"/>
  <c r="L1147" i="1"/>
  <c r="J1148" i="1"/>
  <c r="K1148" i="1"/>
  <c r="L1148" i="1"/>
  <c r="J1149" i="1"/>
  <c r="K1149" i="1"/>
  <c r="L1149" i="1"/>
  <c r="J1150" i="1"/>
  <c r="K1150" i="1"/>
  <c r="L1150" i="1"/>
  <c r="J1151" i="1"/>
  <c r="K1151" i="1"/>
  <c r="L1151" i="1"/>
  <c r="J1152" i="1"/>
  <c r="K1152" i="1"/>
  <c r="L1152" i="1"/>
  <c r="J1153" i="1"/>
  <c r="K1153" i="1"/>
  <c r="L1153" i="1"/>
  <c r="J1154" i="1"/>
  <c r="K1154" i="1"/>
  <c r="L1154" i="1"/>
  <c r="J1155" i="1"/>
  <c r="K1155" i="1"/>
  <c r="L1155" i="1"/>
  <c r="J1156" i="1"/>
  <c r="K1156" i="1"/>
  <c r="L1156" i="1"/>
  <c r="J1157" i="1"/>
  <c r="K1157" i="1"/>
  <c r="L1157" i="1"/>
  <c r="J1158" i="1"/>
  <c r="K1158" i="1"/>
  <c r="L1158" i="1"/>
  <c r="J1159" i="1"/>
  <c r="K1159" i="1"/>
  <c r="L1159" i="1"/>
  <c r="J1160" i="1"/>
  <c r="K1160" i="1"/>
  <c r="L1160" i="1"/>
  <c r="J1161" i="1"/>
  <c r="K1161" i="1"/>
  <c r="L1161" i="1"/>
  <c r="J1162" i="1"/>
  <c r="K1162" i="1"/>
  <c r="L1162" i="1"/>
  <c r="J1167" i="1"/>
  <c r="K1167" i="1"/>
  <c r="L1167" i="1"/>
  <c r="J1168" i="1"/>
  <c r="K1168" i="1"/>
  <c r="L1168" i="1"/>
  <c r="J1169" i="1"/>
  <c r="K1169" i="1"/>
  <c r="L1169" i="1"/>
  <c r="J1170" i="1"/>
  <c r="K1170" i="1"/>
  <c r="L1170" i="1"/>
  <c r="J1171" i="1"/>
  <c r="K1171" i="1"/>
  <c r="L1171" i="1"/>
  <c r="J1173" i="1"/>
  <c r="K1173" i="1"/>
  <c r="L1173" i="1"/>
  <c r="J1174" i="1"/>
  <c r="K1174" i="1"/>
  <c r="L1174" i="1"/>
  <c r="J1175" i="1"/>
  <c r="K1175" i="1"/>
  <c r="L1175" i="1"/>
  <c r="J1176" i="1"/>
  <c r="K1176" i="1"/>
  <c r="L1176" i="1"/>
  <c r="J1177" i="1"/>
  <c r="K1177" i="1"/>
  <c r="L1177" i="1"/>
  <c r="J1178" i="1"/>
  <c r="K1178" i="1"/>
  <c r="L1178" i="1"/>
  <c r="J1179" i="1"/>
  <c r="K1179" i="1"/>
  <c r="L1179" i="1"/>
  <c r="J1180" i="1"/>
  <c r="K1180" i="1"/>
  <c r="L1180" i="1"/>
  <c r="J1181" i="1"/>
  <c r="K1181" i="1"/>
  <c r="L1181" i="1"/>
  <c r="J1182" i="1"/>
  <c r="K1182" i="1"/>
  <c r="L1182" i="1"/>
  <c r="J1184" i="1"/>
  <c r="K1184" i="1"/>
  <c r="L1184" i="1"/>
  <c r="J1185" i="1"/>
  <c r="K1185" i="1"/>
  <c r="L1185" i="1"/>
  <c r="J1186" i="1"/>
  <c r="K1186" i="1"/>
  <c r="L1186" i="1"/>
  <c r="J1187" i="1"/>
  <c r="K1187" i="1"/>
  <c r="L1187" i="1"/>
  <c r="J1188" i="1"/>
  <c r="K1188" i="1"/>
  <c r="L1188" i="1"/>
  <c r="J1189" i="1"/>
  <c r="K1189" i="1"/>
  <c r="L1189" i="1"/>
  <c r="J1190" i="1"/>
  <c r="K1190" i="1"/>
  <c r="L1190" i="1"/>
  <c r="J1191" i="1"/>
  <c r="K1191" i="1"/>
  <c r="L1191" i="1"/>
  <c r="L2" i="1"/>
  <c r="AC1191" i="1"/>
  <c r="AC1190" i="1"/>
  <c r="AC1189" i="1"/>
  <c r="AC1188" i="1"/>
  <c r="AC1187" i="1"/>
  <c r="AC1186" i="1"/>
  <c r="AC1185" i="1"/>
  <c r="AC1184" i="1"/>
  <c r="AC1182" i="1"/>
  <c r="AC1181" i="1"/>
  <c r="AC1180" i="1"/>
  <c r="AC1179" i="1"/>
  <c r="AC1178" i="1"/>
  <c r="AC1177" i="1"/>
  <c r="AC1176" i="1"/>
  <c r="AC1175" i="1"/>
  <c r="AC1174" i="1"/>
  <c r="AC1173" i="1"/>
  <c r="AC1171" i="1"/>
  <c r="AC1170" i="1"/>
  <c r="AC1169" i="1"/>
  <c r="AC1168" i="1"/>
  <c r="AC1167" i="1"/>
  <c r="AC1162" i="1"/>
  <c r="AC1161" i="1"/>
  <c r="AC1160" i="1"/>
  <c r="AC1159" i="1"/>
  <c r="AC1158" i="1"/>
  <c r="AC1157" i="1"/>
  <c r="AC1156" i="1"/>
  <c r="AC1155" i="1"/>
  <c r="AC1154" i="1"/>
  <c r="AC1153" i="1"/>
  <c r="AC1152" i="1"/>
  <c r="AC1151" i="1"/>
  <c r="AC1150" i="1"/>
  <c r="AC1149" i="1"/>
  <c r="AC1148" i="1"/>
  <c r="AC1147" i="1"/>
  <c r="AC1146" i="1"/>
  <c r="AC1145" i="1"/>
  <c r="AC1144" i="1"/>
  <c r="AC1143" i="1"/>
  <c r="AC1142" i="1"/>
  <c r="AC1141" i="1"/>
  <c r="AC1140" i="1"/>
  <c r="AC1139" i="1"/>
  <c r="AC1138" i="1"/>
  <c r="AC1137" i="1"/>
  <c r="AC1136" i="1"/>
  <c r="AC1135" i="1"/>
  <c r="AC1134" i="1"/>
  <c r="AC1133" i="1"/>
  <c r="AC1132" i="1"/>
  <c r="AC1131" i="1"/>
  <c r="AC1130" i="1"/>
  <c r="AC1129" i="1"/>
  <c r="AC1128" i="1"/>
  <c r="AC1127" i="1"/>
  <c r="AC1090" i="1"/>
  <c r="AC1089" i="1"/>
  <c r="AC1088" i="1"/>
  <c r="AC1087" i="1"/>
  <c r="AC1086" i="1"/>
  <c r="AC1085" i="1"/>
  <c r="AC1084" i="1"/>
  <c r="AC1083" i="1"/>
  <c r="AC1082" i="1"/>
  <c r="AC1081" i="1"/>
  <c r="AC1080" i="1"/>
  <c r="AC1079" i="1"/>
  <c r="AC1078" i="1"/>
  <c r="AC1077" i="1"/>
  <c r="AC1076" i="1"/>
  <c r="AC1075" i="1"/>
  <c r="AC1074" i="1"/>
  <c r="AC1073" i="1"/>
  <c r="AC1072" i="1"/>
  <c r="AC1071" i="1"/>
  <c r="AC1070" i="1"/>
  <c r="AC1069" i="1"/>
  <c r="AC1068" i="1"/>
  <c r="AC1067" i="1"/>
  <c r="AC1066" i="1"/>
  <c r="AC1065" i="1"/>
  <c r="AC920" i="1"/>
  <c r="AC919" i="1"/>
  <c r="AC918" i="1"/>
  <c r="AC915" i="1"/>
  <c r="AC914" i="1"/>
  <c r="AC913" i="1"/>
  <c r="AC912" i="1"/>
  <c r="AC911" i="1"/>
  <c r="AC910" i="1"/>
  <c r="AC909" i="1"/>
  <c r="AC908" i="1"/>
  <c r="AC907" i="1"/>
  <c r="AC906" i="1"/>
  <c r="AC905" i="1"/>
  <c r="AC904" i="1"/>
  <c r="AC903" i="1"/>
  <c r="AC902" i="1"/>
  <c r="AC901" i="1"/>
  <c r="AC900" i="1"/>
  <c r="AC899" i="1"/>
  <c r="AC898" i="1"/>
  <c r="AC897" i="1"/>
  <c r="AC896" i="1"/>
  <c r="AC895" i="1"/>
  <c r="AC894" i="1"/>
  <c r="AC893" i="1"/>
  <c r="AC892" i="1"/>
  <c r="AC891" i="1"/>
  <c r="AC890" i="1"/>
  <c r="AC889" i="1"/>
  <c r="AC888" i="1"/>
  <c r="AC887" i="1"/>
  <c r="AC886" i="1"/>
  <c r="AC885" i="1"/>
  <c r="AC884" i="1"/>
  <c r="AC883" i="1"/>
  <c r="AC882" i="1"/>
  <c r="AC881" i="1"/>
  <c r="AC880" i="1"/>
  <c r="AC879" i="1"/>
  <c r="AC878" i="1"/>
  <c r="AC877" i="1"/>
  <c r="AC876" i="1"/>
  <c r="AC875" i="1"/>
  <c r="AC874" i="1"/>
  <c r="AC873" i="1"/>
  <c r="AC872" i="1"/>
  <c r="AC871" i="1"/>
  <c r="AC870" i="1"/>
  <c r="AC869" i="1"/>
  <c r="AC868" i="1"/>
  <c r="AC867" i="1"/>
  <c r="AC866" i="1"/>
  <c r="AC865" i="1"/>
  <c r="AC864" i="1"/>
  <c r="AC863" i="1"/>
  <c r="AC862" i="1"/>
  <c r="AC861" i="1"/>
  <c r="AC860" i="1"/>
  <c r="AC859" i="1"/>
  <c r="AC858" i="1"/>
  <c r="AC857" i="1"/>
  <c r="AC856" i="1"/>
  <c r="AC855" i="1"/>
  <c r="AC854" i="1"/>
  <c r="AC853" i="1"/>
  <c r="AC852" i="1"/>
  <c r="AC851" i="1"/>
  <c r="AC850" i="1"/>
  <c r="AC849" i="1"/>
  <c r="AC848" i="1"/>
  <c r="AC847" i="1"/>
  <c r="AC846" i="1"/>
  <c r="AC845" i="1"/>
  <c r="AC844" i="1"/>
  <c r="AC843" i="1"/>
  <c r="AC842" i="1"/>
  <c r="AC841" i="1"/>
  <c r="AC840" i="1"/>
  <c r="AC839" i="1"/>
  <c r="AC838" i="1"/>
  <c r="AC837" i="1"/>
  <c r="AC836" i="1"/>
  <c r="AC835" i="1"/>
  <c r="AC834" i="1"/>
  <c r="AC833" i="1"/>
  <c r="AC832" i="1"/>
  <c r="AC831" i="1"/>
  <c r="AC830" i="1"/>
  <c r="AC829" i="1"/>
  <c r="AC828" i="1"/>
  <c r="AC827" i="1"/>
  <c r="AC826" i="1"/>
  <c r="AC825" i="1"/>
  <c r="AC824" i="1"/>
  <c r="AC823" i="1"/>
  <c r="AC822" i="1"/>
  <c r="AC821" i="1"/>
  <c r="AC820" i="1"/>
  <c r="AC819" i="1"/>
  <c r="AC818" i="1"/>
  <c r="AC817" i="1"/>
  <c r="AC816" i="1"/>
  <c r="AC815" i="1"/>
  <c r="AC814" i="1"/>
  <c r="AC813" i="1"/>
  <c r="AC812" i="1"/>
  <c r="AC811" i="1"/>
  <c r="AC810" i="1"/>
  <c r="AC809" i="1"/>
  <c r="AC808" i="1"/>
  <c r="AC807" i="1"/>
  <c r="AC806" i="1"/>
  <c r="AC805" i="1"/>
  <c r="AC804" i="1"/>
  <c r="AC803" i="1"/>
  <c r="AC802" i="1"/>
  <c r="AC801" i="1"/>
  <c r="AC800" i="1"/>
  <c r="AC799" i="1"/>
  <c r="AC798" i="1"/>
  <c r="AC797" i="1"/>
  <c r="AC796" i="1"/>
  <c r="AC795" i="1"/>
  <c r="AC794" i="1"/>
  <c r="AC793" i="1"/>
  <c r="AC792" i="1"/>
  <c r="AC791" i="1"/>
  <c r="AC790" i="1"/>
  <c r="AC789" i="1"/>
  <c r="AC788" i="1"/>
  <c r="AC787" i="1"/>
  <c r="AC786" i="1"/>
  <c r="AC785" i="1"/>
  <c r="AC784" i="1"/>
  <c r="AC783" i="1"/>
  <c r="AC782" i="1"/>
  <c r="AC781" i="1"/>
  <c r="AC780" i="1"/>
  <c r="AC779" i="1"/>
  <c r="AC778" i="1"/>
  <c r="AC777" i="1"/>
  <c r="AC776" i="1"/>
  <c r="AC775" i="1"/>
  <c r="AC774" i="1"/>
  <c r="AC773" i="1"/>
  <c r="AC772" i="1"/>
  <c r="AC771" i="1"/>
  <c r="AC770" i="1"/>
  <c r="AC769" i="1"/>
  <c r="AC768" i="1"/>
  <c r="AC767" i="1"/>
  <c r="AC766" i="1"/>
  <c r="AC765" i="1"/>
  <c r="AC764" i="1"/>
  <c r="AC763" i="1"/>
  <c r="AC762" i="1"/>
  <c r="AC761" i="1"/>
  <c r="AC760" i="1"/>
  <c r="AC759" i="1"/>
  <c r="AC758" i="1"/>
  <c r="AC757" i="1"/>
  <c r="AC756" i="1"/>
  <c r="AC755" i="1"/>
  <c r="AC754" i="1"/>
  <c r="AC753" i="1"/>
  <c r="AC752" i="1"/>
  <c r="AC751" i="1"/>
  <c r="AC750" i="1"/>
  <c r="AC749" i="1"/>
  <c r="AC748" i="1"/>
  <c r="AC747" i="1"/>
  <c r="AC746" i="1"/>
  <c r="AC745" i="1"/>
  <c r="AC744" i="1"/>
  <c r="AC743" i="1"/>
  <c r="AC742" i="1"/>
  <c r="AC741" i="1"/>
  <c r="AC740" i="1"/>
  <c r="AC739" i="1"/>
  <c r="AC738" i="1"/>
  <c r="AC737" i="1"/>
  <c r="AC736" i="1"/>
  <c r="AC735" i="1"/>
  <c r="AC734" i="1"/>
  <c r="AC733" i="1"/>
  <c r="AC732" i="1"/>
  <c r="AC731" i="1"/>
  <c r="AC730" i="1"/>
  <c r="AC729" i="1"/>
  <c r="AC728" i="1"/>
  <c r="AC727" i="1"/>
  <c r="AC726" i="1"/>
  <c r="AC725" i="1"/>
  <c r="AC724" i="1"/>
  <c r="AC723" i="1"/>
  <c r="AC722" i="1"/>
  <c r="AC721" i="1"/>
  <c r="AC720" i="1"/>
  <c r="AC719" i="1"/>
  <c r="AC718" i="1"/>
  <c r="AC717" i="1"/>
  <c r="AC716" i="1"/>
  <c r="AC715" i="1"/>
  <c r="AC714" i="1"/>
  <c r="AC713" i="1"/>
  <c r="AC712" i="1"/>
  <c r="AC711" i="1"/>
  <c r="AC710" i="1"/>
  <c r="AC709" i="1"/>
  <c r="AC708" i="1"/>
  <c r="AC707" i="1"/>
  <c r="AC706" i="1"/>
  <c r="AC705" i="1"/>
  <c r="AC704" i="1"/>
  <c r="AC703" i="1"/>
  <c r="AC702" i="1"/>
  <c r="AC701" i="1"/>
  <c r="AC700" i="1"/>
  <c r="AC699" i="1"/>
  <c r="AC698" i="1"/>
  <c r="AC697" i="1"/>
  <c r="AC696" i="1"/>
  <c r="AC695" i="1"/>
  <c r="AC694" i="1"/>
  <c r="AC693" i="1"/>
  <c r="AC692" i="1"/>
  <c r="AC691" i="1"/>
  <c r="AC690" i="1"/>
  <c r="AC689" i="1"/>
  <c r="AC688" i="1"/>
  <c r="AC687" i="1"/>
  <c r="AC686" i="1"/>
  <c r="AC685" i="1"/>
  <c r="AC684" i="1"/>
  <c r="AC683" i="1"/>
  <c r="AC682" i="1"/>
  <c r="AC681" i="1"/>
  <c r="AC680" i="1"/>
  <c r="AC679" i="1"/>
  <c r="AC678" i="1"/>
  <c r="AC677" i="1"/>
  <c r="AC676" i="1"/>
  <c r="AC674" i="1"/>
  <c r="AC673" i="1"/>
  <c r="AC672" i="1"/>
  <c r="AC669" i="1"/>
  <c r="AC668" i="1"/>
  <c r="AC667" i="1"/>
  <c r="AC666" i="1"/>
  <c r="AC665" i="1"/>
  <c r="AC664" i="1"/>
  <c r="AC663" i="1"/>
  <c r="AC662" i="1"/>
  <c r="AC661" i="1"/>
  <c r="AC660" i="1"/>
  <c r="AC659" i="1"/>
  <c r="AC658" i="1"/>
  <c r="AC657" i="1"/>
  <c r="AC656" i="1"/>
  <c r="AC655" i="1"/>
  <c r="AC654" i="1"/>
  <c r="AC653" i="1"/>
  <c r="AC652" i="1"/>
  <c r="AC651" i="1"/>
  <c r="AC650" i="1"/>
  <c r="AC649" i="1"/>
  <c r="AC648" i="1"/>
  <c r="AC647" i="1"/>
  <c r="AC646" i="1"/>
  <c r="AC645" i="1"/>
  <c r="AC644" i="1"/>
  <c r="AC643" i="1"/>
  <c r="AC642" i="1"/>
  <c r="AC641" i="1"/>
  <c r="AC640" i="1"/>
  <c r="AC639" i="1"/>
  <c r="AC638" i="1"/>
  <c r="AC637" i="1"/>
  <c r="AC636" i="1"/>
  <c r="AC635" i="1"/>
  <c r="AC634" i="1"/>
  <c r="AC633" i="1"/>
  <c r="AC632" i="1"/>
  <c r="AC631" i="1"/>
  <c r="AC630" i="1"/>
  <c r="AC629" i="1"/>
  <c r="AC628" i="1"/>
  <c r="AC627" i="1"/>
  <c r="AC626" i="1"/>
  <c r="AC625" i="1"/>
  <c r="AC624" i="1"/>
  <c r="AC623" i="1"/>
  <c r="AC622" i="1"/>
  <c r="AC621" i="1"/>
  <c r="AC620" i="1"/>
  <c r="AC619" i="1"/>
  <c r="AC618" i="1"/>
  <c r="AC617" i="1"/>
  <c r="AC616" i="1"/>
  <c r="AC615" i="1"/>
  <c r="AC614" i="1"/>
  <c r="AC613" i="1"/>
  <c r="AC612" i="1"/>
  <c r="AC611" i="1"/>
  <c r="AC610" i="1"/>
  <c r="AC609" i="1"/>
  <c r="AC608" i="1"/>
  <c r="AC607" i="1"/>
  <c r="AC606" i="1"/>
  <c r="AC605" i="1"/>
  <c r="AC604" i="1"/>
  <c r="AC603" i="1"/>
  <c r="AC602" i="1"/>
  <c r="AC601" i="1"/>
  <c r="AC600" i="1"/>
  <c r="AC599" i="1"/>
  <c r="AC598" i="1"/>
  <c r="AC597" i="1"/>
  <c r="AC596" i="1"/>
  <c r="AC595" i="1"/>
  <c r="AC594" i="1"/>
  <c r="AC593" i="1"/>
  <c r="AC592" i="1"/>
  <c r="AC591" i="1"/>
  <c r="AC590" i="1"/>
  <c r="AC589" i="1"/>
  <c r="AC588" i="1"/>
  <c r="AC587" i="1"/>
  <c r="AC586" i="1"/>
  <c r="AC585" i="1"/>
  <c r="AC584" i="1"/>
  <c r="AC583" i="1"/>
  <c r="AC582" i="1"/>
  <c r="AC581" i="1"/>
  <c r="AC580" i="1"/>
  <c r="AC579" i="1"/>
  <c r="AC578" i="1"/>
  <c r="AC577" i="1"/>
  <c r="AC576" i="1"/>
  <c r="AC575" i="1"/>
  <c r="AC574" i="1"/>
  <c r="AC573" i="1"/>
  <c r="AC572" i="1"/>
  <c r="AC571" i="1"/>
  <c r="AC570" i="1"/>
  <c r="AC569" i="1"/>
  <c r="AC568" i="1"/>
  <c r="AC567" i="1"/>
  <c r="AC566" i="1"/>
  <c r="AC565" i="1"/>
  <c r="AC564" i="1"/>
  <c r="AC563" i="1"/>
  <c r="AC562" i="1"/>
  <c r="AC561" i="1"/>
  <c r="AC560" i="1"/>
  <c r="AC559" i="1"/>
  <c r="AC558" i="1"/>
  <c r="AC557" i="1"/>
  <c r="AC556" i="1"/>
  <c r="AC555" i="1"/>
  <c r="AC554" i="1"/>
  <c r="AC553" i="1"/>
  <c r="AC552" i="1"/>
  <c r="AC551" i="1"/>
  <c r="AC550" i="1"/>
  <c r="AC549" i="1"/>
  <c r="AC548" i="1"/>
  <c r="AC547" i="1"/>
  <c r="AC546" i="1"/>
  <c r="AC545" i="1"/>
  <c r="AC544" i="1"/>
  <c r="AC543" i="1"/>
  <c r="AC542" i="1"/>
  <c r="AC541" i="1"/>
  <c r="AC540" i="1"/>
  <c r="AC539" i="1"/>
  <c r="AC538" i="1"/>
  <c r="AC537" i="1"/>
  <c r="AC536" i="1"/>
  <c r="AC535" i="1"/>
  <c r="AC534" i="1"/>
  <c r="AC533" i="1"/>
  <c r="AC532" i="1"/>
  <c r="AC531" i="1"/>
  <c r="AC530" i="1"/>
  <c r="AC529" i="1"/>
  <c r="AC528" i="1"/>
  <c r="AC527" i="1"/>
  <c r="AC526" i="1"/>
  <c r="AC525" i="1"/>
  <c r="AC524" i="1"/>
  <c r="AC523" i="1"/>
  <c r="AC522" i="1"/>
  <c r="AC521" i="1"/>
  <c r="AC520" i="1"/>
  <c r="AC519" i="1"/>
  <c r="AC518" i="1"/>
  <c r="AC517" i="1"/>
  <c r="AC516" i="1"/>
  <c r="AC515" i="1"/>
  <c r="AC514" i="1"/>
  <c r="AC513" i="1"/>
  <c r="AC512" i="1"/>
  <c r="AC511" i="1"/>
  <c r="AC510" i="1"/>
  <c r="AC509" i="1"/>
  <c r="AC508" i="1"/>
  <c r="AC507" i="1"/>
  <c r="AC506" i="1"/>
  <c r="AC505" i="1"/>
  <c r="AC504" i="1"/>
  <c r="AC503" i="1"/>
  <c r="AC502" i="1"/>
  <c r="AC501" i="1"/>
  <c r="AC500" i="1"/>
  <c r="AC499" i="1"/>
  <c r="AC498" i="1"/>
  <c r="AC497" i="1"/>
  <c r="AC496" i="1"/>
  <c r="AC495" i="1"/>
  <c r="AC494" i="1"/>
  <c r="AC493" i="1"/>
  <c r="AC492" i="1"/>
  <c r="AC491" i="1"/>
  <c r="AC490" i="1"/>
  <c r="AC489" i="1"/>
  <c r="AC488" i="1"/>
  <c r="AC487" i="1"/>
  <c r="AC486" i="1"/>
  <c r="AC485" i="1"/>
  <c r="AC484" i="1"/>
  <c r="AC483" i="1"/>
  <c r="AC482" i="1"/>
  <c r="AC481" i="1"/>
  <c r="AC480" i="1"/>
  <c r="AC479" i="1"/>
  <c r="AC478" i="1"/>
  <c r="AC477" i="1"/>
  <c r="AC476" i="1"/>
  <c r="AC475" i="1"/>
  <c r="AC474" i="1"/>
  <c r="AC473" i="1"/>
  <c r="AC472" i="1"/>
  <c r="AC471" i="1"/>
  <c r="AC470" i="1"/>
  <c r="AC469" i="1"/>
  <c r="AC468" i="1"/>
  <c r="AC467" i="1"/>
  <c r="AC466" i="1"/>
  <c r="AC465" i="1"/>
  <c r="AC464" i="1"/>
  <c r="AC463" i="1"/>
  <c r="AC462" i="1"/>
  <c r="AC461" i="1"/>
  <c r="AC460" i="1"/>
  <c r="AC459" i="1"/>
  <c r="AC458" i="1"/>
  <c r="AC457" i="1"/>
  <c r="AC456" i="1"/>
  <c r="AC455" i="1"/>
  <c r="AC454" i="1"/>
  <c r="AC453" i="1"/>
  <c r="AC452" i="1"/>
  <c r="AC451" i="1"/>
  <c r="AC450" i="1"/>
  <c r="AC449" i="1"/>
  <c r="AC448" i="1"/>
  <c r="AC447" i="1"/>
  <c r="AC446" i="1"/>
  <c r="AC445" i="1"/>
  <c r="AC444" i="1"/>
  <c r="AC443" i="1"/>
  <c r="AC442" i="1"/>
  <c r="AC441" i="1"/>
  <c r="AC440" i="1"/>
  <c r="AC439" i="1"/>
  <c r="AC438" i="1"/>
  <c r="AC437" i="1"/>
  <c r="AC436" i="1"/>
  <c r="AC435" i="1"/>
  <c r="AC434" i="1"/>
  <c r="AC433" i="1"/>
  <c r="AC432" i="1"/>
  <c r="AC431" i="1"/>
  <c r="AC430" i="1"/>
  <c r="AC429" i="1"/>
  <c r="AC428" i="1"/>
  <c r="AC427" i="1"/>
  <c r="AC426" i="1"/>
  <c r="AC425" i="1"/>
  <c r="AC424" i="1"/>
  <c r="AC423" i="1"/>
  <c r="AC422" i="1"/>
  <c r="AC421" i="1"/>
  <c r="AC420" i="1"/>
  <c r="AC419" i="1"/>
  <c r="AC418" i="1"/>
  <c r="AC417" i="1"/>
  <c r="AC416" i="1"/>
  <c r="AC415" i="1"/>
  <c r="AC414" i="1"/>
  <c r="AC413" i="1"/>
  <c r="AC412" i="1"/>
  <c r="AC411" i="1"/>
  <c r="AC410" i="1"/>
  <c r="AC409" i="1"/>
  <c r="AC408" i="1"/>
  <c r="AC407" i="1"/>
  <c r="AC406" i="1"/>
  <c r="AC405" i="1"/>
  <c r="AC404" i="1"/>
  <c r="AC403" i="1"/>
  <c r="AC402" i="1"/>
  <c r="AC401" i="1"/>
  <c r="AC400" i="1"/>
  <c r="AC399" i="1"/>
  <c r="AC398" i="1"/>
  <c r="AC397" i="1"/>
  <c r="AC396" i="1"/>
  <c r="AC395" i="1"/>
  <c r="AC394" i="1"/>
  <c r="AC393" i="1"/>
  <c r="AC392" i="1"/>
  <c r="AC391" i="1"/>
  <c r="AC390" i="1"/>
  <c r="AC389" i="1"/>
  <c r="AC388" i="1"/>
  <c r="AC387" i="1"/>
  <c r="AC386" i="1"/>
  <c r="AC385" i="1"/>
  <c r="AC384" i="1"/>
  <c r="AC383" i="1"/>
  <c r="AC382" i="1"/>
  <c r="AC381" i="1"/>
  <c r="AC380" i="1"/>
  <c r="AC379" i="1"/>
  <c r="AC378" i="1"/>
  <c r="AC377" i="1"/>
  <c r="AC376" i="1"/>
  <c r="AC375" i="1"/>
  <c r="AC374" i="1"/>
  <c r="AC373" i="1"/>
  <c r="AC372" i="1"/>
  <c r="AC371" i="1"/>
  <c r="AC370" i="1"/>
  <c r="AC369" i="1"/>
  <c r="AC368" i="1"/>
  <c r="AC367" i="1"/>
  <c r="AC366" i="1"/>
  <c r="AC365" i="1"/>
  <c r="AC364" i="1"/>
  <c r="AC363" i="1"/>
  <c r="AC362" i="1"/>
  <c r="AC361" i="1"/>
  <c r="AC360" i="1"/>
  <c r="AC359" i="1"/>
  <c r="AC358" i="1"/>
  <c r="AC357" i="1"/>
  <c r="AC356" i="1"/>
  <c r="AC355" i="1"/>
  <c r="AC354" i="1"/>
  <c r="AC353" i="1"/>
  <c r="AC352" i="1"/>
  <c r="AC351" i="1"/>
  <c r="AC350" i="1"/>
  <c r="AC349" i="1"/>
  <c r="AC348" i="1"/>
  <c r="AC347" i="1"/>
  <c r="AC346" i="1"/>
  <c r="AC345" i="1"/>
  <c r="AC344" i="1"/>
  <c r="AC343" i="1"/>
  <c r="AC342" i="1"/>
  <c r="AC341" i="1"/>
  <c r="AC340" i="1"/>
  <c r="AC339" i="1"/>
  <c r="AC338" i="1"/>
  <c r="AC337" i="1"/>
  <c r="AC336" i="1"/>
  <c r="AC335" i="1"/>
  <c r="AC334" i="1"/>
  <c r="AC333" i="1"/>
  <c r="AC332" i="1"/>
  <c r="AC331" i="1"/>
  <c r="AC330" i="1"/>
  <c r="AC329" i="1"/>
  <c r="AC328" i="1"/>
  <c r="AC327" i="1"/>
  <c r="AC326" i="1"/>
  <c r="AC325" i="1"/>
  <c r="AC324" i="1"/>
  <c r="AC323" i="1"/>
  <c r="AC322" i="1"/>
  <c r="AC321" i="1"/>
  <c r="AC320" i="1"/>
  <c r="AC319" i="1"/>
  <c r="AC318" i="1"/>
  <c r="AC317" i="1"/>
  <c r="AC316" i="1"/>
  <c r="AC315" i="1"/>
  <c r="AC314" i="1"/>
  <c r="AC313" i="1"/>
  <c r="AC312" i="1"/>
  <c r="AC311" i="1"/>
  <c r="AC310" i="1"/>
  <c r="AC309" i="1"/>
  <c r="AC308" i="1"/>
  <c r="AC307" i="1"/>
  <c r="AC306" i="1"/>
  <c r="AC305" i="1"/>
  <c r="AC304" i="1"/>
  <c r="AC303" i="1"/>
  <c r="AC302" i="1"/>
  <c r="AC301" i="1"/>
  <c r="AC300" i="1"/>
  <c r="AC299" i="1"/>
  <c r="AC298" i="1"/>
  <c r="AC297" i="1"/>
  <c r="AC296" i="1"/>
  <c r="AC295" i="1"/>
  <c r="AC294" i="1"/>
  <c r="AC293" i="1"/>
  <c r="AC292" i="1"/>
  <c r="AC291" i="1"/>
  <c r="AC290" i="1"/>
  <c r="AC289" i="1"/>
  <c r="AC288" i="1"/>
  <c r="AC287" i="1"/>
  <c r="AC286" i="1"/>
  <c r="AC285" i="1"/>
  <c r="AC284" i="1"/>
  <c r="AC283" i="1"/>
  <c r="AC282" i="1"/>
  <c r="AC281" i="1"/>
  <c r="AC280" i="1"/>
  <c r="AC278" i="1"/>
  <c r="AC277" i="1"/>
  <c r="AC276" i="1"/>
  <c r="AC275" i="1"/>
  <c r="AC274" i="1"/>
  <c r="AC273" i="1"/>
  <c r="AC272" i="1"/>
  <c r="AC271" i="1"/>
  <c r="AC270" i="1"/>
  <c r="AC269" i="1"/>
  <c r="AC268" i="1"/>
  <c r="AC267" i="1"/>
  <c r="AC266" i="1"/>
  <c r="AC265" i="1"/>
  <c r="AC264" i="1"/>
  <c r="AC263" i="1"/>
  <c r="AC262" i="1"/>
  <c r="AC261" i="1"/>
  <c r="AC260" i="1"/>
  <c r="AC259" i="1"/>
  <c r="AC258" i="1"/>
  <c r="AC257" i="1"/>
  <c r="AC256" i="1"/>
  <c r="AC255" i="1"/>
  <c r="AC254" i="1"/>
  <c r="AC253" i="1"/>
  <c r="AC252" i="1"/>
  <c r="AC251" i="1"/>
  <c r="AC250" i="1"/>
  <c r="AC249" i="1"/>
  <c r="AC248" i="1"/>
  <c r="AC247" i="1"/>
  <c r="AC246" i="1"/>
  <c r="AC245" i="1"/>
  <c r="AC244" i="1"/>
  <c r="AC243" i="1"/>
  <c r="AC242" i="1"/>
  <c r="AC241" i="1"/>
  <c r="AC240" i="1"/>
  <c r="AC239" i="1"/>
  <c r="AC238" i="1"/>
  <c r="AC237" i="1"/>
  <c r="AC236" i="1"/>
  <c r="AC235" i="1"/>
  <c r="AC234" i="1"/>
  <c r="AC233" i="1"/>
  <c r="AC232" i="1"/>
  <c r="AC231" i="1"/>
  <c r="AC230" i="1"/>
  <c r="AC229" i="1"/>
  <c r="AC228" i="1"/>
  <c r="AC227" i="1"/>
  <c r="AC226" i="1"/>
  <c r="AC225" i="1"/>
  <c r="AC224" i="1"/>
  <c r="AC223" i="1"/>
  <c r="AC222" i="1"/>
  <c r="AC221" i="1"/>
  <c r="AC220" i="1"/>
  <c r="AC219" i="1"/>
  <c r="AC218" i="1"/>
  <c r="AC217" i="1"/>
  <c r="AC216" i="1"/>
  <c r="AC215" i="1"/>
  <c r="AC214" i="1"/>
  <c r="AC213" i="1"/>
  <c r="AC212" i="1"/>
  <c r="AC211" i="1"/>
  <c r="AC210" i="1"/>
  <c r="AC209" i="1"/>
  <c r="AC208" i="1"/>
  <c r="AC207" i="1"/>
  <c r="AC206" i="1"/>
  <c r="AC205" i="1"/>
  <c r="AC204" i="1"/>
  <c r="AC203" i="1"/>
  <c r="AC202" i="1"/>
  <c r="AC201" i="1"/>
  <c r="AC200" i="1"/>
  <c r="AC199" i="1"/>
  <c r="AC198" i="1"/>
  <c r="AC197" i="1"/>
  <c r="AC196" i="1"/>
  <c r="AC195" i="1"/>
  <c r="AC194" i="1"/>
  <c r="AC193" i="1"/>
  <c r="AC192" i="1"/>
  <c r="AC191" i="1"/>
  <c r="AC190" i="1"/>
  <c r="AC189" i="1"/>
  <c r="AC188" i="1"/>
  <c r="AC187" i="1"/>
  <c r="AC186" i="1"/>
  <c r="AC185" i="1"/>
  <c r="AC184" i="1"/>
  <c r="AC183" i="1"/>
  <c r="AC182" i="1"/>
  <c r="AC181" i="1"/>
  <c r="AC180" i="1"/>
  <c r="AC179" i="1"/>
  <c r="AC178" i="1"/>
  <c r="AC177" i="1"/>
  <c r="AC176" i="1"/>
  <c r="AC175" i="1"/>
  <c r="AC174" i="1"/>
  <c r="AC173" i="1"/>
  <c r="AC172" i="1"/>
  <c r="AC171" i="1"/>
  <c r="AC170" i="1"/>
  <c r="AC169" i="1"/>
  <c r="AC168" i="1"/>
  <c r="AC167" i="1"/>
  <c r="AC166" i="1"/>
  <c r="AC165" i="1"/>
  <c r="AC164" i="1"/>
  <c r="AC163" i="1"/>
  <c r="AC162" i="1"/>
  <c r="AC161" i="1"/>
  <c r="AC160" i="1"/>
  <c r="AC159" i="1"/>
  <c r="AC158" i="1"/>
  <c r="AC157" i="1"/>
  <c r="AC156" i="1"/>
  <c r="AC155" i="1"/>
  <c r="AC154" i="1"/>
  <c r="AC153" i="1"/>
  <c r="AC152" i="1"/>
  <c r="AC151" i="1"/>
  <c r="AC150" i="1"/>
  <c r="AC149" i="1"/>
  <c r="AC148" i="1"/>
  <c r="AC147" i="1"/>
  <c r="AC146" i="1"/>
  <c r="AC145" i="1"/>
  <c r="AC144" i="1"/>
  <c r="AC143" i="1"/>
  <c r="AC142" i="1"/>
  <c r="AC141" i="1"/>
  <c r="AC140" i="1"/>
  <c r="AC139" i="1"/>
  <c r="AC138" i="1"/>
  <c r="AC137" i="1"/>
  <c r="AC136" i="1"/>
  <c r="AC135" i="1"/>
  <c r="AC134" i="1"/>
  <c r="AC133" i="1"/>
  <c r="AC132" i="1"/>
  <c r="AC131" i="1"/>
  <c r="AC130" i="1"/>
  <c r="AC129" i="1"/>
  <c r="AC128" i="1"/>
  <c r="AC127" i="1"/>
  <c r="AC126" i="1"/>
  <c r="AC125" i="1"/>
  <c r="AC124" i="1"/>
  <c r="AC123" i="1"/>
  <c r="AC122" i="1"/>
  <c r="AC121" i="1"/>
  <c r="AC120" i="1"/>
  <c r="AC119" i="1"/>
  <c r="AC118" i="1"/>
  <c r="AC117" i="1"/>
  <c r="AC116" i="1"/>
  <c r="AC115" i="1"/>
  <c r="AC114" i="1"/>
  <c r="AC113" i="1"/>
  <c r="AC112" i="1"/>
  <c r="AC111" i="1"/>
  <c r="AC110" i="1"/>
  <c r="AC109" i="1"/>
  <c r="AC108" i="1"/>
  <c r="AC107" i="1"/>
  <c r="AC106" i="1"/>
  <c r="AC105" i="1"/>
  <c r="AC104" i="1"/>
  <c r="AC103" i="1"/>
  <c r="AC102" i="1"/>
  <c r="AC101" i="1"/>
  <c r="AC100" i="1"/>
  <c r="AC99" i="1"/>
  <c r="AC98" i="1"/>
  <c r="AC97" i="1"/>
  <c r="AC96" i="1"/>
  <c r="AC95" i="1"/>
  <c r="AC94" i="1"/>
  <c r="AC93" i="1"/>
  <c r="AC92" i="1"/>
  <c r="AC91" i="1"/>
  <c r="AC90" i="1"/>
  <c r="AC89" i="1"/>
  <c r="AC88" i="1"/>
  <c r="AC87" i="1"/>
  <c r="AC86" i="1"/>
  <c r="AC85" i="1"/>
  <c r="AC84" i="1"/>
  <c r="AC83" i="1"/>
  <c r="AC82" i="1"/>
  <c r="AC81" i="1"/>
  <c r="AC80" i="1"/>
  <c r="AC79" i="1"/>
  <c r="AC78" i="1"/>
  <c r="AC77" i="1"/>
  <c r="AC76" i="1"/>
  <c r="AC75" i="1"/>
  <c r="AC74" i="1"/>
  <c r="AC73" i="1"/>
  <c r="AC72" i="1"/>
  <c r="AC71" i="1"/>
  <c r="AC70" i="1"/>
  <c r="AC69" i="1"/>
  <c r="AC68" i="1"/>
  <c r="AC67" i="1"/>
  <c r="AC66" i="1"/>
  <c r="AC65" i="1"/>
  <c r="AC64" i="1"/>
  <c r="AC63" i="1"/>
  <c r="AC62" i="1"/>
  <c r="AC61" i="1"/>
  <c r="AC60" i="1"/>
  <c r="AC59" i="1"/>
  <c r="AC58" i="1"/>
  <c r="AC57" i="1"/>
  <c r="AC56" i="1"/>
  <c r="AC55" i="1"/>
  <c r="AC54" i="1"/>
  <c r="AC53" i="1"/>
  <c r="AC52" i="1"/>
  <c r="AC51" i="1"/>
  <c r="AC50" i="1"/>
  <c r="AC49" i="1"/>
  <c r="AC48" i="1"/>
  <c r="AC47" i="1"/>
  <c r="AC46" i="1"/>
  <c r="AC45" i="1"/>
  <c r="AC44" i="1"/>
  <c r="AC43" i="1"/>
  <c r="AC42" i="1"/>
  <c r="AC41" i="1"/>
  <c r="AC40" i="1"/>
  <c r="AC39" i="1"/>
  <c r="AC38" i="1"/>
  <c r="AC37" i="1"/>
  <c r="AC36" i="1"/>
  <c r="AC35" i="1"/>
  <c r="AC34" i="1"/>
  <c r="AC33" i="1"/>
  <c r="AC32" i="1"/>
  <c r="AC31" i="1"/>
  <c r="AC30" i="1"/>
  <c r="AC29" i="1"/>
  <c r="AC28" i="1"/>
  <c r="AC27" i="1"/>
  <c r="AC26" i="1"/>
  <c r="AC25" i="1"/>
  <c r="AC24" i="1"/>
  <c r="AC23" i="1"/>
  <c r="AC22" i="1"/>
  <c r="AC21" i="1"/>
  <c r="AC20" i="1"/>
  <c r="AC19" i="1"/>
  <c r="AC18" i="1"/>
  <c r="AC17" i="1"/>
  <c r="AC16" i="1"/>
  <c r="AC15" i="1"/>
  <c r="AC14" i="1"/>
  <c r="AC13" i="1"/>
  <c r="AC12" i="1"/>
  <c r="AC11" i="1"/>
  <c r="AC10" i="1"/>
  <c r="AC9" i="1"/>
  <c r="AC8" i="1"/>
  <c r="AC7" i="1"/>
  <c r="AC6" i="1"/>
  <c r="AC5" i="1"/>
  <c r="AC4" i="1"/>
  <c r="AC3" i="1"/>
  <c r="T1191" i="1"/>
  <c r="R1191" i="1"/>
  <c r="S1191" i="1" s="1"/>
  <c r="D40" i="52" s="1"/>
  <c r="T1190" i="1"/>
  <c r="R1190" i="1"/>
  <c r="S1190" i="1" s="1"/>
  <c r="C40" i="52" s="1"/>
  <c r="T1189" i="1"/>
  <c r="R1189" i="1"/>
  <c r="S1189" i="1" s="1"/>
  <c r="T1188" i="1"/>
  <c r="R1188" i="1"/>
  <c r="S1188" i="1" s="1"/>
  <c r="T1187" i="1"/>
  <c r="R1187" i="1"/>
  <c r="S1187" i="1" s="1"/>
  <c r="T1186" i="1"/>
  <c r="R1186" i="1"/>
  <c r="S1186" i="1" s="1"/>
  <c r="T1185" i="1"/>
  <c r="R1185" i="1"/>
  <c r="S1185" i="1" s="1"/>
  <c r="T1184" i="1"/>
  <c r="R1184" i="1"/>
  <c r="S1184" i="1" s="1"/>
  <c r="T1182" i="1"/>
  <c r="R1182" i="1"/>
  <c r="S1182" i="1" s="1"/>
  <c r="T1181" i="1"/>
  <c r="R1181" i="1"/>
  <c r="S1181" i="1" s="1"/>
  <c r="D12" i="52" s="1"/>
  <c r="T1180" i="1"/>
  <c r="R1180" i="1"/>
  <c r="S1180" i="1" s="1"/>
  <c r="T1179" i="1"/>
  <c r="R1179" i="1"/>
  <c r="S1179" i="1" s="1"/>
  <c r="T1178" i="1"/>
  <c r="R1178" i="1"/>
  <c r="S1178" i="1" s="1"/>
  <c r="T1177" i="1"/>
  <c r="R1177" i="1"/>
  <c r="S1177" i="1" s="1"/>
  <c r="T1176" i="1"/>
  <c r="R1176" i="1"/>
  <c r="S1176" i="1" s="1"/>
  <c r="T1175" i="1"/>
  <c r="R1175" i="1"/>
  <c r="S1175" i="1" s="1"/>
  <c r="T1174" i="1"/>
  <c r="T1173" i="1"/>
  <c r="R1173" i="1"/>
  <c r="S1173" i="1" s="1"/>
  <c r="T1171" i="1"/>
  <c r="R1171" i="1"/>
  <c r="S1171" i="1" s="1"/>
  <c r="T1170" i="1"/>
  <c r="R1170" i="1"/>
  <c r="S1170" i="1" s="1"/>
  <c r="T1169" i="1"/>
  <c r="R1169" i="1"/>
  <c r="S1169" i="1" s="1"/>
  <c r="C39" i="52" s="1"/>
  <c r="T1168" i="1"/>
  <c r="R1168" i="1"/>
  <c r="S1168" i="1" s="1"/>
  <c r="T1167" i="1"/>
  <c r="R1167" i="1"/>
  <c r="S1167" i="1" s="1"/>
  <c r="F39" i="52" s="1"/>
  <c r="T1162" i="1"/>
  <c r="R1162" i="1"/>
  <c r="S1162" i="1" s="1"/>
  <c r="T1161" i="1"/>
  <c r="R1161" i="1"/>
  <c r="S1161" i="1" s="1"/>
  <c r="T1160" i="1"/>
  <c r="R1160" i="1"/>
  <c r="S1160" i="1" s="1"/>
  <c r="T1159" i="1"/>
  <c r="R1159" i="1"/>
  <c r="S1159" i="1" s="1"/>
  <c r="T1158" i="1"/>
  <c r="R1158" i="1"/>
  <c r="S1158" i="1" s="1"/>
  <c r="T1157" i="1"/>
  <c r="R1157" i="1"/>
  <c r="S1157" i="1" s="1"/>
  <c r="T1156" i="1"/>
  <c r="R1156" i="1"/>
  <c r="S1156" i="1" s="1"/>
  <c r="T1155" i="1"/>
  <c r="R1155" i="1"/>
  <c r="S1155" i="1" s="1"/>
  <c r="T1154" i="1"/>
  <c r="R1154" i="1"/>
  <c r="S1154" i="1" s="1"/>
  <c r="T1153" i="1"/>
  <c r="R1153" i="1"/>
  <c r="S1153" i="1" s="1"/>
  <c r="T1152" i="1"/>
  <c r="R1152" i="1"/>
  <c r="S1152" i="1" s="1"/>
  <c r="T1151" i="1"/>
  <c r="R1151" i="1"/>
  <c r="S1151" i="1" s="1"/>
  <c r="T1150" i="1"/>
  <c r="R1150" i="1"/>
  <c r="S1150" i="1" s="1"/>
  <c r="T1149" i="1"/>
  <c r="R1149" i="1"/>
  <c r="S1149" i="1" s="1"/>
  <c r="T1148" i="1"/>
  <c r="R1148" i="1"/>
  <c r="S1148" i="1" s="1"/>
  <c r="T1147" i="1"/>
  <c r="R1147" i="1"/>
  <c r="S1147" i="1" s="1"/>
  <c r="T1146" i="1"/>
  <c r="R1146" i="1"/>
  <c r="S1146" i="1" s="1"/>
  <c r="T1145" i="1"/>
  <c r="R1145" i="1"/>
  <c r="S1145" i="1" s="1"/>
  <c r="T1144" i="1"/>
  <c r="R1144" i="1"/>
  <c r="S1144" i="1" s="1"/>
  <c r="T1143" i="1"/>
  <c r="R1143" i="1"/>
  <c r="S1143" i="1" s="1"/>
  <c r="T1142" i="1"/>
  <c r="R1142" i="1"/>
  <c r="S1142" i="1" s="1"/>
  <c r="T1141" i="1"/>
  <c r="R1141" i="1"/>
  <c r="S1141" i="1" s="1"/>
  <c r="T1140" i="1"/>
  <c r="R1140" i="1"/>
  <c r="S1140" i="1" s="1"/>
  <c r="T1139" i="1"/>
  <c r="R1139" i="1"/>
  <c r="S1139" i="1" s="1"/>
  <c r="T1138" i="1"/>
  <c r="R1138" i="1"/>
  <c r="S1138" i="1" s="1"/>
  <c r="T1137" i="1"/>
  <c r="R1137" i="1"/>
  <c r="S1137" i="1" s="1"/>
  <c r="T1136" i="1"/>
  <c r="R1136" i="1"/>
  <c r="S1136" i="1" s="1"/>
  <c r="T1135" i="1"/>
  <c r="R1135" i="1"/>
  <c r="S1135" i="1" s="1"/>
  <c r="T1134" i="1"/>
  <c r="R1134" i="1"/>
  <c r="S1134" i="1" s="1"/>
  <c r="T1133" i="1"/>
  <c r="R1133" i="1"/>
  <c r="S1133" i="1" s="1"/>
  <c r="T1132" i="1"/>
  <c r="R1132" i="1"/>
  <c r="S1132" i="1" s="1"/>
  <c r="T1131" i="1"/>
  <c r="R1131" i="1"/>
  <c r="S1131" i="1" s="1"/>
  <c r="T1130" i="1"/>
  <c r="R1130" i="1"/>
  <c r="S1130" i="1" s="1"/>
  <c r="T1129" i="1"/>
  <c r="R1129" i="1"/>
  <c r="S1129" i="1" s="1"/>
  <c r="T1128" i="1"/>
  <c r="R1128" i="1"/>
  <c r="S1128" i="1" s="1"/>
  <c r="T1127" i="1"/>
  <c r="R1127" i="1"/>
  <c r="S1127" i="1" s="1"/>
  <c r="T1090" i="1"/>
  <c r="R1090" i="1"/>
  <c r="S1090" i="1" s="1"/>
  <c r="T1089" i="1"/>
  <c r="R1089" i="1"/>
  <c r="S1089" i="1" s="1"/>
  <c r="T1088" i="1"/>
  <c r="R1088" i="1"/>
  <c r="S1088" i="1" s="1"/>
  <c r="T1087" i="1"/>
  <c r="R1087" i="1"/>
  <c r="S1087" i="1" s="1"/>
  <c r="T1086" i="1"/>
  <c r="R1086" i="1"/>
  <c r="S1086" i="1" s="1"/>
  <c r="T1085" i="1"/>
  <c r="R1085" i="1"/>
  <c r="S1085" i="1" s="1"/>
  <c r="T1084" i="1"/>
  <c r="R1084" i="1"/>
  <c r="S1084" i="1" s="1"/>
  <c r="T1083" i="1"/>
  <c r="R1083" i="1"/>
  <c r="S1083" i="1" s="1"/>
  <c r="T1082" i="1"/>
  <c r="R1082" i="1"/>
  <c r="S1082" i="1" s="1"/>
  <c r="T1081" i="1"/>
  <c r="R1081" i="1"/>
  <c r="S1081" i="1" s="1"/>
  <c r="T1080" i="1"/>
  <c r="R1080" i="1"/>
  <c r="S1080" i="1" s="1"/>
  <c r="T1079" i="1"/>
  <c r="R1079" i="1"/>
  <c r="S1079" i="1" s="1"/>
  <c r="T1078" i="1"/>
  <c r="R1078" i="1"/>
  <c r="S1078" i="1" s="1"/>
  <c r="T1077" i="1"/>
  <c r="R1077" i="1"/>
  <c r="S1077" i="1" s="1"/>
  <c r="R1076" i="1"/>
  <c r="S1076" i="1" s="1"/>
  <c r="T1075" i="1"/>
  <c r="R1075" i="1"/>
  <c r="S1075" i="1" s="1"/>
  <c r="T1074" i="1"/>
  <c r="R1074" i="1"/>
  <c r="S1074" i="1" s="1"/>
  <c r="T1073" i="1"/>
  <c r="R1073" i="1"/>
  <c r="S1073" i="1" s="1"/>
  <c r="T1072" i="1"/>
  <c r="R1072" i="1"/>
  <c r="S1072" i="1" s="1"/>
  <c r="T1071" i="1"/>
  <c r="R1071" i="1"/>
  <c r="S1071" i="1" s="1"/>
  <c r="T1070" i="1"/>
  <c r="R1070" i="1"/>
  <c r="S1070" i="1" s="1"/>
  <c r="T1069" i="1"/>
  <c r="R1069" i="1"/>
  <c r="S1069" i="1" s="1"/>
  <c r="T1068" i="1"/>
  <c r="R1068" i="1"/>
  <c r="S1068" i="1" s="1"/>
  <c r="T1067" i="1"/>
  <c r="R1067" i="1"/>
  <c r="S1067" i="1" s="1"/>
  <c r="T1066" i="1"/>
  <c r="R1066" i="1"/>
  <c r="S1066" i="1" s="1"/>
  <c r="T1065" i="1"/>
  <c r="R1065" i="1"/>
  <c r="S1065" i="1" s="1"/>
  <c r="T920" i="1"/>
  <c r="R920" i="1"/>
  <c r="S920" i="1" s="1"/>
  <c r="T919" i="1"/>
  <c r="R919" i="1"/>
  <c r="S919" i="1" s="1"/>
  <c r="T918" i="1"/>
  <c r="R918" i="1"/>
  <c r="S918" i="1" s="1"/>
  <c r="T915" i="1"/>
  <c r="R915" i="1"/>
  <c r="S915" i="1" s="1"/>
  <c r="T914" i="1"/>
  <c r="R914" i="1"/>
  <c r="S914" i="1" s="1"/>
  <c r="T913" i="1"/>
  <c r="R913" i="1"/>
  <c r="S913" i="1" s="1"/>
  <c r="T912" i="1"/>
  <c r="R912" i="1"/>
  <c r="S912" i="1" s="1"/>
  <c r="T911" i="1"/>
  <c r="R911" i="1"/>
  <c r="S911" i="1" s="1"/>
  <c r="T910" i="1"/>
  <c r="R910" i="1"/>
  <c r="S910" i="1" s="1"/>
  <c r="T909" i="1"/>
  <c r="R909" i="1"/>
  <c r="S909" i="1" s="1"/>
  <c r="T908" i="1"/>
  <c r="R908" i="1"/>
  <c r="S908" i="1" s="1"/>
  <c r="T907" i="1"/>
  <c r="R907" i="1"/>
  <c r="S907" i="1" s="1"/>
  <c r="T906" i="1"/>
  <c r="R906" i="1"/>
  <c r="S906" i="1" s="1"/>
  <c r="T905" i="1"/>
  <c r="R905" i="1"/>
  <c r="S905" i="1" s="1"/>
  <c r="T904" i="1"/>
  <c r="R904" i="1"/>
  <c r="S904" i="1" s="1"/>
  <c r="T903" i="1"/>
  <c r="R903" i="1"/>
  <c r="S903" i="1" s="1"/>
  <c r="C38" i="52" s="1"/>
  <c r="T902" i="1"/>
  <c r="R902" i="1"/>
  <c r="S902" i="1" s="1"/>
  <c r="T901" i="1"/>
  <c r="R901" i="1"/>
  <c r="S901" i="1" s="1"/>
  <c r="T900" i="1"/>
  <c r="T899" i="1"/>
  <c r="R899" i="1"/>
  <c r="S899" i="1" s="1"/>
  <c r="T898" i="1"/>
  <c r="R898" i="1"/>
  <c r="S898" i="1" s="1"/>
  <c r="T897" i="1"/>
  <c r="R897" i="1"/>
  <c r="S897" i="1" s="1"/>
  <c r="T896" i="1"/>
  <c r="R896" i="1"/>
  <c r="S896" i="1" s="1"/>
  <c r="T895" i="1"/>
  <c r="T894" i="1"/>
  <c r="T893" i="1"/>
  <c r="R893" i="1"/>
  <c r="S893" i="1" s="1"/>
  <c r="T892" i="1"/>
  <c r="R892" i="1"/>
  <c r="S892" i="1" s="1"/>
  <c r="T891" i="1"/>
  <c r="R891" i="1"/>
  <c r="S891" i="1" s="1"/>
  <c r="T890" i="1"/>
  <c r="R890" i="1"/>
  <c r="S890" i="1" s="1"/>
  <c r="T889" i="1"/>
  <c r="R889" i="1"/>
  <c r="S889" i="1" s="1"/>
  <c r="T888" i="1"/>
  <c r="R888" i="1"/>
  <c r="S888" i="1" s="1"/>
  <c r="T887" i="1"/>
  <c r="R887" i="1"/>
  <c r="S887" i="1" s="1"/>
  <c r="T886" i="1"/>
  <c r="R886" i="1"/>
  <c r="S886" i="1" s="1"/>
  <c r="T885" i="1"/>
  <c r="R885" i="1"/>
  <c r="S885" i="1" s="1"/>
  <c r="T884" i="1"/>
  <c r="R884" i="1"/>
  <c r="S884" i="1" s="1"/>
  <c r="T883" i="1"/>
  <c r="R883" i="1"/>
  <c r="S883" i="1" s="1"/>
  <c r="T882" i="1"/>
  <c r="R882" i="1"/>
  <c r="S882" i="1" s="1"/>
  <c r="T881" i="1"/>
  <c r="R881" i="1"/>
  <c r="S881" i="1" s="1"/>
  <c r="T880" i="1"/>
  <c r="R880" i="1"/>
  <c r="S880" i="1" s="1"/>
  <c r="T879" i="1"/>
  <c r="R879" i="1"/>
  <c r="S879" i="1" s="1"/>
  <c r="T878" i="1"/>
  <c r="R878" i="1"/>
  <c r="S878" i="1" s="1"/>
  <c r="T877" i="1"/>
  <c r="R877" i="1"/>
  <c r="S877" i="1" s="1"/>
  <c r="T876" i="1"/>
  <c r="R876" i="1"/>
  <c r="S876" i="1" s="1"/>
  <c r="R875" i="1"/>
  <c r="S875" i="1" s="1"/>
  <c r="T873" i="1"/>
  <c r="R873" i="1"/>
  <c r="S873" i="1" s="1"/>
  <c r="T872" i="1"/>
  <c r="R872" i="1"/>
  <c r="S872" i="1" s="1"/>
  <c r="T871" i="1"/>
  <c r="R871" i="1"/>
  <c r="S871" i="1" s="1"/>
  <c r="T869" i="1"/>
  <c r="R869" i="1"/>
  <c r="S869" i="1" s="1"/>
  <c r="T868" i="1"/>
  <c r="R868" i="1"/>
  <c r="S868" i="1" s="1"/>
  <c r="T867" i="1"/>
  <c r="R867" i="1"/>
  <c r="S867" i="1" s="1"/>
  <c r="T866" i="1"/>
  <c r="R866" i="1"/>
  <c r="S866" i="1" s="1"/>
  <c r="T865" i="1"/>
  <c r="R865" i="1"/>
  <c r="S865" i="1" s="1"/>
  <c r="T864" i="1"/>
  <c r="R864" i="1"/>
  <c r="S864" i="1" s="1"/>
  <c r="R863" i="1"/>
  <c r="S863" i="1" s="1"/>
  <c r="T863" i="1" s="1"/>
  <c r="T862" i="1"/>
  <c r="R862" i="1"/>
  <c r="S862" i="1" s="1"/>
  <c r="T860" i="1"/>
  <c r="T859" i="1"/>
  <c r="T856" i="1"/>
  <c r="R856" i="1"/>
  <c r="S856" i="1" s="1"/>
  <c r="T854" i="1"/>
  <c r="R854" i="1"/>
  <c r="S854" i="1" s="1"/>
  <c r="T853" i="1"/>
  <c r="R853" i="1"/>
  <c r="S853" i="1" s="1"/>
  <c r="T852" i="1"/>
  <c r="R852" i="1"/>
  <c r="S852" i="1" s="1"/>
  <c r="T851" i="1"/>
  <c r="R851" i="1"/>
  <c r="S851" i="1" s="1"/>
  <c r="T850" i="1"/>
  <c r="R850" i="1"/>
  <c r="S850" i="1" s="1"/>
  <c r="T849" i="1"/>
  <c r="R849" i="1"/>
  <c r="S849" i="1" s="1"/>
  <c r="T848" i="1"/>
  <c r="R848" i="1"/>
  <c r="S848" i="1" s="1"/>
  <c r="T847" i="1"/>
  <c r="R847" i="1"/>
  <c r="S847" i="1" s="1"/>
  <c r="T846" i="1"/>
  <c r="R846" i="1"/>
  <c r="S846" i="1" s="1"/>
  <c r="T845" i="1"/>
  <c r="R845" i="1"/>
  <c r="S845" i="1" s="1"/>
  <c r="T844" i="1"/>
  <c r="R844" i="1"/>
  <c r="S844" i="1" s="1"/>
  <c r="T843" i="1"/>
  <c r="R843" i="1"/>
  <c r="S843" i="1" s="1"/>
  <c r="T842" i="1"/>
  <c r="R842" i="1"/>
  <c r="S842" i="1" s="1"/>
  <c r="T841" i="1"/>
  <c r="R841" i="1"/>
  <c r="S841" i="1" s="1"/>
  <c r="T840" i="1"/>
  <c r="R840" i="1"/>
  <c r="S840" i="1" s="1"/>
  <c r="T839" i="1"/>
  <c r="T838" i="1"/>
  <c r="T837" i="1"/>
  <c r="R837" i="1"/>
  <c r="S837" i="1" s="1"/>
  <c r="T836" i="1"/>
  <c r="R836" i="1"/>
  <c r="S836" i="1" s="1"/>
  <c r="T835" i="1"/>
  <c r="R835" i="1"/>
  <c r="S835" i="1" s="1"/>
  <c r="T834" i="1"/>
  <c r="R834" i="1"/>
  <c r="S834" i="1" s="1"/>
  <c r="T833" i="1"/>
  <c r="T831" i="1"/>
  <c r="T830" i="1"/>
  <c r="R830" i="1"/>
  <c r="S830" i="1" s="1"/>
  <c r="T829" i="1"/>
  <c r="R829" i="1"/>
  <c r="S829" i="1" s="1"/>
  <c r="T828" i="1"/>
  <c r="R828" i="1"/>
  <c r="S828" i="1" s="1"/>
  <c r="T827" i="1"/>
  <c r="R827" i="1"/>
  <c r="S827" i="1" s="1"/>
  <c r="T826" i="1"/>
  <c r="R826" i="1"/>
  <c r="S826" i="1" s="1"/>
  <c r="R825" i="1"/>
  <c r="S825" i="1" s="1"/>
  <c r="T825" i="1" s="1"/>
  <c r="T824" i="1"/>
  <c r="R824" i="1"/>
  <c r="S824" i="1" s="1"/>
  <c r="T823" i="1"/>
  <c r="R823" i="1"/>
  <c r="S823" i="1" s="1"/>
  <c r="T822" i="1"/>
  <c r="R822" i="1"/>
  <c r="S822" i="1" s="1"/>
  <c r="T821" i="1"/>
  <c r="R821" i="1"/>
  <c r="S821" i="1" s="1"/>
  <c r="T820" i="1"/>
  <c r="R820" i="1"/>
  <c r="S820" i="1" s="1"/>
  <c r="T819" i="1"/>
  <c r="R819" i="1"/>
  <c r="S819" i="1" s="1"/>
  <c r="T818" i="1"/>
  <c r="R818" i="1"/>
  <c r="S818" i="1" s="1"/>
  <c r="T817" i="1"/>
  <c r="R817" i="1"/>
  <c r="S817" i="1" s="1"/>
  <c r="T816" i="1"/>
  <c r="R816" i="1"/>
  <c r="S816" i="1" s="1"/>
  <c r="T815" i="1"/>
  <c r="R815" i="1"/>
  <c r="S815" i="1" s="1"/>
  <c r="T814" i="1"/>
  <c r="R814" i="1"/>
  <c r="S814" i="1" s="1"/>
  <c r="T813" i="1"/>
  <c r="R813" i="1"/>
  <c r="S813" i="1" s="1"/>
  <c r="T812" i="1"/>
  <c r="R812" i="1"/>
  <c r="S812" i="1" s="1"/>
  <c r="T810" i="1"/>
  <c r="R810" i="1"/>
  <c r="S810" i="1" s="1"/>
  <c r="T809" i="1"/>
  <c r="R809" i="1"/>
  <c r="S809" i="1" s="1"/>
  <c r="T808" i="1"/>
  <c r="R808" i="1"/>
  <c r="S808" i="1" s="1"/>
  <c r="T807" i="1"/>
  <c r="R807" i="1"/>
  <c r="S807" i="1" s="1"/>
  <c r="R806" i="1"/>
  <c r="S806" i="1" s="1"/>
  <c r="T806" i="1" s="1"/>
  <c r="T805" i="1"/>
  <c r="R805" i="1"/>
  <c r="S805" i="1" s="1"/>
  <c r="T804" i="1"/>
  <c r="T803" i="1"/>
  <c r="R803" i="1"/>
  <c r="S803" i="1" s="1"/>
  <c r="T802" i="1"/>
  <c r="R802" i="1"/>
  <c r="S802" i="1" s="1"/>
  <c r="T801" i="1"/>
  <c r="R801" i="1"/>
  <c r="S801" i="1" s="1"/>
  <c r="T800" i="1"/>
  <c r="R799" i="1"/>
  <c r="S799" i="1" s="1"/>
  <c r="R798" i="1"/>
  <c r="S798" i="1" s="1"/>
  <c r="T798" i="1" s="1"/>
  <c r="T797" i="1"/>
  <c r="R797" i="1"/>
  <c r="S797" i="1" s="1"/>
  <c r="T796" i="1"/>
  <c r="R796" i="1"/>
  <c r="S796" i="1" s="1"/>
  <c r="T795" i="1"/>
  <c r="T794" i="1"/>
  <c r="R794" i="1"/>
  <c r="S794" i="1" s="1"/>
  <c r="T793" i="1"/>
  <c r="R793" i="1"/>
  <c r="S793" i="1" s="1"/>
  <c r="T791" i="1"/>
  <c r="R791" i="1"/>
  <c r="S791" i="1" s="1"/>
  <c r="T790" i="1"/>
  <c r="R790" i="1"/>
  <c r="S790" i="1" s="1"/>
  <c r="T789" i="1"/>
  <c r="R789" i="1"/>
  <c r="S789" i="1" s="1"/>
  <c r="T788" i="1"/>
  <c r="R788" i="1"/>
  <c r="S788" i="1" s="1"/>
  <c r="T786" i="1"/>
  <c r="R786" i="1"/>
  <c r="S786" i="1" s="1"/>
  <c r="T785" i="1"/>
  <c r="R785" i="1"/>
  <c r="S785" i="1" s="1"/>
  <c r="T784" i="1"/>
  <c r="R784" i="1"/>
  <c r="S784" i="1" s="1"/>
  <c r="T783" i="1"/>
  <c r="R783" i="1"/>
  <c r="S783" i="1" s="1"/>
  <c r="T781" i="1"/>
  <c r="T780" i="1"/>
  <c r="T779" i="1"/>
  <c r="R779" i="1"/>
  <c r="S779" i="1" s="1"/>
  <c r="T778" i="1"/>
  <c r="R778" i="1"/>
  <c r="S778" i="1" s="1"/>
  <c r="T775" i="1"/>
  <c r="T774" i="1"/>
  <c r="R774" i="1"/>
  <c r="S774" i="1" s="1"/>
  <c r="T773" i="1"/>
  <c r="R773" i="1"/>
  <c r="S773" i="1" s="1"/>
  <c r="T771" i="1"/>
  <c r="R771" i="1"/>
  <c r="S771" i="1" s="1"/>
  <c r="T770" i="1"/>
  <c r="T769" i="1"/>
  <c r="R769" i="1"/>
  <c r="S769" i="1" s="1"/>
  <c r="T768" i="1"/>
  <c r="R768" i="1"/>
  <c r="S768" i="1" s="1"/>
  <c r="T767" i="1"/>
  <c r="R767" i="1"/>
  <c r="S767" i="1" s="1"/>
  <c r="T766" i="1"/>
  <c r="T765" i="1"/>
  <c r="R765" i="1"/>
  <c r="S765" i="1" s="1"/>
  <c r="T764" i="1"/>
  <c r="T763" i="1"/>
  <c r="T761" i="1"/>
  <c r="R761" i="1"/>
  <c r="S761" i="1" s="1"/>
  <c r="R760" i="1"/>
  <c r="S760" i="1" s="1"/>
  <c r="T760" i="1" s="1"/>
  <c r="T759" i="1"/>
  <c r="R759" i="1"/>
  <c r="S759" i="1" s="1"/>
  <c r="T758" i="1"/>
  <c r="R758" i="1"/>
  <c r="S758" i="1" s="1"/>
  <c r="T757" i="1"/>
  <c r="R757" i="1"/>
  <c r="S757" i="1" s="1"/>
  <c r="T756" i="1"/>
  <c r="R756" i="1"/>
  <c r="S756" i="1" s="1"/>
  <c r="T755" i="1"/>
  <c r="R755" i="1"/>
  <c r="S755" i="1" s="1"/>
  <c r="T754" i="1"/>
  <c r="R754" i="1"/>
  <c r="S754" i="1" s="1"/>
  <c r="T753" i="1"/>
  <c r="R753" i="1"/>
  <c r="S753" i="1" s="1"/>
  <c r="T752" i="1"/>
  <c r="T751" i="1"/>
  <c r="R751" i="1"/>
  <c r="S751" i="1" s="1"/>
  <c r="D33" i="52" s="1"/>
  <c r="T750" i="1"/>
  <c r="R750" i="1"/>
  <c r="S750" i="1" s="1"/>
  <c r="T749" i="1"/>
  <c r="R749" i="1"/>
  <c r="S749" i="1" s="1"/>
  <c r="T748" i="1"/>
  <c r="R748" i="1"/>
  <c r="S748" i="1" s="1"/>
  <c r="T747" i="1"/>
  <c r="R747" i="1"/>
  <c r="S747" i="1" s="1"/>
  <c r="T746" i="1"/>
  <c r="R746" i="1"/>
  <c r="S746" i="1" s="1"/>
  <c r="T745" i="1"/>
  <c r="R745" i="1"/>
  <c r="S745" i="1" s="1"/>
  <c r="T744" i="1"/>
  <c r="T743" i="1"/>
  <c r="R743" i="1"/>
  <c r="S743" i="1" s="1"/>
  <c r="T742" i="1"/>
  <c r="R742" i="1"/>
  <c r="S742" i="1" s="1"/>
  <c r="R740" i="1"/>
  <c r="S740" i="1" s="1"/>
  <c r="T740" i="1" s="1"/>
  <c r="T739" i="1"/>
  <c r="T738" i="1"/>
  <c r="R738" i="1"/>
  <c r="S738" i="1" s="1"/>
  <c r="T737" i="1"/>
  <c r="R737" i="1"/>
  <c r="S737" i="1" s="1"/>
  <c r="T736" i="1"/>
  <c r="R736" i="1"/>
  <c r="S736" i="1" s="1"/>
  <c r="R735" i="1"/>
  <c r="S735" i="1" s="1"/>
  <c r="T735" i="1" s="1"/>
  <c r="T734" i="1"/>
  <c r="R734" i="1"/>
  <c r="S734" i="1" s="1"/>
  <c r="T733" i="1"/>
  <c r="R733" i="1"/>
  <c r="S733" i="1" s="1"/>
  <c r="T732" i="1"/>
  <c r="T731" i="1"/>
  <c r="R731" i="1"/>
  <c r="S731" i="1" s="1"/>
  <c r="T730" i="1"/>
  <c r="R730" i="1"/>
  <c r="S730" i="1" s="1"/>
  <c r="T729" i="1"/>
  <c r="T728" i="1"/>
  <c r="R728" i="1"/>
  <c r="S728" i="1" s="1"/>
  <c r="T727" i="1"/>
  <c r="R727" i="1"/>
  <c r="S727" i="1" s="1"/>
  <c r="T726" i="1"/>
  <c r="R726" i="1"/>
  <c r="S726" i="1" s="1"/>
  <c r="T725" i="1"/>
  <c r="R725" i="1"/>
  <c r="S725" i="1" s="1"/>
  <c r="T724" i="1"/>
  <c r="T723" i="1"/>
  <c r="R723" i="1"/>
  <c r="S723" i="1" s="1"/>
  <c r="T722" i="1"/>
  <c r="R722" i="1"/>
  <c r="S722" i="1" s="1"/>
  <c r="T721" i="1"/>
  <c r="R721" i="1"/>
  <c r="S721" i="1" s="1"/>
  <c r="T720" i="1"/>
  <c r="R720" i="1"/>
  <c r="S720" i="1" s="1"/>
  <c r="T719" i="1"/>
  <c r="R719" i="1"/>
  <c r="S719" i="1" s="1"/>
  <c r="T718" i="1"/>
  <c r="R718" i="1"/>
  <c r="S718" i="1" s="1"/>
  <c r="T717" i="1"/>
  <c r="R717" i="1"/>
  <c r="S717" i="1" s="1"/>
  <c r="T716" i="1"/>
  <c r="R716" i="1"/>
  <c r="S716" i="1" s="1"/>
  <c r="T715" i="1"/>
  <c r="R715" i="1"/>
  <c r="S715" i="1" s="1"/>
  <c r="T714" i="1"/>
  <c r="R714" i="1"/>
  <c r="S714" i="1" s="1"/>
  <c r="T713" i="1"/>
  <c r="R713" i="1"/>
  <c r="S713" i="1" s="1"/>
  <c r="D29" i="52" s="1"/>
  <c r="T712" i="1"/>
  <c r="T711" i="1"/>
  <c r="R711" i="1"/>
  <c r="S711" i="1" s="1"/>
  <c r="T710" i="1"/>
  <c r="T709" i="1"/>
  <c r="T708" i="1"/>
  <c r="T707" i="1"/>
  <c r="R707" i="1"/>
  <c r="S707" i="1" s="1"/>
  <c r="T706" i="1"/>
  <c r="R706" i="1"/>
  <c r="S706" i="1" s="1"/>
  <c r="T705" i="1"/>
  <c r="R705" i="1"/>
  <c r="S705" i="1" s="1"/>
  <c r="T704" i="1"/>
  <c r="R704" i="1"/>
  <c r="S704" i="1" s="1"/>
  <c r="T703" i="1"/>
  <c r="R703" i="1"/>
  <c r="S703" i="1" s="1"/>
  <c r="T702" i="1"/>
  <c r="R702" i="1"/>
  <c r="S702" i="1" s="1"/>
  <c r="T701" i="1"/>
  <c r="T700" i="1"/>
  <c r="T699" i="1"/>
  <c r="R699" i="1"/>
  <c r="S699" i="1" s="1"/>
  <c r="T698" i="1"/>
  <c r="R698" i="1"/>
  <c r="S698" i="1" s="1"/>
  <c r="T697" i="1"/>
  <c r="R697" i="1"/>
  <c r="S697" i="1" s="1"/>
  <c r="D28" i="52" s="1"/>
  <c r="T696" i="1"/>
  <c r="R696" i="1"/>
  <c r="S696" i="1" s="1"/>
  <c r="E28" i="52" s="1"/>
  <c r="T694" i="1"/>
  <c r="T693" i="1"/>
  <c r="R693" i="1"/>
  <c r="S693" i="1" s="1"/>
  <c r="T692" i="1"/>
  <c r="R692" i="1"/>
  <c r="S692" i="1" s="1"/>
  <c r="T691" i="1"/>
  <c r="R691" i="1"/>
  <c r="S691" i="1" s="1"/>
  <c r="T690" i="1"/>
  <c r="R690" i="1"/>
  <c r="S690" i="1" s="1"/>
  <c r="T689" i="1"/>
  <c r="R689" i="1"/>
  <c r="S689" i="1" s="1"/>
  <c r="T688" i="1"/>
  <c r="R688" i="1"/>
  <c r="S688" i="1" s="1"/>
  <c r="T687" i="1"/>
  <c r="R687" i="1"/>
  <c r="S687" i="1" s="1"/>
  <c r="T686" i="1"/>
  <c r="R686" i="1"/>
  <c r="S686" i="1" s="1"/>
  <c r="T685" i="1"/>
  <c r="R685" i="1"/>
  <c r="S685" i="1" s="1"/>
  <c r="T684" i="1"/>
  <c r="R684" i="1"/>
  <c r="S684" i="1" s="1"/>
  <c r="T683" i="1"/>
  <c r="R683" i="1"/>
  <c r="S683" i="1" s="1"/>
  <c r="R682" i="1"/>
  <c r="S682" i="1" s="1"/>
  <c r="T682" i="1" s="1"/>
  <c r="T681" i="1"/>
  <c r="T680" i="1"/>
  <c r="T679" i="1"/>
  <c r="T678" i="1"/>
  <c r="T677" i="1"/>
  <c r="R677" i="1"/>
  <c r="S677" i="1" s="1"/>
  <c r="T676" i="1"/>
  <c r="T674" i="1"/>
  <c r="R674" i="1"/>
  <c r="S674" i="1" s="1"/>
  <c r="T673" i="1"/>
  <c r="R673" i="1"/>
  <c r="S673" i="1" s="1"/>
  <c r="T672" i="1"/>
  <c r="R672" i="1"/>
  <c r="S672" i="1" s="1"/>
  <c r="T669" i="1"/>
  <c r="T668" i="1"/>
  <c r="R668" i="1"/>
  <c r="S668" i="1" s="1"/>
  <c r="T667" i="1"/>
  <c r="R667" i="1"/>
  <c r="S667" i="1" s="1"/>
  <c r="T666" i="1"/>
  <c r="R666" i="1"/>
  <c r="S666" i="1" s="1"/>
  <c r="T665" i="1"/>
  <c r="R665" i="1"/>
  <c r="S665" i="1" s="1"/>
  <c r="T664" i="1"/>
  <c r="R664" i="1"/>
  <c r="S664" i="1" s="1"/>
  <c r="T663" i="1"/>
  <c r="R663" i="1"/>
  <c r="S663" i="1" s="1"/>
  <c r="T662" i="1"/>
  <c r="R662" i="1"/>
  <c r="S662" i="1" s="1"/>
  <c r="T661" i="1"/>
  <c r="T660" i="1"/>
  <c r="T658" i="1"/>
  <c r="T657" i="1"/>
  <c r="R657" i="1"/>
  <c r="S657" i="1" s="1"/>
  <c r="T656" i="1"/>
  <c r="R656" i="1"/>
  <c r="S656" i="1" s="1"/>
  <c r="T655" i="1"/>
  <c r="R655" i="1"/>
  <c r="S655" i="1" s="1"/>
  <c r="T654" i="1"/>
  <c r="R654" i="1"/>
  <c r="S654" i="1" s="1"/>
  <c r="T652" i="1"/>
  <c r="R652" i="1"/>
  <c r="S652" i="1" s="1"/>
  <c r="T651" i="1"/>
  <c r="R651" i="1"/>
  <c r="S651" i="1" s="1"/>
  <c r="T650" i="1"/>
  <c r="R650" i="1"/>
  <c r="S650" i="1" s="1"/>
  <c r="T649" i="1"/>
  <c r="R649" i="1"/>
  <c r="S649" i="1" s="1"/>
  <c r="T648" i="1"/>
  <c r="R648" i="1"/>
  <c r="S648" i="1" s="1"/>
  <c r="T647" i="1"/>
  <c r="R647" i="1"/>
  <c r="S647" i="1" s="1"/>
  <c r="T646" i="1"/>
  <c r="R646" i="1"/>
  <c r="S646" i="1" s="1"/>
  <c r="T644" i="1"/>
  <c r="R644" i="1"/>
  <c r="S644" i="1" s="1"/>
  <c r="T640" i="1"/>
  <c r="R640" i="1"/>
  <c r="S640" i="1" s="1"/>
  <c r="T639" i="1"/>
  <c r="R639" i="1"/>
  <c r="S639" i="1" s="1"/>
  <c r="T638" i="1"/>
  <c r="R638" i="1"/>
  <c r="S638" i="1" s="1"/>
  <c r="T637" i="1"/>
  <c r="T636" i="1"/>
  <c r="R636" i="1"/>
  <c r="S636" i="1" s="1"/>
  <c r="T635" i="1"/>
  <c r="R635" i="1"/>
  <c r="S635" i="1" s="1"/>
  <c r="T634" i="1"/>
  <c r="T633" i="1"/>
  <c r="R633" i="1"/>
  <c r="S633" i="1" s="1"/>
  <c r="T632" i="1"/>
  <c r="R632" i="1"/>
  <c r="S632" i="1" s="1"/>
  <c r="T631" i="1"/>
  <c r="R631" i="1"/>
  <c r="S631" i="1" s="1"/>
  <c r="T630" i="1"/>
  <c r="R630" i="1"/>
  <c r="S630" i="1" s="1"/>
  <c r="T629" i="1"/>
  <c r="R629" i="1"/>
  <c r="S629" i="1" s="1"/>
  <c r="T627" i="1"/>
  <c r="T626" i="1"/>
  <c r="R626" i="1"/>
  <c r="S626" i="1" s="1"/>
  <c r="C25" i="52" s="1"/>
  <c r="T625" i="1"/>
  <c r="R625" i="1"/>
  <c r="S625" i="1" s="1"/>
  <c r="F25" i="52" s="1"/>
  <c r="T624" i="1"/>
  <c r="R624" i="1"/>
  <c r="S624" i="1" s="1"/>
  <c r="T623" i="1"/>
  <c r="R623" i="1"/>
  <c r="S623" i="1" s="1"/>
  <c r="T622" i="1"/>
  <c r="T621" i="1"/>
  <c r="R621" i="1"/>
  <c r="S621" i="1" s="1"/>
  <c r="T620" i="1"/>
  <c r="R620" i="1"/>
  <c r="S620" i="1" s="1"/>
  <c r="T619" i="1"/>
  <c r="T618" i="1"/>
  <c r="R618" i="1"/>
  <c r="S618" i="1" s="1"/>
  <c r="T617" i="1"/>
  <c r="R617" i="1"/>
  <c r="S617" i="1" s="1"/>
  <c r="T616" i="1"/>
  <c r="R616" i="1"/>
  <c r="S616" i="1" s="1"/>
  <c r="T615" i="1"/>
  <c r="R615" i="1"/>
  <c r="S615" i="1" s="1"/>
  <c r="T614" i="1"/>
  <c r="T613" i="1"/>
  <c r="T612" i="1"/>
  <c r="R612" i="1"/>
  <c r="S612" i="1" s="1"/>
  <c r="T610" i="1"/>
  <c r="R610" i="1"/>
  <c r="S610" i="1" s="1"/>
  <c r="T609" i="1"/>
  <c r="R609" i="1"/>
  <c r="S609" i="1" s="1"/>
  <c r="T608" i="1"/>
  <c r="R608" i="1"/>
  <c r="S608" i="1" s="1"/>
  <c r="T607" i="1"/>
  <c r="R607" i="1"/>
  <c r="S607" i="1" s="1"/>
  <c r="T606" i="1"/>
  <c r="R606" i="1"/>
  <c r="S606" i="1" s="1"/>
  <c r="T605" i="1"/>
  <c r="R605" i="1"/>
  <c r="S605" i="1" s="1"/>
  <c r="T604" i="1"/>
  <c r="R604" i="1"/>
  <c r="S604" i="1" s="1"/>
  <c r="T603" i="1"/>
  <c r="R603" i="1"/>
  <c r="S603" i="1" s="1"/>
  <c r="T602" i="1"/>
  <c r="R602" i="1"/>
  <c r="S602" i="1" s="1"/>
  <c r="T601" i="1"/>
  <c r="R601" i="1"/>
  <c r="S601" i="1" s="1"/>
  <c r="T600" i="1"/>
  <c r="R600" i="1"/>
  <c r="S600" i="1" s="1"/>
  <c r="T599" i="1"/>
  <c r="R599" i="1"/>
  <c r="S599" i="1" s="1"/>
  <c r="T598" i="1"/>
  <c r="R598" i="1"/>
  <c r="S598" i="1" s="1"/>
  <c r="T597" i="1"/>
  <c r="R597" i="1"/>
  <c r="S597" i="1" s="1"/>
  <c r="T596" i="1"/>
  <c r="R596" i="1"/>
  <c r="S596" i="1" s="1"/>
  <c r="R595" i="1"/>
  <c r="S595" i="1" s="1"/>
  <c r="T595" i="1" s="1"/>
  <c r="T594" i="1"/>
  <c r="R594" i="1"/>
  <c r="S594" i="1" s="1"/>
  <c r="T593" i="1"/>
  <c r="R593" i="1"/>
  <c r="S593" i="1" s="1"/>
  <c r="T592" i="1"/>
  <c r="T591" i="1"/>
  <c r="R591" i="1"/>
  <c r="S591" i="1" s="1"/>
  <c r="T588" i="1"/>
  <c r="R588" i="1"/>
  <c r="S588" i="1" s="1"/>
  <c r="T587" i="1"/>
  <c r="R587" i="1"/>
  <c r="S587" i="1" s="1"/>
  <c r="T586" i="1"/>
  <c r="R586" i="1"/>
  <c r="S586" i="1" s="1"/>
  <c r="T585" i="1"/>
  <c r="R585" i="1"/>
  <c r="S585" i="1" s="1"/>
  <c r="R584" i="1"/>
  <c r="S584" i="1" s="1"/>
  <c r="T584" i="1" s="1"/>
  <c r="T583" i="1"/>
  <c r="R583" i="1"/>
  <c r="S583" i="1" s="1"/>
  <c r="T582" i="1"/>
  <c r="R582" i="1"/>
  <c r="S582" i="1" s="1"/>
  <c r="T581" i="1"/>
  <c r="R581" i="1"/>
  <c r="S581" i="1" s="1"/>
  <c r="T580" i="1"/>
  <c r="R580" i="1"/>
  <c r="S580" i="1" s="1"/>
  <c r="T579" i="1"/>
  <c r="R579" i="1"/>
  <c r="S579" i="1" s="1"/>
  <c r="T578" i="1"/>
  <c r="R578" i="1"/>
  <c r="S578" i="1" s="1"/>
  <c r="T577" i="1"/>
  <c r="R577" i="1"/>
  <c r="S577" i="1" s="1"/>
  <c r="T576" i="1"/>
  <c r="R576" i="1"/>
  <c r="S576" i="1" s="1"/>
  <c r="T575" i="1"/>
  <c r="R575" i="1"/>
  <c r="S575" i="1" s="1"/>
  <c r="T574" i="1"/>
  <c r="R574" i="1"/>
  <c r="S574" i="1" s="1"/>
  <c r="T573" i="1"/>
  <c r="R573" i="1"/>
  <c r="S573" i="1" s="1"/>
  <c r="T572" i="1"/>
  <c r="R572" i="1"/>
  <c r="S572" i="1" s="1"/>
  <c r="T571" i="1"/>
  <c r="R571" i="1"/>
  <c r="S571" i="1" s="1"/>
  <c r="T569" i="1"/>
  <c r="T568" i="1"/>
  <c r="T567" i="1"/>
  <c r="R567" i="1"/>
  <c r="S567" i="1" s="1"/>
  <c r="T566" i="1"/>
  <c r="T565" i="1"/>
  <c r="R565" i="1"/>
  <c r="S565" i="1" s="1"/>
  <c r="T564" i="1"/>
  <c r="T563" i="1"/>
  <c r="R563" i="1"/>
  <c r="S563" i="1" s="1"/>
  <c r="T562" i="1"/>
  <c r="T561" i="1"/>
  <c r="R561" i="1"/>
  <c r="S561" i="1" s="1"/>
  <c r="T560" i="1"/>
  <c r="R560" i="1"/>
  <c r="S560" i="1" s="1"/>
  <c r="T559" i="1"/>
  <c r="R559" i="1"/>
  <c r="S559" i="1" s="1"/>
  <c r="T558" i="1"/>
  <c r="R558" i="1"/>
  <c r="S558" i="1" s="1"/>
  <c r="T557" i="1"/>
  <c r="R557" i="1"/>
  <c r="S557" i="1" s="1"/>
  <c r="R556" i="1"/>
  <c r="S556" i="1" s="1"/>
  <c r="R555" i="1"/>
  <c r="S555" i="1" s="1"/>
  <c r="T555" i="1" s="1"/>
  <c r="T554" i="1"/>
  <c r="R554" i="1"/>
  <c r="S554" i="1" s="1"/>
  <c r="R553" i="1"/>
  <c r="S553" i="1" s="1"/>
  <c r="T553" i="1" s="1"/>
  <c r="R552" i="1"/>
  <c r="S552" i="1" s="1"/>
  <c r="T552" i="1" s="1"/>
  <c r="T551" i="1"/>
  <c r="R551" i="1"/>
  <c r="S551" i="1" s="1"/>
  <c r="C21" i="52" s="1"/>
  <c r="T550" i="1"/>
  <c r="R550" i="1"/>
  <c r="S550" i="1" s="1"/>
  <c r="D21" i="52" s="1"/>
  <c r="T548" i="1"/>
  <c r="R548" i="1"/>
  <c r="S548" i="1" s="1"/>
  <c r="R546" i="1"/>
  <c r="S546" i="1" s="1"/>
  <c r="T546" i="1" s="1"/>
  <c r="T545" i="1"/>
  <c r="R545" i="1"/>
  <c r="S545" i="1" s="1"/>
  <c r="T544" i="1"/>
  <c r="R544" i="1"/>
  <c r="S544" i="1" s="1"/>
  <c r="T543" i="1"/>
  <c r="R543" i="1"/>
  <c r="S543" i="1" s="1"/>
  <c r="T542" i="1"/>
  <c r="R542" i="1"/>
  <c r="S542" i="1" s="1"/>
  <c r="T541" i="1"/>
  <c r="R541" i="1"/>
  <c r="S541" i="1" s="1"/>
  <c r="R540" i="1"/>
  <c r="S540" i="1" s="1"/>
  <c r="T540" i="1" s="1"/>
  <c r="T539" i="1"/>
  <c r="R539" i="1"/>
  <c r="S539" i="1" s="1"/>
  <c r="T538" i="1"/>
  <c r="R538" i="1"/>
  <c r="S538" i="1" s="1"/>
  <c r="T537" i="1"/>
  <c r="R537" i="1"/>
  <c r="S537" i="1" s="1"/>
  <c r="T536" i="1"/>
  <c r="R536" i="1"/>
  <c r="S536" i="1" s="1"/>
  <c r="T535" i="1"/>
  <c r="R535" i="1"/>
  <c r="S535" i="1" s="1"/>
  <c r="T534" i="1"/>
  <c r="R534" i="1"/>
  <c r="S534" i="1" s="1"/>
  <c r="T533" i="1"/>
  <c r="T532" i="1"/>
  <c r="R532" i="1"/>
  <c r="S532" i="1" s="1"/>
  <c r="T531" i="1"/>
  <c r="R531" i="1"/>
  <c r="S531" i="1" s="1"/>
  <c r="T530" i="1"/>
  <c r="T529" i="1"/>
  <c r="R529" i="1"/>
  <c r="S529" i="1" s="1"/>
  <c r="T528" i="1"/>
  <c r="R528" i="1"/>
  <c r="S528" i="1" s="1"/>
  <c r="T527" i="1"/>
  <c r="R527" i="1"/>
  <c r="S527" i="1" s="1"/>
  <c r="T526" i="1"/>
  <c r="R526" i="1"/>
  <c r="S526" i="1" s="1"/>
  <c r="T525" i="1"/>
  <c r="R525" i="1"/>
  <c r="S525" i="1" s="1"/>
  <c r="T524" i="1"/>
  <c r="R524" i="1"/>
  <c r="S524" i="1" s="1"/>
  <c r="T523" i="1"/>
  <c r="R523" i="1"/>
  <c r="S523" i="1" s="1"/>
  <c r="T522" i="1"/>
  <c r="T521" i="1"/>
  <c r="R521" i="1"/>
  <c r="S521" i="1" s="1"/>
  <c r="T520" i="1"/>
  <c r="R520" i="1"/>
  <c r="S520" i="1" s="1"/>
  <c r="T519" i="1"/>
  <c r="R519" i="1"/>
  <c r="S519" i="1" s="1"/>
  <c r="T518" i="1"/>
  <c r="R518" i="1"/>
  <c r="S518" i="1" s="1"/>
  <c r="T517" i="1"/>
  <c r="R517" i="1"/>
  <c r="S517" i="1" s="1"/>
  <c r="C19" i="52" s="1"/>
  <c r="T516" i="1"/>
  <c r="R516" i="1"/>
  <c r="S516" i="1" s="1"/>
  <c r="T515" i="1"/>
  <c r="R515" i="1"/>
  <c r="S515" i="1" s="1"/>
  <c r="T514" i="1"/>
  <c r="R514" i="1"/>
  <c r="S514" i="1" s="1"/>
  <c r="T513" i="1"/>
  <c r="R513" i="1"/>
  <c r="S513" i="1" s="1"/>
  <c r="T511" i="1"/>
  <c r="T510" i="1"/>
  <c r="T509" i="1"/>
  <c r="R509" i="1"/>
  <c r="S509" i="1" s="1"/>
  <c r="T508" i="1"/>
  <c r="R508" i="1"/>
  <c r="S508" i="1" s="1"/>
  <c r="T507" i="1"/>
  <c r="R507" i="1"/>
  <c r="S507" i="1" s="1"/>
  <c r="T506" i="1"/>
  <c r="T505" i="1"/>
  <c r="R504" i="1"/>
  <c r="S504" i="1" s="1"/>
  <c r="T504" i="1" s="1"/>
  <c r="T503" i="1"/>
  <c r="R503" i="1"/>
  <c r="S503" i="1" s="1"/>
  <c r="T502" i="1"/>
  <c r="T501" i="1"/>
  <c r="R501" i="1"/>
  <c r="S501" i="1" s="1"/>
  <c r="T500" i="1"/>
  <c r="R500" i="1"/>
  <c r="S500" i="1" s="1"/>
  <c r="T499" i="1"/>
  <c r="R499" i="1"/>
  <c r="S499" i="1" s="1"/>
  <c r="T498" i="1"/>
  <c r="R498" i="1"/>
  <c r="S498" i="1" s="1"/>
  <c r="T497" i="1"/>
  <c r="T496" i="1"/>
  <c r="T495" i="1"/>
  <c r="R495" i="1"/>
  <c r="S495" i="1" s="1"/>
  <c r="T494" i="1"/>
  <c r="R494" i="1"/>
  <c r="S494" i="1" s="1"/>
  <c r="T493" i="1"/>
  <c r="R493" i="1"/>
  <c r="S493" i="1" s="1"/>
  <c r="T492" i="1"/>
  <c r="R492" i="1"/>
  <c r="S492" i="1" s="1"/>
  <c r="T491" i="1"/>
  <c r="T490" i="1"/>
  <c r="T489" i="1"/>
  <c r="T488" i="1"/>
  <c r="R488" i="1"/>
  <c r="S488" i="1" s="1"/>
  <c r="T487" i="1"/>
  <c r="R487" i="1"/>
  <c r="S487" i="1" s="1"/>
  <c r="T486" i="1"/>
  <c r="T485" i="1"/>
  <c r="T484" i="1"/>
  <c r="R484" i="1"/>
  <c r="S484" i="1" s="1"/>
  <c r="T483" i="1"/>
  <c r="T482" i="1"/>
  <c r="T481" i="1"/>
  <c r="R481" i="1"/>
  <c r="S481" i="1" s="1"/>
  <c r="T480" i="1"/>
  <c r="R480" i="1"/>
  <c r="S480" i="1" s="1"/>
  <c r="T479" i="1"/>
  <c r="R479" i="1"/>
  <c r="S479" i="1" s="1"/>
  <c r="T478" i="1"/>
  <c r="R478" i="1"/>
  <c r="S478" i="1" s="1"/>
  <c r="T477" i="1"/>
  <c r="T476" i="1"/>
  <c r="R476" i="1"/>
  <c r="S476" i="1" s="1"/>
  <c r="T475" i="1"/>
  <c r="T474" i="1"/>
  <c r="R474" i="1"/>
  <c r="S474" i="1" s="1"/>
  <c r="T473" i="1"/>
  <c r="R473" i="1"/>
  <c r="S473" i="1" s="1"/>
  <c r="T472" i="1"/>
  <c r="R472" i="1"/>
  <c r="S472" i="1" s="1"/>
  <c r="T471" i="1"/>
  <c r="T470" i="1"/>
  <c r="R470" i="1"/>
  <c r="S470" i="1" s="1"/>
  <c r="T469" i="1"/>
  <c r="R469" i="1"/>
  <c r="S469" i="1" s="1"/>
  <c r="T468" i="1"/>
  <c r="T466" i="1"/>
  <c r="R466" i="1"/>
  <c r="S466" i="1" s="1"/>
  <c r="T465" i="1"/>
  <c r="R465" i="1"/>
  <c r="S465" i="1" s="1"/>
  <c r="T464" i="1"/>
  <c r="R464" i="1"/>
  <c r="S464" i="1" s="1"/>
  <c r="T463" i="1"/>
  <c r="R463" i="1"/>
  <c r="S463" i="1" s="1"/>
  <c r="T462" i="1"/>
  <c r="R462" i="1"/>
  <c r="S462" i="1" s="1"/>
  <c r="T461" i="1"/>
  <c r="R461" i="1"/>
  <c r="S461" i="1" s="1"/>
  <c r="T460" i="1"/>
  <c r="T459" i="1"/>
  <c r="R459" i="1"/>
  <c r="S459" i="1" s="1"/>
  <c r="T458" i="1"/>
  <c r="R458" i="1"/>
  <c r="S458" i="1" s="1"/>
  <c r="T456" i="1"/>
  <c r="T455" i="1"/>
  <c r="T454" i="1"/>
  <c r="T453" i="1"/>
  <c r="T452" i="1"/>
  <c r="R452" i="1"/>
  <c r="S452" i="1" s="1"/>
  <c r="T451" i="1"/>
  <c r="R451" i="1"/>
  <c r="S451" i="1" s="1"/>
  <c r="C15" i="52" s="1"/>
  <c r="T450" i="1"/>
  <c r="T449" i="1"/>
  <c r="R449" i="1"/>
  <c r="S449" i="1" s="1"/>
  <c r="T448" i="1"/>
  <c r="R448" i="1"/>
  <c r="S448" i="1" s="1"/>
  <c r="T447" i="1"/>
  <c r="R447" i="1"/>
  <c r="S447" i="1" s="1"/>
  <c r="T446" i="1"/>
  <c r="R446" i="1"/>
  <c r="S446" i="1" s="1"/>
  <c r="T445" i="1"/>
  <c r="R445" i="1"/>
  <c r="S445" i="1" s="1"/>
  <c r="T444" i="1"/>
  <c r="R444" i="1"/>
  <c r="S444" i="1" s="1"/>
  <c r="T443" i="1"/>
  <c r="R443" i="1"/>
  <c r="S443" i="1" s="1"/>
  <c r="T442" i="1"/>
  <c r="R442" i="1"/>
  <c r="S442" i="1" s="1"/>
  <c r="T441" i="1"/>
  <c r="R441" i="1"/>
  <c r="S441" i="1" s="1"/>
  <c r="T440" i="1"/>
  <c r="R440" i="1"/>
  <c r="S440" i="1" s="1"/>
  <c r="T439" i="1"/>
  <c r="R439" i="1"/>
  <c r="S439" i="1" s="1"/>
  <c r="T438" i="1"/>
  <c r="R438" i="1"/>
  <c r="S438" i="1" s="1"/>
  <c r="T437" i="1"/>
  <c r="R437" i="1"/>
  <c r="S437" i="1" s="1"/>
  <c r="T436" i="1"/>
  <c r="R436" i="1"/>
  <c r="S436" i="1" s="1"/>
  <c r="T435" i="1"/>
  <c r="R435" i="1"/>
  <c r="S435" i="1" s="1"/>
  <c r="T434" i="1"/>
  <c r="R434" i="1"/>
  <c r="S434" i="1" s="1"/>
  <c r="T433" i="1"/>
  <c r="R433" i="1"/>
  <c r="S433" i="1" s="1"/>
  <c r="T432" i="1"/>
  <c r="R432" i="1"/>
  <c r="S432" i="1" s="1"/>
  <c r="T431" i="1"/>
  <c r="R431" i="1"/>
  <c r="S431" i="1" s="1"/>
  <c r="T430" i="1"/>
  <c r="R430" i="1"/>
  <c r="S430" i="1" s="1"/>
  <c r="T429" i="1"/>
  <c r="R429" i="1"/>
  <c r="S429" i="1" s="1"/>
  <c r="T428" i="1"/>
  <c r="R428" i="1"/>
  <c r="S428" i="1" s="1"/>
  <c r="T427" i="1"/>
  <c r="R427" i="1"/>
  <c r="S427" i="1" s="1"/>
  <c r="T426" i="1"/>
  <c r="R426" i="1"/>
  <c r="S426" i="1" s="1"/>
  <c r="T425" i="1"/>
  <c r="R425" i="1"/>
  <c r="S425" i="1" s="1"/>
  <c r="T424" i="1"/>
  <c r="R424" i="1"/>
  <c r="S424" i="1" s="1"/>
  <c r="T423" i="1"/>
  <c r="R423" i="1"/>
  <c r="S423" i="1" s="1"/>
  <c r="T422" i="1"/>
  <c r="R422" i="1"/>
  <c r="S422" i="1" s="1"/>
  <c r="T421" i="1"/>
  <c r="R421" i="1"/>
  <c r="S421" i="1" s="1"/>
  <c r="T420" i="1"/>
  <c r="R420" i="1"/>
  <c r="S420" i="1" s="1"/>
  <c r="T419" i="1"/>
  <c r="R419" i="1"/>
  <c r="S419" i="1" s="1"/>
  <c r="T418" i="1"/>
  <c r="R418" i="1"/>
  <c r="S418" i="1" s="1"/>
  <c r="T417" i="1"/>
  <c r="R417" i="1"/>
  <c r="S417" i="1" s="1"/>
  <c r="T416" i="1"/>
  <c r="R416" i="1"/>
  <c r="S416" i="1" s="1"/>
  <c r="T415" i="1"/>
  <c r="R415" i="1"/>
  <c r="S415" i="1" s="1"/>
  <c r="T414" i="1"/>
  <c r="R414" i="1"/>
  <c r="S414" i="1" s="1"/>
  <c r="T413" i="1"/>
  <c r="R413" i="1"/>
  <c r="S413" i="1" s="1"/>
  <c r="T412" i="1"/>
  <c r="R412" i="1"/>
  <c r="S412" i="1" s="1"/>
  <c r="T411" i="1"/>
  <c r="R411" i="1"/>
  <c r="S411" i="1" s="1"/>
  <c r="T410" i="1"/>
  <c r="R410" i="1"/>
  <c r="S410" i="1" s="1"/>
  <c r="T409" i="1"/>
  <c r="R409" i="1"/>
  <c r="S409" i="1" s="1"/>
  <c r="T408" i="1"/>
  <c r="R408" i="1"/>
  <c r="S408" i="1" s="1"/>
  <c r="T407" i="1"/>
  <c r="R407" i="1"/>
  <c r="S407" i="1" s="1"/>
  <c r="T406" i="1"/>
  <c r="R406" i="1"/>
  <c r="S406" i="1" s="1"/>
  <c r="T405" i="1"/>
  <c r="R405" i="1"/>
  <c r="S405" i="1" s="1"/>
  <c r="T404" i="1"/>
  <c r="R404" i="1"/>
  <c r="S404" i="1" s="1"/>
  <c r="T403" i="1"/>
  <c r="R403" i="1"/>
  <c r="S403" i="1" s="1"/>
  <c r="T402" i="1"/>
  <c r="R402" i="1"/>
  <c r="S402" i="1" s="1"/>
  <c r="T401" i="1"/>
  <c r="R401" i="1"/>
  <c r="S401" i="1" s="1"/>
  <c r="T400" i="1"/>
  <c r="R400" i="1"/>
  <c r="S400" i="1" s="1"/>
  <c r="T399" i="1"/>
  <c r="R399" i="1"/>
  <c r="S399" i="1" s="1"/>
  <c r="T398" i="1"/>
  <c r="R398" i="1"/>
  <c r="S398" i="1" s="1"/>
  <c r="T397" i="1"/>
  <c r="R397" i="1"/>
  <c r="S397" i="1" s="1"/>
  <c r="T396" i="1"/>
  <c r="R396" i="1"/>
  <c r="S396" i="1" s="1"/>
  <c r="T395" i="1"/>
  <c r="R395" i="1"/>
  <c r="S395" i="1" s="1"/>
  <c r="T394" i="1"/>
  <c r="R394" i="1"/>
  <c r="S394" i="1" s="1"/>
  <c r="T393" i="1"/>
  <c r="R393" i="1"/>
  <c r="S393" i="1" s="1"/>
  <c r="T392" i="1"/>
  <c r="R392" i="1"/>
  <c r="S392" i="1" s="1"/>
  <c r="T391" i="1"/>
  <c r="R391" i="1"/>
  <c r="S391" i="1" s="1"/>
  <c r="T390" i="1"/>
  <c r="R390" i="1"/>
  <c r="S390" i="1" s="1"/>
  <c r="T389" i="1"/>
  <c r="R389" i="1"/>
  <c r="S389" i="1" s="1"/>
  <c r="T388" i="1"/>
  <c r="R388" i="1"/>
  <c r="S388" i="1" s="1"/>
  <c r="T387" i="1"/>
  <c r="R387" i="1"/>
  <c r="S387" i="1" s="1"/>
  <c r="T386" i="1"/>
  <c r="R386" i="1"/>
  <c r="S386" i="1" s="1"/>
  <c r="T385" i="1"/>
  <c r="R385" i="1"/>
  <c r="S385" i="1" s="1"/>
  <c r="T384" i="1"/>
  <c r="R384" i="1"/>
  <c r="S384" i="1" s="1"/>
  <c r="T383" i="1"/>
  <c r="R383" i="1"/>
  <c r="S383" i="1" s="1"/>
  <c r="T382" i="1"/>
  <c r="R382" i="1"/>
  <c r="S382" i="1" s="1"/>
  <c r="T381" i="1"/>
  <c r="R381" i="1"/>
  <c r="S381" i="1" s="1"/>
  <c r="T380" i="1"/>
  <c r="R380" i="1"/>
  <c r="S380" i="1" s="1"/>
  <c r="T379" i="1"/>
  <c r="R379" i="1"/>
  <c r="S379" i="1" s="1"/>
  <c r="T378" i="1"/>
  <c r="R378" i="1"/>
  <c r="S378" i="1" s="1"/>
  <c r="T377" i="1"/>
  <c r="R377" i="1"/>
  <c r="S377" i="1" s="1"/>
  <c r="T376" i="1"/>
  <c r="R376" i="1"/>
  <c r="S376" i="1" s="1"/>
  <c r="T375" i="1"/>
  <c r="R375" i="1"/>
  <c r="S375" i="1" s="1"/>
  <c r="T374" i="1"/>
  <c r="R374" i="1"/>
  <c r="S374" i="1" s="1"/>
  <c r="T373" i="1"/>
  <c r="R373" i="1"/>
  <c r="S373" i="1" s="1"/>
  <c r="T372" i="1"/>
  <c r="R372" i="1"/>
  <c r="S372" i="1" s="1"/>
  <c r="T371" i="1"/>
  <c r="R371" i="1"/>
  <c r="S371" i="1" s="1"/>
  <c r="T370" i="1"/>
  <c r="R370" i="1"/>
  <c r="S370" i="1" s="1"/>
  <c r="T369" i="1"/>
  <c r="R369" i="1"/>
  <c r="S369" i="1" s="1"/>
  <c r="T368" i="1"/>
  <c r="R368" i="1"/>
  <c r="S368" i="1" s="1"/>
  <c r="T367" i="1"/>
  <c r="R367" i="1"/>
  <c r="S367" i="1" s="1"/>
  <c r="T366" i="1"/>
  <c r="R366" i="1"/>
  <c r="S366" i="1" s="1"/>
  <c r="T365" i="1"/>
  <c r="R365" i="1"/>
  <c r="S365" i="1" s="1"/>
  <c r="T364" i="1"/>
  <c r="R364" i="1"/>
  <c r="S364" i="1" s="1"/>
  <c r="T363" i="1"/>
  <c r="R363" i="1"/>
  <c r="S363" i="1" s="1"/>
  <c r="T362" i="1"/>
  <c r="R362" i="1"/>
  <c r="S362" i="1" s="1"/>
  <c r="T361" i="1"/>
  <c r="R361" i="1"/>
  <c r="S361" i="1" s="1"/>
  <c r="T360" i="1"/>
  <c r="R360" i="1"/>
  <c r="S360" i="1" s="1"/>
  <c r="T359" i="1"/>
  <c r="R359" i="1"/>
  <c r="S359" i="1" s="1"/>
  <c r="T358" i="1"/>
  <c r="R358" i="1"/>
  <c r="S358" i="1" s="1"/>
  <c r="T357" i="1"/>
  <c r="R357" i="1"/>
  <c r="S357" i="1" s="1"/>
  <c r="T356" i="1"/>
  <c r="R356" i="1"/>
  <c r="S356" i="1" s="1"/>
  <c r="T355" i="1"/>
  <c r="R355" i="1"/>
  <c r="S355" i="1" s="1"/>
  <c r="T354" i="1"/>
  <c r="R354" i="1"/>
  <c r="S354" i="1" s="1"/>
  <c r="T353" i="1"/>
  <c r="R353" i="1"/>
  <c r="S353" i="1" s="1"/>
  <c r="T352" i="1"/>
  <c r="R352" i="1"/>
  <c r="S352" i="1" s="1"/>
  <c r="T351" i="1"/>
  <c r="R351" i="1"/>
  <c r="S351" i="1" s="1"/>
  <c r="T350" i="1"/>
  <c r="R350" i="1"/>
  <c r="S350" i="1" s="1"/>
  <c r="T349" i="1"/>
  <c r="R349" i="1"/>
  <c r="S349" i="1" s="1"/>
  <c r="T348" i="1"/>
  <c r="R348" i="1"/>
  <c r="S348" i="1" s="1"/>
  <c r="T346" i="1"/>
  <c r="R346" i="1"/>
  <c r="S346" i="1" s="1"/>
  <c r="T345" i="1"/>
  <c r="R345" i="1"/>
  <c r="S345" i="1" s="1"/>
  <c r="T344" i="1"/>
  <c r="R344" i="1"/>
  <c r="S344" i="1" s="1"/>
  <c r="T343" i="1"/>
  <c r="R343" i="1"/>
  <c r="S343" i="1" s="1"/>
  <c r="T342" i="1"/>
  <c r="R342" i="1"/>
  <c r="S342" i="1" s="1"/>
  <c r="T341" i="1"/>
  <c r="R341" i="1"/>
  <c r="S341" i="1" s="1"/>
  <c r="T340" i="1"/>
  <c r="R340" i="1"/>
  <c r="S340" i="1" s="1"/>
  <c r="T339" i="1"/>
  <c r="R339" i="1"/>
  <c r="S339" i="1" s="1"/>
  <c r="T338" i="1"/>
  <c r="R338" i="1"/>
  <c r="S338" i="1" s="1"/>
  <c r="T337" i="1"/>
  <c r="T336" i="1"/>
  <c r="R336" i="1"/>
  <c r="S336" i="1" s="1"/>
  <c r="T335" i="1"/>
  <c r="R335" i="1"/>
  <c r="S335" i="1" s="1"/>
  <c r="T334" i="1"/>
  <c r="R334" i="1"/>
  <c r="S334" i="1" s="1"/>
  <c r="T332" i="1"/>
  <c r="T331" i="1"/>
  <c r="R329" i="1"/>
  <c r="S329" i="1" s="1"/>
  <c r="T329" i="1" s="1"/>
  <c r="T328" i="1"/>
  <c r="R328" i="1"/>
  <c r="S328" i="1" s="1"/>
  <c r="T327" i="1"/>
  <c r="R327" i="1"/>
  <c r="S327" i="1" s="1"/>
  <c r="T326" i="1"/>
  <c r="R326" i="1"/>
  <c r="S326" i="1" s="1"/>
  <c r="T325" i="1"/>
  <c r="R325" i="1"/>
  <c r="S325" i="1" s="1"/>
  <c r="T324" i="1"/>
  <c r="R324" i="1"/>
  <c r="S324" i="1" s="1"/>
  <c r="T323" i="1"/>
  <c r="R323" i="1"/>
  <c r="S323" i="1" s="1"/>
  <c r="T322" i="1"/>
  <c r="R322" i="1"/>
  <c r="S322" i="1" s="1"/>
  <c r="T321" i="1"/>
  <c r="R321" i="1"/>
  <c r="S321" i="1" s="1"/>
  <c r="T320" i="1"/>
  <c r="R320" i="1"/>
  <c r="S320" i="1" s="1"/>
  <c r="T319" i="1"/>
  <c r="R319" i="1"/>
  <c r="S319" i="1" s="1"/>
  <c r="T318" i="1"/>
  <c r="R318" i="1"/>
  <c r="S318" i="1" s="1"/>
  <c r="T317" i="1"/>
  <c r="R317" i="1"/>
  <c r="S317" i="1" s="1"/>
  <c r="T316" i="1"/>
  <c r="R316" i="1"/>
  <c r="S316" i="1" s="1"/>
  <c r="T315" i="1"/>
  <c r="R315" i="1"/>
  <c r="S315" i="1" s="1"/>
  <c r="T314" i="1"/>
  <c r="R314" i="1"/>
  <c r="S314" i="1" s="1"/>
  <c r="T313" i="1"/>
  <c r="T312" i="1"/>
  <c r="T311" i="1"/>
  <c r="T310" i="1"/>
  <c r="T309" i="1"/>
  <c r="T308" i="1"/>
  <c r="T307" i="1"/>
  <c r="R307" i="1"/>
  <c r="S307" i="1" s="1"/>
  <c r="T306" i="1"/>
  <c r="R306" i="1"/>
  <c r="S306" i="1" s="1"/>
  <c r="T305" i="1"/>
  <c r="R305" i="1"/>
  <c r="S305" i="1" s="1"/>
  <c r="T304" i="1"/>
  <c r="R304" i="1"/>
  <c r="S304" i="1" s="1"/>
  <c r="T303" i="1"/>
  <c r="R303" i="1"/>
  <c r="S303" i="1" s="1"/>
  <c r="T302" i="1"/>
  <c r="R302" i="1"/>
  <c r="S302" i="1" s="1"/>
  <c r="T301" i="1"/>
  <c r="T300" i="1"/>
  <c r="T299" i="1"/>
  <c r="R299" i="1"/>
  <c r="S299" i="1" s="1"/>
  <c r="T298" i="1"/>
  <c r="R298" i="1"/>
  <c r="S298" i="1" s="1"/>
  <c r="T297" i="1"/>
  <c r="R297" i="1"/>
  <c r="S297" i="1" s="1"/>
  <c r="T296" i="1"/>
  <c r="R296" i="1"/>
  <c r="S296" i="1" s="1"/>
  <c r="T295" i="1"/>
  <c r="T294" i="1"/>
  <c r="R294" i="1"/>
  <c r="S294" i="1" s="1"/>
  <c r="T293" i="1"/>
  <c r="R293" i="1"/>
  <c r="S293" i="1" s="1"/>
  <c r="T292" i="1"/>
  <c r="R292" i="1"/>
  <c r="S292" i="1" s="1"/>
  <c r="T291" i="1"/>
  <c r="R291" i="1"/>
  <c r="S291" i="1" s="1"/>
  <c r="T290" i="1"/>
  <c r="T289" i="1"/>
  <c r="R289" i="1"/>
  <c r="S289" i="1" s="1"/>
  <c r="T288" i="1"/>
  <c r="R288" i="1"/>
  <c r="S288" i="1" s="1"/>
  <c r="T287" i="1"/>
  <c r="R287" i="1"/>
  <c r="S287" i="1" s="1"/>
  <c r="T286" i="1"/>
  <c r="R286" i="1"/>
  <c r="S286" i="1" s="1"/>
  <c r="T285" i="1"/>
  <c r="R285" i="1"/>
  <c r="S285" i="1" s="1"/>
  <c r="T284" i="1"/>
  <c r="R284" i="1"/>
  <c r="S284" i="1" s="1"/>
  <c r="T283" i="1"/>
  <c r="R283" i="1"/>
  <c r="S283" i="1" s="1"/>
  <c r="T282" i="1"/>
  <c r="R282" i="1"/>
  <c r="S282" i="1" s="1"/>
  <c r="T281" i="1"/>
  <c r="R281" i="1"/>
  <c r="S281" i="1" s="1"/>
  <c r="R280" i="1"/>
  <c r="S280" i="1" s="1"/>
  <c r="T280" i="1" s="1"/>
  <c r="T278" i="1"/>
  <c r="R277" i="1"/>
  <c r="S277" i="1" s="1"/>
  <c r="T277" i="1" s="1"/>
  <c r="R276" i="1"/>
  <c r="S276" i="1" s="1"/>
  <c r="T276" i="1" s="1"/>
  <c r="T275" i="1"/>
  <c r="T274" i="1"/>
  <c r="R274" i="1"/>
  <c r="S274" i="1" s="1"/>
  <c r="T273" i="1"/>
  <c r="R273" i="1"/>
  <c r="S273" i="1" s="1"/>
  <c r="T272" i="1"/>
  <c r="R272" i="1"/>
  <c r="S272" i="1" s="1"/>
  <c r="T271" i="1"/>
  <c r="R271" i="1"/>
  <c r="S271" i="1" s="1"/>
  <c r="T270" i="1"/>
  <c r="R270" i="1"/>
  <c r="S270" i="1" s="1"/>
  <c r="T269" i="1"/>
  <c r="R269" i="1"/>
  <c r="S269" i="1" s="1"/>
  <c r="R268" i="1"/>
  <c r="S268" i="1" s="1"/>
  <c r="T268" i="1" s="1"/>
  <c r="T267" i="1"/>
  <c r="R267" i="1"/>
  <c r="S267" i="1" s="1"/>
  <c r="T266" i="1"/>
  <c r="T265" i="1"/>
  <c r="R265" i="1"/>
  <c r="S265" i="1" s="1"/>
  <c r="T264" i="1"/>
  <c r="T263" i="1"/>
  <c r="T262" i="1"/>
  <c r="T261" i="1"/>
  <c r="T260" i="1"/>
  <c r="T259" i="1"/>
  <c r="T258" i="1"/>
  <c r="T257" i="1"/>
  <c r="T256" i="1"/>
  <c r="T255" i="1"/>
  <c r="T254" i="1"/>
  <c r="T253" i="1"/>
  <c r="T252" i="1"/>
  <c r="R252" i="1"/>
  <c r="S252" i="1" s="1"/>
  <c r="T251" i="1"/>
  <c r="R251" i="1"/>
  <c r="S251" i="1" s="1"/>
  <c r="T250" i="1"/>
  <c r="T249" i="1"/>
  <c r="T248" i="1"/>
  <c r="R248" i="1"/>
  <c r="S248" i="1" s="1"/>
  <c r="T247" i="1"/>
  <c r="R247" i="1"/>
  <c r="S247" i="1" s="1"/>
  <c r="T246" i="1"/>
  <c r="R246" i="1"/>
  <c r="S246" i="1" s="1"/>
  <c r="T245" i="1"/>
  <c r="R245" i="1"/>
  <c r="S245" i="1" s="1"/>
  <c r="T244" i="1"/>
  <c r="R244" i="1"/>
  <c r="S244" i="1" s="1"/>
  <c r="T243" i="1"/>
  <c r="R243" i="1"/>
  <c r="S243" i="1" s="1"/>
  <c r="T242" i="1"/>
  <c r="R242" i="1"/>
  <c r="S242" i="1" s="1"/>
  <c r="T241" i="1"/>
  <c r="R241" i="1"/>
  <c r="S241" i="1" s="1"/>
  <c r="T240" i="1"/>
  <c r="R240" i="1"/>
  <c r="S240" i="1" s="1"/>
  <c r="T239" i="1"/>
  <c r="T238" i="1"/>
  <c r="T237" i="1"/>
  <c r="T236" i="1"/>
  <c r="R236" i="1"/>
  <c r="S236" i="1" s="1"/>
  <c r="T235" i="1"/>
  <c r="R235" i="1"/>
  <c r="S235" i="1" s="1"/>
  <c r="R234" i="1"/>
  <c r="S234" i="1" s="1"/>
  <c r="T234" i="1" s="1"/>
  <c r="R233" i="1"/>
  <c r="S233" i="1" s="1"/>
  <c r="T233" i="1" s="1"/>
  <c r="T232" i="1"/>
  <c r="R232" i="1"/>
  <c r="S232" i="1" s="1"/>
  <c r="T231" i="1"/>
  <c r="R231" i="1"/>
  <c r="S231" i="1" s="1"/>
  <c r="T230" i="1"/>
  <c r="R230" i="1"/>
  <c r="S230" i="1" s="1"/>
  <c r="T229" i="1"/>
  <c r="R229" i="1"/>
  <c r="S229" i="1" s="1"/>
  <c r="T228" i="1"/>
  <c r="R228" i="1"/>
  <c r="S228" i="1" s="1"/>
  <c r="T227" i="1"/>
  <c r="R227" i="1"/>
  <c r="S227" i="1" s="1"/>
  <c r="T226" i="1"/>
  <c r="R226" i="1"/>
  <c r="S226" i="1" s="1"/>
  <c r="T225" i="1"/>
  <c r="R225" i="1"/>
  <c r="S225" i="1" s="1"/>
  <c r="T224" i="1"/>
  <c r="R224" i="1"/>
  <c r="S224" i="1" s="1"/>
  <c r="T223" i="1"/>
  <c r="R223" i="1"/>
  <c r="S223" i="1" s="1"/>
  <c r="T222" i="1"/>
  <c r="R222" i="1"/>
  <c r="S222" i="1" s="1"/>
  <c r="T221" i="1"/>
  <c r="R221" i="1"/>
  <c r="S221" i="1" s="1"/>
  <c r="T220" i="1"/>
  <c r="R220" i="1"/>
  <c r="S220" i="1" s="1"/>
  <c r="T219" i="1"/>
  <c r="R219" i="1"/>
  <c r="S219" i="1" s="1"/>
  <c r="T218" i="1"/>
  <c r="R218" i="1"/>
  <c r="S218" i="1" s="1"/>
  <c r="T217" i="1"/>
  <c r="R217" i="1"/>
  <c r="S217" i="1" s="1"/>
  <c r="T216" i="1"/>
  <c r="R216" i="1"/>
  <c r="S216" i="1" s="1"/>
  <c r="T215" i="1"/>
  <c r="R215" i="1"/>
  <c r="S215" i="1" s="1"/>
  <c r="T214" i="1"/>
  <c r="R214" i="1"/>
  <c r="S214" i="1" s="1"/>
  <c r="T213" i="1"/>
  <c r="R213" i="1"/>
  <c r="S213" i="1" s="1"/>
  <c r="R212" i="1"/>
  <c r="S212" i="1" s="1"/>
  <c r="T212" i="1" s="1"/>
  <c r="T211" i="1"/>
  <c r="R211" i="1"/>
  <c r="S211" i="1" s="1"/>
  <c r="T210" i="1"/>
  <c r="R210" i="1"/>
  <c r="S210" i="1" s="1"/>
  <c r="T209" i="1"/>
  <c r="R209" i="1"/>
  <c r="S209" i="1" s="1"/>
  <c r="T207" i="1"/>
  <c r="R207" i="1"/>
  <c r="S207" i="1" s="1"/>
  <c r="T206" i="1"/>
  <c r="R206" i="1"/>
  <c r="S206" i="1" s="1"/>
  <c r="R205" i="1"/>
  <c r="S205" i="1" s="1"/>
  <c r="T205" i="1" s="1"/>
  <c r="T204" i="1"/>
  <c r="R204" i="1"/>
  <c r="S204" i="1" s="1"/>
  <c r="T203" i="1"/>
  <c r="R203" i="1"/>
  <c r="S203" i="1" s="1"/>
  <c r="T202" i="1"/>
  <c r="R202" i="1"/>
  <c r="S202" i="1" s="1"/>
  <c r="T201" i="1"/>
  <c r="R201" i="1"/>
  <c r="S201" i="1" s="1"/>
  <c r="T200" i="1"/>
  <c r="R200" i="1"/>
  <c r="S200" i="1" s="1"/>
  <c r="T199" i="1"/>
  <c r="R199" i="1"/>
  <c r="S199" i="1" s="1"/>
  <c r="T198" i="1"/>
  <c r="R198" i="1"/>
  <c r="S198" i="1" s="1"/>
  <c r="T197" i="1"/>
  <c r="R197" i="1"/>
  <c r="S197" i="1" s="1"/>
  <c r="R196" i="1"/>
  <c r="S196" i="1" s="1"/>
  <c r="T196" i="1" s="1"/>
  <c r="T195" i="1"/>
  <c r="R195" i="1"/>
  <c r="S195" i="1" s="1"/>
  <c r="T194" i="1"/>
  <c r="R194" i="1"/>
  <c r="S194" i="1" s="1"/>
  <c r="T193" i="1"/>
  <c r="R193" i="1"/>
  <c r="S193" i="1" s="1"/>
  <c r="T192" i="1"/>
  <c r="R192" i="1"/>
  <c r="S192" i="1" s="1"/>
  <c r="T191" i="1"/>
  <c r="R191" i="1"/>
  <c r="S191" i="1" s="1"/>
  <c r="T190" i="1"/>
  <c r="R190" i="1"/>
  <c r="S190" i="1" s="1"/>
  <c r="T189" i="1"/>
  <c r="R189" i="1"/>
  <c r="S189" i="1" s="1"/>
  <c r="T188" i="1"/>
  <c r="R188" i="1"/>
  <c r="S188" i="1" s="1"/>
  <c r="T187" i="1"/>
  <c r="R187" i="1"/>
  <c r="S187" i="1" s="1"/>
  <c r="R186" i="1"/>
  <c r="S186" i="1" s="1"/>
  <c r="T186" i="1" s="1"/>
  <c r="T185" i="1"/>
  <c r="T184" i="1"/>
  <c r="R184" i="1"/>
  <c r="S184" i="1" s="1"/>
  <c r="T183" i="1"/>
  <c r="R183" i="1"/>
  <c r="S183" i="1" s="1"/>
  <c r="T182" i="1"/>
  <c r="R182" i="1"/>
  <c r="S182" i="1" s="1"/>
  <c r="T181" i="1"/>
  <c r="R181" i="1"/>
  <c r="S181" i="1" s="1"/>
  <c r="D9" i="52" s="1"/>
  <c r="T180" i="1"/>
  <c r="R180" i="1"/>
  <c r="S180" i="1" s="1"/>
  <c r="T179" i="1"/>
  <c r="R179" i="1"/>
  <c r="S179" i="1" s="1"/>
  <c r="R178" i="1"/>
  <c r="S178" i="1" s="1"/>
  <c r="T178" i="1" s="1"/>
  <c r="T177" i="1"/>
  <c r="R177" i="1"/>
  <c r="S177" i="1" s="1"/>
  <c r="R176" i="1"/>
  <c r="S176" i="1" s="1"/>
  <c r="T176" i="1" s="1"/>
  <c r="R175" i="1"/>
  <c r="S175" i="1" s="1"/>
  <c r="T175" i="1" s="1"/>
  <c r="T174" i="1"/>
  <c r="R174" i="1"/>
  <c r="S174" i="1" s="1"/>
  <c r="T173" i="1"/>
  <c r="R173" i="1"/>
  <c r="S173" i="1" s="1"/>
  <c r="R171" i="1"/>
  <c r="S171" i="1" s="1"/>
  <c r="R169" i="1"/>
  <c r="S169" i="1" s="1"/>
  <c r="T169" i="1" s="1"/>
  <c r="R168" i="1"/>
  <c r="S168" i="1" s="1"/>
  <c r="T166" i="1"/>
  <c r="R165" i="1"/>
  <c r="S165" i="1" s="1"/>
  <c r="T165" i="1" s="1"/>
  <c r="T164" i="1"/>
  <c r="R163" i="1"/>
  <c r="S163" i="1" s="1"/>
  <c r="T163" i="1" s="1"/>
  <c r="R162" i="1"/>
  <c r="S162" i="1" s="1"/>
  <c r="T162" i="1" s="1"/>
  <c r="R161" i="1"/>
  <c r="S161" i="1" s="1"/>
  <c r="T161" i="1" s="1"/>
  <c r="R159" i="1"/>
  <c r="S159" i="1" s="1"/>
  <c r="T159" i="1" s="1"/>
  <c r="R158" i="1"/>
  <c r="S158" i="1" s="1"/>
  <c r="T158" i="1" s="1"/>
  <c r="R157" i="1"/>
  <c r="S157" i="1" s="1"/>
  <c r="T157" i="1" s="1"/>
  <c r="T156" i="1"/>
  <c r="R156" i="1"/>
  <c r="S156" i="1" s="1"/>
  <c r="T155" i="1"/>
  <c r="R155" i="1"/>
  <c r="S155" i="1" s="1"/>
  <c r="T154" i="1"/>
  <c r="R154" i="1"/>
  <c r="S154" i="1" s="1"/>
  <c r="T153" i="1"/>
  <c r="R153" i="1"/>
  <c r="S153" i="1" s="1"/>
  <c r="T152" i="1"/>
  <c r="R152" i="1"/>
  <c r="S152" i="1" s="1"/>
  <c r="R151" i="1"/>
  <c r="S151" i="1" s="1"/>
  <c r="T151" i="1" s="1"/>
  <c r="T150" i="1"/>
  <c r="R150" i="1"/>
  <c r="S150" i="1" s="1"/>
  <c r="T149" i="1"/>
  <c r="R149" i="1"/>
  <c r="S149" i="1" s="1"/>
  <c r="T148" i="1"/>
  <c r="R148" i="1"/>
  <c r="S148" i="1" s="1"/>
  <c r="T147" i="1"/>
  <c r="R147" i="1"/>
  <c r="S147" i="1" s="1"/>
  <c r="T146" i="1"/>
  <c r="R146" i="1"/>
  <c r="S146" i="1" s="1"/>
  <c r="T145" i="1"/>
  <c r="R145" i="1"/>
  <c r="S145" i="1" s="1"/>
  <c r="T144" i="1"/>
  <c r="R144" i="1"/>
  <c r="S144" i="1" s="1"/>
  <c r="T143" i="1"/>
  <c r="R143" i="1"/>
  <c r="S143" i="1" s="1"/>
  <c r="T142" i="1"/>
  <c r="R142" i="1"/>
  <c r="S142" i="1" s="1"/>
  <c r="T141" i="1"/>
  <c r="R141" i="1"/>
  <c r="S141" i="1" s="1"/>
  <c r="T140" i="1"/>
  <c r="R140" i="1"/>
  <c r="S140" i="1" s="1"/>
  <c r="R139" i="1"/>
  <c r="S139" i="1" s="1"/>
  <c r="T139" i="1" s="1"/>
  <c r="R138" i="1"/>
  <c r="S138" i="1" s="1"/>
  <c r="T138" i="1" s="1"/>
  <c r="T137" i="1"/>
  <c r="R137" i="1"/>
  <c r="S137" i="1" s="1"/>
  <c r="T136" i="1"/>
  <c r="R136" i="1"/>
  <c r="S136" i="1" s="1"/>
  <c r="R135" i="1"/>
  <c r="S135" i="1" s="1"/>
  <c r="T135" i="1"/>
  <c r="R134" i="1"/>
  <c r="S134" i="1" s="1"/>
  <c r="T133" i="1"/>
  <c r="R133" i="1"/>
  <c r="S133" i="1" s="1"/>
  <c r="T132" i="1"/>
  <c r="R132" i="1"/>
  <c r="S132" i="1" s="1"/>
  <c r="T131" i="1"/>
  <c r="R131" i="1"/>
  <c r="S131" i="1" s="1"/>
  <c r="T130" i="1"/>
  <c r="R130" i="1"/>
  <c r="S130" i="1" s="1"/>
  <c r="T129" i="1"/>
  <c r="R129" i="1"/>
  <c r="S129" i="1" s="1"/>
  <c r="T128" i="1"/>
  <c r="R128" i="1"/>
  <c r="S128" i="1" s="1"/>
  <c r="T127" i="1"/>
  <c r="R127" i="1"/>
  <c r="S127" i="1" s="1"/>
  <c r="T126" i="1"/>
  <c r="R126" i="1"/>
  <c r="S126" i="1" s="1"/>
  <c r="T125" i="1"/>
  <c r="R125" i="1"/>
  <c r="S125" i="1" s="1"/>
  <c r="T124" i="1"/>
  <c r="R124" i="1"/>
  <c r="S124" i="1" s="1"/>
  <c r="T123" i="1"/>
  <c r="R123" i="1"/>
  <c r="S123" i="1" s="1"/>
  <c r="T122" i="1"/>
  <c r="R122" i="1"/>
  <c r="S122" i="1" s="1"/>
  <c r="T121" i="1"/>
  <c r="R121" i="1"/>
  <c r="S121" i="1" s="1"/>
  <c r="T120" i="1"/>
  <c r="R120" i="1"/>
  <c r="S120" i="1" s="1"/>
  <c r="T119" i="1"/>
  <c r="R119" i="1"/>
  <c r="S119" i="1" s="1"/>
  <c r="T118" i="1"/>
  <c r="T117" i="1"/>
  <c r="R117" i="1"/>
  <c r="S117" i="1" s="1"/>
  <c r="T116" i="1"/>
  <c r="R116" i="1"/>
  <c r="S116" i="1" s="1"/>
  <c r="T115" i="1"/>
  <c r="R115" i="1"/>
  <c r="S115" i="1" s="1"/>
  <c r="R114" i="1"/>
  <c r="S114" i="1" s="1"/>
  <c r="T114" i="1" s="1"/>
  <c r="T113" i="1"/>
  <c r="R113" i="1"/>
  <c r="S113" i="1" s="1"/>
  <c r="T112" i="1"/>
  <c r="R112" i="1"/>
  <c r="S112" i="1" s="1"/>
  <c r="R111" i="1"/>
  <c r="S111" i="1" s="1"/>
  <c r="T111" i="1" s="1"/>
  <c r="T110" i="1"/>
  <c r="R110" i="1"/>
  <c r="S110" i="1" s="1"/>
  <c r="T108" i="1"/>
  <c r="R108" i="1"/>
  <c r="S108" i="1" s="1"/>
  <c r="R107" i="1"/>
  <c r="S107" i="1" s="1"/>
  <c r="T107" i="1" s="1"/>
  <c r="R106" i="1"/>
  <c r="S106" i="1" s="1"/>
  <c r="T106" i="1" s="1"/>
  <c r="T105" i="1"/>
  <c r="R105" i="1"/>
  <c r="S105" i="1" s="1"/>
  <c r="T103" i="1"/>
  <c r="R103" i="1"/>
  <c r="S103" i="1" s="1"/>
  <c r="T102" i="1"/>
  <c r="R102" i="1"/>
  <c r="S102" i="1" s="1"/>
  <c r="T101" i="1"/>
  <c r="R101" i="1"/>
  <c r="S101" i="1" s="1"/>
  <c r="R100" i="1"/>
  <c r="S100" i="1" s="1"/>
  <c r="T100" i="1" s="1"/>
  <c r="T99" i="1"/>
  <c r="R99" i="1"/>
  <c r="S99" i="1" s="1"/>
  <c r="T98" i="1"/>
  <c r="R98" i="1"/>
  <c r="S98" i="1" s="1"/>
  <c r="T97" i="1"/>
  <c r="R97" i="1"/>
  <c r="S97" i="1" s="1"/>
  <c r="R95" i="1"/>
  <c r="S95" i="1" s="1"/>
  <c r="T95" i="1" s="1"/>
  <c r="R94" i="1"/>
  <c r="S94" i="1" s="1"/>
  <c r="T94" i="1" s="1"/>
  <c r="T93" i="1"/>
  <c r="R93" i="1"/>
  <c r="S93" i="1" s="1"/>
  <c r="T92" i="1"/>
  <c r="R92" i="1"/>
  <c r="S92" i="1" s="1"/>
  <c r="T91" i="1"/>
  <c r="R91" i="1"/>
  <c r="S91" i="1" s="1"/>
  <c r="T90" i="1"/>
  <c r="R90" i="1"/>
  <c r="S90" i="1" s="1"/>
  <c r="T89" i="1"/>
  <c r="R89" i="1"/>
  <c r="S89" i="1" s="1"/>
  <c r="T88" i="1"/>
  <c r="R88" i="1"/>
  <c r="S88" i="1" s="1"/>
  <c r="T87" i="1"/>
  <c r="R87" i="1"/>
  <c r="S87" i="1" s="1"/>
  <c r="T86" i="1"/>
  <c r="R86" i="1"/>
  <c r="S86" i="1" s="1"/>
  <c r="T85" i="1"/>
  <c r="R85" i="1"/>
  <c r="S85" i="1" s="1"/>
  <c r="T84" i="1"/>
  <c r="R84" i="1"/>
  <c r="S84" i="1" s="1"/>
  <c r="T83" i="1"/>
  <c r="R83" i="1"/>
  <c r="S83" i="1" s="1"/>
  <c r="T82" i="1"/>
  <c r="R82" i="1"/>
  <c r="S82" i="1" s="1"/>
  <c r="T81" i="1"/>
  <c r="R81" i="1"/>
  <c r="S81" i="1" s="1"/>
  <c r="T80" i="1"/>
  <c r="R80" i="1"/>
  <c r="S80" i="1" s="1"/>
  <c r="T79" i="1"/>
  <c r="R79" i="1"/>
  <c r="S79" i="1" s="1"/>
  <c r="T78" i="1"/>
  <c r="T77" i="1"/>
  <c r="R77" i="1"/>
  <c r="S77" i="1" s="1"/>
  <c r="T75" i="1"/>
  <c r="T74" i="1"/>
  <c r="R74" i="1"/>
  <c r="S74" i="1" s="1"/>
  <c r="T73" i="1"/>
  <c r="T72" i="1"/>
  <c r="R72" i="1"/>
  <c r="S72" i="1" s="1"/>
  <c r="D4" i="52" s="1"/>
  <c r="T71" i="1"/>
  <c r="R71" i="1"/>
  <c r="S71" i="1" s="1"/>
  <c r="T70" i="1"/>
  <c r="R70" i="1"/>
  <c r="S70" i="1" s="1"/>
  <c r="T69" i="1"/>
  <c r="R69" i="1"/>
  <c r="S69" i="1" s="1"/>
  <c r="T68" i="1"/>
  <c r="R68" i="1"/>
  <c r="S68" i="1" s="1"/>
  <c r="T67" i="1"/>
  <c r="R67" i="1"/>
  <c r="S67" i="1" s="1"/>
  <c r="T66" i="1"/>
  <c r="R66" i="1"/>
  <c r="S66" i="1" s="1"/>
  <c r="T65" i="1"/>
  <c r="R65" i="1"/>
  <c r="S65" i="1" s="1"/>
  <c r="T64" i="1"/>
  <c r="R64" i="1"/>
  <c r="S64" i="1" s="1"/>
  <c r="T63" i="1"/>
  <c r="R63" i="1"/>
  <c r="S63" i="1" s="1"/>
  <c r="T62" i="1"/>
  <c r="R62" i="1"/>
  <c r="S62" i="1" s="1"/>
  <c r="T61" i="1"/>
  <c r="R61" i="1"/>
  <c r="S61" i="1" s="1"/>
  <c r="T60" i="1"/>
  <c r="R60" i="1"/>
  <c r="S60" i="1" s="1"/>
  <c r="T59" i="1"/>
  <c r="R59" i="1"/>
  <c r="S59" i="1" s="1"/>
  <c r="T58" i="1"/>
  <c r="R58" i="1"/>
  <c r="S58" i="1" s="1"/>
  <c r="T57" i="1"/>
  <c r="R57" i="1"/>
  <c r="S57" i="1" s="1"/>
  <c r="T56" i="1"/>
  <c r="R56" i="1"/>
  <c r="S56" i="1" s="1"/>
  <c r="R55" i="1"/>
  <c r="S55" i="1" s="1"/>
  <c r="T55" i="1" s="1"/>
  <c r="T54" i="1"/>
  <c r="R54" i="1"/>
  <c r="S54" i="1" s="1"/>
  <c r="T53" i="1"/>
  <c r="R53" i="1"/>
  <c r="S53" i="1" s="1"/>
  <c r="T52" i="1"/>
  <c r="R52" i="1"/>
  <c r="S52" i="1" s="1"/>
  <c r="T51" i="1"/>
  <c r="R51" i="1"/>
  <c r="S51" i="1" s="1"/>
  <c r="T50" i="1"/>
  <c r="R50" i="1"/>
  <c r="S50" i="1" s="1"/>
  <c r="T49" i="1"/>
  <c r="R49" i="1"/>
  <c r="S49" i="1" s="1"/>
  <c r="T48" i="1"/>
  <c r="R48" i="1"/>
  <c r="S48" i="1" s="1"/>
  <c r="T47" i="1"/>
  <c r="R47" i="1"/>
  <c r="S47" i="1" s="1"/>
  <c r="T46" i="1"/>
  <c r="R46" i="1"/>
  <c r="S46" i="1" s="1"/>
  <c r="T45" i="1"/>
  <c r="R45" i="1"/>
  <c r="S45" i="1" s="1"/>
  <c r="T44" i="1"/>
  <c r="R44" i="1"/>
  <c r="S44" i="1" s="1"/>
  <c r="T42" i="1"/>
  <c r="R42" i="1"/>
  <c r="S42" i="1" s="1"/>
  <c r="T41" i="1"/>
  <c r="T40" i="1"/>
  <c r="R40" i="1"/>
  <c r="S40" i="1" s="1"/>
  <c r="T39" i="1"/>
  <c r="T38" i="1"/>
  <c r="R38" i="1"/>
  <c r="S38" i="1" s="1"/>
  <c r="F3" i="52" s="1"/>
  <c r="T37" i="1"/>
  <c r="R37" i="1"/>
  <c r="S37" i="1" s="1"/>
  <c r="T36" i="1"/>
  <c r="R36" i="1"/>
  <c r="S36" i="1" s="1"/>
  <c r="T35" i="1"/>
  <c r="T34" i="1"/>
  <c r="R34" i="1"/>
  <c r="S34" i="1" s="1"/>
  <c r="T33" i="1"/>
  <c r="T32" i="1"/>
  <c r="R32" i="1"/>
  <c r="S32" i="1" s="1"/>
  <c r="T31" i="1"/>
  <c r="R31" i="1"/>
  <c r="S31" i="1" s="1"/>
  <c r="T30" i="1"/>
  <c r="R30" i="1"/>
  <c r="S30" i="1" s="1"/>
  <c r="T29" i="1"/>
  <c r="R29" i="1"/>
  <c r="S29" i="1" s="1"/>
  <c r="T28" i="1"/>
  <c r="R28" i="1"/>
  <c r="S28" i="1" s="1"/>
  <c r="T27" i="1"/>
  <c r="R27" i="1"/>
  <c r="S27" i="1" s="1"/>
  <c r="T26" i="1"/>
  <c r="R26" i="1"/>
  <c r="S26" i="1" s="1"/>
  <c r="T25" i="1"/>
  <c r="T24" i="1"/>
  <c r="T23" i="1"/>
  <c r="R23" i="1"/>
  <c r="S23" i="1" s="1"/>
  <c r="T22" i="1"/>
  <c r="R22" i="1"/>
  <c r="S22" i="1" s="1"/>
  <c r="T21" i="1"/>
  <c r="R21" i="1"/>
  <c r="S21" i="1" s="1"/>
  <c r="T20" i="1"/>
  <c r="R20" i="1"/>
  <c r="S20" i="1" s="1"/>
  <c r="R19" i="1"/>
  <c r="S19" i="1" s="1"/>
  <c r="T18" i="1"/>
  <c r="R18" i="1"/>
  <c r="S18" i="1" s="1"/>
  <c r="R17" i="1"/>
  <c r="S17" i="1" s="1"/>
  <c r="T17" i="1" s="1"/>
  <c r="T16" i="1"/>
  <c r="R16" i="1"/>
  <c r="S16" i="1" s="1"/>
  <c r="R15" i="1"/>
  <c r="S15" i="1" s="1"/>
  <c r="T15" i="1" s="1"/>
  <c r="T14" i="1"/>
  <c r="R14" i="1"/>
  <c r="S14" i="1" s="1"/>
  <c r="R13" i="1"/>
  <c r="S13" i="1" s="1"/>
  <c r="T13" i="1" s="1"/>
  <c r="R12" i="1"/>
  <c r="S12" i="1" s="1"/>
  <c r="T12" i="1" s="1"/>
  <c r="T11" i="1"/>
  <c r="R11" i="1"/>
  <c r="S11" i="1" s="1"/>
  <c r="T10" i="1"/>
  <c r="R10" i="1"/>
  <c r="S10" i="1" s="1"/>
  <c r="T9" i="1"/>
  <c r="R9" i="1"/>
  <c r="S9" i="1" s="1"/>
  <c r="T8" i="1"/>
  <c r="R8" i="1"/>
  <c r="S8" i="1" s="1"/>
  <c r="T7" i="1"/>
  <c r="R7" i="1"/>
  <c r="S7" i="1" s="1"/>
  <c r="T6" i="1"/>
  <c r="R6" i="1"/>
  <c r="S6" i="1" s="1"/>
  <c r="T5" i="1"/>
  <c r="R5" i="1"/>
  <c r="S5" i="1" s="1"/>
  <c r="T4" i="1"/>
  <c r="R4" i="1"/>
  <c r="S4" i="1" s="1"/>
  <c r="T3" i="1"/>
  <c r="R3" i="1"/>
  <c r="S3" i="1" s="1"/>
  <c r="AM3" i="1"/>
  <c r="AO3" i="1"/>
  <c r="AP3" i="1"/>
  <c r="AM4" i="1"/>
  <c r="AO4" i="1"/>
  <c r="AP4" i="1"/>
  <c r="AM5" i="1"/>
  <c r="AO5" i="1"/>
  <c r="AP5" i="1"/>
  <c r="AM6" i="1"/>
  <c r="AO6" i="1"/>
  <c r="AP6" i="1"/>
  <c r="AM7" i="1"/>
  <c r="AO7" i="1"/>
  <c r="AP7" i="1"/>
  <c r="AM8" i="1"/>
  <c r="AO8" i="1"/>
  <c r="AP8" i="1"/>
  <c r="AM9" i="1"/>
  <c r="AO9" i="1"/>
  <c r="AP9" i="1"/>
  <c r="AM10" i="1"/>
  <c r="AO10" i="1"/>
  <c r="AP10" i="1"/>
  <c r="AM11" i="1"/>
  <c r="AO11" i="1"/>
  <c r="AP11" i="1"/>
  <c r="AM12" i="1"/>
  <c r="AO12" i="1"/>
  <c r="AP12" i="1"/>
  <c r="AM13" i="1"/>
  <c r="AO13" i="1"/>
  <c r="AP13" i="1"/>
  <c r="AM14" i="1"/>
  <c r="AO14" i="1"/>
  <c r="AP14" i="1"/>
  <c r="AM15" i="1"/>
  <c r="AO15" i="1"/>
  <c r="AP15" i="1"/>
  <c r="AM16" i="1"/>
  <c r="AO16" i="1"/>
  <c r="AP16" i="1"/>
  <c r="AM17" i="1"/>
  <c r="AO17" i="1"/>
  <c r="AP17" i="1"/>
  <c r="AM18" i="1"/>
  <c r="AO18" i="1"/>
  <c r="AP18" i="1"/>
  <c r="AM19" i="1"/>
  <c r="AO19" i="1"/>
  <c r="AP19" i="1"/>
  <c r="AM20" i="1"/>
  <c r="AO20" i="1"/>
  <c r="AP20" i="1"/>
  <c r="AM21" i="1"/>
  <c r="AO21" i="1"/>
  <c r="AP21" i="1"/>
  <c r="AM22" i="1"/>
  <c r="AO22" i="1"/>
  <c r="AP22" i="1"/>
  <c r="AM23" i="1"/>
  <c r="AO23" i="1"/>
  <c r="AP23" i="1"/>
  <c r="AM24" i="1"/>
  <c r="AO24" i="1"/>
  <c r="AP24" i="1"/>
  <c r="AM25" i="1"/>
  <c r="AO25" i="1"/>
  <c r="AP25" i="1"/>
  <c r="AM26" i="1"/>
  <c r="AO26" i="1"/>
  <c r="AP26" i="1"/>
  <c r="AM27" i="1"/>
  <c r="AO27" i="1"/>
  <c r="AP27" i="1"/>
  <c r="AM28" i="1"/>
  <c r="AO28" i="1"/>
  <c r="AP28" i="1"/>
  <c r="AM29" i="1"/>
  <c r="AO29" i="1"/>
  <c r="AP29" i="1"/>
  <c r="AM30" i="1"/>
  <c r="AO30" i="1"/>
  <c r="AP30" i="1"/>
  <c r="AM31" i="1"/>
  <c r="AO31" i="1"/>
  <c r="AP31" i="1"/>
  <c r="AM32" i="1"/>
  <c r="AO32" i="1"/>
  <c r="AP32" i="1"/>
  <c r="AM33" i="1"/>
  <c r="AO33" i="1"/>
  <c r="AP33" i="1"/>
  <c r="AM34" i="1"/>
  <c r="AO34" i="1"/>
  <c r="AP34" i="1"/>
  <c r="AM35" i="1"/>
  <c r="AO35" i="1"/>
  <c r="AP35" i="1"/>
  <c r="AM36" i="1"/>
  <c r="AO36" i="1"/>
  <c r="AP36" i="1"/>
  <c r="AM37" i="1"/>
  <c r="AO37" i="1"/>
  <c r="AP37" i="1"/>
  <c r="AM38" i="1"/>
  <c r="AO38" i="1"/>
  <c r="AP38" i="1"/>
  <c r="AM39" i="1"/>
  <c r="AO39" i="1"/>
  <c r="AP39" i="1"/>
  <c r="AM40" i="1"/>
  <c r="AO40" i="1"/>
  <c r="AP40" i="1"/>
  <c r="AM41" i="1"/>
  <c r="AO41" i="1"/>
  <c r="AP41" i="1"/>
  <c r="AM42" i="1"/>
  <c r="AO42" i="1"/>
  <c r="AP42" i="1"/>
  <c r="AM43" i="1"/>
  <c r="AO43" i="1"/>
  <c r="AP43" i="1"/>
  <c r="AM44" i="1"/>
  <c r="AO44" i="1"/>
  <c r="AP44" i="1"/>
  <c r="AM45" i="1"/>
  <c r="AO45" i="1"/>
  <c r="AP45" i="1"/>
  <c r="AM46" i="1"/>
  <c r="AO46" i="1"/>
  <c r="AP46" i="1"/>
  <c r="AM47" i="1"/>
  <c r="AO47" i="1"/>
  <c r="AP47" i="1"/>
  <c r="AM48" i="1"/>
  <c r="AO48" i="1"/>
  <c r="AP48" i="1"/>
  <c r="AM49" i="1"/>
  <c r="AO49" i="1"/>
  <c r="AP49" i="1"/>
  <c r="AM50" i="1"/>
  <c r="AO50" i="1"/>
  <c r="AP50" i="1"/>
  <c r="AM51" i="1"/>
  <c r="AO51" i="1"/>
  <c r="AP51" i="1"/>
  <c r="AM52" i="1"/>
  <c r="AO52" i="1"/>
  <c r="AP52" i="1"/>
  <c r="AM53" i="1"/>
  <c r="AO53" i="1"/>
  <c r="AP53" i="1"/>
  <c r="AM54" i="1"/>
  <c r="AO54" i="1"/>
  <c r="AP54" i="1"/>
  <c r="AM55" i="1"/>
  <c r="AO55" i="1"/>
  <c r="AP55" i="1"/>
  <c r="AM56" i="1"/>
  <c r="AO56" i="1"/>
  <c r="AP56" i="1"/>
  <c r="AM57" i="1"/>
  <c r="AO57" i="1"/>
  <c r="AP57" i="1"/>
  <c r="AM58" i="1"/>
  <c r="AO58" i="1"/>
  <c r="AP58" i="1"/>
  <c r="AM59" i="1"/>
  <c r="AO59" i="1"/>
  <c r="AP59" i="1"/>
  <c r="AM60" i="1"/>
  <c r="AO60" i="1"/>
  <c r="AP60" i="1"/>
  <c r="AM61" i="1"/>
  <c r="AO61" i="1"/>
  <c r="AP61" i="1"/>
  <c r="AM62" i="1"/>
  <c r="AO62" i="1"/>
  <c r="AP62" i="1"/>
  <c r="AM63" i="1"/>
  <c r="AO63" i="1"/>
  <c r="AP63" i="1"/>
  <c r="AM64" i="1"/>
  <c r="AO64" i="1"/>
  <c r="AP64" i="1"/>
  <c r="AM65" i="1"/>
  <c r="AO65" i="1"/>
  <c r="AP65" i="1"/>
  <c r="AM66" i="1"/>
  <c r="AO66" i="1"/>
  <c r="AP66" i="1"/>
  <c r="AM67" i="1"/>
  <c r="AO67" i="1"/>
  <c r="AP67" i="1"/>
  <c r="AM68" i="1"/>
  <c r="AO68" i="1"/>
  <c r="AP68" i="1"/>
  <c r="AM69" i="1"/>
  <c r="AO69" i="1"/>
  <c r="AP69" i="1"/>
  <c r="AM70" i="1"/>
  <c r="AO70" i="1"/>
  <c r="AP70" i="1"/>
  <c r="AM71" i="1"/>
  <c r="AO71" i="1"/>
  <c r="AP71" i="1"/>
  <c r="AM72" i="1"/>
  <c r="AO72" i="1"/>
  <c r="AP72" i="1"/>
  <c r="AM73" i="1"/>
  <c r="AO73" i="1"/>
  <c r="AP73" i="1"/>
  <c r="AM74" i="1"/>
  <c r="AO74" i="1"/>
  <c r="AP74" i="1"/>
  <c r="AM75" i="1"/>
  <c r="AO75" i="1"/>
  <c r="AP75" i="1"/>
  <c r="AM76" i="1"/>
  <c r="AO76" i="1"/>
  <c r="AP76" i="1"/>
  <c r="AM77" i="1"/>
  <c r="AO77" i="1"/>
  <c r="AP77" i="1"/>
  <c r="AM78" i="1"/>
  <c r="AO78" i="1"/>
  <c r="AP78" i="1"/>
  <c r="AM79" i="1"/>
  <c r="AO79" i="1"/>
  <c r="AP79" i="1"/>
  <c r="AM80" i="1"/>
  <c r="AO80" i="1"/>
  <c r="AP80" i="1"/>
  <c r="AM81" i="1"/>
  <c r="AO81" i="1"/>
  <c r="AP81" i="1"/>
  <c r="AM82" i="1"/>
  <c r="AO82" i="1"/>
  <c r="AP82" i="1"/>
  <c r="AM83" i="1"/>
  <c r="AO83" i="1"/>
  <c r="AP83" i="1"/>
  <c r="AM84" i="1"/>
  <c r="AO84" i="1"/>
  <c r="AP84" i="1"/>
  <c r="AM85" i="1"/>
  <c r="AO85" i="1"/>
  <c r="AP85" i="1"/>
  <c r="AM86" i="1"/>
  <c r="AO86" i="1"/>
  <c r="AP86" i="1"/>
  <c r="AM87" i="1"/>
  <c r="AO87" i="1"/>
  <c r="AP87" i="1"/>
  <c r="AM88" i="1"/>
  <c r="AO88" i="1"/>
  <c r="AP88" i="1"/>
  <c r="AM89" i="1"/>
  <c r="AO89" i="1"/>
  <c r="AP89" i="1"/>
  <c r="AM90" i="1"/>
  <c r="AO90" i="1"/>
  <c r="AP90" i="1"/>
  <c r="AM91" i="1"/>
  <c r="AO91" i="1"/>
  <c r="AP91" i="1"/>
  <c r="AM92" i="1"/>
  <c r="AO92" i="1"/>
  <c r="AP92" i="1"/>
  <c r="AM93" i="1"/>
  <c r="AO93" i="1"/>
  <c r="AP93" i="1"/>
  <c r="AM94" i="1"/>
  <c r="AO94" i="1"/>
  <c r="AP94" i="1"/>
  <c r="AM95" i="1"/>
  <c r="AO95" i="1"/>
  <c r="AP95" i="1"/>
  <c r="AM96" i="1"/>
  <c r="AO96" i="1"/>
  <c r="AP96" i="1"/>
  <c r="AM97" i="1"/>
  <c r="AO97" i="1"/>
  <c r="AP97" i="1"/>
  <c r="AM98" i="1"/>
  <c r="AO98" i="1"/>
  <c r="AP98" i="1"/>
  <c r="AM99" i="1"/>
  <c r="AO99" i="1"/>
  <c r="AP99" i="1"/>
  <c r="AM100" i="1"/>
  <c r="AO100" i="1"/>
  <c r="AP100" i="1"/>
  <c r="AM101" i="1"/>
  <c r="AO101" i="1"/>
  <c r="AP101" i="1"/>
  <c r="AM102" i="1"/>
  <c r="AO102" i="1"/>
  <c r="AP102" i="1"/>
  <c r="AM103" i="1"/>
  <c r="AO103" i="1"/>
  <c r="AP103" i="1"/>
  <c r="AM104" i="1"/>
  <c r="AO104" i="1"/>
  <c r="AP104" i="1"/>
  <c r="AM105" i="1"/>
  <c r="AO105" i="1"/>
  <c r="AP105" i="1"/>
  <c r="AM106" i="1"/>
  <c r="AO106" i="1"/>
  <c r="AP106" i="1"/>
  <c r="AM107" i="1"/>
  <c r="AO107" i="1"/>
  <c r="AP107" i="1"/>
  <c r="AM108" i="1"/>
  <c r="AO108" i="1"/>
  <c r="AP108" i="1"/>
  <c r="AM109" i="1"/>
  <c r="AO109" i="1"/>
  <c r="AP109" i="1"/>
  <c r="AM110" i="1"/>
  <c r="AO110" i="1"/>
  <c r="AP110" i="1"/>
  <c r="AM111" i="1"/>
  <c r="AO111" i="1"/>
  <c r="AP111" i="1"/>
  <c r="AM112" i="1"/>
  <c r="AO112" i="1"/>
  <c r="AP112" i="1"/>
  <c r="AM113" i="1"/>
  <c r="AO113" i="1"/>
  <c r="AP113" i="1"/>
  <c r="AM114" i="1"/>
  <c r="AO114" i="1"/>
  <c r="AP114" i="1"/>
  <c r="AM115" i="1"/>
  <c r="AO115" i="1"/>
  <c r="AP115" i="1"/>
  <c r="AM116" i="1"/>
  <c r="AO116" i="1"/>
  <c r="AP116" i="1"/>
  <c r="AM117" i="1"/>
  <c r="AO117" i="1"/>
  <c r="AP117" i="1"/>
  <c r="AM118" i="1"/>
  <c r="AO118" i="1"/>
  <c r="AP118" i="1"/>
  <c r="AM119" i="1"/>
  <c r="AO119" i="1"/>
  <c r="AP119" i="1"/>
  <c r="AM120" i="1"/>
  <c r="AO120" i="1"/>
  <c r="AP120" i="1"/>
  <c r="AM121" i="1"/>
  <c r="AO121" i="1"/>
  <c r="AP121" i="1"/>
  <c r="AM122" i="1"/>
  <c r="AO122" i="1"/>
  <c r="AP122" i="1"/>
  <c r="AM123" i="1"/>
  <c r="AO123" i="1"/>
  <c r="AP123" i="1"/>
  <c r="AM124" i="1"/>
  <c r="AO124" i="1"/>
  <c r="AP124" i="1"/>
  <c r="AM125" i="1"/>
  <c r="AO125" i="1"/>
  <c r="AP125" i="1"/>
  <c r="AM126" i="1"/>
  <c r="AO126" i="1"/>
  <c r="AP126" i="1"/>
  <c r="AM127" i="1"/>
  <c r="AO127" i="1"/>
  <c r="AP127" i="1"/>
  <c r="AM128" i="1"/>
  <c r="AO128" i="1"/>
  <c r="AP128" i="1"/>
  <c r="AM129" i="1"/>
  <c r="AO129" i="1"/>
  <c r="AP129" i="1"/>
  <c r="AM130" i="1"/>
  <c r="AO130" i="1"/>
  <c r="AP130" i="1"/>
  <c r="AM131" i="1"/>
  <c r="AO131" i="1"/>
  <c r="AP131" i="1"/>
  <c r="AM132" i="1"/>
  <c r="AO132" i="1"/>
  <c r="AP132" i="1"/>
  <c r="AM133" i="1"/>
  <c r="AO133" i="1"/>
  <c r="AP133" i="1"/>
  <c r="AM134" i="1"/>
  <c r="AO134" i="1"/>
  <c r="AP134" i="1"/>
  <c r="AM135" i="1"/>
  <c r="AO135" i="1"/>
  <c r="AP135" i="1"/>
  <c r="AM136" i="1"/>
  <c r="AO136" i="1"/>
  <c r="AP136" i="1"/>
  <c r="AM137" i="1"/>
  <c r="AO137" i="1"/>
  <c r="AP137" i="1"/>
  <c r="AM138" i="1"/>
  <c r="AO138" i="1"/>
  <c r="AP138" i="1"/>
  <c r="AM139" i="1"/>
  <c r="AO139" i="1"/>
  <c r="AP139" i="1"/>
  <c r="AM140" i="1"/>
  <c r="AO140" i="1"/>
  <c r="AP140" i="1"/>
  <c r="AM141" i="1"/>
  <c r="AO141" i="1"/>
  <c r="AP141" i="1"/>
  <c r="AM142" i="1"/>
  <c r="AO142" i="1"/>
  <c r="AP142" i="1"/>
  <c r="AM143" i="1"/>
  <c r="AO143" i="1"/>
  <c r="AP143" i="1"/>
  <c r="AM144" i="1"/>
  <c r="AO144" i="1"/>
  <c r="AP144" i="1"/>
  <c r="AM145" i="1"/>
  <c r="AO145" i="1"/>
  <c r="AP145" i="1"/>
  <c r="AM146" i="1"/>
  <c r="AO146" i="1"/>
  <c r="AP146" i="1"/>
  <c r="AM147" i="1"/>
  <c r="AO147" i="1"/>
  <c r="AP147" i="1"/>
  <c r="AM148" i="1"/>
  <c r="AO148" i="1"/>
  <c r="AP148" i="1"/>
  <c r="AM149" i="1"/>
  <c r="AO149" i="1"/>
  <c r="AP149" i="1"/>
  <c r="AM150" i="1"/>
  <c r="AO150" i="1"/>
  <c r="AP150" i="1"/>
  <c r="AM151" i="1"/>
  <c r="AO151" i="1"/>
  <c r="AP151" i="1"/>
  <c r="AM152" i="1"/>
  <c r="AO152" i="1"/>
  <c r="AP152" i="1"/>
  <c r="AM153" i="1"/>
  <c r="AO153" i="1"/>
  <c r="AP153" i="1"/>
  <c r="AM154" i="1"/>
  <c r="AO154" i="1"/>
  <c r="AP154" i="1"/>
  <c r="AM155" i="1"/>
  <c r="AO155" i="1"/>
  <c r="AP155" i="1"/>
  <c r="AM156" i="1"/>
  <c r="AO156" i="1"/>
  <c r="AP156" i="1"/>
  <c r="AM157" i="1"/>
  <c r="AO157" i="1"/>
  <c r="AP157" i="1"/>
  <c r="AM158" i="1"/>
  <c r="AO158" i="1"/>
  <c r="AP158" i="1"/>
  <c r="AM159" i="1"/>
  <c r="AO159" i="1"/>
  <c r="AP159" i="1"/>
  <c r="AM160" i="1"/>
  <c r="AO160" i="1"/>
  <c r="AP160" i="1"/>
  <c r="AM161" i="1"/>
  <c r="AO161" i="1"/>
  <c r="AP161" i="1"/>
  <c r="AM162" i="1"/>
  <c r="AO162" i="1"/>
  <c r="AP162" i="1"/>
  <c r="AM163" i="1"/>
  <c r="AO163" i="1"/>
  <c r="AP163" i="1"/>
  <c r="AM164" i="1"/>
  <c r="AO164" i="1"/>
  <c r="AP164" i="1"/>
  <c r="AM165" i="1"/>
  <c r="AO165" i="1"/>
  <c r="AP165" i="1"/>
  <c r="AM166" i="1"/>
  <c r="AO166" i="1"/>
  <c r="AP166" i="1"/>
  <c r="AM167" i="1"/>
  <c r="AO167" i="1"/>
  <c r="AP167" i="1"/>
  <c r="AM168" i="1"/>
  <c r="AO168" i="1"/>
  <c r="AP168" i="1"/>
  <c r="AM169" i="1"/>
  <c r="AO169" i="1"/>
  <c r="AP169" i="1"/>
  <c r="AM170" i="1"/>
  <c r="AO170" i="1"/>
  <c r="AP170" i="1"/>
  <c r="AM171" i="1"/>
  <c r="AO171" i="1"/>
  <c r="AP171" i="1"/>
  <c r="AM172" i="1"/>
  <c r="AO172" i="1"/>
  <c r="AP172" i="1"/>
  <c r="AM173" i="1"/>
  <c r="AO173" i="1"/>
  <c r="AP173" i="1"/>
  <c r="AM174" i="1"/>
  <c r="AO174" i="1"/>
  <c r="AP174" i="1"/>
  <c r="AM175" i="1"/>
  <c r="AO175" i="1"/>
  <c r="AP175" i="1"/>
  <c r="AM176" i="1"/>
  <c r="AO176" i="1"/>
  <c r="AP176" i="1"/>
  <c r="AM177" i="1"/>
  <c r="AO177" i="1"/>
  <c r="AP177" i="1"/>
  <c r="AM178" i="1"/>
  <c r="AO178" i="1"/>
  <c r="AP178" i="1"/>
  <c r="AM179" i="1"/>
  <c r="AO179" i="1"/>
  <c r="AP179" i="1"/>
  <c r="AM180" i="1"/>
  <c r="AO180" i="1"/>
  <c r="AP180" i="1"/>
  <c r="AM181" i="1"/>
  <c r="AO181" i="1"/>
  <c r="AP181" i="1"/>
  <c r="AM182" i="1"/>
  <c r="AO182" i="1"/>
  <c r="AP182" i="1"/>
  <c r="AM183" i="1"/>
  <c r="AO183" i="1"/>
  <c r="AP183" i="1"/>
  <c r="AM184" i="1"/>
  <c r="AO184" i="1"/>
  <c r="AP184" i="1"/>
  <c r="AM185" i="1"/>
  <c r="AO185" i="1"/>
  <c r="AP185" i="1"/>
  <c r="AM186" i="1"/>
  <c r="AO186" i="1"/>
  <c r="AP186" i="1"/>
  <c r="AM187" i="1"/>
  <c r="AO187" i="1"/>
  <c r="AP187" i="1"/>
  <c r="AM188" i="1"/>
  <c r="AO188" i="1"/>
  <c r="AP188" i="1"/>
  <c r="AM189" i="1"/>
  <c r="AO189" i="1"/>
  <c r="AP189" i="1"/>
  <c r="AM190" i="1"/>
  <c r="AO190" i="1"/>
  <c r="AP190" i="1"/>
  <c r="AM191" i="1"/>
  <c r="AO191" i="1"/>
  <c r="AP191" i="1"/>
  <c r="AM192" i="1"/>
  <c r="AO192" i="1"/>
  <c r="AP192" i="1"/>
  <c r="AM193" i="1"/>
  <c r="AO193" i="1"/>
  <c r="AP193" i="1"/>
  <c r="AM194" i="1"/>
  <c r="AO194" i="1"/>
  <c r="AP194" i="1"/>
  <c r="AM195" i="1"/>
  <c r="AO195" i="1"/>
  <c r="AP195" i="1"/>
  <c r="AM196" i="1"/>
  <c r="AO196" i="1"/>
  <c r="AP196" i="1"/>
  <c r="AM197" i="1"/>
  <c r="AO197" i="1"/>
  <c r="AP197" i="1"/>
  <c r="AM198" i="1"/>
  <c r="AO198" i="1"/>
  <c r="AP198" i="1"/>
  <c r="AM199" i="1"/>
  <c r="AO199" i="1"/>
  <c r="AP199" i="1"/>
  <c r="AM200" i="1"/>
  <c r="AO200" i="1"/>
  <c r="AP200" i="1"/>
  <c r="AM201" i="1"/>
  <c r="AO201" i="1"/>
  <c r="AP201" i="1"/>
  <c r="AM202" i="1"/>
  <c r="AO202" i="1"/>
  <c r="AP202" i="1"/>
  <c r="AM203" i="1"/>
  <c r="AO203" i="1"/>
  <c r="AP203" i="1"/>
  <c r="AM204" i="1"/>
  <c r="AO204" i="1"/>
  <c r="AP204" i="1"/>
  <c r="AM205" i="1"/>
  <c r="AO205" i="1"/>
  <c r="AP205" i="1"/>
  <c r="AM206" i="1"/>
  <c r="AO206" i="1"/>
  <c r="AP206" i="1"/>
  <c r="AM207" i="1"/>
  <c r="AO207" i="1"/>
  <c r="AP207" i="1"/>
  <c r="AM209" i="1"/>
  <c r="AO209" i="1"/>
  <c r="AP209" i="1"/>
  <c r="AM210" i="1"/>
  <c r="AO210" i="1"/>
  <c r="AP210" i="1"/>
  <c r="AM211" i="1"/>
  <c r="AO211" i="1"/>
  <c r="AP211" i="1"/>
  <c r="AM212" i="1"/>
  <c r="AO212" i="1"/>
  <c r="AP212" i="1"/>
  <c r="AM213" i="1"/>
  <c r="AO213" i="1"/>
  <c r="AP213" i="1"/>
  <c r="AM214" i="1"/>
  <c r="AO214" i="1"/>
  <c r="AP214" i="1"/>
  <c r="AM215" i="1"/>
  <c r="AO215" i="1"/>
  <c r="AP215" i="1"/>
  <c r="AM216" i="1"/>
  <c r="AO216" i="1"/>
  <c r="AP216" i="1"/>
  <c r="AM217" i="1"/>
  <c r="AO217" i="1"/>
  <c r="AP217" i="1"/>
  <c r="AM218" i="1"/>
  <c r="AO218" i="1"/>
  <c r="AP218" i="1"/>
  <c r="AM219" i="1"/>
  <c r="AO219" i="1"/>
  <c r="AP219" i="1"/>
  <c r="AM220" i="1"/>
  <c r="AO220" i="1"/>
  <c r="AP220" i="1"/>
  <c r="AM221" i="1"/>
  <c r="AO221" i="1"/>
  <c r="AP221" i="1"/>
  <c r="AM222" i="1"/>
  <c r="AO222" i="1"/>
  <c r="AP222" i="1"/>
  <c r="AM223" i="1"/>
  <c r="AO223" i="1"/>
  <c r="AP223" i="1"/>
  <c r="AM224" i="1"/>
  <c r="AO224" i="1"/>
  <c r="AP224" i="1"/>
  <c r="AM225" i="1"/>
  <c r="AO225" i="1"/>
  <c r="AP225" i="1"/>
  <c r="AM226" i="1"/>
  <c r="AO226" i="1"/>
  <c r="AP226" i="1"/>
  <c r="AM227" i="1"/>
  <c r="AO227" i="1"/>
  <c r="AP227" i="1"/>
  <c r="AM228" i="1"/>
  <c r="AO228" i="1"/>
  <c r="AP228" i="1"/>
  <c r="AM229" i="1"/>
  <c r="AO229" i="1"/>
  <c r="AP229" i="1"/>
  <c r="AM230" i="1"/>
  <c r="AO230" i="1"/>
  <c r="AP230" i="1"/>
  <c r="AM231" i="1"/>
  <c r="AO231" i="1"/>
  <c r="AP231" i="1"/>
  <c r="AM232" i="1"/>
  <c r="AO232" i="1"/>
  <c r="AP232" i="1"/>
  <c r="AM233" i="1"/>
  <c r="AO233" i="1"/>
  <c r="AP233" i="1"/>
  <c r="AM234" i="1"/>
  <c r="AO234" i="1"/>
  <c r="AP234" i="1"/>
  <c r="AM235" i="1"/>
  <c r="AO235" i="1"/>
  <c r="AP235" i="1"/>
  <c r="AM236" i="1"/>
  <c r="AO236" i="1"/>
  <c r="AP236" i="1"/>
  <c r="AM237" i="1"/>
  <c r="AO237" i="1"/>
  <c r="AP237" i="1"/>
  <c r="AM238" i="1"/>
  <c r="AO238" i="1"/>
  <c r="AP238" i="1"/>
  <c r="AM239" i="1"/>
  <c r="AO239" i="1"/>
  <c r="AP239" i="1"/>
  <c r="AM240" i="1"/>
  <c r="AO240" i="1"/>
  <c r="AP240" i="1"/>
  <c r="AM241" i="1"/>
  <c r="AO241" i="1"/>
  <c r="AP241" i="1"/>
  <c r="AM242" i="1"/>
  <c r="AO242" i="1"/>
  <c r="AP242" i="1"/>
  <c r="AM243" i="1"/>
  <c r="AO243" i="1"/>
  <c r="AP243" i="1"/>
  <c r="AM244" i="1"/>
  <c r="AO244" i="1"/>
  <c r="AP244" i="1"/>
  <c r="AM245" i="1"/>
  <c r="AO245" i="1"/>
  <c r="AP245" i="1"/>
  <c r="AM246" i="1"/>
  <c r="AO246" i="1"/>
  <c r="AP246" i="1"/>
  <c r="AM247" i="1"/>
  <c r="AO247" i="1"/>
  <c r="AP247" i="1"/>
  <c r="AM248" i="1"/>
  <c r="AO248" i="1"/>
  <c r="AP248" i="1"/>
  <c r="AM249" i="1"/>
  <c r="AO249" i="1"/>
  <c r="AP249" i="1"/>
  <c r="AM250" i="1"/>
  <c r="AO250" i="1"/>
  <c r="AP250" i="1"/>
  <c r="AM251" i="1"/>
  <c r="AO251" i="1"/>
  <c r="AP251" i="1"/>
  <c r="AM252" i="1"/>
  <c r="AO252" i="1"/>
  <c r="AP252" i="1"/>
  <c r="AM253" i="1"/>
  <c r="AO253" i="1"/>
  <c r="AP253" i="1"/>
  <c r="AM254" i="1"/>
  <c r="AO254" i="1"/>
  <c r="AP254" i="1"/>
  <c r="AM255" i="1"/>
  <c r="AO255" i="1"/>
  <c r="AP255" i="1"/>
  <c r="AM256" i="1"/>
  <c r="AO256" i="1"/>
  <c r="AP256" i="1"/>
  <c r="AM257" i="1"/>
  <c r="AO257" i="1"/>
  <c r="AP257" i="1"/>
  <c r="AM258" i="1"/>
  <c r="AO258" i="1"/>
  <c r="AP258" i="1"/>
  <c r="AM259" i="1"/>
  <c r="AO259" i="1"/>
  <c r="AP259" i="1"/>
  <c r="AM260" i="1"/>
  <c r="AO260" i="1"/>
  <c r="AP260" i="1"/>
  <c r="AM261" i="1"/>
  <c r="AO261" i="1"/>
  <c r="AP261" i="1"/>
  <c r="AM262" i="1"/>
  <c r="AO262" i="1"/>
  <c r="AP262" i="1"/>
  <c r="AM263" i="1"/>
  <c r="AO263" i="1"/>
  <c r="AP263" i="1"/>
  <c r="AM264" i="1"/>
  <c r="AO264" i="1"/>
  <c r="AP264" i="1"/>
  <c r="AM265" i="1"/>
  <c r="AO265" i="1"/>
  <c r="AP265" i="1"/>
  <c r="AM266" i="1"/>
  <c r="AO266" i="1"/>
  <c r="AP266" i="1"/>
  <c r="AM267" i="1"/>
  <c r="AO267" i="1"/>
  <c r="AP267" i="1"/>
  <c r="AM268" i="1"/>
  <c r="AO268" i="1"/>
  <c r="AP268" i="1"/>
  <c r="AM269" i="1"/>
  <c r="AO269" i="1"/>
  <c r="AP269" i="1"/>
  <c r="AM270" i="1"/>
  <c r="AO270" i="1"/>
  <c r="AP270" i="1"/>
  <c r="AM271" i="1"/>
  <c r="AO271" i="1"/>
  <c r="AP271" i="1"/>
  <c r="AM272" i="1"/>
  <c r="AO272" i="1"/>
  <c r="AP272" i="1"/>
  <c r="AM273" i="1"/>
  <c r="AO273" i="1"/>
  <c r="AP273" i="1"/>
  <c r="AM274" i="1"/>
  <c r="AO274" i="1"/>
  <c r="AP274" i="1"/>
  <c r="AM275" i="1"/>
  <c r="AO275" i="1"/>
  <c r="AP275" i="1"/>
  <c r="AM276" i="1"/>
  <c r="AO276" i="1"/>
  <c r="AP276" i="1"/>
  <c r="AM277" i="1"/>
  <c r="AO277" i="1"/>
  <c r="AP277" i="1"/>
  <c r="AM278" i="1"/>
  <c r="AO278" i="1"/>
  <c r="AP278" i="1"/>
  <c r="AM280" i="1"/>
  <c r="AO280" i="1"/>
  <c r="AP280" i="1"/>
  <c r="AM281" i="1"/>
  <c r="AO281" i="1"/>
  <c r="AP281" i="1"/>
  <c r="AM282" i="1"/>
  <c r="AO282" i="1"/>
  <c r="AP282" i="1"/>
  <c r="AM283" i="1"/>
  <c r="AO283" i="1"/>
  <c r="AP283" i="1"/>
  <c r="AM284" i="1"/>
  <c r="AO284" i="1"/>
  <c r="AP284" i="1"/>
  <c r="AM285" i="1"/>
  <c r="AO285" i="1"/>
  <c r="AP285" i="1"/>
  <c r="AM286" i="1"/>
  <c r="AO286" i="1"/>
  <c r="AP286" i="1"/>
  <c r="AM287" i="1"/>
  <c r="AO287" i="1"/>
  <c r="AP287" i="1"/>
  <c r="AM288" i="1"/>
  <c r="AO288" i="1"/>
  <c r="AP288" i="1"/>
  <c r="AM289" i="1"/>
  <c r="AO289" i="1"/>
  <c r="AP289" i="1"/>
  <c r="AM290" i="1"/>
  <c r="AO290" i="1"/>
  <c r="AP290" i="1"/>
  <c r="AM291" i="1"/>
  <c r="AO291" i="1"/>
  <c r="AP291" i="1"/>
  <c r="AM292" i="1"/>
  <c r="AO292" i="1"/>
  <c r="AP292" i="1"/>
  <c r="AM293" i="1"/>
  <c r="AO293" i="1"/>
  <c r="AP293" i="1"/>
  <c r="AM294" i="1"/>
  <c r="AO294" i="1"/>
  <c r="AP294" i="1"/>
  <c r="AM295" i="1"/>
  <c r="AO295" i="1"/>
  <c r="AP295" i="1"/>
  <c r="AM296" i="1"/>
  <c r="AO296" i="1"/>
  <c r="AP296" i="1"/>
  <c r="AM297" i="1"/>
  <c r="AO297" i="1"/>
  <c r="AP297" i="1"/>
  <c r="AM298" i="1"/>
  <c r="AO298" i="1"/>
  <c r="AP298" i="1"/>
  <c r="AM299" i="1"/>
  <c r="AO299" i="1"/>
  <c r="AP299" i="1"/>
  <c r="AM300" i="1"/>
  <c r="AO300" i="1"/>
  <c r="AP300" i="1"/>
  <c r="AM301" i="1"/>
  <c r="AO301" i="1"/>
  <c r="AP301" i="1"/>
  <c r="AM302" i="1"/>
  <c r="AO302" i="1"/>
  <c r="AP302" i="1"/>
  <c r="AM303" i="1"/>
  <c r="AO303" i="1"/>
  <c r="AP303" i="1"/>
  <c r="AM304" i="1"/>
  <c r="AO304" i="1"/>
  <c r="AP304" i="1"/>
  <c r="AM305" i="1"/>
  <c r="AO305" i="1"/>
  <c r="AP305" i="1"/>
  <c r="AM306" i="1"/>
  <c r="AO306" i="1"/>
  <c r="AP306" i="1"/>
  <c r="AM307" i="1"/>
  <c r="AO307" i="1"/>
  <c r="AP307" i="1"/>
  <c r="AM308" i="1"/>
  <c r="AO308" i="1"/>
  <c r="AP308" i="1"/>
  <c r="AM309" i="1"/>
  <c r="AO309" i="1"/>
  <c r="AP309" i="1"/>
  <c r="AM310" i="1"/>
  <c r="AO310" i="1"/>
  <c r="AP310" i="1"/>
  <c r="AM311" i="1"/>
  <c r="AO311" i="1"/>
  <c r="AP311" i="1"/>
  <c r="AM312" i="1"/>
  <c r="AO312" i="1"/>
  <c r="AP312" i="1"/>
  <c r="AM313" i="1"/>
  <c r="AO313" i="1"/>
  <c r="AP313" i="1"/>
  <c r="AM314" i="1"/>
  <c r="AO314" i="1"/>
  <c r="AP314" i="1"/>
  <c r="AM315" i="1"/>
  <c r="AO315" i="1"/>
  <c r="AP315" i="1"/>
  <c r="AM316" i="1"/>
  <c r="AO316" i="1"/>
  <c r="AP316" i="1"/>
  <c r="AM317" i="1"/>
  <c r="AO317" i="1"/>
  <c r="AP317" i="1"/>
  <c r="AM318" i="1"/>
  <c r="AO318" i="1"/>
  <c r="AP318" i="1"/>
  <c r="AM319" i="1"/>
  <c r="AO319" i="1"/>
  <c r="AP319" i="1"/>
  <c r="AM320" i="1"/>
  <c r="AO320" i="1"/>
  <c r="AP320" i="1"/>
  <c r="AM321" i="1"/>
  <c r="AO321" i="1"/>
  <c r="AP321" i="1"/>
  <c r="AM322" i="1"/>
  <c r="AO322" i="1"/>
  <c r="AP322" i="1"/>
  <c r="AM323" i="1"/>
  <c r="AO323" i="1"/>
  <c r="AP323" i="1"/>
  <c r="AM324" i="1"/>
  <c r="AO324" i="1"/>
  <c r="AP324" i="1"/>
  <c r="AM325" i="1"/>
  <c r="AO325" i="1"/>
  <c r="AP325" i="1"/>
  <c r="AM326" i="1"/>
  <c r="AO326" i="1"/>
  <c r="AP326" i="1"/>
  <c r="AM327" i="1"/>
  <c r="AO327" i="1"/>
  <c r="AP327" i="1"/>
  <c r="AM328" i="1"/>
  <c r="AO328" i="1"/>
  <c r="AP328" i="1"/>
  <c r="AM329" i="1"/>
  <c r="AO329" i="1"/>
  <c r="AP329" i="1"/>
  <c r="AM330" i="1"/>
  <c r="AO330" i="1"/>
  <c r="AP330" i="1"/>
  <c r="AM331" i="1"/>
  <c r="AO331" i="1"/>
  <c r="AP331" i="1"/>
  <c r="AM332" i="1"/>
  <c r="AO332" i="1"/>
  <c r="AP332" i="1"/>
  <c r="AM333" i="1"/>
  <c r="AO333" i="1"/>
  <c r="AP333" i="1"/>
  <c r="AM334" i="1"/>
  <c r="AO334" i="1"/>
  <c r="AP334" i="1"/>
  <c r="AM335" i="1"/>
  <c r="AO335" i="1"/>
  <c r="AP335" i="1"/>
  <c r="AM336" i="1"/>
  <c r="AO336" i="1"/>
  <c r="AP336" i="1"/>
  <c r="AM337" i="1"/>
  <c r="AO337" i="1"/>
  <c r="AP337" i="1"/>
  <c r="AM338" i="1"/>
  <c r="AO338" i="1"/>
  <c r="AP338" i="1"/>
  <c r="AM339" i="1"/>
  <c r="AO339" i="1"/>
  <c r="AP339" i="1"/>
  <c r="AM340" i="1"/>
  <c r="AO340" i="1"/>
  <c r="AP340" i="1"/>
  <c r="AM341" i="1"/>
  <c r="AO341" i="1"/>
  <c r="AP341" i="1"/>
  <c r="AM342" i="1"/>
  <c r="AO342" i="1"/>
  <c r="AP342" i="1"/>
  <c r="AM343" i="1"/>
  <c r="AO343" i="1"/>
  <c r="AP343" i="1"/>
  <c r="AM344" i="1"/>
  <c r="AO344" i="1"/>
  <c r="AP344" i="1"/>
  <c r="AM345" i="1"/>
  <c r="AO345" i="1"/>
  <c r="AP345" i="1"/>
  <c r="AM346" i="1"/>
  <c r="AO346" i="1"/>
  <c r="AP346" i="1"/>
  <c r="AM347" i="1"/>
  <c r="AO347" i="1"/>
  <c r="AP347" i="1"/>
  <c r="AM348" i="1"/>
  <c r="AO348" i="1"/>
  <c r="AP348" i="1"/>
  <c r="AM349" i="1"/>
  <c r="AO349" i="1"/>
  <c r="AP349" i="1"/>
  <c r="AM350" i="1"/>
  <c r="AO350" i="1"/>
  <c r="AP350" i="1"/>
  <c r="AM351" i="1"/>
  <c r="AO351" i="1"/>
  <c r="AP351" i="1"/>
  <c r="AM352" i="1"/>
  <c r="AO352" i="1"/>
  <c r="AP352" i="1"/>
  <c r="AM353" i="1"/>
  <c r="AO353" i="1"/>
  <c r="AP353" i="1"/>
  <c r="AM354" i="1"/>
  <c r="AO354" i="1"/>
  <c r="AP354" i="1"/>
  <c r="AM355" i="1"/>
  <c r="AO355" i="1"/>
  <c r="AP355" i="1"/>
  <c r="AM356" i="1"/>
  <c r="AO356" i="1"/>
  <c r="AP356" i="1"/>
  <c r="AM357" i="1"/>
  <c r="AO357" i="1"/>
  <c r="AP357" i="1"/>
  <c r="AM358" i="1"/>
  <c r="AO358" i="1"/>
  <c r="AP358" i="1"/>
  <c r="AM359" i="1"/>
  <c r="AO359" i="1"/>
  <c r="AP359" i="1"/>
  <c r="AM360" i="1"/>
  <c r="AO360" i="1"/>
  <c r="AP360" i="1"/>
  <c r="AM361" i="1"/>
  <c r="AO361" i="1"/>
  <c r="AP361" i="1"/>
  <c r="AM362" i="1"/>
  <c r="AO362" i="1"/>
  <c r="AP362" i="1"/>
  <c r="AM363" i="1"/>
  <c r="AO363" i="1"/>
  <c r="AP363" i="1"/>
  <c r="AM364" i="1"/>
  <c r="AO364" i="1"/>
  <c r="AP364" i="1"/>
  <c r="AM365" i="1"/>
  <c r="AO365" i="1"/>
  <c r="AP365" i="1"/>
  <c r="AM366" i="1"/>
  <c r="AO366" i="1"/>
  <c r="AP366" i="1"/>
  <c r="AM367" i="1"/>
  <c r="AO367" i="1"/>
  <c r="AP367" i="1"/>
  <c r="AM368" i="1"/>
  <c r="AO368" i="1"/>
  <c r="AP368" i="1"/>
  <c r="AM369" i="1"/>
  <c r="AO369" i="1"/>
  <c r="AP369" i="1"/>
  <c r="AM370" i="1"/>
  <c r="AO370" i="1"/>
  <c r="AP370" i="1"/>
  <c r="AM371" i="1"/>
  <c r="AO371" i="1"/>
  <c r="AP371" i="1"/>
  <c r="AM372" i="1"/>
  <c r="AO372" i="1"/>
  <c r="AP372" i="1"/>
  <c r="AM373" i="1"/>
  <c r="AO373" i="1"/>
  <c r="AP373" i="1"/>
  <c r="AM374" i="1"/>
  <c r="AO374" i="1"/>
  <c r="AP374" i="1"/>
  <c r="AM375" i="1"/>
  <c r="AO375" i="1"/>
  <c r="AP375" i="1"/>
  <c r="AM376" i="1"/>
  <c r="AO376" i="1"/>
  <c r="AP376" i="1"/>
  <c r="AM377" i="1"/>
  <c r="AO377" i="1"/>
  <c r="AP377" i="1"/>
  <c r="AM378" i="1"/>
  <c r="AO378" i="1"/>
  <c r="AP378" i="1"/>
  <c r="AM379" i="1"/>
  <c r="AO379" i="1"/>
  <c r="AP379" i="1"/>
  <c r="AM380" i="1"/>
  <c r="AO380" i="1"/>
  <c r="AP380" i="1"/>
  <c r="AM381" i="1"/>
  <c r="AO381" i="1"/>
  <c r="AP381" i="1"/>
  <c r="AM382" i="1"/>
  <c r="AO382" i="1"/>
  <c r="AP382" i="1"/>
  <c r="AM383" i="1"/>
  <c r="AO383" i="1"/>
  <c r="AP383" i="1"/>
  <c r="AM384" i="1"/>
  <c r="AO384" i="1"/>
  <c r="AP384" i="1"/>
  <c r="AM385" i="1"/>
  <c r="AO385" i="1"/>
  <c r="AP385" i="1"/>
  <c r="AM386" i="1"/>
  <c r="AO386" i="1"/>
  <c r="AP386" i="1"/>
  <c r="AM387" i="1"/>
  <c r="AO387" i="1"/>
  <c r="AP387" i="1"/>
  <c r="AM388" i="1"/>
  <c r="AO388" i="1"/>
  <c r="AP388" i="1"/>
  <c r="AM389" i="1"/>
  <c r="AO389" i="1"/>
  <c r="AP389" i="1"/>
  <c r="AM390" i="1"/>
  <c r="AO390" i="1"/>
  <c r="AP390" i="1"/>
  <c r="AM391" i="1"/>
  <c r="AO391" i="1"/>
  <c r="AP391" i="1"/>
  <c r="AM392" i="1"/>
  <c r="AO392" i="1"/>
  <c r="AP392" i="1"/>
  <c r="AM393" i="1"/>
  <c r="AO393" i="1"/>
  <c r="AP393" i="1"/>
  <c r="AM394" i="1"/>
  <c r="AO394" i="1"/>
  <c r="AP394" i="1"/>
  <c r="AM395" i="1"/>
  <c r="AO395" i="1"/>
  <c r="AP395" i="1"/>
  <c r="AM396" i="1"/>
  <c r="AO396" i="1"/>
  <c r="AP396" i="1"/>
  <c r="AM397" i="1"/>
  <c r="AO397" i="1"/>
  <c r="AP397" i="1"/>
  <c r="AM398" i="1"/>
  <c r="AO398" i="1"/>
  <c r="AP398" i="1"/>
  <c r="AM399" i="1"/>
  <c r="AO399" i="1"/>
  <c r="AP399" i="1"/>
  <c r="AM400" i="1"/>
  <c r="AO400" i="1"/>
  <c r="AP400" i="1"/>
  <c r="AM401" i="1"/>
  <c r="AO401" i="1"/>
  <c r="AP401" i="1"/>
  <c r="AM402" i="1"/>
  <c r="AO402" i="1"/>
  <c r="AP402" i="1"/>
  <c r="AM403" i="1"/>
  <c r="AO403" i="1"/>
  <c r="AP403" i="1"/>
  <c r="AM404" i="1"/>
  <c r="AO404" i="1"/>
  <c r="AP404" i="1"/>
  <c r="AM405" i="1"/>
  <c r="AO405" i="1"/>
  <c r="AP405" i="1"/>
  <c r="AM406" i="1"/>
  <c r="AO406" i="1"/>
  <c r="AP406" i="1"/>
  <c r="AM407" i="1"/>
  <c r="AO407" i="1"/>
  <c r="AP407" i="1"/>
  <c r="AM408" i="1"/>
  <c r="AO408" i="1"/>
  <c r="AP408" i="1"/>
  <c r="AM409" i="1"/>
  <c r="AO409" i="1"/>
  <c r="AP409" i="1"/>
  <c r="AM410" i="1"/>
  <c r="AO410" i="1"/>
  <c r="AP410" i="1"/>
  <c r="AM411" i="1"/>
  <c r="AO411" i="1"/>
  <c r="AP411" i="1"/>
  <c r="AM412" i="1"/>
  <c r="AO412" i="1"/>
  <c r="AP412" i="1"/>
  <c r="AM413" i="1"/>
  <c r="AO413" i="1"/>
  <c r="AP413" i="1"/>
  <c r="AM414" i="1"/>
  <c r="AO414" i="1"/>
  <c r="AP414" i="1"/>
  <c r="AM415" i="1"/>
  <c r="AO415" i="1"/>
  <c r="AP415" i="1"/>
  <c r="AM416" i="1"/>
  <c r="AO416" i="1"/>
  <c r="AP416" i="1"/>
  <c r="AM417" i="1"/>
  <c r="AO417" i="1"/>
  <c r="AP417" i="1"/>
  <c r="AM418" i="1"/>
  <c r="AO418" i="1"/>
  <c r="AP418" i="1"/>
  <c r="AM419" i="1"/>
  <c r="AO419" i="1"/>
  <c r="AP419" i="1"/>
  <c r="AM420" i="1"/>
  <c r="AO420" i="1"/>
  <c r="AP420" i="1"/>
  <c r="AM421" i="1"/>
  <c r="AO421" i="1"/>
  <c r="AP421" i="1"/>
  <c r="AM422" i="1"/>
  <c r="AO422" i="1"/>
  <c r="AP422" i="1"/>
  <c r="AM423" i="1"/>
  <c r="AO423" i="1"/>
  <c r="AP423" i="1"/>
  <c r="AM424" i="1"/>
  <c r="AO424" i="1"/>
  <c r="AP424" i="1"/>
  <c r="AM425" i="1"/>
  <c r="AO425" i="1"/>
  <c r="AP425" i="1"/>
  <c r="AM426" i="1"/>
  <c r="AO426" i="1"/>
  <c r="AP426" i="1"/>
  <c r="AM427" i="1"/>
  <c r="AO427" i="1"/>
  <c r="AP427" i="1"/>
  <c r="AM428" i="1"/>
  <c r="AO428" i="1"/>
  <c r="AP428" i="1"/>
  <c r="AM429" i="1"/>
  <c r="AO429" i="1"/>
  <c r="AP429" i="1"/>
  <c r="AM430" i="1"/>
  <c r="AO430" i="1"/>
  <c r="AP430" i="1"/>
  <c r="AM431" i="1"/>
  <c r="AO431" i="1"/>
  <c r="AP431" i="1"/>
  <c r="AM432" i="1"/>
  <c r="AO432" i="1"/>
  <c r="AP432" i="1"/>
  <c r="AJ433" i="1"/>
  <c r="AK433" i="1" s="1"/>
  <c r="AM433" i="1"/>
  <c r="AO433" i="1"/>
  <c r="AP433" i="1"/>
  <c r="AM434" i="1"/>
  <c r="AO434" i="1"/>
  <c r="AP434" i="1"/>
  <c r="AM435" i="1"/>
  <c r="AO435" i="1"/>
  <c r="AP435" i="1"/>
  <c r="AM436" i="1"/>
  <c r="AO436" i="1"/>
  <c r="AP436" i="1"/>
  <c r="AM437" i="1"/>
  <c r="AO437" i="1"/>
  <c r="AP437" i="1"/>
  <c r="AM438" i="1"/>
  <c r="AO438" i="1"/>
  <c r="AP438" i="1"/>
  <c r="AM439" i="1"/>
  <c r="AO439" i="1"/>
  <c r="AP439" i="1"/>
  <c r="AM440" i="1"/>
  <c r="AO440" i="1"/>
  <c r="AP440" i="1"/>
  <c r="AM441" i="1"/>
  <c r="AO441" i="1"/>
  <c r="AP441" i="1"/>
  <c r="AM442" i="1"/>
  <c r="AO442" i="1"/>
  <c r="AP442" i="1"/>
  <c r="AM443" i="1"/>
  <c r="AO443" i="1"/>
  <c r="AP443" i="1"/>
  <c r="AJ444" i="1"/>
  <c r="AK444" i="1" s="1"/>
  <c r="AM444" i="1"/>
  <c r="AO444" i="1"/>
  <c r="AP444" i="1"/>
  <c r="AM445" i="1"/>
  <c r="AO445" i="1"/>
  <c r="AP445" i="1"/>
  <c r="AM446" i="1"/>
  <c r="AO446" i="1"/>
  <c r="AP446" i="1"/>
  <c r="AM447" i="1"/>
  <c r="AO447" i="1"/>
  <c r="AP447" i="1"/>
  <c r="AM448" i="1"/>
  <c r="AO448" i="1"/>
  <c r="AP448" i="1"/>
  <c r="AM449" i="1"/>
  <c r="AO449" i="1"/>
  <c r="AP449" i="1"/>
  <c r="AM450" i="1"/>
  <c r="AO450" i="1"/>
  <c r="AP450" i="1"/>
  <c r="AM451" i="1"/>
  <c r="AO451" i="1"/>
  <c r="AP451" i="1"/>
  <c r="AM452" i="1"/>
  <c r="AO452" i="1"/>
  <c r="AP452" i="1"/>
  <c r="AM453" i="1"/>
  <c r="AO453" i="1"/>
  <c r="AP453" i="1"/>
  <c r="AM454" i="1"/>
  <c r="AO454" i="1"/>
  <c r="AP454" i="1"/>
  <c r="AM455" i="1"/>
  <c r="AO455" i="1"/>
  <c r="AP455" i="1"/>
  <c r="AM456" i="1"/>
  <c r="AO456" i="1"/>
  <c r="AP456" i="1"/>
  <c r="AM457" i="1"/>
  <c r="AO457" i="1"/>
  <c r="AP457" i="1"/>
  <c r="AM458" i="1"/>
  <c r="AO458" i="1"/>
  <c r="AP458" i="1"/>
  <c r="AM459" i="1"/>
  <c r="AO459" i="1"/>
  <c r="AP459" i="1"/>
  <c r="AM460" i="1"/>
  <c r="AO460" i="1"/>
  <c r="AP460" i="1"/>
  <c r="AM461" i="1"/>
  <c r="AO461" i="1"/>
  <c r="AP461" i="1"/>
  <c r="AM462" i="1"/>
  <c r="AO462" i="1"/>
  <c r="AP462" i="1"/>
  <c r="AM463" i="1"/>
  <c r="AO463" i="1"/>
  <c r="AP463" i="1"/>
  <c r="AM464" i="1"/>
  <c r="AO464" i="1"/>
  <c r="AP464" i="1"/>
  <c r="AM465" i="1"/>
  <c r="AO465" i="1"/>
  <c r="AP465" i="1"/>
  <c r="AM466" i="1"/>
  <c r="AO466" i="1"/>
  <c r="AP466" i="1"/>
  <c r="AM467" i="1"/>
  <c r="AO467" i="1"/>
  <c r="AP467" i="1"/>
  <c r="AM468" i="1"/>
  <c r="AO468" i="1"/>
  <c r="AP468" i="1"/>
  <c r="AM469" i="1"/>
  <c r="AO469" i="1"/>
  <c r="AP469" i="1"/>
  <c r="AM470" i="1"/>
  <c r="AO470" i="1"/>
  <c r="AP470" i="1"/>
  <c r="AM471" i="1"/>
  <c r="AO471" i="1"/>
  <c r="AP471" i="1"/>
  <c r="AM472" i="1"/>
  <c r="AO472" i="1"/>
  <c r="AP472" i="1"/>
  <c r="AM473" i="1"/>
  <c r="AO473" i="1"/>
  <c r="AP473" i="1"/>
  <c r="AM474" i="1"/>
  <c r="AO474" i="1"/>
  <c r="AP474" i="1"/>
  <c r="AM475" i="1"/>
  <c r="AO475" i="1"/>
  <c r="AP475" i="1"/>
  <c r="AM476" i="1"/>
  <c r="AO476" i="1"/>
  <c r="AP476" i="1"/>
  <c r="AM477" i="1"/>
  <c r="AO477" i="1"/>
  <c r="AP477" i="1"/>
  <c r="AM478" i="1"/>
  <c r="AO478" i="1"/>
  <c r="AP478" i="1"/>
  <c r="AM479" i="1"/>
  <c r="AO479" i="1"/>
  <c r="AP479" i="1"/>
  <c r="AM480" i="1"/>
  <c r="AO480" i="1"/>
  <c r="AP480" i="1"/>
  <c r="AM481" i="1"/>
  <c r="AO481" i="1"/>
  <c r="AP481" i="1"/>
  <c r="AM482" i="1"/>
  <c r="AO482" i="1"/>
  <c r="AP482" i="1"/>
  <c r="AM483" i="1"/>
  <c r="AO483" i="1"/>
  <c r="AP483" i="1"/>
  <c r="AM484" i="1"/>
  <c r="AO484" i="1"/>
  <c r="AP484" i="1"/>
  <c r="AM485" i="1"/>
  <c r="AO485" i="1"/>
  <c r="AP485" i="1"/>
  <c r="AM486" i="1"/>
  <c r="AO486" i="1"/>
  <c r="AP486" i="1"/>
  <c r="AM487" i="1"/>
  <c r="AO487" i="1"/>
  <c r="AP487" i="1"/>
  <c r="AM488" i="1"/>
  <c r="AO488" i="1"/>
  <c r="AP488" i="1"/>
  <c r="AM489" i="1"/>
  <c r="AO489" i="1"/>
  <c r="AP489" i="1"/>
  <c r="AM490" i="1"/>
  <c r="AO490" i="1"/>
  <c r="AP490" i="1"/>
  <c r="AM491" i="1"/>
  <c r="AO491" i="1"/>
  <c r="AP491" i="1"/>
  <c r="AM492" i="1"/>
  <c r="AO492" i="1"/>
  <c r="AP492" i="1"/>
  <c r="AM493" i="1"/>
  <c r="AO493" i="1"/>
  <c r="AP493" i="1"/>
  <c r="AM494" i="1"/>
  <c r="AO494" i="1"/>
  <c r="AP494" i="1"/>
  <c r="AM495" i="1"/>
  <c r="AO495" i="1"/>
  <c r="AP495" i="1"/>
  <c r="AM496" i="1"/>
  <c r="AO496" i="1"/>
  <c r="AP496" i="1"/>
  <c r="AM497" i="1"/>
  <c r="AO497" i="1"/>
  <c r="AP497" i="1"/>
  <c r="AM498" i="1"/>
  <c r="AO498" i="1"/>
  <c r="AP498" i="1"/>
  <c r="AM499" i="1"/>
  <c r="AO499" i="1"/>
  <c r="AP499" i="1"/>
  <c r="AM500" i="1"/>
  <c r="AO500" i="1"/>
  <c r="AP500" i="1"/>
  <c r="AM501" i="1"/>
  <c r="AO501" i="1"/>
  <c r="AP501" i="1"/>
  <c r="AM502" i="1"/>
  <c r="AO502" i="1"/>
  <c r="AP502" i="1"/>
  <c r="AM503" i="1"/>
  <c r="AO503" i="1"/>
  <c r="AP503" i="1"/>
  <c r="AM504" i="1"/>
  <c r="AO504" i="1"/>
  <c r="AP504" i="1"/>
  <c r="AM505" i="1"/>
  <c r="AO505" i="1"/>
  <c r="AP505" i="1"/>
  <c r="AM506" i="1"/>
  <c r="AO506" i="1"/>
  <c r="AP506" i="1"/>
  <c r="AM507" i="1"/>
  <c r="AO507" i="1"/>
  <c r="AP507" i="1"/>
  <c r="AM508" i="1"/>
  <c r="AO508" i="1"/>
  <c r="AP508" i="1"/>
  <c r="AM509" i="1"/>
  <c r="AO509" i="1"/>
  <c r="AP509" i="1"/>
  <c r="AM510" i="1"/>
  <c r="AO510" i="1"/>
  <c r="AP510" i="1"/>
  <c r="AM511" i="1"/>
  <c r="AO511" i="1"/>
  <c r="AP511" i="1"/>
  <c r="AM512" i="1"/>
  <c r="AO512" i="1"/>
  <c r="AP512" i="1"/>
  <c r="AM513" i="1"/>
  <c r="AO513" i="1"/>
  <c r="AP513" i="1"/>
  <c r="AM514" i="1"/>
  <c r="AO514" i="1"/>
  <c r="AP514" i="1"/>
  <c r="AM515" i="1"/>
  <c r="AO515" i="1"/>
  <c r="AP515" i="1"/>
  <c r="AM516" i="1"/>
  <c r="AO516" i="1"/>
  <c r="AP516" i="1"/>
  <c r="AM517" i="1"/>
  <c r="AO517" i="1"/>
  <c r="AP517" i="1"/>
  <c r="AM518" i="1"/>
  <c r="AO518" i="1"/>
  <c r="AP518" i="1"/>
  <c r="AM519" i="1"/>
  <c r="AO519" i="1"/>
  <c r="AP519" i="1"/>
  <c r="AM520" i="1"/>
  <c r="AO520" i="1"/>
  <c r="AP520" i="1"/>
  <c r="AM521" i="1"/>
  <c r="AO521" i="1"/>
  <c r="AP521" i="1"/>
  <c r="AM522" i="1"/>
  <c r="AO522" i="1"/>
  <c r="AP522" i="1"/>
  <c r="AM523" i="1"/>
  <c r="AO523" i="1"/>
  <c r="AP523" i="1"/>
  <c r="AM524" i="1"/>
  <c r="AO524" i="1"/>
  <c r="AP524" i="1"/>
  <c r="AM525" i="1"/>
  <c r="AO525" i="1"/>
  <c r="AP525" i="1"/>
  <c r="AM526" i="1"/>
  <c r="AO526" i="1"/>
  <c r="AP526" i="1"/>
  <c r="AM527" i="1"/>
  <c r="AO527" i="1"/>
  <c r="AP527" i="1"/>
  <c r="AM528" i="1"/>
  <c r="AO528" i="1"/>
  <c r="AP528" i="1"/>
  <c r="AM529" i="1"/>
  <c r="AO529" i="1"/>
  <c r="AP529" i="1"/>
  <c r="AM530" i="1"/>
  <c r="AO530" i="1"/>
  <c r="AP530" i="1"/>
  <c r="AM531" i="1"/>
  <c r="AO531" i="1"/>
  <c r="AP531" i="1"/>
  <c r="AM532" i="1"/>
  <c r="AO532" i="1"/>
  <c r="AP532" i="1"/>
  <c r="AM533" i="1"/>
  <c r="AO533" i="1"/>
  <c r="AP533" i="1"/>
  <c r="AM534" i="1"/>
  <c r="AO534" i="1"/>
  <c r="AP534" i="1"/>
  <c r="AM535" i="1"/>
  <c r="AO535" i="1"/>
  <c r="AP535" i="1"/>
  <c r="AM536" i="1"/>
  <c r="AO536" i="1"/>
  <c r="AP536" i="1"/>
  <c r="AM537" i="1"/>
  <c r="AO537" i="1"/>
  <c r="AP537" i="1"/>
  <c r="AM538" i="1"/>
  <c r="AO538" i="1"/>
  <c r="AP538" i="1"/>
  <c r="AM539" i="1"/>
  <c r="AO539" i="1"/>
  <c r="AP539" i="1"/>
  <c r="AM540" i="1"/>
  <c r="AO540" i="1"/>
  <c r="AP540" i="1"/>
  <c r="AM541" i="1"/>
  <c r="AO541" i="1"/>
  <c r="AP541" i="1"/>
  <c r="AM542" i="1"/>
  <c r="AO542" i="1"/>
  <c r="AP542" i="1"/>
  <c r="AM543" i="1"/>
  <c r="AO543" i="1"/>
  <c r="AP543" i="1"/>
  <c r="AM544" i="1"/>
  <c r="AO544" i="1"/>
  <c r="AP544" i="1"/>
  <c r="AM545" i="1"/>
  <c r="AO545" i="1"/>
  <c r="AP545" i="1"/>
  <c r="AM546" i="1"/>
  <c r="AO546" i="1"/>
  <c r="AP546" i="1"/>
  <c r="AM547" i="1"/>
  <c r="AO547" i="1"/>
  <c r="AP547" i="1"/>
  <c r="AM548" i="1"/>
  <c r="AO548" i="1"/>
  <c r="AP548" i="1"/>
  <c r="AM549" i="1"/>
  <c r="AO549" i="1"/>
  <c r="AP549" i="1"/>
  <c r="AM550" i="1"/>
  <c r="AO550" i="1"/>
  <c r="AP550" i="1"/>
  <c r="AM551" i="1"/>
  <c r="AO551" i="1"/>
  <c r="AP551" i="1"/>
  <c r="AM552" i="1"/>
  <c r="AO552" i="1"/>
  <c r="AP552" i="1"/>
  <c r="AM553" i="1"/>
  <c r="AO553" i="1"/>
  <c r="AP553" i="1"/>
  <c r="AM554" i="1"/>
  <c r="AO554" i="1"/>
  <c r="AP554" i="1"/>
  <c r="AM555" i="1"/>
  <c r="AO555" i="1"/>
  <c r="AP555" i="1"/>
  <c r="AM556" i="1"/>
  <c r="AO556" i="1"/>
  <c r="AP556" i="1"/>
  <c r="AM557" i="1"/>
  <c r="AO557" i="1"/>
  <c r="AP557" i="1"/>
  <c r="AM558" i="1"/>
  <c r="AO558" i="1"/>
  <c r="AP558" i="1"/>
  <c r="AM559" i="1"/>
  <c r="AO559" i="1"/>
  <c r="AP559" i="1"/>
  <c r="AM560" i="1"/>
  <c r="AO560" i="1"/>
  <c r="AP560" i="1"/>
  <c r="AM561" i="1"/>
  <c r="AO561" i="1"/>
  <c r="AP561" i="1"/>
  <c r="AM562" i="1"/>
  <c r="AO562" i="1"/>
  <c r="AP562" i="1"/>
  <c r="AM563" i="1"/>
  <c r="AO563" i="1"/>
  <c r="AP563" i="1"/>
  <c r="AM564" i="1"/>
  <c r="AO564" i="1"/>
  <c r="AP564" i="1"/>
  <c r="AM565" i="1"/>
  <c r="AO565" i="1"/>
  <c r="AP565" i="1"/>
  <c r="AM566" i="1"/>
  <c r="AO566" i="1"/>
  <c r="AP566" i="1"/>
  <c r="AM567" i="1"/>
  <c r="AO567" i="1"/>
  <c r="AP567" i="1"/>
  <c r="AM568" i="1"/>
  <c r="AO568" i="1"/>
  <c r="AP568" i="1"/>
  <c r="AM569" i="1"/>
  <c r="AO569" i="1"/>
  <c r="AP569" i="1"/>
  <c r="AM570" i="1"/>
  <c r="AO570" i="1"/>
  <c r="AP570" i="1"/>
  <c r="AM571" i="1"/>
  <c r="AO571" i="1"/>
  <c r="AP571" i="1"/>
  <c r="AM572" i="1"/>
  <c r="AO572" i="1"/>
  <c r="AP572" i="1"/>
  <c r="AM573" i="1"/>
  <c r="AO573" i="1"/>
  <c r="AP573" i="1"/>
  <c r="AM574" i="1"/>
  <c r="AO574" i="1"/>
  <c r="AP574" i="1"/>
  <c r="AM575" i="1"/>
  <c r="AO575" i="1"/>
  <c r="AP575" i="1"/>
  <c r="AM576" i="1"/>
  <c r="AO576" i="1"/>
  <c r="AP576" i="1"/>
  <c r="AM577" i="1"/>
  <c r="AO577" i="1"/>
  <c r="AP577" i="1"/>
  <c r="AM578" i="1"/>
  <c r="AO578" i="1"/>
  <c r="AP578" i="1"/>
  <c r="AM579" i="1"/>
  <c r="AO579" i="1"/>
  <c r="AP579" i="1"/>
  <c r="AM580" i="1"/>
  <c r="AO580" i="1"/>
  <c r="AP580" i="1"/>
  <c r="AM581" i="1"/>
  <c r="AO581" i="1"/>
  <c r="AP581" i="1"/>
  <c r="AM582" i="1"/>
  <c r="AO582" i="1"/>
  <c r="AP582" i="1"/>
  <c r="AM583" i="1"/>
  <c r="AO583" i="1"/>
  <c r="AP583" i="1"/>
  <c r="AM584" i="1"/>
  <c r="AO584" i="1"/>
  <c r="AP584" i="1"/>
  <c r="AM585" i="1"/>
  <c r="AO585" i="1"/>
  <c r="AP585" i="1"/>
  <c r="AM586" i="1"/>
  <c r="AO586" i="1"/>
  <c r="AP586" i="1"/>
  <c r="AM587" i="1"/>
  <c r="AO587" i="1"/>
  <c r="AP587" i="1"/>
  <c r="AM588" i="1"/>
  <c r="AO588" i="1"/>
  <c r="AP588" i="1"/>
  <c r="AM589" i="1"/>
  <c r="AO589" i="1"/>
  <c r="AP589" i="1"/>
  <c r="AM590" i="1"/>
  <c r="AO590" i="1"/>
  <c r="AP590" i="1"/>
  <c r="AM591" i="1"/>
  <c r="AO591" i="1"/>
  <c r="AP591" i="1"/>
  <c r="AM592" i="1"/>
  <c r="AO592" i="1"/>
  <c r="AP592" i="1"/>
  <c r="AM593" i="1"/>
  <c r="AO593" i="1"/>
  <c r="AP593" i="1"/>
  <c r="AM594" i="1"/>
  <c r="AO594" i="1"/>
  <c r="AP594" i="1"/>
  <c r="AM595" i="1"/>
  <c r="AO595" i="1"/>
  <c r="AP595" i="1"/>
  <c r="AM596" i="1"/>
  <c r="AO596" i="1"/>
  <c r="AP596" i="1"/>
  <c r="AM597" i="1"/>
  <c r="AO597" i="1"/>
  <c r="AP597" i="1"/>
  <c r="AM598" i="1"/>
  <c r="AO598" i="1"/>
  <c r="AP598" i="1"/>
  <c r="AM599" i="1"/>
  <c r="AO599" i="1"/>
  <c r="AP599" i="1"/>
  <c r="AM600" i="1"/>
  <c r="AO600" i="1"/>
  <c r="AP600" i="1"/>
  <c r="AM601" i="1"/>
  <c r="AO601" i="1"/>
  <c r="AP601" i="1"/>
  <c r="AM602" i="1"/>
  <c r="AO602" i="1"/>
  <c r="AP602" i="1"/>
  <c r="AM603" i="1"/>
  <c r="AO603" i="1"/>
  <c r="AP603" i="1"/>
  <c r="AM604" i="1"/>
  <c r="AO604" i="1"/>
  <c r="AP604" i="1"/>
  <c r="AM605" i="1"/>
  <c r="AO605" i="1"/>
  <c r="AP605" i="1"/>
  <c r="AM606" i="1"/>
  <c r="AO606" i="1"/>
  <c r="AP606" i="1"/>
  <c r="AM607" i="1"/>
  <c r="AO607" i="1"/>
  <c r="AP607" i="1"/>
  <c r="AM608" i="1"/>
  <c r="AO608" i="1"/>
  <c r="AP608" i="1"/>
  <c r="AM609" i="1"/>
  <c r="AO609" i="1"/>
  <c r="AP609" i="1"/>
  <c r="AM610" i="1"/>
  <c r="AO610" i="1"/>
  <c r="AP610" i="1"/>
  <c r="AM611" i="1"/>
  <c r="AO611" i="1"/>
  <c r="AP611" i="1"/>
  <c r="AM612" i="1"/>
  <c r="AO612" i="1"/>
  <c r="AP612" i="1"/>
  <c r="AM613" i="1"/>
  <c r="AO613" i="1"/>
  <c r="AP613" i="1"/>
  <c r="AM614" i="1"/>
  <c r="AO614" i="1"/>
  <c r="AP614" i="1"/>
  <c r="AM615" i="1"/>
  <c r="AO615" i="1"/>
  <c r="AP615" i="1"/>
  <c r="AM616" i="1"/>
  <c r="AO616" i="1"/>
  <c r="AP616" i="1"/>
  <c r="AM617" i="1"/>
  <c r="AO617" i="1"/>
  <c r="AP617" i="1"/>
  <c r="AM618" i="1"/>
  <c r="AO618" i="1"/>
  <c r="AP618" i="1"/>
  <c r="AM619" i="1"/>
  <c r="AO619" i="1"/>
  <c r="AP619" i="1"/>
  <c r="AM620" i="1"/>
  <c r="AO620" i="1"/>
  <c r="AP620" i="1"/>
  <c r="AM621" i="1"/>
  <c r="AO621" i="1"/>
  <c r="AP621" i="1"/>
  <c r="AM622" i="1"/>
  <c r="AO622" i="1"/>
  <c r="AP622" i="1"/>
  <c r="AM623" i="1"/>
  <c r="AO623" i="1"/>
  <c r="AP623" i="1"/>
  <c r="AM624" i="1"/>
  <c r="AO624" i="1"/>
  <c r="AP624" i="1"/>
  <c r="AM625" i="1"/>
  <c r="AO625" i="1"/>
  <c r="AP625" i="1"/>
  <c r="AM626" i="1"/>
  <c r="AO626" i="1"/>
  <c r="AP626" i="1"/>
  <c r="AM627" i="1"/>
  <c r="AO627" i="1"/>
  <c r="AP627" i="1"/>
  <c r="AM628" i="1"/>
  <c r="AO628" i="1"/>
  <c r="AP628" i="1"/>
  <c r="AM629" i="1"/>
  <c r="AO629" i="1"/>
  <c r="AP629" i="1"/>
  <c r="AM630" i="1"/>
  <c r="AO630" i="1"/>
  <c r="AP630" i="1"/>
  <c r="AM631" i="1"/>
  <c r="AO631" i="1"/>
  <c r="AP631" i="1"/>
  <c r="AM632" i="1"/>
  <c r="AO632" i="1"/>
  <c r="AP632" i="1"/>
  <c r="AM633" i="1"/>
  <c r="AO633" i="1"/>
  <c r="AP633" i="1"/>
  <c r="AM634" i="1"/>
  <c r="AO634" i="1"/>
  <c r="AP634" i="1"/>
  <c r="AM635" i="1"/>
  <c r="AO635" i="1"/>
  <c r="AP635" i="1"/>
  <c r="AM636" i="1"/>
  <c r="AO636" i="1"/>
  <c r="AP636" i="1"/>
  <c r="AM637" i="1"/>
  <c r="AO637" i="1"/>
  <c r="AP637" i="1"/>
  <c r="AM638" i="1"/>
  <c r="AO638" i="1"/>
  <c r="AP638" i="1"/>
  <c r="AM639" i="1"/>
  <c r="AO639" i="1"/>
  <c r="AP639" i="1"/>
  <c r="AM640" i="1"/>
  <c r="AO640" i="1"/>
  <c r="AP640" i="1"/>
  <c r="AM641" i="1"/>
  <c r="AO641" i="1"/>
  <c r="AP641" i="1"/>
  <c r="AM642" i="1"/>
  <c r="AO642" i="1"/>
  <c r="AP642" i="1"/>
  <c r="AM643" i="1"/>
  <c r="AO643" i="1"/>
  <c r="AP643" i="1"/>
  <c r="AM644" i="1"/>
  <c r="AO644" i="1"/>
  <c r="AP644" i="1"/>
  <c r="AM645" i="1"/>
  <c r="AO645" i="1"/>
  <c r="AP645" i="1"/>
  <c r="AM646" i="1"/>
  <c r="AO646" i="1"/>
  <c r="AP646" i="1"/>
  <c r="AM647" i="1"/>
  <c r="AO647" i="1"/>
  <c r="AP647" i="1"/>
  <c r="AM648" i="1"/>
  <c r="AO648" i="1"/>
  <c r="AP648" i="1"/>
  <c r="AM649" i="1"/>
  <c r="AO649" i="1"/>
  <c r="AP649" i="1"/>
  <c r="AM650" i="1"/>
  <c r="AO650" i="1"/>
  <c r="AP650" i="1"/>
  <c r="AM651" i="1"/>
  <c r="AO651" i="1"/>
  <c r="AP651" i="1"/>
  <c r="AM652" i="1"/>
  <c r="AO652" i="1"/>
  <c r="AP652" i="1"/>
  <c r="AM653" i="1"/>
  <c r="AO653" i="1"/>
  <c r="AP653" i="1"/>
  <c r="AM654" i="1"/>
  <c r="AO654" i="1"/>
  <c r="AP654" i="1"/>
  <c r="AM655" i="1"/>
  <c r="AO655" i="1"/>
  <c r="AP655" i="1"/>
  <c r="AM656" i="1"/>
  <c r="AO656" i="1"/>
  <c r="AP656" i="1"/>
  <c r="AM657" i="1"/>
  <c r="AO657" i="1"/>
  <c r="AP657" i="1"/>
  <c r="AM658" i="1"/>
  <c r="AO658" i="1"/>
  <c r="AP658" i="1"/>
  <c r="AM659" i="1"/>
  <c r="AO659" i="1"/>
  <c r="AP659" i="1"/>
  <c r="AM660" i="1"/>
  <c r="AO660" i="1"/>
  <c r="AP660" i="1"/>
  <c r="AM661" i="1"/>
  <c r="AO661" i="1"/>
  <c r="AP661" i="1"/>
  <c r="AM662" i="1"/>
  <c r="AO662" i="1"/>
  <c r="AP662" i="1"/>
  <c r="AM663" i="1"/>
  <c r="AO663" i="1"/>
  <c r="AP663" i="1"/>
  <c r="AM664" i="1"/>
  <c r="AO664" i="1"/>
  <c r="AP664" i="1"/>
  <c r="AM665" i="1"/>
  <c r="AO665" i="1"/>
  <c r="AP665" i="1"/>
  <c r="AM666" i="1"/>
  <c r="AO666" i="1"/>
  <c r="AP666" i="1"/>
  <c r="AM667" i="1"/>
  <c r="AO667" i="1"/>
  <c r="AP667" i="1"/>
  <c r="AM668" i="1"/>
  <c r="AO668" i="1"/>
  <c r="AP668" i="1"/>
  <c r="AM669" i="1"/>
  <c r="AO669" i="1"/>
  <c r="AP669" i="1"/>
  <c r="AM672" i="1"/>
  <c r="AO672" i="1"/>
  <c r="AP672" i="1"/>
  <c r="AM673" i="1"/>
  <c r="AO673" i="1"/>
  <c r="AP673" i="1"/>
  <c r="AM674" i="1"/>
  <c r="AO674" i="1"/>
  <c r="AP674" i="1"/>
  <c r="AM676" i="1"/>
  <c r="AO676" i="1"/>
  <c r="AP676" i="1"/>
  <c r="AM677" i="1"/>
  <c r="AO677" i="1"/>
  <c r="AP677" i="1"/>
  <c r="AM678" i="1"/>
  <c r="AO678" i="1"/>
  <c r="AP678" i="1"/>
  <c r="AM679" i="1"/>
  <c r="AO679" i="1"/>
  <c r="AP679" i="1"/>
  <c r="AM680" i="1"/>
  <c r="AO680" i="1"/>
  <c r="AP680" i="1"/>
  <c r="AM681" i="1"/>
  <c r="AO681" i="1"/>
  <c r="AP681" i="1"/>
  <c r="AM682" i="1"/>
  <c r="AO682" i="1"/>
  <c r="AP682" i="1"/>
  <c r="AM683" i="1"/>
  <c r="AO683" i="1"/>
  <c r="AP683" i="1"/>
  <c r="AM684" i="1"/>
  <c r="AO684" i="1"/>
  <c r="AP684" i="1"/>
  <c r="AM685" i="1"/>
  <c r="AO685" i="1"/>
  <c r="AP685" i="1"/>
  <c r="AM686" i="1"/>
  <c r="AO686" i="1"/>
  <c r="AP686" i="1"/>
  <c r="AM687" i="1"/>
  <c r="AO687" i="1"/>
  <c r="AP687" i="1"/>
  <c r="AM688" i="1"/>
  <c r="AO688" i="1"/>
  <c r="AP688" i="1"/>
  <c r="AM689" i="1"/>
  <c r="AO689" i="1"/>
  <c r="AP689" i="1"/>
  <c r="AM690" i="1"/>
  <c r="AO690" i="1"/>
  <c r="AP690" i="1"/>
  <c r="AM691" i="1"/>
  <c r="AO691" i="1"/>
  <c r="AP691" i="1"/>
  <c r="AM692" i="1"/>
  <c r="AO692" i="1"/>
  <c r="AP692" i="1"/>
  <c r="AM693" i="1"/>
  <c r="AO693" i="1"/>
  <c r="AP693" i="1"/>
  <c r="AM694" i="1"/>
  <c r="AO694" i="1"/>
  <c r="AP694" i="1"/>
  <c r="AM695" i="1"/>
  <c r="AO695" i="1"/>
  <c r="AP695" i="1"/>
  <c r="AM696" i="1"/>
  <c r="AO696" i="1"/>
  <c r="AP696" i="1"/>
  <c r="AM697" i="1"/>
  <c r="AO697" i="1"/>
  <c r="AP697" i="1"/>
  <c r="AM698" i="1"/>
  <c r="AO698" i="1"/>
  <c r="AP698" i="1"/>
  <c r="AM699" i="1"/>
  <c r="AO699" i="1"/>
  <c r="AP699" i="1"/>
  <c r="AM700" i="1"/>
  <c r="AO700" i="1"/>
  <c r="AP700" i="1"/>
  <c r="AM701" i="1"/>
  <c r="AO701" i="1"/>
  <c r="AP701" i="1"/>
  <c r="AM702" i="1"/>
  <c r="AO702" i="1"/>
  <c r="AP702" i="1"/>
  <c r="AM703" i="1"/>
  <c r="AO703" i="1"/>
  <c r="AP703" i="1"/>
  <c r="AM704" i="1"/>
  <c r="AO704" i="1"/>
  <c r="AP704" i="1"/>
  <c r="AM705" i="1"/>
  <c r="AO705" i="1"/>
  <c r="AP705" i="1"/>
  <c r="AM706" i="1"/>
  <c r="AO706" i="1"/>
  <c r="AP706" i="1"/>
  <c r="AM707" i="1"/>
  <c r="AO707" i="1"/>
  <c r="AP707" i="1"/>
  <c r="AM708" i="1"/>
  <c r="AO708" i="1"/>
  <c r="AP708" i="1"/>
  <c r="AM709" i="1"/>
  <c r="AO709" i="1"/>
  <c r="AP709" i="1"/>
  <c r="AM710" i="1"/>
  <c r="AO710" i="1"/>
  <c r="AP710" i="1"/>
  <c r="AM711" i="1"/>
  <c r="AO711" i="1"/>
  <c r="AP711" i="1"/>
  <c r="AM712" i="1"/>
  <c r="AO712" i="1"/>
  <c r="AP712" i="1"/>
  <c r="AM713" i="1"/>
  <c r="AO713" i="1"/>
  <c r="AP713" i="1"/>
  <c r="AM714" i="1"/>
  <c r="AO714" i="1"/>
  <c r="AP714" i="1"/>
  <c r="AM715" i="1"/>
  <c r="AO715" i="1"/>
  <c r="AP715" i="1"/>
  <c r="AM716" i="1"/>
  <c r="AO716" i="1"/>
  <c r="AP716" i="1"/>
  <c r="AM717" i="1"/>
  <c r="AO717" i="1"/>
  <c r="AP717" i="1"/>
  <c r="AM718" i="1"/>
  <c r="AO718" i="1"/>
  <c r="AP718" i="1"/>
  <c r="AM719" i="1"/>
  <c r="AO719" i="1"/>
  <c r="AP719" i="1"/>
  <c r="AM720" i="1"/>
  <c r="AO720" i="1"/>
  <c r="AP720" i="1"/>
  <c r="AM721" i="1"/>
  <c r="AO721" i="1"/>
  <c r="AP721" i="1"/>
  <c r="AM722" i="1"/>
  <c r="AO722" i="1"/>
  <c r="AP722" i="1"/>
  <c r="AM723" i="1"/>
  <c r="AO723" i="1"/>
  <c r="AP723" i="1"/>
  <c r="AM724" i="1"/>
  <c r="AO724" i="1"/>
  <c r="AP724" i="1"/>
  <c r="AM725" i="1"/>
  <c r="AO725" i="1"/>
  <c r="AP725" i="1"/>
  <c r="AM726" i="1"/>
  <c r="AO726" i="1"/>
  <c r="AP726" i="1"/>
  <c r="AM727" i="1"/>
  <c r="AO727" i="1"/>
  <c r="AP727" i="1"/>
  <c r="AM728" i="1"/>
  <c r="AO728" i="1"/>
  <c r="AP728" i="1"/>
  <c r="AM729" i="1"/>
  <c r="AO729" i="1"/>
  <c r="AP729" i="1"/>
  <c r="AM730" i="1"/>
  <c r="AO730" i="1"/>
  <c r="AP730" i="1"/>
  <c r="AM731" i="1"/>
  <c r="AO731" i="1"/>
  <c r="AP731" i="1"/>
  <c r="AM732" i="1"/>
  <c r="AO732" i="1"/>
  <c r="AP732" i="1"/>
  <c r="AM733" i="1"/>
  <c r="AO733" i="1"/>
  <c r="AP733" i="1"/>
  <c r="AM734" i="1"/>
  <c r="AO734" i="1"/>
  <c r="AP734" i="1"/>
  <c r="AM735" i="1"/>
  <c r="AO735" i="1"/>
  <c r="AP735" i="1"/>
  <c r="AM736" i="1"/>
  <c r="AO736" i="1"/>
  <c r="AP736" i="1"/>
  <c r="AM737" i="1"/>
  <c r="AO737" i="1"/>
  <c r="AP737" i="1"/>
  <c r="AM738" i="1"/>
  <c r="AO738" i="1"/>
  <c r="AP738" i="1"/>
  <c r="AM739" i="1"/>
  <c r="AO739" i="1"/>
  <c r="AP739" i="1"/>
  <c r="AM740" i="1"/>
  <c r="AO740" i="1"/>
  <c r="AP740" i="1"/>
  <c r="AM741" i="1"/>
  <c r="AO741" i="1"/>
  <c r="AP741" i="1"/>
  <c r="AM742" i="1"/>
  <c r="AO742" i="1"/>
  <c r="AP742" i="1"/>
  <c r="AM743" i="1"/>
  <c r="AO743" i="1"/>
  <c r="AP743" i="1"/>
  <c r="AM744" i="1"/>
  <c r="AO744" i="1"/>
  <c r="AP744" i="1"/>
  <c r="AM745" i="1"/>
  <c r="AO745" i="1"/>
  <c r="AP745" i="1"/>
  <c r="AM746" i="1"/>
  <c r="AO746" i="1"/>
  <c r="AP746" i="1"/>
  <c r="AM747" i="1"/>
  <c r="AO747" i="1"/>
  <c r="AP747" i="1"/>
  <c r="AM748" i="1"/>
  <c r="AO748" i="1"/>
  <c r="AP748" i="1"/>
  <c r="AM749" i="1"/>
  <c r="AO749" i="1"/>
  <c r="AP749" i="1"/>
  <c r="AM750" i="1"/>
  <c r="AO750" i="1"/>
  <c r="AP750" i="1"/>
  <c r="AM751" i="1"/>
  <c r="AO751" i="1"/>
  <c r="AP751" i="1"/>
  <c r="AM752" i="1"/>
  <c r="AO752" i="1"/>
  <c r="AP752" i="1"/>
  <c r="AM753" i="1"/>
  <c r="AO753" i="1"/>
  <c r="AP753" i="1"/>
  <c r="AM754" i="1"/>
  <c r="AO754" i="1"/>
  <c r="AP754" i="1"/>
  <c r="AM755" i="1"/>
  <c r="AO755" i="1"/>
  <c r="AP755" i="1"/>
  <c r="AM756" i="1"/>
  <c r="AO756" i="1"/>
  <c r="AP756" i="1"/>
  <c r="AM757" i="1"/>
  <c r="AO757" i="1"/>
  <c r="AP757" i="1"/>
  <c r="AM758" i="1"/>
  <c r="AO758" i="1"/>
  <c r="AP758" i="1"/>
  <c r="AM759" i="1"/>
  <c r="AO759" i="1"/>
  <c r="AP759" i="1"/>
  <c r="AM760" i="1"/>
  <c r="AO760" i="1"/>
  <c r="AP760" i="1"/>
  <c r="AM761" i="1"/>
  <c r="AO761" i="1"/>
  <c r="AP761" i="1"/>
  <c r="AM762" i="1"/>
  <c r="AO762" i="1"/>
  <c r="AP762" i="1"/>
  <c r="AM763" i="1"/>
  <c r="AO763" i="1"/>
  <c r="AP763" i="1"/>
  <c r="AM764" i="1"/>
  <c r="AO764" i="1"/>
  <c r="AP764" i="1"/>
  <c r="AM765" i="1"/>
  <c r="AO765" i="1"/>
  <c r="AP765" i="1"/>
  <c r="AM766" i="1"/>
  <c r="AO766" i="1"/>
  <c r="AP766" i="1"/>
  <c r="AM767" i="1"/>
  <c r="AO767" i="1"/>
  <c r="AP767" i="1"/>
  <c r="AM768" i="1"/>
  <c r="AO768" i="1"/>
  <c r="AP768" i="1"/>
  <c r="AM769" i="1"/>
  <c r="AO769" i="1"/>
  <c r="AP769" i="1"/>
  <c r="AM770" i="1"/>
  <c r="AO770" i="1"/>
  <c r="AP770" i="1"/>
  <c r="AM771" i="1"/>
  <c r="AO771" i="1"/>
  <c r="AP771" i="1"/>
  <c r="AM772" i="1"/>
  <c r="AO772" i="1"/>
  <c r="AP772" i="1"/>
  <c r="AM773" i="1"/>
  <c r="AO773" i="1"/>
  <c r="AP773" i="1"/>
  <c r="AM774" i="1"/>
  <c r="AO774" i="1"/>
  <c r="AP774" i="1"/>
  <c r="AM775" i="1"/>
  <c r="AO775" i="1"/>
  <c r="AP775" i="1"/>
  <c r="AM776" i="1"/>
  <c r="AO776" i="1"/>
  <c r="AP776" i="1"/>
  <c r="AM777" i="1"/>
  <c r="AO777" i="1"/>
  <c r="AP777" i="1"/>
  <c r="AM778" i="1"/>
  <c r="AO778" i="1"/>
  <c r="AP778" i="1"/>
  <c r="AM779" i="1"/>
  <c r="AO779" i="1"/>
  <c r="AP779" i="1"/>
  <c r="AM780" i="1"/>
  <c r="AO780" i="1"/>
  <c r="AP780" i="1"/>
  <c r="AM781" i="1"/>
  <c r="AO781" i="1"/>
  <c r="AP781" i="1"/>
  <c r="AM782" i="1"/>
  <c r="AO782" i="1"/>
  <c r="AP782" i="1"/>
  <c r="AM783" i="1"/>
  <c r="AO783" i="1"/>
  <c r="AP783" i="1"/>
  <c r="AM784" i="1"/>
  <c r="AO784" i="1"/>
  <c r="AP784" i="1"/>
  <c r="AM785" i="1"/>
  <c r="AO785" i="1"/>
  <c r="AP785" i="1"/>
  <c r="AM786" i="1"/>
  <c r="AO786" i="1"/>
  <c r="AP786" i="1"/>
  <c r="AM787" i="1"/>
  <c r="AO787" i="1"/>
  <c r="AP787" i="1"/>
  <c r="AM788" i="1"/>
  <c r="AO788" i="1"/>
  <c r="AP788" i="1"/>
  <c r="AM789" i="1"/>
  <c r="AO789" i="1"/>
  <c r="AP789" i="1"/>
  <c r="AM790" i="1"/>
  <c r="AO790" i="1"/>
  <c r="AP790" i="1"/>
  <c r="AM791" i="1"/>
  <c r="AO791" i="1"/>
  <c r="AP791" i="1"/>
  <c r="AM792" i="1"/>
  <c r="AO792" i="1"/>
  <c r="AP792" i="1"/>
  <c r="AM793" i="1"/>
  <c r="AO793" i="1"/>
  <c r="AP793" i="1"/>
  <c r="AM794" i="1"/>
  <c r="AO794" i="1"/>
  <c r="AP794" i="1"/>
  <c r="AM795" i="1"/>
  <c r="AO795" i="1"/>
  <c r="AP795" i="1"/>
  <c r="AM796" i="1"/>
  <c r="AO796" i="1"/>
  <c r="AP796" i="1"/>
  <c r="AM797" i="1"/>
  <c r="AO797" i="1"/>
  <c r="AP797" i="1"/>
  <c r="AM798" i="1"/>
  <c r="AO798" i="1"/>
  <c r="AP798" i="1"/>
  <c r="AM799" i="1"/>
  <c r="AO799" i="1"/>
  <c r="AP799" i="1"/>
  <c r="AM800" i="1"/>
  <c r="AO800" i="1"/>
  <c r="AP800" i="1"/>
  <c r="AM801" i="1"/>
  <c r="AO801" i="1"/>
  <c r="AP801" i="1"/>
  <c r="AM802" i="1"/>
  <c r="AO802" i="1"/>
  <c r="AP802" i="1"/>
  <c r="AM803" i="1"/>
  <c r="AO803" i="1"/>
  <c r="AP803" i="1"/>
  <c r="AM804" i="1"/>
  <c r="AO804" i="1"/>
  <c r="AP804" i="1"/>
  <c r="AM805" i="1"/>
  <c r="AO805" i="1"/>
  <c r="AP805" i="1"/>
  <c r="AM806" i="1"/>
  <c r="AO806" i="1"/>
  <c r="AP806" i="1"/>
  <c r="AM807" i="1"/>
  <c r="AO807" i="1"/>
  <c r="AP807" i="1"/>
  <c r="AM808" i="1"/>
  <c r="AO808" i="1"/>
  <c r="AP808" i="1"/>
  <c r="AM809" i="1"/>
  <c r="AO809" i="1"/>
  <c r="AP809" i="1"/>
  <c r="AM810" i="1"/>
  <c r="AO810" i="1"/>
  <c r="AP810" i="1"/>
  <c r="AM811" i="1"/>
  <c r="AO811" i="1"/>
  <c r="AP811" i="1"/>
  <c r="AM812" i="1"/>
  <c r="AO812" i="1"/>
  <c r="AP812" i="1"/>
  <c r="AM813" i="1"/>
  <c r="AO813" i="1"/>
  <c r="AP813" i="1"/>
  <c r="AM814" i="1"/>
  <c r="AO814" i="1"/>
  <c r="AP814" i="1"/>
  <c r="AM815" i="1"/>
  <c r="AO815" i="1"/>
  <c r="AP815" i="1"/>
  <c r="AM816" i="1"/>
  <c r="AO816" i="1"/>
  <c r="AP816" i="1"/>
  <c r="AM817" i="1"/>
  <c r="AO817" i="1"/>
  <c r="AP817" i="1"/>
  <c r="AM818" i="1"/>
  <c r="AO818" i="1"/>
  <c r="AP818" i="1"/>
  <c r="AM819" i="1"/>
  <c r="AO819" i="1"/>
  <c r="AP819" i="1"/>
  <c r="AM820" i="1"/>
  <c r="AO820" i="1"/>
  <c r="AP820" i="1"/>
  <c r="AM821" i="1"/>
  <c r="AO821" i="1"/>
  <c r="AP821" i="1"/>
  <c r="AM822" i="1"/>
  <c r="AO822" i="1"/>
  <c r="AP822" i="1"/>
  <c r="AM823" i="1"/>
  <c r="AO823" i="1"/>
  <c r="AP823" i="1"/>
  <c r="AM824" i="1"/>
  <c r="AO824" i="1"/>
  <c r="AP824" i="1"/>
  <c r="AM825" i="1"/>
  <c r="AO825" i="1"/>
  <c r="AP825" i="1"/>
  <c r="AM826" i="1"/>
  <c r="AO826" i="1"/>
  <c r="AP826" i="1"/>
  <c r="AM827" i="1"/>
  <c r="AO827" i="1"/>
  <c r="AP827" i="1"/>
  <c r="AM828" i="1"/>
  <c r="AO828" i="1"/>
  <c r="AP828" i="1"/>
  <c r="AM829" i="1"/>
  <c r="AO829" i="1"/>
  <c r="AP829" i="1"/>
  <c r="AM830" i="1"/>
  <c r="AO830" i="1"/>
  <c r="AP830" i="1"/>
  <c r="AM831" i="1"/>
  <c r="AO831" i="1"/>
  <c r="AP831" i="1"/>
  <c r="AM832" i="1"/>
  <c r="AO832" i="1"/>
  <c r="AP832" i="1"/>
  <c r="AM833" i="1"/>
  <c r="AO833" i="1"/>
  <c r="AP833" i="1"/>
  <c r="AM834" i="1"/>
  <c r="AO834" i="1"/>
  <c r="AP834" i="1"/>
  <c r="AM835" i="1"/>
  <c r="AO835" i="1"/>
  <c r="AP835" i="1"/>
  <c r="AM836" i="1"/>
  <c r="AO836" i="1"/>
  <c r="AP836" i="1"/>
  <c r="AM837" i="1"/>
  <c r="AO837" i="1"/>
  <c r="AP837" i="1"/>
  <c r="AM838" i="1"/>
  <c r="AO838" i="1"/>
  <c r="AP838" i="1"/>
  <c r="AM839" i="1"/>
  <c r="AO839" i="1"/>
  <c r="AP839" i="1"/>
  <c r="AM840" i="1"/>
  <c r="AO840" i="1"/>
  <c r="AP840" i="1"/>
  <c r="AM841" i="1"/>
  <c r="AO841" i="1"/>
  <c r="AP841" i="1"/>
  <c r="AM842" i="1"/>
  <c r="AO842" i="1"/>
  <c r="AP842" i="1"/>
  <c r="AM843" i="1"/>
  <c r="AO843" i="1"/>
  <c r="AP843" i="1"/>
  <c r="AM844" i="1"/>
  <c r="AO844" i="1"/>
  <c r="AP844" i="1"/>
  <c r="AM845" i="1"/>
  <c r="AO845" i="1"/>
  <c r="AP845" i="1"/>
  <c r="AM846" i="1"/>
  <c r="AO846" i="1"/>
  <c r="AP846" i="1"/>
  <c r="AM847" i="1"/>
  <c r="AO847" i="1"/>
  <c r="AP847" i="1"/>
  <c r="AM848" i="1"/>
  <c r="AO848" i="1"/>
  <c r="AP848" i="1"/>
  <c r="AM849" i="1"/>
  <c r="AO849" i="1"/>
  <c r="AP849" i="1"/>
  <c r="AM850" i="1"/>
  <c r="AO850" i="1"/>
  <c r="AP850" i="1"/>
  <c r="AM851" i="1"/>
  <c r="AO851" i="1"/>
  <c r="AP851" i="1"/>
  <c r="AM852" i="1"/>
  <c r="AO852" i="1"/>
  <c r="AP852" i="1"/>
  <c r="AM853" i="1"/>
  <c r="AO853" i="1"/>
  <c r="AP853" i="1"/>
  <c r="AM854" i="1"/>
  <c r="AO854" i="1"/>
  <c r="AP854" i="1"/>
  <c r="AM855" i="1"/>
  <c r="AO855" i="1"/>
  <c r="AP855" i="1"/>
  <c r="AM856" i="1"/>
  <c r="AO856" i="1"/>
  <c r="AP856" i="1"/>
  <c r="AM857" i="1"/>
  <c r="AO857" i="1"/>
  <c r="AP857" i="1"/>
  <c r="AM858" i="1"/>
  <c r="AO858" i="1"/>
  <c r="AP858" i="1"/>
  <c r="AM859" i="1"/>
  <c r="AO859" i="1"/>
  <c r="AP859" i="1"/>
  <c r="AM860" i="1"/>
  <c r="AO860" i="1"/>
  <c r="AP860" i="1"/>
  <c r="AM861" i="1"/>
  <c r="AO861" i="1"/>
  <c r="AP861" i="1"/>
  <c r="AM862" i="1"/>
  <c r="AO862" i="1"/>
  <c r="AP862" i="1"/>
  <c r="AM863" i="1"/>
  <c r="AO863" i="1"/>
  <c r="AP863" i="1"/>
  <c r="AM864" i="1"/>
  <c r="AO864" i="1"/>
  <c r="AP864" i="1"/>
  <c r="AM865" i="1"/>
  <c r="AO865" i="1"/>
  <c r="AP865" i="1"/>
  <c r="AM866" i="1"/>
  <c r="AO866" i="1"/>
  <c r="AP866" i="1"/>
  <c r="AM867" i="1"/>
  <c r="AO867" i="1"/>
  <c r="AP867" i="1"/>
  <c r="AM868" i="1"/>
  <c r="AO868" i="1"/>
  <c r="AP868" i="1"/>
  <c r="AM869" i="1"/>
  <c r="AO869" i="1"/>
  <c r="AP869" i="1"/>
  <c r="AM870" i="1"/>
  <c r="AO870" i="1"/>
  <c r="AP870" i="1"/>
  <c r="AM871" i="1"/>
  <c r="AO871" i="1"/>
  <c r="AP871" i="1"/>
  <c r="AM872" i="1"/>
  <c r="AO872" i="1"/>
  <c r="AP872" i="1"/>
  <c r="AM873" i="1"/>
  <c r="AO873" i="1"/>
  <c r="AP873" i="1"/>
  <c r="AM874" i="1"/>
  <c r="AO874" i="1"/>
  <c r="AP874" i="1"/>
  <c r="AM875" i="1"/>
  <c r="AO875" i="1"/>
  <c r="AP875" i="1"/>
  <c r="AM876" i="1"/>
  <c r="AO876" i="1"/>
  <c r="AP876" i="1"/>
  <c r="AM877" i="1"/>
  <c r="AO877" i="1"/>
  <c r="AP877" i="1"/>
  <c r="AM878" i="1"/>
  <c r="AO878" i="1"/>
  <c r="AP878" i="1"/>
  <c r="AM879" i="1"/>
  <c r="AO879" i="1"/>
  <c r="AP879" i="1"/>
  <c r="AM880" i="1"/>
  <c r="AO880" i="1"/>
  <c r="AP880" i="1"/>
  <c r="AM881" i="1"/>
  <c r="AO881" i="1"/>
  <c r="AP881" i="1"/>
  <c r="AM882" i="1"/>
  <c r="AO882" i="1"/>
  <c r="AP882" i="1"/>
  <c r="AM883" i="1"/>
  <c r="AO883" i="1"/>
  <c r="AP883" i="1"/>
  <c r="AM884" i="1"/>
  <c r="AO884" i="1"/>
  <c r="AP884" i="1"/>
  <c r="AM885" i="1"/>
  <c r="AO885" i="1"/>
  <c r="AP885" i="1"/>
  <c r="AM886" i="1"/>
  <c r="AO886" i="1"/>
  <c r="AP886" i="1"/>
  <c r="AM887" i="1"/>
  <c r="AO887" i="1"/>
  <c r="AP887" i="1"/>
  <c r="AM888" i="1"/>
  <c r="AO888" i="1"/>
  <c r="AP888" i="1"/>
  <c r="AM889" i="1"/>
  <c r="AO889" i="1"/>
  <c r="AP889" i="1"/>
  <c r="AM890" i="1"/>
  <c r="AO890" i="1"/>
  <c r="AP890" i="1"/>
  <c r="AM891" i="1"/>
  <c r="AO891" i="1"/>
  <c r="AP891" i="1"/>
  <c r="AM892" i="1"/>
  <c r="AO892" i="1"/>
  <c r="AP892" i="1"/>
  <c r="AM893" i="1"/>
  <c r="AO893" i="1"/>
  <c r="AP893" i="1"/>
  <c r="AM894" i="1"/>
  <c r="AO894" i="1"/>
  <c r="AP894" i="1"/>
  <c r="AM895" i="1"/>
  <c r="AO895" i="1"/>
  <c r="AP895" i="1"/>
  <c r="AM896" i="1"/>
  <c r="AO896" i="1"/>
  <c r="AP896" i="1"/>
  <c r="AM897" i="1"/>
  <c r="AO897" i="1"/>
  <c r="AP897" i="1"/>
  <c r="AM898" i="1"/>
  <c r="AO898" i="1"/>
  <c r="AP898" i="1"/>
  <c r="AM899" i="1"/>
  <c r="AO899" i="1"/>
  <c r="AP899" i="1"/>
  <c r="AM900" i="1"/>
  <c r="AO900" i="1"/>
  <c r="AP900" i="1"/>
  <c r="AM901" i="1"/>
  <c r="AO901" i="1"/>
  <c r="AP901" i="1"/>
  <c r="AM902" i="1"/>
  <c r="AO902" i="1"/>
  <c r="AP902" i="1"/>
  <c r="AM903" i="1"/>
  <c r="AO903" i="1"/>
  <c r="AP903" i="1"/>
  <c r="AM904" i="1"/>
  <c r="AO904" i="1"/>
  <c r="AP904" i="1"/>
  <c r="AM905" i="1"/>
  <c r="AO905" i="1"/>
  <c r="AP905" i="1"/>
  <c r="AM906" i="1"/>
  <c r="AO906" i="1"/>
  <c r="AP906" i="1"/>
  <c r="AM907" i="1"/>
  <c r="AO907" i="1"/>
  <c r="AP907" i="1"/>
  <c r="AM908" i="1"/>
  <c r="AO908" i="1"/>
  <c r="AP908" i="1"/>
  <c r="AM909" i="1"/>
  <c r="AO909" i="1"/>
  <c r="AP909" i="1"/>
  <c r="AM910" i="1"/>
  <c r="AO910" i="1"/>
  <c r="AP910" i="1"/>
  <c r="AM911" i="1"/>
  <c r="AO911" i="1"/>
  <c r="AP911" i="1"/>
  <c r="AM912" i="1"/>
  <c r="AO912" i="1"/>
  <c r="AP912" i="1"/>
  <c r="AM913" i="1"/>
  <c r="AO913" i="1"/>
  <c r="AP913" i="1"/>
  <c r="AM914" i="1"/>
  <c r="AO914" i="1"/>
  <c r="AP914" i="1"/>
  <c r="AM915" i="1"/>
  <c r="AO915" i="1"/>
  <c r="AP915" i="1"/>
  <c r="AM918" i="1"/>
  <c r="AO918" i="1"/>
  <c r="AP918" i="1"/>
  <c r="AM919" i="1"/>
  <c r="AO919" i="1"/>
  <c r="AP919" i="1"/>
  <c r="AM920" i="1"/>
  <c r="AO920" i="1"/>
  <c r="AP920" i="1"/>
  <c r="AM922" i="1"/>
  <c r="AO922" i="1"/>
  <c r="AP922" i="1"/>
  <c r="AM923" i="1"/>
  <c r="AO923" i="1"/>
  <c r="AP923" i="1"/>
  <c r="AM924" i="1"/>
  <c r="AO924" i="1"/>
  <c r="AP924" i="1"/>
  <c r="AM925" i="1"/>
  <c r="AO925" i="1"/>
  <c r="AP925" i="1"/>
  <c r="AM926" i="1"/>
  <c r="AO926" i="1"/>
  <c r="AP926" i="1"/>
  <c r="AM927" i="1"/>
  <c r="AO927" i="1"/>
  <c r="AP927" i="1"/>
  <c r="AM928" i="1"/>
  <c r="AO928" i="1"/>
  <c r="AP928" i="1"/>
  <c r="AM929" i="1"/>
  <c r="AO929" i="1"/>
  <c r="AP929" i="1"/>
  <c r="AM930" i="1"/>
  <c r="AO930" i="1"/>
  <c r="AP930" i="1"/>
  <c r="AM931" i="1"/>
  <c r="AO931" i="1"/>
  <c r="AP931" i="1"/>
  <c r="AM932" i="1"/>
  <c r="AO932" i="1"/>
  <c r="AP932" i="1"/>
  <c r="AM933" i="1"/>
  <c r="AO933" i="1"/>
  <c r="AP933" i="1"/>
  <c r="AM934" i="1"/>
  <c r="AO934" i="1"/>
  <c r="AP934" i="1"/>
  <c r="AM935" i="1"/>
  <c r="AO935" i="1"/>
  <c r="AP935" i="1"/>
  <c r="AM936" i="1"/>
  <c r="AO936" i="1"/>
  <c r="AP936" i="1"/>
  <c r="AM937" i="1"/>
  <c r="AO937" i="1"/>
  <c r="AP937" i="1"/>
  <c r="AM938" i="1"/>
  <c r="AO938" i="1"/>
  <c r="AP938" i="1"/>
  <c r="AM939" i="1"/>
  <c r="AO939" i="1"/>
  <c r="AP939" i="1"/>
  <c r="AM940" i="1"/>
  <c r="AO940" i="1"/>
  <c r="AP940" i="1"/>
  <c r="AM941" i="1"/>
  <c r="AO941" i="1"/>
  <c r="AP941" i="1"/>
  <c r="AM942" i="1"/>
  <c r="AO942" i="1"/>
  <c r="AP942" i="1"/>
  <c r="AM943" i="1"/>
  <c r="AO943" i="1"/>
  <c r="AP943" i="1"/>
  <c r="AM944" i="1"/>
  <c r="AO944" i="1"/>
  <c r="AP944" i="1"/>
  <c r="AM945" i="1"/>
  <c r="AO945" i="1"/>
  <c r="AP945" i="1"/>
  <c r="AM946" i="1"/>
  <c r="AO946" i="1"/>
  <c r="AP946" i="1"/>
  <c r="AM947" i="1"/>
  <c r="AO947" i="1"/>
  <c r="AP947" i="1"/>
  <c r="AM948" i="1"/>
  <c r="AO948" i="1"/>
  <c r="AP948" i="1"/>
  <c r="AM949" i="1"/>
  <c r="AO949" i="1"/>
  <c r="AP949" i="1"/>
  <c r="AM950" i="1"/>
  <c r="AO950" i="1"/>
  <c r="AP950" i="1"/>
  <c r="AM951" i="1"/>
  <c r="AO951" i="1"/>
  <c r="AP951" i="1"/>
  <c r="AM952" i="1"/>
  <c r="AO952" i="1"/>
  <c r="AP952" i="1"/>
  <c r="AM953" i="1"/>
  <c r="AO953" i="1"/>
  <c r="AP953" i="1"/>
  <c r="AM954" i="1"/>
  <c r="AO954" i="1"/>
  <c r="AP954" i="1"/>
  <c r="AM955" i="1"/>
  <c r="AO955" i="1"/>
  <c r="AP955" i="1"/>
  <c r="AM956" i="1"/>
  <c r="AO956" i="1"/>
  <c r="AP956" i="1"/>
  <c r="AM957" i="1"/>
  <c r="AO957" i="1"/>
  <c r="AP957" i="1"/>
  <c r="AM958" i="1"/>
  <c r="AO958" i="1"/>
  <c r="AP958" i="1"/>
  <c r="AM959" i="1"/>
  <c r="AO959" i="1"/>
  <c r="AP959" i="1"/>
  <c r="AM960" i="1"/>
  <c r="AO960" i="1"/>
  <c r="AP960" i="1"/>
  <c r="AM961" i="1"/>
  <c r="AO961" i="1"/>
  <c r="AP961" i="1"/>
  <c r="AM962" i="1"/>
  <c r="AO962" i="1"/>
  <c r="AP962" i="1"/>
  <c r="AM963" i="1"/>
  <c r="AO963" i="1"/>
  <c r="AP963" i="1"/>
  <c r="AM964" i="1"/>
  <c r="AO964" i="1"/>
  <c r="AP964" i="1"/>
  <c r="AM965" i="1"/>
  <c r="AO965" i="1"/>
  <c r="AP965" i="1"/>
  <c r="AM966" i="1"/>
  <c r="AO966" i="1"/>
  <c r="AP966" i="1"/>
  <c r="AM967" i="1"/>
  <c r="AO967" i="1"/>
  <c r="AP967" i="1"/>
  <c r="AM968" i="1"/>
  <c r="AO968" i="1"/>
  <c r="AP968" i="1"/>
  <c r="AM969" i="1"/>
  <c r="AO969" i="1"/>
  <c r="AP969" i="1"/>
  <c r="AM970" i="1"/>
  <c r="AO970" i="1"/>
  <c r="AP970" i="1"/>
  <c r="AM971" i="1"/>
  <c r="AO971" i="1"/>
  <c r="AP971" i="1"/>
  <c r="AM972" i="1"/>
  <c r="AO972" i="1"/>
  <c r="AP972" i="1"/>
  <c r="AM973" i="1"/>
  <c r="AO973" i="1"/>
  <c r="AP973" i="1"/>
  <c r="AM974" i="1"/>
  <c r="AO974" i="1"/>
  <c r="AP974" i="1"/>
  <c r="AM975" i="1"/>
  <c r="AO975" i="1"/>
  <c r="AP975" i="1"/>
  <c r="AM976" i="1"/>
  <c r="AO976" i="1"/>
  <c r="AP976" i="1"/>
  <c r="AM977" i="1"/>
  <c r="AO977" i="1"/>
  <c r="AP977" i="1"/>
  <c r="AM978" i="1"/>
  <c r="AO978" i="1"/>
  <c r="AP978" i="1"/>
  <c r="AM979" i="1"/>
  <c r="AO979" i="1"/>
  <c r="AP979" i="1"/>
  <c r="AM980" i="1"/>
  <c r="AO980" i="1"/>
  <c r="AP980" i="1"/>
  <c r="AM981" i="1"/>
  <c r="AO981" i="1"/>
  <c r="AP981" i="1"/>
  <c r="AM982" i="1"/>
  <c r="AO982" i="1"/>
  <c r="AP982" i="1"/>
  <c r="AM983" i="1"/>
  <c r="AO983" i="1"/>
  <c r="AP983" i="1"/>
  <c r="AM984" i="1"/>
  <c r="AO984" i="1"/>
  <c r="AP984" i="1"/>
  <c r="AM985" i="1"/>
  <c r="AO985" i="1"/>
  <c r="AP985" i="1"/>
  <c r="AM986" i="1"/>
  <c r="AO986" i="1"/>
  <c r="AP986" i="1"/>
  <c r="AM987" i="1"/>
  <c r="AO987" i="1"/>
  <c r="AP987" i="1"/>
  <c r="AM988" i="1"/>
  <c r="AO988" i="1"/>
  <c r="AP988" i="1"/>
  <c r="AM989" i="1"/>
  <c r="AO989" i="1"/>
  <c r="AP989" i="1"/>
  <c r="AM990" i="1"/>
  <c r="AO990" i="1"/>
  <c r="AP990" i="1"/>
  <c r="AM991" i="1"/>
  <c r="AO991" i="1"/>
  <c r="AP991" i="1"/>
  <c r="AM992" i="1"/>
  <c r="AO992" i="1"/>
  <c r="AP992" i="1"/>
  <c r="AM993" i="1"/>
  <c r="AO993" i="1"/>
  <c r="AP993" i="1"/>
  <c r="AM994" i="1"/>
  <c r="AO994" i="1"/>
  <c r="AP994" i="1"/>
  <c r="AM995" i="1"/>
  <c r="AO995" i="1"/>
  <c r="AP995" i="1"/>
  <c r="AM996" i="1"/>
  <c r="AO996" i="1"/>
  <c r="AP996" i="1"/>
  <c r="AM997" i="1"/>
  <c r="AO997" i="1"/>
  <c r="AP997" i="1"/>
  <c r="AM998" i="1"/>
  <c r="AO998" i="1"/>
  <c r="AP998" i="1"/>
  <c r="AM999" i="1"/>
  <c r="AO999" i="1"/>
  <c r="AP999" i="1"/>
  <c r="AM1000" i="1"/>
  <c r="AO1000" i="1"/>
  <c r="AP1000" i="1"/>
  <c r="AM1001" i="1"/>
  <c r="AO1001" i="1"/>
  <c r="AP1001" i="1"/>
  <c r="AM1002" i="1"/>
  <c r="AO1002" i="1"/>
  <c r="AP1002" i="1"/>
  <c r="AM1003" i="1"/>
  <c r="AO1003" i="1"/>
  <c r="AP1003" i="1"/>
  <c r="AM1004" i="1"/>
  <c r="AO1004" i="1"/>
  <c r="AP1004" i="1"/>
  <c r="AM1005" i="1"/>
  <c r="AO1005" i="1"/>
  <c r="AP1005" i="1"/>
  <c r="AM1006" i="1"/>
  <c r="AO1006" i="1"/>
  <c r="AP1006" i="1"/>
  <c r="AM1007" i="1"/>
  <c r="AO1007" i="1"/>
  <c r="AP1007" i="1"/>
  <c r="AM1008" i="1"/>
  <c r="AO1008" i="1"/>
  <c r="AP1008" i="1"/>
  <c r="AM1009" i="1"/>
  <c r="AO1009" i="1"/>
  <c r="AP1009" i="1"/>
  <c r="AM1010" i="1"/>
  <c r="AO1010" i="1"/>
  <c r="AP1010" i="1"/>
  <c r="AM1011" i="1"/>
  <c r="AO1011" i="1"/>
  <c r="AP1011" i="1"/>
  <c r="AM1012" i="1"/>
  <c r="AO1012" i="1"/>
  <c r="AP1012" i="1"/>
  <c r="AM1013" i="1"/>
  <c r="AO1013" i="1"/>
  <c r="AP1013" i="1"/>
  <c r="AM1014" i="1"/>
  <c r="AO1014" i="1"/>
  <c r="AP1014" i="1"/>
  <c r="AM1015" i="1"/>
  <c r="AO1015" i="1"/>
  <c r="AP1015" i="1"/>
  <c r="AM1016" i="1"/>
  <c r="AO1016" i="1"/>
  <c r="AP1016" i="1"/>
  <c r="AM1017" i="1"/>
  <c r="AO1017" i="1"/>
  <c r="AP1017" i="1"/>
  <c r="AM1018" i="1"/>
  <c r="AO1018" i="1"/>
  <c r="AP1018" i="1"/>
  <c r="AM1019" i="1"/>
  <c r="AO1019" i="1"/>
  <c r="AP1019" i="1"/>
  <c r="AM1020" i="1"/>
  <c r="AO1020" i="1"/>
  <c r="AP1020" i="1"/>
  <c r="AM1021" i="1"/>
  <c r="AO1021" i="1"/>
  <c r="AP1021" i="1"/>
  <c r="AM1022" i="1"/>
  <c r="AO1022" i="1"/>
  <c r="AP1022" i="1"/>
  <c r="AM1023" i="1"/>
  <c r="AO1023" i="1"/>
  <c r="AP1023" i="1"/>
  <c r="AM1024" i="1"/>
  <c r="AO1024" i="1"/>
  <c r="AP1024" i="1"/>
  <c r="AM1025" i="1"/>
  <c r="AO1025" i="1"/>
  <c r="AP1025" i="1"/>
  <c r="AM1026" i="1"/>
  <c r="AO1026" i="1"/>
  <c r="AP1026" i="1"/>
  <c r="AM1027" i="1"/>
  <c r="AO1027" i="1"/>
  <c r="AP1027" i="1"/>
  <c r="AM1028" i="1"/>
  <c r="AO1028" i="1"/>
  <c r="AP1028" i="1"/>
  <c r="AM1029" i="1"/>
  <c r="AO1029" i="1"/>
  <c r="AP1029" i="1"/>
  <c r="AM1030" i="1"/>
  <c r="AO1030" i="1"/>
  <c r="AP1030" i="1"/>
  <c r="AM1031" i="1"/>
  <c r="AO1031" i="1"/>
  <c r="AP1031" i="1"/>
  <c r="AM1032" i="1"/>
  <c r="AO1032" i="1"/>
  <c r="AP1032" i="1"/>
  <c r="AM1033" i="1"/>
  <c r="AO1033" i="1"/>
  <c r="AP1033" i="1"/>
  <c r="AM1034" i="1"/>
  <c r="AO1034" i="1"/>
  <c r="AP1034" i="1"/>
  <c r="AM1035" i="1"/>
  <c r="AO1035" i="1"/>
  <c r="AP1035" i="1"/>
  <c r="AM1036" i="1"/>
  <c r="AO1036" i="1"/>
  <c r="AP1036" i="1"/>
  <c r="AM1037" i="1"/>
  <c r="AO1037" i="1"/>
  <c r="AP1037" i="1"/>
  <c r="AM1038" i="1"/>
  <c r="AO1038" i="1"/>
  <c r="AP1038" i="1"/>
  <c r="AM1039" i="1"/>
  <c r="AO1039" i="1"/>
  <c r="AP1039" i="1"/>
  <c r="AM1040" i="1"/>
  <c r="AO1040" i="1"/>
  <c r="AP1040" i="1"/>
  <c r="AM1041" i="1"/>
  <c r="AO1041" i="1"/>
  <c r="AP1041" i="1"/>
  <c r="AM1042" i="1"/>
  <c r="AO1042" i="1"/>
  <c r="AP1042" i="1"/>
  <c r="AM1043" i="1"/>
  <c r="AO1043" i="1"/>
  <c r="AP1043" i="1"/>
  <c r="AM1044" i="1"/>
  <c r="AO1044" i="1"/>
  <c r="AP1044" i="1"/>
  <c r="AM1045" i="1"/>
  <c r="AO1045" i="1"/>
  <c r="AP1045" i="1"/>
  <c r="AM1046" i="1"/>
  <c r="AO1046" i="1"/>
  <c r="AP1046" i="1"/>
  <c r="AM1047" i="1"/>
  <c r="AO1047" i="1"/>
  <c r="AP1047" i="1"/>
  <c r="AM1048" i="1"/>
  <c r="AO1048" i="1"/>
  <c r="AP1048" i="1"/>
  <c r="AM1049" i="1"/>
  <c r="AO1049" i="1"/>
  <c r="AP1049" i="1"/>
  <c r="AM1050" i="1"/>
  <c r="AO1050" i="1"/>
  <c r="AP1050" i="1"/>
  <c r="AM1051" i="1"/>
  <c r="AO1051" i="1"/>
  <c r="AP1051" i="1"/>
  <c r="AM1052" i="1"/>
  <c r="AO1052" i="1"/>
  <c r="AP1052" i="1"/>
  <c r="AM1053" i="1"/>
  <c r="AO1053" i="1"/>
  <c r="AP1053" i="1"/>
  <c r="AM1054" i="1"/>
  <c r="AO1054" i="1"/>
  <c r="AP1054" i="1"/>
  <c r="AM1055" i="1"/>
  <c r="AO1055" i="1"/>
  <c r="AP1055" i="1"/>
  <c r="AM1056" i="1"/>
  <c r="AO1056" i="1"/>
  <c r="AP1056" i="1"/>
  <c r="AM1057" i="1"/>
  <c r="AO1057" i="1"/>
  <c r="AP1057" i="1"/>
  <c r="AM1058" i="1"/>
  <c r="AO1058" i="1"/>
  <c r="AP1058" i="1"/>
  <c r="AM1059" i="1"/>
  <c r="AO1059" i="1"/>
  <c r="AP1059" i="1"/>
  <c r="AM1060" i="1"/>
  <c r="AO1060" i="1"/>
  <c r="AP1060" i="1"/>
  <c r="AM1061" i="1"/>
  <c r="AO1061" i="1"/>
  <c r="AP1061" i="1"/>
  <c r="AM1062" i="1"/>
  <c r="AO1062" i="1"/>
  <c r="AP1062" i="1"/>
  <c r="AM1063" i="1"/>
  <c r="AO1063" i="1"/>
  <c r="AP1063" i="1"/>
  <c r="AM1064" i="1"/>
  <c r="AO1064" i="1"/>
  <c r="AP1064" i="1"/>
  <c r="AM1065" i="1"/>
  <c r="AO1065" i="1"/>
  <c r="AP1065" i="1"/>
  <c r="AM1066" i="1"/>
  <c r="AO1066" i="1"/>
  <c r="AP1066" i="1"/>
  <c r="AM1067" i="1"/>
  <c r="AO1067" i="1"/>
  <c r="AP1067" i="1"/>
  <c r="AM1068" i="1"/>
  <c r="AO1068" i="1"/>
  <c r="AP1068" i="1"/>
  <c r="AM1069" i="1"/>
  <c r="AO1069" i="1"/>
  <c r="AP1069" i="1"/>
  <c r="AM1070" i="1"/>
  <c r="AO1070" i="1"/>
  <c r="AP1070" i="1"/>
  <c r="AM1071" i="1"/>
  <c r="AO1071" i="1"/>
  <c r="AP1071" i="1"/>
  <c r="AM1072" i="1"/>
  <c r="AO1072" i="1"/>
  <c r="AP1072" i="1"/>
  <c r="AM1073" i="1"/>
  <c r="AO1073" i="1"/>
  <c r="AP1073" i="1"/>
  <c r="AM1074" i="1"/>
  <c r="AO1074" i="1"/>
  <c r="AP1074" i="1"/>
  <c r="AM1075" i="1"/>
  <c r="AO1075" i="1"/>
  <c r="AP1075" i="1"/>
  <c r="AM1076" i="1"/>
  <c r="AO1076" i="1"/>
  <c r="AP1076" i="1"/>
  <c r="AM1077" i="1"/>
  <c r="AO1077" i="1"/>
  <c r="AP1077" i="1"/>
  <c r="AM1078" i="1"/>
  <c r="AO1078" i="1"/>
  <c r="AP1078" i="1"/>
  <c r="AM1079" i="1"/>
  <c r="AO1079" i="1"/>
  <c r="AP1079" i="1"/>
  <c r="AM1080" i="1"/>
  <c r="AO1080" i="1"/>
  <c r="AP1080" i="1"/>
  <c r="AM1081" i="1"/>
  <c r="AO1081" i="1"/>
  <c r="AP1081" i="1"/>
  <c r="AM1082" i="1"/>
  <c r="AO1082" i="1"/>
  <c r="AP1082" i="1"/>
  <c r="AM1083" i="1"/>
  <c r="AO1083" i="1"/>
  <c r="AP1083" i="1"/>
  <c r="AM1084" i="1"/>
  <c r="AO1084" i="1"/>
  <c r="AP1084" i="1"/>
  <c r="AM1085" i="1"/>
  <c r="AO1085" i="1"/>
  <c r="AP1085" i="1"/>
  <c r="AM1086" i="1"/>
  <c r="AO1086" i="1"/>
  <c r="AP1086" i="1"/>
  <c r="AM1087" i="1"/>
  <c r="AO1087" i="1"/>
  <c r="AP1087" i="1"/>
  <c r="AM1088" i="1"/>
  <c r="AO1088" i="1"/>
  <c r="AP1088" i="1"/>
  <c r="AM1089" i="1"/>
  <c r="AO1089" i="1"/>
  <c r="AP1089" i="1"/>
  <c r="AM1090" i="1"/>
  <c r="AO1090" i="1"/>
  <c r="AP1090" i="1"/>
  <c r="AM1091" i="1"/>
  <c r="AO1091" i="1"/>
  <c r="AP1091" i="1"/>
  <c r="AM1092" i="1"/>
  <c r="AO1092" i="1"/>
  <c r="AP1092" i="1"/>
  <c r="AM1093" i="1"/>
  <c r="AO1093" i="1"/>
  <c r="AP1093" i="1"/>
  <c r="AM1094" i="1"/>
  <c r="AO1094" i="1"/>
  <c r="AP1094" i="1"/>
  <c r="AM1095" i="1"/>
  <c r="AO1095" i="1"/>
  <c r="AP1095" i="1"/>
  <c r="AM1096" i="1"/>
  <c r="AO1096" i="1"/>
  <c r="AP1096" i="1"/>
  <c r="AM1097" i="1"/>
  <c r="AO1097" i="1"/>
  <c r="AP1097" i="1"/>
  <c r="AM1098" i="1"/>
  <c r="AO1098" i="1"/>
  <c r="AP1098" i="1"/>
  <c r="AM1099" i="1"/>
  <c r="AO1099" i="1"/>
  <c r="AP1099" i="1"/>
  <c r="AM1100" i="1"/>
  <c r="AO1100" i="1"/>
  <c r="AP1100" i="1"/>
  <c r="AM1101" i="1"/>
  <c r="AO1101" i="1"/>
  <c r="AP1101" i="1"/>
  <c r="AM1102" i="1"/>
  <c r="AO1102" i="1"/>
  <c r="AP1102" i="1"/>
  <c r="AM1103" i="1"/>
  <c r="AO1103" i="1"/>
  <c r="AP1103" i="1"/>
  <c r="AM1104" i="1"/>
  <c r="AO1104" i="1"/>
  <c r="AP1104" i="1"/>
  <c r="AM1105" i="1"/>
  <c r="AO1105" i="1"/>
  <c r="AP1105" i="1"/>
  <c r="AM1106" i="1"/>
  <c r="AO1106" i="1"/>
  <c r="AP1106" i="1"/>
  <c r="AM1107" i="1"/>
  <c r="AO1107" i="1"/>
  <c r="AP1107" i="1"/>
  <c r="AM1108" i="1"/>
  <c r="AO1108" i="1"/>
  <c r="AP1108" i="1"/>
  <c r="AM1109" i="1"/>
  <c r="AO1109" i="1"/>
  <c r="AP1109" i="1"/>
  <c r="AM1110" i="1"/>
  <c r="AO1110" i="1"/>
  <c r="AP1110" i="1"/>
  <c r="AM1111" i="1"/>
  <c r="AO1111" i="1"/>
  <c r="AP1111" i="1"/>
  <c r="AM1112" i="1"/>
  <c r="AO1112" i="1"/>
  <c r="AP1112" i="1"/>
  <c r="AM1113" i="1"/>
  <c r="AO1113" i="1"/>
  <c r="AP1113" i="1"/>
  <c r="AM1114" i="1"/>
  <c r="AO1114" i="1"/>
  <c r="AP1114" i="1"/>
  <c r="AM1115" i="1"/>
  <c r="AO1115" i="1"/>
  <c r="AP1115" i="1"/>
  <c r="AM1116" i="1"/>
  <c r="AO1116" i="1"/>
  <c r="AP1116" i="1"/>
  <c r="AM1117" i="1"/>
  <c r="AO1117" i="1"/>
  <c r="AP1117" i="1"/>
  <c r="AM1118" i="1"/>
  <c r="AO1118" i="1"/>
  <c r="AP1118" i="1"/>
  <c r="AM1119" i="1"/>
  <c r="AO1119" i="1"/>
  <c r="AP1119" i="1"/>
  <c r="AM1120" i="1"/>
  <c r="AO1120" i="1"/>
  <c r="AP1120" i="1"/>
  <c r="AM1121" i="1"/>
  <c r="AO1121" i="1"/>
  <c r="AP1121" i="1"/>
  <c r="AM1122" i="1"/>
  <c r="AO1122" i="1"/>
  <c r="AP1122" i="1"/>
  <c r="AM1123" i="1"/>
  <c r="AO1123" i="1"/>
  <c r="AP1123" i="1"/>
  <c r="AM1124" i="1"/>
  <c r="AO1124" i="1"/>
  <c r="AP1124" i="1"/>
  <c r="AM1125" i="1"/>
  <c r="AO1125" i="1"/>
  <c r="AP1125" i="1"/>
  <c r="AM1126" i="1"/>
  <c r="AO1126" i="1"/>
  <c r="AP1126" i="1"/>
  <c r="AM1127" i="1"/>
  <c r="AO1127" i="1"/>
  <c r="AP1127" i="1"/>
  <c r="AM1128" i="1"/>
  <c r="AO1128" i="1"/>
  <c r="AP1128" i="1"/>
  <c r="AM1129" i="1"/>
  <c r="AO1129" i="1"/>
  <c r="AP1129" i="1"/>
  <c r="AM1130" i="1"/>
  <c r="AO1130" i="1"/>
  <c r="AP1130" i="1"/>
  <c r="AM1131" i="1"/>
  <c r="AO1131" i="1"/>
  <c r="AP1131" i="1"/>
  <c r="AM1132" i="1"/>
  <c r="AO1132" i="1"/>
  <c r="AP1132" i="1"/>
  <c r="AM1133" i="1"/>
  <c r="AO1133" i="1"/>
  <c r="AP1133" i="1"/>
  <c r="AM1134" i="1"/>
  <c r="AO1134" i="1"/>
  <c r="AP1134" i="1"/>
  <c r="AM1135" i="1"/>
  <c r="AO1135" i="1"/>
  <c r="AP1135" i="1"/>
  <c r="AM1136" i="1"/>
  <c r="AO1136" i="1"/>
  <c r="AP1136" i="1"/>
  <c r="AM1137" i="1"/>
  <c r="AO1137" i="1"/>
  <c r="AP1137" i="1"/>
  <c r="AM1138" i="1"/>
  <c r="AO1138" i="1"/>
  <c r="AP1138" i="1"/>
  <c r="AM1139" i="1"/>
  <c r="AO1139" i="1"/>
  <c r="AP1139" i="1"/>
  <c r="AM1140" i="1"/>
  <c r="AO1140" i="1"/>
  <c r="AP1140" i="1"/>
  <c r="AM1141" i="1"/>
  <c r="AO1141" i="1"/>
  <c r="AP1141" i="1"/>
  <c r="AM1142" i="1"/>
  <c r="AO1142" i="1"/>
  <c r="AP1142" i="1"/>
  <c r="AM1143" i="1"/>
  <c r="AO1143" i="1"/>
  <c r="AP1143" i="1"/>
  <c r="AM1144" i="1"/>
  <c r="AO1144" i="1"/>
  <c r="AP1144" i="1"/>
  <c r="AM1145" i="1"/>
  <c r="AO1145" i="1"/>
  <c r="AP1145" i="1"/>
  <c r="AM1146" i="1"/>
  <c r="AO1146" i="1"/>
  <c r="AP1146" i="1"/>
  <c r="AM1147" i="1"/>
  <c r="AO1147" i="1"/>
  <c r="AP1147" i="1"/>
  <c r="AM1148" i="1"/>
  <c r="AO1148" i="1"/>
  <c r="AP1148" i="1"/>
  <c r="AM1149" i="1"/>
  <c r="AO1149" i="1"/>
  <c r="AP1149" i="1"/>
  <c r="AM1150" i="1"/>
  <c r="AO1150" i="1"/>
  <c r="AP1150" i="1"/>
  <c r="AM1151" i="1"/>
  <c r="AO1151" i="1"/>
  <c r="AP1151" i="1"/>
  <c r="AM1152" i="1"/>
  <c r="AO1152" i="1"/>
  <c r="AP1152" i="1"/>
  <c r="AM1153" i="1"/>
  <c r="AO1153" i="1"/>
  <c r="AP1153" i="1"/>
  <c r="AM1154" i="1"/>
  <c r="AO1154" i="1"/>
  <c r="AP1154" i="1"/>
  <c r="AM1155" i="1"/>
  <c r="AO1155" i="1"/>
  <c r="AP1155" i="1"/>
  <c r="AM1156" i="1"/>
  <c r="AO1156" i="1"/>
  <c r="AP1156" i="1"/>
  <c r="AM1157" i="1"/>
  <c r="AO1157" i="1"/>
  <c r="AP1157" i="1"/>
  <c r="AM1158" i="1"/>
  <c r="AO1158" i="1"/>
  <c r="AP1158" i="1"/>
  <c r="AM1159" i="1"/>
  <c r="AO1159" i="1"/>
  <c r="AP1159" i="1"/>
  <c r="AM1160" i="1"/>
  <c r="AO1160" i="1"/>
  <c r="AP1160" i="1"/>
  <c r="AM1161" i="1"/>
  <c r="AO1161" i="1"/>
  <c r="AP1161" i="1"/>
  <c r="AM1162" i="1"/>
  <c r="AO1162" i="1"/>
  <c r="AP1162" i="1"/>
  <c r="AM1167" i="1"/>
  <c r="AO1167" i="1"/>
  <c r="AP1167" i="1"/>
  <c r="AM1168" i="1"/>
  <c r="AO1168" i="1"/>
  <c r="AP1168" i="1"/>
  <c r="AM1169" i="1"/>
  <c r="AO1169" i="1"/>
  <c r="AP1169" i="1"/>
  <c r="AM1170" i="1"/>
  <c r="AO1170" i="1"/>
  <c r="AP1170" i="1"/>
  <c r="AM1171" i="1"/>
  <c r="AO1171" i="1"/>
  <c r="AP1171" i="1"/>
  <c r="AM1173" i="1"/>
  <c r="AO1173" i="1"/>
  <c r="AP1173" i="1"/>
  <c r="AM1174" i="1"/>
  <c r="AO1174" i="1"/>
  <c r="AP1174" i="1"/>
  <c r="AM1175" i="1"/>
  <c r="AO1175" i="1"/>
  <c r="AP1175" i="1"/>
  <c r="AM1176" i="1"/>
  <c r="AO1176" i="1"/>
  <c r="AP1176" i="1"/>
  <c r="AM1177" i="1"/>
  <c r="AO1177" i="1"/>
  <c r="AP1177" i="1"/>
  <c r="AM1178" i="1"/>
  <c r="AO1178" i="1"/>
  <c r="AP1178" i="1"/>
  <c r="AM1179" i="1"/>
  <c r="AO1179" i="1"/>
  <c r="AP1179" i="1"/>
  <c r="AM1180" i="1"/>
  <c r="AO1180" i="1"/>
  <c r="AP1180" i="1"/>
  <c r="AM1181" i="1"/>
  <c r="AO1181" i="1"/>
  <c r="AP1181" i="1"/>
  <c r="AM1182" i="1"/>
  <c r="AO1182" i="1"/>
  <c r="AP1182" i="1"/>
  <c r="AM1184" i="1"/>
  <c r="AO1184" i="1"/>
  <c r="AP1184" i="1"/>
  <c r="AM1185" i="1"/>
  <c r="AO1185" i="1"/>
  <c r="AP1185" i="1"/>
  <c r="AM1186" i="1"/>
  <c r="AO1186" i="1"/>
  <c r="AP1186" i="1"/>
  <c r="AM1187" i="1"/>
  <c r="AO1187" i="1"/>
  <c r="AP1187" i="1"/>
  <c r="AM1188" i="1"/>
  <c r="AO1188" i="1"/>
  <c r="AP1188" i="1"/>
  <c r="AM1189" i="1"/>
  <c r="AO1189" i="1"/>
  <c r="AP1189" i="1"/>
  <c r="AM1190" i="1"/>
  <c r="AO1190" i="1"/>
  <c r="AP1190" i="1"/>
  <c r="AM1191" i="1"/>
  <c r="AO1191" i="1"/>
  <c r="AP1191" i="1"/>
  <c r="H679" i="1"/>
  <c r="R679" i="1" s="1"/>
  <c r="S679" i="1" s="1"/>
  <c r="O678" i="1"/>
  <c r="P678" i="1" s="1"/>
  <c r="R678" i="1" s="1"/>
  <c r="S678" i="1" s="1"/>
  <c r="Q678" i="1"/>
  <c r="M680" i="1"/>
  <c r="O680" i="1"/>
  <c r="Q680" i="1"/>
  <c r="O334" i="1"/>
  <c r="P334" i="1"/>
  <c r="Q334" i="1"/>
  <c r="O335" i="1"/>
  <c r="P335" i="1" s="1"/>
  <c r="O336" i="1"/>
  <c r="P336" i="1"/>
  <c r="Q336" i="1"/>
  <c r="O337" i="1"/>
  <c r="P337" i="1" s="1"/>
  <c r="Q337" i="1"/>
  <c r="O338" i="1"/>
  <c r="P338" i="1" s="1"/>
  <c r="Q338" i="1"/>
  <c r="O339" i="1"/>
  <c r="P339" i="1" s="1"/>
  <c r="Q339" i="1"/>
  <c r="O340" i="1"/>
  <c r="P340" i="1"/>
  <c r="Q340" i="1"/>
  <c r="Q1179" i="1"/>
  <c r="P1179" i="1"/>
  <c r="O1179" i="1"/>
  <c r="Q1189" i="1"/>
  <c r="P1189" i="1"/>
  <c r="O1189" i="1"/>
  <c r="O786" i="1"/>
  <c r="Q241" i="1"/>
  <c r="P241" i="1"/>
  <c r="O241" i="1"/>
  <c r="Q240" i="1"/>
  <c r="P240" i="1"/>
  <c r="Q239" i="1"/>
  <c r="P239" i="1"/>
  <c r="O239" i="1"/>
  <c r="Q238" i="1"/>
  <c r="P238" i="1"/>
  <c r="O238" i="1"/>
  <c r="Q237" i="1"/>
  <c r="P237" i="1"/>
  <c r="O237" i="1"/>
  <c r="Q236" i="1"/>
  <c r="P236" i="1"/>
  <c r="O236" i="1"/>
  <c r="Q529" i="1"/>
  <c r="O529" i="1"/>
  <c r="P529" i="1" s="1"/>
  <c r="Q528" i="1"/>
  <c r="O528" i="1"/>
  <c r="P528" i="1" s="1"/>
  <c r="Q527" i="1"/>
  <c r="O527" i="1"/>
  <c r="P527" i="1" s="1"/>
  <c r="Q526" i="1"/>
  <c r="Q42" i="1"/>
  <c r="O42" i="1"/>
  <c r="P42" i="1" s="1"/>
  <c r="Q41" i="1"/>
  <c r="O41" i="1"/>
  <c r="P41" i="1" s="1"/>
  <c r="O209" i="1"/>
  <c r="O449" i="1"/>
  <c r="O448" i="1"/>
  <c r="O447" i="1"/>
  <c r="O446" i="1"/>
  <c r="P445" i="1"/>
  <c r="O445" i="1"/>
  <c r="Q445" i="1" s="1"/>
  <c r="O443" i="1"/>
  <c r="O442" i="1"/>
  <c r="O441" i="1"/>
  <c r="O440" i="1"/>
  <c r="O439" i="1"/>
  <c r="O438" i="1"/>
  <c r="P438" i="1" s="1"/>
  <c r="O437" i="1"/>
  <c r="O436" i="1"/>
  <c r="Q435" i="1"/>
  <c r="P435" i="1"/>
  <c r="O435" i="1"/>
  <c r="O434" i="1"/>
  <c r="O433" i="1"/>
  <c r="O432" i="1"/>
  <c r="Q431" i="1"/>
  <c r="P431" i="1"/>
  <c r="O431" i="1"/>
  <c r="O430" i="1"/>
  <c r="Q430" i="1" s="1"/>
  <c r="O429" i="1"/>
  <c r="O428" i="1"/>
  <c r="O427" i="1"/>
  <c r="O426" i="1"/>
  <c r="O425" i="1"/>
  <c r="O424" i="1"/>
  <c r="O423" i="1"/>
  <c r="O422" i="1"/>
  <c r="O421" i="1"/>
  <c r="O420" i="1"/>
  <c r="Q420" i="1" s="1"/>
  <c r="O419" i="1"/>
  <c r="Q419" i="1" s="1"/>
  <c r="O416" i="1"/>
  <c r="O415" i="1"/>
  <c r="P414" i="1"/>
  <c r="O414" i="1"/>
  <c r="Q414" i="1" s="1"/>
  <c r="O413" i="1"/>
  <c r="O412" i="1"/>
  <c r="O411" i="1"/>
  <c r="O410" i="1"/>
  <c r="O409" i="1"/>
  <c r="Q408" i="1"/>
  <c r="P408" i="1"/>
  <c r="O408" i="1"/>
  <c r="Q407" i="1"/>
  <c r="P407" i="1"/>
  <c r="O407" i="1"/>
  <c r="Q406" i="1"/>
  <c r="P406" i="1"/>
  <c r="O406" i="1"/>
  <c r="O405" i="1"/>
  <c r="O404" i="1"/>
  <c r="O403" i="1"/>
  <c r="O401" i="1"/>
  <c r="O400" i="1"/>
  <c r="O399" i="1"/>
  <c r="O398" i="1"/>
  <c r="O397" i="1"/>
  <c r="Q396" i="1"/>
  <c r="P396" i="1"/>
  <c r="O396" i="1"/>
  <c r="O395" i="1"/>
  <c r="Q394" i="1"/>
  <c r="P394" i="1"/>
  <c r="O394" i="1"/>
  <c r="O393" i="1"/>
  <c r="O391" i="1"/>
  <c r="O390" i="1"/>
  <c r="O389" i="1"/>
  <c r="O388" i="1"/>
  <c r="O387" i="1"/>
  <c r="O386" i="1"/>
  <c r="O385" i="1"/>
  <c r="Q384" i="1"/>
  <c r="P384" i="1"/>
  <c r="O384" i="1"/>
  <c r="O382" i="1"/>
  <c r="O381" i="1"/>
  <c r="O380" i="1"/>
  <c r="O379" i="1"/>
  <c r="O378" i="1"/>
  <c r="O377" i="1"/>
  <c r="O376" i="1"/>
  <c r="O375" i="1"/>
  <c r="O374" i="1"/>
  <c r="O373" i="1"/>
  <c r="O372" i="1"/>
  <c r="O370" i="1"/>
  <c r="O369" i="1"/>
  <c r="O368" i="1"/>
  <c r="Q367" i="1"/>
  <c r="P367" i="1"/>
  <c r="O367" i="1"/>
  <c r="O366" i="1"/>
  <c r="Q365" i="1"/>
  <c r="P365" i="1"/>
  <c r="O365" i="1"/>
  <c r="Q364" i="1"/>
  <c r="P364" i="1"/>
  <c r="O364" i="1"/>
  <c r="O363" i="1"/>
  <c r="Q363" i="1" s="1"/>
  <c r="O362" i="1"/>
  <c r="O361" i="1"/>
  <c r="O359" i="1"/>
  <c r="O358" i="1"/>
  <c r="O357" i="1"/>
  <c r="O356" i="1"/>
  <c r="O355" i="1"/>
  <c r="O354" i="1"/>
  <c r="O353" i="1"/>
  <c r="O352" i="1"/>
  <c r="O351" i="1"/>
  <c r="O350" i="1"/>
  <c r="O349" i="1"/>
  <c r="O348" i="1"/>
  <c r="Q347" i="1"/>
  <c r="P347" i="1"/>
  <c r="O347" i="1"/>
  <c r="F180" i="24"/>
  <c r="N180" i="24" s="1"/>
  <c r="E180" i="24"/>
  <c r="AJ402" i="1" s="1"/>
  <c r="AK402" i="1" s="1"/>
  <c r="G174" i="24"/>
  <c r="E174" i="24"/>
  <c r="AJ413" i="1" s="1"/>
  <c r="G296" i="24"/>
  <c r="E296" i="24"/>
  <c r="AJ379" i="1" s="1"/>
  <c r="G297" i="24"/>
  <c r="E297" i="24"/>
  <c r="AJ388" i="1" s="1"/>
  <c r="AK388" i="1" s="1"/>
  <c r="I400" i="24"/>
  <c r="AN428" i="1" s="1"/>
  <c r="G400" i="24"/>
  <c r="E400" i="24"/>
  <c r="AJ428" i="1" s="1"/>
  <c r="AK428" i="1" s="1"/>
  <c r="AN442" i="1"/>
  <c r="E145" i="24"/>
  <c r="AJ442" i="1" s="1"/>
  <c r="AK442" i="1" s="1"/>
  <c r="I399" i="24"/>
  <c r="AN439" i="1" s="1"/>
  <c r="G399" i="24"/>
  <c r="E399" i="24"/>
  <c r="G331" i="24"/>
  <c r="E331" i="24"/>
  <c r="AJ400" i="1" s="1"/>
  <c r="E143" i="24"/>
  <c r="AJ358" i="1" s="1"/>
  <c r="AN376" i="1"/>
  <c r="E381" i="24"/>
  <c r="AJ376" i="1" s="1"/>
  <c r="AK376" i="1" s="1"/>
  <c r="I384" i="24"/>
  <c r="AN362" i="1" s="1"/>
  <c r="G384" i="24"/>
  <c r="E384" i="24"/>
  <c r="G497" i="24"/>
  <c r="G219" i="24"/>
  <c r="E219" i="24"/>
  <c r="AJ381" i="1" s="1"/>
  <c r="G79" i="24"/>
  <c r="E79" i="24"/>
  <c r="F359" i="24"/>
  <c r="N359" i="24" s="1"/>
  <c r="E359" i="24"/>
  <c r="G339" i="24"/>
  <c r="E339" i="24"/>
  <c r="AJ395" i="1" s="1"/>
  <c r="I383" i="24"/>
  <c r="AN416" i="1" s="1"/>
  <c r="G383" i="24"/>
  <c r="E383" i="24"/>
  <c r="AJ416" i="1" s="1"/>
  <c r="AK416" i="1" s="1"/>
  <c r="G274" i="24"/>
  <c r="E274" i="24"/>
  <c r="AJ412" i="1" s="1"/>
  <c r="G277" i="24"/>
  <c r="E277" i="24"/>
  <c r="G508" i="24"/>
  <c r="G136" i="24"/>
  <c r="G510" i="24"/>
  <c r="G137" i="24"/>
  <c r="G511" i="24"/>
  <c r="G138" i="24"/>
  <c r="G512" i="24"/>
  <c r="G139" i="24"/>
  <c r="G513" i="24"/>
  <c r="G140" i="24"/>
  <c r="G141" i="24"/>
  <c r="G313" i="24"/>
  <c r="G456" i="24"/>
  <c r="E456" i="24"/>
  <c r="AJ435" i="1" s="1"/>
  <c r="AK435" i="1" s="1"/>
  <c r="G321" i="24"/>
  <c r="E321" i="24"/>
  <c r="AJ391" i="1" s="1"/>
  <c r="AK391" i="1" s="1"/>
  <c r="G362" i="24"/>
  <c r="E362" i="24"/>
  <c r="AJ370" i="1" s="1"/>
  <c r="AK370" i="1" s="1"/>
  <c r="G276" i="24"/>
  <c r="E276" i="24"/>
  <c r="AJ366" i="1" s="1"/>
  <c r="AK366" i="1" s="1"/>
  <c r="G255" i="24"/>
  <c r="E255" i="24"/>
  <c r="G357" i="24"/>
  <c r="E357" i="24"/>
  <c r="N33" i="24" l="1"/>
  <c r="N30" i="24"/>
  <c r="N22" i="24"/>
  <c r="F41" i="105"/>
  <c r="N10" i="24"/>
  <c r="N6" i="24"/>
  <c r="N137" i="24"/>
  <c r="N134" i="24"/>
  <c r="N126" i="24"/>
  <c r="N118" i="24"/>
  <c r="N102" i="24"/>
  <c r="N94" i="24"/>
  <c r="N86" i="24"/>
  <c r="N78" i="24"/>
  <c r="N70" i="24"/>
  <c r="N62" i="24"/>
  <c r="N54" i="24"/>
  <c r="N46" i="24"/>
  <c r="N38" i="24"/>
  <c r="N35" i="24"/>
  <c r="N29" i="24"/>
  <c r="N21" i="24"/>
  <c r="N9" i="24"/>
  <c r="N5" i="24"/>
  <c r="N107" i="24"/>
  <c r="N99" i="24"/>
  <c r="N91" i="24"/>
  <c r="N75" i="24"/>
  <c r="N67" i="24"/>
  <c r="N59" i="24"/>
  <c r="N43" i="24"/>
  <c r="N26" i="24"/>
  <c r="N18" i="24"/>
  <c r="N15" i="24"/>
  <c r="N80" i="24"/>
  <c r="N72" i="24"/>
  <c r="N23" i="24"/>
  <c r="N12" i="24"/>
  <c r="N4" i="24"/>
  <c r="D3" i="52"/>
  <c r="N141" i="24"/>
  <c r="N133" i="24"/>
  <c r="N125" i="24"/>
  <c r="N117" i="24"/>
  <c r="N109" i="24"/>
  <c r="N101" i="24"/>
  <c r="N93" i="24"/>
  <c r="N85" i="24"/>
  <c r="N77" i="24"/>
  <c r="N69" i="24"/>
  <c r="N61" i="24"/>
  <c r="N53" i="24"/>
  <c r="N45" i="24"/>
  <c r="N37" i="24"/>
  <c r="N28" i="24"/>
  <c r="N138" i="24"/>
  <c r="N130" i="24"/>
  <c r="N122" i="24"/>
  <c r="N114" i="24"/>
  <c r="N106" i="24"/>
  <c r="N98" i="24"/>
  <c r="N90" i="24"/>
  <c r="N82" i="24"/>
  <c r="N66" i="24"/>
  <c r="N58" i="24"/>
  <c r="N25" i="24"/>
  <c r="N14" i="24"/>
  <c r="N11" i="24"/>
  <c r="N7" i="24"/>
  <c r="N3" i="24"/>
  <c r="F43" i="105"/>
  <c r="G30" i="105"/>
  <c r="G48" i="105"/>
  <c r="G15" i="105"/>
  <c r="G25" i="105"/>
  <c r="F39" i="105"/>
  <c r="F14" i="105"/>
  <c r="G44" i="105"/>
  <c r="G63" i="104" s="1"/>
  <c r="F21" i="105"/>
  <c r="G19" i="105"/>
  <c r="G42" i="105"/>
  <c r="G61" i="104" s="1"/>
  <c r="F8" i="105"/>
  <c r="F9" i="105"/>
  <c r="G46" i="105"/>
  <c r="G65" i="104" s="1"/>
  <c r="F48" i="105"/>
  <c r="F17" i="105"/>
  <c r="G14" i="105"/>
  <c r="G33" i="104" s="1"/>
  <c r="F37" i="105"/>
  <c r="G23" i="105"/>
  <c r="G42" i="104" s="1"/>
  <c r="G33" i="105"/>
  <c r="G52" i="104" s="1"/>
  <c r="F25" i="105"/>
  <c r="G45" i="105"/>
  <c r="G64" i="104" s="1"/>
  <c r="F20" i="105"/>
  <c r="G12" i="105"/>
  <c r="G31" i="104" s="1"/>
  <c r="G11" i="105"/>
  <c r="G30" i="104" s="1"/>
  <c r="F34" i="105"/>
  <c r="F27" i="105"/>
  <c r="G29" i="105"/>
  <c r="G13" i="105"/>
  <c r="G32" i="104" s="1"/>
  <c r="G47" i="105"/>
  <c r="F28" i="105"/>
  <c r="G24" i="105"/>
  <c r="F26" i="105"/>
  <c r="F36" i="105"/>
  <c r="F42" i="105"/>
  <c r="G9" i="105"/>
  <c r="F46" i="105"/>
  <c r="G43" i="105"/>
  <c r="G62" i="104" s="1"/>
  <c r="G32" i="105"/>
  <c r="G35" i="105"/>
  <c r="G54" i="104" s="1"/>
  <c r="F30" i="105"/>
  <c r="G17" i="105"/>
  <c r="G36" i="104" s="1"/>
  <c r="G37" i="105"/>
  <c r="F23" i="105"/>
  <c r="F33" i="105"/>
  <c r="F31" i="105"/>
  <c r="F50" i="104" s="1"/>
  <c r="F40" i="105"/>
  <c r="F45" i="105"/>
  <c r="H45" i="105" s="1"/>
  <c r="G38" i="105"/>
  <c r="F12" i="105"/>
  <c r="F31" i="104" s="1"/>
  <c r="G22" i="105"/>
  <c r="F22" i="105"/>
  <c r="F29" i="105"/>
  <c r="F13" i="105"/>
  <c r="F32" i="104" s="1"/>
  <c r="F47" i="105"/>
  <c r="F66" i="104" s="1"/>
  <c r="F24" i="105"/>
  <c r="F43" i="104" s="1"/>
  <c r="F19" i="105"/>
  <c r="F38" i="104" s="1"/>
  <c r="F32" i="105"/>
  <c r="F35" i="105"/>
  <c r="F54" i="104" s="1"/>
  <c r="F44" i="105"/>
  <c r="F15" i="105"/>
  <c r="G31" i="105"/>
  <c r="G50" i="104" s="1"/>
  <c r="F16" i="105"/>
  <c r="F35" i="104" s="1"/>
  <c r="H35" i="104" s="1"/>
  <c r="G20" i="105"/>
  <c r="G39" i="104" s="1"/>
  <c r="F38" i="105"/>
  <c r="F11" i="105"/>
  <c r="F30" i="104" s="1"/>
  <c r="G34" i="105"/>
  <c r="G53" i="104" s="1"/>
  <c r="G28" i="105"/>
  <c r="G38" i="104"/>
  <c r="G49" i="104"/>
  <c r="G67" i="104"/>
  <c r="G34" i="104"/>
  <c r="G44" i="104"/>
  <c r="G28" i="104"/>
  <c r="F65" i="104"/>
  <c r="G51" i="104"/>
  <c r="G56" i="104"/>
  <c r="F42" i="104"/>
  <c r="H33" i="105"/>
  <c r="F59" i="104"/>
  <c r="H59" i="104" s="1"/>
  <c r="G57" i="104"/>
  <c r="G41" i="104"/>
  <c r="H22" i="105"/>
  <c r="F48" i="104"/>
  <c r="F40" i="104"/>
  <c r="H40" i="104" s="1"/>
  <c r="H21" i="105"/>
  <c r="F45" i="104"/>
  <c r="F55" i="104"/>
  <c r="H55" i="104" s="1"/>
  <c r="H36" i="105"/>
  <c r="F61" i="104"/>
  <c r="H61" i="104" s="1"/>
  <c r="H42" i="105"/>
  <c r="F27" i="104"/>
  <c r="H8" i="105"/>
  <c r="F28" i="104"/>
  <c r="H9" i="105"/>
  <c r="H46" i="105"/>
  <c r="F62" i="104"/>
  <c r="F51" i="104"/>
  <c r="F49" i="104"/>
  <c r="F67" i="104"/>
  <c r="H48" i="105"/>
  <c r="H44" i="105"/>
  <c r="F63" i="104"/>
  <c r="F36" i="104"/>
  <c r="F34" i="104"/>
  <c r="F33" i="104"/>
  <c r="F37" i="104"/>
  <c r="H37" i="104" s="1"/>
  <c r="H18" i="105"/>
  <c r="F56" i="104"/>
  <c r="F44" i="104"/>
  <c r="H25" i="105"/>
  <c r="H41" i="105"/>
  <c r="F60" i="104"/>
  <c r="H60" i="104" s="1"/>
  <c r="F39" i="104"/>
  <c r="F57" i="104"/>
  <c r="F41" i="104"/>
  <c r="F53" i="104"/>
  <c r="F46" i="104"/>
  <c r="H46" i="104" s="1"/>
  <c r="H27" i="105"/>
  <c r="F58" i="104"/>
  <c r="H58" i="104" s="1"/>
  <c r="H39" i="105"/>
  <c r="H13" i="105"/>
  <c r="F47" i="104"/>
  <c r="DI26" i="92"/>
  <c r="DF34" i="92"/>
  <c r="DG34" i="92"/>
  <c r="DH34" i="92"/>
  <c r="DI34" i="92"/>
  <c r="DN32" i="92"/>
  <c r="DF32" i="92"/>
  <c r="DG32" i="92"/>
  <c r="DH32" i="92"/>
  <c r="DI32" i="92"/>
  <c r="DF26" i="92"/>
  <c r="DG26" i="92"/>
  <c r="DH26" i="92"/>
  <c r="DF25" i="92"/>
  <c r="DG25" i="92"/>
  <c r="DH25" i="92"/>
  <c r="DI25" i="92"/>
  <c r="DF15" i="92"/>
  <c r="DG15" i="92"/>
  <c r="DH15" i="92"/>
  <c r="DI15" i="92"/>
  <c r="DM34" i="92"/>
  <c r="DN34" i="92"/>
  <c r="DK34" i="92"/>
  <c r="DL34" i="92"/>
  <c r="DK32" i="92"/>
  <c r="DL32" i="92"/>
  <c r="DM32" i="92"/>
  <c r="DK26" i="92"/>
  <c r="DL26" i="92"/>
  <c r="DM26" i="92"/>
  <c r="DN26" i="92"/>
  <c r="DK25" i="92"/>
  <c r="DL25" i="92"/>
  <c r="DM25" i="92"/>
  <c r="DN25" i="92"/>
  <c r="DM19" i="92"/>
  <c r="DK6" i="92"/>
  <c r="DG6" i="92"/>
  <c r="DH6" i="92"/>
  <c r="DI6" i="92"/>
  <c r="DK36" i="92"/>
  <c r="DL36" i="92"/>
  <c r="DM36" i="92"/>
  <c r="DN36" i="92"/>
  <c r="DK28" i="92"/>
  <c r="DL28" i="92"/>
  <c r="DM28" i="92"/>
  <c r="DN28" i="92"/>
  <c r="DK15" i="92"/>
  <c r="DL15" i="92"/>
  <c r="DM15" i="92"/>
  <c r="DN15" i="92"/>
  <c r="DM35" i="92"/>
  <c r="DK30" i="92"/>
  <c r="DL30" i="92"/>
  <c r="DM30" i="92"/>
  <c r="DN30" i="92"/>
  <c r="DM9" i="92"/>
  <c r="DM27" i="92"/>
  <c r="DK14" i="92"/>
  <c r="DF14" i="92"/>
  <c r="DG14" i="92"/>
  <c r="DH14" i="92"/>
  <c r="DI14" i="92"/>
  <c r="DM11" i="92"/>
  <c r="DH35" i="92"/>
  <c r="DN35" i="92"/>
  <c r="DI35" i="92"/>
  <c r="DF35" i="92"/>
  <c r="DL35" i="92"/>
  <c r="DG35" i="92"/>
  <c r="DK35" i="92"/>
  <c r="DF6" i="92"/>
  <c r="DL6" i="92"/>
  <c r="DM6" i="92"/>
  <c r="DN6" i="92"/>
  <c r="DK8" i="92"/>
  <c r="DF8" i="92"/>
  <c r="DG8" i="92"/>
  <c r="DH8" i="92"/>
  <c r="DI8" i="92"/>
  <c r="DL8" i="92"/>
  <c r="DM8" i="92"/>
  <c r="DN8" i="92"/>
  <c r="DM5" i="92"/>
  <c r="DL4" i="92"/>
  <c r="DM4" i="92"/>
  <c r="DN4" i="92"/>
  <c r="DK18" i="92"/>
  <c r="DF18" i="92"/>
  <c r="DL18" i="92"/>
  <c r="DG18" i="92"/>
  <c r="DM18" i="92"/>
  <c r="DH18" i="92"/>
  <c r="DN18" i="92"/>
  <c r="DI18" i="92"/>
  <c r="DH27" i="92"/>
  <c r="DN27" i="92"/>
  <c r="DI27" i="92"/>
  <c r="DL27" i="92"/>
  <c r="DG27" i="92"/>
  <c r="DF27" i="92"/>
  <c r="DK27" i="92"/>
  <c r="DL14" i="92"/>
  <c r="DM14" i="92"/>
  <c r="DN14" i="92"/>
  <c r="DM13" i="92"/>
  <c r="DH13" i="92"/>
  <c r="DN13" i="92"/>
  <c r="DI13" i="92"/>
  <c r="DG13" i="92"/>
  <c r="DF13" i="92"/>
  <c r="DL13" i="92"/>
  <c r="DK13" i="92"/>
  <c r="DK16" i="92"/>
  <c r="DF16" i="92"/>
  <c r="DL16" i="92"/>
  <c r="DG16" i="92"/>
  <c r="DM16" i="92"/>
  <c r="DH16" i="92"/>
  <c r="DN16" i="92"/>
  <c r="DI16" i="92"/>
  <c r="DF28" i="92"/>
  <c r="DG28" i="92"/>
  <c r="DH28" i="92"/>
  <c r="DI28" i="92"/>
  <c r="DH5" i="92"/>
  <c r="DF5" i="92"/>
  <c r="DN5" i="92"/>
  <c r="DI5" i="92"/>
  <c r="DL5" i="92"/>
  <c r="DG5" i="92"/>
  <c r="DK5" i="92"/>
  <c r="DM21" i="92"/>
  <c r="DH21" i="92"/>
  <c r="DN21" i="92"/>
  <c r="DI21" i="92"/>
  <c r="DF21" i="92"/>
  <c r="DK21" i="92"/>
  <c r="DL21" i="92"/>
  <c r="DG21" i="92"/>
  <c r="DL2" i="92"/>
  <c r="DG2" i="92"/>
  <c r="DM2" i="92"/>
  <c r="DH2" i="92"/>
  <c r="DN2" i="92"/>
  <c r="DI2" i="92"/>
  <c r="DK2" i="92"/>
  <c r="DF2" i="92"/>
  <c r="DH3" i="92"/>
  <c r="DG3" i="92"/>
  <c r="DI3" i="92"/>
  <c r="DK3" i="92"/>
  <c r="DF3" i="92"/>
  <c r="DL3" i="92"/>
  <c r="DH19" i="92"/>
  <c r="DK19" i="92"/>
  <c r="DF19" i="92"/>
  <c r="DN19" i="92"/>
  <c r="DI19" i="92"/>
  <c r="DL19" i="92"/>
  <c r="DG19" i="92"/>
  <c r="DK24" i="92"/>
  <c r="DF24" i="92"/>
  <c r="DL24" i="92"/>
  <c r="DG24" i="92"/>
  <c r="DM24" i="92"/>
  <c r="DH24" i="92"/>
  <c r="DN24" i="92"/>
  <c r="DI24" i="92"/>
  <c r="DL12" i="92"/>
  <c r="DM12" i="92"/>
  <c r="DN12" i="92"/>
  <c r="DM33" i="92"/>
  <c r="DH33" i="92"/>
  <c r="DN33" i="92"/>
  <c r="DI33" i="92"/>
  <c r="DF33" i="92"/>
  <c r="DL33" i="92"/>
  <c r="DG33" i="92"/>
  <c r="DK33" i="92"/>
  <c r="DK22" i="92"/>
  <c r="DF22" i="92"/>
  <c r="DL22" i="92"/>
  <c r="DG22" i="92"/>
  <c r="DM22" i="92"/>
  <c r="DH22" i="92"/>
  <c r="DN22" i="92"/>
  <c r="DI22" i="92"/>
  <c r="DH7" i="92"/>
  <c r="DL7" i="92"/>
  <c r="DN7" i="92"/>
  <c r="DI7" i="92"/>
  <c r="DG7" i="92"/>
  <c r="D3" i="102"/>
  <c r="DK7" i="92"/>
  <c r="D4" i="102"/>
  <c r="DF7" i="92"/>
  <c r="DF30" i="92"/>
  <c r="DG30" i="92"/>
  <c r="DH30" i="92"/>
  <c r="DI30" i="92"/>
  <c r="DM3" i="92"/>
  <c r="DN3" i="92"/>
  <c r="DM23" i="92"/>
  <c r="DH23" i="92"/>
  <c r="DL23" i="92"/>
  <c r="DN23" i="92"/>
  <c r="DI23" i="92"/>
  <c r="DG23" i="92"/>
  <c r="DK23" i="92"/>
  <c r="DF23" i="92"/>
  <c r="F38" i="52"/>
  <c r="DH11" i="92"/>
  <c r="DN11" i="92"/>
  <c r="DI11" i="92"/>
  <c r="DL11" i="92"/>
  <c r="DK11" i="92"/>
  <c r="DG11" i="92"/>
  <c r="DF11" i="92"/>
  <c r="DK12" i="92"/>
  <c r="DF12" i="92"/>
  <c r="DG12" i="92"/>
  <c r="DH12" i="92"/>
  <c r="DI12" i="92"/>
  <c r="DL10" i="92"/>
  <c r="DM10" i="92"/>
  <c r="DN10" i="92"/>
  <c r="DK4" i="92"/>
  <c r="DF4" i="92"/>
  <c r="DG4" i="92"/>
  <c r="DH4" i="92"/>
  <c r="DI4" i="92"/>
  <c r="DH9" i="92"/>
  <c r="DK9" i="92"/>
  <c r="DN9" i="92"/>
  <c r="DI9" i="92"/>
  <c r="DF9" i="92"/>
  <c r="DL9" i="92"/>
  <c r="DG9" i="92"/>
  <c r="DK10" i="92"/>
  <c r="DF10" i="92"/>
  <c r="DG10" i="92"/>
  <c r="DH10" i="92"/>
  <c r="DI10" i="92"/>
  <c r="DF36" i="92"/>
  <c r="DG36" i="92"/>
  <c r="DH36" i="92"/>
  <c r="DI36" i="92"/>
  <c r="DM29" i="92"/>
  <c r="DH29" i="92"/>
  <c r="DK29" i="92"/>
  <c r="DF29" i="92"/>
  <c r="DG29" i="92"/>
  <c r="DN29" i="92"/>
  <c r="DI29" i="92"/>
  <c r="DL29" i="92"/>
  <c r="DK20" i="92"/>
  <c r="DF20" i="92"/>
  <c r="DL20" i="92"/>
  <c r="DG20" i="92"/>
  <c r="DM20" i="92"/>
  <c r="DH20" i="92"/>
  <c r="DN20" i="92"/>
  <c r="DI20" i="92"/>
  <c r="K2" i="24"/>
  <c r="AQ671" i="1" s="1"/>
  <c r="P363" i="1"/>
  <c r="Q438" i="1"/>
  <c r="AJ177" i="1"/>
  <c r="AL177" i="1" s="1"/>
  <c r="AJ1163" i="1"/>
  <c r="AL1163" i="1" s="1"/>
  <c r="P419" i="1"/>
  <c r="P430" i="1"/>
  <c r="P420" i="1"/>
  <c r="K140" i="24"/>
  <c r="K8" i="24"/>
  <c r="CE39" i="92"/>
  <c r="CE38" i="92"/>
  <c r="CE37" i="92"/>
  <c r="CE17" i="92"/>
  <c r="L516" i="24"/>
  <c r="N516" i="24" s="1"/>
  <c r="M516" i="24"/>
  <c r="K504" i="24"/>
  <c r="K503" i="24"/>
  <c r="AQ901" i="1" s="1"/>
  <c r="K502" i="24"/>
  <c r="K501" i="24"/>
  <c r="AQ900" i="1" s="1"/>
  <c r="K486" i="24"/>
  <c r="K485" i="24"/>
  <c r="K484" i="24"/>
  <c r="K483" i="24"/>
  <c r="K482" i="24"/>
  <c r="K481" i="24"/>
  <c r="K480" i="24"/>
  <c r="K479" i="24"/>
  <c r="K478" i="24"/>
  <c r="K468" i="24"/>
  <c r="K467" i="24"/>
  <c r="K464" i="24"/>
  <c r="K463" i="24"/>
  <c r="K401" i="24"/>
  <c r="K400" i="24"/>
  <c r="K399" i="24"/>
  <c r="K398" i="24"/>
  <c r="K394" i="24"/>
  <c r="K393" i="24"/>
  <c r="K389" i="24"/>
  <c r="K387" i="24"/>
  <c r="K386" i="24"/>
  <c r="K385" i="24"/>
  <c r="K384" i="24"/>
  <c r="K383" i="24"/>
  <c r="K382" i="24"/>
  <c r="K380" i="24"/>
  <c r="AJ1144" i="1"/>
  <c r="AK1144" i="1" s="1"/>
  <c r="O383" i="1"/>
  <c r="O526" i="1"/>
  <c r="P526" i="1" s="1"/>
  <c r="O371" i="1"/>
  <c r="C12" i="52"/>
  <c r="O240" i="1"/>
  <c r="C14" i="52"/>
  <c r="D15" i="52"/>
  <c r="C20" i="52"/>
  <c r="AQ680" i="1"/>
  <c r="D6" i="52"/>
  <c r="D10" i="52"/>
  <c r="D22" i="52"/>
  <c r="D38" i="52"/>
  <c r="C6" i="52"/>
  <c r="D13" i="52"/>
  <c r="D19" i="52"/>
  <c r="D27" i="52"/>
  <c r="D34" i="52"/>
  <c r="D35" i="52"/>
  <c r="F35" i="52"/>
  <c r="D42" i="52"/>
  <c r="AQ793" i="1"/>
  <c r="AQ340" i="1"/>
  <c r="BQ39" i="92"/>
  <c r="BQ38" i="92"/>
  <c r="BQ37" i="92"/>
  <c r="BQ17" i="92"/>
  <c r="M28" i="95" s="1"/>
  <c r="T799" i="1"/>
  <c r="F34" i="52"/>
  <c r="BA2" i="92"/>
  <c r="BB2" i="92"/>
  <c r="BC2" i="92"/>
  <c r="BD2" i="92"/>
  <c r="BA3" i="92"/>
  <c r="BB3" i="92"/>
  <c r="BC3" i="92"/>
  <c r="CE3" i="92" s="1"/>
  <c r="BD3" i="92"/>
  <c r="BA13" i="92"/>
  <c r="BB13" i="92"/>
  <c r="BC13" i="92"/>
  <c r="CE13" i="92" s="1"/>
  <c r="BD13" i="92"/>
  <c r="BA14" i="92"/>
  <c r="BB14" i="92"/>
  <c r="BC14" i="92"/>
  <c r="CE14" i="92" s="1"/>
  <c r="BD14" i="92"/>
  <c r="BA11" i="92"/>
  <c r="BB11" i="92"/>
  <c r="BC11" i="92"/>
  <c r="CE11" i="92" s="1"/>
  <c r="BD11" i="92"/>
  <c r="BA34" i="92"/>
  <c r="BB34" i="92"/>
  <c r="BC34" i="92"/>
  <c r="CE34" i="92" s="1"/>
  <c r="BD34" i="92"/>
  <c r="BA26" i="92"/>
  <c r="CC26" i="92" s="1"/>
  <c r="BB26" i="92"/>
  <c r="BC26" i="92"/>
  <c r="CE26" i="92" s="1"/>
  <c r="BD26" i="92"/>
  <c r="BA19" i="92"/>
  <c r="BB19" i="92"/>
  <c r="BC19" i="92"/>
  <c r="CE19" i="92" s="1"/>
  <c r="BD19" i="92"/>
  <c r="BA6" i="92"/>
  <c r="BB6" i="92"/>
  <c r="BC6" i="92"/>
  <c r="CE6" i="92" s="1"/>
  <c r="BD6" i="92"/>
  <c r="BA24" i="92"/>
  <c r="BB24" i="92"/>
  <c r="BC24" i="92"/>
  <c r="CE24" i="92" s="1"/>
  <c r="BD24" i="92"/>
  <c r="BA12" i="92"/>
  <c r="BB12" i="92"/>
  <c r="BC12" i="92"/>
  <c r="CE12" i="92" s="1"/>
  <c r="BD12" i="92"/>
  <c r="BA16" i="92"/>
  <c r="BB16" i="92"/>
  <c r="BC16" i="92"/>
  <c r="BD16" i="92"/>
  <c r="BA23" i="92"/>
  <c r="BB23" i="92"/>
  <c r="BC23" i="92"/>
  <c r="CE23" i="92" s="1"/>
  <c r="BD23" i="92"/>
  <c r="BA10" i="92"/>
  <c r="BB10" i="92"/>
  <c r="BC10" i="92"/>
  <c r="CE10" i="92" s="1"/>
  <c r="BD10" i="92"/>
  <c r="BA36" i="92"/>
  <c r="BB36" i="92"/>
  <c r="BC36" i="92"/>
  <c r="CE36" i="92" s="1"/>
  <c r="BD36" i="92"/>
  <c r="BA29" i="92"/>
  <c r="BB29" i="92"/>
  <c r="BC29" i="92"/>
  <c r="CE29" i="92" s="1"/>
  <c r="BD29" i="92"/>
  <c r="BA32" i="92"/>
  <c r="BB32" i="92"/>
  <c r="BC32" i="92"/>
  <c r="CE32" i="92" s="1"/>
  <c r="BD32" i="92"/>
  <c r="BA8" i="92"/>
  <c r="BB8" i="92"/>
  <c r="BC8" i="92"/>
  <c r="CE8" i="92" s="1"/>
  <c r="BD8" i="92"/>
  <c r="BA28" i="92"/>
  <c r="BB28" i="92"/>
  <c r="BC28" i="92"/>
  <c r="CE28" i="92" s="1"/>
  <c r="BD28" i="92"/>
  <c r="BA25" i="92"/>
  <c r="BB25" i="92"/>
  <c r="BC25" i="92"/>
  <c r="CE25" i="92" s="1"/>
  <c r="BD25" i="92"/>
  <c r="BA15" i="92"/>
  <c r="BB15" i="92"/>
  <c r="BC15" i="92"/>
  <c r="BD15" i="92"/>
  <c r="BA5" i="92"/>
  <c r="BB5" i="92"/>
  <c r="BC5" i="92"/>
  <c r="BD5" i="92"/>
  <c r="BA4" i="92"/>
  <c r="BB4" i="92"/>
  <c r="BC4" i="92"/>
  <c r="BD4" i="92"/>
  <c r="BA18" i="92"/>
  <c r="BB18" i="92"/>
  <c r="BC18" i="92"/>
  <c r="CE18" i="92" s="1"/>
  <c r="BD18" i="92"/>
  <c r="BA33" i="92"/>
  <c r="BB33" i="92"/>
  <c r="BC33" i="92"/>
  <c r="CE33" i="92" s="1"/>
  <c r="BD33" i="92"/>
  <c r="BA20" i="92"/>
  <c r="BB20" i="92"/>
  <c r="BC20" i="92"/>
  <c r="CE20" i="92" s="1"/>
  <c r="BD20" i="92"/>
  <c r="BA21" i="92"/>
  <c r="BB21" i="92"/>
  <c r="BC21" i="92"/>
  <c r="CE21" i="92" s="1"/>
  <c r="BD21" i="92"/>
  <c r="BA35" i="92"/>
  <c r="BB35" i="92"/>
  <c r="BC35" i="92"/>
  <c r="CE35" i="92" s="1"/>
  <c r="BD35" i="92"/>
  <c r="BA30" i="92"/>
  <c r="BB30" i="92"/>
  <c r="BC30" i="92"/>
  <c r="CE30" i="92" s="1"/>
  <c r="BD30" i="92"/>
  <c r="BA9" i="92"/>
  <c r="BB9" i="92"/>
  <c r="BC9" i="92"/>
  <c r="CE9" i="92" s="1"/>
  <c r="BD9" i="92"/>
  <c r="BA27" i="92"/>
  <c r="BB27" i="92"/>
  <c r="BC27" i="92"/>
  <c r="CE27" i="92" s="1"/>
  <c r="BD27" i="92"/>
  <c r="BA22" i="92"/>
  <c r="BB22" i="92"/>
  <c r="BC22" i="92"/>
  <c r="CE22" i="92" s="1"/>
  <c r="BD22" i="92"/>
  <c r="AN2" i="92"/>
  <c r="AO2" i="92"/>
  <c r="AP2" i="92"/>
  <c r="AM2" i="92"/>
  <c r="AM3" i="92"/>
  <c r="AN3" i="92"/>
  <c r="AO3" i="92"/>
  <c r="BQ3" i="92" s="1"/>
  <c r="M9" i="95" s="1"/>
  <c r="AP3" i="92"/>
  <c r="AM13" i="92"/>
  <c r="AN13" i="92"/>
  <c r="AO13" i="92"/>
  <c r="BQ13" i="92" s="1"/>
  <c r="M26" i="95" s="1"/>
  <c r="AP13" i="92"/>
  <c r="AM14" i="92"/>
  <c r="AN14" i="92"/>
  <c r="AO14" i="92"/>
  <c r="BQ14" i="92" s="1"/>
  <c r="M37" i="95" s="1"/>
  <c r="AP14" i="92"/>
  <c r="AM11" i="92"/>
  <c r="AN11" i="92"/>
  <c r="AO11" i="92"/>
  <c r="BQ11" i="92" s="1"/>
  <c r="M18" i="95" s="1"/>
  <c r="AP11" i="92"/>
  <c r="AM34" i="92"/>
  <c r="AN34" i="92"/>
  <c r="AO34" i="92"/>
  <c r="BQ34" i="92" s="1"/>
  <c r="M12" i="95" s="1"/>
  <c r="AP34" i="92"/>
  <c r="AM26" i="92"/>
  <c r="BO26" i="92" s="1"/>
  <c r="K6" i="95" s="1"/>
  <c r="AN26" i="92"/>
  <c r="AO26" i="92"/>
  <c r="BQ26" i="92" s="1"/>
  <c r="M6" i="95" s="1"/>
  <c r="AP26" i="92"/>
  <c r="AM19" i="92"/>
  <c r="AN19" i="92"/>
  <c r="AO19" i="92"/>
  <c r="BQ19" i="92" s="1"/>
  <c r="M36" i="95" s="1"/>
  <c r="AP19" i="92"/>
  <c r="AM6" i="92"/>
  <c r="AN6" i="92"/>
  <c r="AO6" i="92"/>
  <c r="BQ6" i="92" s="1"/>
  <c r="AP6" i="92"/>
  <c r="AM24" i="92"/>
  <c r="AN24" i="92"/>
  <c r="AO24" i="92"/>
  <c r="BQ24" i="92" s="1"/>
  <c r="M22" i="95" s="1"/>
  <c r="AP24" i="92"/>
  <c r="AM12" i="92"/>
  <c r="AN12" i="92"/>
  <c r="AO12" i="92"/>
  <c r="BQ12" i="92" s="1"/>
  <c r="M11" i="95" s="1"/>
  <c r="AP12" i="92"/>
  <c r="AM16" i="92"/>
  <c r="AN16" i="92"/>
  <c r="AO16" i="92"/>
  <c r="AP16" i="92"/>
  <c r="AM23" i="92"/>
  <c r="AN23" i="92"/>
  <c r="AO23" i="92"/>
  <c r="BQ23" i="92" s="1"/>
  <c r="AP23" i="92"/>
  <c r="AM10" i="92"/>
  <c r="AN10" i="92"/>
  <c r="AO10" i="92"/>
  <c r="BQ10" i="92" s="1"/>
  <c r="M19" i="95" s="1"/>
  <c r="AP10" i="92"/>
  <c r="AM36" i="92"/>
  <c r="AN36" i="92"/>
  <c r="AO36" i="92"/>
  <c r="BQ36" i="92" s="1"/>
  <c r="M35" i="95" s="1"/>
  <c r="AP36" i="92"/>
  <c r="AM29" i="92"/>
  <c r="AN29" i="92"/>
  <c r="AO29" i="92"/>
  <c r="BQ29" i="92" s="1"/>
  <c r="M23" i="95" s="1"/>
  <c r="AP29" i="92"/>
  <c r="AM32" i="92"/>
  <c r="AN32" i="92"/>
  <c r="AO32" i="92"/>
  <c r="BQ32" i="92" s="1"/>
  <c r="M20" i="95" s="1"/>
  <c r="AP32" i="92"/>
  <c r="AM8" i="92"/>
  <c r="AN8" i="92"/>
  <c r="AO8" i="92"/>
  <c r="BQ8" i="92" s="1"/>
  <c r="M15" i="95" s="1"/>
  <c r="AP8" i="92"/>
  <c r="AM28" i="92"/>
  <c r="AN28" i="92"/>
  <c r="AO28" i="92"/>
  <c r="BQ28" i="92" s="1"/>
  <c r="M34" i="95" s="1"/>
  <c r="AP28" i="92"/>
  <c r="AM25" i="92"/>
  <c r="AN25" i="92"/>
  <c r="AO25" i="92"/>
  <c r="BQ25" i="92" s="1"/>
  <c r="M33" i="95" s="1"/>
  <c r="AP25" i="92"/>
  <c r="AM15" i="92"/>
  <c r="AN15" i="92"/>
  <c r="AO15" i="92"/>
  <c r="AP15" i="92"/>
  <c r="AM5" i="92"/>
  <c r="AN5" i="92"/>
  <c r="AO5" i="92"/>
  <c r="AP5" i="92"/>
  <c r="AM4" i="92"/>
  <c r="AN4" i="92"/>
  <c r="AO4" i="92"/>
  <c r="BQ4" i="92" s="1"/>
  <c r="M10" i="95" s="1"/>
  <c r="AP4" i="92"/>
  <c r="AM18" i="92"/>
  <c r="AN18" i="92"/>
  <c r="AO18" i="92"/>
  <c r="BQ18" i="92" s="1"/>
  <c r="M32" i="95" s="1"/>
  <c r="AP18" i="92"/>
  <c r="AM33" i="92"/>
  <c r="AN33" i="92"/>
  <c r="AO33" i="92"/>
  <c r="BQ33" i="92" s="1"/>
  <c r="M24" i="95" s="1"/>
  <c r="AP33" i="92"/>
  <c r="AM20" i="92"/>
  <c r="AN20" i="92"/>
  <c r="AO20" i="92"/>
  <c r="BQ20" i="92" s="1"/>
  <c r="M14" i="95" s="1"/>
  <c r="AP20" i="92"/>
  <c r="AM21" i="92"/>
  <c r="AN21" i="92"/>
  <c r="AO21" i="92"/>
  <c r="BQ21" i="92" s="1"/>
  <c r="M5" i="95" s="1"/>
  <c r="AP21" i="92"/>
  <c r="AM35" i="92"/>
  <c r="AN35" i="92"/>
  <c r="AO35" i="92"/>
  <c r="BQ35" i="92" s="1"/>
  <c r="M31" i="95" s="1"/>
  <c r="AP35" i="92"/>
  <c r="AM30" i="92"/>
  <c r="AN30" i="92"/>
  <c r="AO30" i="92"/>
  <c r="BQ30" i="92" s="1"/>
  <c r="M30" i="95" s="1"/>
  <c r="AP30" i="92"/>
  <c r="AM9" i="92"/>
  <c r="AN9" i="92"/>
  <c r="AO9" i="92"/>
  <c r="BQ9" i="92" s="1"/>
  <c r="M21" i="95" s="1"/>
  <c r="AP9" i="92"/>
  <c r="AM27" i="92"/>
  <c r="AN27" i="92"/>
  <c r="AO27" i="92"/>
  <c r="BQ27" i="92" s="1"/>
  <c r="M29" i="95" s="1"/>
  <c r="AP27" i="92"/>
  <c r="AM22" i="92"/>
  <c r="AN22" i="92"/>
  <c r="AO22" i="92"/>
  <c r="BQ22" i="92" s="1"/>
  <c r="M27" i="95" s="1"/>
  <c r="AP22" i="92"/>
  <c r="J22" i="64"/>
  <c r="K22" i="64"/>
  <c r="J23" i="64"/>
  <c r="K23" i="64"/>
  <c r="J21" i="64"/>
  <c r="K21" i="64"/>
  <c r="J5" i="64"/>
  <c r="K5" i="64"/>
  <c r="J6" i="64"/>
  <c r="K6" i="64"/>
  <c r="J41" i="64"/>
  <c r="K41" i="64"/>
  <c r="J40" i="64"/>
  <c r="K40" i="64"/>
  <c r="J39" i="64"/>
  <c r="K39" i="64"/>
  <c r="J38" i="64"/>
  <c r="K38" i="64"/>
  <c r="J4" i="64"/>
  <c r="K4" i="64"/>
  <c r="J36" i="64"/>
  <c r="K36" i="64"/>
  <c r="J35" i="64"/>
  <c r="K35" i="64"/>
  <c r="J37" i="64"/>
  <c r="K37" i="64"/>
  <c r="J12" i="64"/>
  <c r="K12" i="64"/>
  <c r="K2" i="64"/>
  <c r="J2" i="64"/>
  <c r="J7" i="64"/>
  <c r="K7" i="64"/>
  <c r="J34" i="64"/>
  <c r="K34" i="64"/>
  <c r="J10" i="64"/>
  <c r="K10" i="64"/>
  <c r="J33" i="64"/>
  <c r="K33" i="64"/>
  <c r="J32" i="64"/>
  <c r="K32" i="64"/>
  <c r="J31" i="64"/>
  <c r="K31" i="64"/>
  <c r="J30" i="64"/>
  <c r="K30" i="64"/>
  <c r="J29" i="64"/>
  <c r="K29" i="64"/>
  <c r="J28" i="64"/>
  <c r="K28" i="64"/>
  <c r="J27" i="64"/>
  <c r="K27" i="64"/>
  <c r="J26" i="64"/>
  <c r="K26" i="64"/>
  <c r="J25" i="64"/>
  <c r="K25" i="64"/>
  <c r="J9" i="64"/>
  <c r="K9" i="64"/>
  <c r="J8" i="64"/>
  <c r="K8" i="64"/>
  <c r="J24" i="64"/>
  <c r="K24" i="64"/>
  <c r="J20" i="64"/>
  <c r="K20" i="64"/>
  <c r="J19" i="64"/>
  <c r="K19" i="64"/>
  <c r="J3" i="64"/>
  <c r="K3" i="64"/>
  <c r="J18" i="64"/>
  <c r="K18" i="64"/>
  <c r="J17" i="64"/>
  <c r="K17" i="64"/>
  <c r="J13" i="64"/>
  <c r="K13" i="64"/>
  <c r="J16" i="64"/>
  <c r="K16" i="64"/>
  <c r="J15" i="64"/>
  <c r="K15" i="64"/>
  <c r="J14" i="64"/>
  <c r="K14" i="64"/>
  <c r="N28" i="64"/>
  <c r="O28" i="64"/>
  <c r="F21" i="64"/>
  <c r="G21" i="64"/>
  <c r="N29" i="64"/>
  <c r="O29" i="64"/>
  <c r="F22" i="64"/>
  <c r="G22" i="64"/>
  <c r="N27" i="64"/>
  <c r="O27" i="64"/>
  <c r="F20" i="64"/>
  <c r="G20" i="64"/>
  <c r="O2" i="64"/>
  <c r="N2" i="64"/>
  <c r="AH2" i="92"/>
  <c r="AG2" i="92"/>
  <c r="AF2" i="92"/>
  <c r="AE2" i="92"/>
  <c r="AD2" i="92"/>
  <c r="F3" i="64"/>
  <c r="G3" i="64"/>
  <c r="N4" i="64"/>
  <c r="O4" i="64"/>
  <c r="F5" i="64"/>
  <c r="G5" i="64"/>
  <c r="N8" i="64"/>
  <c r="O8" i="64"/>
  <c r="F41" i="64"/>
  <c r="G41" i="64"/>
  <c r="N41" i="64"/>
  <c r="O41" i="64"/>
  <c r="F40" i="64"/>
  <c r="G40" i="64"/>
  <c r="N40" i="64"/>
  <c r="O40" i="64"/>
  <c r="F39" i="64"/>
  <c r="G39" i="64"/>
  <c r="N12" i="64"/>
  <c r="O12" i="64"/>
  <c r="F38" i="64"/>
  <c r="G38" i="64"/>
  <c r="N11" i="64"/>
  <c r="O11" i="64"/>
  <c r="F36" i="64"/>
  <c r="G36" i="64"/>
  <c r="N19" i="64"/>
  <c r="O19" i="64"/>
  <c r="F35" i="64"/>
  <c r="G35" i="64"/>
  <c r="N38" i="64"/>
  <c r="O38" i="64"/>
  <c r="F34" i="64"/>
  <c r="G34" i="64"/>
  <c r="N39" i="64"/>
  <c r="O39" i="64"/>
  <c r="F37" i="64"/>
  <c r="G37" i="64"/>
  <c r="N13" i="64"/>
  <c r="O13" i="64"/>
  <c r="F11" i="64"/>
  <c r="G11" i="64"/>
  <c r="N9" i="64"/>
  <c r="O9" i="64"/>
  <c r="F8" i="64"/>
  <c r="G8" i="64"/>
  <c r="N14" i="64"/>
  <c r="O14" i="64"/>
  <c r="F6" i="64"/>
  <c r="G6" i="64"/>
  <c r="N37" i="64"/>
  <c r="O37" i="64"/>
  <c r="F33" i="64"/>
  <c r="G33" i="64"/>
  <c r="N21" i="64"/>
  <c r="O21" i="64"/>
  <c r="F9" i="64"/>
  <c r="G9" i="64"/>
  <c r="C32" i="64"/>
  <c r="N36" i="64"/>
  <c r="O36" i="64"/>
  <c r="F32" i="64"/>
  <c r="G32" i="64"/>
  <c r="N35" i="64"/>
  <c r="O35" i="64"/>
  <c r="F31" i="64"/>
  <c r="G31" i="64"/>
  <c r="N5" i="64"/>
  <c r="O5" i="64"/>
  <c r="F30" i="64"/>
  <c r="G30" i="64"/>
  <c r="N34" i="64"/>
  <c r="O34" i="64"/>
  <c r="F29" i="64"/>
  <c r="G29" i="64"/>
  <c r="N33" i="64"/>
  <c r="O33" i="64"/>
  <c r="F28" i="64"/>
  <c r="G28" i="64"/>
  <c r="N20" i="64"/>
  <c r="O20" i="64"/>
  <c r="F27" i="64"/>
  <c r="G27" i="64"/>
  <c r="N32" i="64"/>
  <c r="O32" i="64"/>
  <c r="F26" i="64"/>
  <c r="G26" i="64"/>
  <c r="N31" i="64"/>
  <c r="O31" i="64"/>
  <c r="F25" i="64"/>
  <c r="G25" i="64"/>
  <c r="N10" i="64"/>
  <c r="O10" i="64"/>
  <c r="F24" i="64"/>
  <c r="G24" i="64"/>
  <c r="N3" i="64"/>
  <c r="O3" i="64"/>
  <c r="F4" i="64"/>
  <c r="G4" i="64"/>
  <c r="N7" i="64"/>
  <c r="O7" i="64"/>
  <c r="F7" i="64"/>
  <c r="G7" i="64"/>
  <c r="N30" i="64"/>
  <c r="O30" i="64"/>
  <c r="F23" i="64"/>
  <c r="G23" i="64"/>
  <c r="N16" i="64"/>
  <c r="O16" i="64"/>
  <c r="F19" i="64"/>
  <c r="G19" i="64"/>
  <c r="N18" i="64"/>
  <c r="O18" i="64"/>
  <c r="F18" i="64"/>
  <c r="G18" i="64"/>
  <c r="N17" i="64"/>
  <c r="O17" i="64"/>
  <c r="G2" i="64"/>
  <c r="F2" i="64"/>
  <c r="N26" i="64"/>
  <c r="O26" i="64"/>
  <c r="F17" i="64"/>
  <c r="G17" i="64"/>
  <c r="N25" i="64"/>
  <c r="O25" i="64"/>
  <c r="F16" i="64"/>
  <c r="G16" i="64"/>
  <c r="N15" i="64"/>
  <c r="O15" i="64"/>
  <c r="F12" i="64"/>
  <c r="G12" i="64"/>
  <c r="N24" i="64"/>
  <c r="O24" i="64"/>
  <c r="F15" i="64"/>
  <c r="G15" i="64"/>
  <c r="N23" i="64"/>
  <c r="O23" i="64"/>
  <c r="F14" i="64"/>
  <c r="G14" i="64"/>
  <c r="N22" i="64"/>
  <c r="O22" i="64"/>
  <c r="F13" i="64"/>
  <c r="G13" i="64"/>
  <c r="C23" i="64"/>
  <c r="C24" i="64"/>
  <c r="C22" i="64"/>
  <c r="C2" i="64"/>
  <c r="B2" i="64"/>
  <c r="C4" i="64"/>
  <c r="B4" i="64"/>
  <c r="C41" i="64"/>
  <c r="C40" i="64"/>
  <c r="C39" i="64"/>
  <c r="C38" i="64"/>
  <c r="C36" i="64"/>
  <c r="C35" i="64"/>
  <c r="C34" i="64"/>
  <c r="C37" i="64"/>
  <c r="C13" i="64"/>
  <c r="B13" i="64"/>
  <c r="C5" i="64"/>
  <c r="B5" i="64"/>
  <c r="C33" i="64"/>
  <c r="C11" i="64"/>
  <c r="B11" i="64"/>
  <c r="C31" i="64"/>
  <c r="C30" i="64"/>
  <c r="C10" i="64"/>
  <c r="B10" i="64"/>
  <c r="C29" i="64"/>
  <c r="C3" i="64"/>
  <c r="C28" i="64"/>
  <c r="C27" i="64"/>
  <c r="C26" i="64"/>
  <c r="C6" i="64"/>
  <c r="B6" i="64"/>
  <c r="C25" i="64"/>
  <c r="C21" i="64"/>
  <c r="B21" i="64"/>
  <c r="C20" i="64"/>
  <c r="B20" i="64"/>
  <c r="C19" i="64"/>
  <c r="B19" i="64"/>
  <c r="C18" i="64"/>
  <c r="B18" i="64"/>
  <c r="C17" i="64"/>
  <c r="B17" i="64"/>
  <c r="C12" i="64"/>
  <c r="B12" i="64"/>
  <c r="C16" i="64"/>
  <c r="B16" i="64"/>
  <c r="C15" i="64"/>
  <c r="B15" i="64"/>
  <c r="C14" i="64"/>
  <c r="B14" i="64"/>
  <c r="C8" i="64"/>
  <c r="B8" i="64"/>
  <c r="B35" i="62"/>
  <c r="AQ1148" i="1"/>
  <c r="AQ406" i="1"/>
  <c r="AQ401" i="1"/>
  <c r="AQ896" i="1"/>
  <c r="AQ430" i="1"/>
  <c r="AJ680" i="1"/>
  <c r="AL680" i="1" s="1"/>
  <c r="AJ353" i="1"/>
  <c r="AK353" i="1" s="1"/>
  <c r="AJ430" i="1"/>
  <c r="AK430" i="1" s="1"/>
  <c r="AJ443" i="1"/>
  <c r="AK443" i="1" s="1"/>
  <c r="AJ414" i="1"/>
  <c r="AK414" i="1" s="1"/>
  <c r="AJ357" i="1"/>
  <c r="AK357" i="1" s="1"/>
  <c r="AJ360" i="1"/>
  <c r="AK360" i="1" s="1"/>
  <c r="AJ439" i="1"/>
  <c r="AK439" i="1" s="1"/>
  <c r="AJ361" i="1"/>
  <c r="AK361" i="1" s="1"/>
  <c r="AJ438" i="1"/>
  <c r="AK438" i="1" s="1"/>
  <c r="AJ528" i="1"/>
  <c r="AK528" i="1" s="1"/>
  <c r="AJ423" i="1"/>
  <c r="AK423" i="1" s="1"/>
  <c r="AJ362" i="1"/>
  <c r="AK362" i="1" s="1"/>
  <c r="R41" i="1"/>
  <c r="S41" i="1" s="1"/>
  <c r="R337" i="1"/>
  <c r="S337" i="1" s="1"/>
  <c r="AL419" i="1"/>
  <c r="AL364" i="1"/>
  <c r="AK338" i="1"/>
  <c r="AL444" i="1"/>
  <c r="AL435" i="1"/>
  <c r="AL376" i="1"/>
  <c r="AK901" i="1"/>
  <c r="AL384" i="1"/>
  <c r="AL388" i="1"/>
  <c r="AL366" i="1"/>
  <c r="AL340" i="1"/>
  <c r="AL448" i="1"/>
  <c r="AL428" i="1"/>
  <c r="AK304" i="1"/>
  <c r="AK335" i="1"/>
  <c r="AK305" i="1"/>
  <c r="AK764" i="1"/>
  <c r="AK400" i="1"/>
  <c r="AL400" i="1"/>
  <c r="AK700" i="1"/>
  <c r="AL408" i="1"/>
  <c r="AK420" i="1"/>
  <c r="AL420" i="1"/>
  <c r="AK368" i="1"/>
  <c r="AL368" i="1"/>
  <c r="AK412" i="1"/>
  <c r="AL412" i="1"/>
  <c r="AL398" i="1"/>
  <c r="AK324" i="1"/>
  <c r="AK358" i="1"/>
  <c r="AL358" i="1"/>
  <c r="AK177" i="1"/>
  <c r="AL416" i="1"/>
  <c r="AL406" i="1"/>
  <c r="AL396" i="1"/>
  <c r="AL352" i="1"/>
  <c r="AK896" i="1"/>
  <c r="AL1150" i="1"/>
  <c r="AL1149" i="1"/>
  <c r="AL1148" i="1"/>
  <c r="AL1144" i="1"/>
  <c r="AL1136" i="1"/>
  <c r="AK786" i="1"/>
  <c r="AK397" i="1"/>
  <c r="AL397" i="1"/>
  <c r="AK678" i="1"/>
  <c r="AK446" i="1"/>
  <c r="AL446" i="1"/>
  <c r="AL447" i="1"/>
  <c r="AL431" i="1"/>
  <c r="AL240" i="1"/>
  <c r="AK240" i="1"/>
  <c r="AL433" i="1"/>
  <c r="AK363" i="1"/>
  <c r="AL363" i="1"/>
  <c r="AL442" i="1"/>
  <c r="AK413" i="1"/>
  <c r="AL413" i="1"/>
  <c r="AK403" i="1"/>
  <c r="AL403" i="1"/>
  <c r="AK379" i="1"/>
  <c r="AL379" i="1"/>
  <c r="AL445" i="1"/>
  <c r="AK395" i="1"/>
  <c r="AL395" i="1"/>
  <c r="AK381" i="1"/>
  <c r="AL381" i="1"/>
  <c r="AL306" i="1"/>
  <c r="AK306" i="1"/>
  <c r="AL407" i="1"/>
  <c r="AL391" i="1"/>
  <c r="AL367" i="1"/>
  <c r="AL401" i="1"/>
  <c r="AL393" i="1"/>
  <c r="AL402" i="1"/>
  <c r="AL394" i="1"/>
  <c r="AL378" i="1"/>
  <c r="AL370" i="1"/>
  <c r="AK122" i="1"/>
  <c r="AL122" i="1"/>
  <c r="P680" i="1"/>
  <c r="R680" i="1" s="1"/>
  <c r="S680" i="1" s="1"/>
  <c r="Q335" i="1"/>
  <c r="G359" i="24"/>
  <c r="O360" i="1"/>
  <c r="Q360" i="1" s="1"/>
  <c r="G180" i="24"/>
  <c r="O402" i="1"/>
  <c r="Q402" i="1" s="1"/>
  <c r="Q786" i="1"/>
  <c r="P786" i="1"/>
  <c r="Q348" i="1"/>
  <c r="P348" i="1"/>
  <c r="Q349" i="1"/>
  <c r="P349" i="1"/>
  <c r="Q350" i="1"/>
  <c r="P350" i="1"/>
  <c r="Q351" i="1"/>
  <c r="P351" i="1"/>
  <c r="Q352" i="1"/>
  <c r="P352" i="1"/>
  <c r="Q353" i="1"/>
  <c r="P353" i="1"/>
  <c r="Q354" i="1"/>
  <c r="P354" i="1"/>
  <c r="Q355" i="1"/>
  <c r="P355" i="1"/>
  <c r="Q356" i="1"/>
  <c r="P356" i="1"/>
  <c r="Q357" i="1"/>
  <c r="P357" i="1"/>
  <c r="Q358" i="1"/>
  <c r="P358" i="1"/>
  <c r="Q359" i="1"/>
  <c r="P359" i="1"/>
  <c r="Q361" i="1"/>
  <c r="P361" i="1"/>
  <c r="Q362" i="1"/>
  <c r="P362" i="1"/>
  <c r="Q366" i="1"/>
  <c r="P366" i="1"/>
  <c r="Q368" i="1"/>
  <c r="P368" i="1"/>
  <c r="Q369" i="1"/>
  <c r="P369" i="1"/>
  <c r="Q370" i="1"/>
  <c r="P370" i="1"/>
  <c r="Q371" i="1"/>
  <c r="P371" i="1"/>
  <c r="Q372" i="1"/>
  <c r="P372" i="1"/>
  <c r="Q373" i="1"/>
  <c r="P373" i="1"/>
  <c r="Q374" i="1"/>
  <c r="P374" i="1"/>
  <c r="Q375" i="1"/>
  <c r="P375" i="1"/>
  <c r="Q376" i="1"/>
  <c r="P376" i="1"/>
  <c r="Q377" i="1"/>
  <c r="P377" i="1"/>
  <c r="Q378" i="1"/>
  <c r="P378" i="1"/>
  <c r="Q379" i="1"/>
  <c r="P379" i="1"/>
  <c r="Q380" i="1"/>
  <c r="P380" i="1"/>
  <c r="Q381" i="1"/>
  <c r="P381" i="1"/>
  <c r="Q382" i="1"/>
  <c r="P382" i="1"/>
  <c r="Q383" i="1"/>
  <c r="P383" i="1"/>
  <c r="Q385" i="1"/>
  <c r="P385" i="1"/>
  <c r="Q386" i="1"/>
  <c r="P386" i="1"/>
  <c r="Q387" i="1"/>
  <c r="P387" i="1"/>
  <c r="Q388" i="1"/>
  <c r="P388" i="1"/>
  <c r="Q389" i="1"/>
  <c r="P389" i="1"/>
  <c r="Q390" i="1"/>
  <c r="P390" i="1"/>
  <c r="Q391" i="1"/>
  <c r="P391" i="1"/>
  <c r="Q393" i="1"/>
  <c r="P393" i="1"/>
  <c r="Q395" i="1"/>
  <c r="P395" i="1"/>
  <c r="Q397" i="1"/>
  <c r="P397" i="1"/>
  <c r="Q398" i="1"/>
  <c r="P398" i="1"/>
  <c r="Q399" i="1"/>
  <c r="P399" i="1"/>
  <c r="Q400" i="1"/>
  <c r="P400" i="1"/>
  <c r="Q401" i="1"/>
  <c r="P401" i="1"/>
  <c r="Q403" i="1"/>
  <c r="P403" i="1"/>
  <c r="Q404" i="1"/>
  <c r="P404" i="1"/>
  <c r="Q405" i="1"/>
  <c r="P405" i="1"/>
  <c r="Q409" i="1"/>
  <c r="P409" i="1"/>
  <c r="Q410" i="1"/>
  <c r="P410" i="1"/>
  <c r="Q411" i="1"/>
  <c r="P411" i="1"/>
  <c r="Q412" i="1"/>
  <c r="P412" i="1"/>
  <c r="Q413" i="1"/>
  <c r="P413" i="1"/>
  <c r="Q415" i="1"/>
  <c r="P415" i="1"/>
  <c r="Q416" i="1"/>
  <c r="P416" i="1"/>
  <c r="Q421" i="1"/>
  <c r="P421" i="1"/>
  <c r="Q422" i="1"/>
  <c r="P422" i="1"/>
  <c r="Q423" i="1"/>
  <c r="P423" i="1"/>
  <c r="Q424" i="1"/>
  <c r="P424" i="1"/>
  <c r="Q425" i="1"/>
  <c r="P425" i="1"/>
  <c r="Q426" i="1"/>
  <c r="P426" i="1"/>
  <c r="Q427" i="1"/>
  <c r="P427" i="1"/>
  <c r="Q428" i="1"/>
  <c r="P428" i="1"/>
  <c r="Q429" i="1"/>
  <c r="P429" i="1"/>
  <c r="Q432" i="1"/>
  <c r="P432" i="1"/>
  <c r="Q433" i="1"/>
  <c r="P433" i="1"/>
  <c r="Q434" i="1"/>
  <c r="P434" i="1"/>
  <c r="Q436" i="1"/>
  <c r="P436" i="1"/>
  <c r="Q437" i="1"/>
  <c r="P437" i="1"/>
  <c r="Q439" i="1"/>
  <c r="P439" i="1"/>
  <c r="Q440" i="1"/>
  <c r="P440" i="1"/>
  <c r="Q441" i="1"/>
  <c r="P441" i="1"/>
  <c r="Q442" i="1"/>
  <c r="P442" i="1"/>
  <c r="Q443" i="1"/>
  <c r="P443" i="1"/>
  <c r="Q444" i="1"/>
  <c r="P444" i="1"/>
  <c r="Q446" i="1"/>
  <c r="P446" i="1"/>
  <c r="Q447" i="1"/>
  <c r="P447" i="1"/>
  <c r="Q448" i="1"/>
  <c r="P448" i="1"/>
  <c r="Q449" i="1"/>
  <c r="P449"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2" i="1"/>
  <c r="P298" i="1"/>
  <c r="P299" i="1"/>
  <c r="Q298" i="1"/>
  <c r="Q299" i="1"/>
  <c r="Q300" i="1"/>
  <c r="O313" i="1"/>
  <c r="P313" i="1" s="1"/>
  <c r="Q313" i="1"/>
  <c r="O1093" i="1"/>
  <c r="O1094" i="1"/>
  <c r="O1121" i="1"/>
  <c r="P1121" i="1" s="1"/>
  <c r="S1121" i="1"/>
  <c r="O1122" i="1"/>
  <c r="P1122" i="1" s="1"/>
  <c r="O1123" i="1"/>
  <c r="P1123" i="1" s="1"/>
  <c r="O1124" i="1"/>
  <c r="P1124" i="1" s="1"/>
  <c r="O1125" i="1"/>
  <c r="P1125" i="1" s="1"/>
  <c r="O1126" i="1"/>
  <c r="P1126" i="1" s="1"/>
  <c r="O1128" i="1"/>
  <c r="P1128" i="1" s="1"/>
  <c r="O1129" i="1"/>
  <c r="P1129" i="1" s="1"/>
  <c r="O1130" i="1"/>
  <c r="P1130" i="1" s="1"/>
  <c r="O1131" i="1"/>
  <c r="O1132" i="1"/>
  <c r="O1133" i="1"/>
  <c r="O1134" i="1"/>
  <c r="P1134" i="1" s="1"/>
  <c r="O1135" i="1"/>
  <c r="P1135" i="1" s="1"/>
  <c r="O1136" i="1"/>
  <c r="P1136" i="1" s="1"/>
  <c r="O1137" i="1"/>
  <c r="P1137" i="1" s="1"/>
  <c r="O1138" i="1"/>
  <c r="O1139" i="1"/>
  <c r="P1139" i="1" s="1"/>
  <c r="O1140" i="1"/>
  <c r="P1140" i="1" s="1"/>
  <c r="O1141" i="1"/>
  <c r="O1142" i="1"/>
  <c r="O1143" i="1"/>
  <c r="P1143" i="1" s="1"/>
  <c r="O1144" i="1"/>
  <c r="P1144" i="1" s="1"/>
  <c r="O1145" i="1"/>
  <c r="P1145" i="1" s="1"/>
  <c r="O1146" i="1"/>
  <c r="P1146" i="1" s="1"/>
  <c r="O1147" i="1"/>
  <c r="P1147" i="1" s="1"/>
  <c r="O1148" i="1"/>
  <c r="P1148" i="1" s="1"/>
  <c r="O1149" i="1"/>
  <c r="O1150" i="1"/>
  <c r="P1150" i="1" s="1"/>
  <c r="O1151" i="1"/>
  <c r="O1152" i="1"/>
  <c r="O1153" i="1"/>
  <c r="P1153" i="1" s="1"/>
  <c r="O1154" i="1"/>
  <c r="P1154" i="1" s="1"/>
  <c r="O1155" i="1"/>
  <c r="P1155" i="1" s="1"/>
  <c r="O1156" i="1"/>
  <c r="P1156" i="1" s="1"/>
  <c r="O1158" i="1"/>
  <c r="P1158" i="1" s="1"/>
  <c r="O1159" i="1"/>
  <c r="O1160" i="1"/>
  <c r="O1161" i="1"/>
  <c r="O1162" i="1"/>
  <c r="O24" i="1"/>
  <c r="O55" i="1"/>
  <c r="O167" i="1"/>
  <c r="O168" i="1"/>
  <c r="O191" i="1"/>
  <c r="O192" i="1"/>
  <c r="O193" i="1"/>
  <c r="O194" i="1"/>
  <c r="O196" i="1"/>
  <c r="O197" i="1"/>
  <c r="O198" i="1"/>
  <c r="O199" i="1"/>
  <c r="O200" i="1"/>
  <c r="O201" i="1"/>
  <c r="O202" i="1"/>
  <c r="O203" i="1"/>
  <c r="O204" i="1"/>
  <c r="O210" i="1"/>
  <c r="O211" i="1"/>
  <c r="O266" i="1"/>
  <c r="O267" i="1"/>
  <c r="O268" i="1"/>
  <c r="O269" i="1"/>
  <c r="O270" i="1"/>
  <c r="O271" i="1"/>
  <c r="O272" i="1"/>
  <c r="O273" i="1"/>
  <c r="O274" i="1"/>
  <c r="O275" i="1"/>
  <c r="O276" i="1"/>
  <c r="O277" i="1"/>
  <c r="O522" i="1"/>
  <c r="O523" i="1"/>
  <c r="O524" i="1"/>
  <c r="O525" i="1"/>
  <c r="O530" i="1"/>
  <c r="O531" i="1"/>
  <c r="O532" i="1"/>
  <c r="O533" i="1"/>
  <c r="O660" i="1"/>
  <c r="O825" i="1"/>
  <c r="O826" i="1"/>
  <c r="O827" i="1"/>
  <c r="O828" i="1"/>
  <c r="O829" i="1"/>
  <c r="O830" i="1"/>
  <c r="O848" i="1"/>
  <c r="O1065" i="1"/>
  <c r="O1066" i="1"/>
  <c r="O1067" i="1"/>
  <c r="O1068" i="1"/>
  <c r="O1069" i="1"/>
  <c r="O1070" i="1"/>
  <c r="O1071" i="1"/>
  <c r="O1072" i="1"/>
  <c r="O1073" i="1"/>
  <c r="O1074" i="1"/>
  <c r="O1075" i="1"/>
  <c r="O1091" i="1"/>
  <c r="P1091" i="1" s="1"/>
  <c r="S1091" i="1"/>
  <c r="O1092" i="1"/>
  <c r="P1092" i="1" s="1"/>
  <c r="Q1161" i="1"/>
  <c r="P1161" i="1"/>
  <c r="Q1160" i="1"/>
  <c r="P1160" i="1"/>
  <c r="Q1159" i="1"/>
  <c r="P1159" i="1"/>
  <c r="Q1158" i="1"/>
  <c r="Q1157" i="1"/>
  <c r="Q1156" i="1"/>
  <c r="Q1155" i="1"/>
  <c r="Q1154" i="1"/>
  <c r="Q1153" i="1"/>
  <c r="Q1152" i="1"/>
  <c r="P1152" i="1"/>
  <c r="Q1151" i="1"/>
  <c r="P1151" i="1"/>
  <c r="Q1150" i="1"/>
  <c r="Q1149" i="1"/>
  <c r="P1149" i="1"/>
  <c r="Q1148" i="1"/>
  <c r="Q1147" i="1"/>
  <c r="Q1146" i="1"/>
  <c r="Q1145" i="1"/>
  <c r="Q1144" i="1"/>
  <c r="Q1143" i="1"/>
  <c r="Q1142" i="1"/>
  <c r="P1142" i="1"/>
  <c r="Q1141" i="1"/>
  <c r="P1141" i="1"/>
  <c r="Q1140" i="1"/>
  <c r="Q1139" i="1"/>
  <c r="Q1138" i="1"/>
  <c r="P1138" i="1"/>
  <c r="Q1137" i="1"/>
  <c r="Q1136" i="1"/>
  <c r="Q1135" i="1"/>
  <c r="Q1134" i="1"/>
  <c r="Q1133" i="1"/>
  <c r="P1133" i="1"/>
  <c r="Q1132" i="1"/>
  <c r="P1132" i="1"/>
  <c r="Q1131" i="1"/>
  <c r="P1131" i="1"/>
  <c r="Q1130" i="1"/>
  <c r="Q1129" i="1"/>
  <c r="Q1128" i="1"/>
  <c r="Q1162" i="1"/>
  <c r="P1162" i="1"/>
  <c r="AC1126" i="1"/>
  <c r="R1126" i="1"/>
  <c r="S1126" i="1" s="1"/>
  <c r="Q1126" i="1"/>
  <c r="AC1125" i="1"/>
  <c r="R1125" i="1"/>
  <c r="S1125" i="1" s="1"/>
  <c r="Q1125" i="1"/>
  <c r="AC1124" i="1"/>
  <c r="R1124" i="1"/>
  <c r="S1124" i="1" s="1"/>
  <c r="Q1124" i="1"/>
  <c r="AC1123" i="1"/>
  <c r="R1123" i="1"/>
  <c r="S1123" i="1" s="1"/>
  <c r="Q1123" i="1"/>
  <c r="AC1122" i="1"/>
  <c r="R1122" i="1"/>
  <c r="S1122" i="1" s="1"/>
  <c r="D39" i="52" s="1"/>
  <c r="Q1122" i="1"/>
  <c r="AC1121" i="1"/>
  <c r="Q1121" i="1"/>
  <c r="AC1094" i="1"/>
  <c r="R1094" i="1"/>
  <c r="S1094" i="1" s="1"/>
  <c r="Q1094" i="1"/>
  <c r="P1094" i="1"/>
  <c r="AC1093" i="1"/>
  <c r="R1093" i="1"/>
  <c r="S1093" i="1" s="1"/>
  <c r="Q1093" i="1"/>
  <c r="P1093" i="1"/>
  <c r="AC1092" i="1"/>
  <c r="R1092" i="1"/>
  <c r="S1092" i="1" s="1"/>
  <c r="Q1092" i="1"/>
  <c r="AC1091" i="1"/>
  <c r="Q1091" i="1"/>
  <c r="Q1075" i="1"/>
  <c r="P1075" i="1"/>
  <c r="Q1074" i="1"/>
  <c r="P1074" i="1"/>
  <c r="Q1073" i="1"/>
  <c r="P1073" i="1"/>
  <c r="Q1072" i="1"/>
  <c r="P1072" i="1"/>
  <c r="Q1071" i="1"/>
  <c r="P1071" i="1"/>
  <c r="Q1070" i="1"/>
  <c r="P1070" i="1"/>
  <c r="Q1069" i="1"/>
  <c r="P1069" i="1"/>
  <c r="Q1068" i="1"/>
  <c r="P1068" i="1"/>
  <c r="Q1067" i="1"/>
  <c r="P1067" i="1"/>
  <c r="Q1066" i="1"/>
  <c r="P1066" i="1"/>
  <c r="Q1065" i="1"/>
  <c r="P1065" i="1"/>
  <c r="H38" i="104" l="1"/>
  <c r="H30" i="105"/>
  <c r="H31" i="105"/>
  <c r="F64" i="104"/>
  <c r="H19" i="105"/>
  <c r="H12" i="105"/>
  <c r="H16" i="105"/>
  <c r="H14" i="105"/>
  <c r="H35" i="105"/>
  <c r="H53" i="104"/>
  <c r="H33" i="104"/>
  <c r="H31" i="104"/>
  <c r="H30" i="104"/>
  <c r="H42" i="104"/>
  <c r="H65" i="104"/>
  <c r="H64" i="104"/>
  <c r="H63" i="104"/>
  <c r="H32" i="104"/>
  <c r="H57" i="104"/>
  <c r="H54" i="104"/>
  <c r="H44" i="104"/>
  <c r="H28" i="104"/>
  <c r="H36" i="104"/>
  <c r="H20" i="105"/>
  <c r="F52" i="104"/>
  <c r="H52" i="104" s="1"/>
  <c r="H23" i="105"/>
  <c r="H11" i="105"/>
  <c r="H15" i="105"/>
  <c r="H38" i="105"/>
  <c r="H37" i="105"/>
  <c r="H32" i="105"/>
  <c r="H40" i="105"/>
  <c r="H49" i="104"/>
  <c r="H34" i="104"/>
  <c r="H67" i="104"/>
  <c r="H51" i="104"/>
  <c r="H39" i="104"/>
  <c r="H50" i="104"/>
  <c r="H56" i="104"/>
  <c r="H62" i="104"/>
  <c r="H41" i="104"/>
  <c r="H34" i="105"/>
  <c r="H17" i="105"/>
  <c r="H43" i="105"/>
  <c r="H27" i="104"/>
  <c r="AQ921" i="1"/>
  <c r="AQ670" i="1"/>
  <c r="AQ1172" i="1"/>
  <c r="AQ917" i="1"/>
  <c r="AQ916" i="1"/>
  <c r="AK1163" i="1"/>
  <c r="BD42" i="92"/>
  <c r="CE4" i="92"/>
  <c r="BC42" i="92"/>
  <c r="BB42" i="92"/>
  <c r="BA42" i="92"/>
  <c r="BD41" i="92"/>
  <c r="BC41" i="92"/>
  <c r="BB41" i="92"/>
  <c r="BA41" i="92"/>
  <c r="AP42" i="92"/>
  <c r="AO42" i="92"/>
  <c r="AN42" i="92"/>
  <c r="AM42" i="92"/>
  <c r="AM41" i="92"/>
  <c r="AP41" i="92"/>
  <c r="AO41" i="92"/>
  <c r="AN41" i="92"/>
  <c r="AK680" i="1"/>
  <c r="AL353" i="1"/>
  <c r="AQ396" i="1"/>
  <c r="AQ367" i="1"/>
  <c r="AQ431" i="1"/>
  <c r="AL360" i="1"/>
  <c r="AL414" i="1"/>
  <c r="AL430" i="1"/>
  <c r="AL443" i="1"/>
  <c r="AL361" i="1"/>
  <c r="AL439" i="1"/>
  <c r="AL357" i="1"/>
  <c r="AL362" i="1"/>
  <c r="AL528" i="1"/>
  <c r="AL423" i="1"/>
  <c r="AL438" i="1"/>
  <c r="P402" i="1"/>
  <c r="P360" i="1"/>
  <c r="S3" i="5"/>
  <c r="R6" i="5"/>
  <c r="S6" i="5" s="1"/>
  <c r="F500" i="24"/>
  <c r="N500" i="24" s="1"/>
  <c r="O854" i="1"/>
  <c r="P854" i="1"/>
  <c r="Q854" i="1"/>
  <c r="O855" i="1"/>
  <c r="P855" i="1" s="1"/>
  <c r="R855" i="1" s="1"/>
  <c r="S855" i="1" s="1"/>
  <c r="AS2" i="1"/>
  <c r="F10" i="105" s="1"/>
  <c r="F29" i="104" l="1"/>
  <c r="F52" i="105"/>
  <c r="F53" i="105" s="1"/>
  <c r="F51" i="105"/>
  <c r="Q855" i="1"/>
  <c r="T855" i="1" s="1"/>
  <c r="F68" i="104" l="1"/>
  <c r="Q209" i="1"/>
  <c r="P209" i="1"/>
  <c r="P208" i="1"/>
  <c r="Q616" i="1" l="1"/>
  <c r="E469" i="24"/>
  <c r="E142" i="24"/>
  <c r="O122" i="1"/>
  <c r="AJ895" i="1"/>
  <c r="AJ900" i="1"/>
  <c r="F308" i="24"/>
  <c r="N308" i="24" s="1"/>
  <c r="AJ873" i="1"/>
  <c r="AJ872" i="1"/>
  <c r="AJ796" i="1"/>
  <c r="AJ793" i="1"/>
  <c r="F328" i="24"/>
  <c r="N328" i="24" s="1"/>
  <c r="AJ787" i="1"/>
  <c r="F305" i="24"/>
  <c r="N305" i="24" s="1"/>
  <c r="AJ616" i="1"/>
  <c r="AJ576" i="1"/>
  <c r="F376" i="24"/>
  <c r="N376" i="24" s="1"/>
  <c r="AJ573" i="1"/>
  <c r="O901" i="1"/>
  <c r="O900" i="1"/>
  <c r="O899" i="1"/>
  <c r="O898" i="1"/>
  <c r="O896" i="1"/>
  <c r="O895" i="1"/>
  <c r="O886" i="1"/>
  <c r="O885" i="1"/>
  <c r="O884" i="1"/>
  <c r="O883" i="1"/>
  <c r="O878" i="1"/>
  <c r="O869" i="1"/>
  <c r="O853" i="1"/>
  <c r="O852" i="1"/>
  <c r="O797" i="1"/>
  <c r="O796" i="1"/>
  <c r="O795" i="1"/>
  <c r="O794" i="1"/>
  <c r="O793" i="1"/>
  <c r="O792" i="1"/>
  <c r="O791" i="1"/>
  <c r="O790" i="1"/>
  <c r="O789" i="1"/>
  <c r="O788" i="1"/>
  <c r="O785" i="1"/>
  <c r="O783" i="1"/>
  <c r="O782" i="1"/>
  <c r="O624" i="1"/>
  <c r="O590" i="1"/>
  <c r="O589" i="1"/>
  <c r="O582" i="1"/>
  <c r="O575" i="1"/>
  <c r="O574" i="1"/>
  <c r="O572" i="1"/>
  <c r="O571" i="1"/>
  <c r="O570" i="1"/>
  <c r="O569" i="1"/>
  <c r="O568" i="1"/>
  <c r="O124" i="1"/>
  <c r="O123" i="1"/>
  <c r="O121" i="1"/>
  <c r="O120" i="1"/>
  <c r="O85" i="1"/>
  <c r="O40" i="1"/>
  <c r="O39" i="1"/>
  <c r="O37" i="1"/>
  <c r="O36" i="1"/>
  <c r="O35" i="1"/>
  <c r="O787" i="1" l="1"/>
  <c r="G376" i="24"/>
  <c r="O616" i="1"/>
  <c r="P616" i="1" s="1"/>
  <c r="G328" i="24"/>
  <c r="F329" i="24"/>
  <c r="N329" i="24" s="1"/>
  <c r="O573" i="1"/>
  <c r="AN555" i="1"/>
  <c r="AN572" i="1"/>
  <c r="AL787" i="1"/>
  <c r="AK787" i="1"/>
  <c r="AL895" i="1"/>
  <c r="AK895" i="1"/>
  <c r="AJ792" i="1"/>
  <c r="AJ795" i="1"/>
  <c r="AL900" i="1"/>
  <c r="AK900" i="1"/>
  <c r="AK573" i="1"/>
  <c r="AL573" i="1"/>
  <c r="AL793" i="1"/>
  <c r="AK793" i="1"/>
  <c r="AK796" i="1"/>
  <c r="AL796" i="1"/>
  <c r="AK576" i="1"/>
  <c r="AL576" i="1"/>
  <c r="AL872" i="1"/>
  <c r="AK872" i="1"/>
  <c r="AL616" i="1"/>
  <c r="AK616" i="1"/>
  <c r="AK873" i="1"/>
  <c r="AL873" i="1"/>
  <c r="AJ555" i="1"/>
  <c r="AJ572" i="1"/>
  <c r="AJ66" i="1"/>
  <c r="AJ61" i="1"/>
  <c r="AJ526" i="1"/>
  <c r="AJ570" i="1"/>
  <c r="AJ785" i="1"/>
  <c r="O873" i="1"/>
  <c r="O872" i="1" l="1"/>
  <c r="P872" i="1" s="1"/>
  <c r="AL795" i="1"/>
  <c r="AK795" i="1"/>
  <c r="AL792" i="1"/>
  <c r="AK792" i="1"/>
  <c r="AK570" i="1"/>
  <c r="AL570" i="1"/>
  <c r="AK61" i="1"/>
  <c r="AL61" i="1"/>
  <c r="AK526" i="1"/>
  <c r="AL526" i="1"/>
  <c r="AK66" i="1"/>
  <c r="AL66" i="1"/>
  <c r="AK572" i="1"/>
  <c r="AL572" i="1"/>
  <c r="AL785" i="1"/>
  <c r="AK785" i="1"/>
  <c r="AK555" i="1"/>
  <c r="AL555" i="1"/>
  <c r="Q901" i="1"/>
  <c r="P901" i="1"/>
  <c r="Q900" i="1"/>
  <c r="Q899" i="1"/>
  <c r="P899" i="1"/>
  <c r="Q898" i="1"/>
  <c r="P898" i="1"/>
  <c r="P896" i="1"/>
  <c r="Q896" i="1"/>
  <c r="Q895" i="1"/>
  <c r="P895" i="1"/>
  <c r="Q886" i="1"/>
  <c r="Q885" i="1"/>
  <c r="Q884" i="1"/>
  <c r="Q883" i="1"/>
  <c r="Q878" i="1"/>
  <c r="Q873" i="1"/>
  <c r="Q869" i="1"/>
  <c r="Q853" i="1"/>
  <c r="P853" i="1"/>
  <c r="Q852" i="1"/>
  <c r="M852" i="1"/>
  <c r="G26" i="105" s="1"/>
  <c r="Q797" i="1"/>
  <c r="P797" i="1"/>
  <c r="Q796" i="1"/>
  <c r="P796" i="1"/>
  <c r="Q795" i="1"/>
  <c r="P795" i="1"/>
  <c r="Q794" i="1"/>
  <c r="P794" i="1"/>
  <c r="Q793" i="1"/>
  <c r="P793" i="1"/>
  <c r="P792" i="1"/>
  <c r="Q791" i="1"/>
  <c r="P790" i="1"/>
  <c r="Q789" i="1"/>
  <c r="Q788" i="1"/>
  <c r="Q787" i="1"/>
  <c r="Q785" i="1"/>
  <c r="Q784" i="1"/>
  <c r="Q783" i="1"/>
  <c r="P783" i="1"/>
  <c r="Q782" i="1"/>
  <c r="Q624" i="1"/>
  <c r="P624" i="1"/>
  <c r="Q590" i="1"/>
  <c r="P590" i="1"/>
  <c r="Q589" i="1"/>
  <c r="T589" i="1" s="1"/>
  <c r="Q582" i="1"/>
  <c r="P582" i="1"/>
  <c r="Q575" i="1"/>
  <c r="P575" i="1"/>
  <c r="Q574" i="1"/>
  <c r="P574" i="1"/>
  <c r="P573" i="1"/>
  <c r="Q572" i="1"/>
  <c r="Q571" i="1"/>
  <c r="Q570" i="1"/>
  <c r="P570" i="1"/>
  <c r="Q569" i="1"/>
  <c r="P569" i="1"/>
  <c r="R569" i="1" s="1"/>
  <c r="S569" i="1" s="1"/>
  <c r="Q568" i="1"/>
  <c r="Q124" i="1"/>
  <c r="P124" i="1"/>
  <c r="Q123" i="1"/>
  <c r="P123" i="1"/>
  <c r="Q122" i="1"/>
  <c r="P122" i="1"/>
  <c r="Q121" i="1"/>
  <c r="P121" i="1"/>
  <c r="Q120" i="1"/>
  <c r="P120" i="1"/>
  <c r="Q85" i="1"/>
  <c r="P85" i="1"/>
  <c r="Q40" i="1"/>
  <c r="P40" i="1"/>
  <c r="Q39" i="1"/>
  <c r="P39" i="1"/>
  <c r="Q37" i="1"/>
  <c r="P37" i="1"/>
  <c r="Q36" i="1"/>
  <c r="P36" i="1"/>
  <c r="Q35" i="1"/>
  <c r="P35" i="1"/>
  <c r="P712" i="1"/>
  <c r="R712" i="1" s="1"/>
  <c r="S712" i="1" s="1"/>
  <c r="O712" i="1"/>
  <c r="O700" i="1"/>
  <c r="Q712" i="1"/>
  <c r="O511" i="1"/>
  <c r="O512" i="1"/>
  <c r="O513" i="1"/>
  <c r="O514" i="1"/>
  <c r="O515" i="1"/>
  <c r="O301" i="1"/>
  <c r="O302" i="1"/>
  <c r="O303" i="1"/>
  <c r="O304" i="1"/>
  <c r="O305" i="1"/>
  <c r="O306" i="1"/>
  <c r="O307" i="1"/>
  <c r="P175" i="1"/>
  <c r="P176" i="1"/>
  <c r="P178" i="1"/>
  <c r="O175" i="1"/>
  <c r="O176" i="1"/>
  <c r="O177" i="1"/>
  <c r="P177" i="1" s="1"/>
  <c r="O178" i="1"/>
  <c r="O295" i="1"/>
  <c r="P295" i="1" s="1"/>
  <c r="O296" i="1"/>
  <c r="P296" i="1" s="1"/>
  <c r="O297" i="1"/>
  <c r="P297" i="1" s="1"/>
  <c r="O298" i="1"/>
  <c r="O299" i="1"/>
  <c r="Q848" i="1"/>
  <c r="P848" i="1"/>
  <c r="Q830" i="1"/>
  <c r="P830" i="1"/>
  <c r="Q829" i="1"/>
  <c r="P829" i="1"/>
  <c r="Q828" i="1"/>
  <c r="P828" i="1"/>
  <c r="Q827" i="1"/>
  <c r="P827" i="1"/>
  <c r="Q826" i="1"/>
  <c r="P826" i="1"/>
  <c r="Q825" i="1"/>
  <c r="P825" i="1"/>
  <c r="Q660" i="1"/>
  <c r="P660" i="1"/>
  <c r="R660" i="1" s="1"/>
  <c r="S660" i="1" s="1"/>
  <c r="Q533" i="1"/>
  <c r="P533" i="1"/>
  <c r="R533" i="1" s="1"/>
  <c r="S533" i="1" s="1"/>
  <c r="Q532" i="1"/>
  <c r="P532" i="1"/>
  <c r="Q531" i="1"/>
  <c r="P531" i="1"/>
  <c r="Q530" i="1"/>
  <c r="P530" i="1"/>
  <c r="Q525" i="1"/>
  <c r="P525" i="1"/>
  <c r="Q524" i="1"/>
  <c r="P524" i="1"/>
  <c r="Q523" i="1"/>
  <c r="P523" i="1"/>
  <c r="Q522" i="1"/>
  <c r="P522" i="1"/>
  <c r="Q277" i="1"/>
  <c r="P277" i="1"/>
  <c r="Q276" i="1"/>
  <c r="P276" i="1"/>
  <c r="Q275" i="1"/>
  <c r="P275" i="1"/>
  <c r="R275" i="1" s="1"/>
  <c r="S275" i="1" s="1"/>
  <c r="Q274" i="1"/>
  <c r="Q273" i="1"/>
  <c r="Q272" i="1"/>
  <c r="Q271" i="1"/>
  <c r="Q270" i="1"/>
  <c r="Q269" i="1"/>
  <c r="P268" i="1"/>
  <c r="Q267" i="1"/>
  <c r="P267" i="1"/>
  <c r="Q266" i="1"/>
  <c r="P266" i="1"/>
  <c r="Q211" i="1"/>
  <c r="P211" i="1"/>
  <c r="Q210" i="1"/>
  <c r="P210" i="1"/>
  <c r="Q204" i="1"/>
  <c r="P204" i="1"/>
  <c r="Q203" i="1"/>
  <c r="P203" i="1"/>
  <c r="Q202" i="1"/>
  <c r="P202" i="1"/>
  <c r="Q201" i="1"/>
  <c r="P201" i="1"/>
  <c r="Q200" i="1"/>
  <c r="Q199" i="1"/>
  <c r="P198" i="1"/>
  <c r="Q197" i="1"/>
  <c r="P196" i="1"/>
  <c r="Q194" i="1"/>
  <c r="P194" i="1"/>
  <c r="Q193" i="1"/>
  <c r="P193" i="1"/>
  <c r="Q192" i="1"/>
  <c r="P192" i="1"/>
  <c r="Q191" i="1"/>
  <c r="P191" i="1"/>
  <c r="Q168" i="1"/>
  <c r="P167" i="1"/>
  <c r="Q55" i="1"/>
  <c r="P24" i="1"/>
  <c r="R24" i="1" s="1"/>
  <c r="S24" i="1" s="1"/>
  <c r="G45" i="104" l="1"/>
  <c r="H45" i="104" s="1"/>
  <c r="H26" i="105"/>
  <c r="E12" i="102"/>
  <c r="L392" i="24"/>
  <c r="N392" i="24" s="1"/>
  <c r="M392" i="24"/>
  <c r="R522" i="1"/>
  <c r="S522" i="1" s="1"/>
  <c r="R792" i="1"/>
  <c r="S792" i="1" s="1"/>
  <c r="R266" i="1"/>
  <c r="S266" i="1" s="1"/>
  <c r="R295" i="1"/>
  <c r="S295" i="1" s="1"/>
  <c r="R35" i="1"/>
  <c r="S35" i="1" s="1"/>
  <c r="R795" i="1"/>
  <c r="S795" i="1" s="1"/>
  <c r="R530" i="1"/>
  <c r="S530" i="1" s="1"/>
  <c r="T782" i="1"/>
  <c r="P307" i="1"/>
  <c r="Q307" i="1"/>
  <c r="P306" i="1"/>
  <c r="Q306" i="1"/>
  <c r="P305" i="1"/>
  <c r="Q305" i="1"/>
  <c r="P304" i="1"/>
  <c r="Q304" i="1"/>
  <c r="P303" i="1"/>
  <c r="Q303" i="1"/>
  <c r="P302" i="1"/>
  <c r="Q302" i="1"/>
  <c r="P301" i="1"/>
  <c r="Q301" i="1"/>
  <c r="P900" i="1"/>
  <c r="R900" i="1" s="1"/>
  <c r="S900" i="1" s="1"/>
  <c r="AD42" i="15" s="1"/>
  <c r="P852" i="1"/>
  <c r="P883" i="1"/>
  <c r="P885" i="1"/>
  <c r="P886" i="1"/>
  <c r="P884" i="1"/>
  <c r="P878" i="1"/>
  <c r="Q872" i="1"/>
  <c r="P873" i="1"/>
  <c r="P869" i="1"/>
  <c r="P788" i="1"/>
  <c r="P789" i="1"/>
  <c r="P785" i="1"/>
  <c r="P589" i="1"/>
  <c r="R589" i="1" s="1"/>
  <c r="S589" i="1" s="1"/>
  <c r="Q792" i="1"/>
  <c r="P782" i="1"/>
  <c r="P787" i="1"/>
  <c r="Q790" i="1"/>
  <c r="T787" i="1" s="1"/>
  <c r="P791" i="1"/>
  <c r="Q573" i="1"/>
  <c r="T570" i="1" s="1"/>
  <c r="P568" i="1"/>
  <c r="R568" i="1" s="1"/>
  <c r="S568" i="1" s="1"/>
  <c r="P571" i="1"/>
  <c r="P572" i="1"/>
  <c r="Q295" i="1"/>
  <c r="Q297" i="1"/>
  <c r="Q296" i="1"/>
  <c r="Q700" i="1"/>
  <c r="P700" i="1"/>
  <c r="Q515" i="1"/>
  <c r="P515" i="1"/>
  <c r="Q514" i="1"/>
  <c r="P514" i="1"/>
  <c r="Q513" i="1"/>
  <c r="P513" i="1"/>
  <c r="Q512" i="1"/>
  <c r="P512" i="1"/>
  <c r="Q511" i="1"/>
  <c r="P511" i="1"/>
  <c r="R511" i="1" s="1"/>
  <c r="S511" i="1" s="1"/>
  <c r="P269" i="1"/>
  <c r="P270" i="1"/>
  <c r="Q268" i="1"/>
  <c r="P272" i="1"/>
  <c r="P271" i="1"/>
  <c r="P274" i="1"/>
  <c r="P273" i="1"/>
  <c r="Q196" i="1"/>
  <c r="P199" i="1"/>
  <c r="P200" i="1"/>
  <c r="Q198" i="1"/>
  <c r="P197" i="1"/>
  <c r="Q167" i="1"/>
  <c r="T167" i="1" s="1"/>
  <c r="P168" i="1"/>
  <c r="R167" i="1" s="1"/>
  <c r="S167" i="1" s="1"/>
  <c r="P55" i="1"/>
  <c r="Q21" i="1"/>
  <c r="Q22" i="1"/>
  <c r="Q23" i="1"/>
  <c r="Q25" i="1"/>
  <c r="Q26" i="1"/>
  <c r="Q27" i="1"/>
  <c r="Q28" i="1"/>
  <c r="Q29" i="1"/>
  <c r="Q30" i="1"/>
  <c r="Q31" i="1"/>
  <c r="Q32" i="1"/>
  <c r="Q33" i="1"/>
  <c r="Q34" i="1"/>
  <c r="Q38" i="1"/>
  <c r="Q47" i="1"/>
  <c r="Q48" i="1"/>
  <c r="Q49" i="1"/>
  <c r="Q50" i="1"/>
  <c r="Q51" i="1"/>
  <c r="Q52" i="1"/>
  <c r="Q53" i="1"/>
  <c r="Q54" i="1"/>
  <c r="Q59" i="1"/>
  <c r="Q60" i="1"/>
  <c r="Q61" i="1"/>
  <c r="Q62" i="1"/>
  <c r="Q63" i="1"/>
  <c r="Q64" i="1"/>
  <c r="Q65" i="1"/>
  <c r="Q66" i="1"/>
  <c r="Q67" i="1"/>
  <c r="Q68" i="1"/>
  <c r="Q69" i="1"/>
  <c r="Q70" i="1"/>
  <c r="Q71" i="1"/>
  <c r="Q73" i="1"/>
  <c r="Q74" i="1"/>
  <c r="Q75" i="1"/>
  <c r="Q78" i="1"/>
  <c r="Q79" i="1"/>
  <c r="Q80" i="1"/>
  <c r="Q81" i="1"/>
  <c r="Q82" i="1"/>
  <c r="Q83" i="1"/>
  <c r="Q84" i="1"/>
  <c r="Q86" i="1"/>
  <c r="Q87" i="1"/>
  <c r="Q88" i="1"/>
  <c r="Q89" i="1"/>
  <c r="Q90" i="1"/>
  <c r="Q91" i="1"/>
  <c r="Q92" i="1"/>
  <c r="Q93" i="1"/>
  <c r="Q94" i="1"/>
  <c r="Q95" i="1"/>
  <c r="Q100" i="1"/>
  <c r="Q101" i="1"/>
  <c r="Q102" i="1"/>
  <c r="Q103" i="1"/>
  <c r="Q106" i="1"/>
  <c r="Q107" i="1"/>
  <c r="Q108" i="1"/>
  <c r="Q110" i="1"/>
  <c r="Q113" i="1"/>
  <c r="Q115" i="1"/>
  <c r="Q116" i="1"/>
  <c r="Q117" i="1"/>
  <c r="Q118" i="1"/>
  <c r="Q119" i="1"/>
  <c r="Q125" i="1"/>
  <c r="Q126" i="1"/>
  <c r="Q127" i="1"/>
  <c r="Q128" i="1"/>
  <c r="Q129" i="1"/>
  <c r="Q130" i="1"/>
  <c r="Q131" i="1"/>
  <c r="Q132" i="1"/>
  <c r="Q133" i="1"/>
  <c r="Q134" i="1"/>
  <c r="Q135" i="1"/>
  <c r="Q136" i="1"/>
  <c r="Q137" i="1"/>
  <c r="Q138" i="1"/>
  <c r="Q157" i="1"/>
  <c r="Q158" i="1"/>
  <c r="Q159" i="1"/>
  <c r="Q161" i="1"/>
  <c r="Q162" i="1"/>
  <c r="Q163" i="1"/>
  <c r="Q164" i="1"/>
  <c r="Q165" i="1"/>
  <c r="Q166" i="1"/>
  <c r="Q169" i="1"/>
  <c r="Q173" i="1"/>
  <c r="Q179" i="1"/>
  <c r="Q180" i="1"/>
  <c r="Q181" i="1"/>
  <c r="Q182" i="1"/>
  <c r="Q183" i="1"/>
  <c r="Q184" i="1"/>
  <c r="Q185" i="1"/>
  <c r="Q188" i="1"/>
  <c r="Q189" i="1"/>
  <c r="Q190" i="1"/>
  <c r="Q206" i="1"/>
  <c r="Q207" i="1"/>
  <c r="Q235" i="1"/>
  <c r="Q242" i="1"/>
  <c r="Q243" i="1"/>
  <c r="Q245" i="1"/>
  <c r="Q248" i="1"/>
  <c r="Q249" i="1"/>
  <c r="Q250" i="1"/>
  <c r="Q251" i="1"/>
  <c r="Q252" i="1"/>
  <c r="Q253" i="1"/>
  <c r="Q254" i="1"/>
  <c r="Q255" i="1"/>
  <c r="Q256" i="1"/>
  <c r="Q257" i="1"/>
  <c r="Q258" i="1"/>
  <c r="Q259" i="1"/>
  <c r="Q260" i="1"/>
  <c r="Q261" i="1"/>
  <c r="Q262" i="1"/>
  <c r="Q263" i="1"/>
  <c r="Q264" i="1"/>
  <c r="Q265" i="1"/>
  <c r="Q281" i="1"/>
  <c r="Q282" i="1"/>
  <c r="Q283" i="1"/>
  <c r="Q284" i="1"/>
  <c r="Q285" i="1"/>
  <c r="Q286" i="1"/>
  <c r="Q287" i="1"/>
  <c r="Q288" i="1"/>
  <c r="Q289" i="1"/>
  <c r="Q290" i="1"/>
  <c r="Q291" i="1"/>
  <c r="Q292" i="1"/>
  <c r="Q293" i="1"/>
  <c r="Q294" i="1"/>
  <c r="Q308" i="1"/>
  <c r="Q309" i="1"/>
  <c r="Q310" i="1"/>
  <c r="Q311" i="1"/>
  <c r="Q312" i="1"/>
  <c r="Q314" i="1"/>
  <c r="Q315" i="1"/>
  <c r="Q316" i="1"/>
  <c r="Q317" i="1"/>
  <c r="Q322" i="1"/>
  <c r="Q323" i="1"/>
  <c r="Q324" i="1"/>
  <c r="Q326" i="1"/>
  <c r="Q327" i="1"/>
  <c r="Q328" i="1"/>
  <c r="Q331" i="1"/>
  <c r="Q332" i="1"/>
  <c r="Q341" i="1"/>
  <c r="Q342" i="1"/>
  <c r="Q343" i="1"/>
  <c r="Q344" i="1"/>
  <c r="Q345" i="1"/>
  <c r="Q450" i="1"/>
  <c r="Q451" i="1"/>
  <c r="Q452" i="1"/>
  <c r="Q453" i="1"/>
  <c r="Q454" i="1"/>
  <c r="Q455" i="1"/>
  <c r="Q456" i="1"/>
  <c r="Q460" i="1"/>
  <c r="Q461" i="1"/>
  <c r="Q462" i="1"/>
  <c r="Q463" i="1"/>
  <c r="Q464" i="1"/>
  <c r="Q465" i="1"/>
  <c r="Q466"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6" i="1"/>
  <c r="Q517" i="1"/>
  <c r="Q518" i="1"/>
  <c r="Q519" i="1"/>
  <c r="Q520" i="1"/>
  <c r="Q521" i="1"/>
  <c r="Q534" i="1"/>
  <c r="Q535" i="1"/>
  <c r="Q536" i="1"/>
  <c r="Q537" i="1"/>
  <c r="Q540" i="1"/>
  <c r="Q541" i="1"/>
  <c r="Q542" i="1"/>
  <c r="Q543" i="1"/>
  <c r="Q544" i="1"/>
  <c r="Q545" i="1"/>
  <c r="Q546" i="1"/>
  <c r="Q550" i="1"/>
  <c r="Q551" i="1"/>
  <c r="Q552" i="1"/>
  <c r="Q553" i="1"/>
  <c r="Q554" i="1"/>
  <c r="Q555" i="1"/>
  <c r="Q557" i="1"/>
  <c r="Q558" i="1"/>
  <c r="Q559" i="1"/>
  <c r="Q560" i="1"/>
  <c r="Q561" i="1"/>
  <c r="Q562" i="1"/>
  <c r="Q563" i="1"/>
  <c r="Q564" i="1"/>
  <c r="Q565" i="1"/>
  <c r="Q566" i="1"/>
  <c r="Q567" i="1"/>
  <c r="Q577" i="1"/>
  <c r="Q578" i="1"/>
  <c r="Q579" i="1"/>
  <c r="Q580" i="1"/>
  <c r="Q581" i="1"/>
  <c r="Q583" i="1"/>
  <c r="Q586" i="1"/>
  <c r="Q587" i="1"/>
  <c r="Q588" i="1"/>
  <c r="Q591" i="1"/>
  <c r="Q592" i="1"/>
  <c r="Q593" i="1"/>
  <c r="Q594" i="1"/>
  <c r="Q608" i="1"/>
  <c r="Q609" i="1"/>
  <c r="Q610" i="1"/>
  <c r="Q612" i="1"/>
  <c r="Q613" i="1"/>
  <c r="Q614" i="1"/>
  <c r="Q615" i="1"/>
  <c r="Q617" i="1"/>
  <c r="Q618" i="1"/>
  <c r="Q619" i="1"/>
  <c r="Q620" i="1"/>
  <c r="Q621" i="1"/>
  <c r="Q622" i="1"/>
  <c r="Q623" i="1"/>
  <c r="Q625" i="1"/>
  <c r="Q626" i="1"/>
  <c r="Q627" i="1"/>
  <c r="Q631" i="1"/>
  <c r="Q632" i="1"/>
  <c r="Q633" i="1"/>
  <c r="Q634" i="1"/>
  <c r="Q635" i="1"/>
  <c r="Q636" i="1"/>
  <c r="Q637" i="1"/>
  <c r="Q639" i="1"/>
  <c r="Q640" i="1"/>
  <c r="Q643" i="1"/>
  <c r="Q651" i="1"/>
  <c r="Q652" i="1"/>
  <c r="Q654" i="1"/>
  <c r="Q655" i="1"/>
  <c r="Q658" i="1"/>
  <c r="Q661" i="1"/>
  <c r="Q662" i="1"/>
  <c r="Q663" i="1"/>
  <c r="Q664" i="1"/>
  <c r="Q665" i="1"/>
  <c r="Q667" i="1"/>
  <c r="Q668" i="1"/>
  <c r="Q669" i="1"/>
  <c r="Q672" i="1"/>
  <c r="Q673" i="1"/>
  <c r="Q674" i="1"/>
  <c r="Q676" i="1"/>
  <c r="Q677" i="1"/>
  <c r="Q681" i="1"/>
  <c r="Q682" i="1"/>
  <c r="Q683" i="1"/>
  <c r="Q685" i="1"/>
  <c r="Q688" i="1"/>
  <c r="Q692" i="1"/>
  <c r="Q694" i="1"/>
  <c r="Q696" i="1"/>
  <c r="Q697" i="1"/>
  <c r="Q698" i="1"/>
  <c r="Q699" i="1"/>
  <c r="Q701" i="1"/>
  <c r="Q702" i="1"/>
  <c r="Q703" i="1"/>
  <c r="Q704" i="1"/>
  <c r="Q705" i="1"/>
  <c r="Q706" i="1"/>
  <c r="Q707" i="1"/>
  <c r="Q708" i="1"/>
  <c r="Q709" i="1"/>
  <c r="Q711" i="1"/>
  <c r="Q713" i="1"/>
  <c r="Q714" i="1"/>
  <c r="Q715" i="1"/>
  <c r="Q716" i="1"/>
  <c r="Q717" i="1"/>
  <c r="Q718" i="1"/>
  <c r="Q719" i="1"/>
  <c r="Q720" i="1"/>
  <c r="Q721" i="1"/>
  <c r="Q722" i="1"/>
  <c r="Q723" i="1"/>
  <c r="Q724" i="1"/>
  <c r="Q725" i="1"/>
  <c r="Q726" i="1"/>
  <c r="Q727" i="1"/>
  <c r="Q728" i="1"/>
  <c r="Q729" i="1"/>
  <c r="Q730" i="1"/>
  <c r="Q731" i="1"/>
  <c r="Q732" i="1"/>
  <c r="Q733" i="1"/>
  <c r="Q734" i="1"/>
  <c r="Q737" i="1"/>
  <c r="Q738" i="1"/>
  <c r="Q739" i="1"/>
  <c r="Q744" i="1"/>
  <c r="Q745" i="1"/>
  <c r="Q746" i="1"/>
  <c r="Q747" i="1"/>
  <c r="Q748" i="1"/>
  <c r="Q749" i="1"/>
  <c r="Q750" i="1"/>
  <c r="Q751" i="1"/>
  <c r="Q752" i="1"/>
  <c r="Q753" i="1"/>
  <c r="Q754" i="1"/>
  <c r="Q755" i="1"/>
  <c r="Q756" i="1"/>
  <c r="Q757" i="1"/>
  <c r="Q758" i="1"/>
  <c r="Q759" i="1"/>
  <c r="Q760" i="1"/>
  <c r="Q761" i="1"/>
  <c r="Q763" i="1"/>
  <c r="Q764" i="1"/>
  <c r="Q765" i="1"/>
  <c r="Q766" i="1"/>
  <c r="Q767" i="1"/>
  <c r="Q768" i="1"/>
  <c r="Q769" i="1"/>
  <c r="Q770" i="1"/>
  <c r="Q771" i="1"/>
  <c r="Q774" i="1"/>
  <c r="Q775" i="1"/>
  <c r="Q780" i="1"/>
  <c r="Q781" i="1"/>
  <c r="Q798" i="1"/>
  <c r="Q799" i="1"/>
  <c r="Q800" i="1"/>
  <c r="Q801" i="1"/>
  <c r="Q802" i="1"/>
  <c r="Q803" i="1"/>
  <c r="Q804" i="1"/>
  <c r="Q810" i="1"/>
  <c r="Q812" i="1"/>
  <c r="Q813" i="1"/>
  <c r="Q814" i="1"/>
  <c r="Q815" i="1"/>
  <c r="Q816" i="1"/>
  <c r="Q817" i="1"/>
  <c r="Q818" i="1"/>
  <c r="Q820" i="1"/>
  <c r="Q821" i="1"/>
  <c r="Q822" i="1"/>
  <c r="Q824" i="1"/>
  <c r="Q831" i="1"/>
  <c r="Q833" i="1"/>
  <c r="Q834" i="1"/>
  <c r="Q835" i="1"/>
  <c r="Q836" i="1"/>
  <c r="Q837" i="1"/>
  <c r="Q838" i="1"/>
  <c r="Q839" i="1"/>
  <c r="Q840" i="1"/>
  <c r="Q841" i="1"/>
  <c r="Q842" i="1"/>
  <c r="Q843" i="1"/>
  <c r="Q844" i="1"/>
  <c r="Q845" i="1"/>
  <c r="Q846" i="1"/>
  <c r="Q847" i="1"/>
  <c r="Q849" i="1"/>
  <c r="Q850" i="1"/>
  <c r="Q851" i="1"/>
  <c r="Q859" i="1"/>
  <c r="Q860" i="1"/>
  <c r="Q865" i="1"/>
  <c r="Q866" i="1"/>
  <c r="Q871" i="1"/>
  <c r="Q875" i="1"/>
  <c r="Q876" i="1"/>
  <c r="Q879" i="1"/>
  <c r="Q882" i="1"/>
  <c r="Q887" i="1"/>
  <c r="Q888" i="1"/>
  <c r="Q889" i="1"/>
  <c r="Q890" i="1"/>
  <c r="Q891" i="1"/>
  <c r="Q892" i="1"/>
  <c r="Q893" i="1"/>
  <c r="Q894" i="1"/>
  <c r="Q902" i="1"/>
  <c r="Q903" i="1"/>
  <c r="Q904" i="1"/>
  <c r="Q905" i="1"/>
  <c r="Q906" i="1"/>
  <c r="Q907" i="1"/>
  <c r="Q908" i="1"/>
  <c r="Q909" i="1"/>
  <c r="Q910" i="1"/>
  <c r="Q911" i="1"/>
  <c r="Q912" i="1"/>
  <c r="Q913" i="1"/>
  <c r="Q914" i="1"/>
  <c r="Q915" i="1"/>
  <c r="Q918" i="1"/>
  <c r="Q919" i="1"/>
  <c r="Q920" i="1"/>
  <c r="Q922" i="1"/>
  <c r="Q923" i="1"/>
  <c r="Q937" i="1"/>
  <c r="Q940" i="1"/>
  <c r="Q959" i="1"/>
  <c r="Q960" i="1"/>
  <c r="Q962" i="1"/>
  <c r="Q963" i="1"/>
  <c r="Q964" i="1"/>
  <c r="Q965" i="1"/>
  <c r="Q969" i="1"/>
  <c r="Q970" i="1"/>
  <c r="Q972" i="1"/>
  <c r="Q974" i="1"/>
  <c r="Q975" i="1"/>
  <c r="Q976" i="1"/>
  <c r="Q977" i="1"/>
  <c r="Q978" i="1"/>
  <c r="Q979" i="1"/>
  <c r="Q980" i="1"/>
  <c r="Q981" i="1"/>
  <c r="Q982" i="1"/>
  <c r="Q983" i="1"/>
  <c r="Q984" i="1"/>
  <c r="Q985" i="1"/>
  <c r="Q986" i="1"/>
  <c r="Q987" i="1"/>
  <c r="Q989" i="1"/>
  <c r="Q990" i="1"/>
  <c r="Q991" i="1"/>
  <c r="Q992" i="1"/>
  <c r="Q993" i="1"/>
  <c r="Q994" i="1"/>
  <c r="Q995" i="1"/>
  <c r="Q997" i="1"/>
  <c r="Q998" i="1"/>
  <c r="Q999" i="1"/>
  <c r="Q1000" i="1"/>
  <c r="Q1001" i="1"/>
  <c r="Q1002"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76" i="1"/>
  <c r="Q1078" i="1"/>
  <c r="Q1079" i="1"/>
  <c r="Q1080" i="1"/>
  <c r="Q1081" i="1"/>
  <c r="Q1082" i="1"/>
  <c r="Q1083" i="1"/>
  <c r="Q1084" i="1"/>
  <c r="Q1085" i="1"/>
  <c r="Q1086" i="1"/>
  <c r="Q1087" i="1"/>
  <c r="Q1088" i="1"/>
  <c r="Q1089" i="1"/>
  <c r="Q1090" i="1"/>
  <c r="Q1096" i="1"/>
  <c r="Q1097" i="1"/>
  <c r="Q1098" i="1"/>
  <c r="Q1100" i="1"/>
  <c r="Q1101" i="1"/>
  <c r="Q1102" i="1"/>
  <c r="Q1103" i="1"/>
  <c r="Q1104" i="1"/>
  <c r="Q1105" i="1"/>
  <c r="Q1106" i="1"/>
  <c r="Q1107" i="1"/>
  <c r="Q1108" i="1"/>
  <c r="Q1109" i="1"/>
  <c r="Q1110" i="1"/>
  <c r="Q1111" i="1"/>
  <c r="Q1112" i="1"/>
  <c r="Q1113" i="1"/>
  <c r="Q1114" i="1"/>
  <c r="Q1115" i="1"/>
  <c r="Q1116" i="1"/>
  <c r="Q1117" i="1"/>
  <c r="Q1118" i="1"/>
  <c r="Q1119" i="1"/>
  <c r="Q1120" i="1"/>
  <c r="Q1127" i="1"/>
  <c r="Q1167" i="1"/>
  <c r="Q1168" i="1"/>
  <c r="Q1169" i="1"/>
  <c r="Q1170" i="1"/>
  <c r="Q1171" i="1"/>
  <c r="Q1173" i="1"/>
  <c r="Q1174" i="1"/>
  <c r="Q1178" i="1"/>
  <c r="Q1184" i="1"/>
  <c r="Q1185" i="1"/>
  <c r="Q1186" i="1"/>
  <c r="Q1187" i="1"/>
  <c r="Q1188" i="1"/>
  <c r="Q1190" i="1"/>
  <c r="Q1191" i="1"/>
  <c r="P21" i="1"/>
  <c r="P22" i="1"/>
  <c r="P23" i="1"/>
  <c r="P34" i="1"/>
  <c r="P38" i="1"/>
  <c r="P47" i="1"/>
  <c r="P51" i="1"/>
  <c r="P52" i="1"/>
  <c r="P53" i="1"/>
  <c r="P54" i="1"/>
  <c r="P59" i="1"/>
  <c r="P60" i="1"/>
  <c r="P61" i="1"/>
  <c r="P62" i="1"/>
  <c r="P63" i="1"/>
  <c r="P64" i="1"/>
  <c r="P65" i="1"/>
  <c r="P66" i="1"/>
  <c r="P67" i="1"/>
  <c r="P68" i="1"/>
  <c r="P69" i="1"/>
  <c r="P70" i="1"/>
  <c r="P71" i="1"/>
  <c r="P73" i="1"/>
  <c r="R73" i="1" s="1"/>
  <c r="S73" i="1" s="1"/>
  <c r="P74" i="1"/>
  <c r="P75" i="1"/>
  <c r="R75" i="1" s="1"/>
  <c r="S75" i="1" s="1"/>
  <c r="P78" i="1"/>
  <c r="R78" i="1" s="1"/>
  <c r="S78" i="1" s="1"/>
  <c r="P79" i="1"/>
  <c r="P80" i="1"/>
  <c r="P81" i="1"/>
  <c r="P82" i="1"/>
  <c r="P83" i="1"/>
  <c r="P84" i="1"/>
  <c r="P86" i="1"/>
  <c r="P87" i="1"/>
  <c r="P88" i="1"/>
  <c r="P89" i="1"/>
  <c r="P90" i="1"/>
  <c r="P91" i="1"/>
  <c r="P92" i="1"/>
  <c r="P93" i="1"/>
  <c r="P94" i="1"/>
  <c r="P95" i="1"/>
  <c r="P100" i="1"/>
  <c r="P101" i="1"/>
  <c r="P102" i="1"/>
  <c r="P103" i="1"/>
  <c r="P106" i="1"/>
  <c r="P107" i="1"/>
  <c r="P108" i="1"/>
  <c r="P110" i="1"/>
  <c r="P115" i="1"/>
  <c r="P116" i="1"/>
  <c r="P117" i="1"/>
  <c r="P125" i="1"/>
  <c r="P126" i="1"/>
  <c r="P127" i="1"/>
  <c r="P128" i="1"/>
  <c r="P129" i="1"/>
  <c r="P130" i="1"/>
  <c r="P131" i="1"/>
  <c r="P137" i="1"/>
  <c r="P138" i="1"/>
  <c r="P157" i="1"/>
  <c r="P158" i="1"/>
  <c r="P159" i="1"/>
  <c r="P161" i="1"/>
  <c r="P162" i="1"/>
  <c r="P164" i="1"/>
  <c r="R164" i="1" s="1"/>
  <c r="S164" i="1" s="1"/>
  <c r="P166" i="1"/>
  <c r="R166" i="1" s="1"/>
  <c r="S166" i="1" s="1"/>
  <c r="P169" i="1"/>
  <c r="P173" i="1"/>
  <c r="P179" i="1"/>
  <c r="P180" i="1"/>
  <c r="P181" i="1"/>
  <c r="P182" i="1"/>
  <c r="P183" i="1"/>
  <c r="P184" i="1"/>
  <c r="P188" i="1"/>
  <c r="P189" i="1"/>
  <c r="P190" i="1"/>
  <c r="P206" i="1"/>
  <c r="P207" i="1"/>
  <c r="P213" i="1"/>
  <c r="P214" i="1"/>
  <c r="P215" i="1"/>
  <c r="P216" i="1"/>
  <c r="P217" i="1"/>
  <c r="P218" i="1"/>
  <c r="P219" i="1"/>
  <c r="P220" i="1"/>
  <c r="P221" i="1"/>
  <c r="P222" i="1"/>
  <c r="P223" i="1"/>
  <c r="P224" i="1"/>
  <c r="P225" i="1"/>
  <c r="P226" i="1"/>
  <c r="P227" i="1"/>
  <c r="P228" i="1"/>
  <c r="P229" i="1"/>
  <c r="P230" i="1"/>
  <c r="P232" i="1"/>
  <c r="P235" i="1"/>
  <c r="P242" i="1"/>
  <c r="P243" i="1"/>
  <c r="P247" i="1"/>
  <c r="P248" i="1"/>
  <c r="P249" i="1"/>
  <c r="P253" i="1"/>
  <c r="P258" i="1"/>
  <c r="P259" i="1"/>
  <c r="P263" i="1"/>
  <c r="P264" i="1"/>
  <c r="P265" i="1"/>
  <c r="P282" i="1"/>
  <c r="P289" i="1"/>
  <c r="P308" i="1"/>
  <c r="R308" i="1" s="1"/>
  <c r="S308" i="1" s="1"/>
  <c r="P311" i="1"/>
  <c r="R311" i="1" s="1"/>
  <c r="S311" i="1" s="1"/>
  <c r="P312" i="1"/>
  <c r="R312" i="1" s="1"/>
  <c r="S312" i="1" s="1"/>
  <c r="P317" i="1"/>
  <c r="P319" i="1"/>
  <c r="P320" i="1"/>
  <c r="P326" i="1"/>
  <c r="P327" i="1"/>
  <c r="P328" i="1"/>
  <c r="P331" i="1"/>
  <c r="R331" i="1" s="1"/>
  <c r="S331" i="1" s="1"/>
  <c r="P332" i="1"/>
  <c r="R332" i="1" s="1"/>
  <c r="S332" i="1" s="1"/>
  <c r="P341" i="1"/>
  <c r="P342" i="1"/>
  <c r="P343" i="1"/>
  <c r="P344" i="1"/>
  <c r="P345" i="1"/>
  <c r="P450" i="1"/>
  <c r="R450" i="1" s="1"/>
  <c r="S450" i="1" s="1"/>
  <c r="P451" i="1"/>
  <c r="P452" i="1"/>
  <c r="P453" i="1"/>
  <c r="R453" i="1" s="1"/>
  <c r="S453" i="1" s="1"/>
  <c r="P454" i="1"/>
  <c r="R454" i="1" s="1"/>
  <c r="S454" i="1" s="1"/>
  <c r="P455" i="1"/>
  <c r="R455" i="1" s="1"/>
  <c r="S455" i="1" s="1"/>
  <c r="P456" i="1"/>
  <c r="R456" i="1" s="1"/>
  <c r="S456" i="1" s="1"/>
  <c r="P475" i="1"/>
  <c r="R475" i="1" s="1"/>
  <c r="S475" i="1" s="1"/>
  <c r="P476" i="1"/>
  <c r="P478" i="1"/>
  <c r="P481" i="1"/>
  <c r="P484" i="1"/>
  <c r="P490" i="1"/>
  <c r="R490" i="1" s="1"/>
  <c r="S490" i="1" s="1"/>
  <c r="P491" i="1"/>
  <c r="R491" i="1" s="1"/>
  <c r="S491" i="1" s="1"/>
  <c r="P492" i="1"/>
  <c r="P493" i="1"/>
  <c r="P495" i="1"/>
  <c r="P503" i="1"/>
  <c r="P504" i="1"/>
  <c r="P505" i="1"/>
  <c r="R505" i="1" s="1"/>
  <c r="S505" i="1" s="1"/>
  <c r="P506" i="1"/>
  <c r="P507" i="1"/>
  <c r="P508" i="1"/>
  <c r="P509" i="1"/>
  <c r="P510" i="1"/>
  <c r="R510" i="1" s="1"/>
  <c r="S510" i="1" s="1"/>
  <c r="P516" i="1"/>
  <c r="P517" i="1"/>
  <c r="P518" i="1"/>
  <c r="P519" i="1"/>
  <c r="P520" i="1"/>
  <c r="P521" i="1"/>
  <c r="P534" i="1"/>
  <c r="P535" i="1"/>
  <c r="P536" i="1"/>
  <c r="P537" i="1"/>
  <c r="P540" i="1"/>
  <c r="P541" i="1"/>
  <c r="P542" i="1"/>
  <c r="P543" i="1"/>
  <c r="P544" i="1"/>
  <c r="P545" i="1"/>
  <c r="P546" i="1"/>
  <c r="P550" i="1"/>
  <c r="P551" i="1"/>
  <c r="P552" i="1"/>
  <c r="P553" i="1"/>
  <c r="P554" i="1"/>
  <c r="P555" i="1"/>
  <c r="P559" i="1"/>
  <c r="P560" i="1"/>
  <c r="P561" i="1"/>
  <c r="P562" i="1"/>
  <c r="P563" i="1"/>
  <c r="P565" i="1"/>
  <c r="P566" i="1"/>
  <c r="P567" i="1"/>
  <c r="P577" i="1"/>
  <c r="P578" i="1"/>
  <c r="P579" i="1"/>
  <c r="P580" i="1"/>
  <c r="P581" i="1"/>
  <c r="P583" i="1"/>
  <c r="P586" i="1"/>
  <c r="P587" i="1"/>
  <c r="P588" i="1"/>
  <c r="P591" i="1"/>
  <c r="P593" i="1"/>
  <c r="P594" i="1"/>
  <c r="P608" i="1"/>
  <c r="P609" i="1"/>
  <c r="P610" i="1"/>
  <c r="P612" i="1"/>
  <c r="P613" i="1"/>
  <c r="R613" i="1" s="1"/>
  <c r="S613" i="1" s="1"/>
  <c r="P615" i="1"/>
  <c r="P617" i="1"/>
  <c r="P618" i="1"/>
  <c r="P623" i="1"/>
  <c r="P625" i="1"/>
  <c r="P626" i="1"/>
  <c r="P627" i="1"/>
  <c r="P631" i="1"/>
  <c r="P632" i="1"/>
  <c r="P633" i="1"/>
  <c r="P635" i="1"/>
  <c r="P636" i="1"/>
  <c r="P637" i="1"/>
  <c r="R637" i="1" s="1"/>
  <c r="S637" i="1" s="1"/>
  <c r="P639" i="1"/>
  <c r="P640" i="1"/>
  <c r="P643" i="1"/>
  <c r="P651" i="1"/>
  <c r="P652" i="1"/>
  <c r="P654" i="1"/>
  <c r="P655" i="1"/>
  <c r="P662" i="1"/>
  <c r="P663" i="1"/>
  <c r="P664" i="1"/>
  <c r="P667" i="1"/>
  <c r="P668" i="1"/>
  <c r="P669" i="1"/>
  <c r="R669" i="1" s="1"/>
  <c r="S669" i="1" s="1"/>
  <c r="P672" i="1"/>
  <c r="P673" i="1"/>
  <c r="P674" i="1"/>
  <c r="P677" i="1"/>
  <c r="P681" i="1"/>
  <c r="R681" i="1" s="1"/>
  <c r="S681" i="1" s="1"/>
  <c r="P682" i="1"/>
  <c r="P683" i="1"/>
  <c r="P685" i="1"/>
  <c r="P688" i="1"/>
  <c r="P692" i="1"/>
  <c r="P694" i="1"/>
  <c r="R694" i="1" s="1"/>
  <c r="S694" i="1" s="1"/>
  <c r="P696" i="1"/>
  <c r="P697" i="1"/>
  <c r="P698" i="1"/>
  <c r="P699" i="1"/>
  <c r="P701" i="1"/>
  <c r="P702" i="1"/>
  <c r="P703" i="1"/>
  <c r="P704" i="1"/>
  <c r="P705" i="1"/>
  <c r="P706" i="1"/>
  <c r="P707" i="1"/>
  <c r="P708" i="1"/>
  <c r="R708" i="1" s="1"/>
  <c r="S708" i="1" s="1"/>
  <c r="P713" i="1"/>
  <c r="P714" i="1"/>
  <c r="P715" i="1"/>
  <c r="P716" i="1"/>
  <c r="P717" i="1"/>
  <c r="P718" i="1"/>
  <c r="P719" i="1"/>
  <c r="P720" i="1"/>
  <c r="P721" i="1"/>
  <c r="P722" i="1"/>
  <c r="P723" i="1"/>
  <c r="P728" i="1"/>
  <c r="P731" i="1"/>
  <c r="P732" i="1"/>
  <c r="R732" i="1" s="1"/>
  <c r="S732" i="1" s="1"/>
  <c r="P733" i="1"/>
  <c r="P737" i="1"/>
  <c r="P738" i="1"/>
  <c r="P739" i="1"/>
  <c r="R739" i="1" s="1"/>
  <c r="S739" i="1" s="1"/>
  <c r="P751" i="1"/>
  <c r="P752" i="1"/>
  <c r="R752" i="1" s="1"/>
  <c r="S752" i="1" s="1"/>
  <c r="P753" i="1"/>
  <c r="P757" i="1"/>
  <c r="P758" i="1"/>
  <c r="P759" i="1"/>
  <c r="P760" i="1"/>
  <c r="P761" i="1"/>
  <c r="P763" i="1"/>
  <c r="R763" i="1" s="1"/>
  <c r="S763" i="1" s="1"/>
  <c r="P765" i="1"/>
  <c r="P768" i="1"/>
  <c r="P771" i="1"/>
  <c r="P774" i="1"/>
  <c r="P775" i="1"/>
  <c r="R775" i="1" s="1"/>
  <c r="S775" i="1" s="1"/>
  <c r="P780" i="1"/>
  <c r="R780" i="1" s="1"/>
  <c r="S780" i="1" s="1"/>
  <c r="P781" i="1"/>
  <c r="R781" i="1" s="1"/>
  <c r="S781" i="1" s="1"/>
  <c r="P798" i="1"/>
  <c r="P799" i="1"/>
  <c r="P800" i="1"/>
  <c r="R800" i="1" s="1"/>
  <c r="S800" i="1" s="1"/>
  <c r="P801" i="1"/>
  <c r="P802" i="1"/>
  <c r="P803" i="1"/>
  <c r="P810" i="1"/>
  <c r="P814" i="1"/>
  <c r="P815" i="1"/>
  <c r="P816" i="1"/>
  <c r="P817" i="1"/>
  <c r="P818" i="1"/>
  <c r="P820" i="1"/>
  <c r="P821" i="1"/>
  <c r="P822" i="1"/>
  <c r="P824" i="1"/>
  <c r="P838" i="1"/>
  <c r="R838" i="1" s="1"/>
  <c r="S838" i="1" s="1"/>
  <c r="P839" i="1"/>
  <c r="R839" i="1" s="1"/>
  <c r="S839" i="1" s="1"/>
  <c r="P840" i="1"/>
  <c r="P841" i="1"/>
  <c r="P842" i="1"/>
  <c r="P843" i="1"/>
  <c r="P844" i="1"/>
  <c r="P845" i="1"/>
  <c r="P846" i="1"/>
  <c r="P847" i="1"/>
  <c r="P849" i="1"/>
  <c r="P850" i="1"/>
  <c r="P851" i="1"/>
  <c r="P859" i="1"/>
  <c r="R859" i="1" s="1"/>
  <c r="S859" i="1" s="1"/>
  <c r="P862" i="1"/>
  <c r="P864" i="1"/>
  <c r="P865" i="1"/>
  <c r="P866" i="1"/>
  <c r="P871" i="1"/>
  <c r="P875" i="1"/>
  <c r="P876" i="1"/>
  <c r="P877" i="1"/>
  <c r="P879" i="1"/>
  <c r="P880" i="1"/>
  <c r="P882" i="1"/>
  <c r="P890" i="1"/>
  <c r="P902" i="1"/>
  <c r="P903" i="1"/>
  <c r="P904" i="1"/>
  <c r="P905" i="1"/>
  <c r="P906" i="1"/>
  <c r="P907" i="1"/>
  <c r="P908" i="1"/>
  <c r="P909" i="1"/>
  <c r="P910" i="1"/>
  <c r="P911" i="1"/>
  <c r="P912" i="1"/>
  <c r="P913" i="1"/>
  <c r="P914" i="1"/>
  <c r="P915" i="1"/>
  <c r="P918" i="1"/>
  <c r="P919" i="1"/>
  <c r="P920" i="1"/>
  <c r="P922" i="1"/>
  <c r="P923" i="1"/>
  <c r="P948" i="1"/>
  <c r="P949" i="1"/>
  <c r="P950" i="1"/>
  <c r="P955" i="1"/>
  <c r="P956" i="1"/>
  <c r="P960" i="1"/>
  <c r="P963" i="1"/>
  <c r="P964" i="1"/>
  <c r="P965" i="1"/>
  <c r="P969" i="1"/>
  <c r="P970" i="1"/>
  <c r="P972" i="1"/>
  <c r="P981" i="1"/>
  <c r="P985" i="1"/>
  <c r="P987" i="1"/>
  <c r="P994" i="1"/>
  <c r="P995" i="1"/>
  <c r="P997" i="1"/>
  <c r="P1000" i="1"/>
  <c r="P1002" i="1"/>
  <c r="P1004" i="1"/>
  <c r="P1008" i="1"/>
  <c r="P1009" i="1"/>
  <c r="P1011" i="1"/>
  <c r="P1015" i="1"/>
  <c r="P1019" i="1"/>
  <c r="P1020" i="1"/>
  <c r="P1021" i="1"/>
  <c r="P1022" i="1"/>
  <c r="P1027" i="1"/>
  <c r="P1032" i="1"/>
  <c r="P1033" i="1"/>
  <c r="P1034" i="1"/>
  <c r="P1035" i="1"/>
  <c r="P1036" i="1"/>
  <c r="P1037" i="1"/>
  <c r="P1038" i="1"/>
  <c r="P1039" i="1"/>
  <c r="P1042" i="1"/>
  <c r="P1047" i="1"/>
  <c r="P1049" i="1"/>
  <c r="P1050" i="1"/>
  <c r="P1051" i="1"/>
  <c r="P1057" i="1"/>
  <c r="P1058" i="1"/>
  <c r="P1059" i="1"/>
  <c r="P1060" i="1"/>
  <c r="P1062" i="1"/>
  <c r="P1063" i="1"/>
  <c r="P1064" i="1"/>
  <c r="P1076" i="1"/>
  <c r="P1078" i="1"/>
  <c r="P1079" i="1"/>
  <c r="P1080" i="1"/>
  <c r="P1081" i="1"/>
  <c r="P1082" i="1"/>
  <c r="P1083" i="1"/>
  <c r="P1084" i="1"/>
  <c r="P1085" i="1"/>
  <c r="P1086" i="1"/>
  <c r="P1087" i="1"/>
  <c r="P1088" i="1"/>
  <c r="P1089" i="1"/>
  <c r="P1090" i="1"/>
  <c r="P1100" i="1"/>
  <c r="P1104" i="1"/>
  <c r="P1105" i="1"/>
  <c r="P1106" i="1"/>
  <c r="P1107" i="1"/>
  <c r="P1109" i="1"/>
  <c r="P1116" i="1"/>
  <c r="P1117" i="1"/>
  <c r="P1118" i="1"/>
  <c r="P1119" i="1"/>
  <c r="P1120" i="1"/>
  <c r="P1127" i="1"/>
  <c r="P1167" i="1"/>
  <c r="P1168" i="1"/>
  <c r="P1169" i="1"/>
  <c r="P1170" i="1"/>
  <c r="P1171" i="1"/>
  <c r="P1173" i="1"/>
  <c r="P1174" i="1"/>
  <c r="R1174" i="1" s="1"/>
  <c r="S1174" i="1" s="1"/>
  <c r="P1175" i="1"/>
  <c r="P1176" i="1"/>
  <c r="P1177" i="1"/>
  <c r="P1178" i="1"/>
  <c r="P1180" i="1"/>
  <c r="P1181" i="1"/>
  <c r="P1182" i="1"/>
  <c r="P1184" i="1"/>
  <c r="P1185" i="1"/>
  <c r="P1186" i="1"/>
  <c r="P1187" i="1"/>
  <c r="P1188" i="1"/>
  <c r="P1190" i="1"/>
  <c r="P1191" i="1"/>
  <c r="O19" i="1"/>
  <c r="O20" i="1"/>
  <c r="O21" i="1"/>
  <c r="O22" i="1"/>
  <c r="O23" i="1"/>
  <c r="O25" i="1"/>
  <c r="P25" i="1" s="1"/>
  <c r="O26" i="1"/>
  <c r="P26" i="1" s="1"/>
  <c r="O27" i="1"/>
  <c r="P27" i="1" s="1"/>
  <c r="O28" i="1"/>
  <c r="P28" i="1" s="1"/>
  <c r="O29" i="1"/>
  <c r="P29" i="1" s="1"/>
  <c r="O30" i="1"/>
  <c r="P30" i="1" s="1"/>
  <c r="O31" i="1"/>
  <c r="P31" i="1" s="1"/>
  <c r="O32" i="1"/>
  <c r="P32" i="1" s="1"/>
  <c r="O33" i="1"/>
  <c r="P33" i="1" s="1"/>
  <c r="R33" i="1" s="1"/>
  <c r="S33" i="1" s="1"/>
  <c r="O34" i="1"/>
  <c r="O38" i="1"/>
  <c r="O43" i="1"/>
  <c r="O44" i="1"/>
  <c r="O45" i="1"/>
  <c r="O46" i="1"/>
  <c r="O47" i="1"/>
  <c r="O48" i="1"/>
  <c r="P48" i="1" s="1"/>
  <c r="O49" i="1"/>
  <c r="P49" i="1" s="1"/>
  <c r="O50" i="1"/>
  <c r="P50" i="1" s="1"/>
  <c r="O51" i="1"/>
  <c r="O52" i="1"/>
  <c r="O53" i="1"/>
  <c r="O54" i="1"/>
  <c r="O56" i="1"/>
  <c r="O57" i="1"/>
  <c r="O58" i="1"/>
  <c r="O59" i="1"/>
  <c r="O60" i="1"/>
  <c r="O61" i="1"/>
  <c r="O62" i="1"/>
  <c r="O63" i="1"/>
  <c r="O64" i="1"/>
  <c r="O65" i="1"/>
  <c r="O66" i="1"/>
  <c r="O67" i="1"/>
  <c r="O68" i="1"/>
  <c r="O69" i="1"/>
  <c r="O70" i="1"/>
  <c r="O71" i="1"/>
  <c r="O73" i="1"/>
  <c r="O74" i="1"/>
  <c r="O75" i="1"/>
  <c r="O76" i="1"/>
  <c r="O77" i="1"/>
  <c r="O78" i="1"/>
  <c r="O79" i="1"/>
  <c r="O80" i="1"/>
  <c r="O81" i="1"/>
  <c r="O82" i="1"/>
  <c r="O83" i="1"/>
  <c r="O84" i="1"/>
  <c r="O86" i="1"/>
  <c r="O87" i="1"/>
  <c r="O88" i="1"/>
  <c r="O89" i="1"/>
  <c r="O90" i="1"/>
  <c r="O91" i="1"/>
  <c r="O92" i="1"/>
  <c r="O93" i="1"/>
  <c r="O94" i="1"/>
  <c r="O95" i="1"/>
  <c r="O96" i="1"/>
  <c r="O97" i="1"/>
  <c r="O99" i="1"/>
  <c r="O100" i="1"/>
  <c r="O101" i="1"/>
  <c r="O102" i="1"/>
  <c r="O103" i="1"/>
  <c r="O104" i="1"/>
  <c r="O105" i="1"/>
  <c r="O106" i="1"/>
  <c r="O107" i="1"/>
  <c r="O108" i="1"/>
  <c r="O109" i="1"/>
  <c r="O111" i="1"/>
  <c r="O112" i="1"/>
  <c r="O113" i="1"/>
  <c r="P113" i="1" s="1"/>
  <c r="O114" i="1"/>
  <c r="O115" i="1"/>
  <c r="O116" i="1"/>
  <c r="O117" i="1"/>
  <c r="O118" i="1"/>
  <c r="P118" i="1" s="1"/>
  <c r="O119" i="1"/>
  <c r="P119" i="1" s="1"/>
  <c r="O125" i="1"/>
  <c r="O126" i="1"/>
  <c r="O127" i="1"/>
  <c r="O128" i="1"/>
  <c r="O129" i="1"/>
  <c r="O130" i="1"/>
  <c r="O131" i="1"/>
  <c r="O132" i="1"/>
  <c r="P132" i="1" s="1"/>
  <c r="O133" i="1"/>
  <c r="P133" i="1" s="1"/>
  <c r="O134" i="1"/>
  <c r="P134" i="1" s="1"/>
  <c r="O135" i="1"/>
  <c r="P135" i="1" s="1"/>
  <c r="O136" i="1"/>
  <c r="P136" i="1" s="1"/>
  <c r="O137" i="1"/>
  <c r="O138" i="1"/>
  <c r="O139" i="1"/>
  <c r="P139" i="1" s="1"/>
  <c r="O140" i="1"/>
  <c r="P140" i="1" s="1"/>
  <c r="O141" i="1"/>
  <c r="P141" i="1" s="1"/>
  <c r="O142" i="1"/>
  <c r="P142" i="1" s="1"/>
  <c r="O143" i="1"/>
  <c r="P143" i="1" s="1"/>
  <c r="O144" i="1"/>
  <c r="P144" i="1" s="1"/>
  <c r="O145" i="1"/>
  <c r="P145" i="1" s="1"/>
  <c r="O146" i="1"/>
  <c r="P146" i="1" s="1"/>
  <c r="O147" i="1"/>
  <c r="P147" i="1" s="1"/>
  <c r="O148" i="1"/>
  <c r="P148" i="1" s="1"/>
  <c r="O149" i="1"/>
  <c r="P149" i="1" s="1"/>
  <c r="O150" i="1"/>
  <c r="P150" i="1" s="1"/>
  <c r="O151" i="1"/>
  <c r="O152" i="1"/>
  <c r="P152" i="1" s="1"/>
  <c r="O153" i="1"/>
  <c r="P153" i="1" s="1"/>
  <c r="O154" i="1"/>
  <c r="P154" i="1" s="1"/>
  <c r="O155" i="1"/>
  <c r="P155" i="1" s="1"/>
  <c r="O156" i="1"/>
  <c r="P156" i="1" s="1"/>
  <c r="O157" i="1"/>
  <c r="O158" i="1"/>
  <c r="O159" i="1"/>
  <c r="O160" i="1"/>
  <c r="O161" i="1"/>
  <c r="O162" i="1"/>
  <c r="O163" i="1"/>
  <c r="P163" i="1" s="1"/>
  <c r="O164" i="1"/>
  <c r="O165" i="1"/>
  <c r="P165" i="1" s="1"/>
  <c r="O166" i="1"/>
  <c r="O169" i="1"/>
  <c r="O170" i="1"/>
  <c r="O171" i="1"/>
  <c r="O172" i="1"/>
  <c r="O173" i="1"/>
  <c r="O179" i="1"/>
  <c r="O180" i="1"/>
  <c r="O181" i="1"/>
  <c r="O182" i="1"/>
  <c r="O183" i="1"/>
  <c r="O184" i="1"/>
  <c r="O185" i="1"/>
  <c r="P185" i="1" s="1"/>
  <c r="R185" i="1" s="1"/>
  <c r="S185" i="1" s="1"/>
  <c r="O186" i="1"/>
  <c r="O187" i="1"/>
  <c r="O188" i="1"/>
  <c r="O189" i="1"/>
  <c r="O190" i="1"/>
  <c r="O205" i="1"/>
  <c r="O206" i="1"/>
  <c r="O207" i="1"/>
  <c r="O212" i="1"/>
  <c r="P212" i="1" s="1"/>
  <c r="O213" i="1"/>
  <c r="O214" i="1"/>
  <c r="O215" i="1"/>
  <c r="O216" i="1"/>
  <c r="O217" i="1"/>
  <c r="O218" i="1"/>
  <c r="O219" i="1"/>
  <c r="O220" i="1"/>
  <c r="O221" i="1"/>
  <c r="O222" i="1"/>
  <c r="O223" i="1"/>
  <c r="O224" i="1"/>
  <c r="O225" i="1"/>
  <c r="O226" i="1"/>
  <c r="O227" i="1"/>
  <c r="O228" i="1"/>
  <c r="O229" i="1"/>
  <c r="O230" i="1"/>
  <c r="O231" i="1"/>
  <c r="O232" i="1"/>
  <c r="O233" i="1"/>
  <c r="O234" i="1"/>
  <c r="O235" i="1"/>
  <c r="O242" i="1"/>
  <c r="O243" i="1"/>
  <c r="O244" i="1"/>
  <c r="O245" i="1"/>
  <c r="P245" i="1" s="1"/>
  <c r="O246" i="1"/>
  <c r="O247" i="1"/>
  <c r="Q247" i="1" s="1"/>
  <c r="O248" i="1"/>
  <c r="O249" i="1"/>
  <c r="O250" i="1"/>
  <c r="P250" i="1" s="1"/>
  <c r="O251" i="1"/>
  <c r="P251" i="1" s="1"/>
  <c r="O252" i="1"/>
  <c r="P252" i="1" s="1"/>
  <c r="O253" i="1"/>
  <c r="O254" i="1"/>
  <c r="P254" i="1" s="1"/>
  <c r="R254" i="1" s="1"/>
  <c r="S254" i="1" s="1"/>
  <c r="O255" i="1"/>
  <c r="P255" i="1" s="1"/>
  <c r="R255" i="1" s="1"/>
  <c r="S255" i="1" s="1"/>
  <c r="O256" i="1"/>
  <c r="P256" i="1" s="1"/>
  <c r="R256" i="1" s="1"/>
  <c r="S256" i="1" s="1"/>
  <c r="O257" i="1"/>
  <c r="P257" i="1" s="1"/>
  <c r="R257" i="1" s="1"/>
  <c r="S257" i="1" s="1"/>
  <c r="O258" i="1"/>
  <c r="O259" i="1"/>
  <c r="O260" i="1"/>
  <c r="P260" i="1" s="1"/>
  <c r="R260" i="1" s="1"/>
  <c r="S260" i="1" s="1"/>
  <c r="O261" i="1"/>
  <c r="P261" i="1" s="1"/>
  <c r="R261" i="1" s="1"/>
  <c r="S261" i="1" s="1"/>
  <c r="O262" i="1"/>
  <c r="P262" i="1" s="1"/>
  <c r="R262" i="1" s="1"/>
  <c r="S262" i="1" s="1"/>
  <c r="O263" i="1"/>
  <c r="O264" i="1"/>
  <c r="O265" i="1"/>
  <c r="O282" i="1"/>
  <c r="O283" i="1"/>
  <c r="P283" i="1" s="1"/>
  <c r="O284" i="1"/>
  <c r="P284" i="1" s="1"/>
  <c r="O285" i="1"/>
  <c r="P285" i="1" s="1"/>
  <c r="O286" i="1"/>
  <c r="P286" i="1" s="1"/>
  <c r="O287" i="1"/>
  <c r="P287" i="1" s="1"/>
  <c r="O288" i="1"/>
  <c r="P288" i="1" s="1"/>
  <c r="O289" i="1"/>
  <c r="O290" i="1"/>
  <c r="P290" i="1" s="1"/>
  <c r="O291" i="1"/>
  <c r="P291" i="1" s="1"/>
  <c r="O292" i="1"/>
  <c r="P292" i="1" s="1"/>
  <c r="O293" i="1"/>
  <c r="P293" i="1" s="1"/>
  <c r="O294" i="1"/>
  <c r="P294" i="1" s="1"/>
  <c r="O300" i="1"/>
  <c r="P300" i="1" s="1"/>
  <c r="R300" i="1" s="1"/>
  <c r="S300" i="1" s="1"/>
  <c r="O308" i="1"/>
  <c r="O309" i="1"/>
  <c r="P309" i="1" s="1"/>
  <c r="R309" i="1" s="1"/>
  <c r="S309" i="1" s="1"/>
  <c r="O310" i="1"/>
  <c r="P310" i="1" s="1"/>
  <c r="R310" i="1" s="1"/>
  <c r="S310" i="1" s="1"/>
  <c r="O311" i="1"/>
  <c r="O312" i="1"/>
  <c r="R313" i="1"/>
  <c r="S313" i="1" s="1"/>
  <c r="O314" i="1"/>
  <c r="P314" i="1" s="1"/>
  <c r="O315" i="1"/>
  <c r="P315" i="1" s="1"/>
  <c r="O316" i="1"/>
  <c r="P316" i="1" s="1"/>
  <c r="O317" i="1"/>
  <c r="O318" i="1"/>
  <c r="O319" i="1"/>
  <c r="Q319" i="1" s="1"/>
  <c r="O320" i="1"/>
  <c r="Q320" i="1" s="1"/>
  <c r="O321" i="1"/>
  <c r="O322" i="1"/>
  <c r="P322" i="1" s="1"/>
  <c r="O323" i="1"/>
  <c r="P323" i="1" s="1"/>
  <c r="O324" i="1"/>
  <c r="P324" i="1" s="1"/>
  <c r="O326" i="1"/>
  <c r="O327" i="1"/>
  <c r="O328" i="1"/>
  <c r="O329" i="1"/>
  <c r="O330" i="1"/>
  <c r="O331" i="1"/>
  <c r="O332" i="1"/>
  <c r="O333" i="1"/>
  <c r="O341" i="1"/>
  <c r="O342" i="1"/>
  <c r="O343" i="1"/>
  <c r="O344" i="1"/>
  <c r="O345" i="1"/>
  <c r="O450" i="1"/>
  <c r="O451" i="1"/>
  <c r="O452" i="1"/>
  <c r="O453" i="1"/>
  <c r="O454" i="1"/>
  <c r="O455" i="1"/>
  <c r="O456" i="1"/>
  <c r="O457" i="1"/>
  <c r="O458" i="1"/>
  <c r="O459" i="1"/>
  <c r="O460" i="1"/>
  <c r="P460" i="1" s="1"/>
  <c r="O461" i="1"/>
  <c r="P461" i="1" s="1"/>
  <c r="O462" i="1"/>
  <c r="P462" i="1" s="1"/>
  <c r="O463" i="1"/>
  <c r="P463" i="1" s="1"/>
  <c r="O464" i="1"/>
  <c r="P464" i="1" s="1"/>
  <c r="O465" i="1"/>
  <c r="P465" i="1" s="1"/>
  <c r="O466" i="1"/>
  <c r="P466" i="1" s="1"/>
  <c r="O467" i="1"/>
  <c r="O468" i="1"/>
  <c r="P468" i="1" s="1"/>
  <c r="O469" i="1"/>
  <c r="P469" i="1" s="1"/>
  <c r="O470" i="1"/>
  <c r="P470" i="1" s="1"/>
  <c r="O471" i="1"/>
  <c r="P471" i="1" s="1"/>
  <c r="O472" i="1"/>
  <c r="P472" i="1" s="1"/>
  <c r="O473" i="1"/>
  <c r="P473" i="1" s="1"/>
  <c r="O474" i="1"/>
  <c r="P474" i="1" s="1"/>
  <c r="O475" i="1"/>
  <c r="O476" i="1"/>
  <c r="O477" i="1"/>
  <c r="O478" i="1"/>
  <c r="O479" i="1"/>
  <c r="P479" i="1" s="1"/>
  <c r="O480" i="1"/>
  <c r="P480" i="1" s="1"/>
  <c r="O481" i="1"/>
  <c r="O482" i="1"/>
  <c r="P482" i="1" s="1"/>
  <c r="R482" i="1" s="1"/>
  <c r="S482" i="1" s="1"/>
  <c r="O483" i="1"/>
  <c r="P483" i="1" s="1"/>
  <c r="R483" i="1" s="1"/>
  <c r="S483" i="1" s="1"/>
  <c r="O484" i="1"/>
  <c r="O485" i="1"/>
  <c r="P485" i="1" s="1"/>
  <c r="R485" i="1" s="1"/>
  <c r="S485" i="1" s="1"/>
  <c r="O486" i="1"/>
  <c r="P486" i="1" s="1"/>
  <c r="O487" i="1"/>
  <c r="P487" i="1" s="1"/>
  <c r="O488" i="1"/>
  <c r="P488" i="1" s="1"/>
  <c r="O489" i="1"/>
  <c r="P489" i="1" s="1"/>
  <c r="R489" i="1" s="1"/>
  <c r="S489" i="1" s="1"/>
  <c r="O490" i="1"/>
  <c r="O491" i="1"/>
  <c r="O492" i="1"/>
  <c r="O493" i="1"/>
  <c r="O494" i="1"/>
  <c r="P494" i="1" s="1"/>
  <c r="O495" i="1"/>
  <c r="O496" i="1"/>
  <c r="P496" i="1" s="1"/>
  <c r="R496" i="1" s="1"/>
  <c r="S496" i="1" s="1"/>
  <c r="O497" i="1"/>
  <c r="P497" i="1" s="1"/>
  <c r="O498" i="1"/>
  <c r="P498" i="1" s="1"/>
  <c r="O499" i="1"/>
  <c r="P499" i="1" s="1"/>
  <c r="O500" i="1"/>
  <c r="P500" i="1" s="1"/>
  <c r="O501" i="1"/>
  <c r="P501" i="1" s="1"/>
  <c r="O502" i="1"/>
  <c r="P502" i="1" s="1"/>
  <c r="R502" i="1" s="1"/>
  <c r="S502" i="1" s="1"/>
  <c r="O503" i="1"/>
  <c r="O504" i="1"/>
  <c r="O505" i="1"/>
  <c r="O506" i="1"/>
  <c r="O507" i="1"/>
  <c r="O508" i="1"/>
  <c r="O509" i="1"/>
  <c r="O510" i="1"/>
  <c r="O516" i="1"/>
  <c r="O517" i="1"/>
  <c r="O518" i="1"/>
  <c r="O519" i="1"/>
  <c r="O520" i="1"/>
  <c r="O521" i="1"/>
  <c r="O534" i="1"/>
  <c r="O535" i="1"/>
  <c r="O536" i="1"/>
  <c r="O537" i="1"/>
  <c r="O538" i="1"/>
  <c r="O539" i="1"/>
  <c r="O544" i="1"/>
  <c r="O545" i="1"/>
  <c r="O546" i="1"/>
  <c r="O547" i="1"/>
  <c r="O548" i="1"/>
  <c r="O549" i="1"/>
  <c r="O550" i="1"/>
  <c r="O551" i="1"/>
  <c r="O552" i="1"/>
  <c r="O553" i="1"/>
  <c r="O554" i="1"/>
  <c r="O555" i="1"/>
  <c r="O556" i="1"/>
  <c r="O557" i="1"/>
  <c r="P557" i="1" s="1"/>
  <c r="O558" i="1"/>
  <c r="P558" i="1" s="1"/>
  <c r="O559" i="1"/>
  <c r="O560" i="1"/>
  <c r="O561" i="1"/>
  <c r="O562" i="1"/>
  <c r="O563" i="1"/>
  <c r="O564" i="1"/>
  <c r="P564" i="1" s="1"/>
  <c r="O565" i="1"/>
  <c r="O566" i="1"/>
  <c r="O567" i="1"/>
  <c r="O577" i="1"/>
  <c r="O578" i="1"/>
  <c r="O579" i="1"/>
  <c r="O580" i="1"/>
  <c r="O581" i="1"/>
  <c r="O583" i="1"/>
  <c r="O584" i="1"/>
  <c r="O585" i="1"/>
  <c r="O586" i="1"/>
  <c r="O587" i="1"/>
  <c r="O588" i="1"/>
  <c r="O591" i="1"/>
  <c r="O592" i="1"/>
  <c r="P592" i="1" s="1"/>
  <c r="R592" i="1" s="1"/>
  <c r="S592" i="1" s="1"/>
  <c r="O593" i="1"/>
  <c r="O594" i="1"/>
  <c r="O595" i="1"/>
  <c r="O596" i="1"/>
  <c r="O597" i="1"/>
  <c r="O598" i="1"/>
  <c r="O599" i="1"/>
  <c r="O600" i="1"/>
  <c r="O601" i="1"/>
  <c r="O602" i="1"/>
  <c r="O603" i="1"/>
  <c r="O604" i="1"/>
  <c r="O605" i="1"/>
  <c r="O606" i="1"/>
  <c r="O607" i="1"/>
  <c r="O608" i="1"/>
  <c r="O609" i="1"/>
  <c r="O610" i="1"/>
  <c r="O611" i="1"/>
  <c r="O612" i="1"/>
  <c r="O613" i="1"/>
  <c r="O614" i="1"/>
  <c r="P614" i="1" s="1"/>
  <c r="R614" i="1" s="1"/>
  <c r="S614" i="1" s="1"/>
  <c r="O615" i="1"/>
  <c r="O617" i="1"/>
  <c r="O618" i="1"/>
  <c r="O619" i="1"/>
  <c r="P619" i="1" s="1"/>
  <c r="O620" i="1"/>
  <c r="P620" i="1" s="1"/>
  <c r="O621" i="1"/>
  <c r="P621" i="1" s="1"/>
  <c r="O622" i="1"/>
  <c r="P622" i="1" s="1"/>
  <c r="R622" i="1" s="1"/>
  <c r="S622" i="1" s="1"/>
  <c r="O623" i="1"/>
  <c r="O625" i="1"/>
  <c r="O626" i="1"/>
  <c r="O627" i="1"/>
  <c r="O628" i="1"/>
  <c r="O629" i="1"/>
  <c r="O630" i="1"/>
  <c r="O631" i="1"/>
  <c r="O632" i="1"/>
  <c r="O633" i="1"/>
  <c r="O634" i="1"/>
  <c r="P634" i="1" s="1"/>
  <c r="O635" i="1"/>
  <c r="O636" i="1"/>
  <c r="O637" i="1"/>
  <c r="O639" i="1"/>
  <c r="O640" i="1"/>
  <c r="O641" i="1"/>
  <c r="O642" i="1"/>
  <c r="O643" i="1"/>
  <c r="O644" i="1"/>
  <c r="O645" i="1"/>
  <c r="O646" i="1"/>
  <c r="O647" i="1"/>
  <c r="O648" i="1"/>
  <c r="O649" i="1"/>
  <c r="O650" i="1"/>
  <c r="O651" i="1"/>
  <c r="O652" i="1"/>
  <c r="O653" i="1"/>
  <c r="O654" i="1"/>
  <c r="O655" i="1"/>
  <c r="O656" i="1"/>
  <c r="O657" i="1"/>
  <c r="O658" i="1"/>
  <c r="P658" i="1" s="1"/>
  <c r="R658" i="1" s="1"/>
  <c r="S658" i="1" s="1"/>
  <c r="O659" i="1"/>
  <c r="O661" i="1"/>
  <c r="P661" i="1" s="1"/>
  <c r="O662" i="1"/>
  <c r="O663" i="1"/>
  <c r="O664" i="1"/>
  <c r="O665" i="1"/>
  <c r="P665" i="1" s="1"/>
  <c r="O667" i="1"/>
  <c r="O668" i="1"/>
  <c r="O669" i="1"/>
  <c r="O672" i="1"/>
  <c r="O673" i="1"/>
  <c r="O674" i="1"/>
  <c r="O676" i="1"/>
  <c r="P676" i="1" s="1"/>
  <c r="R676" i="1" s="1"/>
  <c r="S676" i="1" s="1"/>
  <c r="O677" i="1"/>
  <c r="O681" i="1"/>
  <c r="O682" i="1"/>
  <c r="O683" i="1"/>
  <c r="O684" i="1"/>
  <c r="O685" i="1"/>
  <c r="O686" i="1"/>
  <c r="O687" i="1"/>
  <c r="O688" i="1"/>
  <c r="O689" i="1"/>
  <c r="O690" i="1"/>
  <c r="O691" i="1"/>
  <c r="O692" i="1"/>
  <c r="O693" i="1"/>
  <c r="O694" i="1"/>
  <c r="O695" i="1"/>
  <c r="O696" i="1"/>
  <c r="O697" i="1"/>
  <c r="O698" i="1"/>
  <c r="O699" i="1"/>
  <c r="O701" i="1"/>
  <c r="O702" i="1"/>
  <c r="O703" i="1"/>
  <c r="O704" i="1"/>
  <c r="O705" i="1"/>
  <c r="O706" i="1"/>
  <c r="O707" i="1"/>
  <c r="O708" i="1"/>
  <c r="O709" i="1"/>
  <c r="P709" i="1" s="1"/>
  <c r="R709" i="1" s="1"/>
  <c r="S709" i="1" s="1"/>
  <c r="O710" i="1"/>
  <c r="O711" i="1"/>
  <c r="P711" i="1" s="1"/>
  <c r="O713" i="1"/>
  <c r="O714" i="1"/>
  <c r="O715" i="1"/>
  <c r="O716" i="1"/>
  <c r="O717" i="1"/>
  <c r="O718" i="1"/>
  <c r="O719" i="1"/>
  <c r="O720" i="1"/>
  <c r="O721" i="1"/>
  <c r="O722" i="1"/>
  <c r="O723" i="1"/>
  <c r="O724" i="1"/>
  <c r="P724" i="1" s="1"/>
  <c r="O725" i="1"/>
  <c r="P725" i="1" s="1"/>
  <c r="O726" i="1"/>
  <c r="P726" i="1" s="1"/>
  <c r="O727" i="1"/>
  <c r="P727" i="1" s="1"/>
  <c r="O728" i="1"/>
  <c r="O729" i="1"/>
  <c r="P729" i="1" s="1"/>
  <c r="R729" i="1" s="1"/>
  <c r="S729" i="1" s="1"/>
  <c r="O730" i="1"/>
  <c r="P730" i="1" s="1"/>
  <c r="O731" i="1"/>
  <c r="O732" i="1"/>
  <c r="O733" i="1"/>
  <c r="O734" i="1"/>
  <c r="P734" i="1" s="1"/>
  <c r="O735" i="1"/>
  <c r="O736" i="1"/>
  <c r="O737" i="1"/>
  <c r="O738" i="1"/>
  <c r="O739" i="1"/>
  <c r="O740" i="1"/>
  <c r="O741" i="1"/>
  <c r="O742" i="1"/>
  <c r="O743" i="1"/>
  <c r="O744" i="1"/>
  <c r="P744" i="1" s="1"/>
  <c r="R744" i="1" s="1"/>
  <c r="S744" i="1" s="1"/>
  <c r="O745" i="1"/>
  <c r="P745" i="1" s="1"/>
  <c r="O746" i="1"/>
  <c r="P746" i="1" s="1"/>
  <c r="O747" i="1"/>
  <c r="P747" i="1" s="1"/>
  <c r="O748" i="1"/>
  <c r="P748" i="1" s="1"/>
  <c r="O749" i="1"/>
  <c r="P749" i="1" s="1"/>
  <c r="O750" i="1"/>
  <c r="P750" i="1" s="1"/>
  <c r="O751" i="1"/>
  <c r="O752" i="1"/>
  <c r="O753" i="1"/>
  <c r="O754" i="1"/>
  <c r="P754" i="1" s="1"/>
  <c r="O755" i="1"/>
  <c r="P755" i="1" s="1"/>
  <c r="O756" i="1"/>
  <c r="P756" i="1" s="1"/>
  <c r="O757" i="1"/>
  <c r="O758" i="1"/>
  <c r="O759" i="1"/>
  <c r="O760" i="1"/>
  <c r="O761" i="1"/>
  <c r="O762" i="1"/>
  <c r="O763" i="1"/>
  <c r="O764" i="1"/>
  <c r="P764" i="1" s="1"/>
  <c r="R764" i="1" s="1"/>
  <c r="S764" i="1" s="1"/>
  <c r="O765" i="1"/>
  <c r="O766" i="1"/>
  <c r="P766" i="1" s="1"/>
  <c r="O767" i="1"/>
  <c r="P767" i="1" s="1"/>
  <c r="O768" i="1"/>
  <c r="O769" i="1"/>
  <c r="P769" i="1" s="1"/>
  <c r="O770" i="1"/>
  <c r="P770" i="1" s="1"/>
  <c r="R770" i="1" s="1"/>
  <c r="S770" i="1" s="1"/>
  <c r="O771" i="1"/>
  <c r="O772" i="1"/>
  <c r="O773" i="1"/>
  <c r="O774" i="1"/>
  <c r="O775" i="1"/>
  <c r="O776" i="1"/>
  <c r="O777" i="1"/>
  <c r="O778" i="1"/>
  <c r="O779" i="1"/>
  <c r="O780" i="1"/>
  <c r="O781" i="1"/>
  <c r="O798" i="1"/>
  <c r="O799" i="1"/>
  <c r="O800" i="1"/>
  <c r="O801" i="1"/>
  <c r="O802" i="1"/>
  <c r="O803" i="1"/>
  <c r="O804" i="1"/>
  <c r="P804" i="1" s="1"/>
  <c r="R804" i="1" s="1"/>
  <c r="S804" i="1" s="1"/>
  <c r="O806" i="1"/>
  <c r="O807" i="1"/>
  <c r="O808" i="1"/>
  <c r="O809" i="1"/>
  <c r="O810" i="1"/>
  <c r="O811" i="1"/>
  <c r="O812" i="1"/>
  <c r="P812" i="1" s="1"/>
  <c r="O813" i="1"/>
  <c r="P813" i="1" s="1"/>
  <c r="O814" i="1"/>
  <c r="O815" i="1"/>
  <c r="O816" i="1"/>
  <c r="O817" i="1"/>
  <c r="O818" i="1"/>
  <c r="O820" i="1"/>
  <c r="O821" i="1"/>
  <c r="O822" i="1"/>
  <c r="O824" i="1"/>
  <c r="O831" i="1"/>
  <c r="P831" i="1" s="1"/>
  <c r="R831" i="1" s="1"/>
  <c r="S831" i="1" s="1"/>
  <c r="O832" i="1"/>
  <c r="O833" i="1"/>
  <c r="P833" i="1" s="1"/>
  <c r="O834" i="1"/>
  <c r="P834" i="1" s="1"/>
  <c r="O835" i="1"/>
  <c r="P835" i="1" s="1"/>
  <c r="O836" i="1"/>
  <c r="P836" i="1" s="1"/>
  <c r="O837" i="1"/>
  <c r="P837" i="1" s="1"/>
  <c r="O838" i="1"/>
  <c r="O839" i="1"/>
  <c r="O840" i="1"/>
  <c r="O841" i="1"/>
  <c r="O842" i="1"/>
  <c r="O843" i="1"/>
  <c r="O844" i="1"/>
  <c r="O845" i="1"/>
  <c r="O846" i="1"/>
  <c r="O847" i="1"/>
  <c r="O849" i="1"/>
  <c r="O850" i="1"/>
  <c r="O851" i="1"/>
  <c r="O857" i="1"/>
  <c r="O858" i="1"/>
  <c r="O859" i="1"/>
  <c r="O860" i="1"/>
  <c r="P860" i="1" s="1"/>
  <c r="R860" i="1" s="1"/>
  <c r="S860" i="1" s="1"/>
  <c r="O861" i="1"/>
  <c r="P861" i="1" s="1"/>
  <c r="O862" i="1"/>
  <c r="O863" i="1"/>
  <c r="O864" i="1"/>
  <c r="Q864" i="1" s="1"/>
  <c r="O865" i="1"/>
  <c r="O866" i="1"/>
  <c r="O867" i="1"/>
  <c r="O868" i="1"/>
  <c r="O870" i="1"/>
  <c r="O871" i="1"/>
  <c r="O874" i="1"/>
  <c r="O875" i="1"/>
  <c r="O876" i="1"/>
  <c r="O877" i="1"/>
  <c r="Q877" i="1" s="1"/>
  <c r="O879" i="1"/>
  <c r="O880" i="1"/>
  <c r="Q880" i="1" s="1"/>
  <c r="O881" i="1"/>
  <c r="O882" i="1"/>
  <c r="O887" i="1"/>
  <c r="P887" i="1" s="1"/>
  <c r="O889" i="1"/>
  <c r="P889" i="1" s="1"/>
  <c r="O890" i="1"/>
  <c r="O891" i="1"/>
  <c r="P891" i="1" s="1"/>
  <c r="O892" i="1"/>
  <c r="P892" i="1" s="1"/>
  <c r="O893" i="1"/>
  <c r="P893" i="1" s="1"/>
  <c r="O894" i="1"/>
  <c r="P894" i="1" s="1"/>
  <c r="R894" i="1" s="1"/>
  <c r="S894" i="1" s="1"/>
  <c r="O902" i="1"/>
  <c r="O903" i="1"/>
  <c r="O904" i="1"/>
  <c r="O905" i="1"/>
  <c r="O906" i="1"/>
  <c r="O907" i="1"/>
  <c r="O908" i="1"/>
  <c r="O909" i="1"/>
  <c r="O910" i="1"/>
  <c r="O911" i="1"/>
  <c r="O912" i="1"/>
  <c r="O913" i="1"/>
  <c r="O914" i="1"/>
  <c r="O915" i="1"/>
  <c r="O918" i="1"/>
  <c r="O919" i="1"/>
  <c r="O920" i="1"/>
  <c r="O922" i="1"/>
  <c r="O923" i="1"/>
  <c r="O924" i="1"/>
  <c r="P924" i="1" s="1"/>
  <c r="O925" i="1"/>
  <c r="P925" i="1" s="1"/>
  <c r="O926" i="1"/>
  <c r="P926" i="1" s="1"/>
  <c r="O927" i="1"/>
  <c r="P927" i="1" s="1"/>
  <c r="O928" i="1"/>
  <c r="O930" i="1"/>
  <c r="P930" i="1" s="1"/>
  <c r="O931" i="1"/>
  <c r="P931" i="1" s="1"/>
  <c r="O932" i="1"/>
  <c r="P932" i="1" s="1"/>
  <c r="O933" i="1"/>
  <c r="P933" i="1" s="1"/>
  <c r="O934" i="1"/>
  <c r="P934" i="1" s="1"/>
  <c r="O935" i="1"/>
  <c r="P935" i="1" s="1"/>
  <c r="O936" i="1"/>
  <c r="P936" i="1" s="1"/>
  <c r="O937" i="1"/>
  <c r="P937" i="1" s="1"/>
  <c r="O938" i="1"/>
  <c r="O939" i="1"/>
  <c r="O940" i="1"/>
  <c r="P940" i="1" s="1"/>
  <c r="O941" i="1"/>
  <c r="O942" i="1"/>
  <c r="O943" i="1"/>
  <c r="O944" i="1"/>
  <c r="P944" i="1" s="1"/>
  <c r="O945" i="1"/>
  <c r="O946" i="1"/>
  <c r="O947" i="1"/>
  <c r="O948" i="1"/>
  <c r="O949" i="1"/>
  <c r="O950" i="1"/>
  <c r="O951" i="1"/>
  <c r="P951" i="1" s="1"/>
  <c r="O952" i="1"/>
  <c r="P952" i="1" s="1"/>
  <c r="O953" i="1"/>
  <c r="P953" i="1" s="1"/>
  <c r="O954" i="1"/>
  <c r="P954" i="1" s="1"/>
  <c r="O955" i="1"/>
  <c r="O956" i="1"/>
  <c r="O957" i="1"/>
  <c r="O958" i="1"/>
  <c r="O959" i="1"/>
  <c r="P959" i="1" s="1"/>
  <c r="O960" i="1"/>
  <c r="O961" i="1"/>
  <c r="O962" i="1"/>
  <c r="P962" i="1" s="1"/>
  <c r="O963" i="1"/>
  <c r="O964" i="1"/>
  <c r="O965" i="1"/>
  <c r="O966" i="1"/>
  <c r="O967" i="1"/>
  <c r="O968" i="1"/>
  <c r="O969" i="1"/>
  <c r="O970" i="1"/>
  <c r="O971" i="1"/>
  <c r="Q971" i="1" s="1"/>
  <c r="O972" i="1"/>
  <c r="O973" i="1"/>
  <c r="O974" i="1"/>
  <c r="P974" i="1" s="1"/>
  <c r="O975" i="1"/>
  <c r="P975" i="1" s="1"/>
  <c r="O976" i="1"/>
  <c r="P976" i="1" s="1"/>
  <c r="O977" i="1"/>
  <c r="P977" i="1" s="1"/>
  <c r="O978" i="1"/>
  <c r="P978" i="1" s="1"/>
  <c r="O979" i="1"/>
  <c r="P979" i="1" s="1"/>
  <c r="O980" i="1"/>
  <c r="P980" i="1" s="1"/>
  <c r="O981" i="1"/>
  <c r="O982" i="1"/>
  <c r="P982" i="1" s="1"/>
  <c r="O983" i="1"/>
  <c r="P983" i="1" s="1"/>
  <c r="O984" i="1"/>
  <c r="P984" i="1" s="1"/>
  <c r="O985" i="1"/>
  <c r="O986" i="1"/>
  <c r="P986" i="1" s="1"/>
  <c r="O987" i="1"/>
  <c r="O988" i="1"/>
  <c r="O989" i="1"/>
  <c r="P989" i="1" s="1"/>
  <c r="O990" i="1"/>
  <c r="P990" i="1" s="1"/>
  <c r="O992" i="1"/>
  <c r="P992" i="1" s="1"/>
  <c r="O993" i="1"/>
  <c r="P993" i="1" s="1"/>
  <c r="O994" i="1"/>
  <c r="O995" i="1"/>
  <c r="O996" i="1"/>
  <c r="O997" i="1"/>
  <c r="O998" i="1"/>
  <c r="P998" i="1" s="1"/>
  <c r="O999" i="1"/>
  <c r="P999" i="1" s="1"/>
  <c r="O1000" i="1"/>
  <c r="O1001" i="1"/>
  <c r="P1001" i="1" s="1"/>
  <c r="O1002" i="1"/>
  <c r="O1003" i="1"/>
  <c r="O1004" i="1"/>
  <c r="O1005" i="1"/>
  <c r="P1005" i="1" s="1"/>
  <c r="O1006" i="1"/>
  <c r="P1006" i="1" s="1"/>
  <c r="O1007" i="1"/>
  <c r="P1007" i="1" s="1"/>
  <c r="O1008" i="1"/>
  <c r="O1009" i="1"/>
  <c r="O1010" i="1"/>
  <c r="P1010" i="1" s="1"/>
  <c r="O1011" i="1"/>
  <c r="O1012" i="1"/>
  <c r="P1012" i="1" s="1"/>
  <c r="O1013" i="1"/>
  <c r="P1013" i="1" s="1"/>
  <c r="O1014" i="1"/>
  <c r="P1014" i="1" s="1"/>
  <c r="O1015" i="1"/>
  <c r="O1016" i="1"/>
  <c r="P1016" i="1" s="1"/>
  <c r="O1017" i="1"/>
  <c r="P1017" i="1" s="1"/>
  <c r="O1018" i="1"/>
  <c r="P1018" i="1" s="1"/>
  <c r="O1019" i="1"/>
  <c r="O1020" i="1"/>
  <c r="O1021" i="1"/>
  <c r="O1022" i="1"/>
  <c r="O1023" i="1"/>
  <c r="P1023" i="1" s="1"/>
  <c r="O1024" i="1"/>
  <c r="P1024" i="1" s="1"/>
  <c r="O1025" i="1"/>
  <c r="P1025" i="1" s="1"/>
  <c r="O1026" i="1"/>
  <c r="P1026" i="1" s="1"/>
  <c r="O1027" i="1"/>
  <c r="O1028" i="1"/>
  <c r="P1028" i="1" s="1"/>
  <c r="O1029" i="1"/>
  <c r="P1029" i="1" s="1"/>
  <c r="O1030" i="1"/>
  <c r="P1030" i="1" s="1"/>
  <c r="O1031" i="1"/>
  <c r="P1031" i="1" s="1"/>
  <c r="O1032" i="1"/>
  <c r="O1033" i="1"/>
  <c r="O1034" i="1"/>
  <c r="O1035" i="1"/>
  <c r="O1036" i="1"/>
  <c r="O1037" i="1"/>
  <c r="O1038" i="1"/>
  <c r="O1039" i="1"/>
  <c r="O1040" i="1"/>
  <c r="P1040" i="1" s="1"/>
  <c r="O1041" i="1"/>
  <c r="P1041" i="1" s="1"/>
  <c r="O1042" i="1"/>
  <c r="O1043" i="1"/>
  <c r="P1043" i="1" s="1"/>
  <c r="O1044" i="1"/>
  <c r="P1044" i="1" s="1"/>
  <c r="O1045" i="1"/>
  <c r="P1045" i="1" s="1"/>
  <c r="O1046" i="1"/>
  <c r="P1046" i="1" s="1"/>
  <c r="O1047" i="1"/>
  <c r="O1048" i="1"/>
  <c r="P1048" i="1" s="1"/>
  <c r="O1049" i="1"/>
  <c r="O1050" i="1"/>
  <c r="O1051" i="1"/>
  <c r="O1052" i="1"/>
  <c r="P1052" i="1" s="1"/>
  <c r="O1053" i="1"/>
  <c r="P1053" i="1" s="1"/>
  <c r="O1055" i="1"/>
  <c r="P1055" i="1" s="1"/>
  <c r="O1056" i="1"/>
  <c r="P1056" i="1" s="1"/>
  <c r="O1057" i="1"/>
  <c r="O1058" i="1"/>
  <c r="O1059" i="1"/>
  <c r="O1060" i="1"/>
  <c r="O1061" i="1"/>
  <c r="P1061" i="1" s="1"/>
  <c r="O1062" i="1"/>
  <c r="O1063" i="1"/>
  <c r="O1064" i="1"/>
  <c r="O1076" i="1"/>
  <c r="O1077" i="1"/>
  <c r="O1078" i="1"/>
  <c r="O1079" i="1"/>
  <c r="O1080" i="1"/>
  <c r="O1081" i="1"/>
  <c r="O1082" i="1"/>
  <c r="O1083" i="1"/>
  <c r="O1084" i="1"/>
  <c r="O1085" i="1"/>
  <c r="O1086" i="1"/>
  <c r="O1087" i="1"/>
  <c r="O1088" i="1"/>
  <c r="O1089" i="1"/>
  <c r="O1090" i="1"/>
  <c r="O1095" i="1"/>
  <c r="P1095" i="1" s="1"/>
  <c r="O1096" i="1"/>
  <c r="P1096" i="1" s="1"/>
  <c r="O1097" i="1"/>
  <c r="P1097" i="1" s="1"/>
  <c r="O1098" i="1"/>
  <c r="P1098" i="1" s="1"/>
  <c r="O1099" i="1"/>
  <c r="P1099" i="1" s="1"/>
  <c r="O1100" i="1"/>
  <c r="O1101" i="1"/>
  <c r="P1101" i="1" s="1"/>
  <c r="O1102" i="1"/>
  <c r="P1102" i="1" s="1"/>
  <c r="O1104" i="1"/>
  <c r="O1105" i="1"/>
  <c r="O1106" i="1"/>
  <c r="O1107" i="1"/>
  <c r="O1108" i="1"/>
  <c r="P1108" i="1" s="1"/>
  <c r="O1109" i="1"/>
  <c r="O1110" i="1"/>
  <c r="P1110" i="1" s="1"/>
  <c r="O1111" i="1"/>
  <c r="P1111" i="1" s="1"/>
  <c r="O1112" i="1"/>
  <c r="P1112" i="1" s="1"/>
  <c r="O1113" i="1"/>
  <c r="P1113" i="1" s="1"/>
  <c r="O1114" i="1"/>
  <c r="P1114" i="1" s="1"/>
  <c r="O1115" i="1"/>
  <c r="P1115" i="1" s="1"/>
  <c r="O1116" i="1"/>
  <c r="O1117" i="1"/>
  <c r="O1118" i="1"/>
  <c r="O1119" i="1"/>
  <c r="O1120" i="1"/>
  <c r="O1127" i="1"/>
  <c r="O1167" i="1"/>
  <c r="O1168" i="1"/>
  <c r="O1169" i="1"/>
  <c r="O1170" i="1"/>
  <c r="O1171" i="1"/>
  <c r="O1173" i="1"/>
  <c r="O1174" i="1"/>
  <c r="O1175" i="1"/>
  <c r="O1176" i="1"/>
  <c r="O1177" i="1"/>
  <c r="O1178" i="1"/>
  <c r="O1180" i="1"/>
  <c r="O1181" i="1"/>
  <c r="O1182" i="1"/>
  <c r="O1184" i="1"/>
  <c r="O1185" i="1"/>
  <c r="O1186" i="1"/>
  <c r="O1187" i="1"/>
  <c r="O1188" i="1"/>
  <c r="O1190" i="1"/>
  <c r="O1191" i="1"/>
  <c r="M477" i="1"/>
  <c r="AQ485" i="1"/>
  <c r="AQ651" i="1"/>
  <c r="AQ474" i="1"/>
  <c r="AQ725" i="1"/>
  <c r="AQ49" i="1"/>
  <c r="AQ313" i="1"/>
  <c r="AQ479" i="1"/>
  <c r="AQ185" i="1"/>
  <c r="AQ538" i="1"/>
  <c r="AQ481" i="1"/>
  <c r="AQ471" i="1"/>
  <c r="AQ294" i="1"/>
  <c r="AQ472" i="1"/>
  <c r="AQ757" i="1"/>
  <c r="AQ755" i="1"/>
  <c r="AQ756" i="1"/>
  <c r="AQ3" i="1"/>
  <c r="AQ758" i="1"/>
  <c r="AQ286" i="1"/>
  <c r="AQ473" i="1"/>
  <c r="AQ620" i="1"/>
  <c r="AQ754" i="1"/>
  <c r="AQ767" i="1"/>
  <c r="AQ251" i="1"/>
  <c r="AQ747" i="1"/>
  <c r="AQ650" i="1"/>
  <c r="AQ539" i="1"/>
  <c r="AQ310" i="1"/>
  <c r="AQ759" i="1"/>
  <c r="AQ726" i="1"/>
  <c r="AQ135" i="1"/>
  <c r="AQ748" i="1"/>
  <c r="AQ749" i="1"/>
  <c r="AQ187" i="1"/>
  <c r="AQ486" i="1"/>
  <c r="AQ724" i="1"/>
  <c r="AQ134" i="1"/>
  <c r="AQ32" i="1"/>
  <c r="AQ468" i="1"/>
  <c r="AQ186" i="1"/>
  <c r="AQ50" i="1"/>
  <c r="AQ804" i="1"/>
  <c r="AQ63" i="1"/>
  <c r="AQ315" i="1"/>
  <c r="AQ316" i="1"/>
  <c r="AQ825" i="1"/>
  <c r="AQ827" i="1"/>
  <c r="AQ828" i="1"/>
  <c r="AQ829" i="1"/>
  <c r="AQ37" i="1"/>
  <c r="AQ322" i="1"/>
  <c r="AQ319" i="1"/>
  <c r="AQ320" i="1"/>
  <c r="AQ247" i="1"/>
  <c r="AQ521" i="1"/>
  <c r="AQ324" i="1"/>
  <c r="AG7" i="15"/>
  <c r="AG8" i="15"/>
  <c r="AG9" i="15"/>
  <c r="AG10" i="15"/>
  <c r="AG11" i="15"/>
  <c r="T24" i="15"/>
  <c r="AE46" i="15"/>
  <c r="AD46" i="15"/>
  <c r="AC46" i="15"/>
  <c r="AA46" i="15"/>
  <c r="Z46" i="15"/>
  <c r="Y46" i="15"/>
  <c r="X46" i="15"/>
  <c r="W46" i="15"/>
  <c r="V46" i="15"/>
  <c r="U46" i="15"/>
  <c r="T46" i="15"/>
  <c r="AG45" i="15"/>
  <c r="AE45" i="15"/>
  <c r="AD45" i="15"/>
  <c r="AC45" i="15"/>
  <c r="AB45" i="15"/>
  <c r="AA45" i="15"/>
  <c r="Z45" i="15"/>
  <c r="X45" i="15"/>
  <c r="V45" i="15"/>
  <c r="U45" i="15"/>
  <c r="T45" i="15"/>
  <c r="AG44" i="15"/>
  <c r="AE44" i="15"/>
  <c r="AD44" i="15"/>
  <c r="AC44" i="15"/>
  <c r="AB44" i="15"/>
  <c r="AA44" i="15"/>
  <c r="Z44" i="15"/>
  <c r="Y44" i="15"/>
  <c r="X44" i="15"/>
  <c r="W44" i="15"/>
  <c r="U44" i="15"/>
  <c r="T44" i="15"/>
  <c r="AG43" i="15"/>
  <c r="AE43" i="15"/>
  <c r="AD43" i="15"/>
  <c r="AC43" i="15"/>
  <c r="T43" i="15"/>
  <c r="AE42" i="15"/>
  <c r="Z42" i="15"/>
  <c r="T42" i="15"/>
  <c r="AE41" i="15"/>
  <c r="AD41" i="15"/>
  <c r="AC41" i="15"/>
  <c r="AB41" i="15"/>
  <c r="Z41" i="15"/>
  <c r="Y41" i="15"/>
  <c r="X41" i="15"/>
  <c r="W41" i="15"/>
  <c r="T41" i="15"/>
  <c r="AG40" i="15"/>
  <c r="AE40" i="15"/>
  <c r="AD40" i="15"/>
  <c r="AC40" i="15"/>
  <c r="AB40" i="15"/>
  <c r="Z40" i="15"/>
  <c r="Y40" i="15"/>
  <c r="X40" i="15"/>
  <c r="W40" i="15"/>
  <c r="U40" i="15"/>
  <c r="T40" i="15"/>
  <c r="AE39" i="15"/>
  <c r="AD39" i="15"/>
  <c r="AC39" i="15"/>
  <c r="T39" i="15"/>
  <c r="AE38" i="15"/>
  <c r="AB38" i="15"/>
  <c r="X38" i="15"/>
  <c r="T38" i="15"/>
  <c r="AE37" i="15"/>
  <c r="AD37" i="15"/>
  <c r="AC37" i="15"/>
  <c r="AA37" i="15"/>
  <c r="X37" i="15"/>
  <c r="T37" i="15"/>
  <c r="AG36" i="15"/>
  <c r="AE36" i="15"/>
  <c r="AD36" i="15"/>
  <c r="AC36" i="15"/>
  <c r="AB36" i="15"/>
  <c r="Z36" i="15"/>
  <c r="X36" i="15"/>
  <c r="T36" i="15"/>
  <c r="AG35" i="15"/>
  <c r="AE35" i="15"/>
  <c r="AD35" i="15"/>
  <c r="AC35" i="15"/>
  <c r="AB35" i="15"/>
  <c r="AA35" i="15"/>
  <c r="Z35" i="15"/>
  <c r="Y35" i="15"/>
  <c r="T35" i="15"/>
  <c r="AG34" i="15"/>
  <c r="AE34" i="15"/>
  <c r="AD34" i="15"/>
  <c r="AC34" i="15"/>
  <c r="AB34" i="15"/>
  <c r="AA34" i="15"/>
  <c r="Z34" i="15"/>
  <c r="T34" i="15"/>
  <c r="AG33" i="15"/>
  <c r="AE33" i="15"/>
  <c r="AD33" i="15"/>
  <c r="AB33" i="15"/>
  <c r="AA33" i="15"/>
  <c r="Z33" i="15"/>
  <c r="Y33" i="15"/>
  <c r="T33" i="15"/>
  <c r="AE32" i="15"/>
  <c r="AD32" i="15"/>
  <c r="AC32" i="15"/>
  <c r="AB32" i="15"/>
  <c r="AA32" i="15"/>
  <c r="Y32" i="15"/>
  <c r="T32" i="15"/>
  <c r="AG31" i="15"/>
  <c r="AE31" i="15"/>
  <c r="AD31" i="15"/>
  <c r="T31" i="15"/>
  <c r="AG30" i="15"/>
  <c r="AE30" i="15"/>
  <c r="AD30" i="15"/>
  <c r="AC30" i="15"/>
  <c r="AB30" i="15"/>
  <c r="AA30" i="15"/>
  <c r="T30" i="15"/>
  <c r="AE29" i="15"/>
  <c r="AD29" i="15"/>
  <c r="AC29" i="15"/>
  <c r="AB29" i="15"/>
  <c r="Z29" i="15"/>
  <c r="T29" i="15"/>
  <c r="AG28" i="15"/>
  <c r="AE28" i="15"/>
  <c r="AD28" i="15"/>
  <c r="AC28" i="15"/>
  <c r="AB28" i="15"/>
  <c r="AA28" i="15"/>
  <c r="Z28" i="15"/>
  <c r="Y28" i="15"/>
  <c r="X28" i="15"/>
  <c r="W28" i="15"/>
  <c r="T28" i="15"/>
  <c r="AE27" i="15"/>
  <c r="AD27" i="15"/>
  <c r="AB27" i="15"/>
  <c r="AA27" i="15"/>
  <c r="Z27" i="15"/>
  <c r="Y27" i="15"/>
  <c r="W27" i="15"/>
  <c r="T27" i="15"/>
  <c r="AE26" i="15"/>
  <c r="AD26" i="15"/>
  <c r="AA26" i="15"/>
  <c r="Y26" i="15"/>
  <c r="T26" i="15"/>
  <c r="AG25" i="15"/>
  <c r="AE25" i="15"/>
  <c r="AD25" i="15"/>
  <c r="AC25" i="15"/>
  <c r="AB25" i="15"/>
  <c r="Y25" i="15"/>
  <c r="U25" i="15"/>
  <c r="T25" i="15"/>
  <c r="AG24" i="15"/>
  <c r="AE24" i="15"/>
  <c r="AD24" i="15"/>
  <c r="AC24" i="15"/>
  <c r="Z24" i="15"/>
  <c r="Y24" i="15"/>
  <c r="U24" i="15"/>
  <c r="AE23" i="15"/>
  <c r="AD23" i="15"/>
  <c r="AC23" i="15"/>
  <c r="AB23" i="15"/>
  <c r="Y23" i="15"/>
  <c r="T23" i="15"/>
  <c r="AE22" i="15"/>
  <c r="AD22" i="15"/>
  <c r="AC22" i="15"/>
  <c r="AB22" i="15"/>
  <c r="AA22" i="15"/>
  <c r="Z22" i="15"/>
  <c r="T22" i="15"/>
  <c r="AE21" i="15"/>
  <c r="AD21" i="15"/>
  <c r="AC21" i="15"/>
  <c r="AB21" i="15"/>
  <c r="AA21" i="15"/>
  <c r="Z21" i="15"/>
  <c r="Y21" i="15"/>
  <c r="W21" i="15"/>
  <c r="T21" i="15"/>
  <c r="AE20" i="15"/>
  <c r="AD20" i="15"/>
  <c r="AC20" i="15"/>
  <c r="AA20" i="15"/>
  <c r="Z20" i="15"/>
  <c r="Y20" i="15"/>
  <c r="T20" i="15"/>
  <c r="AE19" i="15"/>
  <c r="AD19" i="15"/>
  <c r="AC19" i="15"/>
  <c r="AA19" i="15"/>
  <c r="Z19" i="15"/>
  <c r="V19" i="15"/>
  <c r="U19" i="15"/>
  <c r="T19" i="15"/>
  <c r="AE18" i="15"/>
  <c r="AD18" i="15"/>
  <c r="AC18" i="15"/>
  <c r="AA18" i="15"/>
  <c r="T18" i="15"/>
  <c r="AG17" i="15"/>
  <c r="AE17" i="15"/>
  <c r="AD17" i="15"/>
  <c r="T17" i="15"/>
  <c r="AE16" i="15"/>
  <c r="AD16" i="15"/>
  <c r="AC16" i="15"/>
  <c r="AB16" i="15"/>
  <c r="AA16" i="15"/>
  <c r="Z16" i="15"/>
  <c r="T16" i="15"/>
  <c r="AE15" i="15"/>
  <c r="AD15" i="15"/>
  <c r="AC15" i="15"/>
  <c r="Z15" i="15"/>
  <c r="V15" i="15"/>
  <c r="T15" i="15"/>
  <c r="AG14" i="15"/>
  <c r="AE14" i="15"/>
  <c r="AD14" i="15"/>
  <c r="AC14" i="15"/>
  <c r="Z14" i="15"/>
  <c r="Y14" i="15"/>
  <c r="T14" i="15"/>
  <c r="AE13" i="15"/>
  <c r="AD13" i="15"/>
  <c r="AC13" i="15"/>
  <c r="AB13" i="15"/>
  <c r="AA13" i="15"/>
  <c r="Z13" i="15"/>
  <c r="T13" i="15"/>
  <c r="AG12" i="15"/>
  <c r="AE12" i="15"/>
  <c r="AD12" i="15"/>
  <c r="AC12" i="15"/>
  <c r="AB12" i="15"/>
  <c r="AA12" i="15"/>
  <c r="Z12" i="15"/>
  <c r="X12" i="15"/>
  <c r="W12" i="15"/>
  <c r="U12" i="15"/>
  <c r="T12" i="15"/>
  <c r="AE11" i="15"/>
  <c r="AD11" i="15"/>
  <c r="AC11" i="15"/>
  <c r="AB11" i="15"/>
  <c r="AA11" i="15"/>
  <c r="Z11" i="15"/>
  <c r="V11" i="15"/>
  <c r="T11" i="15"/>
  <c r="AE10" i="15"/>
  <c r="AD10" i="15"/>
  <c r="AC10" i="15"/>
  <c r="AA10" i="15"/>
  <c r="AE9" i="15"/>
  <c r="AD9" i="15"/>
  <c r="AC9" i="15"/>
  <c r="AB9" i="15"/>
  <c r="AA9" i="15"/>
  <c r="Z9" i="15"/>
  <c r="Y9" i="15"/>
  <c r="V9" i="15"/>
  <c r="T9" i="15"/>
  <c r="AE8" i="15"/>
  <c r="AD8" i="15"/>
  <c r="AC8" i="15"/>
  <c r="Y8" i="15"/>
  <c r="T8" i="15"/>
  <c r="AE7" i="15"/>
  <c r="AC7" i="15"/>
  <c r="AA7" i="15"/>
  <c r="Z7" i="15"/>
  <c r="W7" i="15"/>
  <c r="T7" i="15"/>
  <c r="AG6" i="15"/>
  <c r="AE6" i="15"/>
  <c r="AD6" i="15"/>
  <c r="AC6" i="15"/>
  <c r="AB6" i="15"/>
  <c r="AA6" i="15"/>
  <c r="Y6" i="15"/>
  <c r="U6" i="15"/>
  <c r="T6" i="15"/>
  <c r="M17" i="24" l="1"/>
  <c r="M20" i="24"/>
  <c r="M28" i="24"/>
  <c r="M37" i="24"/>
  <c r="M45" i="24"/>
  <c r="M53" i="24"/>
  <c r="M61" i="24"/>
  <c r="M69" i="24"/>
  <c r="M23" i="24"/>
  <c r="M31" i="24"/>
  <c r="M15" i="24"/>
  <c r="M18" i="24"/>
  <c r="M26" i="24"/>
  <c r="M43" i="24"/>
  <c r="M51" i="24"/>
  <c r="M21" i="24"/>
  <c r="M29" i="24"/>
  <c r="M35" i="24"/>
  <c r="M38" i="24"/>
  <c r="M46" i="24"/>
  <c r="M54" i="24"/>
  <c r="M13" i="24"/>
  <c r="M24" i="24"/>
  <c r="M32" i="24"/>
  <c r="M41" i="24"/>
  <c r="M49" i="24"/>
  <c r="M57" i="24"/>
  <c r="M65" i="24"/>
  <c r="M73" i="24"/>
  <c r="M22" i="24"/>
  <c r="M30" i="24"/>
  <c r="M33" i="24"/>
  <c r="M36" i="24"/>
  <c r="M39" i="24"/>
  <c r="M47" i="24"/>
  <c r="M55" i="24"/>
  <c r="M63" i="24"/>
  <c r="M14" i="24"/>
  <c r="M25" i="24"/>
  <c r="T792" i="1"/>
  <c r="E11" i="102"/>
  <c r="M11" i="24"/>
  <c r="M12" i="24"/>
  <c r="M8" i="24"/>
  <c r="M9" i="24"/>
  <c r="M10" i="24"/>
  <c r="M3" i="24"/>
  <c r="M4" i="24"/>
  <c r="M5" i="24"/>
  <c r="M6" i="24"/>
  <c r="M7" i="24"/>
  <c r="L415" i="24"/>
  <c r="N415" i="24" s="1"/>
  <c r="M415" i="24"/>
  <c r="Q1095" i="1"/>
  <c r="Q1099" i="1"/>
  <c r="P971" i="1"/>
  <c r="R700" i="1"/>
  <c r="S700" i="1" s="1"/>
  <c r="AC33" i="15" s="1"/>
  <c r="R661" i="1"/>
  <c r="S661" i="1" s="1"/>
  <c r="R570" i="1"/>
  <c r="S570" i="1" s="1"/>
  <c r="R250" i="1"/>
  <c r="S250" i="1" s="1"/>
  <c r="R118" i="1"/>
  <c r="S118" i="1" s="1"/>
  <c r="R506" i="1"/>
  <c r="S506" i="1" s="1"/>
  <c r="R787" i="1"/>
  <c r="S787" i="1" s="1"/>
  <c r="R766" i="1"/>
  <c r="S766" i="1" s="1"/>
  <c r="R564" i="1"/>
  <c r="S564" i="1" s="1"/>
  <c r="R724" i="1"/>
  <c r="S724" i="1" s="1"/>
  <c r="R471" i="1"/>
  <c r="S471" i="1" s="1"/>
  <c r="R701" i="1"/>
  <c r="S701" i="1" s="1"/>
  <c r="R468" i="1"/>
  <c r="S468" i="1" s="1"/>
  <c r="R460" i="1"/>
  <c r="S460" i="1" s="1"/>
  <c r="R25" i="1"/>
  <c r="S25" i="1" s="1"/>
  <c r="H39" i="1" s="1"/>
  <c r="R39" i="1" s="1"/>
  <c r="S39" i="1" s="1"/>
  <c r="R833" i="1"/>
  <c r="S833" i="1" s="1"/>
  <c r="R619" i="1"/>
  <c r="S619" i="1" s="1"/>
  <c r="R301" i="1"/>
  <c r="S301" i="1" s="1"/>
  <c r="R861" i="1"/>
  <c r="S861" i="1" s="1"/>
  <c r="R497" i="1"/>
  <c r="S497" i="1" s="1"/>
  <c r="R634" i="1"/>
  <c r="S634" i="1" s="1"/>
  <c r="R512" i="1"/>
  <c r="S512" i="1" s="1"/>
  <c r="AG23" i="15" s="1"/>
  <c r="R486" i="1"/>
  <c r="S486" i="1" s="1"/>
  <c r="R290" i="1"/>
  <c r="S290" i="1" s="1"/>
  <c r="T512" i="1"/>
  <c r="AQ70" i="1"/>
  <c r="AQ349" i="1"/>
  <c r="AQ298" i="1"/>
  <c r="AQ314" i="1"/>
  <c r="AQ252" i="1"/>
  <c r="AQ497" i="1"/>
  <c r="AQ837" i="1"/>
  <c r="AQ36" i="1"/>
  <c r="AQ42" i="1"/>
  <c r="AQ502" i="1"/>
  <c r="AQ855" i="1"/>
  <c r="AQ299" i="1"/>
  <c r="AQ592" i="1"/>
  <c r="AQ501" i="1"/>
  <c r="AQ250" i="1"/>
  <c r="AQ33" i="1"/>
  <c r="AQ41" i="1"/>
  <c r="AQ35" i="1"/>
  <c r="AQ257" i="1"/>
  <c r="AQ256" i="1"/>
  <c r="AQ262" i="1"/>
  <c r="AQ261" i="1"/>
  <c r="AQ303" i="1"/>
  <c r="AQ309" i="1"/>
  <c r="AQ290" i="1"/>
  <c r="AQ260" i="1"/>
  <c r="AQ500" i="1"/>
  <c r="AQ255" i="1"/>
  <c r="AQ494" i="1"/>
  <c r="AQ622" i="1"/>
  <c r="AQ489" i="1"/>
  <c r="AQ729" i="1"/>
  <c r="AQ245" i="1"/>
  <c r="AQ480" i="1"/>
  <c r="AQ29" i="1"/>
  <c r="AQ48" i="1"/>
  <c r="AQ619" i="1"/>
  <c r="AQ25" i="1"/>
  <c r="AQ727" i="1"/>
  <c r="AQ496" i="1"/>
  <c r="AQ477" i="1"/>
  <c r="AQ296" i="1"/>
  <c r="AQ292" i="1"/>
  <c r="AQ246" i="1"/>
  <c r="AQ244" i="1"/>
  <c r="AQ750" i="1"/>
  <c r="AQ621" i="1"/>
  <c r="AQ26" i="1"/>
  <c r="AQ488" i="1"/>
  <c r="AQ283" i="1"/>
  <c r="AQ834" i="1"/>
  <c r="AQ301" i="1"/>
  <c r="AQ300" i="1"/>
  <c r="AQ133" i="1"/>
  <c r="AQ483" i="1"/>
  <c r="AQ770" i="1"/>
  <c r="AQ288" i="1"/>
  <c r="AQ482" i="1"/>
  <c r="AQ769" i="1"/>
  <c r="AQ791" i="1"/>
  <c r="AQ826" i="1"/>
  <c r="AQ163" i="1"/>
  <c r="AQ295" i="1"/>
  <c r="AQ254" i="1"/>
  <c r="AQ291" i="1"/>
  <c r="AQ302" i="1"/>
  <c r="AQ136" i="1"/>
  <c r="AQ30" i="1"/>
  <c r="AQ318" i="1"/>
  <c r="AQ266" i="1"/>
  <c r="AQ524" i="1"/>
  <c r="AQ852" i="1"/>
  <c r="AQ797" i="1"/>
  <c r="AQ28" i="1"/>
  <c r="AQ487" i="1"/>
  <c r="AQ789" i="1"/>
  <c r="AQ776" i="1"/>
  <c r="AQ27" i="1"/>
  <c r="AQ426" i="1"/>
  <c r="AQ284" i="1"/>
  <c r="AQ835" i="1"/>
  <c r="AQ498" i="1"/>
  <c r="AQ836" i="1"/>
  <c r="AQ470" i="1"/>
  <c r="AQ132" i="1"/>
  <c r="AQ676" i="1"/>
  <c r="AQ71" i="1"/>
  <c r="AQ321" i="1"/>
  <c r="AQ469" i="1"/>
  <c r="AQ623" i="1"/>
  <c r="AQ323" i="1"/>
  <c r="AQ307" i="1"/>
  <c r="AQ833" i="1"/>
  <c r="AQ31" i="1"/>
  <c r="AQ287" i="1"/>
  <c r="AQ429" i="1"/>
  <c r="AQ499" i="1"/>
  <c r="AQ649" i="1"/>
  <c r="AQ746" i="1"/>
  <c r="AQ382" i="1"/>
  <c r="AQ766" i="1"/>
  <c r="AQ11" i="1"/>
  <c r="AQ527" i="1"/>
  <c r="AQ235" i="1"/>
  <c r="AC17" i="15"/>
  <c r="AD38" i="15"/>
  <c r="AQ1118" i="1"/>
  <c r="AQ1046" i="1"/>
  <c r="AQ236" i="1"/>
  <c r="AQ1053" i="1"/>
  <c r="AQ1044" i="1"/>
  <c r="AQ1114" i="1"/>
  <c r="AQ1105" i="1"/>
  <c r="AQ1013" i="1"/>
  <c r="AQ1119" i="1"/>
  <c r="AQ1117" i="1"/>
  <c r="AQ893" i="1"/>
  <c r="P477" i="1"/>
  <c r="R477" i="1" s="1"/>
  <c r="S477" i="1" s="1"/>
  <c r="P467" i="1"/>
  <c r="R467" i="1" s="1"/>
  <c r="S467" i="1" s="1"/>
  <c r="Q467" i="1"/>
  <c r="T467" i="1" s="1"/>
  <c r="Q1077" i="1"/>
  <c r="T1076" i="1" s="1"/>
  <c r="P1077" i="1"/>
  <c r="Q1003" i="1"/>
  <c r="P1003" i="1"/>
  <c r="Q996" i="1"/>
  <c r="P996" i="1"/>
  <c r="Q988" i="1"/>
  <c r="P988" i="1"/>
  <c r="Q973" i="1"/>
  <c r="P973" i="1"/>
  <c r="Q968" i="1"/>
  <c r="P968" i="1"/>
  <c r="Q967" i="1"/>
  <c r="P967" i="1"/>
  <c r="Q966" i="1"/>
  <c r="P966" i="1"/>
  <c r="Q961" i="1"/>
  <c r="P961" i="1"/>
  <c r="Q958" i="1"/>
  <c r="P958" i="1"/>
  <c r="Q957" i="1"/>
  <c r="P957" i="1"/>
  <c r="Q947" i="1"/>
  <c r="P947" i="1"/>
  <c r="Q946" i="1"/>
  <c r="P946" i="1"/>
  <c r="Q945" i="1"/>
  <c r="P945" i="1"/>
  <c r="Q943" i="1"/>
  <c r="P943" i="1"/>
  <c r="Q942" i="1"/>
  <c r="P942" i="1"/>
  <c r="Q941" i="1"/>
  <c r="P941" i="1"/>
  <c r="Q939" i="1"/>
  <c r="P939" i="1"/>
  <c r="Q938" i="1"/>
  <c r="P938" i="1"/>
  <c r="Q928" i="1"/>
  <c r="P928" i="1"/>
  <c r="Q881" i="1"/>
  <c r="T875" i="1" s="1"/>
  <c r="P881" i="1"/>
  <c r="Q874" i="1"/>
  <c r="T874" i="1" s="1"/>
  <c r="P874" i="1"/>
  <c r="R874" i="1" s="1"/>
  <c r="S874" i="1" s="1"/>
  <c r="Q870" i="1"/>
  <c r="T870" i="1" s="1"/>
  <c r="P870" i="1"/>
  <c r="R870" i="1" s="1"/>
  <c r="S870" i="1" s="1"/>
  <c r="Q868" i="1"/>
  <c r="P868" i="1"/>
  <c r="Q867" i="1"/>
  <c r="P867" i="1"/>
  <c r="Q863" i="1"/>
  <c r="P863" i="1"/>
  <c r="Q858" i="1"/>
  <c r="T858" i="1" s="1"/>
  <c r="P858" i="1"/>
  <c r="R858" i="1" s="1"/>
  <c r="S858" i="1" s="1"/>
  <c r="Q857" i="1"/>
  <c r="T857" i="1" s="1"/>
  <c r="P857" i="1"/>
  <c r="R857" i="1" s="1"/>
  <c r="S857" i="1" s="1"/>
  <c r="Q832" i="1"/>
  <c r="T832" i="1" s="1"/>
  <c r="P832" i="1"/>
  <c r="R832" i="1" s="1"/>
  <c r="S832" i="1" s="1"/>
  <c r="Q811" i="1"/>
  <c r="T811" i="1" s="1"/>
  <c r="P811" i="1"/>
  <c r="R811" i="1" s="1"/>
  <c r="S811" i="1" s="1"/>
  <c r="Q809" i="1"/>
  <c r="P809" i="1"/>
  <c r="Q808" i="1"/>
  <c r="P808" i="1"/>
  <c r="Q807" i="1"/>
  <c r="P807" i="1"/>
  <c r="Q806" i="1"/>
  <c r="P806" i="1"/>
  <c r="Q779" i="1"/>
  <c r="P779" i="1"/>
  <c r="Q778" i="1"/>
  <c r="P778" i="1"/>
  <c r="Q777" i="1"/>
  <c r="P777" i="1"/>
  <c r="Q776" i="1"/>
  <c r="T776" i="1" s="1"/>
  <c r="P776" i="1"/>
  <c r="R776" i="1" s="1"/>
  <c r="S776" i="1" s="1"/>
  <c r="Q773" i="1"/>
  <c r="P773" i="1"/>
  <c r="Q772" i="1"/>
  <c r="P772" i="1"/>
  <c r="Q762" i="1"/>
  <c r="T762" i="1" s="1"/>
  <c r="P762" i="1"/>
  <c r="R762" i="1" s="1"/>
  <c r="S762" i="1" s="1"/>
  <c r="Q743" i="1"/>
  <c r="P743" i="1"/>
  <c r="Q742" i="1"/>
  <c r="P742" i="1"/>
  <c r="Q741" i="1"/>
  <c r="P741" i="1"/>
  <c r="Q740" i="1"/>
  <c r="P740" i="1"/>
  <c r="Q736" i="1"/>
  <c r="P736" i="1"/>
  <c r="Q735" i="1"/>
  <c r="P735" i="1"/>
  <c r="Q710" i="1"/>
  <c r="P710" i="1"/>
  <c r="R710" i="1" s="1"/>
  <c r="S710" i="1" s="1"/>
  <c r="Q695" i="1"/>
  <c r="T695" i="1" s="1"/>
  <c r="P695" i="1"/>
  <c r="R695" i="1" s="1"/>
  <c r="S695" i="1" s="1"/>
  <c r="Q693" i="1"/>
  <c r="P693" i="1"/>
  <c r="Q691" i="1"/>
  <c r="P691" i="1"/>
  <c r="Q690" i="1"/>
  <c r="P690" i="1"/>
  <c r="Q689" i="1"/>
  <c r="P689" i="1"/>
  <c r="Q687" i="1"/>
  <c r="P687" i="1"/>
  <c r="Q686" i="1"/>
  <c r="P686" i="1"/>
  <c r="Q684" i="1"/>
  <c r="P684" i="1"/>
  <c r="Q659" i="1"/>
  <c r="T659" i="1" s="1"/>
  <c r="P659" i="1"/>
  <c r="R659" i="1" s="1"/>
  <c r="S659" i="1" s="1"/>
  <c r="Q657" i="1"/>
  <c r="P657" i="1"/>
  <c r="Q656" i="1"/>
  <c r="P656" i="1"/>
  <c r="Q653" i="1"/>
  <c r="P653" i="1"/>
  <c r="Q650" i="1"/>
  <c r="P650" i="1"/>
  <c r="Q649" i="1"/>
  <c r="P649" i="1"/>
  <c r="Q648" i="1"/>
  <c r="P648" i="1"/>
  <c r="Q647" i="1"/>
  <c r="P647" i="1"/>
  <c r="Q646" i="1"/>
  <c r="P646" i="1"/>
  <c r="Q645" i="1"/>
  <c r="P645" i="1"/>
  <c r="Q644" i="1"/>
  <c r="T643" i="1" s="1"/>
  <c r="P644" i="1"/>
  <c r="R643" i="1" s="1"/>
  <c r="S643" i="1" s="1"/>
  <c r="Q642" i="1"/>
  <c r="T642" i="1" s="1"/>
  <c r="P642" i="1"/>
  <c r="R642" i="1" s="1"/>
  <c r="S642" i="1" s="1"/>
  <c r="Q641" i="1"/>
  <c r="T641" i="1" s="1"/>
  <c r="P641" i="1"/>
  <c r="R641" i="1" s="1"/>
  <c r="S641" i="1" s="1"/>
  <c r="Q630" i="1"/>
  <c r="P630" i="1"/>
  <c r="Q629" i="1"/>
  <c r="P629" i="1"/>
  <c r="Q628" i="1"/>
  <c r="P628" i="1"/>
  <c r="Q611" i="1"/>
  <c r="T611" i="1" s="1"/>
  <c r="P611" i="1"/>
  <c r="R611" i="1" s="1"/>
  <c r="S611" i="1" s="1"/>
  <c r="Q607" i="1"/>
  <c r="P607" i="1"/>
  <c r="Q606" i="1"/>
  <c r="P606" i="1"/>
  <c r="Q605" i="1"/>
  <c r="P605" i="1"/>
  <c r="Q604" i="1"/>
  <c r="P604" i="1"/>
  <c r="Q603" i="1"/>
  <c r="P603" i="1"/>
  <c r="Q602" i="1"/>
  <c r="P602" i="1"/>
  <c r="Q601" i="1"/>
  <c r="P601" i="1"/>
  <c r="Q600" i="1"/>
  <c r="P600" i="1"/>
  <c r="Q599" i="1"/>
  <c r="P599" i="1"/>
  <c r="Q598" i="1"/>
  <c r="P598" i="1"/>
  <c r="Q597" i="1"/>
  <c r="P597" i="1"/>
  <c r="Q596" i="1"/>
  <c r="P596" i="1"/>
  <c r="Q595" i="1"/>
  <c r="P595" i="1"/>
  <c r="Q585" i="1"/>
  <c r="P585" i="1"/>
  <c r="Q584" i="1"/>
  <c r="P584" i="1"/>
  <c r="Q556" i="1"/>
  <c r="T556" i="1" s="1"/>
  <c r="P556" i="1"/>
  <c r="Q549" i="1"/>
  <c r="T549" i="1" s="1"/>
  <c r="P549" i="1"/>
  <c r="R549" i="1" s="1"/>
  <c r="S549" i="1" s="1"/>
  <c r="Q548" i="1"/>
  <c r="P548" i="1"/>
  <c r="Q547" i="1"/>
  <c r="P547" i="1"/>
  <c r="Q539" i="1"/>
  <c r="P539" i="1"/>
  <c r="Q538" i="1"/>
  <c r="P538" i="1"/>
  <c r="Q459" i="1"/>
  <c r="P459" i="1"/>
  <c r="Q458" i="1"/>
  <c r="P458" i="1"/>
  <c r="Q457" i="1"/>
  <c r="P457" i="1"/>
  <c r="Q333" i="1"/>
  <c r="T333" i="1" s="1"/>
  <c r="P333" i="1"/>
  <c r="R333" i="1" s="1"/>
  <c r="S333" i="1" s="1"/>
  <c r="Q330" i="1"/>
  <c r="T330" i="1" s="1"/>
  <c r="P330" i="1"/>
  <c r="R330" i="1" s="1"/>
  <c r="S330" i="1" s="1"/>
  <c r="Q329" i="1"/>
  <c r="P329" i="1"/>
  <c r="Q321" i="1"/>
  <c r="P321" i="1"/>
  <c r="Q318" i="1"/>
  <c r="P318" i="1"/>
  <c r="Q246" i="1"/>
  <c r="P246" i="1"/>
  <c r="Q244" i="1"/>
  <c r="P244" i="1"/>
  <c r="Q234" i="1"/>
  <c r="P234" i="1"/>
  <c r="Q233" i="1"/>
  <c r="P233" i="1"/>
  <c r="Q231" i="1"/>
  <c r="P231" i="1"/>
  <c r="Q205" i="1"/>
  <c r="P205" i="1"/>
  <c r="Q187" i="1"/>
  <c r="P187" i="1"/>
  <c r="Q186" i="1"/>
  <c r="P186" i="1"/>
  <c r="Q172" i="1"/>
  <c r="T172" i="1" s="1"/>
  <c r="P172" i="1"/>
  <c r="R172" i="1" s="1"/>
  <c r="S172" i="1" s="1"/>
  <c r="Q171" i="1"/>
  <c r="P171" i="1"/>
  <c r="Q170" i="1"/>
  <c r="P170" i="1"/>
  <c r="Q160" i="1"/>
  <c r="T160" i="1" s="1"/>
  <c r="P160" i="1"/>
  <c r="R160" i="1" s="1"/>
  <c r="S160" i="1" s="1"/>
  <c r="Q151" i="1"/>
  <c r="P151" i="1"/>
  <c r="Q114" i="1"/>
  <c r="P114" i="1"/>
  <c r="Q112" i="1"/>
  <c r="P112" i="1"/>
  <c r="Q111" i="1"/>
  <c r="P111" i="1"/>
  <c r="Q109" i="1"/>
  <c r="T109" i="1" s="1"/>
  <c r="P109" i="1"/>
  <c r="R109" i="1" s="1"/>
  <c r="S109" i="1" s="1"/>
  <c r="Q105" i="1"/>
  <c r="P105" i="1"/>
  <c r="Q104" i="1"/>
  <c r="P104" i="1"/>
  <c r="Q99" i="1"/>
  <c r="P99" i="1"/>
  <c r="Q97" i="1"/>
  <c r="P97" i="1"/>
  <c r="Q96" i="1"/>
  <c r="P96" i="1"/>
  <c r="Q77" i="1"/>
  <c r="P77" i="1"/>
  <c r="Q76" i="1"/>
  <c r="P76" i="1"/>
  <c r="Q58" i="1"/>
  <c r="P58" i="1"/>
  <c r="Q57" i="1"/>
  <c r="P57" i="1"/>
  <c r="Q56" i="1"/>
  <c r="P56" i="1"/>
  <c r="Q46" i="1"/>
  <c r="P46" i="1"/>
  <c r="Q45" i="1"/>
  <c r="P45" i="1"/>
  <c r="Q44" i="1"/>
  <c r="P44" i="1"/>
  <c r="Q43" i="1"/>
  <c r="P43" i="1"/>
  <c r="Q20" i="1"/>
  <c r="P20" i="1"/>
  <c r="Q19" i="1"/>
  <c r="P19" i="1"/>
  <c r="AE47" i="15"/>
  <c r="AT2" i="1"/>
  <c r="G10" i="105" s="1"/>
  <c r="G409" i="24"/>
  <c r="G58" i="24"/>
  <c r="E58" i="24"/>
  <c r="AJ1071" i="1" s="1"/>
  <c r="G29" i="104" l="1"/>
  <c r="G52" i="105"/>
  <c r="H10" i="105"/>
  <c r="G66" i="104"/>
  <c r="H66" i="104" s="1"/>
  <c r="H47" i="105"/>
  <c r="G47" i="104"/>
  <c r="H47" i="104" s="1"/>
  <c r="H28" i="105"/>
  <c r="G48" i="104"/>
  <c r="H48" i="104" s="1"/>
  <c r="H29" i="105"/>
  <c r="G43" i="104"/>
  <c r="H43" i="104" s="1"/>
  <c r="H24" i="105"/>
  <c r="D12" i="102"/>
  <c r="T961" i="1"/>
  <c r="AQ663" i="1"/>
  <c r="AQ69" i="1"/>
  <c r="AQ380" i="1"/>
  <c r="AQ374" i="1"/>
  <c r="AQ408" i="1"/>
  <c r="T170" i="1"/>
  <c r="AQ22" i="1"/>
  <c r="AQ745" i="1"/>
  <c r="AQ116" i="1"/>
  <c r="AQ65" i="1"/>
  <c r="AQ107" i="1"/>
  <c r="AQ1087" i="1"/>
  <c r="AQ987" i="1"/>
  <c r="AQ963" i="1"/>
  <c r="AQ362" i="1"/>
  <c r="AQ634" i="1"/>
  <c r="AQ879" i="1"/>
  <c r="AQ655" i="1"/>
  <c r="AQ654" i="1"/>
  <c r="AQ1090" i="1"/>
  <c r="AQ1001" i="1"/>
  <c r="AQ115" i="1"/>
  <c r="AQ1123" i="1"/>
  <c r="AQ1125" i="1"/>
  <c r="AQ222" i="1"/>
  <c r="AL1071" i="1"/>
  <c r="AK1071" i="1"/>
  <c r="R547" i="1"/>
  <c r="S547" i="1" s="1"/>
  <c r="T547" i="1"/>
  <c r="T772" i="1"/>
  <c r="T19" i="1"/>
  <c r="R628" i="1"/>
  <c r="S628" i="1" s="1"/>
  <c r="R653" i="1"/>
  <c r="S653" i="1" s="1"/>
  <c r="R741" i="1"/>
  <c r="S741" i="1" s="1"/>
  <c r="R772" i="1"/>
  <c r="S772" i="1" s="1"/>
  <c r="T628" i="1"/>
  <c r="T653" i="1"/>
  <c r="T741" i="1"/>
  <c r="R76" i="1"/>
  <c r="S76" i="1" s="1"/>
  <c r="R645" i="1"/>
  <c r="S645" i="1" s="1"/>
  <c r="T76" i="1"/>
  <c r="T645" i="1"/>
  <c r="R43" i="1"/>
  <c r="S43" i="1" s="1"/>
  <c r="R170" i="1"/>
  <c r="S170" i="1" s="1"/>
  <c r="R457" i="1"/>
  <c r="S457" i="1" s="1"/>
  <c r="R104" i="1"/>
  <c r="S104" i="1" s="1"/>
  <c r="R777" i="1"/>
  <c r="S777" i="1" s="1"/>
  <c r="T43" i="1"/>
  <c r="T104" i="1"/>
  <c r="T457" i="1"/>
  <c r="T777" i="1"/>
  <c r="AQ721" i="1"/>
  <c r="AQ950" i="1"/>
  <c r="AQ1088" i="1"/>
  <c r="AQ1014" i="1"/>
  <c r="AQ1102" i="1"/>
  <c r="AQ1155" i="1"/>
  <c r="AQ1132" i="1"/>
  <c r="AQ1048" i="1"/>
  <c r="AQ1018" i="1"/>
  <c r="AQ21" i="1"/>
  <c r="AQ317" i="1"/>
  <c r="AQ1032" i="1"/>
  <c r="AQ1058" i="1"/>
  <c r="AQ1161" i="1"/>
  <c r="AQ1063" i="1"/>
  <c r="AQ660" i="1"/>
  <c r="AQ891" i="1"/>
  <c r="AQ1061" i="1"/>
  <c r="AQ1140" i="1"/>
  <c r="AQ1147" i="1"/>
  <c r="AQ1158" i="1"/>
  <c r="AQ965" i="1"/>
  <c r="AQ1021" i="1"/>
  <c r="AQ1141" i="1"/>
  <c r="AQ416" i="1"/>
  <c r="AC38" i="15"/>
  <c r="AD7" i="15"/>
  <c r="AD47" i="15" s="1"/>
  <c r="C15" i="100" s="1"/>
  <c r="AC26" i="15"/>
  <c r="H52" i="105" l="1"/>
  <c r="H53" i="105" s="1"/>
  <c r="G53" i="105"/>
  <c r="G51" i="105"/>
  <c r="H51" i="105"/>
  <c r="G68" i="104"/>
  <c r="H29" i="104"/>
  <c r="AQ1081" i="1"/>
  <c r="AQ444" i="1"/>
  <c r="AQ813" i="1"/>
  <c r="AQ875" i="1"/>
  <c r="AQ544" i="1"/>
  <c r="AQ565" i="1"/>
  <c r="AQ439" i="1"/>
  <c r="AQ8" i="1"/>
  <c r="AQ1092" i="1"/>
  <c r="AQ9" i="1"/>
  <c r="AQ428" i="1"/>
  <c r="AQ399" i="1"/>
  <c r="AQ7" i="1"/>
  <c r="AQ805" i="1"/>
  <c r="AQ1183" i="1"/>
  <c r="AQ1073" i="1"/>
  <c r="AQ970" i="1"/>
  <c r="AQ981" i="1"/>
  <c r="AQ1008" i="1"/>
  <c r="AQ267" i="1"/>
  <c r="AQ68" i="1"/>
  <c r="AQ994" i="1"/>
  <c r="AQ1002" i="1"/>
  <c r="AQ226" i="1"/>
  <c r="AQ531" i="1"/>
  <c r="AQ949" i="1"/>
  <c r="AQ960" i="1"/>
  <c r="AQ964" i="1"/>
  <c r="AQ1089" i="1"/>
  <c r="AQ969" i="1"/>
  <c r="AQ545" i="1"/>
  <c r="AQ722" i="1"/>
  <c r="AQ1085" i="1"/>
  <c r="AQ1034" i="1"/>
  <c r="AQ5" i="1"/>
  <c r="AQ53" i="1"/>
  <c r="AQ89" i="1"/>
  <c r="AQ94" i="1"/>
  <c r="AQ4" i="1"/>
  <c r="AQ40" i="1"/>
  <c r="AQ52" i="1"/>
  <c r="AQ93" i="1"/>
  <c r="AQ131" i="1"/>
  <c r="AQ137" i="1"/>
  <c r="AQ23" i="1"/>
  <c r="AQ39" i="1"/>
  <c r="AQ47" i="1"/>
  <c r="AQ51" i="1"/>
  <c r="AQ59" i="1"/>
  <c r="AQ75" i="1"/>
  <c r="AQ79" i="1"/>
  <c r="AQ83" i="1"/>
  <c r="AQ87" i="1"/>
  <c r="AQ92" i="1"/>
  <c r="AQ125" i="1"/>
  <c r="AQ130" i="1"/>
  <c r="AQ173" i="1"/>
  <c r="AQ178" i="1"/>
  <c r="AQ183" i="1"/>
  <c r="AQ188" i="1"/>
  <c r="AQ193" i="1"/>
  <c r="AQ6" i="1"/>
  <c r="AQ34" i="1"/>
  <c r="AQ38" i="1"/>
  <c r="AQ54" i="1"/>
  <c r="AQ74" i="1"/>
  <c r="AQ78" i="1"/>
  <c r="AQ82" i="1"/>
  <c r="AQ86" i="1"/>
  <c r="AQ91" i="1"/>
  <c r="AQ129" i="1"/>
  <c r="AQ90" i="1"/>
  <c r="AQ123" i="1"/>
  <c r="AQ127" i="1"/>
  <c r="AQ138" i="1"/>
  <c r="AQ210" i="1"/>
  <c r="AQ249" i="1"/>
  <c r="AQ265" i="1"/>
  <c r="AQ278" i="1"/>
  <c r="AQ311" i="1"/>
  <c r="AQ332" i="1"/>
  <c r="AQ345" i="1"/>
  <c r="AQ80" i="1"/>
  <c r="AQ158" i="1"/>
  <c r="AQ176" i="1"/>
  <c r="AQ180" i="1"/>
  <c r="AQ184" i="1"/>
  <c r="AQ192" i="1"/>
  <c r="AQ243" i="1"/>
  <c r="AQ248" i="1"/>
  <c r="AQ264" i="1"/>
  <c r="AQ277" i="1"/>
  <c r="AQ289" i="1"/>
  <c r="AQ325" i="1"/>
  <c r="AQ331" i="1"/>
  <c r="AQ344" i="1"/>
  <c r="AQ492" i="1"/>
  <c r="AQ511" i="1"/>
  <c r="AQ516" i="1"/>
  <c r="AQ537" i="1"/>
  <c r="AQ95" i="1"/>
  <c r="AQ126" i="1"/>
  <c r="AQ209" i="1"/>
  <c r="AQ73" i="1"/>
  <c r="AQ157" i="1"/>
  <c r="AQ162" i="1"/>
  <c r="AQ166" i="1"/>
  <c r="AQ175" i="1"/>
  <c r="AQ179" i="1"/>
  <c r="AQ191" i="1"/>
  <c r="AQ195" i="1"/>
  <c r="AQ342" i="1"/>
  <c r="AQ475" i="1"/>
  <c r="AQ491" i="1"/>
  <c r="AQ510" i="1"/>
  <c r="AQ520" i="1"/>
  <c r="AQ106" i="1"/>
  <c r="AQ190" i="1"/>
  <c r="AQ253" i="1"/>
  <c r="AQ275" i="1"/>
  <c r="AQ282" i="1"/>
  <c r="AQ341" i="1"/>
  <c r="AQ72" i="1"/>
  <c r="AQ85" i="1"/>
  <c r="AQ88" i="1"/>
  <c r="AQ161" i="1"/>
  <c r="AQ174" i="1"/>
  <c r="AQ182" i="1"/>
  <c r="AQ194" i="1"/>
  <c r="AQ81" i="1"/>
  <c r="AQ84" i="1"/>
  <c r="AQ128" i="1"/>
  <c r="AQ159" i="1"/>
  <c r="AQ164" i="1"/>
  <c r="AQ181" i="1"/>
  <c r="AQ211" i="1"/>
  <c r="AQ258" i="1"/>
  <c r="AQ280" i="1"/>
  <c r="AQ312" i="1"/>
  <c r="AQ326" i="1"/>
  <c r="AQ346" i="1"/>
  <c r="AQ493" i="1"/>
  <c r="AQ503" i="1"/>
  <c r="AQ169" i="1"/>
  <c r="AQ343" i="1"/>
  <c r="AQ456" i="1"/>
  <c r="AQ476" i="1"/>
  <c r="AQ583" i="1"/>
  <c r="AQ593" i="1"/>
  <c r="AQ608" i="1"/>
  <c r="AQ624" i="1"/>
  <c r="AQ652" i="1"/>
  <c r="AQ674" i="1"/>
  <c r="AQ696" i="1"/>
  <c r="AQ712" i="1"/>
  <c r="AQ189" i="1"/>
  <c r="AQ259" i="1"/>
  <c r="AQ451" i="1"/>
  <c r="AQ455" i="1"/>
  <c r="AQ484" i="1"/>
  <c r="AQ495" i="1"/>
  <c r="AQ546" i="1"/>
  <c r="AQ551" i="1"/>
  <c r="AQ577" i="1"/>
  <c r="AQ640" i="1"/>
  <c r="AQ667" i="1"/>
  <c r="AQ718" i="1"/>
  <c r="AQ723" i="1"/>
  <c r="AQ124" i="1"/>
  <c r="AQ263" i="1"/>
  <c r="AQ550" i="1"/>
  <c r="AQ582" i="1"/>
  <c r="AQ618" i="1"/>
  <c r="AQ673" i="1"/>
  <c r="AQ679" i="1"/>
  <c r="AQ699" i="1"/>
  <c r="AQ717" i="1"/>
  <c r="AQ733" i="1"/>
  <c r="AQ771" i="1"/>
  <c r="AQ454" i="1"/>
  <c r="AQ505" i="1"/>
  <c r="AQ581" i="1"/>
  <c r="AQ617" i="1"/>
  <c r="AQ633" i="1"/>
  <c r="AQ639" i="1"/>
  <c r="AQ666" i="1"/>
  <c r="AQ716" i="1"/>
  <c r="AQ732" i="1"/>
  <c r="AQ308" i="1"/>
  <c r="AQ478" i="1"/>
  <c r="AQ519" i="1"/>
  <c r="AQ536" i="1"/>
  <c r="AQ591" i="1"/>
  <c r="AQ627" i="1"/>
  <c r="AQ632" i="1"/>
  <c r="AQ672" i="1"/>
  <c r="AQ698" i="1"/>
  <c r="AQ715" i="1"/>
  <c r="AQ739" i="1"/>
  <c r="AQ765" i="1"/>
  <c r="AQ775" i="1"/>
  <c r="AQ817" i="1"/>
  <c r="AQ821" i="1"/>
  <c r="AQ328" i="1"/>
  <c r="AQ336" i="1"/>
  <c r="AQ453" i="1"/>
  <c r="AQ490" i="1"/>
  <c r="AQ504" i="1"/>
  <c r="AQ518" i="1"/>
  <c r="AQ535" i="1"/>
  <c r="AQ569" i="1"/>
  <c r="AQ580" i="1"/>
  <c r="AQ638" i="1"/>
  <c r="AQ669" i="1"/>
  <c r="AQ738" i="1"/>
  <c r="AQ242" i="1"/>
  <c r="AQ281" i="1"/>
  <c r="AQ327" i="1"/>
  <c r="AQ534" i="1"/>
  <c r="AQ579" i="1"/>
  <c r="AQ590" i="1"/>
  <c r="AQ594" i="1"/>
  <c r="AQ615" i="1"/>
  <c r="AQ626" i="1"/>
  <c r="AQ631" i="1"/>
  <c r="AQ637" i="1"/>
  <c r="AQ677" i="1"/>
  <c r="AQ697" i="1"/>
  <c r="AQ708" i="1"/>
  <c r="AQ714" i="1"/>
  <c r="AQ737" i="1"/>
  <c r="AQ753" i="1"/>
  <c r="AQ802" i="1"/>
  <c r="AQ276" i="1"/>
  <c r="AQ452" i="1"/>
  <c r="AQ517" i="1"/>
  <c r="AQ578" i="1"/>
  <c r="AQ625" i="1"/>
  <c r="AQ636" i="1"/>
  <c r="AQ668" i="1"/>
  <c r="AQ681" i="1"/>
  <c r="AQ713" i="1"/>
  <c r="AQ752" i="1"/>
  <c r="AQ768" i="1"/>
  <c r="AQ728" i="1"/>
  <c r="AQ820" i="1"/>
  <c r="AQ907" i="1"/>
  <c r="AQ912" i="1"/>
  <c r="AQ751" i="1"/>
  <c r="AQ801" i="1"/>
  <c r="AQ816" i="1"/>
  <c r="AQ823" i="1"/>
  <c r="AQ839" i="1"/>
  <c r="AQ843" i="1"/>
  <c r="AQ847" i="1"/>
  <c r="AQ851" i="1"/>
  <c r="AQ906" i="1"/>
  <c r="AQ919" i="1"/>
  <c r="AQ810" i="1"/>
  <c r="AQ819" i="1"/>
  <c r="AQ911" i="1"/>
  <c r="AQ918" i="1"/>
  <c r="AQ800" i="1"/>
  <c r="AQ815" i="1"/>
  <c r="AQ822" i="1"/>
  <c r="AQ830" i="1"/>
  <c r="AQ838" i="1"/>
  <c r="AQ842" i="1"/>
  <c r="AQ846" i="1"/>
  <c r="AQ850" i="1"/>
  <c r="AQ854" i="1"/>
  <c r="AQ905" i="1"/>
  <c r="AQ910" i="1"/>
  <c r="AQ1127" i="1"/>
  <c r="AQ799" i="1"/>
  <c r="AQ899" i="1"/>
  <c r="AQ904" i="1"/>
  <c r="AQ915" i="1"/>
  <c r="AQ923" i="1"/>
  <c r="AQ798" i="1"/>
  <c r="AQ841" i="1"/>
  <c r="AQ845" i="1"/>
  <c r="AQ849" i="1"/>
  <c r="AQ853" i="1"/>
  <c r="AQ909" i="1"/>
  <c r="AQ914" i="1"/>
  <c r="AQ824" i="1"/>
  <c r="AQ840" i="1"/>
  <c r="AQ844" i="1"/>
  <c r="AQ848" i="1"/>
  <c r="AQ856" i="1"/>
  <c r="AQ902" i="1"/>
  <c r="AQ913" i="1"/>
  <c r="AQ920" i="1"/>
  <c r="AQ922" i="1"/>
  <c r="AQ1167" i="1"/>
  <c r="AQ1171" i="1"/>
  <c r="AQ1176" i="1"/>
  <c r="AQ1180" i="1"/>
  <c r="AQ1185" i="1"/>
  <c r="AQ1189" i="1"/>
  <c r="AQ903" i="1"/>
  <c r="AQ1162" i="1"/>
  <c r="AQ1170" i="1"/>
  <c r="AQ1175" i="1"/>
  <c r="AQ1179" i="1"/>
  <c r="AQ1184" i="1"/>
  <c r="AQ1188" i="1"/>
  <c r="AQ1169" i="1"/>
  <c r="AQ1174" i="1"/>
  <c r="AQ1178" i="1"/>
  <c r="AQ1182" i="1"/>
  <c r="AQ1187" i="1"/>
  <c r="AQ1191" i="1"/>
  <c r="AQ908" i="1"/>
  <c r="AQ803" i="1"/>
  <c r="AQ1168" i="1"/>
  <c r="AQ1173" i="1"/>
  <c r="AQ1177" i="1"/>
  <c r="AQ1181" i="1"/>
  <c r="AQ1186" i="1"/>
  <c r="AQ1190" i="1"/>
  <c r="CR39" i="92"/>
  <c r="CR38" i="92"/>
  <c r="CR37" i="92"/>
  <c r="CR31" i="92"/>
  <c r="CR17" i="92"/>
  <c r="CN39" i="92"/>
  <c r="CN38" i="92"/>
  <c r="CN37" i="92"/>
  <c r="CN31" i="92"/>
  <c r="CN17" i="92"/>
  <c r="CJ39" i="92"/>
  <c r="CJ38" i="92"/>
  <c r="CJ37" i="92"/>
  <c r="CJ31" i="92"/>
  <c r="CJ17" i="92"/>
  <c r="CP17" i="92"/>
  <c r="CQ17" i="92"/>
  <c r="CP31" i="92"/>
  <c r="CQ31" i="92"/>
  <c r="CP37" i="92"/>
  <c r="CQ37" i="92"/>
  <c r="CP38" i="92"/>
  <c r="CQ38" i="92"/>
  <c r="CP39" i="92"/>
  <c r="CQ39" i="92"/>
  <c r="CL17" i="92"/>
  <c r="CM17" i="92"/>
  <c r="CL31" i="92"/>
  <c r="CM31" i="92"/>
  <c r="CL37" i="92"/>
  <c r="CM37" i="92"/>
  <c r="CL38" i="92"/>
  <c r="CM38" i="92"/>
  <c r="CL39" i="92"/>
  <c r="CM39" i="92"/>
  <c r="CH17" i="92"/>
  <c r="CI17" i="92"/>
  <c r="CH31" i="92"/>
  <c r="CI31" i="92"/>
  <c r="CH37" i="92"/>
  <c r="CI37" i="92"/>
  <c r="CH38" i="92"/>
  <c r="CI38" i="92"/>
  <c r="CH39" i="92"/>
  <c r="CI39" i="92"/>
  <c r="H68" i="104" l="1"/>
  <c r="AQ1113" i="1"/>
  <c r="AQ440" i="1"/>
  <c r="AQ1056" i="1"/>
  <c r="AQ2" i="1"/>
  <c r="AQ1" i="1"/>
  <c r="C27" i="65"/>
  <c r="C26" i="65"/>
  <c r="C23" i="65"/>
  <c r="F40" i="62" l="1"/>
  <c r="G40" i="62"/>
  <c r="H40" i="62"/>
  <c r="I40" i="62"/>
  <c r="J40" i="62"/>
  <c r="K40" i="62"/>
  <c r="L40" i="62"/>
  <c r="M40" i="62"/>
  <c r="N40" i="62"/>
  <c r="O40" i="62"/>
  <c r="P40" i="62"/>
  <c r="Q40" i="62"/>
  <c r="R40" i="62"/>
  <c r="S40" i="62"/>
  <c r="T40" i="62"/>
  <c r="U40" i="62"/>
  <c r="V40" i="62"/>
  <c r="W40" i="62"/>
  <c r="X40" i="62"/>
  <c r="Y40" i="62"/>
  <c r="Z40" i="62"/>
  <c r="AA40" i="62"/>
  <c r="AB40" i="62"/>
  <c r="AC40" i="62"/>
  <c r="AD40" i="62"/>
  <c r="AE40" i="62"/>
  <c r="AF40" i="62"/>
  <c r="AG40" i="62"/>
  <c r="AH40" i="62"/>
  <c r="AI40" i="62"/>
  <c r="AJ40" i="62"/>
  <c r="AK40" i="62"/>
  <c r="AL40" i="62"/>
  <c r="AM40" i="62"/>
  <c r="AN40" i="62"/>
  <c r="AO40" i="62"/>
  <c r="AP40" i="62"/>
  <c r="AQ40" i="62"/>
  <c r="AR40" i="62"/>
  <c r="AS40" i="62"/>
  <c r="AK17" i="92"/>
  <c r="E171" i="24"/>
  <c r="AJ657" i="1" s="1"/>
  <c r="O3" i="1"/>
  <c r="P3" i="1" s="1"/>
  <c r="Q3" i="1"/>
  <c r="O4" i="1"/>
  <c r="P4" i="1"/>
  <c r="Q4" i="1"/>
  <c r="O5" i="1"/>
  <c r="P5" i="1"/>
  <c r="Q5" i="1"/>
  <c r="O6" i="1"/>
  <c r="P6" i="1"/>
  <c r="Q6" i="1"/>
  <c r="O7" i="1"/>
  <c r="P7" i="1"/>
  <c r="Q7" i="1"/>
  <c r="O8" i="1"/>
  <c r="P8" i="1"/>
  <c r="Q8" i="1"/>
  <c r="O9" i="1"/>
  <c r="P9" i="1"/>
  <c r="Q9" i="1"/>
  <c r="O10" i="1"/>
  <c r="P10" i="1"/>
  <c r="Q10" i="1"/>
  <c r="O11" i="1"/>
  <c r="P11" i="1"/>
  <c r="Q11" i="1"/>
  <c r="O12" i="1"/>
  <c r="P12" i="1" s="1"/>
  <c r="O13" i="1"/>
  <c r="P13" i="1"/>
  <c r="Q13" i="1"/>
  <c r="O14" i="1"/>
  <c r="P14" i="1"/>
  <c r="Q14" i="1"/>
  <c r="O15" i="1"/>
  <c r="P15" i="1" s="1"/>
  <c r="O16" i="1"/>
  <c r="P16" i="1"/>
  <c r="Q16" i="1"/>
  <c r="O17" i="1"/>
  <c r="O18" i="1"/>
  <c r="Q18" i="1" s="1"/>
  <c r="AL657" i="1" l="1"/>
  <c r="AK657" i="1"/>
  <c r="CJ19" i="92"/>
  <c r="CN19" i="92"/>
  <c r="CR19" i="92"/>
  <c r="CN29" i="92"/>
  <c r="CR29" i="92"/>
  <c r="CJ29" i="92"/>
  <c r="CJ32" i="92"/>
  <c r="CN32" i="92"/>
  <c r="CR32" i="92"/>
  <c r="CR23" i="92"/>
  <c r="CJ23" i="92"/>
  <c r="CN23" i="92"/>
  <c r="CN28" i="92"/>
  <c r="CR28" i="92"/>
  <c r="CJ28" i="92"/>
  <c r="CJ18" i="92"/>
  <c r="CN18" i="92"/>
  <c r="CR18" i="92"/>
  <c r="CJ33" i="92"/>
  <c r="CN33" i="92"/>
  <c r="CR33" i="92"/>
  <c r="CR14" i="92"/>
  <c r="CJ14" i="92"/>
  <c r="CN14" i="92"/>
  <c r="CN12" i="92"/>
  <c r="CR12" i="92"/>
  <c r="CJ12" i="92"/>
  <c r="CN36" i="92"/>
  <c r="CR36" i="92"/>
  <c r="CJ36" i="92"/>
  <c r="CJ35" i="92"/>
  <c r="CN35" i="92"/>
  <c r="CR35" i="92"/>
  <c r="CJ11" i="92"/>
  <c r="CN11" i="92"/>
  <c r="CR11" i="92"/>
  <c r="CJ34" i="92"/>
  <c r="CN34" i="92"/>
  <c r="CR34" i="92"/>
  <c r="CR22" i="92"/>
  <c r="CJ22" i="92"/>
  <c r="CN22" i="92"/>
  <c r="CJ25" i="92"/>
  <c r="CN25" i="92"/>
  <c r="CR25" i="92"/>
  <c r="CN20" i="92"/>
  <c r="CR20" i="92"/>
  <c r="CJ20" i="92"/>
  <c r="CJ27" i="92"/>
  <c r="CN27" i="92"/>
  <c r="CR27" i="92"/>
  <c r="CN13" i="92"/>
  <c r="CR13" i="92"/>
  <c r="CJ13" i="92"/>
  <c r="CR15" i="92"/>
  <c r="CJ15" i="92"/>
  <c r="CN15" i="92"/>
  <c r="CR30" i="92"/>
  <c r="CJ30" i="92"/>
  <c r="CN30" i="92"/>
  <c r="CJ9" i="92"/>
  <c r="CN9" i="92"/>
  <c r="CR9" i="92"/>
  <c r="CJ26" i="92"/>
  <c r="CN26" i="92"/>
  <c r="CR26" i="92"/>
  <c r="CR6" i="92"/>
  <c r="CJ6" i="92"/>
  <c r="CN6" i="92"/>
  <c r="CJ24" i="92"/>
  <c r="CN24" i="92"/>
  <c r="CR24" i="92"/>
  <c r="CJ10" i="92"/>
  <c r="CN10" i="92"/>
  <c r="CR10" i="92"/>
  <c r="CL19" i="92"/>
  <c r="CP19" i="92"/>
  <c r="CQ19" i="92"/>
  <c r="CM19" i="92"/>
  <c r="CQ22" i="92"/>
  <c r="CM22" i="92"/>
  <c r="CP22" i="92"/>
  <c r="CL22" i="92"/>
  <c r="CL26" i="92"/>
  <c r="CP26" i="92"/>
  <c r="CQ26" i="92"/>
  <c r="CM26" i="92"/>
  <c r="CP23" i="92"/>
  <c r="CL23" i="92"/>
  <c r="CM23" i="92"/>
  <c r="CQ23" i="92"/>
  <c r="CP28" i="92"/>
  <c r="CL28" i="92"/>
  <c r="CQ28" i="92"/>
  <c r="CM28" i="92"/>
  <c r="CL18" i="92"/>
  <c r="CP18" i="92"/>
  <c r="CQ18" i="92"/>
  <c r="CM18" i="92"/>
  <c r="CP33" i="92"/>
  <c r="CL33" i="92"/>
  <c r="CQ33" i="92"/>
  <c r="CM33" i="92"/>
  <c r="CP4" i="92"/>
  <c r="CL4" i="92"/>
  <c r="CQ14" i="92"/>
  <c r="CM14" i="92"/>
  <c r="CP14" i="92"/>
  <c r="CL14" i="92"/>
  <c r="CP36" i="92"/>
  <c r="CL36" i="92"/>
  <c r="CQ36" i="92"/>
  <c r="CM36" i="92"/>
  <c r="CQ21" i="92"/>
  <c r="CM21" i="92"/>
  <c r="CP35" i="92"/>
  <c r="CQ35" i="92"/>
  <c r="CM35" i="92"/>
  <c r="CL35" i="92"/>
  <c r="CP29" i="92"/>
  <c r="CL29" i="92"/>
  <c r="CQ29" i="92"/>
  <c r="CM29" i="92"/>
  <c r="CL11" i="92"/>
  <c r="CP11" i="92"/>
  <c r="CQ11" i="92"/>
  <c r="CM11" i="92"/>
  <c r="CQ34" i="92"/>
  <c r="CM34" i="92"/>
  <c r="P18" i="1"/>
  <c r="CP25" i="92"/>
  <c r="CL25" i="92"/>
  <c r="CQ25" i="92"/>
  <c r="CM25" i="92"/>
  <c r="CP5" i="92"/>
  <c r="CL5" i="92"/>
  <c r="CP20" i="92"/>
  <c r="CL20" i="92"/>
  <c r="CP27" i="92"/>
  <c r="CL27" i="92"/>
  <c r="CQ27" i="92"/>
  <c r="CM27" i="92"/>
  <c r="CP32" i="92"/>
  <c r="CL32" i="92"/>
  <c r="CL3" i="92"/>
  <c r="CP3" i="92"/>
  <c r="CP13" i="92"/>
  <c r="CL13" i="92"/>
  <c r="CQ13" i="92"/>
  <c r="CM13" i="92"/>
  <c r="CP16" i="92"/>
  <c r="CL16" i="92"/>
  <c r="CP15" i="92"/>
  <c r="CL15" i="92"/>
  <c r="CQ15" i="92"/>
  <c r="CM15" i="92"/>
  <c r="CQ30" i="92"/>
  <c r="CM30" i="92"/>
  <c r="CP30" i="92"/>
  <c r="CL30" i="92"/>
  <c r="CP9" i="92"/>
  <c r="CL9" i="92"/>
  <c r="CQ6" i="92"/>
  <c r="CM6" i="92"/>
  <c r="CP6" i="92"/>
  <c r="CL6" i="92"/>
  <c r="CP24" i="92"/>
  <c r="CL24" i="92"/>
  <c r="CL10" i="92"/>
  <c r="CP10" i="92"/>
  <c r="CP8" i="92"/>
  <c r="CL8" i="92"/>
  <c r="CH11" i="92"/>
  <c r="CI11" i="92"/>
  <c r="CI34" i="92"/>
  <c r="CI26" i="92"/>
  <c r="CH26" i="92"/>
  <c r="CH22" i="92"/>
  <c r="CI22" i="92"/>
  <c r="CH19" i="92"/>
  <c r="CI19" i="92"/>
  <c r="CH29" i="92"/>
  <c r="CI29" i="92"/>
  <c r="CH32" i="92"/>
  <c r="CH4" i="92"/>
  <c r="CH23" i="92"/>
  <c r="CI23" i="92"/>
  <c r="CH28" i="92"/>
  <c r="CI28" i="92"/>
  <c r="CH18" i="92"/>
  <c r="CI18" i="92"/>
  <c r="CH33" i="92"/>
  <c r="CI33" i="92"/>
  <c r="CH14" i="92"/>
  <c r="CI14" i="92"/>
  <c r="CH25" i="92"/>
  <c r="CI25" i="92"/>
  <c r="CH5" i="92"/>
  <c r="CH20" i="92"/>
  <c r="CH27" i="92"/>
  <c r="CI27" i="92"/>
  <c r="CH36" i="92"/>
  <c r="CI36" i="92"/>
  <c r="CI21" i="92"/>
  <c r="CH35" i="92"/>
  <c r="CI35" i="92"/>
  <c r="CH3" i="92"/>
  <c r="CH13" i="92"/>
  <c r="CI13" i="92"/>
  <c r="CH16" i="92"/>
  <c r="CH15" i="92"/>
  <c r="CI15" i="92"/>
  <c r="CH30" i="92"/>
  <c r="CI30" i="92"/>
  <c r="CH9" i="92"/>
  <c r="CH6" i="92"/>
  <c r="CI6" i="92"/>
  <c r="CH24" i="92"/>
  <c r="CH10" i="92"/>
  <c r="CH8" i="92"/>
  <c r="AK4" i="92"/>
  <c r="AK9" i="92"/>
  <c r="AK13" i="92"/>
  <c r="AK6" i="92"/>
  <c r="Q15" i="1"/>
  <c r="Q12" i="1"/>
  <c r="AK3" i="92"/>
  <c r="AK14" i="92"/>
  <c r="AK11" i="92"/>
  <c r="AK12" i="92"/>
  <c r="AK16" i="92"/>
  <c r="AK10" i="92"/>
  <c r="AK8" i="92"/>
  <c r="AK15" i="92"/>
  <c r="AK5" i="92"/>
  <c r="AK18" i="92"/>
  <c r="P17" i="1"/>
  <c r="Q17" i="1"/>
  <c r="D27" i="65"/>
  <c r="D25" i="65"/>
  <c r="B40" i="62"/>
  <c r="Q37" i="95"/>
  <c r="P37" i="95"/>
  <c r="Q36" i="95"/>
  <c r="P36" i="95"/>
  <c r="Q35" i="95"/>
  <c r="P35" i="95"/>
  <c r="Q15" i="95"/>
  <c r="P15" i="95"/>
  <c r="Q34" i="95"/>
  <c r="P34" i="95"/>
  <c r="Q33" i="95"/>
  <c r="P33" i="95"/>
  <c r="Q32" i="95"/>
  <c r="P32" i="95"/>
  <c r="Q31" i="95"/>
  <c r="P31" i="95"/>
  <c r="Q30" i="95"/>
  <c r="P30" i="95"/>
  <c r="Q29" i="95"/>
  <c r="P29" i="95"/>
  <c r="Q28" i="95"/>
  <c r="P28" i="95"/>
  <c r="Q27" i="95"/>
  <c r="P27" i="95"/>
  <c r="Q26" i="95"/>
  <c r="P26" i="95"/>
  <c r="Q18" i="95"/>
  <c r="P18" i="95"/>
  <c r="Q25" i="95"/>
  <c r="P25" i="95"/>
  <c r="Q24" i="95"/>
  <c r="P24" i="95"/>
  <c r="Q6" i="95"/>
  <c r="P6" i="95"/>
  <c r="Q14" i="95"/>
  <c r="P14" i="95"/>
  <c r="Q23" i="95"/>
  <c r="P23" i="95"/>
  <c r="Q16" i="95"/>
  <c r="P16" i="95"/>
  <c r="Q22" i="95"/>
  <c r="P22" i="95"/>
  <c r="Q21" i="95"/>
  <c r="P21" i="95"/>
  <c r="Q20" i="95"/>
  <c r="P20" i="95"/>
  <c r="Q19" i="95"/>
  <c r="P19" i="95"/>
  <c r="Q10" i="95"/>
  <c r="P10" i="95"/>
  <c r="Q7" i="95"/>
  <c r="P7" i="95"/>
  <c r="Q11" i="95"/>
  <c r="P11" i="95"/>
  <c r="Q9" i="95"/>
  <c r="P9" i="95"/>
  <c r="Q8" i="95"/>
  <c r="P8" i="95"/>
  <c r="Q5" i="95"/>
  <c r="P5" i="95"/>
  <c r="Q12" i="95"/>
  <c r="P12" i="95"/>
  <c r="AK19" i="92"/>
  <c r="AK21" i="92"/>
  <c r="AK27" i="92"/>
  <c r="AK29" i="92"/>
  <c r="AK30" i="92"/>
  <c r="AK31" i="92"/>
  <c r="AK35" i="92"/>
  <c r="AK37" i="92"/>
  <c r="AK38" i="92"/>
  <c r="AK39" i="92"/>
  <c r="D36" i="57"/>
  <c r="F32" i="63"/>
  <c r="G32" i="63"/>
  <c r="H32" i="63"/>
  <c r="I32" i="63"/>
  <c r="J32" i="63"/>
  <c r="K32" i="63"/>
  <c r="L32" i="63"/>
  <c r="M32" i="63"/>
  <c r="N32" i="63"/>
  <c r="O32" i="63"/>
  <c r="P32" i="63"/>
  <c r="Q32" i="63"/>
  <c r="R32" i="63"/>
  <c r="S32" i="63"/>
  <c r="T32" i="63"/>
  <c r="U32" i="63"/>
  <c r="V32" i="63"/>
  <c r="W32" i="63"/>
  <c r="X32" i="63"/>
  <c r="Y32" i="63"/>
  <c r="Z32" i="63"/>
  <c r="AA32" i="63"/>
  <c r="AB32" i="63"/>
  <c r="AC32" i="63"/>
  <c r="AD32" i="63"/>
  <c r="AE32" i="63"/>
  <c r="AF32" i="63"/>
  <c r="AG32" i="63"/>
  <c r="AH32" i="63"/>
  <c r="AI32" i="63"/>
  <c r="AJ32" i="63"/>
  <c r="AK32" i="63"/>
  <c r="AL32" i="63"/>
  <c r="AM32" i="63"/>
  <c r="AN32" i="63"/>
  <c r="AO32" i="63"/>
  <c r="AP32" i="63"/>
  <c r="AQ32" i="63"/>
  <c r="AR32" i="63"/>
  <c r="AS32" i="63"/>
  <c r="E127" i="24"/>
  <c r="AJ663" i="1" s="1"/>
  <c r="E287" i="24"/>
  <c r="E470" i="24"/>
  <c r="AJ63" i="1" s="1"/>
  <c r="E22" i="24"/>
  <c r="AJ64" i="1" s="1"/>
  <c r="E23" i="24"/>
  <c r="AJ65" i="1" s="1"/>
  <c r="E24" i="24"/>
  <c r="AJ69" i="1" s="1"/>
  <c r="E471" i="24"/>
  <c r="E472" i="24"/>
  <c r="AJ315" i="1" s="1"/>
  <c r="E473" i="24"/>
  <c r="AJ316" i="1" s="1"/>
  <c r="E474" i="24"/>
  <c r="AJ825" i="1" s="1"/>
  <c r="E475" i="24"/>
  <c r="AJ827" i="1" s="1"/>
  <c r="E476" i="24"/>
  <c r="AJ828" i="1" s="1"/>
  <c r="E477" i="24"/>
  <c r="AJ829" i="1" s="1"/>
  <c r="E288" i="24"/>
  <c r="AJ832" i="1" s="1"/>
  <c r="E478" i="24"/>
  <c r="AJ1013" i="1" s="1"/>
  <c r="E479" i="24"/>
  <c r="E47" i="24"/>
  <c r="E480" i="24"/>
  <c r="E25" i="24"/>
  <c r="E26" i="24"/>
  <c r="AJ1020" i="1" s="1"/>
  <c r="E128" i="24"/>
  <c r="E289" i="24"/>
  <c r="E290" i="24"/>
  <c r="E291" i="24"/>
  <c r="AJ1025" i="1" s="1"/>
  <c r="E292" i="24"/>
  <c r="E48" i="24"/>
  <c r="E293" i="24"/>
  <c r="AJ1029" i="1" s="1"/>
  <c r="E294" i="24"/>
  <c r="AJ1030" i="1" s="1"/>
  <c r="E295" i="24"/>
  <c r="AJ1031" i="1" s="1"/>
  <c r="E27" i="24"/>
  <c r="E375" i="24"/>
  <c r="E129" i="24"/>
  <c r="E481" i="24"/>
  <c r="AJ1044" i="1" s="1"/>
  <c r="E298" i="24"/>
  <c r="E482" i="24"/>
  <c r="AJ1046" i="1" s="1"/>
  <c r="E108" i="24"/>
  <c r="AJ1047" i="1" s="1"/>
  <c r="E483" i="24"/>
  <c r="E28" i="24"/>
  <c r="E484" i="24"/>
  <c r="E485" i="24"/>
  <c r="AJ1053" i="1" s="1"/>
  <c r="E299" i="24"/>
  <c r="E49" i="24"/>
  <c r="AJ1106" i="1" s="1"/>
  <c r="E130" i="24"/>
  <c r="AJ1117" i="1" s="1"/>
  <c r="E29" i="24"/>
  <c r="AJ1118" i="1" s="1"/>
  <c r="E131" i="24"/>
  <c r="AJ1119" i="1" s="1"/>
  <c r="E132" i="24"/>
  <c r="AJ1105" i="1" s="1"/>
  <c r="E486" i="24"/>
  <c r="AJ1114" i="1" s="1"/>
  <c r="E300" i="24"/>
  <c r="AJ1115" i="1" s="1"/>
  <c r="E487" i="24"/>
  <c r="AJ37" i="1" s="1"/>
  <c r="E488" i="24"/>
  <c r="E489" i="24"/>
  <c r="E490" i="24"/>
  <c r="AJ322" i="1" s="1"/>
  <c r="E491" i="24"/>
  <c r="AJ319" i="1" s="1"/>
  <c r="E492" i="24"/>
  <c r="AJ320" i="1" s="1"/>
  <c r="E493" i="24"/>
  <c r="E133" i="24"/>
  <c r="AJ236" i="1" s="1"/>
  <c r="E494" i="24"/>
  <c r="AJ247" i="1" s="1"/>
  <c r="E30" i="24"/>
  <c r="E301" i="24"/>
  <c r="AJ521" i="1"/>
  <c r="F34" i="62"/>
  <c r="G34" i="62"/>
  <c r="H34" i="62"/>
  <c r="I34" i="62"/>
  <c r="J34" i="62"/>
  <c r="K34" i="62"/>
  <c r="L34" i="62"/>
  <c r="M34" i="62"/>
  <c r="N34" i="62"/>
  <c r="O34" i="62"/>
  <c r="P34" i="62"/>
  <c r="Q34" i="62"/>
  <c r="R34" i="62"/>
  <c r="S34" i="62"/>
  <c r="T34" i="62"/>
  <c r="U34" i="62"/>
  <c r="V34" i="62"/>
  <c r="W34" i="62"/>
  <c r="X34" i="62"/>
  <c r="Y34" i="62"/>
  <c r="Z34" i="62"/>
  <c r="AA34" i="62"/>
  <c r="AB34" i="62"/>
  <c r="AC34" i="62"/>
  <c r="AD34" i="62"/>
  <c r="AE34" i="62"/>
  <c r="AF34" i="62"/>
  <c r="AG34" i="62"/>
  <c r="AH34" i="62"/>
  <c r="AI34" i="62"/>
  <c r="AJ34" i="62"/>
  <c r="AK34" i="62"/>
  <c r="AL34" i="62"/>
  <c r="AM34" i="62"/>
  <c r="AN34" i="62"/>
  <c r="AO34" i="62"/>
  <c r="AP34" i="62"/>
  <c r="AQ34" i="62"/>
  <c r="AR34" i="62"/>
  <c r="AS34" i="62"/>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R23" i="5"/>
  <c r="S23" i="5" s="1"/>
  <c r="AK827" i="1" l="1"/>
  <c r="AL827" i="1"/>
  <c r="AK69" i="1"/>
  <c r="AL69" i="1"/>
  <c r="AK247" i="1"/>
  <c r="AL247" i="1"/>
  <c r="AK37" i="1"/>
  <c r="AL37" i="1"/>
  <c r="AJ1054" i="1"/>
  <c r="AJ1103" i="1"/>
  <c r="AJ297" i="1"/>
  <c r="AJ1112" i="1"/>
  <c r="AJ441" i="1"/>
  <c r="AJ1055" i="1"/>
  <c r="AJ1027" i="1"/>
  <c r="AJ1042" i="1"/>
  <c r="AJ1138" i="1"/>
  <c r="AJ1048" i="1"/>
  <c r="AJ1018" i="1"/>
  <c r="AK825" i="1"/>
  <c r="AL825" i="1"/>
  <c r="AK65" i="1"/>
  <c r="AL65" i="1"/>
  <c r="AL236" i="1"/>
  <c r="AK236" i="1"/>
  <c r="AL1029" i="1"/>
  <c r="AK1029" i="1"/>
  <c r="AJ244" i="1"/>
  <c r="AJ246" i="1"/>
  <c r="AK1114" i="1"/>
  <c r="AL1114" i="1"/>
  <c r="AJ1161" i="1"/>
  <c r="AJ1063" i="1"/>
  <c r="AL1025" i="1"/>
  <c r="AK1025" i="1"/>
  <c r="AJ1014" i="1"/>
  <c r="AJ1132" i="1"/>
  <c r="AJ1155" i="1"/>
  <c r="AJ1102" i="1"/>
  <c r="AL316" i="1"/>
  <c r="AK316" i="1"/>
  <c r="AK63" i="1"/>
  <c r="AL63" i="1"/>
  <c r="AK1106" i="1"/>
  <c r="AL1106" i="1"/>
  <c r="AL1053" i="1"/>
  <c r="AK1053" i="1"/>
  <c r="AJ1100" i="1"/>
  <c r="AJ1015" i="1"/>
  <c r="AK1105" i="1"/>
  <c r="AL1105" i="1"/>
  <c r="AL1013" i="1"/>
  <c r="AK1013" i="1"/>
  <c r="AJ349" i="1"/>
  <c r="AJ70" i="1"/>
  <c r="AK1115" i="1"/>
  <c r="AL1115" i="1"/>
  <c r="AJ1130" i="1"/>
  <c r="AJ1026" i="1"/>
  <c r="AL64" i="1"/>
  <c r="AK64" i="1"/>
  <c r="AJ1147" i="1"/>
  <c r="AJ1061" i="1"/>
  <c r="AJ1158" i="1"/>
  <c r="AJ1140" i="1"/>
  <c r="AJ953" i="1"/>
  <c r="AK953" i="1" s="1"/>
  <c r="AJ1159" i="1"/>
  <c r="AJ1037" i="1"/>
  <c r="AJ1084" i="1"/>
  <c r="AJ1041" i="1"/>
  <c r="AJ1024" i="1"/>
  <c r="AJ1052" i="1"/>
  <c r="AL315" i="1"/>
  <c r="AK315" i="1"/>
  <c r="AJ405" i="1"/>
  <c r="AJ62" i="1"/>
  <c r="AK521" i="1"/>
  <c r="AL521" i="1"/>
  <c r="AL319" i="1"/>
  <c r="AK319" i="1"/>
  <c r="AK1119" i="1"/>
  <c r="AL1119" i="1"/>
  <c r="AJ1120" i="1"/>
  <c r="AJ1064" i="1"/>
  <c r="AJ1050" i="1"/>
  <c r="AJ1032" i="1"/>
  <c r="AJ1058" i="1"/>
  <c r="AJ1040" i="1"/>
  <c r="AJ1023" i="1"/>
  <c r="AK832" i="1"/>
  <c r="AL832" i="1"/>
  <c r="AJ298" i="1"/>
  <c r="AJ314" i="1"/>
  <c r="AL663" i="1"/>
  <c r="AK663" i="1"/>
  <c r="AK1118" i="1"/>
  <c r="AL1118" i="1"/>
  <c r="AL1031" i="1"/>
  <c r="AK1031" i="1"/>
  <c r="AK829" i="1"/>
  <c r="AL829" i="1"/>
  <c r="AL1046" i="1"/>
  <c r="AK1046" i="1"/>
  <c r="AL1044" i="1"/>
  <c r="AK1044" i="1"/>
  <c r="AL320" i="1"/>
  <c r="AK320" i="1"/>
  <c r="AL322" i="1"/>
  <c r="AK322" i="1"/>
  <c r="AJ1021" i="1"/>
  <c r="AJ1141" i="1"/>
  <c r="AJ1154" i="1"/>
  <c r="AJ1135" i="1"/>
  <c r="AJ1143" i="1"/>
  <c r="AJ71" i="1"/>
  <c r="AJ321" i="1"/>
  <c r="AK1117" i="1"/>
  <c r="AL1117" i="1"/>
  <c r="AL1047" i="1"/>
  <c r="AK1047" i="1"/>
  <c r="AL1030" i="1"/>
  <c r="AK1030" i="1"/>
  <c r="AL1020" i="1"/>
  <c r="AK1020" i="1"/>
  <c r="AK828" i="1"/>
  <c r="AL828" i="1"/>
  <c r="AY2" i="92"/>
  <c r="AK34" i="92"/>
  <c r="AK26" i="92"/>
  <c r="AK24" i="92"/>
  <c r="AK23" i="92"/>
  <c r="AK36" i="92"/>
  <c r="AK32" i="92"/>
  <c r="AK28" i="92"/>
  <c r="AK25" i="92"/>
  <c r="AK33" i="92"/>
  <c r="AK20" i="92"/>
  <c r="AK22" i="92"/>
  <c r="AK2" i="92"/>
  <c r="B32" i="63"/>
  <c r="B34" i="62"/>
  <c r="AB24" i="15"/>
  <c r="U14" i="15"/>
  <c r="AC31" i="15"/>
  <c r="D23" i="56"/>
  <c r="E23" i="56"/>
  <c r="F299" i="24"/>
  <c r="N299" i="24" s="1"/>
  <c r="G295" i="24"/>
  <c r="G26" i="24"/>
  <c r="G25" i="24"/>
  <c r="G46" i="24"/>
  <c r="G30" i="24"/>
  <c r="I133" i="24"/>
  <c r="AN236" i="1" s="1"/>
  <c r="G133" i="24"/>
  <c r="Y15" i="15"/>
  <c r="AB42" i="15"/>
  <c r="AB14" i="15"/>
  <c r="G475" i="24"/>
  <c r="G488" i="24"/>
  <c r="R24" i="5"/>
  <c r="S24" i="5" s="1"/>
  <c r="G49" i="24"/>
  <c r="R1120" i="1"/>
  <c r="S1120" i="1" s="1"/>
  <c r="G484" i="24"/>
  <c r="R1050" i="1"/>
  <c r="S1050" i="1" s="1"/>
  <c r="G108" i="24"/>
  <c r="G298" i="24"/>
  <c r="R1063" i="1"/>
  <c r="S1063" i="1" s="1"/>
  <c r="R1064" i="1"/>
  <c r="S1064" i="1" s="1"/>
  <c r="G481" i="24"/>
  <c r="G293" i="24"/>
  <c r="G294" i="24"/>
  <c r="R1037" i="1"/>
  <c r="S1037" i="1" s="1"/>
  <c r="R1036" i="1"/>
  <c r="S1036" i="1" s="1"/>
  <c r="R1038" i="1"/>
  <c r="S1038" i="1" s="1"/>
  <c r="G290" i="24"/>
  <c r="G289" i="24"/>
  <c r="I478" i="24"/>
  <c r="AN1013" i="1" s="1"/>
  <c r="G478" i="24"/>
  <c r="G22" i="24"/>
  <c r="I470" i="24"/>
  <c r="AN63" i="1" s="1"/>
  <c r="G470" i="24"/>
  <c r="G287" i="24"/>
  <c r="R1099" i="1"/>
  <c r="S1099" i="1" s="1"/>
  <c r="R1100" i="1"/>
  <c r="S1100" i="1" s="1"/>
  <c r="R1101" i="1"/>
  <c r="S1101" i="1" s="1"/>
  <c r="R1102" i="1"/>
  <c r="S1102" i="1" s="1"/>
  <c r="R1103" i="1"/>
  <c r="S1103" i="1" s="1"/>
  <c r="R1104" i="1"/>
  <c r="S1104" i="1" s="1"/>
  <c r="R1105" i="1"/>
  <c r="S1105" i="1" s="1"/>
  <c r="R1106" i="1"/>
  <c r="S1106" i="1" s="1"/>
  <c r="R1107" i="1"/>
  <c r="S1107" i="1" s="1"/>
  <c r="R1108" i="1"/>
  <c r="S1108" i="1" s="1"/>
  <c r="R1109" i="1"/>
  <c r="S1109" i="1" s="1"/>
  <c r="R1110" i="1"/>
  <c r="S1110" i="1" s="1"/>
  <c r="R1111" i="1"/>
  <c r="S1111" i="1" s="1"/>
  <c r="R1112" i="1"/>
  <c r="S1112" i="1" s="1"/>
  <c r="R1113" i="1"/>
  <c r="S1113" i="1" s="1"/>
  <c r="R1114" i="1"/>
  <c r="S1114" i="1" s="1"/>
  <c r="R1115" i="1"/>
  <c r="S1115" i="1" s="1"/>
  <c r="R1116" i="1"/>
  <c r="S1116" i="1" s="1"/>
  <c r="R1117" i="1"/>
  <c r="S1117" i="1" s="1"/>
  <c r="R1118" i="1"/>
  <c r="S1118" i="1" s="1"/>
  <c r="R1119" i="1"/>
  <c r="S1119" i="1" s="1"/>
  <c r="R1011" i="1"/>
  <c r="S1011" i="1" s="1"/>
  <c r="R1012" i="1"/>
  <c r="S1012" i="1" s="1"/>
  <c r="R1013" i="1"/>
  <c r="S1013" i="1" s="1"/>
  <c r="R1014" i="1"/>
  <c r="S1014" i="1" s="1"/>
  <c r="R1015" i="1"/>
  <c r="S1015" i="1" s="1"/>
  <c r="R1016" i="1"/>
  <c r="S1016" i="1" s="1"/>
  <c r="R1017" i="1"/>
  <c r="S1017" i="1" s="1"/>
  <c r="R1018" i="1"/>
  <c r="S1018" i="1" s="1"/>
  <c r="R1019" i="1"/>
  <c r="S1019" i="1" s="1"/>
  <c r="R1020" i="1"/>
  <c r="S1020" i="1" s="1"/>
  <c r="R1021" i="1"/>
  <c r="S1021" i="1" s="1"/>
  <c r="R1022" i="1"/>
  <c r="S1022" i="1" s="1"/>
  <c r="R1023" i="1"/>
  <c r="S1023" i="1" s="1"/>
  <c r="R1024" i="1"/>
  <c r="S1024" i="1" s="1"/>
  <c r="R1025" i="1"/>
  <c r="S1025" i="1" s="1"/>
  <c r="R1026" i="1"/>
  <c r="S1026" i="1" s="1"/>
  <c r="R1027" i="1"/>
  <c r="S1027" i="1" s="1"/>
  <c r="R1028" i="1"/>
  <c r="S1028" i="1" s="1"/>
  <c r="R1029" i="1"/>
  <c r="S1029" i="1" s="1"/>
  <c r="R1030" i="1"/>
  <c r="S1030" i="1" s="1"/>
  <c r="R1031" i="1"/>
  <c r="S1031" i="1" s="1"/>
  <c r="R1032" i="1"/>
  <c r="S1032" i="1" s="1"/>
  <c r="R1033" i="1"/>
  <c r="S1033" i="1" s="1"/>
  <c r="R1034" i="1"/>
  <c r="S1034" i="1" s="1"/>
  <c r="R1035" i="1"/>
  <c r="S1035" i="1" s="1"/>
  <c r="R1039" i="1"/>
  <c r="S1039" i="1" s="1"/>
  <c r="R1040" i="1"/>
  <c r="S1040" i="1" s="1"/>
  <c r="R1041" i="1"/>
  <c r="S1041" i="1" s="1"/>
  <c r="R1042" i="1"/>
  <c r="S1042" i="1" s="1"/>
  <c r="R1043" i="1"/>
  <c r="S1043" i="1" s="1"/>
  <c r="R1044" i="1"/>
  <c r="S1044" i="1" s="1"/>
  <c r="R1045" i="1"/>
  <c r="S1045" i="1" s="1"/>
  <c r="R1046" i="1"/>
  <c r="S1046" i="1" s="1"/>
  <c r="R1047" i="1"/>
  <c r="S1047" i="1" s="1"/>
  <c r="R1048" i="1"/>
  <c r="S1048" i="1" s="1"/>
  <c r="R1049" i="1"/>
  <c r="S1049" i="1" s="1"/>
  <c r="R1051" i="1"/>
  <c r="S1051" i="1" s="1"/>
  <c r="R1052" i="1"/>
  <c r="S1052" i="1" s="1"/>
  <c r="R1053" i="1"/>
  <c r="S1053" i="1" s="1"/>
  <c r="R1054" i="1"/>
  <c r="S1054" i="1" s="1"/>
  <c r="R1055" i="1"/>
  <c r="S1055" i="1" s="1"/>
  <c r="R1056" i="1"/>
  <c r="S1056" i="1" s="1"/>
  <c r="R1057" i="1"/>
  <c r="S1057" i="1" s="1"/>
  <c r="R1058" i="1"/>
  <c r="S1058" i="1" s="1"/>
  <c r="R1059" i="1"/>
  <c r="S1059" i="1" s="1"/>
  <c r="R1060" i="1"/>
  <c r="S1060" i="1" s="1"/>
  <c r="R1061" i="1"/>
  <c r="S1061" i="1" s="1"/>
  <c r="R1062" i="1"/>
  <c r="S1062" i="1" s="1"/>
  <c r="AB37" i="15"/>
  <c r="AA36" i="15"/>
  <c r="AB46" i="15"/>
  <c r="AF46" i="15" s="1"/>
  <c r="Z3" i="92"/>
  <c r="Z4" i="92"/>
  <c r="Z5" i="92"/>
  <c r="Z6" i="92"/>
  <c r="Z7" i="92"/>
  <c r="Z8" i="92"/>
  <c r="Z9" i="92"/>
  <c r="Z10" i="92"/>
  <c r="Z11" i="92"/>
  <c r="Z12" i="92"/>
  <c r="Z13" i="92"/>
  <c r="Z14" i="92"/>
  <c r="Z15" i="92"/>
  <c r="Z16" i="92"/>
  <c r="Z17" i="92"/>
  <c r="Z18" i="92"/>
  <c r="Z19" i="92"/>
  <c r="Z20" i="92"/>
  <c r="Z21" i="92"/>
  <c r="Z22" i="92"/>
  <c r="Z23" i="92"/>
  <c r="Z24" i="92"/>
  <c r="Z25" i="92"/>
  <c r="Z26" i="92"/>
  <c r="Z27" i="92"/>
  <c r="Z28" i="92"/>
  <c r="Z29" i="92"/>
  <c r="Z30" i="92"/>
  <c r="Z31" i="92"/>
  <c r="Z32" i="92"/>
  <c r="Z33" i="92"/>
  <c r="Z34" i="92"/>
  <c r="Z35" i="92"/>
  <c r="Z36" i="92"/>
  <c r="Z37" i="92"/>
  <c r="Z38" i="92"/>
  <c r="Z39" i="92"/>
  <c r="AB3" i="92"/>
  <c r="AB4" i="92"/>
  <c r="AB5" i="92"/>
  <c r="AB6" i="92"/>
  <c r="AB7" i="92"/>
  <c r="AB8" i="92"/>
  <c r="AB9" i="92"/>
  <c r="AB10" i="92"/>
  <c r="AB11" i="92"/>
  <c r="AB12" i="92"/>
  <c r="AB13" i="92"/>
  <c r="AB14" i="92"/>
  <c r="AB15" i="92"/>
  <c r="AB17" i="92"/>
  <c r="AB18" i="92"/>
  <c r="AB19" i="92"/>
  <c r="AB20" i="92"/>
  <c r="AB21" i="92"/>
  <c r="AB22" i="92"/>
  <c r="AB23" i="92"/>
  <c r="AB24" i="92"/>
  <c r="AB25" i="92"/>
  <c r="AB26" i="92"/>
  <c r="AB27" i="92"/>
  <c r="AB28" i="92"/>
  <c r="AB29" i="92"/>
  <c r="AB30" i="92"/>
  <c r="AB31" i="92"/>
  <c r="AB32" i="92"/>
  <c r="AB33" i="92"/>
  <c r="AB34" i="92"/>
  <c r="AB35" i="92"/>
  <c r="AB36" i="92"/>
  <c r="AB37" i="92"/>
  <c r="AB38" i="92"/>
  <c r="AB39" i="92"/>
  <c r="MU16" i="78"/>
  <c r="MM16" i="78" s="1"/>
  <c r="S16" i="92" s="1"/>
  <c r="CE5" i="92"/>
  <c r="AA3" i="92"/>
  <c r="AA4" i="92"/>
  <c r="AA6" i="92"/>
  <c r="AA7" i="92"/>
  <c r="AA8" i="92"/>
  <c r="AA9" i="92"/>
  <c r="AA10" i="92"/>
  <c r="AA11" i="92"/>
  <c r="AA12" i="92"/>
  <c r="AA13" i="92"/>
  <c r="AA14" i="92"/>
  <c r="AA15" i="92"/>
  <c r="AA16" i="92"/>
  <c r="AA17" i="92"/>
  <c r="AA18" i="92"/>
  <c r="AA19" i="92"/>
  <c r="AA20" i="92"/>
  <c r="AA21" i="92"/>
  <c r="AA22" i="92"/>
  <c r="AA23" i="92"/>
  <c r="AA24" i="92"/>
  <c r="AA25" i="92"/>
  <c r="AA26" i="92"/>
  <c r="AA27" i="92"/>
  <c r="AA28" i="92"/>
  <c r="AA29" i="92"/>
  <c r="AA30" i="92"/>
  <c r="AA31" i="92"/>
  <c r="AA32" i="92"/>
  <c r="AA33" i="92"/>
  <c r="AA34" i="92"/>
  <c r="AA35" i="92"/>
  <c r="AA36" i="92"/>
  <c r="AA37" i="92"/>
  <c r="AA38" i="92"/>
  <c r="AA39" i="92"/>
  <c r="AA2" i="92"/>
  <c r="OG2" i="78"/>
  <c r="NS2" i="78"/>
  <c r="NE2" i="78"/>
  <c r="OG39" i="78"/>
  <c r="NS39" i="78"/>
  <c r="NE39" i="78"/>
  <c r="MF39" i="78"/>
  <c r="R39" i="92" s="1"/>
  <c r="LV39" i="78"/>
  <c r="Q39" i="92" s="1"/>
  <c r="OG38" i="78"/>
  <c r="NS38" i="78"/>
  <c r="NE38" i="78"/>
  <c r="MF38" i="78"/>
  <c r="R38" i="92" s="1"/>
  <c r="LV38" i="78"/>
  <c r="Q38" i="92" s="1"/>
  <c r="OG37" i="78"/>
  <c r="NS37" i="78"/>
  <c r="NE37" i="78"/>
  <c r="MF37" i="78"/>
  <c r="R37" i="92" s="1"/>
  <c r="LV37" i="78"/>
  <c r="Q37" i="92" s="1"/>
  <c r="OG36" i="78"/>
  <c r="NS36" i="78"/>
  <c r="NE36" i="78"/>
  <c r="MF36" i="78"/>
  <c r="R36" i="92" s="1"/>
  <c r="LV36" i="78"/>
  <c r="Q36" i="92" s="1"/>
  <c r="OG35" i="78"/>
  <c r="NS35" i="78"/>
  <c r="NR35" i="78" s="1"/>
  <c r="T35" i="92" s="1"/>
  <c r="NE35" i="78"/>
  <c r="MF35" i="78"/>
  <c r="R35" i="92" s="1"/>
  <c r="LV35" i="78"/>
  <c r="Q35" i="92" s="1"/>
  <c r="OG34" i="78"/>
  <c r="NS34" i="78"/>
  <c r="NE34" i="78"/>
  <c r="MF34" i="78"/>
  <c r="R34" i="92" s="1"/>
  <c r="LV34" i="78"/>
  <c r="Q34" i="92" s="1"/>
  <c r="OG33" i="78"/>
  <c r="NS33" i="78"/>
  <c r="NE33" i="78"/>
  <c r="MF33" i="78"/>
  <c r="R33" i="92" s="1"/>
  <c r="LV33" i="78"/>
  <c r="Q33" i="92" s="1"/>
  <c r="OG32" i="78"/>
  <c r="NS32" i="78"/>
  <c r="NE32" i="78"/>
  <c r="MF32" i="78"/>
  <c r="R32" i="92" s="1"/>
  <c r="LV32" i="78"/>
  <c r="Q32" i="92" s="1"/>
  <c r="OG31" i="78"/>
  <c r="NS31" i="78"/>
  <c r="NR31" i="78" s="1"/>
  <c r="T31" i="92" s="1"/>
  <c r="NE31" i="78"/>
  <c r="MN31" i="78"/>
  <c r="MM31" i="78" s="1"/>
  <c r="S31" i="92" s="1"/>
  <c r="MF31" i="78"/>
  <c r="R31" i="92" s="1"/>
  <c r="LV31" i="78"/>
  <c r="Q31" i="92" s="1"/>
  <c r="OG30" i="78"/>
  <c r="NS30" i="78"/>
  <c r="NE30" i="78"/>
  <c r="MF30" i="78"/>
  <c r="R30" i="92" s="1"/>
  <c r="LV30" i="78"/>
  <c r="Q30" i="92" s="1"/>
  <c r="OG29" i="78"/>
  <c r="NS29" i="78"/>
  <c r="NE29" i="78"/>
  <c r="MF29" i="78"/>
  <c r="R29" i="92" s="1"/>
  <c r="LV29" i="78"/>
  <c r="Q29" i="92" s="1"/>
  <c r="OG28" i="78"/>
  <c r="NS28" i="78"/>
  <c r="NR28" i="78" s="1"/>
  <c r="T28" i="92" s="1"/>
  <c r="NE28" i="78"/>
  <c r="MF28" i="78"/>
  <c r="R28" i="92" s="1"/>
  <c r="LV28" i="78"/>
  <c r="Q28" i="92" s="1"/>
  <c r="OG27" i="78"/>
  <c r="NS27" i="78"/>
  <c r="NE27" i="78"/>
  <c r="MF27" i="78"/>
  <c r="R27" i="92" s="1"/>
  <c r="LV27" i="78"/>
  <c r="Q27" i="92" s="1"/>
  <c r="OG26" i="78"/>
  <c r="NS26" i="78"/>
  <c r="NE26" i="78"/>
  <c r="MF26" i="78"/>
  <c r="R26" i="92" s="1"/>
  <c r="LV26" i="78"/>
  <c r="OG25" i="78"/>
  <c r="NS25" i="78"/>
  <c r="NE25" i="78"/>
  <c r="MF25" i="78"/>
  <c r="R25" i="92" s="1"/>
  <c r="LV25" i="78"/>
  <c r="Q25" i="92" s="1"/>
  <c r="OG24" i="78"/>
  <c r="NS24" i="78"/>
  <c r="NR24" i="78" s="1"/>
  <c r="T24" i="92" s="1"/>
  <c r="NE24" i="78"/>
  <c r="MF24" i="78"/>
  <c r="R24" i="92" s="1"/>
  <c r="LV24" i="78"/>
  <c r="Q24" i="92" s="1"/>
  <c r="OG23" i="78"/>
  <c r="NS23" i="78"/>
  <c r="NE23" i="78"/>
  <c r="MF23" i="78"/>
  <c r="R23" i="92" s="1"/>
  <c r="LV23" i="78"/>
  <c r="Q23" i="92" s="1"/>
  <c r="OG22" i="78"/>
  <c r="NS22" i="78"/>
  <c r="NE22" i="78"/>
  <c r="MF22" i="78"/>
  <c r="R22" i="92" s="1"/>
  <c r="LV22" i="78"/>
  <c r="Q22" i="92" s="1"/>
  <c r="OG21" i="78"/>
  <c r="NS21" i="78"/>
  <c r="NE21" i="78"/>
  <c r="MF21" i="78"/>
  <c r="R21" i="92" s="1"/>
  <c r="LV21" i="78"/>
  <c r="Q21" i="92" s="1"/>
  <c r="OG20" i="78"/>
  <c r="NS20" i="78"/>
  <c r="NE20" i="78"/>
  <c r="MF20" i="78"/>
  <c r="R20" i="92" s="1"/>
  <c r="LV20" i="78"/>
  <c r="Q20" i="92" s="1"/>
  <c r="OG19" i="78"/>
  <c r="NS19" i="78"/>
  <c r="NE19" i="78"/>
  <c r="MF19" i="78"/>
  <c r="R19" i="92" s="1"/>
  <c r="LV19" i="78"/>
  <c r="Q19" i="92" s="1"/>
  <c r="OG18" i="78"/>
  <c r="NS18" i="78"/>
  <c r="NE18" i="78"/>
  <c r="MF18" i="78"/>
  <c r="R18" i="92" s="1"/>
  <c r="LV18" i="78"/>
  <c r="Q18" i="92" s="1"/>
  <c r="OG17" i="78"/>
  <c r="NS17" i="78"/>
  <c r="NE17" i="78"/>
  <c r="MF17" i="78"/>
  <c r="R17" i="92" s="1"/>
  <c r="LV17" i="78"/>
  <c r="Q17" i="92" s="1"/>
  <c r="OG16" i="78"/>
  <c r="NS16" i="78"/>
  <c r="NR16" i="78" s="1"/>
  <c r="T16" i="92" s="1"/>
  <c r="NE16" i="78"/>
  <c r="MF16" i="78"/>
  <c r="R16" i="92" s="1"/>
  <c r="LV16" i="78"/>
  <c r="Q16" i="92" s="1"/>
  <c r="OG15" i="78"/>
  <c r="NS15" i="78"/>
  <c r="NE15" i="78"/>
  <c r="MQ15" i="78"/>
  <c r="MM15" i="78" s="1"/>
  <c r="S15" i="92" s="1"/>
  <c r="MF15" i="78"/>
  <c r="R15" i="92" s="1"/>
  <c r="LV15" i="78"/>
  <c r="Q15" i="92" s="1"/>
  <c r="OG14" i="78"/>
  <c r="NS14" i="78"/>
  <c r="NE14" i="78"/>
  <c r="MF14" i="78"/>
  <c r="R14" i="92" s="1"/>
  <c r="LV14" i="78"/>
  <c r="Q14" i="92" s="1"/>
  <c r="OG13" i="78"/>
  <c r="NS13" i="78"/>
  <c r="NE13" i="78"/>
  <c r="MF13" i="78"/>
  <c r="R13" i="92" s="1"/>
  <c r="LV13" i="78"/>
  <c r="Q13" i="92" s="1"/>
  <c r="OG12" i="78"/>
  <c r="NS12" i="78"/>
  <c r="NE12" i="78"/>
  <c r="MF12" i="78"/>
  <c r="R12" i="92" s="1"/>
  <c r="LV12" i="78"/>
  <c r="Q12" i="92" s="1"/>
  <c r="OG11" i="78"/>
  <c r="NS11" i="78"/>
  <c r="NE11" i="78"/>
  <c r="MF11" i="78"/>
  <c r="R11" i="92" s="1"/>
  <c r="LV11" i="78"/>
  <c r="Q11" i="92" s="1"/>
  <c r="OG10" i="78"/>
  <c r="NS10" i="78"/>
  <c r="NE10" i="78"/>
  <c r="MF10" i="78"/>
  <c r="R10" i="92" s="1"/>
  <c r="LV10" i="78"/>
  <c r="Q10" i="92" s="1"/>
  <c r="OG9" i="78"/>
  <c r="NS9" i="78"/>
  <c r="NR9" i="78" s="1"/>
  <c r="T9" i="92" s="1"/>
  <c r="NE9" i="78"/>
  <c r="MF9" i="78"/>
  <c r="R9" i="92" s="1"/>
  <c r="LV9" i="78"/>
  <c r="Q9" i="92" s="1"/>
  <c r="OG8" i="78"/>
  <c r="NS8" i="78"/>
  <c r="NE8" i="78"/>
  <c r="MF8" i="78"/>
  <c r="R8" i="92" s="1"/>
  <c r="LV8" i="78"/>
  <c r="Q8" i="92" s="1"/>
  <c r="OG7" i="78"/>
  <c r="NS7" i="78"/>
  <c r="NE7" i="78"/>
  <c r="MF7" i="78"/>
  <c r="R7" i="92" s="1"/>
  <c r="LV7" i="78"/>
  <c r="Q7" i="92" s="1"/>
  <c r="OG6" i="78"/>
  <c r="NS6" i="78"/>
  <c r="NE6" i="78"/>
  <c r="MF6" i="78"/>
  <c r="R6" i="92" s="1"/>
  <c r="LV6" i="78"/>
  <c r="Q6" i="92" s="1"/>
  <c r="OG5" i="78"/>
  <c r="NS5" i="78"/>
  <c r="NR5" i="78" s="1"/>
  <c r="T5" i="92" s="1"/>
  <c r="NE5" i="78"/>
  <c r="MF5" i="78"/>
  <c r="LV5" i="78"/>
  <c r="Q5" i="92" s="1"/>
  <c r="OG4" i="78"/>
  <c r="NS4" i="78"/>
  <c r="NE4" i="78"/>
  <c r="MF4" i="78"/>
  <c r="R4" i="92" s="1"/>
  <c r="LV4" i="78"/>
  <c r="Q4" i="92" s="1"/>
  <c r="OG3" i="78"/>
  <c r="NS3" i="78"/>
  <c r="NE3" i="78"/>
  <c r="MF3" i="78"/>
  <c r="R3" i="92" s="1"/>
  <c r="LV3" i="78"/>
  <c r="Q3" i="92" s="1"/>
  <c r="MF2" i="78"/>
  <c r="R2" i="92" s="1"/>
  <c r="LV2" i="78"/>
  <c r="Q2" i="92" s="1"/>
  <c r="H3" i="78"/>
  <c r="V3" i="92" s="1"/>
  <c r="H4" i="78"/>
  <c r="V4" i="92" s="1"/>
  <c r="H5" i="78"/>
  <c r="V5" i="92" s="1"/>
  <c r="H6" i="78"/>
  <c r="V6" i="92" s="1"/>
  <c r="H7" i="78"/>
  <c r="V7" i="92" s="1"/>
  <c r="H8" i="78"/>
  <c r="V8" i="92" s="1"/>
  <c r="H9" i="78"/>
  <c r="V9" i="92" s="1"/>
  <c r="H10" i="78"/>
  <c r="V10" i="92" s="1"/>
  <c r="H11" i="78"/>
  <c r="V11" i="92" s="1"/>
  <c r="H12" i="78"/>
  <c r="V12" i="92" s="1"/>
  <c r="H13" i="78"/>
  <c r="V13" i="92" s="1"/>
  <c r="H14" i="78"/>
  <c r="V14" i="92" s="1"/>
  <c r="H15" i="78"/>
  <c r="V15" i="92" s="1"/>
  <c r="H17" i="78"/>
  <c r="V17" i="92" s="1"/>
  <c r="H18" i="78"/>
  <c r="V18" i="92" s="1"/>
  <c r="H19" i="78"/>
  <c r="V19" i="92" s="1"/>
  <c r="H20" i="78"/>
  <c r="V20" i="92" s="1"/>
  <c r="H21" i="78"/>
  <c r="V21" i="92" s="1"/>
  <c r="H22" i="78"/>
  <c r="V22" i="92" s="1"/>
  <c r="H23" i="78"/>
  <c r="V23" i="92" s="1"/>
  <c r="H24" i="78"/>
  <c r="V24" i="92" s="1"/>
  <c r="H25" i="78"/>
  <c r="V25" i="92" s="1"/>
  <c r="H26" i="78"/>
  <c r="V26" i="92" s="1"/>
  <c r="H27" i="78"/>
  <c r="V27" i="92" s="1"/>
  <c r="H28" i="78"/>
  <c r="V28" i="92" s="1"/>
  <c r="H29" i="78"/>
  <c r="V29" i="92" s="1"/>
  <c r="H30" i="78"/>
  <c r="V30" i="92" s="1"/>
  <c r="H31" i="78"/>
  <c r="V31" i="92" s="1"/>
  <c r="H32" i="78"/>
  <c r="V32" i="92" s="1"/>
  <c r="H33" i="78"/>
  <c r="V33" i="92" s="1"/>
  <c r="H34" i="78"/>
  <c r="V34" i="92" s="1"/>
  <c r="H35" i="78"/>
  <c r="V35" i="92" s="1"/>
  <c r="H36" i="78"/>
  <c r="V36" i="92" s="1"/>
  <c r="H37" i="78"/>
  <c r="V37" i="92" s="1"/>
  <c r="H38" i="78"/>
  <c r="V38" i="92" s="1"/>
  <c r="H39" i="78"/>
  <c r="V39" i="92" s="1"/>
  <c r="H2" i="78"/>
  <c r="V2" i="92" s="1"/>
  <c r="AZ39" i="92"/>
  <c r="AY39" i="92"/>
  <c r="AX39" i="92"/>
  <c r="AV39" i="92"/>
  <c r="AU39" i="92"/>
  <c r="AT39" i="92"/>
  <c r="AS39" i="92"/>
  <c r="AR39" i="92"/>
  <c r="AL39" i="92"/>
  <c r="AJ39" i="92"/>
  <c r="AH39" i="92"/>
  <c r="AG39" i="92"/>
  <c r="AF39" i="92"/>
  <c r="AE39" i="92"/>
  <c r="AD39" i="92"/>
  <c r="AZ38" i="92"/>
  <c r="AY38" i="92"/>
  <c r="AX38" i="92"/>
  <c r="AV38" i="92"/>
  <c r="AU38" i="92"/>
  <c r="AT38" i="92"/>
  <c r="AS38" i="92"/>
  <c r="AR38" i="92"/>
  <c r="AL38" i="92"/>
  <c r="AJ38" i="92"/>
  <c r="AH38" i="92"/>
  <c r="AG38" i="92"/>
  <c r="AF38" i="92"/>
  <c r="AE38" i="92"/>
  <c r="AD38" i="92"/>
  <c r="AZ37" i="92"/>
  <c r="AY37" i="92"/>
  <c r="AX37" i="92"/>
  <c r="AV37" i="92"/>
  <c r="AU37" i="92"/>
  <c r="AT37" i="92"/>
  <c r="AS37" i="92"/>
  <c r="AR37" i="92"/>
  <c r="AL37" i="92"/>
  <c r="AJ37" i="92"/>
  <c r="AH37" i="92"/>
  <c r="AG37" i="92"/>
  <c r="AF37" i="92"/>
  <c r="AE37" i="92"/>
  <c r="AD37" i="92"/>
  <c r="AZ31" i="92"/>
  <c r="AY31" i="92"/>
  <c r="AX31" i="92"/>
  <c r="AV31" i="92"/>
  <c r="AU31" i="92"/>
  <c r="AT31" i="92"/>
  <c r="AS31" i="92"/>
  <c r="AR31" i="92"/>
  <c r="AL31" i="92"/>
  <c r="AJ31" i="92"/>
  <c r="AH31" i="92"/>
  <c r="AG31" i="92"/>
  <c r="AF31" i="92"/>
  <c r="AE31" i="92"/>
  <c r="AD31" i="92"/>
  <c r="AZ17" i="92"/>
  <c r="AY17" i="92"/>
  <c r="AX17" i="92"/>
  <c r="AV17" i="92"/>
  <c r="AU17" i="92"/>
  <c r="AT17" i="92"/>
  <c r="AS17" i="92"/>
  <c r="AR17" i="92"/>
  <c r="AL17" i="92"/>
  <c r="AJ17" i="92"/>
  <c r="AH17" i="92"/>
  <c r="AG17" i="92"/>
  <c r="AF17" i="92"/>
  <c r="AE17" i="92"/>
  <c r="AD17" i="92"/>
  <c r="NR13" i="78" l="1"/>
  <c r="T13" i="92" s="1"/>
  <c r="NR20" i="78"/>
  <c r="T20" i="92" s="1"/>
  <c r="NR39" i="78"/>
  <c r="T39" i="92" s="1"/>
  <c r="NR3" i="78"/>
  <c r="T3" i="92" s="1"/>
  <c r="NR7" i="78"/>
  <c r="T7" i="92" s="1"/>
  <c r="NR11" i="78"/>
  <c r="T11" i="92" s="1"/>
  <c r="NR18" i="78"/>
  <c r="T18" i="92" s="1"/>
  <c r="NR22" i="78"/>
  <c r="T22" i="92" s="1"/>
  <c r="CF22" i="92" s="1"/>
  <c r="NR26" i="78"/>
  <c r="T26" i="92" s="1"/>
  <c r="CF26" i="92" s="1"/>
  <c r="NR30" i="78"/>
  <c r="T30" i="92" s="1"/>
  <c r="NR33" i="78"/>
  <c r="T33" i="92" s="1"/>
  <c r="CF33" i="92" s="1"/>
  <c r="NR37" i="78"/>
  <c r="T37" i="92" s="1"/>
  <c r="CD3" i="92"/>
  <c r="BP3" i="92"/>
  <c r="L9" i="95" s="1"/>
  <c r="CF9" i="92"/>
  <c r="BR9" i="92"/>
  <c r="N21" i="95" s="1"/>
  <c r="BR13" i="92"/>
  <c r="N26" i="95" s="1"/>
  <c r="CF13" i="92"/>
  <c r="BR16" i="92"/>
  <c r="N8" i="95" s="1"/>
  <c r="CF16" i="92"/>
  <c r="BO19" i="92"/>
  <c r="K36" i="95" s="1"/>
  <c r="CC19" i="92"/>
  <c r="CF24" i="92"/>
  <c r="BR24" i="92"/>
  <c r="N22" i="95" s="1"/>
  <c r="CF28" i="92"/>
  <c r="BR28" i="92"/>
  <c r="N34" i="95" s="1"/>
  <c r="CF31" i="92"/>
  <c r="BR31" i="92"/>
  <c r="CF35" i="92"/>
  <c r="BR35" i="92"/>
  <c r="N31" i="95" s="1"/>
  <c r="CF39" i="92"/>
  <c r="BR39" i="92"/>
  <c r="BO3" i="92"/>
  <c r="K9" i="95" s="1"/>
  <c r="CC3" i="92"/>
  <c r="NR4" i="78"/>
  <c r="T4" i="92" s="1"/>
  <c r="BP6" i="92"/>
  <c r="CD6" i="92"/>
  <c r="NR8" i="78"/>
  <c r="T8" i="92" s="1"/>
  <c r="CD10" i="92"/>
  <c r="BP10" i="92"/>
  <c r="L19" i="95" s="1"/>
  <c r="BO11" i="92"/>
  <c r="K18" i="95" s="1"/>
  <c r="CC11" i="92"/>
  <c r="NR12" i="78"/>
  <c r="T12" i="92" s="1"/>
  <c r="CD14" i="92"/>
  <c r="BP14" i="92"/>
  <c r="L37" i="95" s="1"/>
  <c r="CC15" i="92"/>
  <c r="BO15" i="92"/>
  <c r="K25" i="95" s="1"/>
  <c r="NR15" i="78"/>
  <c r="T15" i="92" s="1"/>
  <c r="CD17" i="92"/>
  <c r="BP17" i="92"/>
  <c r="L28" i="95" s="1"/>
  <c r="BO18" i="92"/>
  <c r="K32" i="95" s="1"/>
  <c r="CC18" i="92"/>
  <c r="NR19" i="78"/>
  <c r="T19" i="92" s="1"/>
  <c r="BP21" i="92"/>
  <c r="L5" i="95" s="1"/>
  <c r="CD21" i="92"/>
  <c r="CC22" i="92"/>
  <c r="BO22" i="92"/>
  <c r="K27" i="95" s="1"/>
  <c r="NR23" i="78"/>
  <c r="T23" i="92" s="1"/>
  <c r="CD25" i="92"/>
  <c r="BP25" i="92"/>
  <c r="L33" i="95" s="1"/>
  <c r="NR27" i="78"/>
  <c r="T27" i="92" s="1"/>
  <c r="BP29" i="92"/>
  <c r="L23" i="95" s="1"/>
  <c r="CD29" i="92"/>
  <c r="CC30" i="92"/>
  <c r="BO30" i="92"/>
  <c r="K30" i="95" s="1"/>
  <c r="CD32" i="92"/>
  <c r="BP32" i="92"/>
  <c r="L20" i="95" s="1"/>
  <c r="CC33" i="92"/>
  <c r="BO33" i="92"/>
  <c r="K24" i="95" s="1"/>
  <c r="NR34" i="78"/>
  <c r="T34" i="92" s="1"/>
  <c r="BP36" i="92"/>
  <c r="L35" i="95" s="1"/>
  <c r="CD36" i="92"/>
  <c r="CC37" i="92"/>
  <c r="BO37" i="92"/>
  <c r="NR38" i="78"/>
  <c r="T38" i="92" s="1"/>
  <c r="NR2" i="78"/>
  <c r="T2" i="92" s="1"/>
  <c r="CE16" i="92"/>
  <c r="BQ16" i="92"/>
  <c r="M8" i="95" s="1"/>
  <c r="Q42" i="92"/>
  <c r="CC4" i="92"/>
  <c r="BO4" i="92"/>
  <c r="K10" i="95" s="1"/>
  <c r="CC8" i="92"/>
  <c r="BO8" i="92"/>
  <c r="K15" i="95" s="1"/>
  <c r="BO12" i="92"/>
  <c r="K11" i="95" s="1"/>
  <c r="CC12" i="92"/>
  <c r="BP18" i="92"/>
  <c r="L32" i="95" s="1"/>
  <c r="CD18" i="92"/>
  <c r="BP22" i="92"/>
  <c r="L27" i="95" s="1"/>
  <c r="CD22" i="92"/>
  <c r="CD26" i="92"/>
  <c r="BP26" i="92"/>
  <c r="L6" i="95" s="1"/>
  <c r="BP30" i="92"/>
  <c r="L30" i="95" s="1"/>
  <c r="CD30" i="92"/>
  <c r="CD33" i="92"/>
  <c r="BP33" i="92"/>
  <c r="L24" i="95" s="1"/>
  <c r="CD37" i="92"/>
  <c r="BP37" i="92"/>
  <c r="Q41" i="92"/>
  <c r="BO2" i="92"/>
  <c r="K16" i="95" s="1"/>
  <c r="CC2" i="92"/>
  <c r="R42" i="92"/>
  <c r="BP4" i="92"/>
  <c r="L10" i="95" s="1"/>
  <c r="CD4" i="92"/>
  <c r="CC5" i="92"/>
  <c r="BO5" i="92"/>
  <c r="K7" i="95" s="1"/>
  <c r="NR6" i="78"/>
  <c r="T6" i="92" s="1"/>
  <c r="BP8" i="92"/>
  <c r="L15" i="95" s="1"/>
  <c r="CD8" i="92"/>
  <c r="CC9" i="92"/>
  <c r="BO9" i="92"/>
  <c r="K21" i="95" s="1"/>
  <c r="NR10" i="78"/>
  <c r="T10" i="92" s="1"/>
  <c r="CD12" i="92"/>
  <c r="BP12" i="92"/>
  <c r="L11" i="95" s="1"/>
  <c r="CC13" i="92"/>
  <c r="BO13" i="92"/>
  <c r="K26" i="95" s="1"/>
  <c r="NR14" i="78"/>
  <c r="T14" i="92" s="1"/>
  <c r="BQ15" i="92"/>
  <c r="M25" i="95" s="1"/>
  <c r="CE15" i="92"/>
  <c r="CC16" i="92"/>
  <c r="BO16" i="92"/>
  <c r="K8" i="95" s="1"/>
  <c r="NR17" i="78"/>
  <c r="T17" i="92" s="1"/>
  <c r="CD19" i="92"/>
  <c r="BP19" i="92"/>
  <c r="L36" i="95" s="1"/>
  <c r="CC20" i="92"/>
  <c r="BO20" i="92"/>
  <c r="K14" i="95" s="1"/>
  <c r="NR21" i="78"/>
  <c r="T21" i="92" s="1"/>
  <c r="BP23" i="92"/>
  <c r="CD23" i="92"/>
  <c r="CC24" i="92"/>
  <c r="BO24" i="92"/>
  <c r="K22" i="95" s="1"/>
  <c r="NR25" i="78"/>
  <c r="T25" i="92" s="1"/>
  <c r="CD27" i="92"/>
  <c r="BP27" i="92"/>
  <c r="L29" i="95" s="1"/>
  <c r="CC28" i="92"/>
  <c r="BO28" i="92"/>
  <c r="K34" i="95" s="1"/>
  <c r="NR29" i="78"/>
  <c r="T29" i="92" s="1"/>
  <c r="CD31" i="92"/>
  <c r="BP31" i="92"/>
  <c r="NR32" i="78"/>
  <c r="T32" i="92" s="1"/>
  <c r="CD34" i="92"/>
  <c r="BP34" i="92"/>
  <c r="L12" i="95" s="1"/>
  <c r="CC35" i="92"/>
  <c r="BO35" i="92"/>
  <c r="K31" i="95" s="1"/>
  <c r="NR36" i="78"/>
  <c r="T36" i="92" s="1"/>
  <c r="CD38" i="92"/>
  <c r="BP38" i="92"/>
  <c r="CC39" i="92"/>
  <c r="BO39" i="92"/>
  <c r="CF5" i="92"/>
  <c r="BR5" i="92"/>
  <c r="N7" i="95" s="1"/>
  <c r="CD11" i="92"/>
  <c r="BP11" i="92"/>
  <c r="L18" i="95" s="1"/>
  <c r="BP15" i="92"/>
  <c r="L25" i="95" s="1"/>
  <c r="CD15" i="92"/>
  <c r="CF20" i="92"/>
  <c r="BR20" i="92"/>
  <c r="N14" i="95" s="1"/>
  <c r="CC23" i="92"/>
  <c r="BO23" i="92"/>
  <c r="CC27" i="92"/>
  <c r="BO27" i="92"/>
  <c r="K29" i="95" s="1"/>
  <c r="CC31" i="92"/>
  <c r="BO31" i="92"/>
  <c r="CC34" i="92"/>
  <c r="BO34" i="92"/>
  <c r="K12" i="95" s="1"/>
  <c r="CC38" i="92"/>
  <c r="BO38" i="92"/>
  <c r="R41" i="92"/>
  <c r="BP2" i="92"/>
  <c r="L16" i="95" s="1"/>
  <c r="CD2" i="92"/>
  <c r="BR3" i="92"/>
  <c r="N9" i="95" s="1"/>
  <c r="CF3" i="92"/>
  <c r="BP5" i="92"/>
  <c r="L7" i="95" s="1"/>
  <c r="CD5" i="92"/>
  <c r="CC6" i="92"/>
  <c r="BO6" i="92"/>
  <c r="BP9" i="92"/>
  <c r="L21" i="95" s="1"/>
  <c r="CD9" i="92"/>
  <c r="BO10" i="92"/>
  <c r="K19" i="95" s="1"/>
  <c r="CC10" i="92"/>
  <c r="BR11" i="92"/>
  <c r="N18" i="95" s="1"/>
  <c r="CF11" i="92"/>
  <c r="CD13" i="92"/>
  <c r="BP13" i="92"/>
  <c r="L26" i="95" s="1"/>
  <c r="CC14" i="92"/>
  <c r="BO14" i="92"/>
  <c r="K37" i="95" s="1"/>
  <c r="BP16" i="92"/>
  <c r="L8" i="95" s="1"/>
  <c r="CD16" i="92"/>
  <c r="CC17" i="92"/>
  <c r="BO17" i="92"/>
  <c r="K28" i="95" s="1"/>
  <c r="BR18" i="92"/>
  <c r="N32" i="95" s="1"/>
  <c r="CF18" i="92"/>
  <c r="BP20" i="92"/>
  <c r="L14" i="95" s="1"/>
  <c r="CD20" i="92"/>
  <c r="BO21" i="92"/>
  <c r="K5" i="95" s="1"/>
  <c r="CC21" i="92"/>
  <c r="CD24" i="92"/>
  <c r="BP24" i="92"/>
  <c r="L22" i="95" s="1"/>
  <c r="BO25" i="92"/>
  <c r="K33" i="95" s="1"/>
  <c r="CC25" i="92"/>
  <c r="BR26" i="92"/>
  <c r="N6" i="95" s="1"/>
  <c r="BP28" i="92"/>
  <c r="L34" i="95" s="1"/>
  <c r="CD28" i="92"/>
  <c r="CC29" i="92"/>
  <c r="BO29" i="92"/>
  <c r="K23" i="95" s="1"/>
  <c r="CF30" i="92"/>
  <c r="BR30" i="92"/>
  <c r="N30" i="95" s="1"/>
  <c r="CE31" i="92"/>
  <c r="BQ31" i="92"/>
  <c r="BO32" i="92"/>
  <c r="K20" i="95" s="1"/>
  <c r="CC32" i="92"/>
  <c r="BR33" i="92"/>
  <c r="N24" i="95" s="1"/>
  <c r="CD35" i="92"/>
  <c r="BP35" i="92"/>
  <c r="L31" i="95" s="1"/>
  <c r="CC36" i="92"/>
  <c r="BO36" i="92"/>
  <c r="K35" i="95" s="1"/>
  <c r="CF37" i="92"/>
  <c r="BR37" i="92"/>
  <c r="CD39" i="92"/>
  <c r="BP39" i="92"/>
  <c r="BQ5" i="92"/>
  <c r="M7" i="95" s="1"/>
  <c r="S42" i="92"/>
  <c r="AK1154" i="1"/>
  <c r="AL1154" i="1"/>
  <c r="AL1040" i="1"/>
  <c r="AK1040" i="1"/>
  <c r="AL1052" i="1"/>
  <c r="AK1052" i="1"/>
  <c r="AK1158" i="1"/>
  <c r="AL1158" i="1"/>
  <c r="AK1100" i="1"/>
  <c r="AL1100" i="1"/>
  <c r="AK1161" i="1"/>
  <c r="AL1161" i="1"/>
  <c r="AL1042" i="1"/>
  <c r="AK1042" i="1"/>
  <c r="AK1141" i="1"/>
  <c r="AL1141" i="1"/>
  <c r="AL1058" i="1"/>
  <c r="AK1058" i="1"/>
  <c r="AL1024" i="1"/>
  <c r="AK1024" i="1"/>
  <c r="AL1061" i="1"/>
  <c r="AK1061" i="1"/>
  <c r="AK70" i="1"/>
  <c r="AL70" i="1"/>
  <c r="AK1102" i="1"/>
  <c r="AL1102" i="1"/>
  <c r="AL1027" i="1"/>
  <c r="AK1027" i="1"/>
  <c r="AL1021" i="1"/>
  <c r="AK1021" i="1"/>
  <c r="AK1032" i="1"/>
  <c r="AL1032" i="1"/>
  <c r="AL1041" i="1"/>
  <c r="AK1041" i="1"/>
  <c r="AK1147" i="1"/>
  <c r="AL1147" i="1"/>
  <c r="AK349" i="1"/>
  <c r="AL349" i="1"/>
  <c r="AK1155" i="1"/>
  <c r="AL1155" i="1"/>
  <c r="AL1055" i="1"/>
  <c r="AK1055" i="1"/>
  <c r="AL314" i="1"/>
  <c r="AK314" i="1"/>
  <c r="AL1050" i="1"/>
  <c r="AK1050" i="1"/>
  <c r="AL1084" i="1"/>
  <c r="AK1084" i="1"/>
  <c r="AK1132" i="1"/>
  <c r="AL1132" i="1"/>
  <c r="AK246" i="1"/>
  <c r="AL246" i="1"/>
  <c r="AK441" i="1"/>
  <c r="AL441" i="1"/>
  <c r="AK321" i="1"/>
  <c r="AL321" i="1"/>
  <c r="AL298" i="1"/>
  <c r="AK298" i="1"/>
  <c r="AK1064" i="1"/>
  <c r="AL1064" i="1"/>
  <c r="AK62" i="1"/>
  <c r="AL62" i="1"/>
  <c r="AL1037" i="1"/>
  <c r="AK1037" i="1"/>
  <c r="AL1014" i="1"/>
  <c r="AK1014" i="1"/>
  <c r="AL244" i="1"/>
  <c r="AK244" i="1"/>
  <c r="AK1112" i="1"/>
  <c r="AL1112" i="1"/>
  <c r="AL71" i="1"/>
  <c r="AK71" i="1"/>
  <c r="AK1120" i="1"/>
  <c r="AL1120" i="1"/>
  <c r="AL405" i="1"/>
  <c r="AK405" i="1"/>
  <c r="AK1159" i="1"/>
  <c r="AL1159" i="1"/>
  <c r="AL1026" i="1"/>
  <c r="AK1026" i="1"/>
  <c r="AL1018" i="1"/>
  <c r="AK1018" i="1"/>
  <c r="AL297" i="1"/>
  <c r="AK297" i="1"/>
  <c r="AK1143" i="1"/>
  <c r="AL1143" i="1"/>
  <c r="AK1130" i="1"/>
  <c r="AL1130" i="1"/>
  <c r="AL1048" i="1"/>
  <c r="AK1048" i="1"/>
  <c r="AK1103" i="1"/>
  <c r="AL1103" i="1"/>
  <c r="AK1135" i="1"/>
  <c r="AL1135" i="1"/>
  <c r="AL1023" i="1"/>
  <c r="AK1023" i="1"/>
  <c r="AK1140" i="1"/>
  <c r="AL1140" i="1"/>
  <c r="AL1015" i="1"/>
  <c r="AK1015" i="1"/>
  <c r="AL1063" i="1"/>
  <c r="AK1063" i="1"/>
  <c r="AK1138" i="1"/>
  <c r="AL1138" i="1"/>
  <c r="AL1054" i="1"/>
  <c r="AK1054" i="1"/>
  <c r="AA23" i="15"/>
  <c r="O1054" i="1"/>
  <c r="P1054" i="1" s="1"/>
  <c r="O1103" i="1"/>
  <c r="P1103" i="1" s="1"/>
  <c r="AA8" i="15"/>
  <c r="AA40" i="15"/>
  <c r="AB43" i="15"/>
  <c r="AB15" i="15"/>
  <c r="AB8" i="15"/>
  <c r="AB18" i="15"/>
  <c r="U15" i="15"/>
  <c r="G299" i="24"/>
  <c r="AA41" i="92"/>
  <c r="MU2" i="78"/>
  <c r="AB16" i="92"/>
  <c r="AA42" i="92"/>
  <c r="AB42" i="92"/>
  <c r="Z42" i="92"/>
  <c r="V42" i="92"/>
  <c r="AA15" i="15"/>
  <c r="G375" i="24"/>
  <c r="AA41" i="15"/>
  <c r="AI17" i="92"/>
  <c r="AI38" i="92"/>
  <c r="AW38" i="92"/>
  <c r="AW39" i="92"/>
  <c r="AW17" i="92"/>
  <c r="AI31" i="92"/>
  <c r="AI37" i="92"/>
  <c r="AW37" i="92"/>
  <c r="AI39" i="92"/>
  <c r="AW31" i="92"/>
  <c r="BR22" i="92" l="1"/>
  <c r="N27" i="95" s="1"/>
  <c r="BR36" i="92"/>
  <c r="N35" i="95" s="1"/>
  <c r="CF36" i="92"/>
  <c r="CF29" i="92"/>
  <c r="BR29" i="92"/>
  <c r="N23" i="95" s="1"/>
  <c r="BR14" i="92"/>
  <c r="N37" i="95" s="1"/>
  <c r="CF14" i="92"/>
  <c r="T41" i="92"/>
  <c r="BR2" i="92"/>
  <c r="N16" i="95" s="1"/>
  <c r="CF2" i="92"/>
  <c r="BR15" i="92"/>
  <c r="N25" i="95" s="1"/>
  <c r="CF15" i="92"/>
  <c r="CD41" i="92"/>
  <c r="BP41" i="92"/>
  <c r="L17" i="95" s="1"/>
  <c r="CF32" i="92"/>
  <c r="BR32" i="92"/>
  <c r="N20" i="95" s="1"/>
  <c r="CF25" i="92"/>
  <c r="BR25" i="92"/>
  <c r="N33" i="95" s="1"/>
  <c r="CF10" i="92"/>
  <c r="BR10" i="92"/>
  <c r="N19" i="95" s="1"/>
  <c r="BO42" i="92"/>
  <c r="K13" i="95" s="1"/>
  <c r="CC42" i="92"/>
  <c r="CF38" i="92"/>
  <c r="BR38" i="92"/>
  <c r="BR12" i="92"/>
  <c r="N11" i="95" s="1"/>
  <c r="CF12" i="92"/>
  <c r="T42" i="92"/>
  <c r="BR4" i="92"/>
  <c r="N10" i="95" s="1"/>
  <c r="CF4" i="92"/>
  <c r="CF21" i="92"/>
  <c r="BR21" i="92"/>
  <c r="N5" i="95" s="1"/>
  <c r="BR6" i="92"/>
  <c r="CF6" i="92"/>
  <c r="CC41" i="92"/>
  <c r="BO41" i="92"/>
  <c r="K17" i="95" s="1"/>
  <c r="BR34" i="92"/>
  <c r="N12" i="95" s="1"/>
  <c r="CF34" i="92"/>
  <c r="CF23" i="92"/>
  <c r="BR23" i="92"/>
  <c r="BR8" i="92"/>
  <c r="N15" i="95" s="1"/>
  <c r="CF8" i="92"/>
  <c r="CF17" i="92"/>
  <c r="BR17" i="92"/>
  <c r="N28" i="95" s="1"/>
  <c r="BP42" i="92"/>
  <c r="L13" i="95" s="1"/>
  <c r="CD42" i="92"/>
  <c r="CF27" i="92"/>
  <c r="BR27" i="92"/>
  <c r="N29" i="95" s="1"/>
  <c r="BR19" i="92"/>
  <c r="N36" i="95" s="1"/>
  <c r="CF19" i="92"/>
  <c r="BQ42" i="92"/>
  <c r="M13" i="95" s="1"/>
  <c r="CE42" i="92"/>
  <c r="AB2" i="92"/>
  <c r="AB41" i="92" s="1"/>
  <c r="MM2" i="78"/>
  <c r="S2" i="92" s="1"/>
  <c r="AA31" i="15"/>
  <c r="E46" i="24"/>
  <c r="AJ662" i="1" s="1"/>
  <c r="E286" i="24"/>
  <c r="AJ661" i="1" s="1"/>
  <c r="E468" i="24"/>
  <c r="AJ893" i="1" s="1"/>
  <c r="E467" i="24"/>
  <c r="AB10" i="15"/>
  <c r="F466" i="24"/>
  <c r="N466" i="24" s="1"/>
  <c r="E466" i="24"/>
  <c r="AJ784" i="1" s="1"/>
  <c r="E465" i="24"/>
  <c r="AJ804" i="1" s="1"/>
  <c r="AA29" i="15"/>
  <c r="H627" i="1"/>
  <c r="E285" i="24"/>
  <c r="AJ436" i="1" s="1"/>
  <c r="E374" i="24"/>
  <c r="AJ387" i="1" s="1"/>
  <c r="E464" i="24"/>
  <c r="AJ374" i="1" s="1"/>
  <c r="E106" i="24"/>
  <c r="AJ566" i="1" s="1"/>
  <c r="E107" i="24"/>
  <c r="AJ567" i="1" s="1"/>
  <c r="E462" i="24"/>
  <c r="AJ386" i="1" s="1"/>
  <c r="E463" i="24"/>
  <c r="AJ380" i="1" s="1"/>
  <c r="E284" i="24"/>
  <c r="AJ404" i="1" s="1"/>
  <c r="S41" i="92" l="1"/>
  <c r="BQ2" i="92"/>
  <c r="M16" i="95" s="1"/>
  <c r="CE2" i="92"/>
  <c r="BR41" i="92"/>
  <c r="N17" i="95" s="1"/>
  <c r="CF41" i="92"/>
  <c r="BR42" i="92"/>
  <c r="N13" i="95" s="1"/>
  <c r="CF42" i="92"/>
  <c r="O784" i="1"/>
  <c r="P784" i="1" s="1"/>
  <c r="R782" i="1" s="1"/>
  <c r="S782" i="1" s="1"/>
  <c r="AA38" i="15" s="1"/>
  <c r="R627" i="1"/>
  <c r="S627" i="1" s="1"/>
  <c r="D25" i="52" s="1"/>
  <c r="AL566" i="1"/>
  <c r="AK566" i="1"/>
  <c r="AK386" i="1"/>
  <c r="AL386" i="1"/>
  <c r="AK387" i="1"/>
  <c r="AL387" i="1"/>
  <c r="AL784" i="1"/>
  <c r="AK784" i="1"/>
  <c r="AK567" i="1"/>
  <c r="AL567" i="1"/>
  <c r="AJ660" i="1"/>
  <c r="AJ891" i="1"/>
  <c r="AL893" i="1"/>
  <c r="AK893" i="1"/>
  <c r="AK374" i="1"/>
  <c r="AL374" i="1"/>
  <c r="AL661" i="1"/>
  <c r="AK661" i="1"/>
  <c r="AL804" i="1"/>
  <c r="AK804" i="1"/>
  <c r="AL662" i="1"/>
  <c r="AK662" i="1"/>
  <c r="AK404" i="1"/>
  <c r="AL404" i="1"/>
  <c r="AL380" i="1"/>
  <c r="AK380" i="1"/>
  <c r="AK436" i="1"/>
  <c r="AL436" i="1"/>
  <c r="AA24" i="15"/>
  <c r="AA39" i="15"/>
  <c r="AB39" i="15"/>
  <c r="AB31" i="15"/>
  <c r="BQ41" i="92" l="1"/>
  <c r="M17" i="95" s="1"/>
  <c r="CE41" i="92"/>
  <c r="AL891" i="1"/>
  <c r="AK891" i="1"/>
  <c r="AL660" i="1"/>
  <c r="AK660" i="1"/>
  <c r="AB20" i="15"/>
  <c r="AA25" i="15" l="1"/>
  <c r="E283" i="24" l="1"/>
  <c r="AJ422" i="1" s="1"/>
  <c r="E282" i="24"/>
  <c r="AJ425" i="1" s="1"/>
  <c r="AB19" i="15"/>
  <c r="AA14" i="15"/>
  <c r="AR735" i="1" a="1"/>
  <c r="AK425" i="1" l="1"/>
  <c r="AL425" i="1"/>
  <c r="AK422" i="1"/>
  <c r="AL422" i="1"/>
  <c r="AB17" i="15"/>
  <c r="G282" i="24"/>
  <c r="AB7" i="15"/>
  <c r="AR735" i="1"/>
  <c r="K2" i="1" l="1"/>
  <c r="F168" i="24"/>
  <c r="N168" i="24" s="1"/>
  <c r="O392" i="1" l="1"/>
  <c r="Q2" i="1"/>
  <c r="P2" i="1"/>
  <c r="F36" i="24"/>
  <c r="N36" i="24" s="1"/>
  <c r="F32" i="24"/>
  <c r="N32" i="24" s="1"/>
  <c r="F34" i="24"/>
  <c r="N34" i="24" s="1"/>
  <c r="E17" i="24"/>
  <c r="AJ543" i="1" s="1"/>
  <c r="E34" i="24"/>
  <c r="AJ540" i="1" s="1"/>
  <c r="E32" i="24"/>
  <c r="AJ541" i="1" s="1"/>
  <c r="E36" i="24"/>
  <c r="AJ542" i="1" s="1"/>
  <c r="F17" i="24"/>
  <c r="N17" i="24" s="1"/>
  <c r="AM2" i="1"/>
  <c r="AQ576" i="1" l="1"/>
  <c r="AQ1120" i="1"/>
  <c r="AQ1064" i="1"/>
  <c r="AQ1050" i="1"/>
  <c r="AK540" i="1"/>
  <c r="AL540" i="1"/>
  <c r="AK543" i="1"/>
  <c r="AL543" i="1"/>
  <c r="AK542" i="1"/>
  <c r="AL542" i="1"/>
  <c r="AK541" i="1"/>
  <c r="AL541" i="1"/>
  <c r="Q392" i="1"/>
  <c r="P392" i="1"/>
  <c r="O543" i="1"/>
  <c r="O541" i="1"/>
  <c r="O542" i="1"/>
  <c r="O540" i="1"/>
  <c r="O2" i="1"/>
  <c r="E202" i="24"/>
  <c r="AJ1005" i="1" s="1"/>
  <c r="E16" i="24"/>
  <c r="E186" i="24"/>
  <c r="AJ762" i="1" s="1"/>
  <c r="E402" i="24"/>
  <c r="AJ313" i="1" s="1"/>
  <c r="E15" i="24"/>
  <c r="AJ107" i="1" s="1"/>
  <c r="E169" i="24"/>
  <c r="AJ356" i="1" s="1"/>
  <c r="E401" i="24"/>
  <c r="E53" i="24"/>
  <c r="AJ347" i="1" s="1"/>
  <c r="E148" i="24"/>
  <c r="AJ894" i="1" s="1"/>
  <c r="E126" i="24"/>
  <c r="AJ565" i="1" s="1"/>
  <c r="E179" i="24"/>
  <c r="AJ659" i="1" s="1"/>
  <c r="E182" i="24"/>
  <c r="AJ354" i="1" s="1"/>
  <c r="E14" i="24"/>
  <c r="AJ22" i="1" s="1"/>
  <c r="E235" i="24"/>
  <c r="AJ418" i="1" s="1"/>
  <c r="E163" i="24"/>
  <c r="AJ208" i="1" s="1"/>
  <c r="E55" i="24"/>
  <c r="E370" i="24"/>
  <c r="AJ46" i="1" s="1"/>
  <c r="E398" i="24"/>
  <c r="AJ598" i="1" s="1"/>
  <c r="E125" i="24"/>
  <c r="AJ875" i="1" s="1"/>
  <c r="E74" i="24"/>
  <c r="AJ692" i="1" s="1"/>
  <c r="E92" i="24"/>
  <c r="AJ1072" i="1" s="1"/>
  <c r="E91" i="24"/>
  <c r="AJ1067" i="1" s="1"/>
  <c r="E412" i="24"/>
  <c r="AJ471" i="1" s="1"/>
  <c r="AJ399" i="1"/>
  <c r="E194" i="24"/>
  <c r="E124" i="24"/>
  <c r="AJ9" i="1" s="1"/>
  <c r="E123" i="24"/>
  <c r="AJ8" i="1" s="1"/>
  <c r="E213" i="24"/>
  <c r="AJ777" i="1" s="1"/>
  <c r="E415" i="24"/>
  <c r="E414" i="24"/>
  <c r="E413" i="24"/>
  <c r="AJ294" i="1" s="1"/>
  <c r="E252" i="24"/>
  <c r="E419" i="24"/>
  <c r="E397" i="24"/>
  <c r="E423" i="24"/>
  <c r="AJ3" i="1" s="1"/>
  <c r="E80" i="24"/>
  <c r="E404" i="24"/>
  <c r="AJ185" i="1" s="1"/>
  <c r="E19" i="24"/>
  <c r="E201" i="24"/>
  <c r="E200" i="24"/>
  <c r="E323" i="24"/>
  <c r="AJ928" i="1" s="1"/>
  <c r="E122" i="24"/>
  <c r="E355" i="24"/>
  <c r="AJ156" i="1" s="1"/>
  <c r="AK156" i="1" s="1"/>
  <c r="E121" i="24"/>
  <c r="AJ7" i="1" s="1"/>
  <c r="E461" i="24"/>
  <c r="AJ50" i="1" s="1"/>
  <c r="E234" i="24"/>
  <c r="E437" i="24"/>
  <c r="AJ539" i="1" s="1"/>
  <c r="E353" i="24"/>
  <c r="AJ270" i="1" s="1"/>
  <c r="E333" i="24"/>
  <c r="AJ874" i="1" s="1"/>
  <c r="E222" i="24"/>
  <c r="E211" i="24"/>
  <c r="E41" i="24"/>
  <c r="E332" i="24"/>
  <c r="AJ599" i="1" s="1"/>
  <c r="E13" i="24"/>
  <c r="AJ655" i="1" s="1"/>
  <c r="E12" i="24"/>
  <c r="E11" i="24"/>
  <c r="E351" i="24"/>
  <c r="E120" i="24"/>
  <c r="AJ1081" i="1" s="1"/>
  <c r="E105" i="24"/>
  <c r="AJ221" i="1" s="1"/>
  <c r="AK221" i="1" s="1"/>
  <c r="E10" i="24"/>
  <c r="AJ116" i="1" s="1"/>
  <c r="E436" i="24"/>
  <c r="AJ650" i="1" s="1"/>
  <c r="E433" i="24"/>
  <c r="E184" i="24"/>
  <c r="AJ198" i="1" s="1"/>
  <c r="E446" i="24"/>
  <c r="AJ187" i="1" s="1"/>
  <c r="E89" i="24"/>
  <c r="AJ217" i="1" s="1"/>
  <c r="AK217" i="1" s="1"/>
  <c r="E251" i="24"/>
  <c r="AJ273" i="1" s="1"/>
  <c r="E432" i="24"/>
  <c r="AJ251" i="1" s="1"/>
  <c r="E210" i="24"/>
  <c r="AJ151" i="1" s="1"/>
  <c r="E324" i="24"/>
  <c r="AJ933" i="1" s="1"/>
  <c r="AK933" i="1" s="1"/>
  <c r="E65" i="24"/>
  <c r="E396" i="24"/>
  <c r="E227" i="24"/>
  <c r="AJ772" i="1" s="1"/>
  <c r="E448" i="24"/>
  <c r="E146" i="24"/>
  <c r="AJ740" i="1" s="1"/>
  <c r="E278" i="24"/>
  <c r="AJ934" i="1" s="1"/>
  <c r="AK934" i="1" s="1"/>
  <c r="E369" i="24"/>
  <c r="AJ603" i="1" s="1"/>
  <c r="E84" i="24"/>
  <c r="E325" i="24"/>
  <c r="AJ690" i="1" s="1"/>
  <c r="E240" i="24"/>
  <c r="E243" i="24"/>
  <c r="AJ99" i="1" s="1"/>
  <c r="E199" i="24"/>
  <c r="AJ111" i="1" s="1"/>
  <c r="E166" i="24"/>
  <c r="AJ170" i="1" s="1"/>
  <c r="E253" i="24"/>
  <c r="AJ271" i="1" s="1"/>
  <c r="E326" i="24"/>
  <c r="E93" i="24"/>
  <c r="AJ760" i="1" s="1"/>
  <c r="E405" i="24"/>
  <c r="E395" i="24"/>
  <c r="AJ49" i="1" s="1"/>
  <c r="E407" i="24"/>
  <c r="E187" i="24"/>
  <c r="AJ113" i="1" s="1"/>
  <c r="E73" i="24"/>
  <c r="AJ219" i="1" s="1"/>
  <c r="AK219" i="1" s="1"/>
  <c r="E181" i="24"/>
  <c r="E394" i="24"/>
  <c r="AJ813" i="1" s="1"/>
  <c r="E352" i="24"/>
  <c r="AJ415" i="1" s="1"/>
  <c r="E393" i="24"/>
  <c r="E59" i="24"/>
  <c r="E37" i="24"/>
  <c r="AJ694" i="1" s="1"/>
  <c r="E366" i="24"/>
  <c r="E119" i="24"/>
  <c r="E392" i="24"/>
  <c r="E101" i="24"/>
  <c r="AJ706" i="1" s="1"/>
  <c r="E260" i="24"/>
  <c r="AJ931" i="1" s="1"/>
  <c r="AK931" i="1" s="1"/>
  <c r="E63" i="24"/>
  <c r="AJ682" i="1" s="1"/>
  <c r="E144" i="24"/>
  <c r="AJ411" i="1" s="1"/>
  <c r="E207" i="24"/>
  <c r="E420" i="24"/>
  <c r="AJ757" i="1" s="1"/>
  <c r="E417" i="24"/>
  <c r="AJ472" i="1" s="1"/>
  <c r="E156" i="24"/>
  <c r="E229" i="24"/>
  <c r="E443" i="24"/>
  <c r="AJ135" i="1" s="1"/>
  <c r="E434" i="24"/>
  <c r="AJ747" i="1" s="1"/>
  <c r="E445" i="24"/>
  <c r="AJ749" i="1" s="1"/>
  <c r="E444" i="24"/>
  <c r="AJ748" i="1" s="1"/>
  <c r="E391" i="24"/>
  <c r="AJ725" i="1" s="1"/>
  <c r="E442" i="24"/>
  <c r="AJ726" i="1" s="1"/>
  <c r="E449" i="24"/>
  <c r="AJ724" i="1" s="1"/>
  <c r="E242" i="24"/>
  <c r="AJ434" i="1" s="1"/>
  <c r="E330" i="24"/>
  <c r="AJ558" i="1" s="1"/>
  <c r="E68" i="24"/>
  <c r="AJ1086" i="1" s="1"/>
  <c r="E224" i="24"/>
  <c r="E231" i="24"/>
  <c r="E152" i="24"/>
  <c r="E196" i="24"/>
  <c r="AJ1122" i="1" s="1"/>
  <c r="E118" i="24"/>
  <c r="E458" i="24"/>
  <c r="E176" i="24"/>
  <c r="E411" i="24"/>
  <c r="AJ481" i="1" s="1"/>
  <c r="E195" i="24"/>
  <c r="AJ1126" i="1" s="1"/>
  <c r="E188" i="24"/>
  <c r="AJ644" i="1" s="1"/>
  <c r="E39" i="24"/>
  <c r="AJ643" i="1" s="1"/>
  <c r="E349" i="24"/>
  <c r="AJ607" i="1" s="1"/>
  <c r="E266" i="24"/>
  <c r="E217" i="24"/>
  <c r="AJ861" i="1" s="1"/>
  <c r="AK861" i="1" s="1"/>
  <c r="E33" i="24"/>
  <c r="AJ215" i="1" s="1"/>
  <c r="AK215" i="1" s="1"/>
  <c r="E103" i="24"/>
  <c r="E198" i="24"/>
  <c r="E354" i="24"/>
  <c r="E208" i="24"/>
  <c r="AJ329" i="1" s="1"/>
  <c r="E160" i="24"/>
  <c r="AJ172" i="1" s="1"/>
  <c r="E189" i="24"/>
  <c r="E155" i="24"/>
  <c r="E340" i="24"/>
  <c r="AJ390" i="1" s="1"/>
  <c r="E344" i="24"/>
  <c r="AJ597" i="1" s="1"/>
  <c r="E390" i="24"/>
  <c r="E457" i="24"/>
  <c r="E9" i="24"/>
  <c r="E185" i="24"/>
  <c r="AJ870" i="1" s="1"/>
  <c r="E18" i="24"/>
  <c r="E168" i="24"/>
  <c r="AJ392" i="1" s="1"/>
  <c r="E158" i="24"/>
  <c r="AJ1121" i="1" s="1"/>
  <c r="E320" i="24"/>
  <c r="AJ231" i="1" s="1"/>
  <c r="E236" i="24"/>
  <c r="E193" i="24"/>
  <c r="E250" i="24"/>
  <c r="E56" i="24"/>
  <c r="AJ563" i="1" s="1"/>
  <c r="E262" i="24"/>
  <c r="AJ930" i="1" s="1"/>
  <c r="AK930" i="1" s="1"/>
  <c r="E44" i="24"/>
  <c r="E170" i="24"/>
  <c r="E95" i="24"/>
  <c r="E172" i="24"/>
  <c r="E183" i="24"/>
  <c r="AJ711" i="1" s="1"/>
  <c r="E8" i="24"/>
  <c r="E203" i="24"/>
  <c r="E173" i="24"/>
  <c r="E70" i="24"/>
  <c r="AJ204" i="1" s="1"/>
  <c r="E61" i="24"/>
  <c r="AJ203" i="1" s="1"/>
  <c r="E389" i="24"/>
  <c r="E212" i="24"/>
  <c r="AJ1124" i="1" s="1"/>
  <c r="E233" i="24"/>
  <c r="E218" i="24"/>
  <c r="AJ888" i="1" s="1"/>
  <c r="E453" i="24"/>
  <c r="AJ32" i="1" s="1"/>
  <c r="E451" i="24"/>
  <c r="E104" i="24"/>
  <c r="E454" i="24"/>
  <c r="E450" i="24"/>
  <c r="E367" i="24"/>
  <c r="AJ43" i="1" s="1"/>
  <c r="E455" i="24"/>
  <c r="AJ468" i="1" s="1"/>
  <c r="E452" i="24"/>
  <c r="AJ134" i="1" s="1"/>
  <c r="E54" i="24"/>
  <c r="AJ508" i="1" s="1"/>
  <c r="E78" i="24"/>
  <c r="AJ774" i="1" s="1"/>
  <c r="E249" i="24"/>
  <c r="E102" i="24"/>
  <c r="AJ224" i="1" s="1"/>
  <c r="AK224" i="1" s="1"/>
  <c r="E72" i="24"/>
  <c r="E232" i="24"/>
  <c r="E421" i="24"/>
  <c r="AJ755" i="1" s="1"/>
  <c r="E69" i="24"/>
  <c r="AJ586" i="1" s="1"/>
  <c r="E206" i="24"/>
  <c r="AJ976" i="1" s="1"/>
  <c r="E216" i="24"/>
  <c r="E204" i="24"/>
  <c r="E191" i="24"/>
  <c r="AJ709" i="1" s="1"/>
  <c r="E147" i="24"/>
  <c r="AJ383" i="1" s="1"/>
  <c r="E430" i="24"/>
  <c r="AJ754" i="1" s="1"/>
  <c r="E388" i="24"/>
  <c r="AJ474" i="1" s="1"/>
  <c r="E275" i="24"/>
  <c r="AJ97" i="1" s="1"/>
  <c r="E387" i="24"/>
  <c r="AJ1125" i="1" s="1"/>
  <c r="E364" i="24"/>
  <c r="E327" i="24"/>
  <c r="AJ144" i="1" s="1"/>
  <c r="AK144" i="1" s="1"/>
  <c r="E365" i="24"/>
  <c r="AJ142" i="1" s="1"/>
  <c r="AK142" i="1" s="1"/>
  <c r="E373" i="24"/>
  <c r="AJ141" i="1" s="1"/>
  <c r="AK141" i="1" s="1"/>
  <c r="E280" i="24"/>
  <c r="AJ148" i="1" s="1"/>
  <c r="AK148" i="1" s="1"/>
  <c r="E368" i="24"/>
  <c r="AJ149" i="1" s="1"/>
  <c r="AK149" i="1" s="1"/>
  <c r="E279" i="24"/>
  <c r="AJ147" i="1" s="1"/>
  <c r="AK147" i="1" s="1"/>
  <c r="E192" i="24"/>
  <c r="E431" i="24"/>
  <c r="AJ767" i="1" s="1"/>
  <c r="E418" i="24"/>
  <c r="E403" i="24"/>
  <c r="AJ479" i="1" s="1"/>
  <c r="E157" i="24"/>
  <c r="E7" i="24"/>
  <c r="AJ115" i="1" s="1"/>
  <c r="E358" i="24"/>
  <c r="AJ44" i="1" s="1"/>
  <c r="E256" i="24"/>
  <c r="E76" i="24"/>
  <c r="AJ876" i="1" s="1"/>
  <c r="E154" i="24"/>
  <c r="E42" i="24"/>
  <c r="E269" i="24"/>
  <c r="E386" i="24"/>
  <c r="AJ634" i="1" s="1"/>
  <c r="E62" i="24"/>
  <c r="AJ972" i="1" s="1"/>
  <c r="E246" i="24"/>
  <c r="E259" i="24"/>
  <c r="E117" i="24"/>
  <c r="AJ879" i="1" s="1"/>
  <c r="E459" i="24"/>
  <c r="E178" i="24"/>
  <c r="AJ427" i="1" s="1"/>
  <c r="E440" i="24"/>
  <c r="E100" i="24"/>
  <c r="E90" i="24"/>
  <c r="AJ707" i="1" s="1"/>
  <c r="E116" i="24"/>
  <c r="AJ222" i="1" s="1"/>
  <c r="AK222" i="1" s="1"/>
  <c r="E343" i="24"/>
  <c r="AJ375" i="1" s="1"/>
  <c r="E350" i="24"/>
  <c r="AJ96" i="1" s="1"/>
  <c r="E271" i="24"/>
  <c r="E441" i="24"/>
  <c r="E241" i="24"/>
  <c r="E238" i="24"/>
  <c r="AJ152" i="1" s="1"/>
  <c r="AK152" i="1" s="1"/>
  <c r="E96" i="24"/>
  <c r="AJ685" i="1" s="1"/>
  <c r="E425" i="24"/>
  <c r="AJ286" i="1" s="1"/>
  <c r="E270" i="24"/>
  <c r="E409" i="24"/>
  <c r="E406" i="24"/>
  <c r="E356" i="24"/>
  <c r="AJ372" i="1" s="1"/>
  <c r="E273" i="24"/>
  <c r="E416" i="24"/>
  <c r="E164" i="24"/>
  <c r="E21" i="24"/>
  <c r="E115" i="24"/>
  <c r="E438" i="24"/>
  <c r="AJ310" i="1" s="1"/>
  <c r="E43" i="24"/>
  <c r="AJ506" i="1" s="1"/>
  <c r="E429" i="24"/>
  <c r="E361" i="24"/>
  <c r="AJ369" i="1" s="1"/>
  <c r="E6" i="24"/>
  <c r="AJ654" i="1" s="1"/>
  <c r="E385" i="24"/>
  <c r="AJ1123" i="1" s="1"/>
  <c r="E5" i="24"/>
  <c r="AJ963" i="1" s="1"/>
  <c r="E347" i="24"/>
  <c r="E337" i="24"/>
  <c r="E460" i="24"/>
  <c r="AJ186" i="1" s="1"/>
  <c r="E382" i="24"/>
  <c r="AJ745" i="1" s="1"/>
  <c r="E97" i="24"/>
  <c r="AJ365" i="1" s="1"/>
  <c r="E422" i="24"/>
  <c r="AJ756" i="1" s="1"/>
  <c r="E99" i="24"/>
  <c r="E197" i="24"/>
  <c r="E226" i="24"/>
  <c r="AJ860" i="1" s="1"/>
  <c r="E177" i="24"/>
  <c r="AJ171" i="1" s="1"/>
  <c r="E66" i="24"/>
  <c r="AJ214" i="1" s="1"/>
  <c r="AK214" i="1" s="1"/>
  <c r="E346" i="24"/>
  <c r="AJ154" i="1" s="1"/>
  <c r="AK154" i="1" s="1"/>
  <c r="E342" i="24"/>
  <c r="AJ153" i="1" s="1"/>
  <c r="AK153" i="1" s="1"/>
  <c r="E35" i="24"/>
  <c r="E380" i="24"/>
  <c r="AJ1001" i="1" s="1"/>
  <c r="E4" i="24"/>
  <c r="AJ1087" i="1" s="1"/>
  <c r="E272" i="24"/>
  <c r="E428" i="24"/>
  <c r="AJ620" i="1" s="1"/>
  <c r="E40" i="24"/>
  <c r="AJ948" i="1" s="1"/>
  <c r="AK948" i="1" s="1"/>
  <c r="E153" i="24"/>
  <c r="AJ993" i="1" s="1"/>
  <c r="E379" i="24"/>
  <c r="AJ651" i="1" s="1"/>
  <c r="E114" i="24"/>
  <c r="E426" i="24"/>
  <c r="AJ473" i="1" s="1"/>
  <c r="E372" i="24"/>
  <c r="AJ272" i="1" s="1"/>
  <c r="E221" i="24"/>
  <c r="E360" i="24"/>
  <c r="AJ630" i="1" s="1"/>
  <c r="E162" i="24"/>
  <c r="E439" i="24"/>
  <c r="AJ759" i="1" s="1"/>
  <c r="E98" i="24"/>
  <c r="E205" i="24"/>
  <c r="AJ168" i="1" s="1"/>
  <c r="E175" i="24"/>
  <c r="E322" i="24"/>
  <c r="AJ359" i="1" s="1"/>
  <c r="E371" i="24"/>
  <c r="AJ155" i="1" s="1"/>
  <c r="AK155" i="1" s="1"/>
  <c r="E60" i="24"/>
  <c r="AJ880" i="1" s="1"/>
  <c r="E190" i="24"/>
  <c r="E94" i="24"/>
  <c r="AJ1070" i="1" s="1"/>
  <c r="E378" i="24"/>
  <c r="AJ485" i="1" s="1"/>
  <c r="E435" i="24"/>
  <c r="E20" i="24"/>
  <c r="E447" i="24"/>
  <c r="AJ486" i="1" s="1"/>
  <c r="E427" i="24"/>
  <c r="E165" i="24"/>
  <c r="AJ831" i="1" s="1"/>
  <c r="E335" i="24"/>
  <c r="AJ601" i="1" s="1"/>
  <c r="E265" i="24"/>
  <c r="AJ45" i="1" s="1"/>
  <c r="E263" i="24"/>
  <c r="E71" i="24"/>
  <c r="AJ220" i="1" s="1"/>
  <c r="AK220" i="1" s="1"/>
  <c r="E363" i="24"/>
  <c r="AJ355" i="1" s="1"/>
  <c r="E254" i="24"/>
  <c r="E248" i="24"/>
  <c r="E151" i="24"/>
  <c r="AJ973" i="1" s="1"/>
  <c r="E88" i="24"/>
  <c r="AJ238" i="1" s="1"/>
  <c r="E167" i="24"/>
  <c r="AJ119" i="1" s="1"/>
  <c r="E220" i="24"/>
  <c r="E3" i="24"/>
  <c r="E223" i="24"/>
  <c r="E215" i="24"/>
  <c r="E38" i="24"/>
  <c r="AJ871" i="1" s="1"/>
  <c r="E77" i="24"/>
  <c r="AJ554" i="1" s="1"/>
  <c r="E334" i="24"/>
  <c r="AJ351" i="1" s="1"/>
  <c r="E338" i="24"/>
  <c r="AJ350" i="1" s="1"/>
  <c r="E244" i="24"/>
  <c r="E214" i="24"/>
  <c r="E64" i="24"/>
  <c r="AJ862" i="1" s="1"/>
  <c r="AK862" i="1" s="1"/>
  <c r="E424" i="24"/>
  <c r="AJ758" i="1" s="1"/>
  <c r="E161" i="24"/>
  <c r="E150" i="24"/>
  <c r="AJ941" i="1" s="1"/>
  <c r="E267" i="24"/>
  <c r="AJ424" i="1" s="1"/>
  <c r="E85" i="24"/>
  <c r="AJ14" i="1" s="1"/>
  <c r="E45" i="24"/>
  <c r="E410" i="24"/>
  <c r="AJ538" i="1" s="1"/>
  <c r="E408" i="24"/>
  <c r="E261" i="24"/>
  <c r="E149" i="24"/>
  <c r="AJ974" i="1" s="1"/>
  <c r="E209" i="24"/>
  <c r="AJ736" i="1" s="1"/>
  <c r="E159" i="24"/>
  <c r="AJ693" i="1" s="1"/>
  <c r="E75" i="24"/>
  <c r="AJ814" i="1" s="1"/>
  <c r="E345" i="24"/>
  <c r="AJ348" i="1" s="1"/>
  <c r="E230" i="24"/>
  <c r="AJ602" i="1" s="1"/>
  <c r="E348" i="24"/>
  <c r="AJ139" i="1" s="1"/>
  <c r="AK139" i="1" s="1"/>
  <c r="E113" i="24"/>
  <c r="AJ1073" i="1" s="1"/>
  <c r="E245" i="24"/>
  <c r="AJ460" i="1" s="1"/>
  <c r="E258" i="24"/>
  <c r="AJ143" i="1" s="1"/>
  <c r="AK143" i="1" s="1"/>
  <c r="E281" i="24"/>
  <c r="AJ462" i="1" s="1"/>
  <c r="E237" i="24"/>
  <c r="AJ145" i="1" s="1"/>
  <c r="AK145" i="1" s="1"/>
  <c r="E341" i="24"/>
  <c r="AJ146" i="1" s="1"/>
  <c r="AK146" i="1" s="1"/>
  <c r="E257" i="24"/>
  <c r="AJ140" i="1" s="1"/>
  <c r="AK140" i="1" s="1"/>
  <c r="E228" i="24"/>
  <c r="AJ684" i="1" s="1"/>
  <c r="E268" i="24"/>
  <c r="AJ686" i="1" s="1"/>
  <c r="E239" i="24"/>
  <c r="E247" i="24"/>
  <c r="AJ687" i="1" s="1"/>
  <c r="E83" i="24"/>
  <c r="AJ1066" i="1" s="1"/>
  <c r="E82" i="24"/>
  <c r="AJ1075" i="1" s="1"/>
  <c r="E81" i="24"/>
  <c r="AJ1065" i="1" s="1"/>
  <c r="E67" i="24"/>
  <c r="AJ1074" i="1" s="1"/>
  <c r="E87" i="24"/>
  <c r="AJ1069" i="1" s="1"/>
  <c r="E86" i="24"/>
  <c r="AJ1068" i="1" s="1"/>
  <c r="E336" i="24"/>
  <c r="AJ150" i="1" s="1"/>
  <c r="AK150" i="1" s="1"/>
  <c r="E264" i="24"/>
  <c r="E57" i="24"/>
  <c r="AJ507" i="1" s="1"/>
  <c r="E2" i="24"/>
  <c r="AJ671" i="1" l="1"/>
  <c r="AJ670" i="1"/>
  <c r="AJ921" i="1"/>
  <c r="AJ917" i="1"/>
  <c r="AJ916" i="1"/>
  <c r="AJ1172" i="1"/>
  <c r="AK208" i="1"/>
  <c r="AL208" i="1"/>
  <c r="AJ805" i="1"/>
  <c r="AK805" i="1" s="1"/>
  <c r="AJ1183" i="1"/>
  <c r="AK354" i="1"/>
  <c r="AL354" i="1"/>
  <c r="AL941" i="1"/>
  <c r="AK941" i="1"/>
  <c r="AJ98" i="1"/>
  <c r="AJ110" i="1"/>
  <c r="AK115" i="1"/>
  <c r="AL115" i="1"/>
  <c r="AK1121" i="1"/>
  <c r="AL1121" i="1"/>
  <c r="AK135" i="1"/>
  <c r="AL135" i="1"/>
  <c r="AJ16" i="1"/>
  <c r="AJ117" i="1"/>
  <c r="AK538" i="1"/>
  <c r="AL538" i="1"/>
  <c r="AJ237" i="1"/>
  <c r="AJ559" i="1"/>
  <c r="AJ683" i="1"/>
  <c r="AJ1137" i="1"/>
  <c r="AL880" i="1"/>
  <c r="AK880" i="1"/>
  <c r="AL759" i="1"/>
  <c r="AK759" i="1"/>
  <c r="AJ531" i="1"/>
  <c r="AJ949" i="1"/>
  <c r="AK949" i="1" s="1"/>
  <c r="AJ1057" i="1"/>
  <c r="AJ1079" i="1"/>
  <c r="AJ1116" i="1"/>
  <c r="AJ1033" i="1"/>
  <c r="AJ1000" i="1"/>
  <c r="AJ1060" i="1"/>
  <c r="AJ295" i="1"/>
  <c r="AJ302" i="1"/>
  <c r="AJ163" i="1"/>
  <c r="AJ254" i="1"/>
  <c r="AJ291" i="1"/>
  <c r="AJ212" i="1"/>
  <c r="AK212" i="1" s="1"/>
  <c r="AJ525" i="1"/>
  <c r="AJ29" i="1"/>
  <c r="AJ48" i="1"/>
  <c r="AJ619" i="1"/>
  <c r="AJ205" i="1"/>
  <c r="AJ1091" i="1"/>
  <c r="AJ382" i="1"/>
  <c r="AJ766" i="1"/>
  <c r="AK383" i="1"/>
  <c r="AL383" i="1"/>
  <c r="AL755" i="1"/>
  <c r="AK755" i="1"/>
  <c r="AK508" i="1"/>
  <c r="AL508" i="1"/>
  <c r="AK32" i="1"/>
  <c r="AL32" i="1"/>
  <c r="AJ20" i="1"/>
  <c r="AJ17" i="1"/>
  <c r="AJ568" i="1"/>
  <c r="AJ571" i="1"/>
  <c r="AJ562" i="1"/>
  <c r="AJ515" i="1"/>
  <c r="AJ564" i="1"/>
  <c r="AJ389" i="1"/>
  <c r="AJ781" i="1"/>
  <c r="AJ710" i="1"/>
  <c r="AJ945" i="1"/>
  <c r="AJ201" i="1"/>
  <c r="AJ556" i="1"/>
  <c r="AK563" i="1"/>
  <c r="AL563" i="1"/>
  <c r="AL870" i="1"/>
  <c r="AK870" i="1"/>
  <c r="AJ548" i="1"/>
  <c r="AJ742" i="1"/>
  <c r="AJ167" i="1"/>
  <c r="AJ691" i="1"/>
  <c r="AL682" i="1"/>
  <c r="AK682" i="1"/>
  <c r="AJ1104" i="1"/>
  <c r="AJ1078" i="1"/>
  <c r="AK113" i="1"/>
  <c r="AL113" i="1"/>
  <c r="AL111" i="1"/>
  <c r="AK111" i="1"/>
  <c r="AL603" i="1"/>
  <c r="AK603" i="1"/>
  <c r="AK772" i="1"/>
  <c r="AL772" i="1"/>
  <c r="AJ466" i="1"/>
  <c r="AJ458" i="1"/>
  <c r="AJ197" i="1"/>
  <c r="AJ552" i="1"/>
  <c r="AJ604" i="1"/>
  <c r="AJ432" i="1"/>
  <c r="AJ924" i="1"/>
  <c r="AK924" i="1" s="1"/>
  <c r="AK7" i="1"/>
  <c r="AL7" i="1"/>
  <c r="AJ229" i="1"/>
  <c r="AK229" i="1" s="1"/>
  <c r="AJ574" i="1"/>
  <c r="AJ1093" i="1"/>
  <c r="AJ1036" i="1"/>
  <c r="AJ1083" i="1"/>
  <c r="AL777" i="1"/>
  <c r="AK777" i="1"/>
  <c r="AL1067" i="1"/>
  <c r="AK1067" i="1"/>
  <c r="AK313" i="1"/>
  <c r="AL313" i="1"/>
  <c r="AK238" i="1"/>
  <c r="AL238" i="1"/>
  <c r="AL186" i="1"/>
  <c r="AK186" i="1"/>
  <c r="AJ250" i="1"/>
  <c r="AJ501" i="1"/>
  <c r="AL976" i="1"/>
  <c r="AK976" i="1"/>
  <c r="AJ512" i="1"/>
  <c r="AJ881" i="1"/>
  <c r="AJ889" i="1"/>
  <c r="AJ339" i="1"/>
  <c r="AL726" i="1"/>
  <c r="AK726" i="1"/>
  <c r="AJ773" i="1"/>
  <c r="AJ705" i="1"/>
  <c r="AL1065" i="1"/>
  <c r="AK1065" i="1"/>
  <c r="AJ4" i="1"/>
  <c r="AJ52" i="1"/>
  <c r="AJ74" i="1"/>
  <c r="AJ82" i="1"/>
  <c r="AJ90" i="1"/>
  <c r="AJ106" i="1"/>
  <c r="AJ125" i="1"/>
  <c r="AJ157" i="1"/>
  <c r="AJ173" i="1"/>
  <c r="AJ184" i="1"/>
  <c r="AJ192" i="1"/>
  <c r="AJ79" i="1"/>
  <c r="AJ87" i="1"/>
  <c r="AJ95" i="1"/>
  <c r="AJ130" i="1"/>
  <c r="AJ138" i="1"/>
  <c r="AJ162" i="1"/>
  <c r="AJ181" i="1"/>
  <c r="AJ189" i="1"/>
  <c r="AJ248" i="1"/>
  <c r="AJ264" i="1"/>
  <c r="AJ281" i="1"/>
  <c r="AJ289" i="1"/>
  <c r="AJ346" i="1"/>
  <c r="AJ505" i="1"/>
  <c r="AJ6" i="1"/>
  <c r="AJ38" i="1"/>
  <c r="AJ54" i="1"/>
  <c r="AJ84" i="1"/>
  <c r="AJ92" i="1"/>
  <c r="AJ127" i="1"/>
  <c r="AJ159" i="1"/>
  <c r="AJ175" i="1"/>
  <c r="AJ178" i="1"/>
  <c r="AJ194" i="1"/>
  <c r="AJ210" i="1"/>
  <c r="AJ34" i="1"/>
  <c r="AJ59" i="1"/>
  <c r="AJ80" i="1"/>
  <c r="AJ174" i="1"/>
  <c r="AJ183" i="1"/>
  <c r="AJ243" i="1"/>
  <c r="AJ282" i="1"/>
  <c r="AJ73" i="1"/>
  <c r="AJ75" i="1"/>
  <c r="AJ86" i="1"/>
  <c r="AJ176" i="1"/>
  <c r="AJ253" i="1"/>
  <c r="AJ258" i="1"/>
  <c r="AJ276" i="1"/>
  <c r="AJ451" i="1"/>
  <c r="AJ456" i="1"/>
  <c r="AJ484" i="1"/>
  <c r="AJ504" i="1"/>
  <c r="AJ519" i="1"/>
  <c r="AJ537" i="1"/>
  <c r="AJ580" i="1"/>
  <c r="AJ638" i="1"/>
  <c r="AJ672" i="1"/>
  <c r="AJ40" i="1"/>
  <c r="AJ47" i="1"/>
  <c r="AJ88" i="1"/>
  <c r="AJ123" i="1"/>
  <c r="AJ169" i="1"/>
  <c r="AJ263" i="1"/>
  <c r="AJ311" i="1"/>
  <c r="AJ325" i="1"/>
  <c r="AJ344" i="1"/>
  <c r="AJ476" i="1"/>
  <c r="AJ516" i="1"/>
  <c r="AJ534" i="1"/>
  <c r="AJ577" i="1"/>
  <c r="AJ94" i="1"/>
  <c r="AJ129" i="1"/>
  <c r="AJ164" i="1"/>
  <c r="AJ180" i="1"/>
  <c r="AJ191" i="1"/>
  <c r="AJ193" i="1"/>
  <c r="AJ209" i="1"/>
  <c r="AJ242" i="1"/>
  <c r="AJ265" i="1"/>
  <c r="AJ278" i="1"/>
  <c r="AJ308" i="1"/>
  <c r="AJ332" i="1"/>
  <c r="AJ341" i="1"/>
  <c r="AJ453" i="1"/>
  <c r="AJ491" i="1"/>
  <c r="AJ511" i="1"/>
  <c r="AJ582" i="1"/>
  <c r="AJ590" i="1"/>
  <c r="AJ624" i="1"/>
  <c r="AJ632" i="1"/>
  <c r="AJ640" i="1"/>
  <c r="AJ39" i="1"/>
  <c r="AJ51" i="1"/>
  <c r="AJ53" i="1"/>
  <c r="AJ89" i="1"/>
  <c r="AJ124" i="1"/>
  <c r="AJ161" i="1"/>
  <c r="AJ249" i="1"/>
  <c r="AJ312" i="1"/>
  <c r="AJ569" i="1"/>
  <c r="AJ591" i="1"/>
  <c r="AJ637" i="1"/>
  <c r="AJ639" i="1"/>
  <c r="AJ673" i="1"/>
  <c r="AJ696" i="1"/>
  <c r="AJ715" i="1"/>
  <c r="AJ723" i="1"/>
  <c r="AJ739" i="1"/>
  <c r="AJ803" i="1"/>
  <c r="AJ23" i="1"/>
  <c r="AJ343" i="1"/>
  <c r="AJ345" i="1"/>
  <c r="AJ475" i="1"/>
  <c r="AJ579" i="1"/>
  <c r="AJ581" i="1"/>
  <c r="AJ617" i="1"/>
  <c r="AJ627" i="1"/>
  <c r="AJ666" i="1"/>
  <c r="AJ712" i="1"/>
  <c r="AJ728" i="1"/>
  <c r="AJ72" i="1"/>
  <c r="AJ81" i="1"/>
  <c r="AJ83" i="1"/>
  <c r="AJ85" i="1"/>
  <c r="AJ131" i="1"/>
  <c r="AJ137" i="1"/>
  <c r="AJ179" i="1"/>
  <c r="AJ326" i="1"/>
  <c r="AJ328" i="1"/>
  <c r="AJ455" i="1"/>
  <c r="AJ493" i="1"/>
  <c r="AJ517" i="1"/>
  <c r="AJ546" i="1"/>
  <c r="AJ550" i="1"/>
  <c r="AJ583" i="1"/>
  <c r="AJ593" i="1"/>
  <c r="AJ679" i="1"/>
  <c r="AJ698" i="1"/>
  <c r="AJ717" i="1"/>
  <c r="AJ733" i="1"/>
  <c r="AJ768" i="1"/>
  <c r="AJ188" i="1"/>
  <c r="AJ190" i="1"/>
  <c r="AJ259" i="1"/>
  <c r="AJ495" i="1"/>
  <c r="AJ510" i="1"/>
  <c r="AJ535" i="1"/>
  <c r="AJ594" i="1"/>
  <c r="AJ668" i="1"/>
  <c r="AJ714" i="1"/>
  <c r="AJ738" i="1"/>
  <c r="AJ765" i="1"/>
  <c r="AJ802" i="1"/>
  <c r="AJ821" i="1"/>
  <c r="AJ158" i="1"/>
  <c r="AJ626" i="1"/>
  <c r="AJ631" i="1"/>
  <c r="AJ636" i="1"/>
  <c r="AJ751" i="1"/>
  <c r="AJ799" i="1"/>
  <c r="AJ166" i="1"/>
  <c r="AJ182" i="1"/>
  <c r="AJ195" i="1"/>
  <c r="AJ342" i="1"/>
  <c r="AJ452" i="1"/>
  <c r="AJ490" i="1"/>
  <c r="AJ78" i="1"/>
  <c r="AJ91" i="1"/>
  <c r="AJ93" i="1"/>
  <c r="AJ126" i="1"/>
  <c r="AJ128" i="1"/>
  <c r="AJ211" i="1"/>
  <c r="AJ275" i="1"/>
  <c r="AJ277" i="1"/>
  <c r="AJ336" i="1"/>
  <c r="AJ478" i="1"/>
  <c r="AJ536" i="1"/>
  <c r="AJ625" i="1"/>
  <c r="AJ669" i="1"/>
  <c r="AJ677" i="1"/>
  <c r="AJ699" i="1"/>
  <c r="AJ718" i="1"/>
  <c r="AJ771" i="1"/>
  <c r="AJ801" i="1"/>
  <c r="AJ844" i="1"/>
  <c r="AJ902" i="1"/>
  <c r="AJ910" i="1"/>
  <c r="AJ920" i="1"/>
  <c r="AJ1169" i="1"/>
  <c r="AJ1178" i="1"/>
  <c r="AJ1187" i="1"/>
  <c r="AJ775" i="1"/>
  <c r="AJ815" i="1"/>
  <c r="AJ820" i="1"/>
  <c r="AJ841" i="1"/>
  <c r="AJ849" i="1"/>
  <c r="AJ907" i="1"/>
  <c r="AJ915" i="1"/>
  <c r="AJ1162" i="1"/>
  <c r="AJ1175" i="1"/>
  <c r="AK1175" i="1" s="1"/>
  <c r="AJ1184" i="1"/>
  <c r="AJ331" i="1"/>
  <c r="AJ608" i="1"/>
  <c r="AJ667" i="1"/>
  <c r="AJ716" i="1"/>
  <c r="AJ737" i="1"/>
  <c r="AJ810" i="1"/>
  <c r="AJ822" i="1"/>
  <c r="AJ830" i="1"/>
  <c r="AJ838" i="1"/>
  <c r="AJ846" i="1"/>
  <c r="AJ854" i="1"/>
  <c r="AJ904" i="1"/>
  <c r="AJ912" i="1"/>
  <c r="AJ923" i="1"/>
  <c r="AJ1171" i="1"/>
  <c r="AJ1180" i="1"/>
  <c r="AK1180" i="1" s="1"/>
  <c r="AJ1189" i="1"/>
  <c r="AJ816" i="1"/>
  <c r="AJ842" i="1"/>
  <c r="AJ327" i="1"/>
  <c r="AJ454" i="1"/>
  <c r="AJ551" i="1"/>
  <c r="AJ618" i="1"/>
  <c r="AJ674" i="1"/>
  <c r="AJ753" i="1"/>
  <c r="AJ798" i="1"/>
  <c r="AJ817" i="1"/>
  <c r="AJ843" i="1"/>
  <c r="AJ851" i="1"/>
  <c r="AJ909" i="1"/>
  <c r="AJ919" i="1"/>
  <c r="AJ1168" i="1"/>
  <c r="AJ1177" i="1"/>
  <c r="AK1177" i="1" s="1"/>
  <c r="AJ1186" i="1"/>
  <c r="AJ280" i="1"/>
  <c r="AJ492" i="1"/>
  <c r="AJ708" i="1"/>
  <c r="AJ800" i="1"/>
  <c r="AJ824" i="1"/>
  <c r="AJ840" i="1"/>
  <c r="AJ848" i="1"/>
  <c r="AJ856" i="1"/>
  <c r="AJ906" i="1"/>
  <c r="AJ914" i="1"/>
  <c r="AJ1174" i="1"/>
  <c r="AJ1182" i="1"/>
  <c r="AK1182" i="1" s="1"/>
  <c r="AJ1191" i="1"/>
  <c r="AJ520" i="1"/>
  <c r="AJ578" i="1"/>
  <c r="AJ681" i="1"/>
  <c r="AJ819" i="1"/>
  <c r="AJ845" i="1"/>
  <c r="AJ853" i="1"/>
  <c r="AJ903" i="1"/>
  <c r="AJ911" i="1"/>
  <c r="AJ922" i="1"/>
  <c r="AJ1127" i="1"/>
  <c r="AJ1170" i="1"/>
  <c r="AJ1179" i="1"/>
  <c r="AJ1188" i="1"/>
  <c r="AJ5" i="1"/>
  <c r="AJ503" i="1"/>
  <c r="AJ518" i="1"/>
  <c r="AJ615" i="1"/>
  <c r="AJ633" i="1"/>
  <c r="AJ652" i="1"/>
  <c r="AJ697" i="1"/>
  <c r="AJ713" i="1"/>
  <c r="AJ732" i="1"/>
  <c r="AJ752" i="1"/>
  <c r="AJ823" i="1"/>
  <c r="AJ839" i="1"/>
  <c r="AJ847" i="1"/>
  <c r="AJ899" i="1"/>
  <c r="AJ905" i="1"/>
  <c r="AJ913" i="1"/>
  <c r="AJ1173" i="1"/>
  <c r="AJ1181" i="1"/>
  <c r="AK1181" i="1" s="1"/>
  <c r="AJ1190" i="1"/>
  <c r="AJ918" i="1"/>
  <c r="AJ1185" i="1"/>
  <c r="AJ850" i="1"/>
  <c r="AJ1167" i="1"/>
  <c r="AJ908" i="1"/>
  <c r="AJ1176" i="1"/>
  <c r="AK1176" i="1" s="1"/>
  <c r="AL1075" i="1"/>
  <c r="AK1075" i="1"/>
  <c r="AJ498" i="1"/>
  <c r="AJ836" i="1"/>
  <c r="AK507" i="1"/>
  <c r="AL507" i="1"/>
  <c r="AL1066" i="1"/>
  <c r="AK1066" i="1"/>
  <c r="AL462" i="1"/>
  <c r="AK462" i="1"/>
  <c r="AL814" i="1"/>
  <c r="AK814" i="1"/>
  <c r="AJ985" i="1"/>
  <c r="AJ1009" i="1"/>
  <c r="AJ1022" i="1"/>
  <c r="AJ1109" i="1"/>
  <c r="AJ1142" i="1"/>
  <c r="AJ995" i="1"/>
  <c r="AJ1011" i="1"/>
  <c r="AJ1051" i="1"/>
  <c r="AJ1133" i="1"/>
  <c r="AJ997" i="1"/>
  <c r="AJ1004" i="1"/>
  <c r="AJ1152" i="1"/>
  <c r="AJ1039" i="1"/>
  <c r="AJ1145" i="1"/>
  <c r="AJ944" i="1"/>
  <c r="AK944" i="1" s="1"/>
  <c r="AJ1045" i="1"/>
  <c r="AJ808" i="1"/>
  <c r="AJ1017" i="1"/>
  <c r="AJ812" i="1"/>
  <c r="AJ811" i="1"/>
  <c r="AJ927" i="1"/>
  <c r="AK927" i="1" s="1"/>
  <c r="AJ330" i="1"/>
  <c r="AJ337" i="1"/>
  <c r="AJ333" i="1"/>
  <c r="AL651" i="1"/>
  <c r="AK651" i="1"/>
  <c r="AL756" i="1"/>
  <c r="AK756" i="1"/>
  <c r="AL963" i="1"/>
  <c r="AK963" i="1"/>
  <c r="AL310" i="1"/>
  <c r="AK310" i="1"/>
  <c r="AJ36" i="1"/>
  <c r="AJ42" i="1"/>
  <c r="AJ502" i="1"/>
  <c r="AJ855" i="1"/>
  <c r="AK96" i="1"/>
  <c r="AL96" i="1"/>
  <c r="AL879" i="1"/>
  <c r="AK879" i="1"/>
  <c r="AK876" i="1"/>
  <c r="AL876" i="1"/>
  <c r="AL709" i="1"/>
  <c r="AK709" i="1"/>
  <c r="AJ385" i="1"/>
  <c r="AJ230" i="1"/>
  <c r="AK230" i="1" s="1"/>
  <c r="AJ1038" i="1"/>
  <c r="AJ954" i="1"/>
  <c r="AK954" i="1" s="1"/>
  <c r="AL134" i="1"/>
  <c r="AK134" i="1"/>
  <c r="AL888" i="1"/>
  <c r="AK888" i="1"/>
  <c r="AJ196" i="1"/>
  <c r="AJ104" i="1"/>
  <c r="AJ58" i="1"/>
  <c r="AJ641" i="1"/>
  <c r="AJ642" i="1"/>
  <c r="AJ1088" i="1"/>
  <c r="AJ950" i="1"/>
  <c r="AK950" i="1" s="1"/>
  <c r="AJ721" i="1"/>
  <c r="AK172" i="1"/>
  <c r="AL172" i="1"/>
  <c r="AJ750" i="1"/>
  <c r="AJ621" i="1"/>
  <c r="AJ409" i="1"/>
  <c r="AJ606" i="1"/>
  <c r="AJ292" i="1"/>
  <c r="AJ296" i="1"/>
  <c r="AK99" i="1"/>
  <c r="AL99" i="1"/>
  <c r="AJ245" i="1"/>
  <c r="AJ480" i="1"/>
  <c r="AK187" i="1"/>
  <c r="AL187" i="1"/>
  <c r="AJ68" i="1"/>
  <c r="AJ987" i="1"/>
  <c r="AJ1008" i="1"/>
  <c r="AJ981" i="1"/>
  <c r="AJ994" i="1"/>
  <c r="AJ1002" i="1"/>
  <c r="AJ605" i="1"/>
  <c r="AJ464" i="1"/>
  <c r="AJ1151" i="1"/>
  <c r="AK3" i="1"/>
  <c r="AL3" i="1"/>
  <c r="AK8" i="1"/>
  <c r="AL8" i="1"/>
  <c r="AL1072" i="1"/>
  <c r="AK1072" i="1"/>
  <c r="AJ449" i="1"/>
  <c r="AJ665" i="1"/>
  <c r="AJ450" i="1"/>
  <c r="AK565" i="1"/>
  <c r="AL565" i="1"/>
  <c r="AL762" i="1"/>
  <c r="AK762" i="1"/>
  <c r="AK168" i="1"/>
  <c r="AL168" i="1"/>
  <c r="AL634" i="1"/>
  <c r="AK634" i="1"/>
  <c r="AL203" i="1"/>
  <c r="AK203" i="1"/>
  <c r="AJ103" i="1"/>
  <c r="AJ228" i="1"/>
  <c r="AK228" i="1" s="1"/>
  <c r="AJ703" i="1"/>
  <c r="AJ553" i="1"/>
  <c r="AJ664" i="1"/>
  <c r="AJ1049" i="1"/>
  <c r="AJ1062" i="1"/>
  <c r="AJ1035" i="1"/>
  <c r="AJ1082" i="1"/>
  <c r="AJ869" i="1"/>
  <c r="AJ877" i="1"/>
  <c r="AJ1094" i="1"/>
  <c r="AL813" i="1"/>
  <c r="AK813" i="1"/>
  <c r="AK348" i="1"/>
  <c r="AL348" i="1"/>
  <c r="AJ509" i="1"/>
  <c r="AJ635" i="1"/>
  <c r="AJ1006" i="1"/>
  <c r="AJ989" i="1"/>
  <c r="AL687" i="1"/>
  <c r="AK687" i="1"/>
  <c r="AL693" i="1"/>
  <c r="AK693" i="1"/>
  <c r="AK14" i="1"/>
  <c r="AL14" i="1"/>
  <c r="AJ977" i="1"/>
  <c r="AJ1007" i="1"/>
  <c r="AJ1080" i="1"/>
  <c r="AJ1043" i="1"/>
  <c r="AJ1139" i="1"/>
  <c r="AJ1156" i="1"/>
  <c r="AJ946" i="1"/>
  <c r="AJ1028" i="1"/>
  <c r="AJ1146" i="1"/>
  <c r="AJ1110" i="1"/>
  <c r="AK355" i="1"/>
  <c r="AL355" i="1"/>
  <c r="AK486" i="1"/>
  <c r="AL486" i="1"/>
  <c r="AL630" i="1"/>
  <c r="AK630" i="1"/>
  <c r="AL993" i="1"/>
  <c r="AK993" i="1"/>
  <c r="AK365" i="1"/>
  <c r="AL365" i="1"/>
  <c r="AK1123" i="1"/>
  <c r="AL1123" i="1"/>
  <c r="AJ969" i="1"/>
  <c r="AJ960" i="1"/>
  <c r="AJ1089" i="1"/>
  <c r="AJ964" i="1"/>
  <c r="AJ60" i="1"/>
  <c r="AJ373" i="1"/>
  <c r="AK375" i="1"/>
  <c r="AL375" i="1"/>
  <c r="AJ743" i="1"/>
  <c r="AJ589" i="1"/>
  <c r="AL767" i="1"/>
  <c r="AK767" i="1"/>
  <c r="AJ200" i="1"/>
  <c r="AJ285" i="1"/>
  <c r="AJ1076" i="1"/>
  <c r="AJ1107" i="1"/>
  <c r="AK468" i="1"/>
  <c r="AL468" i="1"/>
  <c r="AJ865" i="1"/>
  <c r="AJ887" i="1"/>
  <c r="AJ892" i="1"/>
  <c r="AL711" i="1"/>
  <c r="AK711" i="1"/>
  <c r="AJ15" i="1"/>
  <c r="AJ109" i="1"/>
  <c r="AJ966" i="1"/>
  <c r="AJ982" i="1"/>
  <c r="AJ957" i="1"/>
  <c r="AJ938" i="1"/>
  <c r="AJ28" i="1"/>
  <c r="AJ487" i="1"/>
  <c r="AJ461" i="1"/>
  <c r="AJ459" i="1"/>
  <c r="AJ722" i="1"/>
  <c r="AJ545" i="1"/>
  <c r="AK558" i="1"/>
  <c r="AL558" i="1"/>
  <c r="AL748" i="1"/>
  <c r="AK748" i="1"/>
  <c r="AJ513" i="1"/>
  <c r="AJ611" i="1"/>
  <c r="AJ614" i="1"/>
  <c r="AJ410" i="1"/>
  <c r="AJ226" i="1"/>
  <c r="AK226" i="1" s="1"/>
  <c r="AJ1092" i="1"/>
  <c r="AK49" i="1"/>
  <c r="AL49" i="1"/>
  <c r="AJ465" i="1"/>
  <c r="AJ656" i="1"/>
  <c r="AJ782" i="1"/>
  <c r="AJ658" i="1"/>
  <c r="AJ334" i="1"/>
  <c r="AJ112" i="1"/>
  <c r="AJ818" i="1"/>
  <c r="AL198" i="1"/>
  <c r="AK198" i="1"/>
  <c r="AJ1090" i="1"/>
  <c r="AJ965" i="1"/>
  <c r="AJ970" i="1"/>
  <c r="AK874" i="1"/>
  <c r="AL874" i="1"/>
  <c r="AJ1085" i="1"/>
  <c r="AJ1034" i="1"/>
  <c r="AJ299" i="1"/>
  <c r="AJ592" i="1"/>
  <c r="AK9" i="1"/>
  <c r="AL9" i="1"/>
  <c r="AL692" i="1"/>
  <c r="AK692" i="1"/>
  <c r="AK418" i="1"/>
  <c r="AL418" i="1"/>
  <c r="AL894" i="1"/>
  <c r="AK894" i="1"/>
  <c r="AJ317" i="1"/>
  <c r="AJ21" i="1"/>
  <c r="AL1069" i="1"/>
  <c r="AK1069" i="1"/>
  <c r="AK45" i="1"/>
  <c r="AL45" i="1"/>
  <c r="AJ283" i="1"/>
  <c r="AJ834" i="1"/>
  <c r="AJ120" i="1"/>
  <c r="AJ961" i="1"/>
  <c r="AJ1096" i="1"/>
  <c r="AJ1134" i="1"/>
  <c r="AJ1101" i="1"/>
  <c r="AJ939" i="1"/>
  <c r="AJ421" i="1"/>
  <c r="AJ1153" i="1"/>
  <c r="AJ978" i="1"/>
  <c r="AJ1010" i="1"/>
  <c r="AJ1012" i="1"/>
  <c r="AJ983" i="1"/>
  <c r="AJ999" i="1"/>
  <c r="AL736" i="1"/>
  <c r="AK736" i="1"/>
  <c r="AK350" i="1"/>
  <c r="AL350" i="1"/>
  <c r="AK359" i="1"/>
  <c r="AL359" i="1"/>
  <c r="AL654" i="1"/>
  <c r="AK654" i="1"/>
  <c r="AL286" i="1"/>
  <c r="AK286" i="1"/>
  <c r="AJ929" i="1"/>
  <c r="AK929" i="1" s="1"/>
  <c r="AJ1157" i="1"/>
  <c r="AJ991" i="1"/>
  <c r="AJ76" i="1"/>
  <c r="AJ100" i="1"/>
  <c r="AJ595" i="1"/>
  <c r="AJ646" i="1"/>
  <c r="AJ223" i="1"/>
  <c r="AK223" i="1" s="1"/>
  <c r="AJ523" i="1"/>
  <c r="AJ806" i="1"/>
  <c r="AJ720" i="1"/>
  <c r="AJ67" i="1"/>
  <c r="AJ561" i="1"/>
  <c r="AJ629" i="1"/>
  <c r="AJ269" i="1"/>
  <c r="AJ702" i="1"/>
  <c r="AJ867" i="1"/>
  <c r="AJ936" i="1"/>
  <c r="AK936" i="1" s="1"/>
  <c r="AJ952" i="1"/>
  <c r="AK952" i="1" s="1"/>
  <c r="AJ761" i="1"/>
  <c r="AJ689" i="1"/>
  <c r="AJ783" i="1"/>
  <c r="AJ1129" i="1"/>
  <c r="AK1125" i="1"/>
  <c r="AL1125" i="1"/>
  <c r="AJ937" i="1"/>
  <c r="AJ1016" i="1"/>
  <c r="AJ925" i="1"/>
  <c r="AK925" i="1" s="1"/>
  <c r="AK43" i="1"/>
  <c r="AL43" i="1"/>
  <c r="AK1124" i="1"/>
  <c r="AL1124" i="1"/>
  <c r="AJ884" i="1"/>
  <c r="AJ898" i="1"/>
  <c r="AJ992" i="1"/>
  <c r="AJ932" i="1"/>
  <c r="AK932" i="1" s="1"/>
  <c r="AJ11" i="1"/>
  <c r="AJ235" i="1"/>
  <c r="AJ527" i="1"/>
  <c r="AL607" i="1"/>
  <c r="AK607" i="1"/>
  <c r="AK1122" i="1"/>
  <c r="AL1122" i="1"/>
  <c r="AK434" i="1"/>
  <c r="AL434" i="1"/>
  <c r="AL749" i="1"/>
  <c r="AK749" i="1"/>
  <c r="AK472" i="1"/>
  <c r="AL472" i="1"/>
  <c r="AL706" i="1"/>
  <c r="AK706" i="1"/>
  <c r="AL415" i="1"/>
  <c r="AK415" i="1"/>
  <c r="AJ776" i="1"/>
  <c r="AJ789" i="1"/>
  <c r="AL690" i="1"/>
  <c r="AK690" i="1"/>
  <c r="AJ794" i="1"/>
  <c r="AJ780" i="1"/>
  <c r="AJ287" i="1"/>
  <c r="AJ499" i="1"/>
  <c r="AJ31" i="1"/>
  <c r="AJ429" i="1"/>
  <c r="AJ746" i="1"/>
  <c r="AJ649" i="1"/>
  <c r="AL655" i="1"/>
  <c r="AK655" i="1"/>
  <c r="AL928" i="1"/>
  <c r="AK928" i="1"/>
  <c r="AJ132" i="1"/>
  <c r="AJ676" i="1"/>
  <c r="AJ470" i="1"/>
  <c r="AK875" i="1"/>
  <c r="AL875" i="1"/>
  <c r="AL22" i="1"/>
  <c r="AK22" i="1"/>
  <c r="AL347" i="1"/>
  <c r="AK347" i="1"/>
  <c r="AL1005" i="1"/>
  <c r="AK1005" i="1"/>
  <c r="AK554" i="1"/>
  <c r="AL554" i="1"/>
  <c r="AJ274" i="1"/>
  <c r="AJ647" i="1"/>
  <c r="AK390" i="1"/>
  <c r="AL390" i="1"/>
  <c r="AK460" i="1"/>
  <c r="AL460" i="1"/>
  <c r="AL1068" i="1"/>
  <c r="AK1068" i="1"/>
  <c r="AL686" i="1"/>
  <c r="AK686" i="1"/>
  <c r="AL1073" i="1"/>
  <c r="AK1073" i="1"/>
  <c r="AL974" i="1"/>
  <c r="AK974" i="1"/>
  <c r="AK424" i="1"/>
  <c r="AL424" i="1"/>
  <c r="AK351" i="1"/>
  <c r="AL351" i="1"/>
  <c r="AK119" i="1"/>
  <c r="AL119" i="1"/>
  <c r="AJ165" i="1"/>
  <c r="AJ160" i="1"/>
  <c r="AJ560" i="1"/>
  <c r="AJ77" i="1"/>
  <c r="AJ268" i="1"/>
  <c r="AJ101" i="1"/>
  <c r="AJ207" i="1"/>
  <c r="AJ225" i="1"/>
  <c r="AK225" i="1" s="1"/>
  <c r="AJ701" i="1"/>
  <c r="AJ596" i="1"/>
  <c r="AJ719" i="1"/>
  <c r="AJ199" i="1"/>
  <c r="AJ522" i="1"/>
  <c r="AJ868" i="1"/>
  <c r="AJ241" i="1"/>
  <c r="AJ628" i="1"/>
  <c r="AJ645" i="1"/>
  <c r="AJ807" i="1"/>
  <c r="AJ587" i="1"/>
  <c r="AJ935" i="1"/>
  <c r="AK935" i="1" s="1"/>
  <c r="AJ951" i="1"/>
  <c r="AK951" i="1" s="1"/>
  <c r="AJ284" i="1"/>
  <c r="AJ835" i="1"/>
  <c r="AJ12" i="1"/>
  <c r="AJ18" i="1"/>
  <c r="AJ24" i="1"/>
  <c r="AJ19" i="1"/>
  <c r="AL620" i="1"/>
  <c r="AK620" i="1"/>
  <c r="AK171" i="1"/>
  <c r="AL171" i="1"/>
  <c r="AL745" i="1"/>
  <c r="AK745" i="1"/>
  <c r="AK369" i="1"/>
  <c r="AL369" i="1"/>
  <c r="AJ234" i="1"/>
  <c r="AJ233" i="1"/>
  <c r="AJ371" i="1"/>
  <c r="AL685" i="1"/>
  <c r="AK685" i="1"/>
  <c r="AL707" i="1"/>
  <c r="AK707" i="1"/>
  <c r="AK972" i="1"/>
  <c r="AL972" i="1"/>
  <c r="AK44" i="1"/>
  <c r="AL44" i="1"/>
  <c r="AK97" i="1"/>
  <c r="AL97" i="1"/>
  <c r="AJ213" i="1"/>
  <c r="AK213" i="1" s="1"/>
  <c r="AJ688" i="1"/>
  <c r="AJ864" i="1"/>
  <c r="AJ975" i="1"/>
  <c r="AJ943" i="1"/>
  <c r="AJ26" i="1"/>
  <c r="AJ488" i="1"/>
  <c r="AJ293" i="1"/>
  <c r="AJ779" i="1"/>
  <c r="AJ1019" i="1"/>
  <c r="AJ1059" i="1"/>
  <c r="AJ956" i="1"/>
  <c r="AK956" i="1" s="1"/>
  <c r="AL231" i="1"/>
  <c r="AK231" i="1"/>
  <c r="AL597" i="1"/>
  <c r="AK597" i="1"/>
  <c r="AL329" i="1"/>
  <c r="AK329" i="1"/>
  <c r="AL643" i="1"/>
  <c r="AK643" i="1"/>
  <c r="AJ1095" i="1"/>
  <c r="AJ1099" i="1"/>
  <c r="AL724" i="1"/>
  <c r="AK724" i="1"/>
  <c r="AL747" i="1"/>
  <c r="AK747" i="1"/>
  <c r="AL757" i="1"/>
  <c r="AK757" i="1"/>
  <c r="AJ30" i="1"/>
  <c r="AJ266" i="1"/>
  <c r="AJ136" i="1"/>
  <c r="AJ524" i="1"/>
  <c r="AJ852" i="1"/>
  <c r="AJ797" i="1"/>
  <c r="AJ318" i="1"/>
  <c r="AL760" i="1"/>
  <c r="AK760" i="1"/>
  <c r="AL650" i="1"/>
  <c r="AK650" i="1"/>
  <c r="AL270" i="1"/>
  <c r="AK270" i="1"/>
  <c r="AJ998" i="1"/>
  <c r="AJ1111" i="1"/>
  <c r="AJ986" i="1"/>
  <c r="AJ980" i="1"/>
  <c r="AJ56" i="1"/>
  <c r="AJ730" i="1"/>
  <c r="AJ790" i="1"/>
  <c r="AJ778" i="1"/>
  <c r="AL598" i="1"/>
  <c r="AK598" i="1"/>
  <c r="AK116" i="1"/>
  <c r="AL116" i="1"/>
  <c r="AL599" i="1"/>
  <c r="AK599" i="1"/>
  <c r="AL539" i="1"/>
  <c r="AK539" i="1"/>
  <c r="AJ958" i="1"/>
  <c r="AJ990" i="1"/>
  <c r="AJ984" i="1"/>
  <c r="AJ967" i="1"/>
  <c r="AL294" i="1"/>
  <c r="AK294" i="1"/>
  <c r="AK46" i="1"/>
  <c r="AL46" i="1"/>
  <c r="AL659" i="1"/>
  <c r="AK659" i="1"/>
  <c r="AJ440" i="1"/>
  <c r="AJ1056" i="1"/>
  <c r="AJ1113" i="1"/>
  <c r="AJ457" i="1"/>
  <c r="AJ463" i="1"/>
  <c r="AK860" i="1"/>
  <c r="AL860" i="1"/>
  <c r="AJ102" i="1"/>
  <c r="AJ588" i="1"/>
  <c r="AJ13" i="1"/>
  <c r="AJ926" i="1"/>
  <c r="AK926" i="1" s="1"/>
  <c r="AL644" i="1"/>
  <c r="AK644" i="1"/>
  <c r="AJ1098" i="1"/>
  <c r="AJ959" i="1"/>
  <c r="AL740" i="1"/>
  <c r="AK740" i="1"/>
  <c r="AK151" i="1"/>
  <c r="AL151" i="1"/>
  <c r="AL1074" i="1"/>
  <c r="AK1074" i="1"/>
  <c r="AL602" i="1"/>
  <c r="AK602" i="1"/>
  <c r="AJ33" i="1"/>
  <c r="AJ41" i="1"/>
  <c r="AJ256" i="1"/>
  <c r="AJ489" i="1"/>
  <c r="AJ261" i="1"/>
  <c r="AJ622" i="1"/>
  <c r="AJ494" i="1"/>
  <c r="AJ255" i="1"/>
  <c r="AJ260" i="1"/>
  <c r="AJ35" i="1"/>
  <c r="AJ500" i="1"/>
  <c r="AJ290" i="1"/>
  <c r="AJ303" i="1"/>
  <c r="AJ309" i="1"/>
  <c r="AJ257" i="1"/>
  <c r="AJ262" i="1"/>
  <c r="AJ729" i="1"/>
  <c r="AJ600" i="1"/>
  <c r="AJ968" i="1"/>
  <c r="AJ962" i="1"/>
  <c r="AJ1097" i="1"/>
  <c r="AJ940" i="1"/>
  <c r="AK871" i="1"/>
  <c r="AL871" i="1"/>
  <c r="AL973" i="1"/>
  <c r="AK973" i="1"/>
  <c r="AL601" i="1"/>
  <c r="AK601" i="1"/>
  <c r="AK1070" i="1"/>
  <c r="AL1070" i="1"/>
  <c r="AJ955" i="1"/>
  <c r="AK955" i="1" s="1"/>
  <c r="AJ1160" i="1"/>
  <c r="AL272" i="1"/>
  <c r="AK272" i="1"/>
  <c r="AK1087" i="1"/>
  <c r="AL1087" i="1"/>
  <c r="AJ763" i="1"/>
  <c r="AJ734" i="1"/>
  <c r="AJ532" i="1"/>
  <c r="AJ227" i="1"/>
  <c r="AK227" i="1" s="1"/>
  <c r="AJ533" i="1"/>
  <c r="AJ610" i="1"/>
  <c r="AJ575" i="1"/>
  <c r="AJ10" i="1"/>
  <c r="AJ809" i="1"/>
  <c r="AJ57" i="1"/>
  <c r="AJ55" i="1"/>
  <c r="AJ497" i="1"/>
  <c r="AJ252" i="1"/>
  <c r="AJ837" i="1"/>
  <c r="AJ216" i="1"/>
  <c r="AK216" i="1" s="1"/>
  <c r="AJ704" i="1"/>
  <c r="AJ377" i="1"/>
  <c r="AJ105" i="1"/>
  <c r="AJ971" i="1"/>
  <c r="AJ1003" i="1"/>
  <c r="AJ1128" i="1"/>
  <c r="AJ1108" i="1"/>
  <c r="AJ988" i="1"/>
  <c r="AJ996" i="1"/>
  <c r="AK474" i="1"/>
  <c r="AL474" i="1"/>
  <c r="AL586" i="1"/>
  <c r="AK586" i="1"/>
  <c r="AL774" i="1"/>
  <c r="AK774" i="1"/>
  <c r="AJ232" i="1"/>
  <c r="AK232" i="1" s="1"/>
  <c r="AJ731" i="1"/>
  <c r="AL204" i="1"/>
  <c r="AK204" i="1"/>
  <c r="AJ882" i="1"/>
  <c r="AJ890" i="1"/>
  <c r="AK392" i="1"/>
  <c r="AL392" i="1"/>
  <c r="AJ557" i="1"/>
  <c r="AJ788" i="1"/>
  <c r="AK1126" i="1"/>
  <c r="AL1126" i="1"/>
  <c r="AJ585" i="1"/>
  <c r="AJ857" i="1"/>
  <c r="AJ886" i="1"/>
  <c r="AJ863" i="1"/>
  <c r="AJ858" i="1"/>
  <c r="AL725" i="1"/>
  <c r="AK725" i="1"/>
  <c r="AL411" i="1"/>
  <c r="AK411" i="1"/>
  <c r="AJ648" i="1"/>
  <c r="AJ530" i="1"/>
  <c r="AJ417" i="1"/>
  <c r="AJ897" i="1"/>
  <c r="AL271" i="1"/>
  <c r="AK271" i="1"/>
  <c r="AK251" i="1"/>
  <c r="AL251" i="1"/>
  <c r="AJ859" i="1"/>
  <c r="AJ866" i="1"/>
  <c r="AJ942" i="1"/>
  <c r="AJ1077" i="1"/>
  <c r="AJ133" i="1"/>
  <c r="AJ300" i="1"/>
  <c r="AJ288" i="1"/>
  <c r="AJ791" i="1"/>
  <c r="AJ301" i="1"/>
  <c r="AJ482" i="1"/>
  <c r="AJ770" i="1"/>
  <c r="AJ769" i="1"/>
  <c r="AJ483" i="1"/>
  <c r="AJ826" i="1"/>
  <c r="AK399" i="1"/>
  <c r="AL399" i="1"/>
  <c r="AK356" i="1"/>
  <c r="AL356" i="1"/>
  <c r="AL684" i="1"/>
  <c r="AK684" i="1"/>
  <c r="AK485" i="1"/>
  <c r="AL485" i="1"/>
  <c r="AJ623" i="1"/>
  <c r="AJ469" i="1"/>
  <c r="AJ437" i="1"/>
  <c r="AJ529" i="1"/>
  <c r="AJ584" i="1"/>
  <c r="AJ544" i="1"/>
  <c r="AJ267" i="1"/>
  <c r="AK758" i="1"/>
  <c r="AL758" i="1"/>
  <c r="AJ239" i="1"/>
  <c r="AJ735" i="1"/>
  <c r="AJ1131" i="1"/>
  <c r="AJ878" i="1"/>
  <c r="AJ885" i="1"/>
  <c r="AL831" i="1"/>
  <c r="AK831" i="1"/>
  <c r="AJ744" i="1"/>
  <c r="AJ695" i="1"/>
  <c r="AJ467" i="1"/>
  <c r="AK473" i="1"/>
  <c r="AL473" i="1"/>
  <c r="AL1001" i="1"/>
  <c r="AK1001" i="1"/>
  <c r="AJ114" i="1"/>
  <c r="AJ108" i="1"/>
  <c r="AJ118" i="1"/>
  <c r="AJ121" i="1"/>
  <c r="AK506" i="1"/>
  <c r="AL506" i="1"/>
  <c r="AK372" i="1"/>
  <c r="AL372" i="1"/>
  <c r="AJ307" i="1"/>
  <c r="AJ323" i="1"/>
  <c r="AJ833" i="1"/>
  <c r="AK427" i="1"/>
  <c r="AL427" i="1"/>
  <c r="AJ613" i="1"/>
  <c r="AJ206" i="1"/>
  <c r="AK479" i="1"/>
  <c r="AL479" i="1"/>
  <c r="AL754" i="1"/>
  <c r="AK754" i="1"/>
  <c r="AJ25" i="1"/>
  <c r="AJ727" i="1"/>
  <c r="AJ549" i="1"/>
  <c r="AJ653" i="1"/>
  <c r="AJ514" i="1"/>
  <c r="AJ883" i="1"/>
  <c r="AJ547" i="1"/>
  <c r="AJ741" i="1"/>
  <c r="AJ947" i="1"/>
  <c r="AJ979" i="1"/>
  <c r="AJ202" i="1"/>
  <c r="AJ218" i="1"/>
  <c r="AK218" i="1" s="1"/>
  <c r="AK481" i="1"/>
  <c r="AL481" i="1"/>
  <c r="AL1086" i="1"/>
  <c r="AK1086" i="1"/>
  <c r="AL694" i="1"/>
  <c r="AK694" i="1"/>
  <c r="AK170" i="1"/>
  <c r="AL170" i="1"/>
  <c r="AJ27" i="1"/>
  <c r="AJ426" i="1"/>
  <c r="AL273" i="1"/>
  <c r="AK273" i="1"/>
  <c r="AL1081" i="1"/>
  <c r="AK1081" i="1"/>
  <c r="AK50" i="1"/>
  <c r="AL50" i="1"/>
  <c r="AK185" i="1"/>
  <c r="AL185" i="1"/>
  <c r="AJ496" i="1"/>
  <c r="AJ477" i="1"/>
  <c r="AK471" i="1"/>
  <c r="AL471" i="1"/>
  <c r="AJ612" i="1"/>
  <c r="AJ609" i="1"/>
  <c r="AK107" i="1"/>
  <c r="AL107" i="1"/>
  <c r="AJ2" i="1"/>
  <c r="AL2" i="1" s="1"/>
  <c r="AL670" i="1" l="1"/>
  <c r="AK670" i="1"/>
  <c r="AL671" i="1"/>
  <c r="AK671" i="1"/>
  <c r="AK1172" i="1"/>
  <c r="AL1172" i="1"/>
  <c r="AL916" i="1"/>
  <c r="AK916" i="1"/>
  <c r="AL917" i="1"/>
  <c r="AK917" i="1"/>
  <c r="AL921" i="1"/>
  <c r="AK921" i="1"/>
  <c r="AL805" i="1"/>
  <c r="AL1183" i="1"/>
  <c r="AK1183" i="1"/>
  <c r="AK121" i="1"/>
  <c r="AL121" i="1"/>
  <c r="AL890" i="1"/>
  <c r="AK890" i="1"/>
  <c r="AK262" i="1"/>
  <c r="AL262" i="1"/>
  <c r="AL688" i="1"/>
  <c r="AK688" i="1"/>
  <c r="AK421" i="1"/>
  <c r="AL421" i="1"/>
  <c r="AK104" i="1"/>
  <c r="AL104" i="1"/>
  <c r="AK839" i="1"/>
  <c r="AL839" i="1"/>
  <c r="AK838" i="1"/>
  <c r="AL838" i="1"/>
  <c r="AL626" i="1"/>
  <c r="AK626" i="1"/>
  <c r="AL739" i="1"/>
  <c r="AK739" i="1"/>
  <c r="AK504" i="1"/>
  <c r="AL504" i="1"/>
  <c r="AK95" i="1"/>
  <c r="AL95" i="1"/>
  <c r="AK833" i="1"/>
  <c r="AL833" i="1"/>
  <c r="AK469" i="1"/>
  <c r="AL469" i="1"/>
  <c r="AK496" i="1"/>
  <c r="AL496" i="1"/>
  <c r="AK547" i="1"/>
  <c r="AL547" i="1"/>
  <c r="AL323" i="1"/>
  <c r="AK323" i="1"/>
  <c r="AK108" i="1"/>
  <c r="AL108" i="1"/>
  <c r="AL744" i="1"/>
  <c r="AK744" i="1"/>
  <c r="AL623" i="1"/>
  <c r="AK623" i="1"/>
  <c r="AL288" i="1"/>
  <c r="AK288" i="1"/>
  <c r="AK105" i="1"/>
  <c r="AL105" i="1"/>
  <c r="AL57" i="1"/>
  <c r="AK57" i="1"/>
  <c r="AL734" i="1"/>
  <c r="AK734" i="1"/>
  <c r="AL940" i="1"/>
  <c r="AK940" i="1"/>
  <c r="AL309" i="1"/>
  <c r="AK309" i="1"/>
  <c r="AL622" i="1"/>
  <c r="AK622" i="1"/>
  <c r="AK463" i="1"/>
  <c r="AL463" i="1"/>
  <c r="AL790" i="1"/>
  <c r="AK790" i="1"/>
  <c r="AK524" i="1"/>
  <c r="AL524" i="1"/>
  <c r="AL293" i="1"/>
  <c r="AK293" i="1"/>
  <c r="AL12" i="1"/>
  <c r="AK12" i="1"/>
  <c r="AL628" i="1"/>
  <c r="AK628" i="1"/>
  <c r="AK132" i="1"/>
  <c r="AL132" i="1"/>
  <c r="AK31" i="1"/>
  <c r="AL31" i="1"/>
  <c r="AL776" i="1"/>
  <c r="AK776" i="1"/>
  <c r="AL235" i="1"/>
  <c r="AK235" i="1"/>
  <c r="AL783" i="1"/>
  <c r="AK783" i="1"/>
  <c r="AL629" i="1"/>
  <c r="AK629" i="1"/>
  <c r="AL595" i="1"/>
  <c r="AK595" i="1"/>
  <c r="AL999" i="1"/>
  <c r="AK999" i="1"/>
  <c r="AK1101" i="1"/>
  <c r="AL1101" i="1"/>
  <c r="AL1085" i="1"/>
  <c r="AK1085" i="1"/>
  <c r="AK818" i="1"/>
  <c r="AL818" i="1"/>
  <c r="AL28" i="1"/>
  <c r="AK28" i="1"/>
  <c r="AL285" i="1"/>
  <c r="AK285" i="1"/>
  <c r="AK373" i="1"/>
  <c r="AL373" i="1"/>
  <c r="AL1043" i="1"/>
  <c r="AK1043" i="1"/>
  <c r="AL1049" i="1"/>
  <c r="AK1049" i="1"/>
  <c r="AK450" i="1"/>
  <c r="AL450" i="1"/>
  <c r="AL987" i="1"/>
  <c r="AK987" i="1"/>
  <c r="AL296" i="1"/>
  <c r="AK296" i="1"/>
  <c r="AL721" i="1"/>
  <c r="AK721" i="1"/>
  <c r="AK855" i="1"/>
  <c r="AL855" i="1"/>
  <c r="AL811" i="1"/>
  <c r="AK811" i="1"/>
  <c r="AK1152" i="1"/>
  <c r="AL1152" i="1"/>
  <c r="AK1109" i="1"/>
  <c r="AL1109" i="1"/>
  <c r="AK1173" i="1"/>
  <c r="AL1173" i="1"/>
  <c r="AL752" i="1"/>
  <c r="AK752" i="1"/>
  <c r="AK503" i="1"/>
  <c r="AL503" i="1"/>
  <c r="AL903" i="1"/>
  <c r="AK903" i="1"/>
  <c r="AK800" i="1"/>
  <c r="AL800" i="1"/>
  <c r="AL919" i="1"/>
  <c r="AK919" i="1"/>
  <c r="AL618" i="1"/>
  <c r="AK618" i="1"/>
  <c r="AK1171" i="1"/>
  <c r="AL1171" i="1"/>
  <c r="AK822" i="1"/>
  <c r="AL822" i="1"/>
  <c r="AL775" i="1"/>
  <c r="AK775" i="1"/>
  <c r="AK844" i="1"/>
  <c r="AL844" i="1"/>
  <c r="AK126" i="1"/>
  <c r="AL126" i="1"/>
  <c r="AL182" i="1"/>
  <c r="AK182" i="1"/>
  <c r="AK821" i="1"/>
  <c r="AL821" i="1"/>
  <c r="AK510" i="1"/>
  <c r="AL510" i="1"/>
  <c r="AL698" i="1"/>
  <c r="AK698" i="1"/>
  <c r="AK455" i="1"/>
  <c r="AL455" i="1"/>
  <c r="AK81" i="1"/>
  <c r="AL81" i="1"/>
  <c r="AK579" i="1"/>
  <c r="AL579" i="1"/>
  <c r="AK715" i="1"/>
  <c r="AL715" i="1"/>
  <c r="AK249" i="1"/>
  <c r="AL249" i="1"/>
  <c r="AL632" i="1"/>
  <c r="AK632" i="1"/>
  <c r="AK332" i="1"/>
  <c r="AL332" i="1"/>
  <c r="AL180" i="1"/>
  <c r="AK180" i="1"/>
  <c r="AK344" i="1"/>
  <c r="AL344" i="1"/>
  <c r="AL40" i="1"/>
  <c r="AK40" i="1"/>
  <c r="AK456" i="1"/>
  <c r="AL456" i="1"/>
  <c r="AL73" i="1"/>
  <c r="AK73" i="1"/>
  <c r="AL210" i="1"/>
  <c r="AK210" i="1"/>
  <c r="AL54" i="1"/>
  <c r="AK54" i="1"/>
  <c r="AK248" i="1"/>
  <c r="AL248" i="1"/>
  <c r="AK79" i="1"/>
  <c r="AL79" i="1"/>
  <c r="AK90" i="1"/>
  <c r="AL90" i="1"/>
  <c r="AL773" i="1"/>
  <c r="AK773" i="1"/>
  <c r="AK574" i="1"/>
  <c r="AL574" i="1"/>
  <c r="AL197" i="1"/>
  <c r="AK197" i="1"/>
  <c r="AK167" i="1"/>
  <c r="AL167" i="1"/>
  <c r="AL201" i="1"/>
  <c r="AK201" i="1"/>
  <c r="AK571" i="1"/>
  <c r="AL571" i="1"/>
  <c r="AL619" i="1"/>
  <c r="AK619" i="1"/>
  <c r="AL302" i="1"/>
  <c r="AK302" i="1"/>
  <c r="AK559" i="1"/>
  <c r="AL559" i="1"/>
  <c r="AL467" i="1"/>
  <c r="AK467" i="1"/>
  <c r="AK857" i="1"/>
  <c r="AL857" i="1"/>
  <c r="AL959" i="1"/>
  <c r="AK959" i="1"/>
  <c r="AK807" i="1"/>
  <c r="AL807" i="1"/>
  <c r="AK461" i="1"/>
  <c r="AL461" i="1"/>
  <c r="AL981" i="1"/>
  <c r="AK981" i="1"/>
  <c r="AL995" i="1"/>
  <c r="AK995" i="1"/>
  <c r="AK520" i="1"/>
  <c r="AL520" i="1"/>
  <c r="AK820" i="1"/>
  <c r="AL820" i="1"/>
  <c r="AK517" i="1"/>
  <c r="AL517" i="1"/>
  <c r="AL193" i="1"/>
  <c r="AK193" i="1"/>
  <c r="AK92" i="1"/>
  <c r="AL92" i="1"/>
  <c r="AL1036" i="1"/>
  <c r="AK1036" i="1"/>
  <c r="AL741" i="1"/>
  <c r="AK741" i="1"/>
  <c r="AL239" i="1"/>
  <c r="AK239" i="1"/>
  <c r="AL883" i="1"/>
  <c r="AK883" i="1"/>
  <c r="AL307" i="1"/>
  <c r="AK307" i="1"/>
  <c r="AL114" i="1"/>
  <c r="AK114" i="1"/>
  <c r="AK826" i="1"/>
  <c r="AL826" i="1"/>
  <c r="AL300" i="1"/>
  <c r="AK300" i="1"/>
  <c r="AK377" i="1"/>
  <c r="AL377" i="1"/>
  <c r="AL809" i="1"/>
  <c r="AK809" i="1"/>
  <c r="AL763" i="1"/>
  <c r="AK763" i="1"/>
  <c r="AK1097" i="1"/>
  <c r="AL1097" i="1"/>
  <c r="AL303" i="1"/>
  <c r="AK303" i="1"/>
  <c r="AK261" i="1"/>
  <c r="AL261" i="1"/>
  <c r="AK457" i="1"/>
  <c r="AL457" i="1"/>
  <c r="AL730" i="1"/>
  <c r="AK730" i="1"/>
  <c r="AK136" i="1"/>
  <c r="AL136" i="1"/>
  <c r="AK488" i="1"/>
  <c r="AL488" i="1"/>
  <c r="AL835" i="1"/>
  <c r="AK835" i="1"/>
  <c r="AL241" i="1"/>
  <c r="AK241" i="1"/>
  <c r="AL207" i="1"/>
  <c r="AK207" i="1"/>
  <c r="AK499" i="1"/>
  <c r="AL499" i="1"/>
  <c r="AL11" i="1"/>
  <c r="AK11" i="1"/>
  <c r="AL689" i="1"/>
  <c r="AK689" i="1"/>
  <c r="AK561" i="1"/>
  <c r="AL561" i="1"/>
  <c r="AK100" i="1"/>
  <c r="AL100" i="1"/>
  <c r="AL983" i="1"/>
  <c r="AK983" i="1"/>
  <c r="AK1134" i="1"/>
  <c r="AL1134" i="1"/>
  <c r="AK112" i="1"/>
  <c r="AL112" i="1"/>
  <c r="AL1092" i="1"/>
  <c r="AK1092" i="1"/>
  <c r="AL938" i="1"/>
  <c r="AK938" i="1"/>
  <c r="AL892" i="1"/>
  <c r="AK892" i="1"/>
  <c r="AK200" i="1"/>
  <c r="AL200" i="1"/>
  <c r="AK60" i="1"/>
  <c r="AL60" i="1"/>
  <c r="AL1080" i="1"/>
  <c r="AK1080" i="1"/>
  <c r="AL664" i="1"/>
  <c r="AK664" i="1"/>
  <c r="AL665" i="1"/>
  <c r="AK665" i="1"/>
  <c r="AK1151" i="1"/>
  <c r="AL1151" i="1"/>
  <c r="AL68" i="1"/>
  <c r="AK68" i="1"/>
  <c r="AL292" i="1"/>
  <c r="AK292" i="1"/>
  <c r="AL502" i="1"/>
  <c r="AK502" i="1"/>
  <c r="AL812" i="1"/>
  <c r="AK812" i="1"/>
  <c r="AL1004" i="1"/>
  <c r="AK1004" i="1"/>
  <c r="AL1022" i="1"/>
  <c r="AK1022" i="1"/>
  <c r="AL908" i="1"/>
  <c r="AK908" i="1"/>
  <c r="AL732" i="1"/>
  <c r="AK732" i="1"/>
  <c r="AK5" i="1"/>
  <c r="AL5" i="1"/>
  <c r="AK853" i="1"/>
  <c r="AL853" i="1"/>
  <c r="AK1174" i="1"/>
  <c r="AL1174" i="1"/>
  <c r="AL708" i="1"/>
  <c r="AK708" i="1"/>
  <c r="AL909" i="1"/>
  <c r="AK909" i="1"/>
  <c r="AK551" i="1"/>
  <c r="AL551" i="1"/>
  <c r="AL923" i="1"/>
  <c r="AK923" i="1"/>
  <c r="AL810" i="1"/>
  <c r="AK810" i="1"/>
  <c r="AK1162" i="1"/>
  <c r="AL1162" i="1"/>
  <c r="AK1187" i="1"/>
  <c r="AL1187" i="1"/>
  <c r="AL801" i="1"/>
  <c r="AK801" i="1"/>
  <c r="AK536" i="1"/>
  <c r="AL536" i="1"/>
  <c r="AK93" i="1"/>
  <c r="AL93" i="1"/>
  <c r="AL166" i="1"/>
  <c r="AK166" i="1"/>
  <c r="AL802" i="1"/>
  <c r="AK802" i="1"/>
  <c r="AK495" i="1"/>
  <c r="AL495" i="1"/>
  <c r="AL679" i="1"/>
  <c r="AK679" i="1"/>
  <c r="AL328" i="1"/>
  <c r="AK328" i="1"/>
  <c r="AK72" i="1"/>
  <c r="AL72" i="1"/>
  <c r="AK475" i="1"/>
  <c r="AL475" i="1"/>
  <c r="AL696" i="1"/>
  <c r="AK696" i="1"/>
  <c r="AK161" i="1"/>
  <c r="AL161" i="1"/>
  <c r="AL624" i="1"/>
  <c r="AK624" i="1"/>
  <c r="AL308" i="1"/>
  <c r="AK308" i="1"/>
  <c r="AK164" i="1"/>
  <c r="AL164" i="1"/>
  <c r="AL325" i="1"/>
  <c r="AK325" i="1"/>
  <c r="AL672" i="1"/>
  <c r="AK672" i="1"/>
  <c r="AK451" i="1"/>
  <c r="AL451" i="1"/>
  <c r="AK282" i="1"/>
  <c r="AL282" i="1"/>
  <c r="AL194" i="1"/>
  <c r="AK194" i="1"/>
  <c r="AK38" i="1"/>
  <c r="AL38" i="1"/>
  <c r="AL189" i="1"/>
  <c r="AK189" i="1"/>
  <c r="AK82" i="1"/>
  <c r="AL82" i="1"/>
  <c r="AK501" i="1"/>
  <c r="AL501" i="1"/>
  <c r="AK458" i="1"/>
  <c r="AL458" i="1"/>
  <c r="AL742" i="1"/>
  <c r="AK742" i="1"/>
  <c r="AL945" i="1"/>
  <c r="AK945" i="1"/>
  <c r="AK568" i="1"/>
  <c r="AL568" i="1"/>
  <c r="AL48" i="1"/>
  <c r="AK48" i="1"/>
  <c r="AL295" i="1"/>
  <c r="AK295" i="1"/>
  <c r="AK531" i="1"/>
  <c r="AL531" i="1"/>
  <c r="AL237" i="1"/>
  <c r="AK237" i="1"/>
  <c r="AL947" i="1"/>
  <c r="AK947" i="1"/>
  <c r="AL648" i="1"/>
  <c r="AK648" i="1"/>
  <c r="AK255" i="1"/>
  <c r="AL255" i="1"/>
  <c r="AL1019" i="1"/>
  <c r="AK1019" i="1"/>
  <c r="AL470" i="1"/>
  <c r="AK470" i="1"/>
  <c r="AK15" i="1"/>
  <c r="AL15" i="1"/>
  <c r="AL615" i="1"/>
  <c r="AK615" i="1"/>
  <c r="AK1168" i="1"/>
  <c r="AL1168" i="1"/>
  <c r="AL669" i="1"/>
  <c r="AK669" i="1"/>
  <c r="AL594" i="1"/>
  <c r="AK594" i="1"/>
  <c r="AK39" i="1"/>
  <c r="AL39" i="1"/>
  <c r="AK88" i="1"/>
  <c r="AL88" i="1"/>
  <c r="AL281" i="1"/>
  <c r="AK281" i="1"/>
  <c r="AL604" i="1"/>
  <c r="AK604" i="1"/>
  <c r="AK1137" i="1"/>
  <c r="AL1137" i="1"/>
  <c r="AK118" i="1"/>
  <c r="AL118" i="1"/>
  <c r="AL585" i="1"/>
  <c r="AK585" i="1"/>
  <c r="AK426" i="1"/>
  <c r="AL426" i="1"/>
  <c r="AK27" i="1"/>
  <c r="AL27" i="1"/>
  <c r="AK514" i="1"/>
  <c r="AL514" i="1"/>
  <c r="AK267" i="1"/>
  <c r="AL267" i="1"/>
  <c r="AK483" i="1"/>
  <c r="AL483" i="1"/>
  <c r="AL133" i="1"/>
  <c r="AK133" i="1"/>
  <c r="AL788" i="1"/>
  <c r="AK788" i="1"/>
  <c r="AL731" i="1"/>
  <c r="AK731" i="1"/>
  <c r="AL996" i="1"/>
  <c r="AK996" i="1"/>
  <c r="AL704" i="1"/>
  <c r="AK704" i="1"/>
  <c r="AK10" i="1"/>
  <c r="AL10" i="1"/>
  <c r="AL962" i="1"/>
  <c r="AK962" i="1"/>
  <c r="AL290" i="1"/>
  <c r="AK290" i="1"/>
  <c r="AK489" i="1"/>
  <c r="AL489" i="1"/>
  <c r="AK1113" i="1"/>
  <c r="AL1113" i="1"/>
  <c r="AL56" i="1"/>
  <c r="AK56" i="1"/>
  <c r="AK266" i="1"/>
  <c r="AL266" i="1"/>
  <c r="AK1099" i="1"/>
  <c r="AL1099" i="1"/>
  <c r="AK26" i="1"/>
  <c r="AL26" i="1"/>
  <c r="AL371" i="1"/>
  <c r="AK371" i="1"/>
  <c r="AK284" i="1"/>
  <c r="AL284" i="1"/>
  <c r="AL868" i="1"/>
  <c r="AK868" i="1"/>
  <c r="AK101" i="1"/>
  <c r="AL101" i="1"/>
  <c r="AL647" i="1"/>
  <c r="AK647" i="1"/>
  <c r="AL287" i="1"/>
  <c r="AK287" i="1"/>
  <c r="AL761" i="1"/>
  <c r="AK761" i="1"/>
  <c r="AL67" i="1"/>
  <c r="AK67" i="1"/>
  <c r="AL76" i="1"/>
  <c r="AK76" i="1"/>
  <c r="AL1012" i="1"/>
  <c r="AK1012" i="1"/>
  <c r="AK1096" i="1"/>
  <c r="AL1096" i="1"/>
  <c r="AL334" i="1"/>
  <c r="AK334" i="1"/>
  <c r="AL957" i="1"/>
  <c r="AK957" i="1"/>
  <c r="AL887" i="1"/>
  <c r="AK887" i="1"/>
  <c r="AL964" i="1"/>
  <c r="AK964" i="1"/>
  <c r="AK1110" i="1"/>
  <c r="AL1110" i="1"/>
  <c r="AL1007" i="1"/>
  <c r="AK1007" i="1"/>
  <c r="AL989" i="1"/>
  <c r="AK989" i="1"/>
  <c r="AL1094" i="1"/>
  <c r="AK1094" i="1"/>
  <c r="AK553" i="1"/>
  <c r="AL553" i="1"/>
  <c r="AK449" i="1"/>
  <c r="AL449" i="1"/>
  <c r="AK464" i="1"/>
  <c r="AL464" i="1"/>
  <c r="AL606" i="1"/>
  <c r="AK606" i="1"/>
  <c r="AL1088" i="1"/>
  <c r="AK1088" i="1"/>
  <c r="AK42" i="1"/>
  <c r="AL42" i="1"/>
  <c r="AL1017" i="1"/>
  <c r="AK1017" i="1"/>
  <c r="AL997" i="1"/>
  <c r="AK997" i="1"/>
  <c r="AL1009" i="1"/>
  <c r="AK1009" i="1"/>
  <c r="AK1167" i="1"/>
  <c r="AL1167" i="1"/>
  <c r="AL913" i="1"/>
  <c r="AK913" i="1"/>
  <c r="AL713" i="1"/>
  <c r="AK713" i="1"/>
  <c r="AK1188" i="1"/>
  <c r="AL1188" i="1"/>
  <c r="AK845" i="1"/>
  <c r="AL845" i="1"/>
  <c r="AL914" i="1"/>
  <c r="AK914" i="1"/>
  <c r="AK492" i="1"/>
  <c r="AL492" i="1"/>
  <c r="AL851" i="1"/>
  <c r="AK851" i="1"/>
  <c r="AK454" i="1"/>
  <c r="AL454" i="1"/>
  <c r="AL912" i="1"/>
  <c r="AK912" i="1"/>
  <c r="AL737" i="1"/>
  <c r="AK737" i="1"/>
  <c r="AL915" i="1"/>
  <c r="AK915" i="1"/>
  <c r="AK1178" i="1"/>
  <c r="AL1178" i="1"/>
  <c r="AL771" i="1"/>
  <c r="AK771" i="1"/>
  <c r="AK478" i="1"/>
  <c r="AL478" i="1"/>
  <c r="AK91" i="1"/>
  <c r="AL91" i="1"/>
  <c r="AK799" i="1"/>
  <c r="AL799" i="1"/>
  <c r="AL765" i="1"/>
  <c r="AK765" i="1"/>
  <c r="AK259" i="1"/>
  <c r="AL259" i="1"/>
  <c r="AL593" i="1"/>
  <c r="AK593" i="1"/>
  <c r="AK326" i="1"/>
  <c r="AL326" i="1"/>
  <c r="AL728" i="1"/>
  <c r="AK728" i="1"/>
  <c r="AK345" i="1"/>
  <c r="AL345" i="1"/>
  <c r="AL673" i="1"/>
  <c r="AK673" i="1"/>
  <c r="AK124" i="1"/>
  <c r="AL124" i="1"/>
  <c r="AL590" i="1"/>
  <c r="AK590" i="1"/>
  <c r="AL278" i="1"/>
  <c r="AK278" i="1"/>
  <c r="AK129" i="1"/>
  <c r="AL129" i="1"/>
  <c r="AL311" i="1"/>
  <c r="AK311" i="1"/>
  <c r="AL638" i="1"/>
  <c r="AK638" i="1"/>
  <c r="AL276" i="1"/>
  <c r="AK276" i="1"/>
  <c r="AL243" i="1"/>
  <c r="AK243" i="1"/>
  <c r="AL178" i="1"/>
  <c r="AK178" i="1"/>
  <c r="AL6" i="1"/>
  <c r="AK6" i="1"/>
  <c r="AL181" i="1"/>
  <c r="AK181" i="1"/>
  <c r="AK192" i="1"/>
  <c r="AL192" i="1"/>
  <c r="AK74" i="1"/>
  <c r="AL74" i="1"/>
  <c r="AK250" i="1"/>
  <c r="AL250" i="1"/>
  <c r="AK466" i="1"/>
  <c r="AL466" i="1"/>
  <c r="AK548" i="1"/>
  <c r="AL548" i="1"/>
  <c r="AL710" i="1"/>
  <c r="AK710" i="1"/>
  <c r="AL17" i="1"/>
  <c r="AK17" i="1"/>
  <c r="AK29" i="1"/>
  <c r="AL29" i="1"/>
  <c r="AL1060" i="1"/>
  <c r="AK1060" i="1"/>
  <c r="AK25" i="1"/>
  <c r="AL25" i="1"/>
  <c r="AK859" i="1"/>
  <c r="AL859" i="1"/>
  <c r="AK497" i="1"/>
  <c r="AL497" i="1"/>
  <c r="AL958" i="1"/>
  <c r="AK958" i="1"/>
  <c r="AL746" i="1"/>
  <c r="AK746" i="1"/>
  <c r="AL283" i="1"/>
  <c r="AK283" i="1"/>
  <c r="AK1107" i="1"/>
  <c r="AL1107" i="1"/>
  <c r="AK1145" i="1"/>
  <c r="AL1145" i="1"/>
  <c r="AL840" i="1"/>
  <c r="AK840" i="1"/>
  <c r="AL910" i="1"/>
  <c r="AK910" i="1"/>
  <c r="AL733" i="1"/>
  <c r="AK733" i="1"/>
  <c r="AK453" i="1"/>
  <c r="AL453" i="1"/>
  <c r="AK59" i="1"/>
  <c r="AL59" i="1"/>
  <c r="AK254" i="1"/>
  <c r="AL254" i="1"/>
  <c r="AL609" i="1"/>
  <c r="AK609" i="1"/>
  <c r="AL653" i="1"/>
  <c r="AK653" i="1"/>
  <c r="AL206" i="1"/>
  <c r="AK206" i="1"/>
  <c r="AL885" i="1"/>
  <c r="AK885" i="1"/>
  <c r="AK544" i="1"/>
  <c r="AL544" i="1"/>
  <c r="AL769" i="1"/>
  <c r="AK769" i="1"/>
  <c r="AL1077" i="1"/>
  <c r="AK1077" i="1"/>
  <c r="AL897" i="1"/>
  <c r="AK897" i="1"/>
  <c r="AK858" i="1"/>
  <c r="AL858" i="1"/>
  <c r="AK557" i="1"/>
  <c r="AL557" i="1"/>
  <c r="AK988" i="1"/>
  <c r="AL988" i="1"/>
  <c r="AK575" i="1"/>
  <c r="AL575" i="1"/>
  <c r="AL968" i="1"/>
  <c r="AK968" i="1"/>
  <c r="AK500" i="1"/>
  <c r="AL500" i="1"/>
  <c r="AK256" i="1"/>
  <c r="AL256" i="1"/>
  <c r="AK13" i="1"/>
  <c r="AL13" i="1"/>
  <c r="AK1056" i="1"/>
  <c r="AL1056" i="1"/>
  <c r="AL967" i="1"/>
  <c r="AK967" i="1"/>
  <c r="AL980" i="1"/>
  <c r="AK980" i="1"/>
  <c r="AK30" i="1"/>
  <c r="AL30" i="1"/>
  <c r="AK1095" i="1"/>
  <c r="AL1095" i="1"/>
  <c r="AL943" i="1"/>
  <c r="AK943" i="1"/>
  <c r="AL233" i="1"/>
  <c r="AK233" i="1"/>
  <c r="AK522" i="1"/>
  <c r="AL522" i="1"/>
  <c r="AL268" i="1"/>
  <c r="AK268" i="1"/>
  <c r="AL274" i="1"/>
  <c r="AK274" i="1"/>
  <c r="AL780" i="1"/>
  <c r="AK780" i="1"/>
  <c r="AL992" i="1"/>
  <c r="AK992" i="1"/>
  <c r="AL1016" i="1"/>
  <c r="AK1016" i="1"/>
  <c r="AL720" i="1"/>
  <c r="AK720" i="1"/>
  <c r="AL991" i="1"/>
  <c r="AK991" i="1"/>
  <c r="AL1010" i="1"/>
  <c r="AK1010" i="1"/>
  <c r="AL961" i="1"/>
  <c r="AK961" i="1"/>
  <c r="AK21" i="1"/>
  <c r="AL21" i="1"/>
  <c r="AL970" i="1"/>
  <c r="AK970" i="1"/>
  <c r="AL658" i="1"/>
  <c r="AK658" i="1"/>
  <c r="AK410" i="1"/>
  <c r="AL410" i="1"/>
  <c r="AK545" i="1"/>
  <c r="AL545" i="1"/>
  <c r="AL982" i="1"/>
  <c r="AK982" i="1"/>
  <c r="AL865" i="1"/>
  <c r="AK865" i="1"/>
  <c r="AL1089" i="1"/>
  <c r="AK1089" i="1"/>
  <c r="AK1146" i="1"/>
  <c r="AL1146" i="1"/>
  <c r="AL977" i="1"/>
  <c r="AK977" i="1"/>
  <c r="AL1006" i="1"/>
  <c r="AK1006" i="1"/>
  <c r="AK877" i="1"/>
  <c r="AL877" i="1"/>
  <c r="AL703" i="1"/>
  <c r="AK703" i="1"/>
  <c r="AL605" i="1"/>
  <c r="AK605" i="1"/>
  <c r="AK409" i="1"/>
  <c r="AL409" i="1"/>
  <c r="AL642" i="1"/>
  <c r="AK642" i="1"/>
  <c r="AK36" i="1"/>
  <c r="AL36" i="1"/>
  <c r="AL808" i="1"/>
  <c r="AK808" i="1"/>
  <c r="AK1133" i="1"/>
  <c r="AL1133" i="1"/>
  <c r="AL985" i="1"/>
  <c r="AK985" i="1"/>
  <c r="AK850" i="1"/>
  <c r="AL850" i="1"/>
  <c r="AL905" i="1"/>
  <c r="AK905" i="1"/>
  <c r="AL697" i="1"/>
  <c r="AK697" i="1"/>
  <c r="AK1179" i="1"/>
  <c r="AL1179" i="1"/>
  <c r="AK819" i="1"/>
  <c r="AL819" i="1"/>
  <c r="AL906" i="1"/>
  <c r="AK906" i="1"/>
  <c r="AL280" i="1"/>
  <c r="AK280" i="1"/>
  <c r="AK843" i="1"/>
  <c r="AL843" i="1"/>
  <c r="AL327" i="1"/>
  <c r="AK327" i="1"/>
  <c r="AL904" i="1"/>
  <c r="AK904" i="1"/>
  <c r="AL716" i="1"/>
  <c r="AK716" i="1"/>
  <c r="AL907" i="1"/>
  <c r="AK907" i="1"/>
  <c r="AK1169" i="1"/>
  <c r="AL1169" i="1"/>
  <c r="AL718" i="1"/>
  <c r="AK718" i="1"/>
  <c r="AL336" i="1"/>
  <c r="AK336" i="1"/>
  <c r="AK78" i="1"/>
  <c r="AL78" i="1"/>
  <c r="AL751" i="1"/>
  <c r="AK751" i="1"/>
  <c r="AL738" i="1"/>
  <c r="AK738" i="1"/>
  <c r="AL190" i="1"/>
  <c r="AK190" i="1"/>
  <c r="AL583" i="1"/>
  <c r="AK583" i="1"/>
  <c r="AL179" i="1"/>
  <c r="AK179" i="1"/>
  <c r="AL712" i="1"/>
  <c r="AK712" i="1"/>
  <c r="AK343" i="1"/>
  <c r="AL343" i="1"/>
  <c r="AL639" i="1"/>
  <c r="AK639" i="1"/>
  <c r="AK89" i="1"/>
  <c r="AL89" i="1"/>
  <c r="AL582" i="1"/>
  <c r="AK582" i="1"/>
  <c r="AK265" i="1"/>
  <c r="AL265" i="1"/>
  <c r="AL94" i="1"/>
  <c r="AK94" i="1"/>
  <c r="AK263" i="1"/>
  <c r="AL263" i="1"/>
  <c r="AK580" i="1"/>
  <c r="AL580" i="1"/>
  <c r="AK258" i="1"/>
  <c r="AL258" i="1"/>
  <c r="AL183" i="1"/>
  <c r="AK183" i="1"/>
  <c r="AL175" i="1"/>
  <c r="AK175" i="1"/>
  <c r="AK505" i="1"/>
  <c r="AL505" i="1"/>
  <c r="AK162" i="1"/>
  <c r="AL162" i="1"/>
  <c r="AK184" i="1"/>
  <c r="AL184" i="1"/>
  <c r="AL52" i="1"/>
  <c r="AK52" i="1"/>
  <c r="AK339" i="1"/>
  <c r="AL339" i="1"/>
  <c r="AL1078" i="1"/>
  <c r="AK1078" i="1"/>
  <c r="AL781" i="1"/>
  <c r="AK781" i="1"/>
  <c r="AK20" i="1"/>
  <c r="AL20" i="1"/>
  <c r="AK525" i="1"/>
  <c r="AL525" i="1"/>
  <c r="AL1000" i="1"/>
  <c r="AK1000" i="1"/>
  <c r="AK437" i="1"/>
  <c r="AL437" i="1"/>
  <c r="AK1160" i="1"/>
  <c r="AL1160" i="1"/>
  <c r="AL998" i="1"/>
  <c r="AK998" i="1"/>
  <c r="AL24" i="1"/>
  <c r="AK24" i="1"/>
  <c r="AK513" i="1"/>
  <c r="AL513" i="1"/>
  <c r="AL753" i="1"/>
  <c r="AK753" i="1"/>
  <c r="AK342" i="1"/>
  <c r="AL342" i="1"/>
  <c r="AK569" i="1"/>
  <c r="AL569" i="1"/>
  <c r="AK86" i="1"/>
  <c r="AL86" i="1"/>
  <c r="AL612" i="1"/>
  <c r="AK612" i="1"/>
  <c r="AK549" i="1"/>
  <c r="AL549" i="1"/>
  <c r="AL878" i="1"/>
  <c r="AK878" i="1"/>
  <c r="AL770" i="1"/>
  <c r="AK770" i="1"/>
  <c r="AL942" i="1"/>
  <c r="AK942" i="1"/>
  <c r="AL863" i="1"/>
  <c r="AK863" i="1"/>
  <c r="AK1108" i="1"/>
  <c r="AL1108" i="1"/>
  <c r="AK837" i="1"/>
  <c r="AL837" i="1"/>
  <c r="AL610" i="1"/>
  <c r="AK610" i="1"/>
  <c r="AL600" i="1"/>
  <c r="AK600" i="1"/>
  <c r="AK35" i="1"/>
  <c r="AL35" i="1"/>
  <c r="AL41" i="1"/>
  <c r="AK41" i="1"/>
  <c r="AL588" i="1"/>
  <c r="AK588" i="1"/>
  <c r="AK440" i="1"/>
  <c r="AL440" i="1"/>
  <c r="AL984" i="1"/>
  <c r="AK984" i="1"/>
  <c r="AL986" i="1"/>
  <c r="AK986" i="1"/>
  <c r="AL975" i="1"/>
  <c r="AK975" i="1"/>
  <c r="AL234" i="1"/>
  <c r="AK234" i="1"/>
  <c r="AL199" i="1"/>
  <c r="AK199" i="1"/>
  <c r="AK77" i="1"/>
  <c r="AL77" i="1"/>
  <c r="AL794" i="1"/>
  <c r="AK794" i="1"/>
  <c r="AL898" i="1"/>
  <c r="AK898" i="1"/>
  <c r="AL937" i="1"/>
  <c r="AK937" i="1"/>
  <c r="AL806" i="1"/>
  <c r="AK806" i="1"/>
  <c r="AK1157" i="1"/>
  <c r="AL1157" i="1"/>
  <c r="AL978" i="1"/>
  <c r="AK978" i="1"/>
  <c r="AL120" i="1"/>
  <c r="AK120" i="1"/>
  <c r="AL317" i="1"/>
  <c r="AK317" i="1"/>
  <c r="AL965" i="1"/>
  <c r="AK965" i="1"/>
  <c r="AL782" i="1"/>
  <c r="AK782" i="1"/>
  <c r="AL614" i="1"/>
  <c r="AK614" i="1"/>
  <c r="AL722" i="1"/>
  <c r="AK722" i="1"/>
  <c r="AK966" i="1"/>
  <c r="AL966" i="1"/>
  <c r="AL589" i="1"/>
  <c r="AK589" i="1"/>
  <c r="AL960" i="1"/>
  <c r="AK960" i="1"/>
  <c r="AL1028" i="1"/>
  <c r="AK1028" i="1"/>
  <c r="AL635" i="1"/>
  <c r="AK635" i="1"/>
  <c r="AK869" i="1"/>
  <c r="AL869" i="1"/>
  <c r="AL1002" i="1"/>
  <c r="AK1002" i="1"/>
  <c r="AK480" i="1"/>
  <c r="AL480" i="1"/>
  <c r="AL621" i="1"/>
  <c r="AK621" i="1"/>
  <c r="AL641" i="1"/>
  <c r="AK641" i="1"/>
  <c r="AL333" i="1"/>
  <c r="AK333" i="1"/>
  <c r="AL1045" i="1"/>
  <c r="AK1045" i="1"/>
  <c r="AL1051" i="1"/>
  <c r="AK1051" i="1"/>
  <c r="AL836" i="1"/>
  <c r="AK836" i="1"/>
  <c r="AK1185" i="1"/>
  <c r="AL1185" i="1"/>
  <c r="AL899" i="1"/>
  <c r="AK899" i="1"/>
  <c r="AL652" i="1"/>
  <c r="AK652" i="1"/>
  <c r="AK1170" i="1"/>
  <c r="AL1170" i="1"/>
  <c r="AL681" i="1"/>
  <c r="AK681" i="1"/>
  <c r="AL856" i="1"/>
  <c r="AK856" i="1"/>
  <c r="AK1186" i="1"/>
  <c r="AL1186" i="1"/>
  <c r="AK817" i="1"/>
  <c r="AL817" i="1"/>
  <c r="AK842" i="1"/>
  <c r="AL842" i="1"/>
  <c r="AK854" i="1"/>
  <c r="AL854" i="1"/>
  <c r="AL667" i="1"/>
  <c r="AK667" i="1"/>
  <c r="AK849" i="1"/>
  <c r="AL849" i="1"/>
  <c r="AL699" i="1"/>
  <c r="AK699" i="1"/>
  <c r="AL277" i="1"/>
  <c r="AK277" i="1"/>
  <c r="AK490" i="1"/>
  <c r="AL490" i="1"/>
  <c r="AL636" i="1"/>
  <c r="AK636" i="1"/>
  <c r="AL714" i="1"/>
  <c r="AK714" i="1"/>
  <c r="AL188" i="1"/>
  <c r="AK188" i="1"/>
  <c r="AL550" i="1"/>
  <c r="AK550" i="1"/>
  <c r="AK137" i="1"/>
  <c r="AL137" i="1"/>
  <c r="AL666" i="1"/>
  <c r="AK666" i="1"/>
  <c r="AK23" i="1"/>
  <c r="AL23" i="1"/>
  <c r="AL637" i="1"/>
  <c r="AK637" i="1"/>
  <c r="AK53" i="1"/>
  <c r="AL53" i="1"/>
  <c r="AK511" i="1"/>
  <c r="AL511" i="1"/>
  <c r="AL242" i="1"/>
  <c r="AK242" i="1"/>
  <c r="AK577" i="1"/>
  <c r="AL577" i="1"/>
  <c r="AK169" i="1"/>
  <c r="AL169" i="1"/>
  <c r="AK537" i="1"/>
  <c r="AL537" i="1"/>
  <c r="AK253" i="1"/>
  <c r="AL253" i="1"/>
  <c r="AL174" i="1"/>
  <c r="AK174" i="1"/>
  <c r="AK159" i="1"/>
  <c r="AL159" i="1"/>
  <c r="AK346" i="1"/>
  <c r="AL346" i="1"/>
  <c r="AL138" i="1"/>
  <c r="AK138" i="1"/>
  <c r="AL173" i="1"/>
  <c r="AK173" i="1"/>
  <c r="AK4" i="1"/>
  <c r="AL4" i="1"/>
  <c r="AL889" i="1"/>
  <c r="AK889" i="1"/>
  <c r="AK1104" i="1"/>
  <c r="AL1104" i="1"/>
  <c r="AK389" i="1"/>
  <c r="AL389" i="1"/>
  <c r="AL766" i="1"/>
  <c r="AK766" i="1"/>
  <c r="AL1033" i="1"/>
  <c r="AK1033" i="1"/>
  <c r="AK117" i="1"/>
  <c r="AL117" i="1"/>
  <c r="AK110" i="1"/>
  <c r="AL110" i="1"/>
  <c r="AL301" i="1"/>
  <c r="AK301" i="1"/>
  <c r="AL1003" i="1"/>
  <c r="AK1003" i="1"/>
  <c r="AK160" i="1"/>
  <c r="AL160" i="1"/>
  <c r="AL702" i="1"/>
  <c r="AK702" i="1"/>
  <c r="AL299" i="1"/>
  <c r="AK299" i="1"/>
  <c r="AK1156" i="1"/>
  <c r="AL1156" i="1"/>
  <c r="AL330" i="1"/>
  <c r="AK330" i="1"/>
  <c r="AL922" i="1"/>
  <c r="AK922" i="1"/>
  <c r="AL331" i="1"/>
  <c r="AK331" i="1"/>
  <c r="AK85" i="1"/>
  <c r="AL85" i="1"/>
  <c r="AK512" i="1"/>
  <c r="AL512" i="1"/>
  <c r="AL202" i="1"/>
  <c r="AK202" i="1"/>
  <c r="AL613" i="1"/>
  <c r="AK613" i="1"/>
  <c r="AL584" i="1"/>
  <c r="AK584" i="1"/>
  <c r="AK417" i="1"/>
  <c r="AL417" i="1"/>
  <c r="AL979" i="1"/>
  <c r="AK979" i="1"/>
  <c r="AL727" i="1"/>
  <c r="AK727" i="1"/>
  <c r="AK1131" i="1"/>
  <c r="AL1131" i="1"/>
  <c r="AK529" i="1"/>
  <c r="AL529" i="1"/>
  <c r="AK482" i="1"/>
  <c r="AL482" i="1"/>
  <c r="AL866" i="1"/>
  <c r="AK866" i="1"/>
  <c r="AK530" i="1"/>
  <c r="AL530" i="1"/>
  <c r="AL886" i="1"/>
  <c r="AK886" i="1"/>
  <c r="AK1128" i="1"/>
  <c r="AL1128" i="1"/>
  <c r="AK252" i="1"/>
  <c r="AL252" i="1"/>
  <c r="AK533" i="1"/>
  <c r="AL533" i="1"/>
  <c r="AL729" i="1"/>
  <c r="AK729" i="1"/>
  <c r="AK260" i="1"/>
  <c r="AL260" i="1"/>
  <c r="AL33" i="1"/>
  <c r="AK33" i="1"/>
  <c r="AL102" i="1"/>
  <c r="AK102" i="1"/>
  <c r="AL990" i="1"/>
  <c r="AK990" i="1"/>
  <c r="AK1111" i="1"/>
  <c r="AL1111" i="1"/>
  <c r="AL318" i="1"/>
  <c r="AK318" i="1"/>
  <c r="AL1059" i="1"/>
  <c r="AK1059" i="1"/>
  <c r="AK864" i="1"/>
  <c r="AL864" i="1"/>
  <c r="AK19" i="1"/>
  <c r="AL19" i="1"/>
  <c r="AL587" i="1"/>
  <c r="AK587" i="1"/>
  <c r="AL719" i="1"/>
  <c r="AK719" i="1"/>
  <c r="AK560" i="1"/>
  <c r="AL560" i="1"/>
  <c r="AL649" i="1"/>
  <c r="AK649" i="1"/>
  <c r="AL884" i="1"/>
  <c r="AK884" i="1"/>
  <c r="AL867" i="1"/>
  <c r="AK867" i="1"/>
  <c r="AK523" i="1"/>
  <c r="AL523" i="1"/>
  <c r="AK1153" i="1"/>
  <c r="AL1153" i="1"/>
  <c r="AK834" i="1"/>
  <c r="AL834" i="1"/>
  <c r="AL592" i="1"/>
  <c r="AK592" i="1"/>
  <c r="AL1090" i="1"/>
  <c r="AK1090" i="1"/>
  <c r="AL656" i="1"/>
  <c r="AK656" i="1"/>
  <c r="AL611" i="1"/>
  <c r="AK611" i="1"/>
  <c r="AK459" i="1"/>
  <c r="AL459" i="1"/>
  <c r="AK109" i="1"/>
  <c r="AL109" i="1"/>
  <c r="AL743" i="1"/>
  <c r="AK743" i="1"/>
  <c r="AL969" i="1"/>
  <c r="AK969" i="1"/>
  <c r="AL946" i="1"/>
  <c r="AK946" i="1"/>
  <c r="AK509" i="1"/>
  <c r="AL509" i="1"/>
  <c r="AL1082" i="1"/>
  <c r="AK1082" i="1"/>
  <c r="AK103" i="1"/>
  <c r="AL103" i="1"/>
  <c r="AL994" i="1"/>
  <c r="AK994" i="1"/>
  <c r="AL245" i="1"/>
  <c r="AK245" i="1"/>
  <c r="AL750" i="1"/>
  <c r="AK750" i="1"/>
  <c r="AK58" i="1"/>
  <c r="AL58" i="1"/>
  <c r="AL1038" i="1"/>
  <c r="AK1038" i="1"/>
  <c r="AK337" i="1"/>
  <c r="AL337" i="1"/>
  <c r="AL1011" i="1"/>
  <c r="AK1011" i="1"/>
  <c r="AK498" i="1"/>
  <c r="AL498" i="1"/>
  <c r="AL918" i="1"/>
  <c r="AK918" i="1"/>
  <c r="AL847" i="1"/>
  <c r="AK847" i="1"/>
  <c r="AL633" i="1"/>
  <c r="AK633" i="1"/>
  <c r="AK1127" i="1"/>
  <c r="AL1127" i="1"/>
  <c r="AK578" i="1"/>
  <c r="AL578" i="1"/>
  <c r="AK848" i="1"/>
  <c r="AL848" i="1"/>
  <c r="AK798" i="1"/>
  <c r="AL798" i="1"/>
  <c r="AK816" i="1"/>
  <c r="AL816" i="1"/>
  <c r="AK846" i="1"/>
  <c r="AL846" i="1"/>
  <c r="AL608" i="1"/>
  <c r="AK608" i="1"/>
  <c r="AK841" i="1"/>
  <c r="AL841" i="1"/>
  <c r="AL920" i="1"/>
  <c r="AK920" i="1"/>
  <c r="AL677" i="1"/>
  <c r="AK677" i="1"/>
  <c r="AL275" i="1"/>
  <c r="AK275" i="1"/>
  <c r="AK452" i="1"/>
  <c r="AL452" i="1"/>
  <c r="AL631" i="1"/>
  <c r="AK631" i="1"/>
  <c r="AL668" i="1"/>
  <c r="AK668" i="1"/>
  <c r="AL768" i="1"/>
  <c r="AK768" i="1"/>
  <c r="AK546" i="1"/>
  <c r="AL546" i="1"/>
  <c r="AK131" i="1"/>
  <c r="AL131" i="1"/>
  <c r="AL627" i="1"/>
  <c r="AK627" i="1"/>
  <c r="AL803" i="1"/>
  <c r="AK803" i="1"/>
  <c r="AL591" i="1"/>
  <c r="AK591" i="1"/>
  <c r="AK51" i="1"/>
  <c r="AL51" i="1"/>
  <c r="AK491" i="1"/>
  <c r="AL491" i="1"/>
  <c r="AL209" i="1"/>
  <c r="AK209" i="1"/>
  <c r="AL534" i="1"/>
  <c r="AK534" i="1"/>
  <c r="AK123" i="1"/>
  <c r="AL123" i="1"/>
  <c r="AK519" i="1"/>
  <c r="AL519" i="1"/>
  <c r="AK176" i="1"/>
  <c r="AL176" i="1"/>
  <c r="AL80" i="1"/>
  <c r="AK80" i="1"/>
  <c r="AK127" i="1"/>
  <c r="AL127" i="1"/>
  <c r="AL289" i="1"/>
  <c r="AK289" i="1"/>
  <c r="AK130" i="1"/>
  <c r="AL130" i="1"/>
  <c r="AK157" i="1"/>
  <c r="AL157" i="1"/>
  <c r="AL881" i="1"/>
  <c r="AK881" i="1"/>
  <c r="AL1083" i="1"/>
  <c r="AK1083" i="1"/>
  <c r="AK432" i="1"/>
  <c r="AL432" i="1"/>
  <c r="AK564" i="1"/>
  <c r="AL564" i="1"/>
  <c r="AK382" i="1"/>
  <c r="AL382" i="1"/>
  <c r="AL291" i="1"/>
  <c r="AK291" i="1"/>
  <c r="AK1116" i="1"/>
  <c r="AL1116" i="1"/>
  <c r="AK16" i="1"/>
  <c r="AL16" i="1"/>
  <c r="AK98" i="1"/>
  <c r="AL98" i="1"/>
  <c r="AL735" i="1"/>
  <c r="AK735" i="1"/>
  <c r="AK797" i="1"/>
  <c r="AL797" i="1"/>
  <c r="AL596" i="1"/>
  <c r="AK596" i="1"/>
  <c r="AK465" i="1"/>
  <c r="AL465" i="1"/>
  <c r="AL1035" i="1"/>
  <c r="AK1035" i="1"/>
  <c r="AK1190" i="1"/>
  <c r="AL1190" i="1"/>
  <c r="AK1189" i="1"/>
  <c r="AL1189" i="1"/>
  <c r="AL211" i="1"/>
  <c r="AK211" i="1"/>
  <c r="AL617" i="1"/>
  <c r="AK617" i="1"/>
  <c r="AK516" i="1"/>
  <c r="AL516" i="1"/>
  <c r="AK125" i="1"/>
  <c r="AL125" i="1"/>
  <c r="AK515" i="1"/>
  <c r="AL515" i="1"/>
  <c r="AK1091" i="1"/>
  <c r="AL1091" i="1"/>
  <c r="AL1079" i="1"/>
  <c r="AK1079" i="1"/>
  <c r="AK477" i="1"/>
  <c r="AL477" i="1"/>
  <c r="AL695" i="1"/>
  <c r="AK695" i="1"/>
  <c r="AL791" i="1"/>
  <c r="AK791" i="1"/>
  <c r="AL882" i="1"/>
  <c r="AK882" i="1"/>
  <c r="AL971" i="1"/>
  <c r="AK971" i="1"/>
  <c r="AK55" i="1"/>
  <c r="AL55" i="1"/>
  <c r="AK532" i="1"/>
  <c r="AL532" i="1"/>
  <c r="AL257" i="1"/>
  <c r="AK257" i="1"/>
  <c r="AK494" i="1"/>
  <c r="AL494" i="1"/>
  <c r="AK1098" i="1"/>
  <c r="AL1098" i="1"/>
  <c r="AL778" i="1"/>
  <c r="AK778" i="1"/>
  <c r="AK852" i="1"/>
  <c r="AL852" i="1"/>
  <c r="AL779" i="1"/>
  <c r="AK779" i="1"/>
  <c r="AK18" i="1"/>
  <c r="AL18" i="1"/>
  <c r="AL645" i="1"/>
  <c r="AK645" i="1"/>
  <c r="AL701" i="1"/>
  <c r="AK701" i="1"/>
  <c r="AK165" i="1"/>
  <c r="AL165" i="1"/>
  <c r="AL676" i="1"/>
  <c r="AK676" i="1"/>
  <c r="AK429" i="1"/>
  <c r="AL429" i="1"/>
  <c r="AL789" i="1"/>
  <c r="AK789" i="1"/>
  <c r="AK527" i="1"/>
  <c r="AL527" i="1"/>
  <c r="AK1129" i="1"/>
  <c r="AL1129" i="1"/>
  <c r="AL269" i="1"/>
  <c r="AK269" i="1"/>
  <c r="AL646" i="1"/>
  <c r="AK646" i="1"/>
  <c r="AL939" i="1"/>
  <c r="AK939" i="1"/>
  <c r="AL1034" i="1"/>
  <c r="AK1034" i="1"/>
  <c r="AK487" i="1"/>
  <c r="AL487" i="1"/>
  <c r="AL1076" i="1"/>
  <c r="AK1076" i="1"/>
  <c r="AK1139" i="1"/>
  <c r="AL1139" i="1"/>
  <c r="AL1062" i="1"/>
  <c r="AK1062" i="1"/>
  <c r="AL1008" i="1"/>
  <c r="AK1008" i="1"/>
  <c r="AL196" i="1"/>
  <c r="AK196" i="1"/>
  <c r="AK385" i="1"/>
  <c r="AL385" i="1"/>
  <c r="AL1039" i="1"/>
  <c r="AK1039" i="1"/>
  <c r="AK1142" i="1"/>
  <c r="AL1142" i="1"/>
  <c r="AK823" i="1"/>
  <c r="AL823" i="1"/>
  <c r="AK518" i="1"/>
  <c r="AL518" i="1"/>
  <c r="AL911" i="1"/>
  <c r="AK911" i="1"/>
  <c r="AK1191" i="1"/>
  <c r="AL1191" i="1"/>
  <c r="AL824" i="1"/>
  <c r="AK824" i="1"/>
  <c r="AL674" i="1"/>
  <c r="AK674" i="1"/>
  <c r="AK830" i="1"/>
  <c r="AL830" i="1"/>
  <c r="AK1184" i="1"/>
  <c r="AL1184" i="1"/>
  <c r="AK815" i="1"/>
  <c r="AL815" i="1"/>
  <c r="AL902" i="1"/>
  <c r="AK902" i="1"/>
  <c r="AL625" i="1"/>
  <c r="AK625" i="1"/>
  <c r="AK128" i="1"/>
  <c r="AL128" i="1"/>
  <c r="AL195" i="1"/>
  <c r="AK195" i="1"/>
  <c r="AK158" i="1"/>
  <c r="AL158" i="1"/>
  <c r="AK535" i="1"/>
  <c r="AL535" i="1"/>
  <c r="AL717" i="1"/>
  <c r="AK717" i="1"/>
  <c r="AK493" i="1"/>
  <c r="AL493" i="1"/>
  <c r="AL83" i="1"/>
  <c r="AK83" i="1"/>
  <c r="AK581" i="1"/>
  <c r="AL581" i="1"/>
  <c r="AL723" i="1"/>
  <c r="AK723" i="1"/>
  <c r="AL312" i="1"/>
  <c r="AK312" i="1"/>
  <c r="AL640" i="1"/>
  <c r="AK640" i="1"/>
  <c r="AK341" i="1"/>
  <c r="AL341" i="1"/>
  <c r="AL191" i="1"/>
  <c r="AK191" i="1"/>
  <c r="AK476" i="1"/>
  <c r="AL476" i="1"/>
  <c r="AK47" i="1"/>
  <c r="AL47" i="1"/>
  <c r="AK484" i="1"/>
  <c r="AL484" i="1"/>
  <c r="AK75" i="1"/>
  <c r="AL75" i="1"/>
  <c r="AK34" i="1"/>
  <c r="AL34" i="1"/>
  <c r="AL84" i="1"/>
  <c r="AK84" i="1"/>
  <c r="AK264" i="1"/>
  <c r="AL264" i="1"/>
  <c r="AK87" i="1"/>
  <c r="AL87" i="1"/>
  <c r="AK106" i="1"/>
  <c r="AL106" i="1"/>
  <c r="AL705" i="1"/>
  <c r="AK705" i="1"/>
  <c r="AL1093" i="1"/>
  <c r="AK1093" i="1"/>
  <c r="AK552" i="1"/>
  <c r="AL552" i="1"/>
  <c r="AK691" i="1"/>
  <c r="AL691" i="1"/>
  <c r="AK556" i="1"/>
  <c r="AL556" i="1"/>
  <c r="AK562" i="1"/>
  <c r="AL562" i="1"/>
  <c r="AL205" i="1"/>
  <c r="AK205" i="1"/>
  <c r="AK163" i="1"/>
  <c r="AL163" i="1"/>
  <c r="AL1057" i="1"/>
  <c r="AK1057" i="1"/>
  <c r="AL683" i="1"/>
  <c r="AK683" i="1"/>
  <c r="AK2" i="1"/>
  <c r="R2" i="1"/>
  <c r="F44" i="15"/>
  <c r="G237" i="24"/>
  <c r="G82" i="24"/>
  <c r="E22" i="48" l="1"/>
  <c r="KE39" i="78"/>
  <c r="JH39" i="78"/>
  <c r="IN39" i="78"/>
  <c r="II39" i="78"/>
  <c r="HC39" i="78"/>
  <c r="FG39" i="78"/>
  <c r="X39" i="92" s="1"/>
  <c r="EE39" i="78"/>
  <c r="DQ39" i="78"/>
  <c r="W39" i="92" s="1"/>
  <c r="AW39" i="78"/>
  <c r="G39" i="78"/>
  <c r="KE38" i="78"/>
  <c r="JH38" i="78"/>
  <c r="IN38" i="78"/>
  <c r="II38" i="78"/>
  <c r="HC38" i="78"/>
  <c r="FG38" i="78"/>
  <c r="X38" i="92" s="1"/>
  <c r="EE38" i="78"/>
  <c r="DQ38" i="78"/>
  <c r="W38" i="92" s="1"/>
  <c r="AW38" i="78"/>
  <c r="G38" i="78"/>
  <c r="KE37" i="78"/>
  <c r="JH37" i="78"/>
  <c r="IN37" i="78"/>
  <c r="II37" i="78"/>
  <c r="HC37" i="78"/>
  <c r="FG37" i="78"/>
  <c r="X37" i="92" s="1"/>
  <c r="EE37" i="78"/>
  <c r="DQ37" i="78"/>
  <c r="W37" i="92" s="1"/>
  <c r="AW37" i="78"/>
  <c r="G37" i="78"/>
  <c r="KE36" i="78"/>
  <c r="JH36" i="78"/>
  <c r="IN36" i="78"/>
  <c r="II36" i="78"/>
  <c r="HC36" i="78"/>
  <c r="FG36" i="78"/>
  <c r="X36" i="92" s="1"/>
  <c r="EE36" i="78"/>
  <c r="DQ36" i="78"/>
  <c r="W36" i="92" s="1"/>
  <c r="AW36" i="78"/>
  <c r="G36" i="78"/>
  <c r="KE35" i="78"/>
  <c r="JH35" i="78"/>
  <c r="IN35" i="78"/>
  <c r="II35" i="78"/>
  <c r="HC35" i="78"/>
  <c r="FG35" i="78"/>
  <c r="X35" i="92" s="1"/>
  <c r="EE35" i="78"/>
  <c r="DQ35" i="78"/>
  <c r="W35" i="92" s="1"/>
  <c r="AW35" i="78"/>
  <c r="G35" i="78"/>
  <c r="KE34" i="78"/>
  <c r="JH34" i="78"/>
  <c r="IN34" i="78"/>
  <c r="II34" i="78"/>
  <c r="HC34" i="78"/>
  <c r="FG34" i="78"/>
  <c r="EE34" i="78"/>
  <c r="DQ34" i="78"/>
  <c r="W34" i="92" s="1"/>
  <c r="AW34" i="78"/>
  <c r="AH34" i="78"/>
  <c r="G34" i="78" s="1"/>
  <c r="KE33" i="78"/>
  <c r="JH33" i="78"/>
  <c r="IN33" i="78"/>
  <c r="II33" i="78"/>
  <c r="HC33" i="78"/>
  <c r="FG33" i="78"/>
  <c r="X33" i="92" s="1"/>
  <c r="EE33" i="78"/>
  <c r="DQ33" i="78"/>
  <c r="W33" i="92" s="1"/>
  <c r="AW33" i="78"/>
  <c r="G33" i="78"/>
  <c r="KE32" i="78"/>
  <c r="JH32" i="78"/>
  <c r="IN32" i="78"/>
  <c r="II32" i="78"/>
  <c r="HC32" i="78"/>
  <c r="FG32" i="78"/>
  <c r="X32" i="92" s="1"/>
  <c r="EE32" i="78"/>
  <c r="DQ32" i="78"/>
  <c r="W32" i="92" s="1"/>
  <c r="AW32" i="78"/>
  <c r="G32" i="78"/>
  <c r="KE31" i="78"/>
  <c r="JH31" i="78"/>
  <c r="IN31" i="78"/>
  <c r="II31" i="78"/>
  <c r="HC31" i="78"/>
  <c r="FG31" i="78"/>
  <c r="X31" i="92" s="1"/>
  <c r="EE31" i="78"/>
  <c r="DQ31" i="78"/>
  <c r="W31" i="92" s="1"/>
  <c r="AW31" i="78"/>
  <c r="G31" i="78"/>
  <c r="KE30" i="78"/>
  <c r="JH30" i="78"/>
  <c r="IN30" i="78"/>
  <c r="II30" i="78"/>
  <c r="HC30" i="78"/>
  <c r="FG30" i="78"/>
  <c r="X30" i="92" s="1"/>
  <c r="EE30" i="78"/>
  <c r="DQ30" i="78"/>
  <c r="W30" i="92" s="1"/>
  <c r="AW30" i="78"/>
  <c r="G30" i="78"/>
  <c r="KE29" i="78"/>
  <c r="JH29" i="78"/>
  <c r="IN29" i="78"/>
  <c r="II29" i="78"/>
  <c r="HC29" i="78"/>
  <c r="FG29" i="78"/>
  <c r="X29" i="92" s="1"/>
  <c r="EE29" i="78"/>
  <c r="DQ29" i="78"/>
  <c r="W29" i="92" s="1"/>
  <c r="AW29" i="78"/>
  <c r="G29" i="78"/>
  <c r="KE28" i="78"/>
  <c r="JH28" i="78"/>
  <c r="IN28" i="78"/>
  <c r="II28" i="78"/>
  <c r="HC28" i="78"/>
  <c r="FG28" i="78"/>
  <c r="X28" i="92" s="1"/>
  <c r="EE28" i="78"/>
  <c r="DQ28" i="78"/>
  <c r="W28" i="92" s="1"/>
  <c r="AW28" i="78"/>
  <c r="G28" i="78"/>
  <c r="KE27" i="78"/>
  <c r="JH27" i="78"/>
  <c r="IN27" i="78"/>
  <c r="II27" i="78"/>
  <c r="HC27" i="78"/>
  <c r="FG27" i="78"/>
  <c r="X27" i="92" s="1"/>
  <c r="EE27" i="78"/>
  <c r="DQ27" i="78"/>
  <c r="W27" i="92" s="1"/>
  <c r="AW27" i="78"/>
  <c r="G27" i="78"/>
  <c r="KE26" i="78"/>
  <c r="JH26" i="78"/>
  <c r="IN26" i="78"/>
  <c r="II26" i="78"/>
  <c r="HC26" i="78"/>
  <c r="FG26" i="78"/>
  <c r="X26" i="92" s="1"/>
  <c r="EE26" i="78"/>
  <c r="DQ26" i="78"/>
  <c r="W26" i="92" s="1"/>
  <c r="AW26" i="78"/>
  <c r="G26" i="78"/>
  <c r="KE25" i="78"/>
  <c r="JH25" i="78"/>
  <c r="IN25" i="78"/>
  <c r="II25" i="78"/>
  <c r="HC25" i="78"/>
  <c r="FG25" i="78"/>
  <c r="X25" i="92" s="1"/>
  <c r="EE25" i="78"/>
  <c r="DQ25" i="78"/>
  <c r="W25" i="92" s="1"/>
  <c r="AW25" i="78"/>
  <c r="G25" i="78"/>
  <c r="KE24" i="78"/>
  <c r="JH24" i="78"/>
  <c r="IN24" i="78"/>
  <c r="II24" i="78"/>
  <c r="HC24" i="78"/>
  <c r="FG24" i="78"/>
  <c r="X24" i="92" s="1"/>
  <c r="EE24" i="78"/>
  <c r="DQ24" i="78"/>
  <c r="W24" i="92" s="1"/>
  <c r="BU24" i="78"/>
  <c r="AW24" i="78" s="1"/>
  <c r="G24" i="78"/>
  <c r="KE23" i="78"/>
  <c r="JH23" i="78"/>
  <c r="IN23" i="78"/>
  <c r="II23" i="78"/>
  <c r="HC23" i="78"/>
  <c r="FG23" i="78"/>
  <c r="X23" i="92" s="1"/>
  <c r="EE23" i="78"/>
  <c r="DQ23" i="78"/>
  <c r="W23" i="92" s="1"/>
  <c r="AW23" i="78"/>
  <c r="G23" i="78"/>
  <c r="KE22" i="78"/>
  <c r="JH22" i="78"/>
  <c r="IN22" i="78"/>
  <c r="II22" i="78"/>
  <c r="HC22" i="78"/>
  <c r="FG22" i="78"/>
  <c r="X22" i="92" s="1"/>
  <c r="EE22" i="78"/>
  <c r="DQ22" i="78"/>
  <c r="W22" i="92" s="1"/>
  <c r="AW22" i="78"/>
  <c r="G22" i="78"/>
  <c r="KE21" i="78"/>
  <c r="JH21" i="78"/>
  <c r="IN21" i="78"/>
  <c r="II21" i="78"/>
  <c r="HM21" i="78"/>
  <c r="HC21" i="78" s="1"/>
  <c r="FM21" i="78"/>
  <c r="FG21" i="78" s="1"/>
  <c r="X21" i="92" s="1"/>
  <c r="EE21" i="78"/>
  <c r="DQ21" i="78"/>
  <c r="W21" i="92" s="1"/>
  <c r="AW21" i="78"/>
  <c r="G21" i="78"/>
  <c r="KE20" i="78"/>
  <c r="JK20" i="78"/>
  <c r="JH20" i="78" s="1"/>
  <c r="IN20" i="78"/>
  <c r="II20" i="78"/>
  <c r="HC20" i="78"/>
  <c r="FG20" i="78"/>
  <c r="X20" i="92" s="1"/>
  <c r="EE20" i="78"/>
  <c r="DQ20" i="78"/>
  <c r="W20" i="92" s="1"/>
  <c r="AW20" i="78"/>
  <c r="G20" i="78"/>
  <c r="KE19" i="78"/>
  <c r="JH19" i="78"/>
  <c r="IN19" i="78"/>
  <c r="II19" i="78"/>
  <c r="HC19" i="78"/>
  <c r="FG19" i="78"/>
  <c r="X19" i="92" s="1"/>
  <c r="EE19" i="78"/>
  <c r="DQ19" i="78"/>
  <c r="W19" i="92" s="1"/>
  <c r="AW19" i="78"/>
  <c r="G19" i="78"/>
  <c r="KE18" i="78"/>
  <c r="JH18" i="78"/>
  <c r="IN18" i="78"/>
  <c r="II18" i="78"/>
  <c r="HC18" i="78"/>
  <c r="FG18" i="78"/>
  <c r="X18" i="92" s="1"/>
  <c r="EE18" i="78"/>
  <c r="DQ18" i="78"/>
  <c r="W18" i="92" s="1"/>
  <c r="AW18" i="78"/>
  <c r="G18" i="78"/>
  <c r="KE17" i="78"/>
  <c r="JH17" i="78"/>
  <c r="IN17" i="78"/>
  <c r="II17" i="78"/>
  <c r="HC17" i="78"/>
  <c r="FG17" i="78"/>
  <c r="X17" i="92" s="1"/>
  <c r="EP17" i="78"/>
  <c r="EE17" i="78" s="1"/>
  <c r="DQ17" i="78"/>
  <c r="W17" i="92" s="1"/>
  <c r="BH17" i="78"/>
  <c r="AW17" i="78" s="1"/>
  <c r="G17" i="78"/>
  <c r="KE16" i="78"/>
  <c r="JH16" i="78"/>
  <c r="IN16" i="78"/>
  <c r="II16" i="78"/>
  <c r="HC16" i="78"/>
  <c r="FV16" i="78"/>
  <c r="FG16" i="78" s="1"/>
  <c r="X16" i="92" s="1"/>
  <c r="EE16" i="78"/>
  <c r="DQ16" i="78"/>
  <c r="W16" i="92" s="1"/>
  <c r="AW16" i="78"/>
  <c r="I16" i="78"/>
  <c r="KE15" i="78"/>
  <c r="JH15" i="78"/>
  <c r="IN15" i="78"/>
  <c r="II15" i="78"/>
  <c r="HC15" i="78"/>
  <c r="FG15" i="78"/>
  <c r="X15" i="92" s="1"/>
  <c r="EE15" i="78"/>
  <c r="DQ15" i="78"/>
  <c r="W15" i="92" s="1"/>
  <c r="AW15" i="78"/>
  <c r="G15" i="78"/>
  <c r="KE14" i="78"/>
  <c r="JH14" i="78"/>
  <c r="IN14" i="78"/>
  <c r="II14" i="78"/>
  <c r="HC14" i="78"/>
  <c r="FG14" i="78"/>
  <c r="X14" i="92" s="1"/>
  <c r="EE14" i="78"/>
  <c r="DQ14" i="78"/>
  <c r="W14" i="92" s="1"/>
  <c r="AW14" i="78"/>
  <c r="G14" i="78"/>
  <c r="KH13" i="78"/>
  <c r="KE13" i="78" s="1"/>
  <c r="JH13" i="78"/>
  <c r="IN13" i="78"/>
  <c r="II13" i="78"/>
  <c r="HC13" i="78"/>
  <c r="FG13" i="78"/>
  <c r="X13" i="92" s="1"/>
  <c r="EE13" i="78"/>
  <c r="DQ13" i="78"/>
  <c r="W13" i="92" s="1"/>
  <c r="AW13" i="78"/>
  <c r="V13" i="78"/>
  <c r="G13" i="78" s="1"/>
  <c r="KH12" i="78"/>
  <c r="JH12" i="78"/>
  <c r="IN12" i="78"/>
  <c r="II12" i="78"/>
  <c r="HC12" i="78"/>
  <c r="FG12" i="78"/>
  <c r="X12" i="92" s="1"/>
  <c r="EE12" i="78"/>
  <c r="DQ12" i="78"/>
  <c r="W12" i="92" s="1"/>
  <c r="AW12" i="78"/>
  <c r="G12" i="78"/>
  <c r="KE11" i="78"/>
  <c r="JH11" i="78"/>
  <c r="IN11" i="78"/>
  <c r="II11" i="78"/>
  <c r="HC11" i="78"/>
  <c r="FG11" i="78"/>
  <c r="X11" i="92" s="1"/>
  <c r="EE11" i="78"/>
  <c r="DQ11" i="78"/>
  <c r="W11" i="92" s="1"/>
  <c r="AW11" i="78"/>
  <c r="G11" i="78"/>
  <c r="KE10" i="78"/>
  <c r="JH10" i="78"/>
  <c r="IN10" i="78"/>
  <c r="II10" i="78"/>
  <c r="HH10" i="78"/>
  <c r="HC10" i="78" s="1"/>
  <c r="FU10" i="78"/>
  <c r="FG10" i="78" s="1"/>
  <c r="X10" i="92" s="1"/>
  <c r="EE10" i="78"/>
  <c r="DQ10" i="78"/>
  <c r="W10" i="92" s="1"/>
  <c r="AW10" i="78"/>
  <c r="G10" i="78"/>
  <c r="KE9" i="78"/>
  <c r="JH9" i="78"/>
  <c r="IN9" i="78"/>
  <c r="II9" i="78"/>
  <c r="HC9" i="78"/>
  <c r="FG9" i="78"/>
  <c r="X9" i="92" s="1"/>
  <c r="EE9" i="78"/>
  <c r="DQ9" i="78"/>
  <c r="W9" i="92" s="1"/>
  <c r="AW9" i="78"/>
  <c r="G9" i="78"/>
  <c r="KE8" i="78"/>
  <c r="JH8" i="78"/>
  <c r="IN8" i="78"/>
  <c r="II8" i="78"/>
  <c r="HC8" i="78"/>
  <c r="FG8" i="78"/>
  <c r="X8" i="92" s="1"/>
  <c r="EF8" i="78"/>
  <c r="EE8" i="78" s="1"/>
  <c r="DQ8" i="78"/>
  <c r="W8" i="92" s="1"/>
  <c r="AW8" i="78"/>
  <c r="G8" i="78"/>
  <c r="KE7" i="78"/>
  <c r="JH7" i="78"/>
  <c r="IN7" i="78"/>
  <c r="II7" i="78"/>
  <c r="HC7" i="78"/>
  <c r="FG7" i="78"/>
  <c r="X7" i="92" s="1"/>
  <c r="EE7" i="78"/>
  <c r="DQ7" i="78"/>
  <c r="W7" i="92" s="1"/>
  <c r="AW7" i="78"/>
  <c r="G7" i="78"/>
  <c r="KE6" i="78"/>
  <c r="JH6" i="78"/>
  <c r="JG6" i="78"/>
  <c r="IN6" i="78" s="1"/>
  <c r="II6" i="78"/>
  <c r="HC6" i="78"/>
  <c r="FG6" i="78"/>
  <c r="X6" i="92" s="1"/>
  <c r="EE6" i="78"/>
  <c r="DQ6" i="78"/>
  <c r="W6" i="92" s="1"/>
  <c r="AW6" i="78"/>
  <c r="AU6" i="78"/>
  <c r="G6" i="78" s="1"/>
  <c r="KE5" i="78"/>
  <c r="JH5" i="78"/>
  <c r="IN5" i="78"/>
  <c r="II5" i="78"/>
  <c r="HC5" i="78"/>
  <c r="FG5" i="78"/>
  <c r="X5" i="92" s="1"/>
  <c r="EE5" i="78"/>
  <c r="DQ5" i="78"/>
  <c r="W5" i="92" s="1"/>
  <c r="AW5" i="78"/>
  <c r="G5" i="78"/>
  <c r="KE4" i="78"/>
  <c r="JH4" i="78"/>
  <c r="IN4" i="78"/>
  <c r="II4" i="78"/>
  <c r="HC4" i="78"/>
  <c r="FG4" i="78"/>
  <c r="X4" i="92" s="1"/>
  <c r="EE4" i="78"/>
  <c r="DQ4" i="78"/>
  <c r="W4" i="92" s="1"/>
  <c r="AW4" i="78"/>
  <c r="G4" i="78"/>
  <c r="KE3" i="78"/>
  <c r="JH3" i="78"/>
  <c r="IN3" i="78"/>
  <c r="II3" i="78"/>
  <c r="HC3" i="78"/>
  <c r="FG3" i="78"/>
  <c r="X3" i="92" s="1"/>
  <c r="EE3" i="78"/>
  <c r="DQ3" i="78"/>
  <c r="W3" i="92" s="1"/>
  <c r="AW3" i="78"/>
  <c r="G3" i="78"/>
  <c r="LR2" i="78"/>
  <c r="LQ2" i="78"/>
  <c r="KY2" i="78"/>
  <c r="KX2" i="78"/>
  <c r="KM2" i="78"/>
  <c r="KK2" i="78"/>
  <c r="KB2" i="78"/>
  <c r="KA2" i="78"/>
  <c r="JZ2" i="78"/>
  <c r="IU2" i="78"/>
  <c r="II2" i="78"/>
  <c r="IG2" i="78"/>
  <c r="HE2" i="78"/>
  <c r="GW2" i="78"/>
  <c r="FG2" i="78" s="1"/>
  <c r="X2" i="92" s="1"/>
  <c r="FE2" i="78"/>
  <c r="ES2" i="78"/>
  <c r="DR2" i="78"/>
  <c r="DQ2" i="78" s="1"/>
  <c r="W2" i="92" s="1"/>
  <c r="DF2" i="78"/>
  <c r="BU2" i="78"/>
  <c r="G2" i="78"/>
  <c r="Y35" i="92" l="1"/>
  <c r="Y24" i="92"/>
  <c r="Y32" i="92"/>
  <c r="Y36" i="92"/>
  <c r="Y29" i="92"/>
  <c r="Y33" i="92"/>
  <c r="Y9" i="92"/>
  <c r="Y11" i="92"/>
  <c r="Y16" i="92"/>
  <c r="Y22" i="92"/>
  <c r="Y26" i="92"/>
  <c r="Y30" i="92"/>
  <c r="Y38" i="92"/>
  <c r="Y27" i="92"/>
  <c r="W42" i="92"/>
  <c r="Y3" i="92"/>
  <c r="Y6" i="92"/>
  <c r="Y8" i="92"/>
  <c r="Y10" i="92"/>
  <c r="Y13" i="92"/>
  <c r="Y18" i="92"/>
  <c r="AW2" i="78"/>
  <c r="G2" i="92" s="1"/>
  <c r="Y5" i="92"/>
  <c r="Y12" i="92"/>
  <c r="Y14" i="92"/>
  <c r="Y20" i="92"/>
  <c r="Y25" i="92"/>
  <c r="Y28" i="92"/>
  <c r="Y31" i="92"/>
  <c r="Y34" i="92"/>
  <c r="Y37" i="92"/>
  <c r="X41" i="92"/>
  <c r="X42" i="92"/>
  <c r="W41" i="92"/>
  <c r="HC2" i="78"/>
  <c r="Y2" i="92" s="1"/>
  <c r="Y4" i="92"/>
  <c r="Y7" i="92"/>
  <c r="Y15" i="92"/>
  <c r="Y17" i="92"/>
  <c r="Y19" i="92"/>
  <c r="Y21" i="92"/>
  <c r="Y23" i="92"/>
  <c r="Y39" i="92"/>
  <c r="EE2" i="78"/>
  <c r="IN2" i="78"/>
  <c r="M2" i="92" s="1"/>
  <c r="Z2" i="92"/>
  <c r="Z41" i="92" s="1"/>
  <c r="G16" i="78"/>
  <c r="F16" i="92" s="1"/>
  <c r="H16" i="78"/>
  <c r="V16" i="92" s="1"/>
  <c r="V41" i="92" s="1"/>
  <c r="J2" i="92"/>
  <c r="N20" i="92"/>
  <c r="O31" i="92"/>
  <c r="J21" i="92"/>
  <c r="L10" i="92"/>
  <c r="G3" i="92"/>
  <c r="I7" i="92"/>
  <c r="H2" i="92"/>
  <c r="I3" i="92"/>
  <c r="N4" i="92"/>
  <c r="N6" i="92"/>
  <c r="N13" i="92"/>
  <c r="O17" i="92"/>
  <c r="G20" i="92"/>
  <c r="O24" i="92"/>
  <c r="G27" i="92"/>
  <c r="N30" i="92"/>
  <c r="L31" i="92"/>
  <c r="I34" i="92"/>
  <c r="F35" i="92"/>
  <c r="N35" i="92"/>
  <c r="L36" i="92"/>
  <c r="O37" i="92"/>
  <c r="M38" i="92"/>
  <c r="J39" i="92"/>
  <c r="G4" i="92"/>
  <c r="H6" i="92"/>
  <c r="I8" i="92"/>
  <c r="JH2" i="78"/>
  <c r="L3" i="92"/>
  <c r="H4" i="92"/>
  <c r="O4" i="92"/>
  <c r="M5" i="92"/>
  <c r="I6" i="92"/>
  <c r="O6" i="92"/>
  <c r="M7" i="92"/>
  <c r="F9" i="92"/>
  <c r="N9" i="92"/>
  <c r="F11" i="92"/>
  <c r="N11" i="92"/>
  <c r="L12" i="92"/>
  <c r="H13" i="92"/>
  <c r="I15" i="92"/>
  <c r="J17" i="92"/>
  <c r="G18" i="92"/>
  <c r="I20" i="92"/>
  <c r="O20" i="92"/>
  <c r="I22" i="92"/>
  <c r="F23" i="92"/>
  <c r="N23" i="92"/>
  <c r="J24" i="92"/>
  <c r="G25" i="92"/>
  <c r="I27" i="92"/>
  <c r="F28" i="92"/>
  <c r="N28" i="92"/>
  <c r="L29" i="92"/>
  <c r="H30" i="92"/>
  <c r="O30" i="92"/>
  <c r="M31" i="92"/>
  <c r="I32" i="92"/>
  <c r="F33" i="92"/>
  <c r="N33" i="92"/>
  <c r="L34" i="92"/>
  <c r="H35" i="92"/>
  <c r="O35" i="92"/>
  <c r="M36" i="92"/>
  <c r="J37" i="92"/>
  <c r="G38" i="92"/>
  <c r="F7" i="92"/>
  <c r="G11" i="92"/>
  <c r="O13" i="92"/>
  <c r="L17" i="92"/>
  <c r="O18" i="92"/>
  <c r="J20" i="92"/>
  <c r="G23" i="92"/>
  <c r="L24" i="92"/>
  <c r="H25" i="92"/>
  <c r="M26" i="92"/>
  <c r="G28" i="92"/>
  <c r="F31" i="92"/>
  <c r="N31" i="92"/>
  <c r="J32" i="92"/>
  <c r="G33" i="92"/>
  <c r="I35" i="92"/>
  <c r="F36" i="92"/>
  <c r="N36" i="92"/>
  <c r="L37" i="92"/>
  <c r="H38" i="92"/>
  <c r="O38" i="92"/>
  <c r="M39" i="92"/>
  <c r="F2" i="92"/>
  <c r="O2" i="92"/>
  <c r="M3" i="92"/>
  <c r="J4" i="92"/>
  <c r="G5" i="92"/>
  <c r="L6" i="92"/>
  <c r="G7" i="92"/>
  <c r="L8" i="92"/>
  <c r="H9" i="92"/>
  <c r="O9" i="92"/>
  <c r="H11" i="92"/>
  <c r="O11" i="92"/>
  <c r="M12" i="92"/>
  <c r="J13" i="92"/>
  <c r="F14" i="92"/>
  <c r="N14" i="92"/>
  <c r="L15" i="92"/>
  <c r="G16" i="92"/>
  <c r="I18" i="92"/>
  <c r="F19" i="92"/>
  <c r="N19" i="92"/>
  <c r="L20" i="92"/>
  <c r="G21" i="92"/>
  <c r="N21" i="92"/>
  <c r="L22" i="92"/>
  <c r="H23" i="92"/>
  <c r="O23" i="92"/>
  <c r="I25" i="92"/>
  <c r="F26" i="92"/>
  <c r="N26" i="92"/>
  <c r="L27" i="92"/>
  <c r="H28" i="92"/>
  <c r="O28" i="92"/>
  <c r="M29" i="92"/>
  <c r="J30" i="92"/>
  <c r="G31" i="92"/>
  <c r="L32" i="92"/>
  <c r="H33" i="92"/>
  <c r="O33" i="92"/>
  <c r="M34" i="92"/>
  <c r="J35" i="92"/>
  <c r="G36" i="92"/>
  <c r="I38" i="92"/>
  <c r="F39" i="92"/>
  <c r="N39" i="92"/>
  <c r="I2" i="92"/>
  <c r="N5" i="92"/>
  <c r="G9" i="92"/>
  <c r="I13" i="92"/>
  <c r="M14" i="92"/>
  <c r="J15" i="92"/>
  <c r="N16" i="92"/>
  <c r="H18" i="92"/>
  <c r="M19" i="92"/>
  <c r="F21" i="92"/>
  <c r="J22" i="92"/>
  <c r="O25" i="92"/>
  <c r="J27" i="92"/>
  <c r="I30" i="92"/>
  <c r="F3" i="92"/>
  <c r="N3" i="92"/>
  <c r="L4" i="92"/>
  <c r="H5" i="92"/>
  <c r="H7" i="92"/>
  <c r="O7" i="92"/>
  <c r="I9" i="92"/>
  <c r="F10" i="92"/>
  <c r="I11" i="92"/>
  <c r="F12" i="92"/>
  <c r="L13" i="92"/>
  <c r="G14" i="92"/>
  <c r="H16" i="92"/>
  <c r="O16" i="92"/>
  <c r="M17" i="92"/>
  <c r="J18" i="92"/>
  <c r="G19" i="92"/>
  <c r="H21" i="92"/>
  <c r="I23" i="92"/>
  <c r="F24" i="92"/>
  <c r="M24" i="92"/>
  <c r="J25" i="92"/>
  <c r="G26" i="92"/>
  <c r="I28" i="92"/>
  <c r="F29" i="92"/>
  <c r="N29" i="92"/>
  <c r="L30" i="92"/>
  <c r="H31" i="92"/>
  <c r="I33" i="92"/>
  <c r="F34" i="92"/>
  <c r="N34" i="92"/>
  <c r="L35" i="92"/>
  <c r="H36" i="92"/>
  <c r="O36" i="92"/>
  <c r="M37" i="92"/>
  <c r="J38" i="92"/>
  <c r="G39" i="92"/>
  <c r="J8" i="92"/>
  <c r="F6" i="92"/>
  <c r="J9" i="92"/>
  <c r="M10" i="92"/>
  <c r="G12" i="92"/>
  <c r="O14" i="92"/>
  <c r="I16" i="92"/>
  <c r="N17" i="92"/>
  <c r="O19" i="92"/>
  <c r="O21" i="92"/>
  <c r="G24" i="92"/>
  <c r="H26" i="92"/>
  <c r="M27" i="92"/>
  <c r="G29" i="92"/>
  <c r="J33" i="92"/>
  <c r="L38" i="92"/>
  <c r="F5" i="92"/>
  <c r="M6" i="92"/>
  <c r="M8" i="92"/>
  <c r="G10" i="92"/>
  <c r="J11" i="92"/>
  <c r="KE12" i="78"/>
  <c r="N12" i="92" s="1"/>
  <c r="H14" i="92"/>
  <c r="M15" i="92"/>
  <c r="F17" i="92"/>
  <c r="L18" i="92"/>
  <c r="H19" i="92"/>
  <c r="M20" i="92"/>
  <c r="I21" i="92"/>
  <c r="M22" i="92"/>
  <c r="J23" i="92"/>
  <c r="N24" i="92"/>
  <c r="L25" i="92"/>
  <c r="J28" i="92"/>
  <c r="I31" i="92"/>
  <c r="M32" i="92"/>
  <c r="G34" i="92"/>
  <c r="I36" i="92"/>
  <c r="F37" i="92"/>
  <c r="N37" i="92"/>
  <c r="H39" i="92"/>
  <c r="O39" i="92"/>
  <c r="H3" i="92"/>
  <c r="O3" i="92"/>
  <c r="M4" i="92"/>
  <c r="J5" i="92"/>
  <c r="J7" i="92"/>
  <c r="G8" i="92"/>
  <c r="N8" i="92"/>
  <c r="L9" i="92"/>
  <c r="H10" i="92"/>
  <c r="N10" i="92"/>
  <c r="L11" i="92"/>
  <c r="H12" i="92"/>
  <c r="O12" i="92"/>
  <c r="M13" i="92"/>
  <c r="I14" i="92"/>
  <c r="F15" i="92"/>
  <c r="N15" i="92"/>
  <c r="J16" i="92"/>
  <c r="G17" i="92"/>
  <c r="I19" i="92"/>
  <c r="F20" i="92"/>
  <c r="F22" i="92"/>
  <c r="N22" i="92"/>
  <c r="L23" i="92"/>
  <c r="I26" i="92"/>
  <c r="F27" i="92"/>
  <c r="N27" i="92"/>
  <c r="L28" i="92"/>
  <c r="H29" i="92"/>
  <c r="O29" i="92"/>
  <c r="M30" i="92"/>
  <c r="J31" i="92"/>
  <c r="F32" i="92"/>
  <c r="N32" i="92"/>
  <c r="L33" i="92"/>
  <c r="H34" i="92"/>
  <c r="O34" i="92"/>
  <c r="M35" i="92"/>
  <c r="J36" i="92"/>
  <c r="G37" i="92"/>
  <c r="I39" i="92"/>
  <c r="I4" i="92"/>
  <c r="N7" i="92"/>
  <c r="I5" i="92"/>
  <c r="KE2" i="78"/>
  <c r="G6" i="92"/>
  <c r="H8" i="92"/>
  <c r="I10" i="92"/>
  <c r="I12" i="92"/>
  <c r="G15" i="92"/>
  <c r="H17" i="92"/>
  <c r="J19" i="92"/>
  <c r="G22" i="92"/>
  <c r="J26" i="92"/>
  <c r="I29" i="92"/>
  <c r="G32" i="92"/>
  <c r="H37" i="92"/>
  <c r="J6" i="92"/>
  <c r="F8" i="92"/>
  <c r="F4" i="92"/>
  <c r="L5" i="92"/>
  <c r="L7" i="92"/>
  <c r="F13" i="92"/>
  <c r="J14" i="92"/>
  <c r="L16" i="92"/>
  <c r="M18" i="92"/>
  <c r="H24" i="92"/>
  <c r="M25" i="92"/>
  <c r="F30" i="92"/>
  <c r="J3" i="92"/>
  <c r="O8" i="92"/>
  <c r="M9" i="92"/>
  <c r="J10" i="92"/>
  <c r="O10" i="92"/>
  <c r="M11" i="92"/>
  <c r="J12" i="92"/>
  <c r="G13" i="92"/>
  <c r="L14" i="92"/>
  <c r="H15" i="92"/>
  <c r="O15" i="92"/>
  <c r="I17" i="92"/>
  <c r="F18" i="92"/>
  <c r="N18" i="92"/>
  <c r="L19" i="92"/>
  <c r="H20" i="92"/>
  <c r="L21" i="92"/>
  <c r="H22" i="92"/>
  <c r="O22" i="92"/>
  <c r="M23" i="92"/>
  <c r="I24" i="92"/>
  <c r="F25" i="92"/>
  <c r="N25" i="92"/>
  <c r="L26" i="92"/>
  <c r="H27" i="92"/>
  <c r="O27" i="92"/>
  <c r="M28" i="92"/>
  <c r="J29" i="92"/>
  <c r="G30" i="92"/>
  <c r="H32" i="92"/>
  <c r="O32" i="92"/>
  <c r="M33" i="92"/>
  <c r="G35" i="92"/>
  <c r="I37" i="92"/>
  <c r="F38" i="92"/>
  <c r="N38" i="92"/>
  <c r="L39" i="92"/>
  <c r="D23" i="65"/>
  <c r="AS36" i="63"/>
  <c r="AR36" i="63"/>
  <c r="AQ36" i="63"/>
  <c r="AP36" i="63"/>
  <c r="AO36" i="63"/>
  <c r="AN36" i="63"/>
  <c r="AM36" i="63"/>
  <c r="AL36" i="63"/>
  <c r="AK36" i="63"/>
  <c r="AJ36" i="63"/>
  <c r="AI36" i="63"/>
  <c r="AH36" i="63"/>
  <c r="AG36" i="63"/>
  <c r="AF36" i="63"/>
  <c r="AE36" i="63"/>
  <c r="AD36" i="63"/>
  <c r="AC36" i="63"/>
  <c r="AB36" i="63"/>
  <c r="AA36" i="63"/>
  <c r="Z36" i="63"/>
  <c r="Y36" i="63"/>
  <c r="X36" i="63"/>
  <c r="W36" i="63"/>
  <c r="V36" i="63"/>
  <c r="U36" i="63"/>
  <c r="T36" i="63"/>
  <c r="R36" i="63"/>
  <c r="Q36" i="63"/>
  <c r="P36" i="63"/>
  <c r="O36" i="63"/>
  <c r="N36" i="63"/>
  <c r="M36" i="63"/>
  <c r="L36" i="63"/>
  <c r="K36" i="63"/>
  <c r="J36" i="63"/>
  <c r="I36" i="63"/>
  <c r="H36" i="63"/>
  <c r="G36" i="63"/>
  <c r="F36" i="63"/>
  <c r="AS35" i="63"/>
  <c r="AR35" i="63"/>
  <c r="AQ35" i="63"/>
  <c r="AP35" i="63"/>
  <c r="AO35" i="63"/>
  <c r="AN35" i="63"/>
  <c r="AM35" i="63"/>
  <c r="AL35" i="63"/>
  <c r="AK35" i="63"/>
  <c r="AJ35" i="63"/>
  <c r="AI35" i="63"/>
  <c r="AH35" i="63"/>
  <c r="AG35" i="63"/>
  <c r="AF35" i="63"/>
  <c r="AE35" i="63"/>
  <c r="AD35" i="63"/>
  <c r="AC35" i="63"/>
  <c r="AB35" i="63"/>
  <c r="AA35" i="63"/>
  <c r="Z35" i="63"/>
  <c r="Y35" i="63"/>
  <c r="X35" i="63"/>
  <c r="W35" i="63"/>
  <c r="V35" i="63"/>
  <c r="U35" i="63"/>
  <c r="T35" i="63"/>
  <c r="R35" i="63"/>
  <c r="Q35" i="63"/>
  <c r="P35" i="63"/>
  <c r="O35" i="63"/>
  <c r="N35" i="63"/>
  <c r="M35" i="63"/>
  <c r="L35" i="63"/>
  <c r="K35" i="63"/>
  <c r="J35" i="63"/>
  <c r="I35" i="63"/>
  <c r="H35" i="63"/>
  <c r="G35" i="63"/>
  <c r="F35" i="63"/>
  <c r="AS34" i="63"/>
  <c r="AR34" i="63"/>
  <c r="AQ34" i="63"/>
  <c r="AP34" i="63"/>
  <c r="AO34" i="63"/>
  <c r="AN34" i="63"/>
  <c r="AM34" i="63"/>
  <c r="AL34" i="63"/>
  <c r="AK34" i="63"/>
  <c r="AJ34" i="63"/>
  <c r="AI34" i="63"/>
  <c r="AH34" i="63"/>
  <c r="AG34" i="63"/>
  <c r="AF34" i="63"/>
  <c r="AE34" i="63"/>
  <c r="AD34" i="63"/>
  <c r="AC34" i="63"/>
  <c r="AB34" i="63"/>
  <c r="AA34" i="63"/>
  <c r="Z34" i="63"/>
  <c r="Y34" i="63"/>
  <c r="X34" i="63"/>
  <c r="W34" i="63"/>
  <c r="V34" i="63"/>
  <c r="U34" i="63"/>
  <c r="T34" i="63"/>
  <c r="R34" i="63"/>
  <c r="Q34" i="63"/>
  <c r="P34" i="63"/>
  <c r="O34" i="63"/>
  <c r="N34" i="63"/>
  <c r="M34" i="63"/>
  <c r="L34" i="63"/>
  <c r="K34" i="63"/>
  <c r="J34" i="63"/>
  <c r="I34" i="63"/>
  <c r="H34" i="63"/>
  <c r="G34" i="63"/>
  <c r="F34" i="63"/>
  <c r="AS33" i="63"/>
  <c r="AR33" i="63"/>
  <c r="AQ33" i="63"/>
  <c r="AP33" i="63"/>
  <c r="AO33" i="63"/>
  <c r="AN33" i="63"/>
  <c r="AM33" i="63"/>
  <c r="AL33" i="63"/>
  <c r="AK33" i="63"/>
  <c r="AJ33" i="63"/>
  <c r="AI33" i="63"/>
  <c r="AH33" i="63"/>
  <c r="AG33" i="63"/>
  <c r="AF33" i="63"/>
  <c r="AE33" i="63"/>
  <c r="AD33" i="63"/>
  <c r="AC33" i="63"/>
  <c r="AB33" i="63"/>
  <c r="AA33" i="63"/>
  <c r="Z33" i="63"/>
  <c r="Y33" i="63"/>
  <c r="X33" i="63"/>
  <c r="W33" i="63"/>
  <c r="V33" i="63"/>
  <c r="U33" i="63"/>
  <c r="T33" i="63"/>
  <c r="R33" i="63"/>
  <c r="Q33" i="63"/>
  <c r="P33" i="63"/>
  <c r="O33" i="63"/>
  <c r="N33" i="63"/>
  <c r="M33" i="63"/>
  <c r="L33" i="63"/>
  <c r="K33" i="63"/>
  <c r="J33" i="63"/>
  <c r="I33" i="63"/>
  <c r="H33" i="63"/>
  <c r="G33" i="63"/>
  <c r="F33" i="63"/>
  <c r="AS31" i="63"/>
  <c r="AR31" i="63"/>
  <c r="AQ31" i="63"/>
  <c r="AP31" i="63"/>
  <c r="AO31" i="63"/>
  <c r="AN31" i="63"/>
  <c r="AM31" i="63"/>
  <c r="AL31" i="63"/>
  <c r="AK31" i="63"/>
  <c r="AJ31" i="63"/>
  <c r="AI31" i="63"/>
  <c r="AH31" i="63"/>
  <c r="AG31" i="63"/>
  <c r="AF31" i="63"/>
  <c r="AE31" i="63"/>
  <c r="AD31" i="63"/>
  <c r="AC31" i="63"/>
  <c r="AB31" i="63"/>
  <c r="AA31" i="63"/>
  <c r="Z31" i="63"/>
  <c r="Y31" i="63"/>
  <c r="X31" i="63"/>
  <c r="W31" i="63"/>
  <c r="V31" i="63"/>
  <c r="U31" i="63"/>
  <c r="T31" i="63"/>
  <c r="R31" i="63"/>
  <c r="Q31" i="63"/>
  <c r="P31" i="63"/>
  <c r="O31" i="63"/>
  <c r="N31" i="63"/>
  <c r="M31" i="63"/>
  <c r="L31" i="63"/>
  <c r="K31" i="63"/>
  <c r="J31" i="63"/>
  <c r="I31" i="63"/>
  <c r="H31" i="63"/>
  <c r="G31" i="63"/>
  <c r="F31" i="63"/>
  <c r="AS30" i="63"/>
  <c r="AR30" i="63"/>
  <c r="AQ30" i="63"/>
  <c r="AP30" i="63"/>
  <c r="AO30" i="63"/>
  <c r="AN30" i="63"/>
  <c r="AM30" i="63"/>
  <c r="AL30" i="63"/>
  <c r="AK30" i="63"/>
  <c r="AJ30" i="63"/>
  <c r="AI30" i="63"/>
  <c r="AH30" i="63"/>
  <c r="AG30" i="63"/>
  <c r="AF30" i="63"/>
  <c r="AE30" i="63"/>
  <c r="AD30" i="63"/>
  <c r="AC30" i="63"/>
  <c r="AB30" i="63"/>
  <c r="AA30" i="63"/>
  <c r="Z30" i="63"/>
  <c r="Y30" i="63"/>
  <c r="X30" i="63"/>
  <c r="W30" i="63"/>
  <c r="V30" i="63"/>
  <c r="U30" i="63"/>
  <c r="T30" i="63"/>
  <c r="R30" i="63"/>
  <c r="Q30" i="63"/>
  <c r="P30" i="63"/>
  <c r="O30" i="63"/>
  <c r="N30" i="63"/>
  <c r="M30" i="63"/>
  <c r="L30" i="63"/>
  <c r="K30" i="63"/>
  <c r="J30" i="63"/>
  <c r="I30" i="63"/>
  <c r="H30" i="63"/>
  <c r="G30" i="63"/>
  <c r="F30" i="63"/>
  <c r="AS29" i="63"/>
  <c r="AR29" i="63"/>
  <c r="AQ29" i="63"/>
  <c r="AP29" i="63"/>
  <c r="AO29" i="63"/>
  <c r="AN29" i="63"/>
  <c r="AM29" i="63"/>
  <c r="AL29" i="63"/>
  <c r="AK29" i="63"/>
  <c r="AJ29" i="63"/>
  <c r="AI29" i="63"/>
  <c r="AH29" i="63"/>
  <c r="AG29" i="63"/>
  <c r="AF29" i="63"/>
  <c r="AE29" i="63"/>
  <c r="AD29" i="63"/>
  <c r="AC29" i="63"/>
  <c r="AB29" i="63"/>
  <c r="AA29" i="63"/>
  <c r="Z29" i="63"/>
  <c r="Y29" i="63"/>
  <c r="X29" i="63"/>
  <c r="W29" i="63"/>
  <c r="V29" i="63"/>
  <c r="U29" i="63"/>
  <c r="T29" i="63"/>
  <c r="R29" i="63"/>
  <c r="Q29" i="63"/>
  <c r="P29" i="63"/>
  <c r="O29" i="63"/>
  <c r="N29" i="63"/>
  <c r="M29" i="63"/>
  <c r="L29" i="63"/>
  <c r="K29" i="63"/>
  <c r="J29" i="63"/>
  <c r="I29" i="63"/>
  <c r="H29" i="63"/>
  <c r="G29" i="63"/>
  <c r="F29" i="63"/>
  <c r="AS28" i="63"/>
  <c r="AR28" i="63"/>
  <c r="AQ28" i="63"/>
  <c r="AP28" i="63"/>
  <c r="AO28" i="63"/>
  <c r="AN28" i="63"/>
  <c r="AM28" i="63"/>
  <c r="AL28" i="63"/>
  <c r="AK28" i="63"/>
  <c r="AJ28" i="63"/>
  <c r="AI28" i="63"/>
  <c r="AH28" i="63"/>
  <c r="AG28" i="63"/>
  <c r="AF28" i="63"/>
  <c r="AE28" i="63"/>
  <c r="AD28" i="63"/>
  <c r="AC28" i="63"/>
  <c r="AB28" i="63"/>
  <c r="AA28" i="63"/>
  <c r="Z28" i="63"/>
  <c r="Y28" i="63"/>
  <c r="X28" i="63"/>
  <c r="W28" i="63"/>
  <c r="V28" i="63"/>
  <c r="U28" i="63"/>
  <c r="T28" i="63"/>
  <c r="R28" i="63"/>
  <c r="Q28" i="63"/>
  <c r="P28" i="63"/>
  <c r="O28" i="63"/>
  <c r="N28" i="63"/>
  <c r="M28" i="63"/>
  <c r="L28" i="63"/>
  <c r="K28" i="63"/>
  <c r="J28" i="63"/>
  <c r="I28" i="63"/>
  <c r="H28" i="63"/>
  <c r="G28" i="63"/>
  <c r="F28" i="63"/>
  <c r="AS27" i="63"/>
  <c r="AR27" i="63"/>
  <c r="AQ27" i="63"/>
  <c r="AP27" i="63"/>
  <c r="AO27" i="63"/>
  <c r="AN27" i="63"/>
  <c r="AM27" i="63"/>
  <c r="AL27" i="63"/>
  <c r="AK27" i="63"/>
  <c r="AJ27" i="63"/>
  <c r="AI27" i="63"/>
  <c r="AH27" i="63"/>
  <c r="AG27" i="63"/>
  <c r="AF27" i="63"/>
  <c r="AE27" i="63"/>
  <c r="AD27" i="63"/>
  <c r="AC27" i="63"/>
  <c r="AB27" i="63"/>
  <c r="AA27" i="63"/>
  <c r="Z27" i="63"/>
  <c r="Y27" i="63"/>
  <c r="X27" i="63"/>
  <c r="W27" i="63"/>
  <c r="V27" i="63"/>
  <c r="U27" i="63"/>
  <c r="T27" i="63"/>
  <c r="R27" i="63"/>
  <c r="Q27" i="63"/>
  <c r="P27" i="63"/>
  <c r="O27" i="63"/>
  <c r="N27" i="63"/>
  <c r="M27" i="63"/>
  <c r="L27" i="63"/>
  <c r="K27" i="63"/>
  <c r="J27" i="63"/>
  <c r="I27" i="63"/>
  <c r="H27" i="63"/>
  <c r="G27" i="63"/>
  <c r="F27" i="63"/>
  <c r="AS26" i="63"/>
  <c r="AR26" i="63"/>
  <c r="AQ26" i="63"/>
  <c r="AP26" i="63"/>
  <c r="AO26" i="63"/>
  <c r="AN26" i="63"/>
  <c r="AM26" i="63"/>
  <c r="AL26" i="63"/>
  <c r="AK26" i="63"/>
  <c r="AJ26" i="63"/>
  <c r="AI26" i="63"/>
  <c r="AH26" i="63"/>
  <c r="AG26" i="63"/>
  <c r="AF26" i="63"/>
  <c r="AE26" i="63"/>
  <c r="AD26" i="63"/>
  <c r="AC26" i="63"/>
  <c r="AB26" i="63"/>
  <c r="AA26" i="63"/>
  <c r="Z26" i="63"/>
  <c r="Y26" i="63"/>
  <c r="X26" i="63"/>
  <c r="W26" i="63"/>
  <c r="V26" i="63"/>
  <c r="U26" i="63"/>
  <c r="T26" i="63"/>
  <c r="R26" i="63"/>
  <c r="Q26" i="63"/>
  <c r="P26" i="63"/>
  <c r="O26" i="63"/>
  <c r="N26" i="63"/>
  <c r="M26" i="63"/>
  <c r="L26" i="63"/>
  <c r="K26" i="63"/>
  <c r="J26" i="63"/>
  <c r="I26" i="63"/>
  <c r="H26" i="63"/>
  <c r="G26" i="63"/>
  <c r="F26" i="63"/>
  <c r="AS25" i="63"/>
  <c r="AR25" i="63"/>
  <c r="AQ25" i="63"/>
  <c r="AP25" i="63"/>
  <c r="AO25" i="63"/>
  <c r="AN25" i="63"/>
  <c r="AM25" i="63"/>
  <c r="AL25" i="63"/>
  <c r="AK25" i="63"/>
  <c r="AJ25" i="63"/>
  <c r="AI25" i="63"/>
  <c r="AH25" i="63"/>
  <c r="AG25" i="63"/>
  <c r="AF25" i="63"/>
  <c r="AE25" i="63"/>
  <c r="AD25" i="63"/>
  <c r="AC25" i="63"/>
  <c r="AB25" i="63"/>
  <c r="AA25" i="63"/>
  <c r="Z25" i="63"/>
  <c r="Y25" i="63"/>
  <c r="X25" i="63"/>
  <c r="W25" i="63"/>
  <c r="V25" i="63"/>
  <c r="U25" i="63"/>
  <c r="T25" i="63"/>
  <c r="R25" i="63"/>
  <c r="Q25" i="63"/>
  <c r="P25" i="63"/>
  <c r="O25" i="63"/>
  <c r="N25" i="63"/>
  <c r="M25" i="63"/>
  <c r="L25" i="63"/>
  <c r="K25" i="63"/>
  <c r="J25" i="63"/>
  <c r="I25" i="63"/>
  <c r="H25" i="63"/>
  <c r="G25" i="63"/>
  <c r="F25" i="63"/>
  <c r="AS24" i="63"/>
  <c r="AR24" i="63"/>
  <c r="AQ24" i="63"/>
  <c r="AP24" i="63"/>
  <c r="AO24" i="63"/>
  <c r="AN24" i="63"/>
  <c r="AM24" i="63"/>
  <c r="AL24" i="63"/>
  <c r="AK24" i="63"/>
  <c r="AJ24" i="63"/>
  <c r="AI24" i="63"/>
  <c r="AH24" i="63"/>
  <c r="AG24" i="63"/>
  <c r="AF24" i="63"/>
  <c r="AE24" i="63"/>
  <c r="AD24" i="63"/>
  <c r="AC24" i="63"/>
  <c r="AB24" i="63"/>
  <c r="AA24" i="63"/>
  <c r="Z24" i="63"/>
  <c r="Y24" i="63"/>
  <c r="X24" i="63"/>
  <c r="W24" i="63"/>
  <c r="V24" i="63"/>
  <c r="U24" i="63"/>
  <c r="T24" i="63"/>
  <c r="R24" i="63"/>
  <c r="Q24" i="63"/>
  <c r="P24" i="63"/>
  <c r="O24" i="63"/>
  <c r="N24" i="63"/>
  <c r="M24" i="63"/>
  <c r="L24" i="63"/>
  <c r="K24" i="63"/>
  <c r="J24" i="63"/>
  <c r="I24" i="63"/>
  <c r="H24" i="63"/>
  <c r="G24" i="63"/>
  <c r="F24" i="63"/>
  <c r="AS23" i="63"/>
  <c r="AR23" i="63"/>
  <c r="AQ23" i="63"/>
  <c r="AP23" i="63"/>
  <c r="AO23" i="63"/>
  <c r="AN23" i="63"/>
  <c r="AM23" i="63"/>
  <c r="AL23" i="63"/>
  <c r="AK23" i="63"/>
  <c r="AJ23" i="63"/>
  <c r="AI23" i="63"/>
  <c r="AH23" i="63"/>
  <c r="AG23" i="63"/>
  <c r="AF23" i="63"/>
  <c r="AE23" i="63"/>
  <c r="AD23" i="63"/>
  <c r="AC23" i="63"/>
  <c r="AB23" i="63"/>
  <c r="AA23" i="63"/>
  <c r="Z23" i="63"/>
  <c r="Y23" i="63"/>
  <c r="X23" i="63"/>
  <c r="W23" i="63"/>
  <c r="V23" i="63"/>
  <c r="U23" i="63"/>
  <c r="T23" i="63"/>
  <c r="R23" i="63"/>
  <c r="Q23" i="63"/>
  <c r="P23" i="63"/>
  <c r="O23" i="63"/>
  <c r="N23" i="63"/>
  <c r="M23" i="63"/>
  <c r="L23" i="63"/>
  <c r="K23" i="63"/>
  <c r="J23" i="63"/>
  <c r="I23" i="63"/>
  <c r="H23" i="63"/>
  <c r="G23" i="63"/>
  <c r="F23" i="63"/>
  <c r="AS22" i="63"/>
  <c r="AR22" i="63"/>
  <c r="AQ22" i="63"/>
  <c r="AP22" i="63"/>
  <c r="AO22" i="63"/>
  <c r="AN22" i="63"/>
  <c r="AM22" i="63"/>
  <c r="AL22" i="63"/>
  <c r="AK22" i="63"/>
  <c r="AJ22" i="63"/>
  <c r="AI22" i="63"/>
  <c r="AH22" i="63"/>
  <c r="AG22" i="63"/>
  <c r="AF22" i="63"/>
  <c r="AE22" i="63"/>
  <c r="AD22" i="63"/>
  <c r="AC22" i="63"/>
  <c r="AB22" i="63"/>
  <c r="AA22" i="63"/>
  <c r="Z22" i="63"/>
  <c r="Y22" i="63"/>
  <c r="X22" i="63"/>
  <c r="W22" i="63"/>
  <c r="V22" i="63"/>
  <c r="U22" i="63"/>
  <c r="T22" i="63"/>
  <c r="R22" i="63"/>
  <c r="Q22" i="63"/>
  <c r="P22" i="63"/>
  <c r="O22" i="63"/>
  <c r="N22" i="63"/>
  <c r="M22" i="63"/>
  <c r="L22" i="63"/>
  <c r="K22" i="63"/>
  <c r="J22" i="63"/>
  <c r="I22" i="63"/>
  <c r="H22" i="63"/>
  <c r="G22" i="63"/>
  <c r="F22" i="63"/>
  <c r="AS21" i="63"/>
  <c r="AR21" i="63"/>
  <c r="AQ21" i="63"/>
  <c r="AP21" i="63"/>
  <c r="AO21" i="63"/>
  <c r="AN21" i="63"/>
  <c r="AM21" i="63"/>
  <c r="AL21" i="63"/>
  <c r="AK21" i="63"/>
  <c r="AJ21" i="63"/>
  <c r="AI21" i="63"/>
  <c r="AH21" i="63"/>
  <c r="AG21" i="63"/>
  <c r="AF21" i="63"/>
  <c r="AE21" i="63"/>
  <c r="AD21" i="63"/>
  <c r="AC21" i="63"/>
  <c r="AB21" i="63"/>
  <c r="AA21" i="63"/>
  <c r="Z21" i="63"/>
  <c r="Y21" i="63"/>
  <c r="X21" i="63"/>
  <c r="W21" i="63"/>
  <c r="V21" i="63"/>
  <c r="U21" i="63"/>
  <c r="T21" i="63"/>
  <c r="R21" i="63"/>
  <c r="Q21" i="63"/>
  <c r="P21" i="63"/>
  <c r="O21" i="63"/>
  <c r="N21" i="63"/>
  <c r="M21" i="63"/>
  <c r="L21" i="63"/>
  <c r="K21" i="63"/>
  <c r="J21" i="63"/>
  <c r="I21" i="63"/>
  <c r="H21" i="63"/>
  <c r="G21" i="63"/>
  <c r="F21" i="63"/>
  <c r="AS20" i="63"/>
  <c r="AR20" i="63"/>
  <c r="AQ20" i="63"/>
  <c r="AP20" i="63"/>
  <c r="AO20" i="63"/>
  <c r="AN20" i="63"/>
  <c r="AM20" i="63"/>
  <c r="AL20" i="63"/>
  <c r="AK20" i="63"/>
  <c r="AJ20" i="63"/>
  <c r="AI20" i="63"/>
  <c r="AH20" i="63"/>
  <c r="AG20" i="63"/>
  <c r="AF20" i="63"/>
  <c r="AE20" i="63"/>
  <c r="AD20" i="63"/>
  <c r="AC20" i="63"/>
  <c r="AB20" i="63"/>
  <c r="AA20" i="63"/>
  <c r="Z20" i="63"/>
  <c r="Y20" i="63"/>
  <c r="X20" i="63"/>
  <c r="W20" i="63"/>
  <c r="V20" i="63"/>
  <c r="U20" i="63"/>
  <c r="T20" i="63"/>
  <c r="R20" i="63"/>
  <c r="Q20" i="63"/>
  <c r="P20" i="63"/>
  <c r="O20" i="63"/>
  <c r="N20" i="63"/>
  <c r="M20" i="63"/>
  <c r="L20" i="63"/>
  <c r="K20" i="63"/>
  <c r="J20" i="63"/>
  <c r="I20" i="63"/>
  <c r="H20" i="63"/>
  <c r="G20" i="63"/>
  <c r="F20" i="63"/>
  <c r="AS19" i="63"/>
  <c r="AR19" i="63"/>
  <c r="AQ19" i="63"/>
  <c r="AP19" i="63"/>
  <c r="AO19" i="63"/>
  <c r="AN19" i="63"/>
  <c r="AM19" i="63"/>
  <c r="AL19" i="63"/>
  <c r="AK19" i="63"/>
  <c r="AJ19" i="63"/>
  <c r="AI19" i="63"/>
  <c r="AH19" i="63"/>
  <c r="AG19" i="63"/>
  <c r="AF19" i="63"/>
  <c r="AE19" i="63"/>
  <c r="AD19" i="63"/>
  <c r="AC19" i="63"/>
  <c r="AB19" i="63"/>
  <c r="AA19" i="63"/>
  <c r="Z19" i="63"/>
  <c r="Y19" i="63"/>
  <c r="X19" i="63"/>
  <c r="W19" i="63"/>
  <c r="V19" i="63"/>
  <c r="U19" i="63"/>
  <c r="T19" i="63"/>
  <c r="R19" i="63"/>
  <c r="Q19" i="63"/>
  <c r="P19" i="63"/>
  <c r="O19" i="63"/>
  <c r="N19" i="63"/>
  <c r="M19" i="63"/>
  <c r="L19" i="63"/>
  <c r="K19" i="63"/>
  <c r="J19" i="63"/>
  <c r="I19" i="63"/>
  <c r="H19" i="63"/>
  <c r="G19" i="63"/>
  <c r="F19" i="63"/>
  <c r="AS18" i="63"/>
  <c r="AR18" i="63"/>
  <c r="AQ18" i="63"/>
  <c r="AP18" i="63"/>
  <c r="AO18" i="63"/>
  <c r="AN18" i="63"/>
  <c r="AM18" i="63"/>
  <c r="AL18" i="63"/>
  <c r="AK18" i="63"/>
  <c r="AJ18" i="63"/>
  <c r="AI18" i="63"/>
  <c r="AH18" i="63"/>
  <c r="AG18" i="63"/>
  <c r="AF18" i="63"/>
  <c r="AE18" i="63"/>
  <c r="AD18" i="63"/>
  <c r="AC18" i="63"/>
  <c r="AB18" i="63"/>
  <c r="AA18" i="63"/>
  <c r="Z18" i="63"/>
  <c r="Y18" i="63"/>
  <c r="X18" i="63"/>
  <c r="W18" i="63"/>
  <c r="V18" i="63"/>
  <c r="U18" i="63"/>
  <c r="T18" i="63"/>
  <c r="R18" i="63"/>
  <c r="Q18" i="63"/>
  <c r="P18" i="63"/>
  <c r="O18" i="63"/>
  <c r="N18" i="63"/>
  <c r="M18" i="63"/>
  <c r="L18" i="63"/>
  <c r="K18" i="63"/>
  <c r="J18" i="63"/>
  <c r="I18" i="63"/>
  <c r="H18" i="63"/>
  <c r="G18" i="63"/>
  <c r="F18" i="63"/>
  <c r="AS17" i="63"/>
  <c r="AR17" i="63"/>
  <c r="AQ17" i="63"/>
  <c r="AP17" i="63"/>
  <c r="AO17" i="63"/>
  <c r="AN17" i="63"/>
  <c r="AM17" i="63"/>
  <c r="AL17" i="63"/>
  <c r="AK17" i="63"/>
  <c r="AJ17" i="63"/>
  <c r="AI17" i="63"/>
  <c r="AH17" i="63"/>
  <c r="AG17" i="63"/>
  <c r="AF17" i="63"/>
  <c r="AE17" i="63"/>
  <c r="AD17" i="63"/>
  <c r="AC17" i="63"/>
  <c r="AB17" i="63"/>
  <c r="AA17" i="63"/>
  <c r="Z17" i="63"/>
  <c r="Y17" i="63"/>
  <c r="X17" i="63"/>
  <c r="W17" i="63"/>
  <c r="V17" i="63"/>
  <c r="U17" i="63"/>
  <c r="T17" i="63"/>
  <c r="R17" i="63"/>
  <c r="Q17" i="63"/>
  <c r="P17" i="63"/>
  <c r="O17" i="63"/>
  <c r="N17" i="63"/>
  <c r="M17" i="63"/>
  <c r="L17" i="63"/>
  <c r="K17" i="63"/>
  <c r="J17" i="63"/>
  <c r="I17" i="63"/>
  <c r="H17" i="63"/>
  <c r="G17" i="63"/>
  <c r="F17" i="63"/>
  <c r="AS16" i="63"/>
  <c r="AR16" i="63"/>
  <c r="AQ16" i="63"/>
  <c r="AP16" i="63"/>
  <c r="AO16" i="63"/>
  <c r="AN16" i="63"/>
  <c r="AM16" i="63"/>
  <c r="AL16" i="63"/>
  <c r="AK16" i="63"/>
  <c r="AJ16" i="63"/>
  <c r="AI16" i="63"/>
  <c r="AH16" i="63"/>
  <c r="AG16" i="63"/>
  <c r="AF16" i="63"/>
  <c r="AE16" i="63"/>
  <c r="AD16" i="63"/>
  <c r="AC16" i="63"/>
  <c r="AB16" i="63"/>
  <c r="AA16" i="63"/>
  <c r="Z16" i="63"/>
  <c r="Y16" i="63"/>
  <c r="X16" i="63"/>
  <c r="W16" i="63"/>
  <c r="V16" i="63"/>
  <c r="U16" i="63"/>
  <c r="T16" i="63"/>
  <c r="R16" i="63"/>
  <c r="Q16" i="63"/>
  <c r="P16" i="63"/>
  <c r="O16" i="63"/>
  <c r="N16" i="63"/>
  <c r="M16" i="63"/>
  <c r="L16" i="63"/>
  <c r="K16" i="63"/>
  <c r="J16" i="63"/>
  <c r="I16" i="63"/>
  <c r="H16" i="63"/>
  <c r="G16" i="63"/>
  <c r="F16" i="63"/>
  <c r="AS15" i="63"/>
  <c r="AR15" i="63"/>
  <c r="AQ15" i="63"/>
  <c r="AP15" i="63"/>
  <c r="AO15" i="63"/>
  <c r="AN15" i="63"/>
  <c r="AM15" i="63"/>
  <c r="AL15" i="63"/>
  <c r="AK15" i="63"/>
  <c r="AJ15" i="63"/>
  <c r="AI15" i="63"/>
  <c r="AH15" i="63"/>
  <c r="AG15" i="63"/>
  <c r="AF15" i="63"/>
  <c r="AE15" i="63"/>
  <c r="AD15" i="63"/>
  <c r="AC15" i="63"/>
  <c r="AB15" i="63"/>
  <c r="AA15" i="63"/>
  <c r="Z15" i="63"/>
  <c r="Y15" i="63"/>
  <c r="X15" i="63"/>
  <c r="W15" i="63"/>
  <c r="V15" i="63"/>
  <c r="U15" i="63"/>
  <c r="T15" i="63"/>
  <c r="R15" i="63"/>
  <c r="Q15" i="63"/>
  <c r="P15" i="63"/>
  <c r="O15" i="63"/>
  <c r="N15" i="63"/>
  <c r="M15" i="63"/>
  <c r="L15" i="63"/>
  <c r="K15" i="63"/>
  <c r="J15" i="63"/>
  <c r="I15" i="63"/>
  <c r="H15" i="63"/>
  <c r="G15" i="63"/>
  <c r="F15" i="63"/>
  <c r="AS14" i="63"/>
  <c r="AR14" i="63"/>
  <c r="AQ14" i="63"/>
  <c r="AP14" i="63"/>
  <c r="AO14" i="63"/>
  <c r="AN14" i="63"/>
  <c r="AM14" i="63"/>
  <c r="AL14" i="63"/>
  <c r="AK14" i="63"/>
  <c r="AJ14" i="63"/>
  <c r="AI14" i="63"/>
  <c r="AH14" i="63"/>
  <c r="AG14" i="63"/>
  <c r="AF14" i="63"/>
  <c r="AE14" i="63"/>
  <c r="AD14" i="63"/>
  <c r="AC14" i="63"/>
  <c r="AB14" i="63"/>
  <c r="AA14" i="63"/>
  <c r="Z14" i="63"/>
  <c r="Y14" i="63"/>
  <c r="X14" i="63"/>
  <c r="W14" i="63"/>
  <c r="V14" i="63"/>
  <c r="U14" i="63"/>
  <c r="T14" i="63"/>
  <c r="R14" i="63"/>
  <c r="Q14" i="63"/>
  <c r="P14" i="63"/>
  <c r="O14" i="63"/>
  <c r="N14" i="63"/>
  <c r="M14" i="63"/>
  <c r="L14" i="63"/>
  <c r="K14" i="63"/>
  <c r="J14" i="63"/>
  <c r="I14" i="63"/>
  <c r="H14" i="63"/>
  <c r="G14" i="63"/>
  <c r="F14" i="63"/>
  <c r="AS13" i="63"/>
  <c r="AR13" i="63"/>
  <c r="AQ13" i="63"/>
  <c r="AP13" i="63"/>
  <c r="AO13" i="63"/>
  <c r="AN13" i="63"/>
  <c r="AM13" i="63"/>
  <c r="AL13" i="63"/>
  <c r="AK13" i="63"/>
  <c r="AJ13" i="63"/>
  <c r="AI13" i="63"/>
  <c r="AH13" i="63"/>
  <c r="AG13" i="63"/>
  <c r="AF13" i="63"/>
  <c r="AE13" i="63"/>
  <c r="AD13" i="63"/>
  <c r="AC13" i="63"/>
  <c r="AB13" i="63"/>
  <c r="AA13" i="63"/>
  <c r="Z13" i="63"/>
  <c r="Y13" i="63"/>
  <c r="X13" i="63"/>
  <c r="W13" i="63"/>
  <c r="V13" i="63"/>
  <c r="U13" i="63"/>
  <c r="T13" i="63"/>
  <c r="R13" i="63"/>
  <c r="Q13" i="63"/>
  <c r="P13" i="63"/>
  <c r="O13" i="63"/>
  <c r="N13" i="63"/>
  <c r="M13" i="63"/>
  <c r="L13" i="63"/>
  <c r="K13" i="63"/>
  <c r="J13" i="63"/>
  <c r="I13" i="63"/>
  <c r="H13" i="63"/>
  <c r="G13" i="63"/>
  <c r="F13" i="63"/>
  <c r="AS12" i="63"/>
  <c r="AR12" i="63"/>
  <c r="AQ12" i="63"/>
  <c r="AP12" i="63"/>
  <c r="AO12" i="63"/>
  <c r="AN12" i="63"/>
  <c r="AM12" i="63"/>
  <c r="AL12" i="63"/>
  <c r="AK12" i="63"/>
  <c r="AJ12" i="63"/>
  <c r="AI12" i="63"/>
  <c r="AH12" i="63"/>
  <c r="AG12" i="63"/>
  <c r="AF12" i="63"/>
  <c r="AE12" i="63"/>
  <c r="AD12" i="63"/>
  <c r="AC12" i="63"/>
  <c r="AB12" i="63"/>
  <c r="AA12" i="63"/>
  <c r="Z12" i="63"/>
  <c r="Y12" i="63"/>
  <c r="X12" i="63"/>
  <c r="W12" i="63"/>
  <c r="V12" i="63"/>
  <c r="U12" i="63"/>
  <c r="T12" i="63"/>
  <c r="R12" i="63"/>
  <c r="Q12" i="63"/>
  <c r="P12" i="63"/>
  <c r="O12" i="63"/>
  <c r="N12" i="63"/>
  <c r="M12" i="63"/>
  <c r="L12" i="63"/>
  <c r="K12" i="63"/>
  <c r="J12" i="63"/>
  <c r="I12" i="63"/>
  <c r="H12" i="63"/>
  <c r="G12" i="63"/>
  <c r="F12" i="63"/>
  <c r="AS11" i="63"/>
  <c r="AR11" i="63"/>
  <c r="AQ11" i="63"/>
  <c r="AP11" i="63"/>
  <c r="AO11" i="63"/>
  <c r="AN11" i="63"/>
  <c r="AM11" i="63"/>
  <c r="AL11" i="63"/>
  <c r="AK11" i="63"/>
  <c r="AJ11" i="63"/>
  <c r="AI11" i="63"/>
  <c r="AH11" i="63"/>
  <c r="AG11" i="63"/>
  <c r="AF11" i="63"/>
  <c r="AE11" i="63"/>
  <c r="AD11" i="63"/>
  <c r="AC11" i="63"/>
  <c r="AB11" i="63"/>
  <c r="AA11" i="63"/>
  <c r="Z11" i="63"/>
  <c r="Y11" i="63"/>
  <c r="X11" i="63"/>
  <c r="W11" i="63"/>
  <c r="V11" i="63"/>
  <c r="U11" i="63"/>
  <c r="T11" i="63"/>
  <c r="R11" i="63"/>
  <c r="Q11" i="63"/>
  <c r="P11" i="63"/>
  <c r="O11" i="63"/>
  <c r="N11" i="63"/>
  <c r="M11" i="63"/>
  <c r="L11" i="63"/>
  <c r="K11" i="63"/>
  <c r="J11" i="63"/>
  <c r="I11" i="63"/>
  <c r="H11" i="63"/>
  <c r="G11" i="63"/>
  <c r="F11" i="63"/>
  <c r="AS10" i="63"/>
  <c r="AR10" i="63"/>
  <c r="AQ10" i="63"/>
  <c r="AP10" i="63"/>
  <c r="AO10" i="63"/>
  <c r="AN10" i="63"/>
  <c r="AM10" i="63"/>
  <c r="AL10" i="63"/>
  <c r="AK10" i="63"/>
  <c r="AJ10" i="63"/>
  <c r="AI10" i="63"/>
  <c r="AH10" i="63"/>
  <c r="AG10" i="63"/>
  <c r="AF10" i="63"/>
  <c r="AE10" i="63"/>
  <c r="AD10" i="63"/>
  <c r="AC10" i="63"/>
  <c r="AB10" i="63"/>
  <c r="AA10" i="63"/>
  <c r="Z10" i="63"/>
  <c r="Y10" i="63"/>
  <c r="X10" i="63"/>
  <c r="W10" i="63"/>
  <c r="V10" i="63"/>
  <c r="U10" i="63"/>
  <c r="T10" i="63"/>
  <c r="R10" i="63"/>
  <c r="Q10" i="63"/>
  <c r="P10" i="63"/>
  <c r="O10" i="63"/>
  <c r="N10" i="63"/>
  <c r="M10" i="63"/>
  <c r="L10" i="63"/>
  <c r="K10" i="63"/>
  <c r="J10" i="63"/>
  <c r="I10" i="63"/>
  <c r="H10" i="63"/>
  <c r="G10" i="63"/>
  <c r="F10" i="63"/>
  <c r="AS9" i="63"/>
  <c r="AR9" i="63"/>
  <c r="AQ9" i="63"/>
  <c r="AP9" i="63"/>
  <c r="AO9" i="63"/>
  <c r="AN9" i="63"/>
  <c r="AM9" i="63"/>
  <c r="AL9" i="63"/>
  <c r="AK9" i="63"/>
  <c r="AJ9" i="63"/>
  <c r="AI9" i="63"/>
  <c r="AH9" i="63"/>
  <c r="AG9" i="63"/>
  <c r="AF9" i="63"/>
  <c r="AE9" i="63"/>
  <c r="AD9" i="63"/>
  <c r="AC9" i="63"/>
  <c r="AB9" i="63"/>
  <c r="AA9" i="63"/>
  <c r="Z9" i="63"/>
  <c r="Y9" i="63"/>
  <c r="X9" i="63"/>
  <c r="W9" i="63"/>
  <c r="V9" i="63"/>
  <c r="U9" i="63"/>
  <c r="T9" i="63"/>
  <c r="R9" i="63"/>
  <c r="Q9" i="63"/>
  <c r="P9" i="63"/>
  <c r="O9" i="63"/>
  <c r="N9" i="63"/>
  <c r="M9" i="63"/>
  <c r="L9" i="63"/>
  <c r="K9" i="63"/>
  <c r="J9" i="63"/>
  <c r="I9" i="63"/>
  <c r="H9" i="63"/>
  <c r="G9" i="63"/>
  <c r="F9" i="63"/>
  <c r="AS8" i="63"/>
  <c r="AR8" i="63"/>
  <c r="AQ8" i="63"/>
  <c r="AP8" i="63"/>
  <c r="AO8" i="63"/>
  <c r="AN8" i="63"/>
  <c r="AM8" i="63"/>
  <c r="AL8" i="63"/>
  <c r="AK8" i="63"/>
  <c r="AJ8" i="63"/>
  <c r="AI8" i="63"/>
  <c r="AH8" i="63"/>
  <c r="AG8" i="63"/>
  <c r="AF8" i="63"/>
  <c r="AE8" i="63"/>
  <c r="AD8" i="63"/>
  <c r="AC8" i="63"/>
  <c r="AB8" i="63"/>
  <c r="AA8" i="63"/>
  <c r="Z8" i="63"/>
  <c r="Y8" i="63"/>
  <c r="X8" i="63"/>
  <c r="W8" i="63"/>
  <c r="V8" i="63"/>
  <c r="U8" i="63"/>
  <c r="T8" i="63"/>
  <c r="R8" i="63"/>
  <c r="Q8" i="63"/>
  <c r="P8" i="63"/>
  <c r="O8" i="63"/>
  <c r="N8" i="63"/>
  <c r="M8" i="63"/>
  <c r="L8" i="63"/>
  <c r="K8" i="63"/>
  <c r="J8" i="63"/>
  <c r="I8" i="63"/>
  <c r="H8" i="63"/>
  <c r="G8" i="63"/>
  <c r="F8" i="63"/>
  <c r="AS7" i="63"/>
  <c r="AR7" i="63"/>
  <c r="AQ7" i="63"/>
  <c r="AP7" i="63"/>
  <c r="AO7" i="63"/>
  <c r="AN7" i="63"/>
  <c r="AM7" i="63"/>
  <c r="AL7" i="63"/>
  <c r="AK7" i="63"/>
  <c r="AJ7" i="63"/>
  <c r="AI7" i="63"/>
  <c r="AH7" i="63"/>
  <c r="AG7" i="63"/>
  <c r="AF7" i="63"/>
  <c r="AE7" i="63"/>
  <c r="AD7" i="63"/>
  <c r="AC7" i="63"/>
  <c r="AB7" i="63"/>
  <c r="AA7" i="63"/>
  <c r="Z7" i="63"/>
  <c r="Y7" i="63"/>
  <c r="X7" i="63"/>
  <c r="W7" i="63"/>
  <c r="V7" i="63"/>
  <c r="U7" i="63"/>
  <c r="T7" i="63"/>
  <c r="R7" i="63"/>
  <c r="Q7" i="63"/>
  <c r="P7" i="63"/>
  <c r="O7" i="63"/>
  <c r="N7" i="63"/>
  <c r="M7" i="63"/>
  <c r="L7" i="63"/>
  <c r="K7" i="63"/>
  <c r="J7" i="63"/>
  <c r="I7" i="63"/>
  <c r="H7" i="63"/>
  <c r="G7" i="63"/>
  <c r="F7" i="63"/>
  <c r="AS6" i="63"/>
  <c r="AR6" i="63"/>
  <c r="AQ6" i="63"/>
  <c r="AP6" i="63"/>
  <c r="AO6" i="63"/>
  <c r="AN6" i="63"/>
  <c r="AM6" i="63"/>
  <c r="AL6" i="63"/>
  <c r="AK6" i="63"/>
  <c r="AJ6" i="63"/>
  <c r="AI6" i="63"/>
  <c r="AH6" i="63"/>
  <c r="AG6" i="63"/>
  <c r="AF6" i="63"/>
  <c r="AE6" i="63"/>
  <c r="AD6" i="63"/>
  <c r="AC6" i="63"/>
  <c r="AB6" i="63"/>
  <c r="AA6" i="63"/>
  <c r="Z6" i="63"/>
  <c r="Y6" i="63"/>
  <c r="X6" i="63"/>
  <c r="W6" i="63"/>
  <c r="V6" i="63"/>
  <c r="U6" i="63"/>
  <c r="T6" i="63"/>
  <c r="R6" i="63"/>
  <c r="Q6" i="63"/>
  <c r="P6" i="63"/>
  <c r="O6" i="63"/>
  <c r="N6" i="63"/>
  <c r="M6" i="63"/>
  <c r="L6" i="63"/>
  <c r="K6" i="63"/>
  <c r="J6" i="63"/>
  <c r="I6" i="63"/>
  <c r="H6" i="63"/>
  <c r="G6" i="63"/>
  <c r="F6" i="63"/>
  <c r="AS5" i="63"/>
  <c r="AR5" i="63"/>
  <c r="AQ5" i="63"/>
  <c r="AP5" i="63"/>
  <c r="AO5" i="63"/>
  <c r="AN5" i="63"/>
  <c r="AM5" i="63"/>
  <c r="AL5" i="63"/>
  <c r="AK5" i="63"/>
  <c r="AJ5" i="63"/>
  <c r="AI5" i="63"/>
  <c r="AH5" i="63"/>
  <c r="AG5" i="63"/>
  <c r="AF5" i="63"/>
  <c r="AE5" i="63"/>
  <c r="AD5" i="63"/>
  <c r="AC5" i="63"/>
  <c r="AB5" i="63"/>
  <c r="AA5" i="63"/>
  <c r="Z5" i="63"/>
  <c r="Y5" i="63"/>
  <c r="X5" i="63"/>
  <c r="W5" i="63"/>
  <c r="V5" i="63"/>
  <c r="U5" i="63"/>
  <c r="T5" i="63"/>
  <c r="R5" i="63"/>
  <c r="Q5" i="63"/>
  <c r="P5" i="63"/>
  <c r="O5" i="63"/>
  <c r="N5" i="63"/>
  <c r="M5" i="63"/>
  <c r="L5" i="63"/>
  <c r="K5" i="63"/>
  <c r="J5" i="63"/>
  <c r="I5" i="63"/>
  <c r="H5" i="63"/>
  <c r="G5" i="63"/>
  <c r="F5" i="63"/>
  <c r="AS4" i="63"/>
  <c r="AR4" i="63"/>
  <c r="AQ4" i="63"/>
  <c r="AP4" i="63"/>
  <c r="AO4" i="63"/>
  <c r="AN4" i="63"/>
  <c r="AM4" i="63"/>
  <c r="AL4" i="63"/>
  <c r="AK4" i="63"/>
  <c r="AJ4" i="63"/>
  <c r="AI4" i="63"/>
  <c r="AH4" i="63"/>
  <c r="AG4" i="63"/>
  <c r="AF4" i="63"/>
  <c r="AE4" i="63"/>
  <c r="AD4" i="63"/>
  <c r="AC4" i="63"/>
  <c r="AB4" i="63"/>
  <c r="AA4" i="63"/>
  <c r="Z4" i="63"/>
  <c r="Y4" i="63"/>
  <c r="X4" i="63"/>
  <c r="W4" i="63"/>
  <c r="V4" i="63"/>
  <c r="U4" i="63"/>
  <c r="T4" i="63"/>
  <c r="R4" i="63"/>
  <c r="Q4" i="63"/>
  <c r="P4" i="63"/>
  <c r="O4" i="63"/>
  <c r="N4" i="63"/>
  <c r="M4" i="63"/>
  <c r="L4" i="63"/>
  <c r="K4" i="63"/>
  <c r="J4" i="63"/>
  <c r="I4" i="63"/>
  <c r="H4" i="63"/>
  <c r="G4" i="63"/>
  <c r="F4" i="63"/>
  <c r="AS3" i="63"/>
  <c r="AR3" i="63"/>
  <c r="AQ3" i="63"/>
  <c r="AP3" i="63"/>
  <c r="AO3" i="63"/>
  <c r="AN3" i="63"/>
  <c r="AM3" i="63"/>
  <c r="AL3" i="63"/>
  <c r="AK3" i="63"/>
  <c r="AJ3" i="63"/>
  <c r="AI3" i="63"/>
  <c r="AH3" i="63"/>
  <c r="AG3" i="63"/>
  <c r="AF3" i="63"/>
  <c r="AE3" i="63"/>
  <c r="AD3" i="63"/>
  <c r="AC3" i="63"/>
  <c r="AB3" i="63"/>
  <c r="AA3" i="63"/>
  <c r="Z3" i="63"/>
  <c r="Y3" i="63"/>
  <c r="X3" i="63"/>
  <c r="W3" i="63"/>
  <c r="V3" i="63"/>
  <c r="U3" i="63"/>
  <c r="T3" i="63"/>
  <c r="R3" i="63"/>
  <c r="Q3" i="63"/>
  <c r="P3" i="63"/>
  <c r="O3" i="63"/>
  <c r="N3" i="63"/>
  <c r="M3" i="63"/>
  <c r="L3" i="63"/>
  <c r="K3" i="63"/>
  <c r="J3" i="63"/>
  <c r="I3" i="63"/>
  <c r="H3" i="63"/>
  <c r="G3" i="63"/>
  <c r="F3" i="63"/>
  <c r="AS2" i="63"/>
  <c r="AR2" i="63"/>
  <c r="AQ2" i="63"/>
  <c r="AP2" i="63"/>
  <c r="AO2" i="63"/>
  <c r="AN2" i="63"/>
  <c r="AM2" i="63"/>
  <c r="AL2" i="63"/>
  <c r="AK2" i="63"/>
  <c r="AJ2" i="63"/>
  <c r="AI2" i="63"/>
  <c r="AH2" i="63"/>
  <c r="AG2" i="63"/>
  <c r="AF2" i="63"/>
  <c r="AE2" i="63"/>
  <c r="AD2" i="63"/>
  <c r="AC2" i="63"/>
  <c r="AB2" i="63"/>
  <c r="AA2" i="63"/>
  <c r="Z2" i="63"/>
  <c r="Y2" i="63"/>
  <c r="X2" i="63"/>
  <c r="W2" i="63"/>
  <c r="V2" i="63"/>
  <c r="U2" i="63"/>
  <c r="T2" i="63"/>
  <c r="R2" i="63"/>
  <c r="Q2" i="63"/>
  <c r="P2" i="63"/>
  <c r="O2" i="63"/>
  <c r="N2" i="63"/>
  <c r="M2" i="63"/>
  <c r="L2" i="63"/>
  <c r="K2" i="63"/>
  <c r="J2" i="63"/>
  <c r="I2" i="63"/>
  <c r="H2" i="63"/>
  <c r="G2" i="63"/>
  <c r="F2" i="63"/>
  <c r="AS39" i="62"/>
  <c r="AR39" i="62"/>
  <c r="AQ39" i="62"/>
  <c r="AP39" i="62"/>
  <c r="AO39" i="62"/>
  <c r="AN39" i="62"/>
  <c r="AM39" i="62"/>
  <c r="AL39" i="62"/>
  <c r="AK39" i="62"/>
  <c r="AJ39" i="62"/>
  <c r="AI39" i="62"/>
  <c r="AH39" i="62"/>
  <c r="AG39" i="62"/>
  <c r="AF39" i="62"/>
  <c r="AE39" i="62"/>
  <c r="AD39" i="62"/>
  <c r="AC39" i="62"/>
  <c r="AB39" i="62"/>
  <c r="AA39" i="62"/>
  <c r="Z39" i="62"/>
  <c r="Y39" i="62"/>
  <c r="X39" i="62"/>
  <c r="W39" i="62"/>
  <c r="V39" i="62"/>
  <c r="U39" i="62"/>
  <c r="T39" i="62"/>
  <c r="R39" i="62"/>
  <c r="Q39" i="62"/>
  <c r="P39" i="62"/>
  <c r="O39" i="62"/>
  <c r="N39" i="62"/>
  <c r="M39" i="62"/>
  <c r="L39" i="62"/>
  <c r="K39" i="62"/>
  <c r="J39" i="62"/>
  <c r="I39" i="62"/>
  <c r="H39" i="62"/>
  <c r="G39" i="62"/>
  <c r="F39" i="62"/>
  <c r="AS38" i="62"/>
  <c r="AR38" i="62"/>
  <c r="AQ38" i="62"/>
  <c r="AP38" i="62"/>
  <c r="AO38" i="62"/>
  <c r="AN38" i="62"/>
  <c r="AM38" i="62"/>
  <c r="AL38" i="62"/>
  <c r="AK38" i="62"/>
  <c r="AJ38" i="62"/>
  <c r="AI38" i="62"/>
  <c r="AH38" i="62"/>
  <c r="AG38" i="62"/>
  <c r="AF38" i="62"/>
  <c r="AE38" i="62"/>
  <c r="AD38" i="62"/>
  <c r="AC38" i="62"/>
  <c r="AB38" i="62"/>
  <c r="AA38" i="62"/>
  <c r="Z38" i="62"/>
  <c r="Y38" i="62"/>
  <c r="X38" i="62"/>
  <c r="W38" i="62"/>
  <c r="V38" i="62"/>
  <c r="U38" i="62"/>
  <c r="T38" i="62"/>
  <c r="R38" i="62"/>
  <c r="Q38" i="62"/>
  <c r="P38" i="62"/>
  <c r="O38" i="62"/>
  <c r="N38" i="62"/>
  <c r="M38" i="62"/>
  <c r="L38" i="62"/>
  <c r="K38" i="62"/>
  <c r="J38" i="62"/>
  <c r="I38" i="62"/>
  <c r="H38" i="62"/>
  <c r="G38" i="62"/>
  <c r="F38" i="62"/>
  <c r="AS37" i="62"/>
  <c r="AR37" i="62"/>
  <c r="AQ37" i="62"/>
  <c r="AP37" i="62"/>
  <c r="AO37" i="62"/>
  <c r="AN37" i="62"/>
  <c r="AM37" i="62"/>
  <c r="AL37" i="62"/>
  <c r="AK37" i="62"/>
  <c r="AJ37" i="62"/>
  <c r="AI37" i="62"/>
  <c r="AH37" i="62"/>
  <c r="AG37" i="62"/>
  <c r="AF37" i="62"/>
  <c r="AE37" i="62"/>
  <c r="AD37" i="62"/>
  <c r="AC37" i="62"/>
  <c r="AB37" i="62"/>
  <c r="AA37" i="62"/>
  <c r="Z37" i="62"/>
  <c r="Y37" i="62"/>
  <c r="X37" i="62"/>
  <c r="W37" i="62"/>
  <c r="V37" i="62"/>
  <c r="U37" i="62"/>
  <c r="T37" i="62"/>
  <c r="R37" i="62"/>
  <c r="Q37" i="62"/>
  <c r="P37" i="62"/>
  <c r="O37" i="62"/>
  <c r="N37" i="62"/>
  <c r="M37" i="62"/>
  <c r="L37" i="62"/>
  <c r="K37" i="62"/>
  <c r="J37" i="62"/>
  <c r="I37" i="62"/>
  <c r="H37" i="62"/>
  <c r="G37" i="62"/>
  <c r="F37" i="62"/>
  <c r="AS36" i="62"/>
  <c r="AR36" i="62"/>
  <c r="AQ36" i="62"/>
  <c r="AP36" i="62"/>
  <c r="AO36" i="62"/>
  <c r="AN36" i="62"/>
  <c r="AM36" i="62"/>
  <c r="AL36" i="62"/>
  <c r="AK36" i="62"/>
  <c r="AJ36" i="62"/>
  <c r="AI36" i="62"/>
  <c r="AH36" i="62"/>
  <c r="AG36" i="62"/>
  <c r="AF36" i="62"/>
  <c r="AE36" i="62"/>
  <c r="AD36" i="62"/>
  <c r="AC36" i="62"/>
  <c r="AB36" i="62"/>
  <c r="AA36" i="62"/>
  <c r="Z36" i="62"/>
  <c r="Y36" i="62"/>
  <c r="X36" i="62"/>
  <c r="W36" i="62"/>
  <c r="V36" i="62"/>
  <c r="U36" i="62"/>
  <c r="T36" i="62"/>
  <c r="R36" i="62"/>
  <c r="Q36" i="62"/>
  <c r="P36" i="62"/>
  <c r="O36" i="62"/>
  <c r="N36" i="62"/>
  <c r="M36" i="62"/>
  <c r="L36" i="62"/>
  <c r="K36" i="62"/>
  <c r="J36" i="62"/>
  <c r="I36" i="62"/>
  <c r="H36" i="62"/>
  <c r="G36" i="62"/>
  <c r="F36" i="62"/>
  <c r="AS33" i="62"/>
  <c r="AR33" i="62"/>
  <c r="AQ33" i="62"/>
  <c r="AP33" i="62"/>
  <c r="AO33" i="62"/>
  <c r="AN33" i="62"/>
  <c r="AM33" i="62"/>
  <c r="AL33" i="62"/>
  <c r="AK33" i="62"/>
  <c r="AJ33" i="62"/>
  <c r="AI33" i="62"/>
  <c r="AH33" i="62"/>
  <c r="AG33" i="62"/>
  <c r="AF33" i="62"/>
  <c r="AE33" i="62"/>
  <c r="AD33" i="62"/>
  <c r="AC33" i="62"/>
  <c r="AB33" i="62"/>
  <c r="AA33" i="62"/>
  <c r="Z33" i="62"/>
  <c r="Y33" i="62"/>
  <c r="X33" i="62"/>
  <c r="W33" i="62"/>
  <c r="V33" i="62"/>
  <c r="U33" i="62"/>
  <c r="T33" i="62"/>
  <c r="R33" i="62"/>
  <c r="Q33" i="62"/>
  <c r="P33" i="62"/>
  <c r="O33" i="62"/>
  <c r="N33" i="62"/>
  <c r="M33" i="62"/>
  <c r="L33" i="62"/>
  <c r="K33" i="62"/>
  <c r="J33" i="62"/>
  <c r="I33" i="62"/>
  <c r="H33" i="62"/>
  <c r="G33" i="62"/>
  <c r="F33" i="62"/>
  <c r="AS32" i="62"/>
  <c r="AR32" i="62"/>
  <c r="AQ32" i="62"/>
  <c r="AP32" i="62"/>
  <c r="AO32" i="62"/>
  <c r="AN32" i="62"/>
  <c r="AM32" i="62"/>
  <c r="AL32" i="62"/>
  <c r="AK32" i="62"/>
  <c r="AJ32" i="62"/>
  <c r="AI32" i="62"/>
  <c r="AH32" i="62"/>
  <c r="AG32" i="62"/>
  <c r="AF32" i="62"/>
  <c r="AE32" i="62"/>
  <c r="AD32" i="62"/>
  <c r="AC32" i="62"/>
  <c r="AB32" i="62"/>
  <c r="AA32" i="62"/>
  <c r="Z32" i="62"/>
  <c r="Y32" i="62"/>
  <c r="X32" i="62"/>
  <c r="W32" i="62"/>
  <c r="V32" i="62"/>
  <c r="U32" i="62"/>
  <c r="T32" i="62"/>
  <c r="R32" i="62"/>
  <c r="Q32" i="62"/>
  <c r="P32" i="62"/>
  <c r="O32" i="62"/>
  <c r="N32" i="62"/>
  <c r="M32" i="62"/>
  <c r="L32" i="62"/>
  <c r="K32" i="62"/>
  <c r="J32" i="62"/>
  <c r="I32" i="62"/>
  <c r="H32" i="62"/>
  <c r="G32" i="62"/>
  <c r="F32" i="62"/>
  <c r="AS31" i="62"/>
  <c r="AR31" i="62"/>
  <c r="AQ31" i="62"/>
  <c r="AP31" i="62"/>
  <c r="AO31" i="62"/>
  <c r="AN31" i="62"/>
  <c r="AM31" i="62"/>
  <c r="AL31" i="62"/>
  <c r="AK31" i="62"/>
  <c r="AJ31" i="62"/>
  <c r="AI31" i="62"/>
  <c r="AH31" i="62"/>
  <c r="AG31" i="62"/>
  <c r="AF31" i="62"/>
  <c r="AE31" i="62"/>
  <c r="AD31" i="62"/>
  <c r="AC31" i="62"/>
  <c r="AB31" i="62"/>
  <c r="AA31" i="62"/>
  <c r="Z31" i="62"/>
  <c r="Y31" i="62"/>
  <c r="X31" i="62"/>
  <c r="W31" i="62"/>
  <c r="V31" i="62"/>
  <c r="U31" i="62"/>
  <c r="T31" i="62"/>
  <c r="R31" i="62"/>
  <c r="Q31" i="62"/>
  <c r="P31" i="62"/>
  <c r="O31" i="62"/>
  <c r="N31" i="62"/>
  <c r="M31" i="62"/>
  <c r="L31" i="62"/>
  <c r="K31" i="62"/>
  <c r="J31" i="62"/>
  <c r="I31" i="62"/>
  <c r="H31" i="62"/>
  <c r="G31" i="62"/>
  <c r="F31" i="62"/>
  <c r="AS30" i="62"/>
  <c r="AR30" i="62"/>
  <c r="AQ30" i="62"/>
  <c r="AP30" i="62"/>
  <c r="AO30" i="62"/>
  <c r="AN30" i="62"/>
  <c r="AM30" i="62"/>
  <c r="AL30" i="62"/>
  <c r="AK30" i="62"/>
  <c r="AJ30" i="62"/>
  <c r="AI30" i="62"/>
  <c r="AH30" i="62"/>
  <c r="AG30" i="62"/>
  <c r="AF30" i="62"/>
  <c r="AE30" i="62"/>
  <c r="AD30" i="62"/>
  <c r="AC30" i="62"/>
  <c r="AB30" i="62"/>
  <c r="AA30" i="62"/>
  <c r="Z30" i="62"/>
  <c r="Y30" i="62"/>
  <c r="X30" i="62"/>
  <c r="W30" i="62"/>
  <c r="V30" i="62"/>
  <c r="U30" i="62"/>
  <c r="T30" i="62"/>
  <c r="R30" i="62"/>
  <c r="Q30" i="62"/>
  <c r="P30" i="62"/>
  <c r="O30" i="62"/>
  <c r="N30" i="62"/>
  <c r="M30" i="62"/>
  <c r="L30" i="62"/>
  <c r="K30" i="62"/>
  <c r="J30" i="62"/>
  <c r="I30" i="62"/>
  <c r="H30" i="62"/>
  <c r="G30" i="62"/>
  <c r="F30" i="62"/>
  <c r="AS29" i="62"/>
  <c r="AR29" i="62"/>
  <c r="AQ29" i="62"/>
  <c r="AP29" i="62"/>
  <c r="AO29" i="62"/>
  <c r="AN29" i="62"/>
  <c r="AM29" i="62"/>
  <c r="AL29" i="62"/>
  <c r="AK29" i="62"/>
  <c r="AJ29" i="62"/>
  <c r="AI29" i="62"/>
  <c r="AH29" i="62"/>
  <c r="AG29" i="62"/>
  <c r="AF29" i="62"/>
  <c r="AE29" i="62"/>
  <c r="AD29" i="62"/>
  <c r="AC29" i="62"/>
  <c r="AB29" i="62"/>
  <c r="AA29" i="62"/>
  <c r="Z29" i="62"/>
  <c r="Y29" i="62"/>
  <c r="X29" i="62"/>
  <c r="W29" i="62"/>
  <c r="V29" i="62"/>
  <c r="U29" i="62"/>
  <c r="T29" i="62"/>
  <c r="R29" i="62"/>
  <c r="Q29" i="62"/>
  <c r="P29" i="62"/>
  <c r="O29" i="62"/>
  <c r="N29" i="62"/>
  <c r="M29" i="62"/>
  <c r="L29" i="62"/>
  <c r="K29" i="62"/>
  <c r="J29" i="62"/>
  <c r="I29" i="62"/>
  <c r="H29" i="62"/>
  <c r="G29" i="62"/>
  <c r="F29" i="62"/>
  <c r="AS28" i="62"/>
  <c r="AR28" i="62"/>
  <c r="AQ28" i="62"/>
  <c r="AP28" i="62"/>
  <c r="AO28" i="62"/>
  <c r="AN28" i="62"/>
  <c r="AM28" i="62"/>
  <c r="AL28" i="62"/>
  <c r="AK28" i="62"/>
  <c r="AJ28" i="62"/>
  <c r="AI28" i="62"/>
  <c r="AH28" i="62"/>
  <c r="AG28" i="62"/>
  <c r="AF28" i="62"/>
  <c r="AE28" i="62"/>
  <c r="AD28" i="62"/>
  <c r="AC28" i="62"/>
  <c r="AB28" i="62"/>
  <c r="AA28" i="62"/>
  <c r="Z28" i="62"/>
  <c r="Y28" i="62"/>
  <c r="X28" i="62"/>
  <c r="W28" i="62"/>
  <c r="V28" i="62"/>
  <c r="U28" i="62"/>
  <c r="T28" i="62"/>
  <c r="R28" i="62"/>
  <c r="Q28" i="62"/>
  <c r="P28" i="62"/>
  <c r="O28" i="62"/>
  <c r="N28" i="62"/>
  <c r="M28" i="62"/>
  <c r="L28" i="62"/>
  <c r="K28" i="62"/>
  <c r="J28" i="62"/>
  <c r="I28" i="62"/>
  <c r="H28" i="62"/>
  <c r="G28" i="62"/>
  <c r="F28" i="62"/>
  <c r="AS27" i="62"/>
  <c r="AR27" i="62"/>
  <c r="AQ27" i="62"/>
  <c r="AP27" i="62"/>
  <c r="AO27" i="62"/>
  <c r="AN27" i="62"/>
  <c r="AM27" i="62"/>
  <c r="AL27" i="62"/>
  <c r="AK27" i="62"/>
  <c r="AJ27" i="62"/>
  <c r="AI27" i="62"/>
  <c r="AH27" i="62"/>
  <c r="AG27" i="62"/>
  <c r="AF27" i="62"/>
  <c r="AE27" i="62"/>
  <c r="AD27" i="62"/>
  <c r="AC27" i="62"/>
  <c r="AB27" i="62"/>
  <c r="AA27" i="62"/>
  <c r="Z27" i="62"/>
  <c r="Y27" i="62"/>
  <c r="X27" i="62"/>
  <c r="W27" i="62"/>
  <c r="V27" i="62"/>
  <c r="U27" i="62"/>
  <c r="T27" i="62"/>
  <c r="R27" i="62"/>
  <c r="Q27" i="62"/>
  <c r="P27" i="62"/>
  <c r="O27" i="62"/>
  <c r="N27" i="62"/>
  <c r="M27" i="62"/>
  <c r="L27" i="62"/>
  <c r="K27" i="62"/>
  <c r="J27" i="62"/>
  <c r="I27" i="62"/>
  <c r="H27" i="62"/>
  <c r="G27" i="62"/>
  <c r="F27" i="62"/>
  <c r="AS26" i="62"/>
  <c r="AR26" i="62"/>
  <c r="AQ26" i="62"/>
  <c r="AP26" i="62"/>
  <c r="AO26" i="62"/>
  <c r="AN26" i="62"/>
  <c r="AM26" i="62"/>
  <c r="AL26" i="62"/>
  <c r="AK26" i="62"/>
  <c r="AJ26" i="62"/>
  <c r="AI26" i="62"/>
  <c r="AH26" i="62"/>
  <c r="AG26" i="62"/>
  <c r="AF26" i="62"/>
  <c r="AE26" i="62"/>
  <c r="AD26" i="62"/>
  <c r="AC26" i="62"/>
  <c r="AB26" i="62"/>
  <c r="AA26" i="62"/>
  <c r="Z26" i="62"/>
  <c r="Y26" i="62"/>
  <c r="X26" i="62"/>
  <c r="W26" i="62"/>
  <c r="V26" i="62"/>
  <c r="U26" i="62"/>
  <c r="T26" i="62"/>
  <c r="R26" i="62"/>
  <c r="Q26" i="62"/>
  <c r="P26" i="62"/>
  <c r="O26" i="62"/>
  <c r="N26" i="62"/>
  <c r="M26" i="62"/>
  <c r="L26" i="62"/>
  <c r="K26" i="62"/>
  <c r="J26" i="62"/>
  <c r="I26" i="62"/>
  <c r="H26" i="62"/>
  <c r="G26" i="62"/>
  <c r="F26" i="62"/>
  <c r="AS25" i="62"/>
  <c r="AR25" i="62"/>
  <c r="AQ25" i="62"/>
  <c r="AP25" i="62"/>
  <c r="AO25" i="62"/>
  <c r="AN25" i="62"/>
  <c r="AM25" i="62"/>
  <c r="AL25" i="62"/>
  <c r="AK25" i="62"/>
  <c r="AJ25" i="62"/>
  <c r="AI25" i="62"/>
  <c r="AH25" i="62"/>
  <c r="AG25" i="62"/>
  <c r="AF25" i="62"/>
  <c r="AE25" i="62"/>
  <c r="AD25" i="62"/>
  <c r="AC25" i="62"/>
  <c r="AB25" i="62"/>
  <c r="AA25" i="62"/>
  <c r="Z25" i="62"/>
  <c r="Y25" i="62"/>
  <c r="X25" i="62"/>
  <c r="W25" i="62"/>
  <c r="V25" i="62"/>
  <c r="U25" i="62"/>
  <c r="T25" i="62"/>
  <c r="R25" i="62"/>
  <c r="Q25" i="62"/>
  <c r="P25" i="62"/>
  <c r="O25" i="62"/>
  <c r="N25" i="62"/>
  <c r="M25" i="62"/>
  <c r="L25" i="62"/>
  <c r="K25" i="62"/>
  <c r="J25" i="62"/>
  <c r="I25" i="62"/>
  <c r="H25" i="62"/>
  <c r="G25" i="62"/>
  <c r="F25" i="62"/>
  <c r="AS24" i="62"/>
  <c r="AR24" i="62"/>
  <c r="AQ24" i="62"/>
  <c r="AP24" i="62"/>
  <c r="AO24" i="62"/>
  <c r="AN24" i="62"/>
  <c r="AM24" i="62"/>
  <c r="AL24" i="62"/>
  <c r="AK24" i="62"/>
  <c r="AJ24" i="62"/>
  <c r="AI24" i="62"/>
  <c r="AH24" i="62"/>
  <c r="AG24" i="62"/>
  <c r="AF24" i="62"/>
  <c r="AE24" i="62"/>
  <c r="AD24" i="62"/>
  <c r="AC24" i="62"/>
  <c r="AB24" i="62"/>
  <c r="AA24" i="62"/>
  <c r="Z24" i="62"/>
  <c r="Y24" i="62"/>
  <c r="X24" i="62"/>
  <c r="W24" i="62"/>
  <c r="V24" i="62"/>
  <c r="U24" i="62"/>
  <c r="T24" i="62"/>
  <c r="R24" i="62"/>
  <c r="Q24" i="62"/>
  <c r="P24" i="62"/>
  <c r="O24" i="62"/>
  <c r="N24" i="62"/>
  <c r="M24" i="62"/>
  <c r="L24" i="62"/>
  <c r="K24" i="62"/>
  <c r="J24" i="62"/>
  <c r="I24" i="62"/>
  <c r="H24" i="62"/>
  <c r="G24" i="62"/>
  <c r="F24" i="62"/>
  <c r="AS23" i="62"/>
  <c r="AR23" i="62"/>
  <c r="AQ23" i="62"/>
  <c r="AP23" i="62"/>
  <c r="AO23" i="62"/>
  <c r="AN23" i="62"/>
  <c r="AM23" i="62"/>
  <c r="AL23" i="62"/>
  <c r="AK23" i="62"/>
  <c r="AJ23" i="62"/>
  <c r="AI23" i="62"/>
  <c r="AH23" i="62"/>
  <c r="AG23" i="62"/>
  <c r="AF23" i="62"/>
  <c r="AE23" i="62"/>
  <c r="AD23" i="62"/>
  <c r="AC23" i="62"/>
  <c r="AB23" i="62"/>
  <c r="AA23" i="62"/>
  <c r="Z23" i="62"/>
  <c r="Y23" i="62"/>
  <c r="X23" i="62"/>
  <c r="W23" i="62"/>
  <c r="V23" i="62"/>
  <c r="U23" i="62"/>
  <c r="T23" i="62"/>
  <c r="R23" i="62"/>
  <c r="Q23" i="62"/>
  <c r="P23" i="62"/>
  <c r="O23" i="62"/>
  <c r="N23" i="62"/>
  <c r="M23" i="62"/>
  <c r="L23" i="62"/>
  <c r="K23" i="62"/>
  <c r="J23" i="62"/>
  <c r="I23" i="62"/>
  <c r="H23" i="62"/>
  <c r="G23" i="62"/>
  <c r="F23" i="62"/>
  <c r="AS22" i="62"/>
  <c r="AR22" i="62"/>
  <c r="AQ22" i="62"/>
  <c r="AP22" i="62"/>
  <c r="AO22" i="62"/>
  <c r="AN22" i="62"/>
  <c r="AM22" i="62"/>
  <c r="AL22" i="62"/>
  <c r="AK22" i="62"/>
  <c r="AJ22" i="62"/>
  <c r="AI22" i="62"/>
  <c r="AH22" i="62"/>
  <c r="AG22" i="62"/>
  <c r="AF22" i="62"/>
  <c r="AE22" i="62"/>
  <c r="AD22" i="62"/>
  <c r="AC22" i="62"/>
  <c r="AB22" i="62"/>
  <c r="AA22" i="62"/>
  <c r="Z22" i="62"/>
  <c r="Y22" i="62"/>
  <c r="X22" i="62"/>
  <c r="W22" i="62"/>
  <c r="V22" i="62"/>
  <c r="U22" i="62"/>
  <c r="T22" i="62"/>
  <c r="R22" i="62"/>
  <c r="Q22" i="62"/>
  <c r="P22" i="62"/>
  <c r="O22" i="62"/>
  <c r="N22" i="62"/>
  <c r="M22" i="62"/>
  <c r="L22" i="62"/>
  <c r="K22" i="62"/>
  <c r="J22" i="62"/>
  <c r="I22" i="62"/>
  <c r="H22" i="62"/>
  <c r="G22" i="62"/>
  <c r="F22" i="62"/>
  <c r="AS21" i="62"/>
  <c r="AR21" i="62"/>
  <c r="AQ21" i="62"/>
  <c r="AP21" i="62"/>
  <c r="AO21" i="62"/>
  <c r="AN21" i="62"/>
  <c r="AM21" i="62"/>
  <c r="AL21" i="62"/>
  <c r="AK21" i="62"/>
  <c r="AJ21" i="62"/>
  <c r="AI21" i="62"/>
  <c r="AH21" i="62"/>
  <c r="AG21" i="62"/>
  <c r="AF21" i="62"/>
  <c r="AE21" i="62"/>
  <c r="AD21" i="62"/>
  <c r="AC21" i="62"/>
  <c r="AB21" i="62"/>
  <c r="AA21" i="62"/>
  <c r="Z21" i="62"/>
  <c r="Y21" i="62"/>
  <c r="X21" i="62"/>
  <c r="W21" i="62"/>
  <c r="V21" i="62"/>
  <c r="U21" i="62"/>
  <c r="T21" i="62"/>
  <c r="R21" i="62"/>
  <c r="Q21" i="62"/>
  <c r="P21" i="62"/>
  <c r="O21" i="62"/>
  <c r="N21" i="62"/>
  <c r="M21" i="62"/>
  <c r="L21" i="62"/>
  <c r="K21" i="62"/>
  <c r="J21" i="62"/>
  <c r="I21" i="62"/>
  <c r="H21" i="62"/>
  <c r="G21" i="62"/>
  <c r="F21" i="62"/>
  <c r="AS18" i="62"/>
  <c r="AR18" i="62"/>
  <c r="AQ18" i="62"/>
  <c r="AP18" i="62"/>
  <c r="AO18" i="62"/>
  <c r="AN18" i="62"/>
  <c r="AM18" i="62"/>
  <c r="AL18" i="62"/>
  <c r="AK18" i="62"/>
  <c r="AJ18" i="62"/>
  <c r="AI18" i="62"/>
  <c r="AH18" i="62"/>
  <c r="AG18" i="62"/>
  <c r="AF18" i="62"/>
  <c r="AE18" i="62"/>
  <c r="AD18" i="62"/>
  <c r="AC18" i="62"/>
  <c r="AB18" i="62"/>
  <c r="AA18" i="62"/>
  <c r="Z18" i="62"/>
  <c r="Y18" i="62"/>
  <c r="X18" i="62"/>
  <c r="W18" i="62"/>
  <c r="V18" i="62"/>
  <c r="U18" i="62"/>
  <c r="T18" i="62"/>
  <c r="R18" i="62"/>
  <c r="Q18" i="62"/>
  <c r="P18" i="62"/>
  <c r="O18" i="62"/>
  <c r="N18" i="62"/>
  <c r="M18" i="62"/>
  <c r="L18" i="62"/>
  <c r="K18" i="62"/>
  <c r="J18" i="62"/>
  <c r="I18" i="62"/>
  <c r="H18" i="62"/>
  <c r="G18" i="62"/>
  <c r="F18" i="62"/>
  <c r="AS17" i="62"/>
  <c r="AR17" i="62"/>
  <c r="AQ17" i="62"/>
  <c r="AP17" i="62"/>
  <c r="AO17" i="62"/>
  <c r="AN17" i="62"/>
  <c r="AM17" i="62"/>
  <c r="AL17" i="62"/>
  <c r="AK17" i="62"/>
  <c r="AJ17" i="62"/>
  <c r="AI17" i="62"/>
  <c r="AH17" i="62"/>
  <c r="AG17" i="62"/>
  <c r="AF17" i="62"/>
  <c r="AE17" i="62"/>
  <c r="AD17" i="62"/>
  <c r="AC17" i="62"/>
  <c r="AB17" i="62"/>
  <c r="AA17" i="62"/>
  <c r="Z17" i="62"/>
  <c r="Y17" i="62"/>
  <c r="X17" i="62"/>
  <c r="W17" i="62"/>
  <c r="V17" i="62"/>
  <c r="U17" i="62"/>
  <c r="T17" i="62"/>
  <c r="R17" i="62"/>
  <c r="Q17" i="62"/>
  <c r="P17" i="62"/>
  <c r="O17" i="62"/>
  <c r="N17" i="62"/>
  <c r="M17" i="62"/>
  <c r="L17" i="62"/>
  <c r="K17" i="62"/>
  <c r="J17" i="62"/>
  <c r="I17" i="62"/>
  <c r="H17" i="62"/>
  <c r="G17" i="62"/>
  <c r="F17" i="62"/>
  <c r="AS16" i="62"/>
  <c r="AR16" i="62"/>
  <c r="AQ16" i="62"/>
  <c r="AP16" i="62"/>
  <c r="AO16" i="62"/>
  <c r="AN16" i="62"/>
  <c r="AM16" i="62"/>
  <c r="AL16" i="62"/>
  <c r="AK16" i="62"/>
  <c r="AJ16" i="62"/>
  <c r="AI16" i="62"/>
  <c r="AH16" i="62"/>
  <c r="AG16" i="62"/>
  <c r="AF16" i="62"/>
  <c r="AE16" i="62"/>
  <c r="AD16" i="62"/>
  <c r="AC16" i="62"/>
  <c r="AB16" i="62"/>
  <c r="AA16" i="62"/>
  <c r="Z16" i="62"/>
  <c r="Y16" i="62"/>
  <c r="X16" i="62"/>
  <c r="W16" i="62"/>
  <c r="V16" i="62"/>
  <c r="U16" i="62"/>
  <c r="T16" i="62"/>
  <c r="R16" i="62"/>
  <c r="Q16" i="62"/>
  <c r="P16" i="62"/>
  <c r="O16" i="62"/>
  <c r="N16" i="62"/>
  <c r="M16" i="62"/>
  <c r="L16" i="62"/>
  <c r="K16" i="62"/>
  <c r="J16" i="62"/>
  <c r="I16" i="62"/>
  <c r="H16" i="62"/>
  <c r="G16" i="62"/>
  <c r="F16" i="62"/>
  <c r="AS15" i="62"/>
  <c r="AR15" i="62"/>
  <c r="AQ15" i="62"/>
  <c r="AP15" i="62"/>
  <c r="AO15" i="62"/>
  <c r="AN15" i="62"/>
  <c r="AM15" i="62"/>
  <c r="AL15" i="62"/>
  <c r="AK15" i="62"/>
  <c r="AJ15" i="62"/>
  <c r="AI15" i="62"/>
  <c r="AH15" i="62"/>
  <c r="AG15" i="62"/>
  <c r="AF15" i="62"/>
  <c r="AE15" i="62"/>
  <c r="AD15" i="62"/>
  <c r="AC15" i="62"/>
  <c r="AB15" i="62"/>
  <c r="AA15" i="62"/>
  <c r="Z15" i="62"/>
  <c r="Y15" i="62"/>
  <c r="X15" i="62"/>
  <c r="W15" i="62"/>
  <c r="V15" i="62"/>
  <c r="U15" i="62"/>
  <c r="T15" i="62"/>
  <c r="R15" i="62"/>
  <c r="Q15" i="62"/>
  <c r="P15" i="62"/>
  <c r="O15" i="62"/>
  <c r="N15" i="62"/>
  <c r="M15" i="62"/>
  <c r="L15" i="62"/>
  <c r="K15" i="62"/>
  <c r="J15" i="62"/>
  <c r="I15" i="62"/>
  <c r="H15" i="62"/>
  <c r="G15" i="62"/>
  <c r="F15" i="62"/>
  <c r="AS14" i="62"/>
  <c r="AR14" i="62"/>
  <c r="AQ14" i="62"/>
  <c r="AP14" i="62"/>
  <c r="AO14" i="62"/>
  <c r="AN14" i="62"/>
  <c r="AM14" i="62"/>
  <c r="AL14" i="62"/>
  <c r="AK14" i="62"/>
  <c r="AJ14" i="62"/>
  <c r="AI14" i="62"/>
  <c r="AH14" i="62"/>
  <c r="AG14" i="62"/>
  <c r="AF14" i="62"/>
  <c r="AE14" i="62"/>
  <c r="AD14" i="62"/>
  <c r="AC14" i="62"/>
  <c r="AB14" i="62"/>
  <c r="AA14" i="62"/>
  <c r="Z14" i="62"/>
  <c r="Y14" i="62"/>
  <c r="X14" i="62"/>
  <c r="W14" i="62"/>
  <c r="V14" i="62"/>
  <c r="U14" i="62"/>
  <c r="T14" i="62"/>
  <c r="R14" i="62"/>
  <c r="Q14" i="62"/>
  <c r="P14" i="62"/>
  <c r="O14" i="62"/>
  <c r="N14" i="62"/>
  <c r="M14" i="62"/>
  <c r="L14" i="62"/>
  <c r="K14" i="62"/>
  <c r="J14" i="62"/>
  <c r="I14" i="62"/>
  <c r="H14" i="62"/>
  <c r="G14" i="62"/>
  <c r="F14" i="62"/>
  <c r="AS13" i="62"/>
  <c r="AR13" i="62"/>
  <c r="AQ13" i="62"/>
  <c r="AP13" i="62"/>
  <c r="AO13" i="62"/>
  <c r="AN13" i="62"/>
  <c r="AM13" i="62"/>
  <c r="AL13" i="62"/>
  <c r="AK13" i="62"/>
  <c r="AJ13" i="62"/>
  <c r="AI13" i="62"/>
  <c r="AH13" i="62"/>
  <c r="AG13" i="62"/>
  <c r="AF13" i="62"/>
  <c r="AE13" i="62"/>
  <c r="AD13" i="62"/>
  <c r="AC13" i="62"/>
  <c r="AB13" i="62"/>
  <c r="AA13" i="62"/>
  <c r="Z13" i="62"/>
  <c r="Y13" i="62"/>
  <c r="X13" i="62"/>
  <c r="W13" i="62"/>
  <c r="V13" i="62"/>
  <c r="U13" i="62"/>
  <c r="T13" i="62"/>
  <c r="R13" i="62"/>
  <c r="Q13" i="62"/>
  <c r="P13" i="62"/>
  <c r="O13" i="62"/>
  <c r="N13" i="62"/>
  <c r="M13" i="62"/>
  <c r="L13" i="62"/>
  <c r="K13" i="62"/>
  <c r="J13" i="62"/>
  <c r="I13" i="62"/>
  <c r="H13" i="62"/>
  <c r="G13" i="62"/>
  <c r="F13" i="62"/>
  <c r="AS12" i="62"/>
  <c r="AR12" i="62"/>
  <c r="AQ12" i="62"/>
  <c r="AP12" i="62"/>
  <c r="AO12" i="62"/>
  <c r="AN12" i="62"/>
  <c r="AM12" i="62"/>
  <c r="AL12" i="62"/>
  <c r="AK12" i="62"/>
  <c r="AJ12" i="62"/>
  <c r="AI12" i="62"/>
  <c r="AH12" i="62"/>
  <c r="AG12" i="62"/>
  <c r="AF12" i="62"/>
  <c r="AE12" i="62"/>
  <c r="AD12" i="62"/>
  <c r="AC12" i="62"/>
  <c r="AB12" i="62"/>
  <c r="AA12" i="62"/>
  <c r="Z12" i="62"/>
  <c r="Y12" i="62"/>
  <c r="X12" i="62"/>
  <c r="W12" i="62"/>
  <c r="V12" i="62"/>
  <c r="U12" i="62"/>
  <c r="T12" i="62"/>
  <c r="R12" i="62"/>
  <c r="Q12" i="62"/>
  <c r="P12" i="62"/>
  <c r="O12" i="62"/>
  <c r="N12" i="62"/>
  <c r="M12" i="62"/>
  <c r="L12" i="62"/>
  <c r="K12" i="62"/>
  <c r="J12" i="62"/>
  <c r="I12" i="62"/>
  <c r="H12" i="62"/>
  <c r="G12" i="62"/>
  <c r="F12" i="62"/>
  <c r="AS11" i="62"/>
  <c r="AR11" i="62"/>
  <c r="AQ11" i="62"/>
  <c r="AP11" i="62"/>
  <c r="AO11" i="62"/>
  <c r="AN11" i="62"/>
  <c r="AM11" i="62"/>
  <c r="AL11" i="62"/>
  <c r="AK11" i="62"/>
  <c r="AJ11" i="62"/>
  <c r="AI11" i="62"/>
  <c r="AH11" i="62"/>
  <c r="AG11" i="62"/>
  <c r="AF11" i="62"/>
  <c r="AE11" i="62"/>
  <c r="AD11" i="62"/>
  <c r="AC11" i="62"/>
  <c r="AB11" i="62"/>
  <c r="AA11" i="62"/>
  <c r="Z11" i="62"/>
  <c r="Y11" i="62"/>
  <c r="X11" i="62"/>
  <c r="W11" i="62"/>
  <c r="V11" i="62"/>
  <c r="U11" i="62"/>
  <c r="T11" i="62"/>
  <c r="R11" i="62"/>
  <c r="Q11" i="62"/>
  <c r="P11" i="62"/>
  <c r="O11" i="62"/>
  <c r="N11" i="62"/>
  <c r="M11" i="62"/>
  <c r="L11" i="62"/>
  <c r="K11" i="62"/>
  <c r="J11" i="62"/>
  <c r="I11" i="62"/>
  <c r="H11" i="62"/>
  <c r="G11" i="62"/>
  <c r="F11" i="62"/>
  <c r="AS10" i="62"/>
  <c r="AR10" i="62"/>
  <c r="AQ10" i="62"/>
  <c r="AP10" i="62"/>
  <c r="AO10" i="62"/>
  <c r="AN10" i="62"/>
  <c r="AM10" i="62"/>
  <c r="AL10" i="62"/>
  <c r="AK10" i="62"/>
  <c r="AJ10" i="62"/>
  <c r="AI10" i="62"/>
  <c r="AH10" i="62"/>
  <c r="AG10" i="62"/>
  <c r="AF10" i="62"/>
  <c r="AE10" i="62"/>
  <c r="AD10" i="62"/>
  <c r="AC10" i="62"/>
  <c r="AB10" i="62"/>
  <c r="AA10" i="62"/>
  <c r="Z10" i="62"/>
  <c r="Y10" i="62"/>
  <c r="X10" i="62"/>
  <c r="W10" i="62"/>
  <c r="V10" i="62"/>
  <c r="U10" i="62"/>
  <c r="T10" i="62"/>
  <c r="R10" i="62"/>
  <c r="Q10" i="62"/>
  <c r="P10" i="62"/>
  <c r="O10" i="62"/>
  <c r="N10" i="62"/>
  <c r="M10" i="62"/>
  <c r="L10" i="62"/>
  <c r="K10" i="62"/>
  <c r="J10" i="62"/>
  <c r="I10" i="62"/>
  <c r="H10" i="62"/>
  <c r="G10" i="62"/>
  <c r="F10" i="62"/>
  <c r="AS9" i="62"/>
  <c r="AR9" i="62"/>
  <c r="AQ9" i="62"/>
  <c r="AP9" i="62"/>
  <c r="AO9" i="62"/>
  <c r="AN9" i="62"/>
  <c r="AM9" i="62"/>
  <c r="AL9" i="62"/>
  <c r="AK9" i="62"/>
  <c r="AJ9" i="62"/>
  <c r="AI9" i="62"/>
  <c r="AH9" i="62"/>
  <c r="AG9" i="62"/>
  <c r="AF9" i="62"/>
  <c r="AE9" i="62"/>
  <c r="AD9" i="62"/>
  <c r="AC9" i="62"/>
  <c r="AB9" i="62"/>
  <c r="AA9" i="62"/>
  <c r="Z9" i="62"/>
  <c r="Y9" i="62"/>
  <c r="X9" i="62"/>
  <c r="W9" i="62"/>
  <c r="V9" i="62"/>
  <c r="U9" i="62"/>
  <c r="T9" i="62"/>
  <c r="R9" i="62"/>
  <c r="Q9" i="62"/>
  <c r="P9" i="62"/>
  <c r="O9" i="62"/>
  <c r="N9" i="62"/>
  <c r="M9" i="62"/>
  <c r="L9" i="62"/>
  <c r="K9" i="62"/>
  <c r="J9" i="62"/>
  <c r="I9" i="62"/>
  <c r="H9" i="62"/>
  <c r="G9" i="62"/>
  <c r="F9" i="62"/>
  <c r="AS8" i="62"/>
  <c r="AR8" i="62"/>
  <c r="AQ8" i="62"/>
  <c r="AP8" i="62"/>
  <c r="AO8" i="62"/>
  <c r="AN8" i="62"/>
  <c r="AM8" i="62"/>
  <c r="AL8" i="62"/>
  <c r="AK8" i="62"/>
  <c r="AJ8" i="62"/>
  <c r="AI8" i="62"/>
  <c r="AH8" i="62"/>
  <c r="AG8" i="62"/>
  <c r="AF8" i="62"/>
  <c r="AE8" i="62"/>
  <c r="AD8" i="62"/>
  <c r="AC8" i="62"/>
  <c r="AB8" i="62"/>
  <c r="AA8" i="62"/>
  <c r="Z8" i="62"/>
  <c r="Y8" i="62"/>
  <c r="X8" i="62"/>
  <c r="W8" i="62"/>
  <c r="V8" i="62"/>
  <c r="U8" i="62"/>
  <c r="T8" i="62"/>
  <c r="R8" i="62"/>
  <c r="Q8" i="62"/>
  <c r="P8" i="62"/>
  <c r="O8" i="62"/>
  <c r="N8" i="62"/>
  <c r="M8" i="62"/>
  <c r="L8" i="62"/>
  <c r="K8" i="62"/>
  <c r="J8" i="62"/>
  <c r="I8" i="62"/>
  <c r="H8" i="62"/>
  <c r="G8" i="62"/>
  <c r="F8" i="62"/>
  <c r="AS7" i="62"/>
  <c r="AR7" i="62"/>
  <c r="AQ7" i="62"/>
  <c r="AP7" i="62"/>
  <c r="AO7" i="62"/>
  <c r="AN7" i="62"/>
  <c r="AM7" i="62"/>
  <c r="AL7" i="62"/>
  <c r="AK7" i="62"/>
  <c r="AJ7" i="62"/>
  <c r="AI7" i="62"/>
  <c r="AH7" i="62"/>
  <c r="AG7" i="62"/>
  <c r="AF7" i="62"/>
  <c r="AE7" i="62"/>
  <c r="AD7" i="62"/>
  <c r="AC7" i="62"/>
  <c r="AB7" i="62"/>
  <c r="AA7" i="62"/>
  <c r="Z7" i="62"/>
  <c r="Y7" i="62"/>
  <c r="X7" i="62"/>
  <c r="W7" i="62"/>
  <c r="V7" i="62"/>
  <c r="U7" i="62"/>
  <c r="T7" i="62"/>
  <c r="R7" i="62"/>
  <c r="Q7" i="62"/>
  <c r="P7" i="62"/>
  <c r="O7" i="62"/>
  <c r="N7" i="62"/>
  <c r="M7" i="62"/>
  <c r="L7" i="62"/>
  <c r="K7" i="62"/>
  <c r="J7" i="62"/>
  <c r="I7" i="62"/>
  <c r="H7" i="62"/>
  <c r="G7" i="62"/>
  <c r="F7" i="62"/>
  <c r="AS6" i="62"/>
  <c r="AR6" i="62"/>
  <c r="AQ6" i="62"/>
  <c r="AP6" i="62"/>
  <c r="AO6" i="62"/>
  <c r="AN6" i="62"/>
  <c r="AM6" i="62"/>
  <c r="AL6" i="62"/>
  <c r="AK6" i="62"/>
  <c r="AJ6" i="62"/>
  <c r="AI6" i="62"/>
  <c r="AH6" i="62"/>
  <c r="AG6" i="62"/>
  <c r="AF6" i="62"/>
  <c r="AE6" i="62"/>
  <c r="AD6" i="62"/>
  <c r="AC6" i="62"/>
  <c r="AB6" i="62"/>
  <c r="AA6" i="62"/>
  <c r="Z6" i="62"/>
  <c r="Y6" i="62"/>
  <c r="X6" i="62"/>
  <c r="W6" i="62"/>
  <c r="V6" i="62"/>
  <c r="U6" i="62"/>
  <c r="T6" i="62"/>
  <c r="R6" i="62"/>
  <c r="Q6" i="62"/>
  <c r="P6" i="62"/>
  <c r="O6" i="62"/>
  <c r="N6" i="62"/>
  <c r="M6" i="62"/>
  <c r="L6" i="62"/>
  <c r="K6" i="62"/>
  <c r="J6" i="62"/>
  <c r="I6" i="62"/>
  <c r="H6" i="62"/>
  <c r="G6" i="62"/>
  <c r="F6" i="62"/>
  <c r="AS5" i="62"/>
  <c r="AR5" i="62"/>
  <c r="AQ5" i="62"/>
  <c r="AP5" i="62"/>
  <c r="AO5" i="62"/>
  <c r="AN5" i="62"/>
  <c r="AM5" i="62"/>
  <c r="AL5" i="62"/>
  <c r="AK5" i="62"/>
  <c r="AJ5" i="62"/>
  <c r="AI5" i="62"/>
  <c r="AH5" i="62"/>
  <c r="AG5" i="62"/>
  <c r="AF5" i="62"/>
  <c r="AE5" i="62"/>
  <c r="AD5" i="62"/>
  <c r="AC5" i="62"/>
  <c r="AB5" i="62"/>
  <c r="AA5" i="62"/>
  <c r="Z5" i="62"/>
  <c r="Y5" i="62"/>
  <c r="X5" i="62"/>
  <c r="W5" i="62"/>
  <c r="V5" i="62"/>
  <c r="U5" i="62"/>
  <c r="T5" i="62"/>
  <c r="R5" i="62"/>
  <c r="Q5" i="62"/>
  <c r="P5" i="62"/>
  <c r="O5" i="62"/>
  <c r="N5" i="62"/>
  <c r="M5" i="62"/>
  <c r="L5" i="62"/>
  <c r="K5" i="62"/>
  <c r="J5" i="62"/>
  <c r="I5" i="62"/>
  <c r="H5" i="62"/>
  <c r="G5" i="62"/>
  <c r="F5" i="62"/>
  <c r="AS4" i="62"/>
  <c r="AR4" i="62"/>
  <c r="AQ4" i="62"/>
  <c r="AP4" i="62"/>
  <c r="AO4" i="62"/>
  <c r="AN4" i="62"/>
  <c r="AM4" i="62"/>
  <c r="AL4" i="62"/>
  <c r="AK4" i="62"/>
  <c r="AJ4" i="62"/>
  <c r="AI4" i="62"/>
  <c r="AH4" i="62"/>
  <c r="AG4" i="62"/>
  <c r="AF4" i="62"/>
  <c r="AE4" i="62"/>
  <c r="AD4" i="62"/>
  <c r="AC4" i="62"/>
  <c r="AB4" i="62"/>
  <c r="AA4" i="62"/>
  <c r="Z4" i="62"/>
  <c r="Y4" i="62"/>
  <c r="X4" i="62"/>
  <c r="W4" i="62"/>
  <c r="V4" i="62"/>
  <c r="U4" i="62"/>
  <c r="T4" i="62"/>
  <c r="R4" i="62"/>
  <c r="Q4" i="62"/>
  <c r="P4" i="62"/>
  <c r="O4" i="62"/>
  <c r="N4" i="62"/>
  <c r="M4" i="62"/>
  <c r="L4" i="62"/>
  <c r="K4" i="62"/>
  <c r="J4" i="62"/>
  <c r="I4" i="62"/>
  <c r="H4" i="62"/>
  <c r="G4" i="62"/>
  <c r="F4" i="62"/>
  <c r="AS3" i="62"/>
  <c r="AR3" i="62"/>
  <c r="AQ3" i="62"/>
  <c r="AP3" i="62"/>
  <c r="AO3" i="62"/>
  <c r="AN3" i="62"/>
  <c r="AM3" i="62"/>
  <c r="AL3" i="62"/>
  <c r="AK3" i="62"/>
  <c r="AJ3" i="62"/>
  <c r="AI3" i="62"/>
  <c r="AH3" i="62"/>
  <c r="AG3" i="62"/>
  <c r="AF3" i="62"/>
  <c r="AE3" i="62"/>
  <c r="AD3" i="62"/>
  <c r="AC3" i="62"/>
  <c r="AB3" i="62"/>
  <c r="AA3" i="62"/>
  <c r="Z3" i="62"/>
  <c r="Y3" i="62"/>
  <c r="X3" i="62"/>
  <c r="W3" i="62"/>
  <c r="V3" i="62"/>
  <c r="U3" i="62"/>
  <c r="T3" i="62"/>
  <c r="R3" i="62"/>
  <c r="Q3" i="62"/>
  <c r="P3" i="62"/>
  <c r="O3" i="62"/>
  <c r="N3" i="62"/>
  <c r="M3" i="62"/>
  <c r="L3" i="62"/>
  <c r="K3" i="62"/>
  <c r="J3" i="62"/>
  <c r="I3" i="62"/>
  <c r="H3" i="62"/>
  <c r="G3" i="62"/>
  <c r="F3" i="62"/>
  <c r="AS2" i="62"/>
  <c r="AR2" i="62"/>
  <c r="AQ2" i="62"/>
  <c r="AP2" i="62"/>
  <c r="AO2" i="62"/>
  <c r="AN2" i="62"/>
  <c r="AM2" i="62"/>
  <c r="AL2" i="62"/>
  <c r="AK2" i="62"/>
  <c r="AJ2" i="62"/>
  <c r="AI2" i="62"/>
  <c r="AH2" i="62"/>
  <c r="AG2" i="62"/>
  <c r="AF2" i="62"/>
  <c r="AE2" i="62"/>
  <c r="AD2" i="62"/>
  <c r="AC2" i="62"/>
  <c r="AB2" i="62"/>
  <c r="AA2" i="62"/>
  <c r="Z2" i="62"/>
  <c r="Y2" i="62"/>
  <c r="X2" i="62"/>
  <c r="W2" i="62"/>
  <c r="V2" i="62"/>
  <c r="U2" i="62"/>
  <c r="T2" i="62"/>
  <c r="R2" i="62"/>
  <c r="Q2" i="62"/>
  <c r="P2" i="62"/>
  <c r="O2" i="62"/>
  <c r="N2" i="62"/>
  <c r="M2" i="62"/>
  <c r="L2" i="62"/>
  <c r="K2" i="62"/>
  <c r="J2" i="62"/>
  <c r="I2" i="62"/>
  <c r="H2" i="62"/>
  <c r="G2" i="62"/>
  <c r="F2" i="62"/>
  <c r="AC2" i="1"/>
  <c r="S971" i="1"/>
  <c r="S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2" i="1"/>
  <c r="R963" i="1"/>
  <c r="R964" i="1"/>
  <c r="R965" i="1"/>
  <c r="R966" i="1"/>
  <c r="R967" i="1"/>
  <c r="R968" i="1"/>
  <c r="R969" i="1"/>
  <c r="R970"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95" i="1"/>
  <c r="R1096" i="1"/>
  <c r="R1097" i="1"/>
  <c r="R1098" i="1"/>
  <c r="AP2" i="1"/>
  <c r="K5" i="92" l="1"/>
  <c r="L2" i="92"/>
  <c r="DB13" i="92"/>
  <c r="CT13" i="92"/>
  <c r="CX13" i="92"/>
  <c r="CY23" i="92"/>
  <c r="CU23" i="92"/>
  <c r="DC23" i="92"/>
  <c r="DB15" i="92"/>
  <c r="CT15" i="92"/>
  <c r="CX15" i="92"/>
  <c r="CY18" i="92"/>
  <c r="CU18" i="92"/>
  <c r="DC18" i="92"/>
  <c r="CZ6" i="92"/>
  <c r="DD6" i="92"/>
  <c r="CV6" i="92"/>
  <c r="CX6" i="92"/>
  <c r="CT6" i="92"/>
  <c r="DB6" i="92"/>
  <c r="CV17" i="92"/>
  <c r="CZ17" i="92"/>
  <c r="DD17" i="92"/>
  <c r="CZ14" i="92"/>
  <c r="CV14" i="92"/>
  <c r="DD14" i="92"/>
  <c r="DD29" i="92"/>
  <c r="CV29" i="92"/>
  <c r="CZ29" i="92"/>
  <c r="DB33" i="92"/>
  <c r="CT33" i="92"/>
  <c r="CX33" i="92"/>
  <c r="DB9" i="92"/>
  <c r="CT9" i="92"/>
  <c r="CX9" i="92"/>
  <c r="CU36" i="92"/>
  <c r="CY36" i="92"/>
  <c r="DC36" i="92"/>
  <c r="CU14" i="92"/>
  <c r="DC14" i="92"/>
  <c r="CY14" i="92"/>
  <c r="DD30" i="92"/>
  <c r="CZ30" i="92"/>
  <c r="CV30" i="92"/>
  <c r="CT5" i="92"/>
  <c r="CX5" i="92"/>
  <c r="DB5" i="92"/>
  <c r="CY15" i="92"/>
  <c r="DC15" i="92"/>
  <c r="CU15" i="92"/>
  <c r="CZ33" i="92"/>
  <c r="DD33" i="92"/>
  <c r="CV33" i="92"/>
  <c r="DC26" i="92"/>
  <c r="CU26" i="92"/>
  <c r="CY26" i="92"/>
  <c r="CX30" i="92"/>
  <c r="CT30" i="92"/>
  <c r="DB30" i="92"/>
  <c r="CZ35" i="92"/>
  <c r="DD35" i="92"/>
  <c r="CV35" i="92"/>
  <c r="CX22" i="92"/>
  <c r="DB22" i="92"/>
  <c r="CT22" i="92"/>
  <c r="CV13" i="92"/>
  <c r="CZ13" i="92"/>
  <c r="DD13" i="92"/>
  <c r="DD15" i="92"/>
  <c r="CV15" i="92"/>
  <c r="CZ15" i="92"/>
  <c r="CY38" i="92"/>
  <c r="CU38" i="92"/>
  <c r="DC38" i="92"/>
  <c r="CV24" i="92"/>
  <c r="DD24" i="92"/>
  <c r="CZ24" i="92"/>
  <c r="CV34" i="92"/>
  <c r="CZ34" i="92"/>
  <c r="DD34" i="92"/>
  <c r="DD39" i="92"/>
  <c r="CV39" i="92"/>
  <c r="CZ39" i="92"/>
  <c r="DD31" i="92"/>
  <c r="CZ31" i="92"/>
  <c r="CV31" i="92"/>
  <c r="CX35" i="92"/>
  <c r="CT35" i="92"/>
  <c r="DB35" i="92"/>
  <c r="CU25" i="92"/>
  <c r="CY25" i="92"/>
  <c r="DC25" i="92"/>
  <c r="CY19" i="92"/>
  <c r="CU19" i="92"/>
  <c r="DC19" i="92"/>
  <c r="CZ25" i="92"/>
  <c r="DD25" i="92"/>
  <c r="CV25" i="92"/>
  <c r="DB4" i="92"/>
  <c r="CT4" i="92"/>
  <c r="CX4" i="92"/>
  <c r="CT20" i="92"/>
  <c r="DB20" i="92"/>
  <c r="CX20" i="92"/>
  <c r="CT37" i="92"/>
  <c r="DB37" i="92"/>
  <c r="CX37" i="92"/>
  <c r="CX24" i="92"/>
  <c r="CT24" i="92"/>
  <c r="DB24" i="92"/>
  <c r="CY27" i="92"/>
  <c r="DC27" i="92"/>
  <c r="CU27" i="92"/>
  <c r="CX14" i="92"/>
  <c r="CT14" i="92"/>
  <c r="DB14" i="92"/>
  <c r="CZ36" i="92"/>
  <c r="DD36" i="92"/>
  <c r="CV36" i="92"/>
  <c r="DB17" i="92"/>
  <c r="CT17" i="92"/>
  <c r="CX17" i="92"/>
  <c r="DB25" i="92"/>
  <c r="CX25" i="92"/>
  <c r="CT25" i="92"/>
  <c r="DD11" i="92"/>
  <c r="CV11" i="92"/>
  <c r="CZ11" i="92"/>
  <c r="CT8" i="92"/>
  <c r="DB8" i="92"/>
  <c r="CX8" i="92"/>
  <c r="CY28" i="92"/>
  <c r="CU28" i="92"/>
  <c r="DC28" i="92"/>
  <c r="CV22" i="92"/>
  <c r="DD22" i="92"/>
  <c r="CZ22" i="92"/>
  <c r="DD37" i="92"/>
  <c r="CZ37" i="92"/>
  <c r="CV37" i="92"/>
  <c r="DC30" i="92"/>
  <c r="CY30" i="92"/>
  <c r="CU30" i="92"/>
  <c r="CY13" i="92"/>
  <c r="DC13" i="92"/>
  <c r="CU13" i="92"/>
  <c r="CV19" i="92"/>
  <c r="DD19" i="92"/>
  <c r="CZ19" i="92"/>
  <c r="CU6" i="92"/>
  <c r="CY6" i="92"/>
  <c r="DC6" i="92"/>
  <c r="DB31" i="92"/>
  <c r="CT31" i="92"/>
  <c r="CX31" i="92"/>
  <c r="CY17" i="92"/>
  <c r="CU17" i="92"/>
  <c r="DC17" i="92"/>
  <c r="CX23" i="92"/>
  <c r="DB23" i="92"/>
  <c r="CT23" i="92"/>
  <c r="DC31" i="92"/>
  <c r="CY31" i="92"/>
  <c r="CU31" i="92"/>
  <c r="CY21" i="92"/>
  <c r="CU21" i="92"/>
  <c r="DC21" i="92"/>
  <c r="DC22" i="92"/>
  <c r="CU22" i="92"/>
  <c r="CY22" i="92"/>
  <c r="DC39" i="92"/>
  <c r="CY39" i="92"/>
  <c r="CU39" i="92"/>
  <c r="CX18" i="92"/>
  <c r="CT18" i="92"/>
  <c r="DB18" i="92"/>
  <c r="CZ18" i="92"/>
  <c r="CV18" i="92"/>
  <c r="DD18" i="92"/>
  <c r="CU33" i="92"/>
  <c r="CY33" i="92"/>
  <c r="DC33" i="92"/>
  <c r="DC11" i="92"/>
  <c r="CU11" i="92"/>
  <c r="CY11" i="92"/>
  <c r="CZ27" i="92"/>
  <c r="CV27" i="92"/>
  <c r="DD27" i="92"/>
  <c r="DB26" i="92"/>
  <c r="CT26" i="92"/>
  <c r="CX26" i="92"/>
  <c r="CV12" i="92"/>
  <c r="CZ12" i="92"/>
  <c r="DD12" i="92"/>
  <c r="CY37" i="92"/>
  <c r="DC37" i="92"/>
  <c r="CU37" i="92"/>
  <c r="CT16" i="92"/>
  <c r="CX16" i="92"/>
  <c r="DB16" i="92"/>
  <c r="CU29" i="92"/>
  <c r="DC29" i="92"/>
  <c r="CY29" i="92"/>
  <c r="CV23" i="92"/>
  <c r="CZ23" i="92"/>
  <c r="DD23" i="92"/>
  <c r="CX27" i="92"/>
  <c r="DB27" i="92"/>
  <c r="CT27" i="92"/>
  <c r="DD32" i="92"/>
  <c r="CZ32" i="92"/>
  <c r="CV32" i="92"/>
  <c r="DD20" i="92"/>
  <c r="CV20" i="92"/>
  <c r="CZ20" i="92"/>
  <c r="DD10" i="92"/>
  <c r="CZ10" i="92"/>
  <c r="CV10" i="92"/>
  <c r="CT29" i="92"/>
  <c r="CX29" i="92"/>
  <c r="DB29" i="92"/>
  <c r="CT3" i="92"/>
  <c r="DB3" i="92"/>
  <c r="CX3" i="92"/>
  <c r="DB39" i="92"/>
  <c r="CT39" i="92"/>
  <c r="CX39" i="92"/>
  <c r="CT19" i="92"/>
  <c r="DB19" i="92"/>
  <c r="CX19" i="92"/>
  <c r="CZ26" i="92"/>
  <c r="DD26" i="92"/>
  <c r="CV26" i="92"/>
  <c r="DC34" i="92"/>
  <c r="CU34" i="92"/>
  <c r="CY34" i="92"/>
  <c r="DB11" i="92"/>
  <c r="CX11" i="92"/>
  <c r="CT11" i="92"/>
  <c r="CV38" i="92"/>
  <c r="DD38" i="92"/>
  <c r="CZ38" i="92"/>
  <c r="CT38" i="92"/>
  <c r="CX38" i="92"/>
  <c r="DB38" i="92"/>
  <c r="DD28" i="92"/>
  <c r="CZ28" i="92"/>
  <c r="CV28" i="92"/>
  <c r="CZ9" i="92"/>
  <c r="DD9" i="92"/>
  <c r="CV9" i="92"/>
  <c r="CT32" i="92"/>
  <c r="DB32" i="92"/>
  <c r="CX32" i="92"/>
  <c r="DC35" i="92"/>
  <c r="CY35" i="92"/>
  <c r="CU35" i="92"/>
  <c r="CT10" i="92"/>
  <c r="DB10" i="92"/>
  <c r="CX10" i="92"/>
  <c r="DB36" i="92"/>
  <c r="CT36" i="92"/>
  <c r="CX36" i="92"/>
  <c r="CX28" i="92"/>
  <c r="DB28" i="92"/>
  <c r="CT28" i="92"/>
  <c r="Y41" i="92"/>
  <c r="Y42" i="92"/>
  <c r="H9" i="99" a="1"/>
  <c r="H9" i="99" s="1"/>
  <c r="F9" i="99" a="1"/>
  <c r="F9" i="99" s="1"/>
  <c r="E9" i="99" a="1"/>
  <c r="E9" i="99" s="1"/>
  <c r="D9" i="99" a="1"/>
  <c r="D9" i="99" s="1"/>
  <c r="O8" i="99" a="1"/>
  <c r="O8" i="99" s="1"/>
  <c r="N8" i="99" a="1"/>
  <c r="N8" i="99" s="1"/>
  <c r="M8" i="99" a="1"/>
  <c r="M8" i="99" s="1"/>
  <c r="O4" i="99" a="1"/>
  <c r="O4" i="99" s="1"/>
  <c r="N4" i="99" a="1"/>
  <c r="N4" i="99" s="1"/>
  <c r="M4" i="99" a="1"/>
  <c r="M4" i="99" s="1"/>
  <c r="F4" i="99" a="1"/>
  <c r="F4" i="99" s="1"/>
  <c r="E4" i="99" a="1"/>
  <c r="E4" i="99" s="1"/>
  <c r="D4" i="99" a="1"/>
  <c r="D4" i="99" s="1"/>
  <c r="D26" i="65"/>
  <c r="D24" i="65"/>
  <c r="I6" i="99" a="1"/>
  <c r="I6" i="99" s="1"/>
  <c r="H6" i="99" a="1"/>
  <c r="H6" i="99" s="1"/>
  <c r="G6" i="99" a="1"/>
  <c r="G6" i="99" s="1"/>
  <c r="E6" i="99" a="1"/>
  <c r="E6" i="99" s="1"/>
  <c r="D6" i="99" a="1"/>
  <c r="D6" i="99" s="1"/>
  <c r="O5" i="99" a="1"/>
  <c r="O5" i="99" s="1"/>
  <c r="N5" i="99" a="1"/>
  <c r="N5" i="99" s="1"/>
  <c r="M5" i="99" a="1"/>
  <c r="M5" i="99" s="1"/>
  <c r="H12" i="99" a="1"/>
  <c r="H12" i="99" s="1"/>
  <c r="E12" i="99" a="1"/>
  <c r="E12" i="99" s="1"/>
  <c r="D12" i="99" a="1"/>
  <c r="D12" i="99" s="1"/>
  <c r="O11" i="99" a="1"/>
  <c r="O11" i="99" s="1"/>
  <c r="N11" i="99" a="1"/>
  <c r="N11" i="99" s="1"/>
  <c r="M11" i="99" a="1"/>
  <c r="M11" i="99" s="1"/>
  <c r="F42" i="92"/>
  <c r="L41" i="92"/>
  <c r="I42" i="92"/>
  <c r="M42" i="92"/>
  <c r="L42" i="92"/>
  <c r="I41" i="92"/>
  <c r="J42" i="92"/>
  <c r="O41" i="92"/>
  <c r="F41" i="92"/>
  <c r="O42" i="92"/>
  <c r="H42" i="92"/>
  <c r="G42" i="92"/>
  <c r="M41" i="92"/>
  <c r="N42" i="92"/>
  <c r="H41" i="92"/>
  <c r="G41" i="92"/>
  <c r="J41" i="92"/>
  <c r="CB38" i="92"/>
  <c r="BN38" i="92"/>
  <c r="K13" i="92"/>
  <c r="BV37" i="92"/>
  <c r="BH37" i="92"/>
  <c r="K6" i="92"/>
  <c r="K8" i="92"/>
  <c r="BN37" i="92"/>
  <c r="CB37" i="92"/>
  <c r="K11" i="92"/>
  <c r="BL31" i="92"/>
  <c r="BZ31" i="92"/>
  <c r="K2" i="92"/>
  <c r="CB17" i="92"/>
  <c r="BN17" i="92"/>
  <c r="K35" i="92"/>
  <c r="K12" i="92"/>
  <c r="K26" i="92"/>
  <c r="K36" i="92"/>
  <c r="K16" i="92"/>
  <c r="K7" i="92"/>
  <c r="K28" i="92"/>
  <c r="BT38" i="92"/>
  <c r="BF38" i="92"/>
  <c r="K32" i="92"/>
  <c r="BH17" i="92"/>
  <c r="BV17" i="92"/>
  <c r="BT37" i="92"/>
  <c r="BF37" i="92"/>
  <c r="K10" i="92"/>
  <c r="BJ38" i="92"/>
  <c r="BX38" i="92"/>
  <c r="CA17" i="92"/>
  <c r="BM17" i="92"/>
  <c r="K21" i="92"/>
  <c r="BN31" i="92"/>
  <c r="CB31" i="92"/>
  <c r="K18" i="92"/>
  <c r="BU37" i="92"/>
  <c r="BG37" i="92"/>
  <c r="K37" i="92"/>
  <c r="CB39" i="92"/>
  <c r="BN39" i="92"/>
  <c r="BI17" i="92"/>
  <c r="BW17" i="92"/>
  <c r="BV31" i="92"/>
  <c r="BH31" i="92"/>
  <c r="K14" i="92"/>
  <c r="BT39" i="92"/>
  <c r="BF39" i="92"/>
  <c r="BU31" i="92"/>
  <c r="BG31" i="92"/>
  <c r="K31" i="92"/>
  <c r="BX39" i="92"/>
  <c r="BJ39" i="92"/>
  <c r="K30" i="92"/>
  <c r="BJ31" i="92"/>
  <c r="BX31" i="92"/>
  <c r="BL37" i="92"/>
  <c r="BZ37" i="92"/>
  <c r="CA31" i="92"/>
  <c r="BM31" i="92"/>
  <c r="K22" i="92"/>
  <c r="K15" i="92"/>
  <c r="BV39" i="92"/>
  <c r="BH39" i="92"/>
  <c r="BT17" i="92"/>
  <c r="BF17" i="92"/>
  <c r="K19" i="92"/>
  <c r="K33" i="92"/>
  <c r="N2" i="92"/>
  <c r="N41" i="92" s="1"/>
  <c r="K20" i="92"/>
  <c r="K3" i="92"/>
  <c r="K34" i="92"/>
  <c r="BZ38" i="92"/>
  <c r="BL38" i="92"/>
  <c r="BU39" i="92"/>
  <c r="K39" i="92"/>
  <c r="BG39" i="92"/>
  <c r="BX37" i="92"/>
  <c r="BJ37" i="92"/>
  <c r="BW31" i="92"/>
  <c r="BI31" i="92"/>
  <c r="K29" i="92"/>
  <c r="BV38" i="92"/>
  <c r="BH38" i="92"/>
  <c r="K23" i="92"/>
  <c r="BU38" i="92"/>
  <c r="BG38" i="92"/>
  <c r="K38" i="92"/>
  <c r="BX17" i="92"/>
  <c r="BJ17" i="92"/>
  <c r="K4" i="92"/>
  <c r="BM38" i="92"/>
  <c r="CA38" i="92"/>
  <c r="K27" i="92"/>
  <c r="BU17" i="92"/>
  <c r="K17" i="92"/>
  <c r="BG17" i="92"/>
  <c r="CA39" i="92"/>
  <c r="BM39" i="92"/>
  <c r="BL39" i="92"/>
  <c r="BZ39" i="92"/>
  <c r="BI37" i="92"/>
  <c r="BW37" i="92"/>
  <c r="BW39" i="92"/>
  <c r="BI39" i="92"/>
  <c r="K24" i="92"/>
  <c r="CA37" i="92"/>
  <c r="BM37" i="92"/>
  <c r="K9" i="92"/>
  <c r="BI38" i="92"/>
  <c r="BW38" i="92"/>
  <c r="BT31" i="92"/>
  <c r="BF31" i="92"/>
  <c r="BL17" i="92"/>
  <c r="BZ17" i="92"/>
  <c r="K25" i="92"/>
  <c r="X35" i="15"/>
  <c r="S1098" i="1"/>
  <c r="S974" i="1"/>
  <c r="S1010" i="1"/>
  <c r="S979" i="1"/>
  <c r="Y16" i="15"/>
  <c r="S1003" i="1"/>
  <c r="S1002" i="1"/>
  <c r="S945" i="1"/>
  <c r="U38" i="15"/>
  <c r="S995" i="1"/>
  <c r="S944" i="1"/>
  <c r="S993" i="1"/>
  <c r="S1097" i="1"/>
  <c r="S1009" i="1"/>
  <c r="S1001" i="1"/>
  <c r="S992" i="1"/>
  <c r="S973" i="1"/>
  <c r="S969" i="1"/>
  <c r="S937" i="1"/>
  <c r="X34" i="15"/>
  <c r="V28" i="15"/>
  <c r="V16" i="15"/>
  <c r="S1096" i="1"/>
  <c r="S1008" i="1"/>
  <c r="S1000" i="1"/>
  <c r="S990" i="1"/>
  <c r="S968" i="1"/>
  <c r="S936" i="1"/>
  <c r="S959" i="1"/>
  <c r="S943" i="1"/>
  <c r="S927" i="1"/>
  <c r="X7" i="15"/>
  <c r="AG18" i="15"/>
  <c r="S994" i="1"/>
  <c r="S986" i="1"/>
  <c r="S978" i="1"/>
  <c r="S964" i="1"/>
  <c r="S956" i="1"/>
  <c r="S948" i="1"/>
  <c r="S940" i="1"/>
  <c r="S932" i="1"/>
  <c r="S924" i="1"/>
  <c r="AG42" i="15"/>
  <c r="AG38" i="15"/>
  <c r="S985" i="1"/>
  <c r="S963" i="1"/>
  <c r="S947" i="1"/>
  <c r="S939" i="1"/>
  <c r="S923" i="1"/>
  <c r="Y11" i="15"/>
  <c r="S1095" i="1"/>
  <c r="S1007" i="1"/>
  <c r="S999" i="1"/>
  <c r="S989" i="1"/>
  <c r="S961" i="1"/>
  <c r="S929" i="1"/>
  <c r="S984" i="1"/>
  <c r="S976" i="1"/>
  <c r="S970" i="1"/>
  <c r="S962" i="1"/>
  <c r="S954" i="1"/>
  <c r="S946" i="1"/>
  <c r="S938" i="1"/>
  <c r="S930" i="1"/>
  <c r="Y22" i="15"/>
  <c r="U22" i="15"/>
  <c r="AG15" i="15"/>
  <c r="X11" i="15"/>
  <c r="S2" i="1"/>
  <c r="S1006" i="1"/>
  <c r="S998" i="1"/>
  <c r="S987" i="1"/>
  <c r="S960" i="1"/>
  <c r="S928" i="1"/>
  <c r="U34" i="15"/>
  <c r="X32" i="15"/>
  <c r="S967" i="1"/>
  <c r="S951" i="1"/>
  <c r="S935" i="1"/>
  <c r="S965" i="1"/>
  <c r="S949" i="1"/>
  <c r="S933" i="1"/>
  <c r="X27" i="15"/>
  <c r="S977" i="1"/>
  <c r="S955" i="1"/>
  <c r="S931" i="1"/>
  <c r="U30" i="15"/>
  <c r="S991" i="1"/>
  <c r="S983" i="1"/>
  <c r="S975" i="1"/>
  <c r="X39" i="15"/>
  <c r="V36" i="15"/>
  <c r="V35" i="15"/>
  <c r="X22" i="15"/>
  <c r="W15" i="15"/>
  <c r="Y12" i="15"/>
  <c r="W11" i="15"/>
  <c r="Z8" i="15"/>
  <c r="S1005" i="1"/>
  <c r="S997" i="1"/>
  <c r="S982" i="1"/>
  <c r="S953" i="1"/>
  <c r="AG27" i="15"/>
  <c r="W8" i="15"/>
  <c r="V33" i="15"/>
  <c r="S988" i="1"/>
  <c r="S980" i="1"/>
  <c r="S972" i="1"/>
  <c r="S966" i="1"/>
  <c r="S958" i="1"/>
  <c r="S950" i="1"/>
  <c r="S942" i="1"/>
  <c r="S934" i="1"/>
  <c r="S926" i="1"/>
  <c r="S957" i="1"/>
  <c r="S941" i="1"/>
  <c r="S925" i="1"/>
  <c r="Z39" i="15"/>
  <c r="V40" i="15"/>
  <c r="AF40" i="15" s="1"/>
  <c r="AG39" i="15"/>
  <c r="V34" i="15"/>
  <c r="Y30" i="15"/>
  <c r="W22" i="15"/>
  <c r="Z10" i="15"/>
  <c r="X8" i="15"/>
  <c r="S1004" i="1"/>
  <c r="S996" i="1"/>
  <c r="S981" i="1"/>
  <c r="S952" i="1"/>
  <c r="G28" i="95" l="1"/>
  <c r="E28" i="95"/>
  <c r="U16" i="15"/>
  <c r="X25" i="15"/>
  <c r="V32" i="15"/>
  <c r="D17" i="15"/>
  <c r="W26" i="15"/>
  <c r="H590" i="1"/>
  <c r="R590" i="1" s="1"/>
  <c r="S590" i="1" s="1"/>
  <c r="T590" i="1" s="1"/>
  <c r="Z25" i="15"/>
  <c r="U11" i="15"/>
  <c r="AF11" i="15" s="1"/>
  <c r="AG26" i="15"/>
  <c r="Y34" i="15"/>
  <c r="V44" i="15"/>
  <c r="AF44" i="15" s="1"/>
  <c r="U8" i="15"/>
  <c r="Y19" i="15"/>
  <c r="X21" i="15"/>
  <c r="W14" i="15"/>
  <c r="X14" i="15"/>
  <c r="X31" i="15"/>
  <c r="X6" i="15"/>
  <c r="AG13" i="15"/>
  <c r="Y43" i="15"/>
  <c r="U29" i="15"/>
  <c r="X43" i="15"/>
  <c r="AG32" i="15"/>
  <c r="W45" i="15"/>
  <c r="U43" i="15"/>
  <c r="X26" i="15"/>
  <c r="Y42" i="15"/>
  <c r="U13" i="15"/>
  <c r="AG37" i="15"/>
  <c r="V26" i="15"/>
  <c r="V8" i="15"/>
  <c r="X10" i="15"/>
  <c r="U39" i="15"/>
  <c r="AG19" i="15"/>
  <c r="W43" i="15"/>
  <c r="X15" i="15"/>
  <c r="AF15" i="15" s="1"/>
  <c r="Z43" i="15"/>
  <c r="W25" i="15"/>
  <c r="U18" i="15"/>
  <c r="U27" i="15"/>
  <c r="U37" i="15"/>
  <c r="Z6" i="15"/>
  <c r="Y39" i="15"/>
  <c r="Y45" i="15"/>
  <c r="W30" i="15"/>
  <c r="U17" i="15"/>
  <c r="X24" i="15"/>
  <c r="X16" i="15"/>
  <c r="U26" i="15"/>
  <c r="W6" i="15"/>
  <c r="T10" i="15"/>
  <c r="V25" i="15"/>
  <c r="W37" i="15"/>
  <c r="V14" i="15"/>
  <c r="U36" i="15"/>
  <c r="W34" i="15"/>
  <c r="U23" i="15"/>
  <c r="V43" i="15"/>
  <c r="X19" i="15"/>
  <c r="AG29" i="15"/>
  <c r="AA43" i="15"/>
  <c r="W16" i="15"/>
  <c r="V12" i="15"/>
  <c r="AF12" i="15" s="1"/>
  <c r="S12" i="99"/>
  <c r="I28" i="95"/>
  <c r="J28" i="95"/>
  <c r="L9" i="99" a="1"/>
  <c r="L9" i="99" s="1"/>
  <c r="S9" i="99" s="1"/>
  <c r="H28" i="95"/>
  <c r="Q11" i="99" a="1"/>
  <c r="Q11" i="99" s="1"/>
  <c r="S11" i="99" s="1"/>
  <c r="Q5" i="99"/>
  <c r="S5" i="99" s="1"/>
  <c r="L6" i="99" a="1"/>
  <c r="L6" i="99" s="1"/>
  <c r="S6" i="99" s="1"/>
  <c r="Q8" i="99" a="1"/>
  <c r="Q8" i="99" s="1"/>
  <c r="S8" i="99" s="1"/>
  <c r="K42" i="92"/>
  <c r="K41" i="92"/>
  <c r="D28" i="95"/>
  <c r="D39" i="57"/>
  <c r="BK31" i="92"/>
  <c r="BY31" i="92"/>
  <c r="BY39" i="92"/>
  <c r="BK39" i="92"/>
  <c r="BY17" i="92"/>
  <c r="BK17" i="92"/>
  <c r="BY38" i="92"/>
  <c r="BK38" i="92"/>
  <c r="BY37" i="92"/>
  <c r="BK37" i="92"/>
  <c r="D21" i="57"/>
  <c r="E22" i="25"/>
  <c r="D22" i="25"/>
  <c r="C22" i="2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AF34" i="15" l="1"/>
  <c r="AC27" i="15"/>
  <c r="AF8" i="15"/>
  <c r="AF45" i="15"/>
  <c r="AF14" i="15"/>
  <c r="AF25" i="15"/>
  <c r="AF16" i="15"/>
  <c r="AF43" i="15"/>
  <c r="T47" i="15"/>
  <c r="C5" i="100" s="1"/>
  <c r="F28" i="95"/>
  <c r="C28" i="95"/>
  <c r="F39" i="57"/>
  <c r="H9" i="15"/>
  <c r="H8" i="15"/>
  <c r="H7" i="15"/>
  <c r="H6" i="15"/>
  <c r="F5" i="39"/>
  <c r="G5" i="39" s="1"/>
  <c r="F8" i="39"/>
  <c r="G8" i="39" s="1"/>
  <c r="F7" i="39"/>
  <c r="G7" i="39" s="1"/>
  <c r="F6" i="39"/>
  <c r="G6" i="39" s="1"/>
  <c r="F9" i="39"/>
  <c r="G9" i="39" s="1"/>
  <c r="F10" i="39"/>
  <c r="G10" i="39" s="1"/>
  <c r="F11" i="39"/>
  <c r="G11" i="39" s="1"/>
  <c r="F12" i="39"/>
  <c r="G12" i="39" s="1"/>
  <c r="F13" i="39"/>
  <c r="G13" i="39" s="1"/>
  <c r="F15" i="39"/>
  <c r="G15" i="39" s="1"/>
  <c r="F14" i="39"/>
  <c r="G14" i="39" s="1"/>
  <c r="F21" i="39"/>
  <c r="G21" i="39" s="1"/>
  <c r="F16" i="39"/>
  <c r="G16" i="39" s="1"/>
  <c r="F20" i="39"/>
  <c r="G20" i="39" s="1"/>
  <c r="F18" i="39"/>
  <c r="G18" i="39" s="1"/>
  <c r="F23" i="39"/>
  <c r="G23" i="39" s="1"/>
  <c r="F25" i="39"/>
  <c r="G25" i="39" s="1"/>
  <c r="F19" i="39"/>
  <c r="G19" i="39" s="1"/>
  <c r="F26" i="39"/>
  <c r="G26" i="39" s="1"/>
  <c r="F24" i="39"/>
  <c r="G24" i="39" s="1"/>
  <c r="F29" i="39"/>
  <c r="G29" i="39" s="1"/>
  <c r="F32" i="39"/>
  <c r="G32" i="39" s="1"/>
  <c r="F17" i="39"/>
  <c r="G17" i="39" s="1"/>
  <c r="F30" i="39"/>
  <c r="G30" i="39" s="1"/>
  <c r="F22" i="39"/>
  <c r="G22" i="39" s="1"/>
  <c r="F27" i="39"/>
  <c r="G27" i="39" s="1"/>
  <c r="F33" i="39"/>
  <c r="G33" i="39" s="1"/>
  <c r="F31" i="39"/>
  <c r="G31" i="39" s="1"/>
  <c r="F28" i="39"/>
  <c r="G28" i="39" s="1"/>
  <c r="F34" i="39"/>
  <c r="G34" i="39" s="1"/>
  <c r="F37" i="39"/>
  <c r="G37" i="39" s="1"/>
  <c r="F35" i="39"/>
  <c r="G35" i="39" s="1"/>
  <c r="F36" i="39"/>
  <c r="G36" i="39" s="1"/>
  <c r="F38" i="39"/>
  <c r="G38" i="39" s="1"/>
  <c r="F39" i="39"/>
  <c r="G39" i="39" s="1"/>
  <c r="F41" i="39"/>
  <c r="G41" i="39" s="1"/>
  <c r="F40" i="39"/>
  <c r="G40" i="39" s="1"/>
  <c r="F42" i="39"/>
  <c r="G42" i="39" s="1"/>
  <c r="F43" i="39"/>
  <c r="G43" i="39" s="1"/>
  <c r="F44" i="39"/>
  <c r="G44" i="39" s="1"/>
  <c r="D17" i="66"/>
  <c r="C6" i="66"/>
  <c r="E6" i="66"/>
  <c r="F6" i="66"/>
  <c r="G39" i="57" l="1"/>
  <c r="H47" i="15"/>
  <c r="F46" i="39"/>
  <c r="AO2" i="1"/>
  <c r="D5" i="102" l="1"/>
  <c r="E13" i="102"/>
  <c r="DM7" i="92"/>
  <c r="D2" i="102"/>
  <c r="D11" i="102"/>
  <c r="E5" i="102"/>
  <c r="E4" i="102"/>
  <c r="B4" i="102" s="1"/>
  <c r="C4" i="102" s="1"/>
  <c r="B12" i="102"/>
  <c r="C12" i="102" s="1"/>
  <c r="F12" i="102" s="1"/>
  <c r="D13" i="102"/>
  <c r="E3" i="102"/>
  <c r="D10" i="102"/>
  <c r="E2" i="102"/>
  <c r="E10" i="102"/>
  <c r="BA7" i="92"/>
  <c r="CC7" i="92" s="1"/>
  <c r="BB7" i="92"/>
  <c r="CD7" i="92" s="1"/>
  <c r="BC7" i="92"/>
  <c r="CE7" i="92" s="1"/>
  <c r="BD7" i="92"/>
  <c r="CF7" i="92" s="1"/>
  <c r="AM7" i="92"/>
  <c r="BO7" i="92" s="1"/>
  <c r="AN7" i="92"/>
  <c r="BP7" i="92" s="1"/>
  <c r="AO7" i="92"/>
  <c r="BQ7" i="92" s="1"/>
  <c r="AP7" i="92"/>
  <c r="BR7" i="92" s="1"/>
  <c r="J11" i="64"/>
  <c r="K11" i="64"/>
  <c r="C7" i="64"/>
  <c r="B7" i="64"/>
  <c r="N6" i="64"/>
  <c r="O6" i="64"/>
  <c r="F10" i="64"/>
  <c r="G10" i="64"/>
  <c r="C9" i="64"/>
  <c r="B9" i="64"/>
  <c r="CR7" i="92"/>
  <c r="DD7" i="92" s="1"/>
  <c r="CJ7" i="92"/>
  <c r="CV7" i="92" s="1"/>
  <c r="CN7" i="92"/>
  <c r="CZ7" i="92" s="1"/>
  <c r="CP7" i="92"/>
  <c r="DB7" i="92" s="1"/>
  <c r="CL7" i="92"/>
  <c r="CX7" i="92" s="1"/>
  <c r="AK7" i="92"/>
  <c r="CH7" i="92"/>
  <c r="CT7" i="92" s="1"/>
  <c r="AR19" i="92"/>
  <c r="BT19" i="92" s="1"/>
  <c r="AE19" i="92"/>
  <c r="AZ19" i="92"/>
  <c r="CB19" i="92" s="1"/>
  <c r="AD19" i="92"/>
  <c r="BF19" i="92" s="1"/>
  <c r="AY19" i="92"/>
  <c r="AL19" i="92"/>
  <c r="BN19" i="92" s="1"/>
  <c r="AX19" i="92"/>
  <c r="BZ19" i="92" s="1"/>
  <c r="AV19" i="92"/>
  <c r="BX19" i="92" s="1"/>
  <c r="AJ19" i="92"/>
  <c r="BL19" i="92" s="1"/>
  <c r="AU19" i="92"/>
  <c r="BW19" i="92" s="1"/>
  <c r="AH19" i="92"/>
  <c r="BJ19" i="92" s="1"/>
  <c r="AT19" i="92"/>
  <c r="BV19" i="92" s="1"/>
  <c r="AS19" i="92"/>
  <c r="AG19" i="92"/>
  <c r="BI19" i="92" s="1"/>
  <c r="AF19" i="92"/>
  <c r="BH19" i="92" s="1"/>
  <c r="AR27" i="92"/>
  <c r="BT27" i="92" s="1"/>
  <c r="AE27" i="92"/>
  <c r="AZ27" i="92"/>
  <c r="CB27" i="92" s="1"/>
  <c r="AD27" i="92"/>
  <c r="BF27" i="92" s="1"/>
  <c r="AY27" i="92"/>
  <c r="CA27" i="92" s="1"/>
  <c r="AL27" i="92"/>
  <c r="BN27" i="92" s="1"/>
  <c r="AX27" i="92"/>
  <c r="BZ27" i="92" s="1"/>
  <c r="BM27" i="92"/>
  <c r="AV27" i="92"/>
  <c r="BX27" i="92" s="1"/>
  <c r="AJ27" i="92"/>
  <c r="BL27" i="92" s="1"/>
  <c r="AU27" i="92"/>
  <c r="BW27" i="92" s="1"/>
  <c r="AH27" i="92"/>
  <c r="BJ27" i="92" s="1"/>
  <c r="AF27" i="92"/>
  <c r="BH27" i="92" s="1"/>
  <c r="AT27" i="92"/>
  <c r="BV27" i="92" s="1"/>
  <c r="AS27" i="92"/>
  <c r="AG27" i="92"/>
  <c r="BI27" i="92" s="1"/>
  <c r="AT2" i="92"/>
  <c r="AS2" i="92"/>
  <c r="AL2" i="92"/>
  <c r="AZ2" i="92"/>
  <c r="AJ2" i="92"/>
  <c r="AX2" i="92"/>
  <c r="AU2" i="92"/>
  <c r="AR2" i="92"/>
  <c r="AV2" i="92"/>
  <c r="AR11" i="92"/>
  <c r="BT11" i="92" s="1"/>
  <c r="AE11" i="92"/>
  <c r="AZ11" i="92"/>
  <c r="CB11" i="92" s="1"/>
  <c r="AD11" i="92"/>
  <c r="BF11" i="92" s="1"/>
  <c r="AY11" i="92"/>
  <c r="CA11" i="92" s="1"/>
  <c r="AL11" i="92"/>
  <c r="BN11" i="92" s="1"/>
  <c r="AX11" i="92"/>
  <c r="BZ11" i="92" s="1"/>
  <c r="BM11" i="92"/>
  <c r="AV11" i="92"/>
  <c r="BX11" i="92" s="1"/>
  <c r="AJ11" i="92"/>
  <c r="BL11" i="92" s="1"/>
  <c r="AU11" i="92"/>
  <c r="BW11" i="92" s="1"/>
  <c r="AH11" i="92"/>
  <c r="BJ11" i="92" s="1"/>
  <c r="AT11" i="92"/>
  <c r="BV11" i="92" s="1"/>
  <c r="AS11" i="92"/>
  <c r="AG11" i="92"/>
  <c r="BI11" i="92" s="1"/>
  <c r="AF11" i="92"/>
  <c r="BH11" i="92" s="1"/>
  <c r="AY24" i="92"/>
  <c r="CA24" i="92" s="1"/>
  <c r="AL24" i="92"/>
  <c r="BN24" i="92" s="1"/>
  <c r="AX24" i="92"/>
  <c r="BZ24" i="92" s="1"/>
  <c r="BM24" i="92"/>
  <c r="AV24" i="92"/>
  <c r="BX24" i="92" s="1"/>
  <c r="AJ24" i="92"/>
  <c r="BL24" i="92" s="1"/>
  <c r="AU24" i="92"/>
  <c r="BW24" i="92" s="1"/>
  <c r="AH24" i="92"/>
  <c r="BJ24" i="92" s="1"/>
  <c r="AT24" i="92"/>
  <c r="BV24" i="92" s="1"/>
  <c r="AG24" i="92"/>
  <c r="BI24" i="92" s="1"/>
  <c r="AS24" i="92"/>
  <c r="AF24" i="92"/>
  <c r="BH24" i="92" s="1"/>
  <c r="AZ24" i="92"/>
  <c r="CB24" i="92" s="1"/>
  <c r="AR24" i="92"/>
  <c r="BT24" i="92" s="1"/>
  <c r="AE24" i="92"/>
  <c r="AD24" i="92"/>
  <c r="BF24" i="92" s="1"/>
  <c r="AY4" i="92"/>
  <c r="AL4" i="92"/>
  <c r="AX4" i="92"/>
  <c r="AV4" i="92"/>
  <c r="AJ4" i="92"/>
  <c r="AT4" i="92"/>
  <c r="AG4" i="92"/>
  <c r="AH4" i="92"/>
  <c r="AF4" i="92"/>
  <c r="AE4" i="92"/>
  <c r="AZ4" i="92"/>
  <c r="AD4" i="92"/>
  <c r="AU4" i="92"/>
  <c r="AS4" i="92"/>
  <c r="AR4" i="92"/>
  <c r="AT6" i="92"/>
  <c r="BV6" i="92" s="1"/>
  <c r="AG6" i="92"/>
  <c r="BI6" i="92" s="1"/>
  <c r="AS6" i="92"/>
  <c r="AF6" i="92"/>
  <c r="BH6" i="92" s="1"/>
  <c r="AR6" i="92"/>
  <c r="BT6" i="92" s="1"/>
  <c r="AE6" i="92"/>
  <c r="AY6" i="92"/>
  <c r="CA6" i="92" s="1"/>
  <c r="AL6" i="92"/>
  <c r="BN6" i="92" s="1"/>
  <c r="AZ6" i="92"/>
  <c r="CB6" i="92" s="1"/>
  <c r="AD6" i="92"/>
  <c r="BF6" i="92" s="1"/>
  <c r="AX6" i="92"/>
  <c r="BZ6" i="92" s="1"/>
  <c r="AV6" i="92"/>
  <c r="BX6" i="92" s="1"/>
  <c r="AU6" i="92"/>
  <c r="BW6" i="92" s="1"/>
  <c r="BM6" i="92"/>
  <c r="AJ6" i="92"/>
  <c r="BL6" i="92" s="1"/>
  <c r="AH6" i="92"/>
  <c r="BJ6" i="92" s="1"/>
  <c r="AV29" i="92"/>
  <c r="BX29" i="92" s="1"/>
  <c r="AJ29" i="92"/>
  <c r="BL29" i="92" s="1"/>
  <c r="AU29" i="92"/>
  <c r="BW29" i="92" s="1"/>
  <c r="AH29" i="92"/>
  <c r="BJ29" i="92" s="1"/>
  <c r="AT29" i="92"/>
  <c r="BV29" i="92" s="1"/>
  <c r="AG29" i="92"/>
  <c r="BI29" i="92" s="1"/>
  <c r="AS29" i="92"/>
  <c r="AF29" i="92"/>
  <c r="BH29" i="92" s="1"/>
  <c r="AR29" i="92"/>
  <c r="BT29" i="92" s="1"/>
  <c r="AE29" i="92"/>
  <c r="AZ29" i="92"/>
  <c r="CB29" i="92" s="1"/>
  <c r="AD29" i="92"/>
  <c r="BF29" i="92" s="1"/>
  <c r="AY29" i="92"/>
  <c r="CA29" i="92" s="1"/>
  <c r="AX29" i="92"/>
  <c r="BZ29" i="92" s="1"/>
  <c r="AL29" i="92"/>
  <c r="BN29" i="92" s="1"/>
  <c r="BM29" i="92"/>
  <c r="AV33" i="92"/>
  <c r="BX33" i="92" s="1"/>
  <c r="AJ33" i="92"/>
  <c r="BL33" i="92" s="1"/>
  <c r="AU33" i="92"/>
  <c r="BW33" i="92" s="1"/>
  <c r="AH33" i="92"/>
  <c r="BJ33" i="92" s="1"/>
  <c r="AT33" i="92"/>
  <c r="BV33" i="92" s="1"/>
  <c r="AG33" i="92"/>
  <c r="BI33" i="92" s="1"/>
  <c r="AS33" i="92"/>
  <c r="AF33" i="92"/>
  <c r="BH33" i="92" s="1"/>
  <c r="AR33" i="92"/>
  <c r="BT33" i="92" s="1"/>
  <c r="AE33" i="92"/>
  <c r="AZ33" i="92"/>
  <c r="CB33" i="92" s="1"/>
  <c r="AD33" i="92"/>
  <c r="BF33" i="92" s="1"/>
  <c r="AY33" i="92"/>
  <c r="CA33" i="92" s="1"/>
  <c r="AX33" i="92"/>
  <c r="BZ33" i="92" s="1"/>
  <c r="AL33" i="92"/>
  <c r="BN33" i="92" s="1"/>
  <c r="BM33" i="92"/>
  <c r="AV21" i="92"/>
  <c r="BX21" i="92" s="1"/>
  <c r="AJ21" i="92"/>
  <c r="BL21" i="92" s="1"/>
  <c r="AU21" i="92"/>
  <c r="BW21" i="92" s="1"/>
  <c r="AH21" i="92"/>
  <c r="BJ21" i="92" s="1"/>
  <c r="AT21" i="92"/>
  <c r="BV21" i="92" s="1"/>
  <c r="AG21" i="92"/>
  <c r="BI21" i="92" s="1"/>
  <c r="AS21" i="92"/>
  <c r="AF21" i="92"/>
  <c r="BH21" i="92" s="1"/>
  <c r="AR21" i="92"/>
  <c r="BT21" i="92" s="1"/>
  <c r="AE21" i="92"/>
  <c r="AZ21" i="92"/>
  <c r="CB21" i="92" s="1"/>
  <c r="AD21" i="92"/>
  <c r="BF21" i="92" s="1"/>
  <c r="AX21" i="92"/>
  <c r="BZ21" i="92" s="1"/>
  <c r="AL21" i="92"/>
  <c r="BN21" i="92" s="1"/>
  <c r="BM21" i="92"/>
  <c r="AY21" i="92"/>
  <c r="CA21" i="92" s="1"/>
  <c r="AY12" i="92"/>
  <c r="CA12" i="92" s="1"/>
  <c r="AL12" i="92"/>
  <c r="BN12" i="92" s="1"/>
  <c r="AX12" i="92"/>
  <c r="BZ12" i="92" s="1"/>
  <c r="BM12" i="92"/>
  <c r="AV12" i="92"/>
  <c r="AJ12" i="92"/>
  <c r="BL12" i="92" s="1"/>
  <c r="AU12" i="92"/>
  <c r="BW12" i="92" s="1"/>
  <c r="AH12" i="92"/>
  <c r="AT12" i="92"/>
  <c r="BV12" i="92" s="1"/>
  <c r="AG12" i="92"/>
  <c r="BI12" i="92" s="1"/>
  <c r="AS12" i="92"/>
  <c r="AF12" i="92"/>
  <c r="BH12" i="92" s="1"/>
  <c r="AE12" i="92"/>
  <c r="AD12" i="92"/>
  <c r="BF12" i="92" s="1"/>
  <c r="AZ12" i="92"/>
  <c r="CB12" i="92" s="1"/>
  <c r="AR12" i="92"/>
  <c r="BT12" i="92" s="1"/>
  <c r="AY16" i="92"/>
  <c r="CA16" i="92" s="1"/>
  <c r="AL16" i="92"/>
  <c r="BN16" i="92" s="1"/>
  <c r="AX16" i="92"/>
  <c r="BZ16" i="92" s="1"/>
  <c r="BM16" i="92"/>
  <c r="AV16" i="92"/>
  <c r="BX16" i="92" s="1"/>
  <c r="AJ16" i="92"/>
  <c r="BL16" i="92" s="1"/>
  <c r="AU16" i="92"/>
  <c r="BW16" i="92" s="1"/>
  <c r="AH16" i="92"/>
  <c r="BJ16" i="92" s="1"/>
  <c r="AT16" i="92"/>
  <c r="BV16" i="92" s="1"/>
  <c r="AG16" i="92"/>
  <c r="BI16" i="92" s="1"/>
  <c r="AS16" i="92"/>
  <c r="AF16" i="92"/>
  <c r="BH16" i="92" s="1"/>
  <c r="AD16" i="92"/>
  <c r="BF16" i="92" s="1"/>
  <c r="AZ16" i="92"/>
  <c r="CB16" i="92" s="1"/>
  <c r="AR16" i="92"/>
  <c r="BT16" i="92" s="1"/>
  <c r="AE16" i="92"/>
  <c r="AV13" i="92"/>
  <c r="BX13" i="92" s="1"/>
  <c r="AJ13" i="92"/>
  <c r="BL13" i="92" s="1"/>
  <c r="AU13" i="92"/>
  <c r="BW13" i="92" s="1"/>
  <c r="AH13" i="92"/>
  <c r="BJ13" i="92" s="1"/>
  <c r="AT13" i="92"/>
  <c r="BV13" i="92" s="1"/>
  <c r="AG13" i="92"/>
  <c r="BI13" i="92" s="1"/>
  <c r="AS13" i="92"/>
  <c r="AF13" i="92"/>
  <c r="BH13" i="92" s="1"/>
  <c r="AR13" i="92"/>
  <c r="BT13" i="92" s="1"/>
  <c r="AE13" i="92"/>
  <c r="AZ13" i="92"/>
  <c r="CB13" i="92" s="1"/>
  <c r="AD13" i="92"/>
  <c r="BF13" i="92" s="1"/>
  <c r="AY13" i="92"/>
  <c r="CA13" i="92" s="1"/>
  <c r="AX13" i="92"/>
  <c r="BZ13" i="92" s="1"/>
  <c r="AL13" i="92"/>
  <c r="BN13" i="92" s="1"/>
  <c r="BM13" i="92"/>
  <c r="AT34" i="92"/>
  <c r="BV34" i="92" s="1"/>
  <c r="AG34" i="92"/>
  <c r="BI34" i="92" s="1"/>
  <c r="AS34" i="92"/>
  <c r="AF34" i="92"/>
  <c r="BH34" i="92" s="1"/>
  <c r="AR34" i="92"/>
  <c r="BT34" i="92" s="1"/>
  <c r="AE34" i="92"/>
  <c r="AZ34" i="92"/>
  <c r="CB34" i="92" s="1"/>
  <c r="AD34" i="92"/>
  <c r="BF34" i="92" s="1"/>
  <c r="AY34" i="92"/>
  <c r="CA34" i="92" s="1"/>
  <c r="AL34" i="92"/>
  <c r="BN34" i="92" s="1"/>
  <c r="AX34" i="92"/>
  <c r="BZ34" i="92" s="1"/>
  <c r="BM34" i="92"/>
  <c r="AU34" i="92"/>
  <c r="BW34" i="92" s="1"/>
  <c r="AJ34" i="92"/>
  <c r="BL34" i="92" s="1"/>
  <c r="AH34" i="92"/>
  <c r="BJ34" i="92" s="1"/>
  <c r="AV34" i="92"/>
  <c r="BX34" i="92" s="1"/>
  <c r="AT10" i="92"/>
  <c r="BV10" i="92" s="1"/>
  <c r="AG10" i="92"/>
  <c r="BI10" i="92" s="1"/>
  <c r="AS10" i="92"/>
  <c r="AF10" i="92"/>
  <c r="BH10" i="92" s="1"/>
  <c r="AR10" i="92"/>
  <c r="BT10" i="92" s="1"/>
  <c r="AE10" i="92"/>
  <c r="AZ10" i="92"/>
  <c r="CB10" i="92" s="1"/>
  <c r="AY10" i="92"/>
  <c r="CA10" i="92" s="1"/>
  <c r="AL10" i="92"/>
  <c r="BN10" i="92" s="1"/>
  <c r="AX10" i="92"/>
  <c r="BZ10" i="92" s="1"/>
  <c r="BM10" i="92"/>
  <c r="AU10" i="92"/>
  <c r="BW10" i="92" s="1"/>
  <c r="AJ10" i="92"/>
  <c r="BL10" i="92" s="1"/>
  <c r="AH10" i="92"/>
  <c r="BJ10" i="92" s="1"/>
  <c r="AD10" i="92"/>
  <c r="BF10" i="92" s="1"/>
  <c r="AV10" i="92"/>
  <c r="BX10" i="92" s="1"/>
  <c r="AY8" i="92"/>
  <c r="CA8" i="92" s="1"/>
  <c r="AL8" i="92"/>
  <c r="BN8" i="92" s="1"/>
  <c r="AX8" i="92"/>
  <c r="BZ8" i="92" s="1"/>
  <c r="BM8" i="92"/>
  <c r="AV8" i="92"/>
  <c r="BX8" i="92" s="1"/>
  <c r="AJ8" i="92"/>
  <c r="BL8" i="92" s="1"/>
  <c r="AT8" i="92"/>
  <c r="BV8" i="92" s="1"/>
  <c r="AG8" i="92"/>
  <c r="BI8" i="92" s="1"/>
  <c r="AS8" i="92"/>
  <c r="AF8" i="92"/>
  <c r="BH8" i="92" s="1"/>
  <c r="AE8" i="92"/>
  <c r="AD8" i="92"/>
  <c r="BF8" i="92" s="1"/>
  <c r="AZ8" i="92"/>
  <c r="CB8" i="92" s="1"/>
  <c r="AU8" i="92"/>
  <c r="BW8" i="92" s="1"/>
  <c r="AR8" i="92"/>
  <c r="BT8" i="92" s="1"/>
  <c r="AH8" i="92"/>
  <c r="BJ8" i="92" s="1"/>
  <c r="AR15" i="92"/>
  <c r="AE15" i="92"/>
  <c r="AZ15" i="92"/>
  <c r="CB15" i="92" s="1"/>
  <c r="AD15" i="92"/>
  <c r="AY15" i="92"/>
  <c r="CA15" i="92" s="1"/>
  <c r="AL15" i="92"/>
  <c r="BN15" i="92" s="1"/>
  <c r="AX15" i="92"/>
  <c r="BM15" i="92"/>
  <c r="AV15" i="92"/>
  <c r="BX15" i="92" s="1"/>
  <c r="AJ15" i="92"/>
  <c r="AU15" i="92"/>
  <c r="BW15" i="92" s="1"/>
  <c r="AH15" i="92"/>
  <c r="BJ15" i="92" s="1"/>
  <c r="AT15" i="92"/>
  <c r="BV15" i="92" s="1"/>
  <c r="AS15" i="92"/>
  <c r="AG15" i="92"/>
  <c r="BI15" i="92" s="1"/>
  <c r="AF15" i="92"/>
  <c r="BH15" i="92" s="1"/>
  <c r="AT30" i="92"/>
  <c r="BV30" i="92" s="1"/>
  <c r="AG30" i="92"/>
  <c r="BI30" i="92" s="1"/>
  <c r="AS30" i="92"/>
  <c r="AF30" i="92"/>
  <c r="BH30" i="92" s="1"/>
  <c r="AR30" i="92"/>
  <c r="BT30" i="92" s="1"/>
  <c r="AE30" i="92"/>
  <c r="AZ30" i="92"/>
  <c r="CB30" i="92" s="1"/>
  <c r="AD30" i="92"/>
  <c r="BF30" i="92" s="1"/>
  <c r="AY30" i="92"/>
  <c r="CA30" i="92" s="1"/>
  <c r="AL30" i="92"/>
  <c r="BN30" i="92" s="1"/>
  <c r="AX30" i="92"/>
  <c r="BZ30" i="92" s="1"/>
  <c r="BM30" i="92"/>
  <c r="AU30" i="92"/>
  <c r="BW30" i="92" s="1"/>
  <c r="AJ30" i="92"/>
  <c r="BL30" i="92" s="1"/>
  <c r="AH30" i="92"/>
  <c r="BJ30" i="92" s="1"/>
  <c r="AV30" i="92"/>
  <c r="BX30" i="92" s="1"/>
  <c r="AV9" i="92"/>
  <c r="BX9" i="92" s="1"/>
  <c r="AJ9" i="92"/>
  <c r="BL9" i="92" s="1"/>
  <c r="AU9" i="92"/>
  <c r="BW9" i="92" s="1"/>
  <c r="AH9" i="92"/>
  <c r="BJ9" i="92" s="1"/>
  <c r="AT9" i="92"/>
  <c r="BV9" i="92" s="1"/>
  <c r="AG9" i="92"/>
  <c r="BI9" i="92" s="1"/>
  <c r="AR9" i="92"/>
  <c r="BT9" i="92" s="1"/>
  <c r="AE9" i="92"/>
  <c r="AZ9" i="92"/>
  <c r="CB9" i="92" s="1"/>
  <c r="AD9" i="92"/>
  <c r="BF9" i="92" s="1"/>
  <c r="BM9" i="92"/>
  <c r="AF9" i="92"/>
  <c r="BH9" i="92" s="1"/>
  <c r="AY9" i="92"/>
  <c r="CA9" i="92" s="1"/>
  <c r="AX9" i="92"/>
  <c r="BZ9" i="92" s="1"/>
  <c r="AS9" i="92"/>
  <c r="AL9" i="92"/>
  <c r="BN9" i="92" s="1"/>
  <c r="AT22" i="92"/>
  <c r="BV22" i="92" s="1"/>
  <c r="AG22" i="92"/>
  <c r="BI22" i="92" s="1"/>
  <c r="AS22" i="92"/>
  <c r="AF22" i="92"/>
  <c r="BH22" i="92" s="1"/>
  <c r="AR22" i="92"/>
  <c r="BT22" i="92" s="1"/>
  <c r="AE22" i="92"/>
  <c r="AZ22" i="92"/>
  <c r="CB22" i="92" s="1"/>
  <c r="AD22" i="92"/>
  <c r="BF22" i="92" s="1"/>
  <c r="AY22" i="92"/>
  <c r="CA22" i="92" s="1"/>
  <c r="AL22" i="92"/>
  <c r="BN22" i="92" s="1"/>
  <c r="AX22" i="92"/>
  <c r="BZ22" i="92" s="1"/>
  <c r="BM22" i="92"/>
  <c r="AV22" i="92"/>
  <c r="BX22" i="92" s="1"/>
  <c r="AU22" i="92"/>
  <c r="BW22" i="92" s="1"/>
  <c r="AJ22" i="92"/>
  <c r="BL22" i="92" s="1"/>
  <c r="AH22" i="92"/>
  <c r="BJ22" i="92" s="1"/>
  <c r="AV5" i="92"/>
  <c r="BX5" i="92" s="1"/>
  <c r="AJ5" i="92"/>
  <c r="BL5" i="92" s="1"/>
  <c r="AU5" i="92"/>
  <c r="BW5" i="92" s="1"/>
  <c r="AH5" i="92"/>
  <c r="BJ5" i="92" s="1"/>
  <c r="AT5" i="92"/>
  <c r="BV5" i="92" s="1"/>
  <c r="AG5" i="92"/>
  <c r="BI5" i="92" s="1"/>
  <c r="AR5" i="92"/>
  <c r="BT5" i="92" s="1"/>
  <c r="AE5" i="92"/>
  <c r="AF5" i="92"/>
  <c r="BH5" i="92" s="1"/>
  <c r="AZ5" i="92"/>
  <c r="CB5" i="92" s="1"/>
  <c r="AD5" i="92"/>
  <c r="BF5" i="92" s="1"/>
  <c r="AY5" i="92"/>
  <c r="CA5" i="92" s="1"/>
  <c r="AX5" i="92"/>
  <c r="BZ5" i="92" s="1"/>
  <c r="AS5" i="92"/>
  <c r="AL5" i="92"/>
  <c r="BN5" i="92" s="1"/>
  <c r="BM5" i="92"/>
  <c r="AY20" i="92"/>
  <c r="CA20" i="92" s="1"/>
  <c r="AL20" i="92"/>
  <c r="BN20" i="92" s="1"/>
  <c r="AX20" i="92"/>
  <c r="BZ20" i="92" s="1"/>
  <c r="BM20" i="92"/>
  <c r="AV20" i="92"/>
  <c r="BX20" i="92" s="1"/>
  <c r="AJ20" i="92"/>
  <c r="BL20" i="92" s="1"/>
  <c r="AU20" i="92"/>
  <c r="BW20" i="92" s="1"/>
  <c r="AH20" i="92"/>
  <c r="BJ20" i="92" s="1"/>
  <c r="AT20" i="92"/>
  <c r="BV20" i="92" s="1"/>
  <c r="AG20" i="92"/>
  <c r="BI20" i="92" s="1"/>
  <c r="AS20" i="92"/>
  <c r="AF20" i="92"/>
  <c r="BH20" i="92" s="1"/>
  <c r="AD20" i="92"/>
  <c r="BF20" i="92" s="1"/>
  <c r="AZ20" i="92"/>
  <c r="CB20" i="92" s="1"/>
  <c r="AR20" i="92"/>
  <c r="BT20" i="92" s="1"/>
  <c r="AE20" i="92"/>
  <c r="AT14" i="92"/>
  <c r="BV14" i="92" s="1"/>
  <c r="AG14" i="92"/>
  <c r="BI14" i="92" s="1"/>
  <c r="AS14" i="92"/>
  <c r="AF14" i="92"/>
  <c r="AR14" i="92"/>
  <c r="BT14" i="92" s="1"/>
  <c r="AE14" i="92"/>
  <c r="AZ14" i="92"/>
  <c r="CB14" i="92" s="1"/>
  <c r="AD14" i="92"/>
  <c r="BF14" i="92" s="1"/>
  <c r="AY14" i="92"/>
  <c r="CA14" i="92" s="1"/>
  <c r="AL14" i="92"/>
  <c r="BN14" i="92" s="1"/>
  <c r="AX14" i="92"/>
  <c r="BZ14" i="92" s="1"/>
  <c r="BM14" i="92"/>
  <c r="AH14" i="92"/>
  <c r="BJ14" i="92" s="1"/>
  <c r="AV14" i="92"/>
  <c r="BX14" i="92" s="1"/>
  <c r="AU14" i="92"/>
  <c r="BW14" i="92" s="1"/>
  <c r="AJ14" i="92"/>
  <c r="BL14" i="92" s="1"/>
  <c r="AY36" i="92"/>
  <c r="CA36" i="92" s="1"/>
  <c r="AL36" i="92"/>
  <c r="BN36" i="92" s="1"/>
  <c r="AX36" i="92"/>
  <c r="BZ36" i="92" s="1"/>
  <c r="BM36" i="92"/>
  <c r="AV36" i="92"/>
  <c r="BX36" i="92" s="1"/>
  <c r="AJ36" i="92"/>
  <c r="BL36" i="92" s="1"/>
  <c r="AU36" i="92"/>
  <c r="BW36" i="92" s="1"/>
  <c r="AH36" i="92"/>
  <c r="BJ36" i="92" s="1"/>
  <c r="AT36" i="92"/>
  <c r="BV36" i="92" s="1"/>
  <c r="AG36" i="92"/>
  <c r="BI36" i="92" s="1"/>
  <c r="AS36" i="92"/>
  <c r="AF36" i="92"/>
  <c r="BH36" i="92" s="1"/>
  <c r="AE36" i="92"/>
  <c r="AD36" i="92"/>
  <c r="BF36" i="92" s="1"/>
  <c r="AZ36" i="92"/>
  <c r="CB36" i="92" s="1"/>
  <c r="AR36" i="92"/>
  <c r="BT36" i="92" s="1"/>
  <c r="AY32" i="92"/>
  <c r="CA32" i="92" s="1"/>
  <c r="AL32" i="92"/>
  <c r="BN32" i="92" s="1"/>
  <c r="AX32" i="92"/>
  <c r="BZ32" i="92" s="1"/>
  <c r="BM32" i="92"/>
  <c r="AV32" i="92"/>
  <c r="BX32" i="92" s="1"/>
  <c r="AJ32" i="92"/>
  <c r="BL32" i="92" s="1"/>
  <c r="AU32" i="92"/>
  <c r="BW32" i="92" s="1"/>
  <c r="AH32" i="92"/>
  <c r="BJ32" i="92" s="1"/>
  <c r="AT32" i="92"/>
  <c r="BV32" i="92" s="1"/>
  <c r="AG32" i="92"/>
  <c r="BI32" i="92" s="1"/>
  <c r="AS32" i="92"/>
  <c r="AF32" i="92"/>
  <c r="BH32" i="92" s="1"/>
  <c r="AZ32" i="92"/>
  <c r="CB32" i="92" s="1"/>
  <c r="AR32" i="92"/>
  <c r="BT32" i="92" s="1"/>
  <c r="AE32" i="92"/>
  <c r="AD32" i="92"/>
  <c r="BF32" i="92" s="1"/>
  <c r="AV25" i="92"/>
  <c r="BX25" i="92" s="1"/>
  <c r="AJ25" i="92"/>
  <c r="BL25" i="92" s="1"/>
  <c r="AU25" i="92"/>
  <c r="BW25" i="92" s="1"/>
  <c r="AH25" i="92"/>
  <c r="BJ25" i="92" s="1"/>
  <c r="AT25" i="92"/>
  <c r="BV25" i="92" s="1"/>
  <c r="AG25" i="92"/>
  <c r="BI25" i="92" s="1"/>
  <c r="AS25" i="92"/>
  <c r="AF25" i="92"/>
  <c r="BH25" i="92" s="1"/>
  <c r="AR25" i="92"/>
  <c r="BT25" i="92" s="1"/>
  <c r="AE25" i="92"/>
  <c r="AZ25" i="92"/>
  <c r="CB25" i="92" s="1"/>
  <c r="AD25" i="92"/>
  <c r="BF25" i="92" s="1"/>
  <c r="BM25" i="92"/>
  <c r="AY25" i="92"/>
  <c r="CA25" i="92" s="1"/>
  <c r="AX25" i="92"/>
  <c r="BZ25" i="92" s="1"/>
  <c r="AL25" i="92"/>
  <c r="BN25" i="92" s="1"/>
  <c r="AR7" i="92"/>
  <c r="BT7" i="92" s="1"/>
  <c r="AE7" i="92"/>
  <c r="AZ7" i="92"/>
  <c r="CB7" i="92" s="1"/>
  <c r="AD7" i="92"/>
  <c r="BF7" i="92" s="1"/>
  <c r="AY7" i="92"/>
  <c r="CA7" i="92" s="1"/>
  <c r="AL7" i="92"/>
  <c r="BN7" i="92" s="1"/>
  <c r="AV7" i="92"/>
  <c r="BX7" i="92" s="1"/>
  <c r="AJ7" i="92"/>
  <c r="BL7" i="92" s="1"/>
  <c r="AU7" i="92"/>
  <c r="BW7" i="92" s="1"/>
  <c r="AH7" i="92"/>
  <c r="BJ7" i="92" s="1"/>
  <c r="AX7" i="92"/>
  <c r="BZ7" i="92" s="1"/>
  <c r="AT7" i="92"/>
  <c r="BV7" i="92" s="1"/>
  <c r="AS7" i="92"/>
  <c r="AG7" i="92"/>
  <c r="BI7" i="92" s="1"/>
  <c r="AF7" i="92"/>
  <c r="BH7" i="92" s="1"/>
  <c r="AR3" i="92"/>
  <c r="BT3" i="92" s="1"/>
  <c r="AE3" i="92"/>
  <c r="AZ3" i="92"/>
  <c r="CB3" i="92" s="1"/>
  <c r="AD3" i="92"/>
  <c r="BF3" i="92" s="1"/>
  <c r="AT3" i="92"/>
  <c r="BV3" i="92" s="1"/>
  <c r="AS3" i="92"/>
  <c r="AL3" i="92"/>
  <c r="BN3" i="92" s="1"/>
  <c r="BM3" i="92"/>
  <c r="AY3" i="92"/>
  <c r="AJ3" i="92"/>
  <c r="BL3" i="92" s="1"/>
  <c r="AX3" i="92"/>
  <c r="BZ3" i="92" s="1"/>
  <c r="AH3" i="92"/>
  <c r="BJ3" i="92" s="1"/>
  <c r="AV3" i="92"/>
  <c r="BX3" i="92" s="1"/>
  <c r="AG3" i="92"/>
  <c r="BI3" i="92" s="1"/>
  <c r="AU3" i="92"/>
  <c r="BW3" i="92" s="1"/>
  <c r="AF3" i="92"/>
  <c r="BH3" i="92" s="1"/>
  <c r="AT26" i="92"/>
  <c r="BV26" i="92" s="1"/>
  <c r="AG26" i="92"/>
  <c r="BI26" i="92" s="1"/>
  <c r="AS26" i="92"/>
  <c r="AF26" i="92"/>
  <c r="BH26" i="92" s="1"/>
  <c r="AR26" i="92"/>
  <c r="BT26" i="92" s="1"/>
  <c r="AE26" i="92"/>
  <c r="AZ26" i="92"/>
  <c r="CB26" i="92" s="1"/>
  <c r="AD26" i="92"/>
  <c r="BF26" i="92" s="1"/>
  <c r="AY26" i="92"/>
  <c r="CA26" i="92" s="1"/>
  <c r="AL26" i="92"/>
  <c r="BN26" i="92" s="1"/>
  <c r="AX26" i="92"/>
  <c r="BZ26" i="92" s="1"/>
  <c r="BM26" i="92"/>
  <c r="AV26" i="92"/>
  <c r="BX26" i="92" s="1"/>
  <c r="AU26" i="92"/>
  <c r="BW26" i="92" s="1"/>
  <c r="AJ26" i="92"/>
  <c r="BL26" i="92" s="1"/>
  <c r="AH26" i="92"/>
  <c r="BJ26" i="92" s="1"/>
  <c r="AR23" i="92"/>
  <c r="BT23" i="92" s="1"/>
  <c r="AE23" i="92"/>
  <c r="AZ23" i="92"/>
  <c r="CB23" i="92" s="1"/>
  <c r="AD23" i="92"/>
  <c r="BF23" i="92" s="1"/>
  <c r="AY23" i="92"/>
  <c r="CA23" i="92" s="1"/>
  <c r="AL23" i="92"/>
  <c r="BN23" i="92" s="1"/>
  <c r="AX23" i="92"/>
  <c r="BZ23" i="92" s="1"/>
  <c r="BM23" i="92"/>
  <c r="AV23" i="92"/>
  <c r="BX23" i="92" s="1"/>
  <c r="AJ23" i="92"/>
  <c r="BL23" i="92" s="1"/>
  <c r="AU23" i="92"/>
  <c r="BW23" i="92" s="1"/>
  <c r="AH23" i="92"/>
  <c r="BJ23" i="92" s="1"/>
  <c r="AS23" i="92"/>
  <c r="AG23" i="92"/>
  <c r="BI23" i="92" s="1"/>
  <c r="AF23" i="92"/>
  <c r="BH23" i="92" s="1"/>
  <c r="AT23" i="92"/>
  <c r="BV23" i="92" s="1"/>
  <c r="AY28" i="92"/>
  <c r="AL28" i="92"/>
  <c r="BN28" i="92" s="1"/>
  <c r="AX28" i="92"/>
  <c r="BZ28" i="92" s="1"/>
  <c r="BM28" i="92"/>
  <c r="AV28" i="92"/>
  <c r="BX28" i="92" s="1"/>
  <c r="AJ28" i="92"/>
  <c r="BL28" i="92" s="1"/>
  <c r="AU28" i="92"/>
  <c r="BW28" i="92" s="1"/>
  <c r="AH28" i="92"/>
  <c r="BJ28" i="92" s="1"/>
  <c r="AT28" i="92"/>
  <c r="BV28" i="92" s="1"/>
  <c r="AG28" i="92"/>
  <c r="BI28" i="92" s="1"/>
  <c r="AS28" i="92"/>
  <c r="AF28" i="92"/>
  <c r="BH28" i="92" s="1"/>
  <c r="AZ28" i="92"/>
  <c r="CB28" i="92" s="1"/>
  <c r="AR28" i="92"/>
  <c r="BT28" i="92" s="1"/>
  <c r="AE28" i="92"/>
  <c r="AD28" i="92"/>
  <c r="BF28" i="92" s="1"/>
  <c r="AR35" i="92"/>
  <c r="BT35" i="92" s="1"/>
  <c r="AE35" i="92"/>
  <c r="AZ35" i="92"/>
  <c r="CB35" i="92" s="1"/>
  <c r="AD35" i="92"/>
  <c r="BF35" i="92" s="1"/>
  <c r="AY35" i="92"/>
  <c r="CA35" i="92" s="1"/>
  <c r="AL35" i="92"/>
  <c r="BN35" i="92" s="1"/>
  <c r="AX35" i="92"/>
  <c r="BZ35" i="92" s="1"/>
  <c r="BM35" i="92"/>
  <c r="AV35" i="92"/>
  <c r="BX35" i="92" s="1"/>
  <c r="AJ35" i="92"/>
  <c r="BL35" i="92" s="1"/>
  <c r="AU35" i="92"/>
  <c r="BW35" i="92" s="1"/>
  <c r="AH35" i="92"/>
  <c r="BJ35" i="92" s="1"/>
  <c r="AT35" i="92"/>
  <c r="BV35" i="92" s="1"/>
  <c r="AS35" i="92"/>
  <c r="AG35" i="92"/>
  <c r="BI35" i="92" s="1"/>
  <c r="AF35" i="92"/>
  <c r="BH35" i="92" s="1"/>
  <c r="E15" i="102" l="1"/>
  <c r="B5" i="102"/>
  <c r="C5" i="102" s="1"/>
  <c r="B13" i="102"/>
  <c r="C13" i="102" s="1"/>
  <c r="F13" i="102" s="1"/>
  <c r="E7" i="102"/>
  <c r="B2" i="102"/>
  <c r="D7" i="102"/>
  <c r="B10" i="102"/>
  <c r="C10" i="102" s="1"/>
  <c r="F10" i="102" s="1"/>
  <c r="D15" i="102"/>
  <c r="B11" i="102"/>
  <c r="C11" i="102" s="1"/>
  <c r="F11" i="102" s="1"/>
  <c r="B3" i="102"/>
  <c r="C3" i="102" s="1"/>
  <c r="F3" i="102" s="1"/>
  <c r="F5" i="102"/>
  <c r="F4" i="102"/>
  <c r="G22" i="95"/>
  <c r="E14" i="95"/>
  <c r="E15" i="95"/>
  <c r="G15" i="95"/>
  <c r="G11" i="95"/>
  <c r="G34" i="95"/>
  <c r="E35" i="95"/>
  <c r="G8" i="95"/>
  <c r="E11" i="95"/>
  <c r="G37" i="95"/>
  <c r="G27" i="95"/>
  <c r="G26" i="95"/>
  <c r="E26" i="95"/>
  <c r="E5" i="95"/>
  <c r="G6" i="95"/>
  <c r="E6" i="95"/>
  <c r="E20" i="95"/>
  <c r="G19" i="95"/>
  <c r="E8" i="95"/>
  <c r="G24" i="95"/>
  <c r="E24" i="95"/>
  <c r="G18" i="95"/>
  <c r="E18" i="95"/>
  <c r="G9" i="95"/>
  <c r="G31" i="95"/>
  <c r="E31" i="95"/>
  <c r="G33" i="95"/>
  <c r="E33" i="95"/>
  <c r="G20" i="95"/>
  <c r="G35" i="95"/>
  <c r="G14" i="95"/>
  <c r="G7" i="95"/>
  <c r="G21" i="95"/>
  <c r="E21" i="95"/>
  <c r="G30" i="95"/>
  <c r="E30" i="95"/>
  <c r="E19" i="95"/>
  <c r="G23" i="95"/>
  <c r="E23" i="95"/>
  <c r="E22" i="95"/>
  <c r="G29" i="95"/>
  <c r="E29" i="95"/>
  <c r="E37" i="95"/>
  <c r="E7" i="95"/>
  <c r="E27" i="95"/>
  <c r="G12" i="95"/>
  <c r="E12" i="95"/>
  <c r="G5" i="95"/>
  <c r="O13" i="99" a="1"/>
  <c r="O13" i="99" s="1"/>
  <c r="D9" i="66"/>
  <c r="CA3" i="92"/>
  <c r="E9" i="95" s="1"/>
  <c r="BM7" i="92"/>
  <c r="I31" i="95"/>
  <c r="I34" i="95"/>
  <c r="I9" i="95"/>
  <c r="J35" i="95"/>
  <c r="J37" i="95"/>
  <c r="J7" i="95"/>
  <c r="I7" i="95"/>
  <c r="I30" i="95"/>
  <c r="J25" i="95"/>
  <c r="J15" i="95"/>
  <c r="I12" i="95"/>
  <c r="J26" i="95"/>
  <c r="I26" i="95"/>
  <c r="J8" i="95"/>
  <c r="I11" i="95"/>
  <c r="J24" i="95"/>
  <c r="I24" i="95"/>
  <c r="J19" i="95"/>
  <c r="J21" i="95"/>
  <c r="J31" i="95"/>
  <c r="J34" i="95"/>
  <c r="I14" i="95"/>
  <c r="J30" i="95"/>
  <c r="J12" i="95"/>
  <c r="J11" i="95"/>
  <c r="J23" i="95"/>
  <c r="I23" i="95"/>
  <c r="J9" i="95"/>
  <c r="I27" i="95"/>
  <c r="I22" i="95"/>
  <c r="J29" i="95"/>
  <c r="I36" i="95"/>
  <c r="I20" i="95"/>
  <c r="I37" i="95"/>
  <c r="J14" i="95"/>
  <c r="I21" i="95"/>
  <c r="J18" i="95"/>
  <c r="J6" i="95"/>
  <c r="J22" i="95"/>
  <c r="I6" i="95"/>
  <c r="J33" i="95"/>
  <c r="I29" i="95"/>
  <c r="I33" i="95"/>
  <c r="J20" i="95"/>
  <c r="I35" i="95"/>
  <c r="J27" i="95"/>
  <c r="I15" i="95"/>
  <c r="I8" i="95"/>
  <c r="I5" i="95"/>
  <c r="I19" i="95"/>
  <c r="J5" i="95"/>
  <c r="I18" i="95"/>
  <c r="I13" i="99" a="1"/>
  <c r="I13" i="99" s="1"/>
  <c r="K13" i="99" a="1"/>
  <c r="K13" i="99" s="1"/>
  <c r="M13" i="99" a="1"/>
  <c r="M13" i="99" s="1"/>
  <c r="N13" i="99" a="1"/>
  <c r="N13" i="99" s="1"/>
  <c r="H33" i="95"/>
  <c r="H20" i="95"/>
  <c r="H19" i="95"/>
  <c r="H26" i="95"/>
  <c r="H5" i="95"/>
  <c r="H24" i="95"/>
  <c r="H23" i="95"/>
  <c r="H34" i="95"/>
  <c r="H37" i="95"/>
  <c r="H14" i="95"/>
  <c r="H27" i="95"/>
  <c r="H30" i="95"/>
  <c r="H8" i="95"/>
  <c r="H22" i="95"/>
  <c r="H18" i="95"/>
  <c r="H36" i="95"/>
  <c r="H6" i="95"/>
  <c r="H31" i="95"/>
  <c r="H9" i="95"/>
  <c r="H35" i="95"/>
  <c r="H7" i="95"/>
  <c r="H21" i="95"/>
  <c r="H15" i="95"/>
  <c r="H11" i="95"/>
  <c r="H29" i="95"/>
  <c r="D7" i="95"/>
  <c r="D30" i="95"/>
  <c r="D12" i="95"/>
  <c r="H12" i="95"/>
  <c r="D23" i="95"/>
  <c r="D9" i="95"/>
  <c r="D8" i="95"/>
  <c r="D22" i="95"/>
  <c r="D29" i="95"/>
  <c r="D6" i="95"/>
  <c r="D15" i="95"/>
  <c r="D31" i="95"/>
  <c r="D20" i="95"/>
  <c r="D33" i="95"/>
  <c r="D27" i="95"/>
  <c r="D21" i="95"/>
  <c r="D5" i="95"/>
  <c r="D37" i="95"/>
  <c r="D26" i="95"/>
  <c r="D24" i="95"/>
  <c r="D14" i="95"/>
  <c r="D34" i="95"/>
  <c r="D35" i="95"/>
  <c r="D19" i="95"/>
  <c r="D18" i="95"/>
  <c r="AE41" i="92"/>
  <c r="BG41" i="92" s="1"/>
  <c r="AD41" i="92"/>
  <c r="BF41" i="92" s="1"/>
  <c r="AH41" i="92"/>
  <c r="BJ41" i="92" s="1"/>
  <c r="AJ41" i="92"/>
  <c r="BL41" i="92" s="1"/>
  <c r="AK41" i="92"/>
  <c r="BM41" i="92" s="1"/>
  <c r="AF41" i="92"/>
  <c r="BH41" i="92" s="1"/>
  <c r="BF4" i="92"/>
  <c r="BH4" i="92"/>
  <c r="BJ4" i="92"/>
  <c r="BI4" i="92"/>
  <c r="BL4" i="92"/>
  <c r="BM4" i="92"/>
  <c r="BN4" i="92"/>
  <c r="BN2" i="92"/>
  <c r="AL41" i="92"/>
  <c r="BN41" i="92" s="1"/>
  <c r="BI2" i="92"/>
  <c r="AG41" i="92"/>
  <c r="BI41" i="92" s="1"/>
  <c r="BT4" i="92"/>
  <c r="BW4" i="92"/>
  <c r="CB4" i="92"/>
  <c r="BV4" i="92"/>
  <c r="BX4" i="92"/>
  <c r="BZ4" i="92"/>
  <c r="CA4" i="92"/>
  <c r="AV41" i="92"/>
  <c r="BX41" i="92" s="1"/>
  <c r="AR41" i="92"/>
  <c r="BT41" i="92" s="1"/>
  <c r="BW2" i="92"/>
  <c r="AU41" i="92"/>
  <c r="BW41" i="92" s="1"/>
  <c r="AX41" i="92"/>
  <c r="BZ41" i="92" s="1"/>
  <c r="AY41" i="92"/>
  <c r="CA41" i="92" s="1"/>
  <c r="CB2" i="92"/>
  <c r="AZ41" i="92"/>
  <c r="CB41" i="92" s="1"/>
  <c r="AS41" i="92"/>
  <c r="BU41" i="92" s="1"/>
  <c r="AT41" i="92"/>
  <c r="BV41" i="92" s="1"/>
  <c r="AI25" i="92"/>
  <c r="BK25" i="92" s="1"/>
  <c r="BG25" i="92"/>
  <c r="AW36" i="92"/>
  <c r="BY36" i="92" s="1"/>
  <c r="BU36" i="92"/>
  <c r="AI14" i="92"/>
  <c r="BK14" i="92" s="1"/>
  <c r="BG14" i="92"/>
  <c r="AI20" i="92"/>
  <c r="BK20" i="92" s="1"/>
  <c r="BG20" i="92"/>
  <c r="AW20" i="92"/>
  <c r="BY20" i="92" s="1"/>
  <c r="BU20" i="92"/>
  <c r="BT15" i="92"/>
  <c r="AI12" i="92"/>
  <c r="BK12" i="92" s="1"/>
  <c r="BG12" i="92"/>
  <c r="AI4" i="92"/>
  <c r="BG4" i="92"/>
  <c r="AI2" i="92"/>
  <c r="BG2" i="92"/>
  <c r="BM2" i="92"/>
  <c r="AI35" i="92"/>
  <c r="BK35" i="92" s="1"/>
  <c r="BG35" i="92"/>
  <c r="AW3" i="92"/>
  <c r="BY3" i="92" s="1"/>
  <c r="BU3" i="92"/>
  <c r="AI32" i="92"/>
  <c r="BK32" i="92" s="1"/>
  <c r="BG32" i="92"/>
  <c r="AI5" i="92"/>
  <c r="BK5" i="92" s="1"/>
  <c r="C7" i="95" s="1"/>
  <c r="BG5" i="92"/>
  <c r="AW9" i="92"/>
  <c r="BY9" i="92" s="1"/>
  <c r="BU9" i="92"/>
  <c r="AI9" i="92"/>
  <c r="BK9" i="92" s="1"/>
  <c r="BG9" i="92"/>
  <c r="BZ15" i="92"/>
  <c r="BX12" i="92"/>
  <c r="AI11" i="92"/>
  <c r="BK11" i="92" s="1"/>
  <c r="BG11" i="92"/>
  <c r="BT2" i="92"/>
  <c r="AI27" i="92"/>
  <c r="BK27" i="92" s="1"/>
  <c r="BG27" i="92"/>
  <c r="CA19" i="92"/>
  <c r="E36" i="95" s="1"/>
  <c r="AW35" i="92"/>
  <c r="BY35" i="92" s="1"/>
  <c r="BU35" i="92"/>
  <c r="AI28" i="92"/>
  <c r="BK28" i="92" s="1"/>
  <c r="BG28" i="92"/>
  <c r="BF2" i="92"/>
  <c r="AI23" i="92"/>
  <c r="BK23" i="92" s="1"/>
  <c r="BG23" i="92"/>
  <c r="AI26" i="92"/>
  <c r="BK26" i="92" s="1"/>
  <c r="C6" i="95" s="1"/>
  <c r="BG26" i="92"/>
  <c r="AI36" i="92"/>
  <c r="BK36" i="92" s="1"/>
  <c r="BG36" i="92"/>
  <c r="BH14" i="92"/>
  <c r="AW5" i="92"/>
  <c r="BY5" i="92" s="1"/>
  <c r="BU5" i="92"/>
  <c r="AW22" i="92"/>
  <c r="BY22" i="92" s="1"/>
  <c r="BU22" i="92"/>
  <c r="AW30" i="92"/>
  <c r="BY30" i="92" s="1"/>
  <c r="BU30" i="92"/>
  <c r="AI8" i="92"/>
  <c r="BK8" i="92" s="1"/>
  <c r="BG8" i="92"/>
  <c r="AI10" i="92"/>
  <c r="BK10" i="92" s="1"/>
  <c r="BG10" i="92"/>
  <c r="AW34" i="92"/>
  <c r="BY34" i="92" s="1"/>
  <c r="BU34" i="92"/>
  <c r="AW13" i="92"/>
  <c r="BY13" i="92" s="1"/>
  <c r="BU13" i="92"/>
  <c r="AW12" i="92"/>
  <c r="BY12" i="92" s="1"/>
  <c r="BU12" i="92"/>
  <c r="AW21" i="92"/>
  <c r="BY21" i="92" s="1"/>
  <c r="BU21" i="92"/>
  <c r="AI33" i="92"/>
  <c r="BK33" i="92" s="1"/>
  <c r="BG33" i="92"/>
  <c r="AW29" i="92"/>
  <c r="BY29" i="92" s="1"/>
  <c r="BU29" i="92"/>
  <c r="AW6" i="92"/>
  <c r="BY6" i="92" s="1"/>
  <c r="BU6" i="92"/>
  <c r="AI7" i="92"/>
  <c r="BK7" i="92" s="1"/>
  <c r="BG7" i="92"/>
  <c r="AW25" i="92"/>
  <c r="BY25" i="92" s="1"/>
  <c r="BU25" i="92"/>
  <c r="AW32" i="92"/>
  <c r="BY32" i="92" s="1"/>
  <c r="BU32" i="92"/>
  <c r="AW14" i="92"/>
  <c r="BY14" i="92" s="1"/>
  <c r="BU14" i="92"/>
  <c r="BF15" i="92"/>
  <c r="AI16" i="92"/>
  <c r="BK16" i="92" s="1"/>
  <c r="BG16" i="92"/>
  <c r="AW4" i="92"/>
  <c r="BU4" i="92"/>
  <c r="AW11" i="92"/>
  <c r="BY11" i="92" s="1"/>
  <c r="BU11" i="92"/>
  <c r="BJ2" i="92"/>
  <c r="BH2" i="92"/>
  <c r="AW19" i="92"/>
  <c r="BY19" i="92" s="1"/>
  <c r="BU19" i="92"/>
  <c r="AW28" i="92"/>
  <c r="BY28" i="92" s="1"/>
  <c r="BU28" i="92"/>
  <c r="AW7" i="92"/>
  <c r="BY7" i="92" s="1"/>
  <c r="BU7" i="92"/>
  <c r="AW8" i="92"/>
  <c r="BY8" i="92" s="1"/>
  <c r="BU8" i="92"/>
  <c r="AI6" i="92"/>
  <c r="BK6" i="92" s="1"/>
  <c r="BG6" i="92"/>
  <c r="AW24" i="92"/>
  <c r="BY24" i="92" s="1"/>
  <c r="BU24" i="92"/>
  <c r="BZ2" i="92"/>
  <c r="AW2" i="92"/>
  <c r="BU2" i="92"/>
  <c r="AI19" i="92"/>
  <c r="BK19" i="92" s="1"/>
  <c r="BG19" i="92"/>
  <c r="AI3" i="92"/>
  <c r="BK3" i="92" s="1"/>
  <c r="BG3" i="92"/>
  <c r="AW15" i="92"/>
  <c r="BY15" i="92" s="1"/>
  <c r="BU15" i="92"/>
  <c r="BL15" i="92"/>
  <c r="BJ12" i="92"/>
  <c r="BL2" i="92"/>
  <c r="BM19" i="92"/>
  <c r="G36" i="95" s="1"/>
  <c r="CA28" i="92"/>
  <c r="E34" i="95" s="1"/>
  <c r="AW23" i="92"/>
  <c r="BY23" i="92" s="1"/>
  <c r="BU23" i="92"/>
  <c r="AW26" i="92"/>
  <c r="BY26" i="92" s="1"/>
  <c r="BU26" i="92"/>
  <c r="AI22" i="92"/>
  <c r="BK22" i="92" s="1"/>
  <c r="C27" i="95" s="1"/>
  <c r="BG22" i="92"/>
  <c r="AI30" i="92"/>
  <c r="BK30" i="92" s="1"/>
  <c r="BG30" i="92"/>
  <c r="AI15" i="92"/>
  <c r="BK15" i="92" s="1"/>
  <c r="BG15" i="92"/>
  <c r="AW10" i="92"/>
  <c r="BY10" i="92" s="1"/>
  <c r="BU10" i="92"/>
  <c r="AI34" i="92"/>
  <c r="BK34" i="92" s="1"/>
  <c r="BG34" i="92"/>
  <c r="AI13" i="92"/>
  <c r="BK13" i="92" s="1"/>
  <c r="BG13" i="92"/>
  <c r="AW16" i="92"/>
  <c r="BY16" i="92" s="1"/>
  <c r="BU16" i="92"/>
  <c r="AI21" i="92"/>
  <c r="BK21" i="92" s="1"/>
  <c r="BG21" i="92"/>
  <c r="AW33" i="92"/>
  <c r="BY33" i="92" s="1"/>
  <c r="BU33" i="92"/>
  <c r="AI29" i="92"/>
  <c r="BK29" i="92" s="1"/>
  <c r="BG29" i="92"/>
  <c r="AI24" i="92"/>
  <c r="BK24" i="92" s="1"/>
  <c r="BG24" i="92"/>
  <c r="BX2" i="92"/>
  <c r="CA2" i="92"/>
  <c r="BV2" i="92"/>
  <c r="AW27" i="92"/>
  <c r="BY27" i="92" s="1"/>
  <c r="BU27" i="92"/>
  <c r="I117" i="24"/>
  <c r="AN879" i="1" s="1"/>
  <c r="C2" i="102" l="1"/>
  <c r="B7" i="102"/>
  <c r="F15" i="102"/>
  <c r="C15" i="102"/>
  <c r="B15" i="102"/>
  <c r="G10" i="95"/>
  <c r="G25" i="95"/>
  <c r="E16" i="95"/>
  <c r="E25" i="95"/>
  <c r="E10" i="95"/>
  <c r="G16" i="95"/>
  <c r="E17" i="95"/>
  <c r="G17" i="95"/>
  <c r="L13" i="99"/>
  <c r="J10" i="95"/>
  <c r="J17" i="95"/>
  <c r="I10" i="95"/>
  <c r="I17" i="95"/>
  <c r="J36" i="95"/>
  <c r="I16" i="95"/>
  <c r="I25" i="95"/>
  <c r="J16" i="95"/>
  <c r="F8" i="95"/>
  <c r="F14" i="95"/>
  <c r="F31" i="95"/>
  <c r="F15" i="95"/>
  <c r="F21" i="95"/>
  <c r="F7" i="95"/>
  <c r="F9" i="95"/>
  <c r="F29" i="95"/>
  <c r="F5" i="95"/>
  <c r="F37" i="95"/>
  <c r="F35" i="95"/>
  <c r="F20" i="95"/>
  <c r="F6" i="95"/>
  <c r="F30" i="95"/>
  <c r="F11" i="95"/>
  <c r="F18" i="95"/>
  <c r="F22" i="95"/>
  <c r="F23" i="95"/>
  <c r="F26" i="95"/>
  <c r="H16" i="95"/>
  <c r="F36" i="95"/>
  <c r="F12" i="95"/>
  <c r="F27" i="95"/>
  <c r="F34" i="95"/>
  <c r="F33" i="95"/>
  <c r="H25" i="95"/>
  <c r="H10" i="95"/>
  <c r="H17" i="95"/>
  <c r="F24" i="95"/>
  <c r="F19" i="95"/>
  <c r="D36" i="95"/>
  <c r="C36" i="95"/>
  <c r="C18" i="95"/>
  <c r="C21" i="95"/>
  <c r="C9" i="95"/>
  <c r="C20" i="95"/>
  <c r="C30" i="95"/>
  <c r="C19" i="95"/>
  <c r="C34" i="95"/>
  <c r="C15" i="95"/>
  <c r="C11" i="95"/>
  <c r="C23" i="95"/>
  <c r="D25" i="95"/>
  <c r="C25" i="95"/>
  <c r="C26" i="95"/>
  <c r="C33" i="95"/>
  <c r="D11" i="95"/>
  <c r="D10" i="95"/>
  <c r="D17" i="95"/>
  <c r="C14" i="95"/>
  <c r="C37" i="95"/>
  <c r="C5" i="95"/>
  <c r="C31" i="95"/>
  <c r="C29" i="95"/>
  <c r="C8" i="95"/>
  <c r="C35" i="95"/>
  <c r="C12" i="95"/>
  <c r="D16" i="95"/>
  <c r="C24" i="95"/>
  <c r="C22" i="95"/>
  <c r="AI41" i="92"/>
  <c r="BK41" i="92" s="1"/>
  <c r="C17" i="95" s="1"/>
  <c r="AW41" i="92"/>
  <c r="BY41" i="92" s="1"/>
  <c r="BY2" i="92"/>
  <c r="BK4" i="92"/>
  <c r="BK2" i="92"/>
  <c r="BY4" i="92"/>
  <c r="I113" i="24"/>
  <c r="AN1073" i="1" s="1"/>
  <c r="I3" i="24"/>
  <c r="I378" i="24"/>
  <c r="AN485" i="1" s="1"/>
  <c r="I114" i="24"/>
  <c r="I379" i="24"/>
  <c r="AN651" i="1" s="1"/>
  <c r="I4" i="24"/>
  <c r="AN1087" i="1" s="1"/>
  <c r="I380" i="24"/>
  <c r="AN1001" i="1" s="1"/>
  <c r="I382" i="24"/>
  <c r="AN745" i="1" s="1"/>
  <c r="I5" i="24"/>
  <c r="AN963" i="1" s="1"/>
  <c r="I385" i="24"/>
  <c r="AN1123" i="1" s="1"/>
  <c r="I6" i="24"/>
  <c r="AN654" i="1" s="1"/>
  <c r="I115" i="24"/>
  <c r="I116" i="24"/>
  <c r="AN222" i="1" s="1"/>
  <c r="I386" i="24"/>
  <c r="AN634" i="1" s="1"/>
  <c r="I7" i="24"/>
  <c r="AN115" i="1" s="1"/>
  <c r="I387" i="24"/>
  <c r="AN1125" i="1" s="1"/>
  <c r="I388" i="24"/>
  <c r="AN474" i="1" s="1"/>
  <c r="I389" i="24"/>
  <c r="I8" i="24"/>
  <c r="AN389" i="1" s="1"/>
  <c r="I9" i="24"/>
  <c r="I390" i="24"/>
  <c r="I118" i="24"/>
  <c r="I391" i="24"/>
  <c r="AN725" i="1" s="1"/>
  <c r="I119" i="24"/>
  <c r="I393" i="24"/>
  <c r="I394" i="24"/>
  <c r="AN813" i="1" s="1"/>
  <c r="I395" i="24"/>
  <c r="AN49" i="1" s="1"/>
  <c r="I396" i="24"/>
  <c r="I10" i="24"/>
  <c r="AN116" i="1" s="1"/>
  <c r="I120" i="24"/>
  <c r="AN1081" i="1" s="1"/>
  <c r="I11" i="24"/>
  <c r="I12" i="24"/>
  <c r="I13" i="24"/>
  <c r="AN655" i="1" s="1"/>
  <c r="I121" i="24"/>
  <c r="AN7" i="1" s="1"/>
  <c r="I122" i="24"/>
  <c r="I397" i="24"/>
  <c r="I123" i="24"/>
  <c r="AN8" i="1" s="1"/>
  <c r="I124" i="24"/>
  <c r="AN9" i="1" s="1"/>
  <c r="AN399" i="1"/>
  <c r="I125" i="24"/>
  <c r="AN875" i="1" s="1"/>
  <c r="I398" i="24"/>
  <c r="AN598" i="1" s="1"/>
  <c r="I14" i="24"/>
  <c r="AN22" i="1" s="1"/>
  <c r="I126" i="24"/>
  <c r="AN565" i="1" s="1"/>
  <c r="I401" i="24"/>
  <c r="I15" i="24"/>
  <c r="AN107" i="1" s="1"/>
  <c r="I402" i="24"/>
  <c r="AN313" i="1" s="1"/>
  <c r="I2" i="24"/>
  <c r="G264" i="24"/>
  <c r="G336" i="24"/>
  <c r="G86" i="24"/>
  <c r="G87" i="24"/>
  <c r="G67" i="24"/>
  <c r="G81" i="24"/>
  <c r="G83" i="24"/>
  <c r="G247" i="24"/>
  <c r="G239" i="24"/>
  <c r="G268" i="24"/>
  <c r="G228" i="24"/>
  <c r="G257" i="24"/>
  <c r="G341" i="24"/>
  <c r="G281" i="24"/>
  <c r="G258" i="24"/>
  <c r="G245" i="24"/>
  <c r="G113" i="24"/>
  <c r="G348" i="24"/>
  <c r="G75" i="24"/>
  <c r="G159" i="24"/>
  <c r="G209" i="24"/>
  <c r="G149" i="24"/>
  <c r="G261" i="24"/>
  <c r="G408" i="24"/>
  <c r="G410" i="24"/>
  <c r="G45" i="24"/>
  <c r="G85" i="24"/>
  <c r="G150" i="24"/>
  <c r="G161" i="24"/>
  <c r="G424" i="24"/>
  <c r="G64" i="24"/>
  <c r="G214" i="24"/>
  <c r="G244" i="24"/>
  <c r="G77" i="24"/>
  <c r="G38" i="24"/>
  <c r="G215" i="24"/>
  <c r="G223" i="24"/>
  <c r="G3" i="24"/>
  <c r="G220" i="24"/>
  <c r="G167" i="24"/>
  <c r="G88" i="24"/>
  <c r="G248" i="24"/>
  <c r="G254" i="24"/>
  <c r="G363" i="24"/>
  <c r="G71" i="24"/>
  <c r="G263" i="24"/>
  <c r="G265" i="24"/>
  <c r="G335" i="24"/>
  <c r="G165" i="24"/>
  <c r="G427" i="24"/>
  <c r="G447" i="24"/>
  <c r="G20" i="24"/>
  <c r="G435" i="24"/>
  <c r="G378" i="24"/>
  <c r="G94" i="24"/>
  <c r="G190" i="24"/>
  <c r="G60" i="24"/>
  <c r="G371" i="24"/>
  <c r="G322" i="24"/>
  <c r="G175" i="24"/>
  <c r="G205" i="24"/>
  <c r="G98" i="24"/>
  <c r="G439" i="24"/>
  <c r="G162" i="24"/>
  <c r="G360" i="24"/>
  <c r="G372" i="24"/>
  <c r="G426" i="24"/>
  <c r="G114" i="24"/>
  <c r="G379" i="24"/>
  <c r="G153" i="24"/>
  <c r="G40" i="24"/>
  <c r="G428" i="24"/>
  <c r="G272" i="24"/>
  <c r="G4" i="24"/>
  <c r="G380" i="24"/>
  <c r="G35" i="24"/>
  <c r="G342" i="24"/>
  <c r="G346" i="24"/>
  <c r="G66" i="24"/>
  <c r="G177" i="24"/>
  <c r="G226" i="24"/>
  <c r="G197" i="24"/>
  <c r="G99" i="24"/>
  <c r="G422" i="24"/>
  <c r="G97" i="24"/>
  <c r="G382" i="24"/>
  <c r="G460" i="24"/>
  <c r="G337" i="24"/>
  <c r="G347" i="24"/>
  <c r="G5" i="24"/>
  <c r="G385" i="24"/>
  <c r="G6" i="24"/>
  <c r="G361" i="24"/>
  <c r="G429" i="24"/>
  <c r="G43" i="24"/>
  <c r="G438" i="24"/>
  <c r="G115" i="24"/>
  <c r="G21" i="24"/>
  <c r="G416" i="24"/>
  <c r="G273" i="24"/>
  <c r="G356" i="24"/>
  <c r="G406" i="24"/>
  <c r="G425" i="24"/>
  <c r="G96" i="24"/>
  <c r="G241" i="24"/>
  <c r="G441" i="24"/>
  <c r="G271" i="24"/>
  <c r="G350" i="24"/>
  <c r="G116" i="24"/>
  <c r="G90" i="24"/>
  <c r="G100" i="24"/>
  <c r="G440" i="24"/>
  <c r="G178" i="24"/>
  <c r="G459" i="24"/>
  <c r="G117" i="24"/>
  <c r="G259" i="24"/>
  <c r="G62" i="24"/>
  <c r="G386" i="24"/>
  <c r="G269" i="24"/>
  <c r="G42" i="24"/>
  <c r="G154" i="24"/>
  <c r="G76" i="24"/>
  <c r="G256" i="24"/>
  <c r="G358" i="24"/>
  <c r="G7" i="24"/>
  <c r="G157" i="24"/>
  <c r="G403" i="24"/>
  <c r="G418" i="24"/>
  <c r="G431" i="24"/>
  <c r="G192" i="24"/>
  <c r="G279" i="24"/>
  <c r="G368" i="24"/>
  <c r="G280" i="24"/>
  <c r="G373" i="24"/>
  <c r="G365" i="24"/>
  <c r="G327" i="24"/>
  <c r="G364" i="24"/>
  <c r="G387" i="24"/>
  <c r="G275" i="24"/>
  <c r="G388" i="24"/>
  <c r="G430" i="24"/>
  <c r="G204" i="24"/>
  <c r="G216" i="24"/>
  <c r="G206" i="24"/>
  <c r="G69" i="24"/>
  <c r="G421" i="24"/>
  <c r="G232" i="24"/>
  <c r="G72" i="24"/>
  <c r="G102" i="24"/>
  <c r="G249" i="24"/>
  <c r="G78" i="24"/>
  <c r="G54" i="24"/>
  <c r="G452" i="24"/>
  <c r="G455" i="24"/>
  <c r="G367" i="24"/>
  <c r="G450" i="24"/>
  <c r="G454" i="24"/>
  <c r="G104" i="24"/>
  <c r="G451" i="24"/>
  <c r="G453" i="24"/>
  <c r="G233" i="24"/>
  <c r="G212" i="24"/>
  <c r="G389" i="24"/>
  <c r="G61" i="24"/>
  <c r="G70" i="24"/>
  <c r="G173" i="24"/>
  <c r="G203" i="24"/>
  <c r="G8" i="24"/>
  <c r="G183" i="24"/>
  <c r="G172" i="24"/>
  <c r="G95" i="24"/>
  <c r="G170" i="24"/>
  <c r="G44" i="24"/>
  <c r="G262" i="24"/>
  <c r="G56" i="24"/>
  <c r="G250" i="24"/>
  <c r="G193" i="24"/>
  <c r="G236" i="24"/>
  <c r="G320" i="24"/>
  <c r="G158" i="24"/>
  <c r="G18" i="24"/>
  <c r="G185" i="24"/>
  <c r="G9" i="24"/>
  <c r="G457" i="24"/>
  <c r="G390" i="24"/>
  <c r="G344" i="24"/>
  <c r="G340" i="24"/>
  <c r="G155" i="24"/>
  <c r="G189" i="24"/>
  <c r="G160" i="24"/>
  <c r="G208" i="24"/>
  <c r="G354" i="24"/>
  <c r="G198" i="24"/>
  <c r="G103" i="24"/>
  <c r="G33" i="24"/>
  <c r="G217" i="24"/>
  <c r="G266" i="24"/>
  <c r="G349" i="24"/>
  <c r="G39" i="24"/>
  <c r="G188" i="24"/>
  <c r="G195" i="24"/>
  <c r="G411" i="24"/>
  <c r="G176" i="24"/>
  <c r="G458" i="24"/>
  <c r="G118" i="24"/>
  <c r="G196" i="24"/>
  <c r="G152" i="24"/>
  <c r="G231" i="24"/>
  <c r="G224" i="24"/>
  <c r="G68" i="24"/>
  <c r="G330" i="24"/>
  <c r="G242" i="24"/>
  <c r="G442" i="24"/>
  <c r="G391" i="24"/>
  <c r="G444" i="24"/>
  <c r="G445" i="24"/>
  <c r="G434" i="24"/>
  <c r="G443" i="24"/>
  <c r="G229" i="24"/>
  <c r="G156" i="24"/>
  <c r="G417" i="24"/>
  <c r="G207" i="24"/>
  <c r="G63" i="24"/>
  <c r="G260" i="24"/>
  <c r="G101" i="24"/>
  <c r="G392" i="24"/>
  <c r="G119" i="24"/>
  <c r="G366" i="24"/>
  <c r="G37" i="24"/>
  <c r="G59" i="24"/>
  <c r="G393" i="24"/>
  <c r="G352" i="24"/>
  <c r="G394" i="24"/>
  <c r="G73" i="24"/>
  <c r="G187" i="24"/>
  <c r="G407" i="24"/>
  <c r="G395" i="24"/>
  <c r="G405" i="24"/>
  <c r="G93" i="24"/>
  <c r="G326" i="24"/>
  <c r="G253" i="24"/>
  <c r="G166" i="24"/>
  <c r="G199" i="24"/>
  <c r="G243" i="24"/>
  <c r="G240" i="24"/>
  <c r="G325" i="24"/>
  <c r="G84" i="24"/>
  <c r="G369" i="24"/>
  <c r="G278" i="24"/>
  <c r="G146" i="24"/>
  <c r="G448" i="24"/>
  <c r="G227" i="24"/>
  <c r="G396" i="24"/>
  <c r="G65" i="24"/>
  <c r="G324" i="24"/>
  <c r="G210" i="24"/>
  <c r="G432" i="24"/>
  <c r="G251" i="24"/>
  <c r="G89" i="24"/>
  <c r="G446" i="24"/>
  <c r="G184" i="24"/>
  <c r="G433" i="24"/>
  <c r="G436" i="24"/>
  <c r="G10" i="24"/>
  <c r="G105" i="24"/>
  <c r="G120" i="24"/>
  <c r="G351" i="24"/>
  <c r="G11" i="24"/>
  <c r="G12" i="24"/>
  <c r="G13" i="24"/>
  <c r="G332" i="24"/>
  <c r="G41" i="24"/>
  <c r="G211" i="24"/>
  <c r="G222" i="24"/>
  <c r="G333" i="24"/>
  <c r="G353" i="24"/>
  <c r="G437" i="24"/>
  <c r="G234" i="24"/>
  <c r="G461" i="24"/>
  <c r="G121" i="24"/>
  <c r="G355" i="24"/>
  <c r="G122" i="24"/>
  <c r="G323" i="24"/>
  <c r="G200" i="24"/>
  <c r="G201" i="24"/>
  <c r="G19" i="24"/>
  <c r="G404" i="24"/>
  <c r="G80" i="24"/>
  <c r="G423" i="24"/>
  <c r="G397" i="24"/>
  <c r="G419" i="24"/>
  <c r="G252" i="24"/>
  <c r="G413" i="24"/>
  <c r="G414" i="24"/>
  <c r="G415" i="24"/>
  <c r="G213" i="24"/>
  <c r="G123" i="24"/>
  <c r="G124" i="24"/>
  <c r="G194" i="24"/>
  <c r="G412" i="24"/>
  <c r="G91" i="24"/>
  <c r="G92" i="24"/>
  <c r="G74" i="24"/>
  <c r="G125" i="24"/>
  <c r="G398" i="24"/>
  <c r="G370" i="24"/>
  <c r="G55" i="24"/>
  <c r="G163" i="24"/>
  <c r="G14" i="24"/>
  <c r="G182" i="24"/>
  <c r="G179" i="24"/>
  <c r="G126" i="24"/>
  <c r="G53" i="24"/>
  <c r="G401" i="24"/>
  <c r="G169" i="24"/>
  <c r="G15" i="24"/>
  <c r="G57" i="24"/>
  <c r="C24" i="65"/>
  <c r="C25" i="65"/>
  <c r="AN671" i="1" l="1"/>
  <c r="AN670" i="1"/>
  <c r="AN450" i="1"/>
  <c r="AN921" i="1"/>
  <c r="AN917" i="1"/>
  <c r="AN916" i="1"/>
  <c r="AN1172" i="1"/>
  <c r="C7" i="102"/>
  <c r="F2" i="102"/>
  <c r="F7" i="102" s="1"/>
  <c r="AN805" i="1"/>
  <c r="AN1183" i="1"/>
  <c r="AN2" i="1"/>
  <c r="AN51" i="1"/>
  <c r="AN59" i="1"/>
  <c r="AN75" i="1"/>
  <c r="AN83" i="1"/>
  <c r="AN91" i="1"/>
  <c r="AN123" i="1"/>
  <c r="AN131" i="1"/>
  <c r="AN179" i="1"/>
  <c r="AN195" i="1"/>
  <c r="AN211" i="1"/>
  <c r="AN243" i="1"/>
  <c r="AN259" i="1"/>
  <c r="AN275" i="1"/>
  <c r="AN308" i="1"/>
  <c r="AN331" i="1"/>
  <c r="AN451" i="1"/>
  <c r="AN475" i="1"/>
  <c r="AN491" i="1"/>
  <c r="AN579" i="1"/>
  <c r="AN594" i="1"/>
  <c r="AN618" i="1"/>
  <c r="AN626" i="1"/>
  <c r="AN666" i="1"/>
  <c r="AN677" i="1"/>
  <c r="AN717" i="1"/>
  <c r="AN733" i="1"/>
  <c r="AN765" i="1"/>
  <c r="AN821" i="1"/>
  <c r="AN845" i="1"/>
  <c r="AN853" i="1"/>
  <c r="AN909" i="1"/>
  <c r="AN919" i="1"/>
  <c r="AN1169" i="1"/>
  <c r="AN1178" i="1"/>
  <c r="AN1187" i="1"/>
  <c r="AN768" i="1"/>
  <c r="AN4" i="1"/>
  <c r="AN52" i="1"/>
  <c r="AN84" i="1"/>
  <c r="AN92" i="1"/>
  <c r="AN124" i="1"/>
  <c r="AN164" i="1"/>
  <c r="AN180" i="1"/>
  <c r="AN188" i="1"/>
  <c r="AN276" i="1"/>
  <c r="AN332" i="1"/>
  <c r="AN452" i="1"/>
  <c r="AN476" i="1"/>
  <c r="AN484" i="1"/>
  <c r="AN492" i="1"/>
  <c r="AN516" i="1"/>
  <c r="AN580" i="1"/>
  <c r="AN627" i="1"/>
  <c r="AN667" i="1"/>
  <c r="AN718" i="1"/>
  <c r="AN798" i="1"/>
  <c r="AN822" i="1"/>
  <c r="AN830" i="1"/>
  <c r="AN838" i="1"/>
  <c r="AN846" i="1"/>
  <c r="AN854" i="1"/>
  <c r="AN902" i="1"/>
  <c r="AN910" i="1"/>
  <c r="AN920" i="1"/>
  <c r="AN1170" i="1"/>
  <c r="AN1179" i="1"/>
  <c r="AN1188" i="1"/>
  <c r="AN534" i="1"/>
  <c r="AN590" i="1"/>
  <c r="AN637" i="1"/>
  <c r="AN669" i="1"/>
  <c r="AN752" i="1"/>
  <c r="AN824" i="1"/>
  <c r="AN840" i="1"/>
  <c r="AN856" i="1"/>
  <c r="AN904" i="1"/>
  <c r="AN923" i="1"/>
  <c r="AN1173" i="1"/>
  <c r="AN1190" i="1"/>
  <c r="AN5" i="1"/>
  <c r="AN53" i="1"/>
  <c r="AN85" i="1"/>
  <c r="AN93" i="1"/>
  <c r="AN125" i="1"/>
  <c r="AN157" i="1"/>
  <c r="AN173" i="1"/>
  <c r="AN181" i="1"/>
  <c r="AN189" i="1"/>
  <c r="AN253" i="1"/>
  <c r="AN277" i="1"/>
  <c r="AN325" i="1"/>
  <c r="AN341" i="1"/>
  <c r="AN453" i="1"/>
  <c r="AN493" i="1"/>
  <c r="AN517" i="1"/>
  <c r="AN581" i="1"/>
  <c r="AN636" i="1"/>
  <c r="AN652" i="1"/>
  <c r="AN668" i="1"/>
  <c r="AN679" i="1"/>
  <c r="AN751" i="1"/>
  <c r="AN775" i="1"/>
  <c r="AN799" i="1"/>
  <c r="AN815" i="1"/>
  <c r="AN823" i="1"/>
  <c r="AN839" i="1"/>
  <c r="AN847" i="1"/>
  <c r="AN903" i="1"/>
  <c r="AN911" i="1"/>
  <c r="AN922" i="1"/>
  <c r="AN1127" i="1"/>
  <c r="AN1171" i="1"/>
  <c r="AN1180" i="1"/>
  <c r="AN1189" i="1"/>
  <c r="AN550" i="1"/>
  <c r="AN582" i="1"/>
  <c r="AN696" i="1"/>
  <c r="AN712" i="1"/>
  <c r="AN728" i="1"/>
  <c r="AN800" i="1"/>
  <c r="AN816" i="1"/>
  <c r="AN848" i="1"/>
  <c r="AN912" i="1"/>
  <c r="AN1181" i="1"/>
  <c r="AN6" i="1"/>
  <c r="AN38" i="1"/>
  <c r="AN54" i="1"/>
  <c r="AN78" i="1"/>
  <c r="AN86" i="1"/>
  <c r="AN94" i="1"/>
  <c r="AN126" i="1"/>
  <c r="AN158" i="1"/>
  <c r="AN166" i="1"/>
  <c r="AN174" i="1"/>
  <c r="AN182" i="1"/>
  <c r="AN190" i="1"/>
  <c r="AN278" i="1"/>
  <c r="AN311" i="1"/>
  <c r="AN326" i="1"/>
  <c r="AN342" i="1"/>
  <c r="AN454" i="1"/>
  <c r="AN478" i="1"/>
  <c r="AN510" i="1"/>
  <c r="AN518" i="1"/>
  <c r="AN23" i="1"/>
  <c r="AN39" i="1"/>
  <c r="AN47" i="1"/>
  <c r="AN79" i="1"/>
  <c r="AN87" i="1"/>
  <c r="AN95" i="1"/>
  <c r="AN127" i="1"/>
  <c r="AN159" i="1"/>
  <c r="AN175" i="1"/>
  <c r="AN183" i="1"/>
  <c r="AN191" i="1"/>
  <c r="AN263" i="1"/>
  <c r="AN280" i="1"/>
  <c r="AN312" i="1"/>
  <c r="AN327" i="1"/>
  <c r="AN343" i="1"/>
  <c r="AN455" i="1"/>
  <c r="AN495" i="1"/>
  <c r="AN503" i="1"/>
  <c r="AN511" i="1"/>
  <c r="AN519" i="1"/>
  <c r="AN535" i="1"/>
  <c r="AN551" i="1"/>
  <c r="AN583" i="1"/>
  <c r="AN591" i="1"/>
  <c r="AN638" i="1"/>
  <c r="AN672" i="1"/>
  <c r="AN681" i="1"/>
  <c r="AN697" i="1"/>
  <c r="AN713" i="1"/>
  <c r="AN737" i="1"/>
  <c r="AN753" i="1"/>
  <c r="AN801" i="1"/>
  <c r="AN817" i="1"/>
  <c r="AN841" i="1"/>
  <c r="AN849" i="1"/>
  <c r="AN905" i="1"/>
  <c r="AN913" i="1"/>
  <c r="AN1174" i="1"/>
  <c r="AN1182" i="1"/>
  <c r="AN1191" i="1"/>
  <c r="AN40" i="1"/>
  <c r="AN72" i="1"/>
  <c r="AN80" i="1"/>
  <c r="AN88" i="1"/>
  <c r="AN128" i="1"/>
  <c r="AN176" i="1"/>
  <c r="AN184" i="1"/>
  <c r="AN192" i="1"/>
  <c r="AN248" i="1"/>
  <c r="AN264" i="1"/>
  <c r="AN281" i="1"/>
  <c r="AN289" i="1"/>
  <c r="AN328" i="1"/>
  <c r="AN336" i="1"/>
  <c r="AN344" i="1"/>
  <c r="AN456" i="1"/>
  <c r="AN504" i="1"/>
  <c r="AN520" i="1"/>
  <c r="AN536" i="1"/>
  <c r="AN615" i="1"/>
  <c r="AN631" i="1"/>
  <c r="AN639" i="1"/>
  <c r="AN673" i="1"/>
  <c r="AN698" i="1"/>
  <c r="AN714" i="1"/>
  <c r="AN738" i="1"/>
  <c r="AN802" i="1"/>
  <c r="AN810" i="1"/>
  <c r="AN842" i="1"/>
  <c r="AN850" i="1"/>
  <c r="AN906" i="1"/>
  <c r="AN914" i="1"/>
  <c r="AN1162" i="1"/>
  <c r="AN1175" i="1"/>
  <c r="AN1184" i="1"/>
  <c r="AN73" i="1"/>
  <c r="AN81" i="1"/>
  <c r="AN89" i="1"/>
  <c r="AN129" i="1"/>
  <c r="AN137" i="1"/>
  <c r="AN161" i="1"/>
  <c r="AN169" i="1"/>
  <c r="AN193" i="1"/>
  <c r="AN209" i="1"/>
  <c r="AN249" i="1"/>
  <c r="AN265" i="1"/>
  <c r="AN282" i="1"/>
  <c r="AN345" i="1"/>
  <c r="AN505" i="1"/>
  <c r="AN537" i="1"/>
  <c r="AN569" i="1"/>
  <c r="AN577" i="1"/>
  <c r="AN593" i="1"/>
  <c r="AN608" i="1"/>
  <c r="AN624" i="1"/>
  <c r="AN632" i="1"/>
  <c r="AN640" i="1"/>
  <c r="AN674" i="1"/>
  <c r="AN699" i="1"/>
  <c r="AN715" i="1"/>
  <c r="AN723" i="1"/>
  <c r="AN739" i="1"/>
  <c r="AN771" i="1"/>
  <c r="AN803" i="1"/>
  <c r="AN819" i="1"/>
  <c r="AN843" i="1"/>
  <c r="AN851" i="1"/>
  <c r="AN899" i="1"/>
  <c r="AN907" i="1"/>
  <c r="AN915" i="1"/>
  <c r="AN1167" i="1"/>
  <c r="AN1176" i="1"/>
  <c r="AN1185" i="1"/>
  <c r="AN34" i="1"/>
  <c r="AN74" i="1"/>
  <c r="AN82" i="1"/>
  <c r="AN90" i="1"/>
  <c r="AN106" i="1"/>
  <c r="AN130" i="1"/>
  <c r="AN138" i="1"/>
  <c r="AN162" i="1"/>
  <c r="AN178" i="1"/>
  <c r="AN194" i="1"/>
  <c r="AN210" i="1"/>
  <c r="AN242" i="1"/>
  <c r="AN258" i="1"/>
  <c r="AN346" i="1"/>
  <c r="AN490" i="1"/>
  <c r="AN546" i="1"/>
  <c r="AN578" i="1"/>
  <c r="AN617" i="1"/>
  <c r="AN625" i="1"/>
  <c r="AN633" i="1"/>
  <c r="AN708" i="1"/>
  <c r="AN716" i="1"/>
  <c r="AN732" i="1"/>
  <c r="AN820" i="1"/>
  <c r="AN844" i="1"/>
  <c r="AN908" i="1"/>
  <c r="AN918" i="1"/>
  <c r="AN1168" i="1"/>
  <c r="AN1177" i="1"/>
  <c r="AN1186" i="1"/>
  <c r="AN722" i="1"/>
  <c r="AN545" i="1"/>
  <c r="AN1056" i="1"/>
  <c r="AN1113" i="1"/>
  <c r="AN440" i="1"/>
  <c r="AN1008" i="1"/>
  <c r="AN68" i="1"/>
  <c r="AN987" i="1"/>
  <c r="AN994" i="1"/>
  <c r="AN1002" i="1"/>
  <c r="AN981" i="1"/>
  <c r="AN267" i="1"/>
  <c r="AN544" i="1"/>
  <c r="AN11" i="1"/>
  <c r="AN235" i="1"/>
  <c r="AN527" i="1"/>
  <c r="AN1088" i="1"/>
  <c r="AN721" i="1"/>
  <c r="AN950" i="1"/>
  <c r="AN1090" i="1"/>
  <c r="AN970" i="1"/>
  <c r="AN965" i="1"/>
  <c r="AN1092" i="1"/>
  <c r="AN226" i="1"/>
  <c r="AN592" i="1"/>
  <c r="AN299" i="1"/>
  <c r="AN960" i="1"/>
  <c r="AN969" i="1"/>
  <c r="AN1089" i="1"/>
  <c r="AN964" i="1"/>
  <c r="AN1034" i="1"/>
  <c r="AN1085" i="1"/>
  <c r="AN245" i="1"/>
  <c r="AN480" i="1"/>
  <c r="AN293" i="1"/>
  <c r="AN779" i="1"/>
  <c r="AN531" i="1"/>
  <c r="AN949" i="1"/>
  <c r="S13" i="99"/>
  <c r="T13" i="99" s="1"/>
  <c r="F16" i="95"/>
  <c r="F10" i="95"/>
  <c r="F25" i="95"/>
  <c r="F17" i="95"/>
  <c r="C16" i="95"/>
  <c r="C10" i="95"/>
  <c r="C22" i="65"/>
  <c r="C21" i="65"/>
  <c r="C20" i="65"/>
  <c r="C19" i="65"/>
  <c r="C18" i="65"/>
  <c r="C17" i="65"/>
  <c r="C16" i="65"/>
  <c r="C15" i="65"/>
  <c r="C14" i="65"/>
  <c r="C13" i="65"/>
  <c r="C12" i="65"/>
  <c r="C11" i="65"/>
  <c r="C10" i="65"/>
  <c r="C9" i="65"/>
  <c r="C8" i="65"/>
  <c r="C7" i="65"/>
  <c r="C6" i="65"/>
  <c r="E26" i="66"/>
  <c r="E23" i="66"/>
  <c r="F5" i="66"/>
  <c r="E27" i="66" s="1"/>
  <c r="E5" i="66"/>
  <c r="E24" i="66" s="1"/>
  <c r="D5" i="66"/>
  <c r="E18" i="66" s="1"/>
  <c r="C5" i="66"/>
  <c r="E21" i="66" s="1"/>
  <c r="F221" i="24"/>
  <c r="N221" i="24" s="1"/>
  <c r="F235" i="24"/>
  <c r="N235" i="24" s="1"/>
  <c r="Q4" i="58"/>
  <c r="R4" i="58" s="1"/>
  <c r="N4" i="58"/>
  <c r="K4" i="58"/>
  <c r="J4" i="58"/>
  <c r="J3" i="58"/>
  <c r="Q3" i="58"/>
  <c r="R3" i="58" s="1"/>
  <c r="N3" i="58"/>
  <c r="K3" i="58"/>
  <c r="K7" i="58"/>
  <c r="F181" i="24"/>
  <c r="N181" i="24" s="1"/>
  <c r="Q2" i="58"/>
  <c r="R2" i="58" s="1"/>
  <c r="K2" i="58"/>
  <c r="J2" i="58"/>
  <c r="F246" i="24"/>
  <c r="N246" i="24" s="1"/>
  <c r="F218" i="24"/>
  <c r="N218" i="24" s="1"/>
  <c r="N7" i="58"/>
  <c r="O7" i="58" s="1"/>
  <c r="Q7" i="58" s="1"/>
  <c r="R7" i="58" s="1"/>
  <c r="J7" i="58"/>
  <c r="N6" i="58"/>
  <c r="O6" i="58" s="1"/>
  <c r="Q6" i="58" s="1"/>
  <c r="R6" i="58" s="1"/>
  <c r="J6" i="58"/>
  <c r="K6" i="58"/>
  <c r="N5" i="58"/>
  <c r="O5" i="58" s="1"/>
  <c r="Q5" i="58" s="1"/>
  <c r="R5" i="58" s="1"/>
  <c r="K5" i="58"/>
  <c r="J5" i="58"/>
  <c r="C5" i="37"/>
  <c r="D42" i="57"/>
  <c r="F42" i="57" s="1"/>
  <c r="R46" i="15" s="1"/>
  <c r="C42" i="57"/>
  <c r="E45" i="53"/>
  <c r="F45" i="53"/>
  <c r="D45" i="53"/>
  <c r="C45" i="53"/>
  <c r="D49" i="43"/>
  <c r="D49" i="44"/>
  <c r="E49" i="44" s="1"/>
  <c r="C44" i="37"/>
  <c r="I46" i="15"/>
  <c r="E48" i="42" s="1"/>
  <c r="F46" i="15"/>
  <c r="D46" i="15"/>
  <c r="D40" i="57"/>
  <c r="F40" i="57" s="1"/>
  <c r="D41" i="57"/>
  <c r="F41" i="57" s="1"/>
  <c r="C40" i="57"/>
  <c r="C41" i="57"/>
  <c r="E44" i="53"/>
  <c r="E24" i="53"/>
  <c r="F44" i="53"/>
  <c r="F24" i="53"/>
  <c r="D44" i="53"/>
  <c r="C44" i="53"/>
  <c r="C24" i="53"/>
  <c r="D47" i="43"/>
  <c r="D48" i="43"/>
  <c r="D47" i="44"/>
  <c r="E47" i="44" s="1"/>
  <c r="D48" i="44"/>
  <c r="E48" i="44" s="1"/>
  <c r="C42" i="37"/>
  <c r="C43" i="37"/>
  <c r="I44" i="15"/>
  <c r="E46" i="42" s="1"/>
  <c r="I45" i="15"/>
  <c r="E47" i="42" s="1"/>
  <c r="F45" i="15"/>
  <c r="D45" i="15"/>
  <c r="D44" i="15"/>
  <c r="C36" i="57"/>
  <c r="D24" i="57"/>
  <c r="C24" i="57"/>
  <c r="D18" i="57"/>
  <c r="C18" i="57"/>
  <c r="D17" i="57"/>
  <c r="C17" i="57"/>
  <c r="D12" i="57"/>
  <c r="C12" i="57"/>
  <c r="D8" i="57"/>
  <c r="C8" i="57"/>
  <c r="K509" i="24" l="1"/>
  <c r="AQ368" i="1" s="1"/>
  <c r="K462" i="24"/>
  <c r="AQ386" i="1" s="1"/>
  <c r="K381" i="24"/>
  <c r="AQ376" i="1" s="1"/>
  <c r="K218" i="24"/>
  <c r="K144" i="24"/>
  <c r="K235" i="24"/>
  <c r="K221" i="24"/>
  <c r="K246" i="24"/>
  <c r="K181" i="24"/>
  <c r="K79" i="24"/>
  <c r="K210" i="24"/>
  <c r="K186" i="24"/>
  <c r="K362" i="24"/>
  <c r="K236" i="24"/>
  <c r="K192" i="24"/>
  <c r="K148" i="24"/>
  <c r="K340" i="24"/>
  <c r="K207" i="24"/>
  <c r="K163" i="24"/>
  <c r="AQ208" i="1" s="1"/>
  <c r="K355" i="24"/>
  <c r="K358" i="24"/>
  <c r="K365" i="24"/>
  <c r="K321" i="24"/>
  <c r="K325" i="24"/>
  <c r="K154" i="24"/>
  <c r="K366" i="24"/>
  <c r="K306" i="24"/>
  <c r="K296" i="24"/>
  <c r="K252" i="24"/>
  <c r="K208" i="24"/>
  <c r="K263" i="24"/>
  <c r="K219" i="24"/>
  <c r="K175" i="24"/>
  <c r="K367" i="24"/>
  <c r="K370" i="24"/>
  <c r="K329" i="24"/>
  <c r="K285" i="24"/>
  <c r="K241" i="24"/>
  <c r="K167" i="24"/>
  <c r="K155" i="24"/>
  <c r="K166" i="24"/>
  <c r="K342" i="24"/>
  <c r="K308" i="24"/>
  <c r="K312" i="24"/>
  <c r="K268" i="24"/>
  <c r="K323" i="24"/>
  <c r="K279" i="24"/>
  <c r="K283" i="24"/>
  <c r="K286" i="24"/>
  <c r="K245" i="24"/>
  <c r="K201" i="24"/>
  <c r="K157" i="24"/>
  <c r="K349" i="24"/>
  <c r="K174" i="24"/>
  <c r="K150" i="24"/>
  <c r="K326" i="24"/>
  <c r="K224" i="24"/>
  <c r="K180" i="24"/>
  <c r="K372" i="24"/>
  <c r="K328" i="24"/>
  <c r="K147" i="24"/>
  <c r="K339" i="24"/>
  <c r="K295" i="24"/>
  <c r="K298" i="24"/>
  <c r="K257" i="24"/>
  <c r="K213" i="24"/>
  <c r="K169" i="24"/>
  <c r="K361" i="24"/>
  <c r="K51" i="24"/>
  <c r="K354" i="24"/>
  <c r="K330" i="24"/>
  <c r="K270" i="24"/>
  <c r="K284" i="24"/>
  <c r="K240" i="24"/>
  <c r="K196" i="24"/>
  <c r="K251" i="24"/>
  <c r="K255" i="24"/>
  <c r="K211" i="24"/>
  <c r="K214" i="24"/>
  <c r="K173" i="24"/>
  <c r="K177" i="24"/>
  <c r="K369" i="24"/>
  <c r="K110" i="24"/>
  <c r="K206" i="24"/>
  <c r="K179" i="24"/>
  <c r="K152" i="24"/>
  <c r="K344" i="24"/>
  <c r="K300" i="24"/>
  <c r="K256" i="24"/>
  <c r="K311" i="24"/>
  <c r="K267" i="24"/>
  <c r="K223" i="24"/>
  <c r="K226" i="24"/>
  <c r="K185" i="24"/>
  <c r="K377" i="24"/>
  <c r="K333" i="24"/>
  <c r="K289" i="24"/>
  <c r="K239" i="24"/>
  <c r="K227" i="24"/>
  <c r="K194" i="24"/>
  <c r="K164" i="24"/>
  <c r="K356" i="24"/>
  <c r="K360" i="24"/>
  <c r="K316" i="24"/>
  <c r="K371" i="24"/>
  <c r="K327" i="24"/>
  <c r="K331" i="24"/>
  <c r="K334" i="24"/>
  <c r="K293" i="24"/>
  <c r="K249" i="24"/>
  <c r="K205" i="24"/>
  <c r="K373" i="24"/>
  <c r="K318" i="24"/>
  <c r="K294" i="24"/>
  <c r="K234" i="24"/>
  <c r="K272" i="24"/>
  <c r="K228" i="24"/>
  <c r="K184" i="24"/>
  <c r="K376" i="24"/>
  <c r="K195" i="24"/>
  <c r="K151" i="24"/>
  <c r="K343" i="24"/>
  <c r="K346" i="24"/>
  <c r="K305" i="24"/>
  <c r="K261" i="24"/>
  <c r="K217" i="24"/>
  <c r="K299" i="24"/>
  <c r="K203" i="24"/>
  <c r="K191" i="24"/>
  <c r="K158" i="24"/>
  <c r="K178" i="24"/>
  <c r="K332" i="24"/>
  <c r="K288" i="24"/>
  <c r="K244" i="24"/>
  <c r="K347" i="24"/>
  <c r="K303" i="24"/>
  <c r="AQ1163" i="1" s="1"/>
  <c r="K259" i="24"/>
  <c r="K262" i="24"/>
  <c r="K269" i="24"/>
  <c r="K225" i="24"/>
  <c r="K229" i="24"/>
  <c r="K146" i="24"/>
  <c r="K314" i="24"/>
  <c r="K254" i="24"/>
  <c r="K200" i="24"/>
  <c r="K156" i="24"/>
  <c r="K348" i="24"/>
  <c r="K304" i="24"/>
  <c r="K359" i="24"/>
  <c r="K315" i="24"/>
  <c r="K271" i="24"/>
  <c r="K274" i="24"/>
  <c r="K233" i="24"/>
  <c r="K189" i="24"/>
  <c r="K145" i="24"/>
  <c r="K337" i="24"/>
  <c r="K374" i="24"/>
  <c r="K350" i="24"/>
  <c r="K290" i="24"/>
  <c r="K212" i="24"/>
  <c r="K216" i="24"/>
  <c r="K172" i="24"/>
  <c r="K364" i="24"/>
  <c r="K183" i="24"/>
  <c r="K375" i="24"/>
  <c r="K190" i="24"/>
  <c r="K149" i="24"/>
  <c r="K341" i="24"/>
  <c r="K297" i="24"/>
  <c r="K253" i="24"/>
  <c r="K182" i="24"/>
  <c r="K170" i="24"/>
  <c r="K143" i="24"/>
  <c r="K142" i="24"/>
  <c r="K320" i="24"/>
  <c r="K276" i="24"/>
  <c r="K232" i="24"/>
  <c r="K287" i="24"/>
  <c r="K243" i="24"/>
  <c r="K199" i="24"/>
  <c r="K202" i="24"/>
  <c r="K161" i="24"/>
  <c r="K353" i="24"/>
  <c r="K309" i="24"/>
  <c r="K265" i="24"/>
  <c r="K168" i="24"/>
  <c r="K302" i="24"/>
  <c r="K278" i="24"/>
  <c r="K230" i="24"/>
  <c r="K188" i="24"/>
  <c r="K336" i="24"/>
  <c r="K292" i="24"/>
  <c r="K159" i="24"/>
  <c r="K351" i="24"/>
  <c r="K307" i="24"/>
  <c r="K310" i="24"/>
  <c r="K317" i="24"/>
  <c r="K273" i="24"/>
  <c r="K277" i="24"/>
  <c r="K338" i="24"/>
  <c r="K222" i="24"/>
  <c r="K162" i="24"/>
  <c r="K248" i="24"/>
  <c r="K204" i="24"/>
  <c r="K160" i="24"/>
  <c r="K352" i="24"/>
  <c r="K171" i="24"/>
  <c r="K363" i="24"/>
  <c r="K319" i="24"/>
  <c r="K322" i="24"/>
  <c r="K281" i="24"/>
  <c r="K237" i="24"/>
  <c r="K193" i="24"/>
  <c r="K111" i="24"/>
  <c r="K282" i="24"/>
  <c r="K258" i="24"/>
  <c r="K198" i="24"/>
  <c r="K260" i="24"/>
  <c r="K264" i="24"/>
  <c r="K220" i="24"/>
  <c r="K275" i="24"/>
  <c r="K231" i="24"/>
  <c r="K187" i="24"/>
  <c r="K238" i="24"/>
  <c r="K197" i="24"/>
  <c r="K153" i="24"/>
  <c r="K345" i="24"/>
  <c r="K301" i="24"/>
  <c r="K266" i="24"/>
  <c r="K242" i="24"/>
  <c r="K215" i="24"/>
  <c r="K176" i="24"/>
  <c r="K368" i="24"/>
  <c r="K324" i="24"/>
  <c r="K280" i="24"/>
  <c r="K335" i="24"/>
  <c r="K291" i="24"/>
  <c r="K247" i="24"/>
  <c r="K250" i="24"/>
  <c r="K209" i="24"/>
  <c r="K165" i="24"/>
  <c r="K357" i="24"/>
  <c r="K313" i="24"/>
  <c r="O417" i="1"/>
  <c r="Q417" i="1" s="1"/>
  <c r="O1157" i="1"/>
  <c r="P1157" i="1" s="1"/>
  <c r="C22" i="48"/>
  <c r="C27" i="48"/>
  <c r="E27" i="48"/>
  <c r="R45" i="15"/>
  <c r="R44" i="15"/>
  <c r="C29" i="48"/>
  <c r="E29" i="48"/>
  <c r="O418" i="1"/>
  <c r="O897" i="1"/>
  <c r="P897" i="1" s="1"/>
  <c r="O929" i="1"/>
  <c r="P929" i="1" s="1"/>
  <c r="O991" i="1"/>
  <c r="P991" i="1" s="1"/>
  <c r="O888" i="1"/>
  <c r="P888" i="1" s="1"/>
  <c r="O98" i="1"/>
  <c r="O110" i="1"/>
  <c r="C43" i="39"/>
  <c r="C43" i="10"/>
  <c r="C40" i="39"/>
  <c r="C34" i="10"/>
  <c r="C44" i="39"/>
  <c r="C44" i="10"/>
  <c r="E40" i="39"/>
  <c r="E43" i="36"/>
  <c r="E34" i="10"/>
  <c r="E44" i="39"/>
  <c r="E44" i="36"/>
  <c r="E44" i="10"/>
  <c r="E43" i="39"/>
  <c r="E42" i="36"/>
  <c r="E43" i="10"/>
  <c r="G267" i="24"/>
  <c r="G343" i="24"/>
  <c r="G246" i="24"/>
  <c r="G449" i="24"/>
  <c r="G230" i="24"/>
  <c r="G238" i="24"/>
  <c r="G334" i="24"/>
  <c r="G270" i="24"/>
  <c r="G148" i="24"/>
  <c r="G181" i="24"/>
  <c r="G420" i="24"/>
  <c r="G168" i="24"/>
  <c r="G338" i="24"/>
  <c r="G218" i="24"/>
  <c r="G345" i="24"/>
  <c r="G235" i="24"/>
  <c r="G221" i="24"/>
  <c r="G42" i="57"/>
  <c r="G41" i="57"/>
  <c r="G41" i="52"/>
  <c r="G40" i="57"/>
  <c r="G43" i="52"/>
  <c r="F8" i="57"/>
  <c r="F12" i="57"/>
  <c r="F17" i="57"/>
  <c r="F18" i="57"/>
  <c r="F24" i="57"/>
  <c r="F36" i="57"/>
  <c r="G44" i="53"/>
  <c r="G45" i="53"/>
  <c r="D43" i="38"/>
  <c r="D40" i="38"/>
  <c r="D44" i="38"/>
  <c r="CL2" i="92" l="1"/>
  <c r="CP2" i="92"/>
  <c r="CH2" i="92"/>
  <c r="AQ598" i="1"/>
  <c r="AQ397" i="1"/>
  <c r="AQ436" i="1"/>
  <c r="AQ387" i="1"/>
  <c r="AQ398" i="1"/>
  <c r="AQ404" i="1"/>
  <c r="AQ442" i="1"/>
  <c r="P417" i="1"/>
  <c r="AQ122" i="1"/>
  <c r="AQ403" i="1"/>
  <c r="AQ353" i="1"/>
  <c r="AQ420" i="1"/>
  <c r="AQ378" i="1"/>
  <c r="AQ796" i="1"/>
  <c r="AQ1149" i="1"/>
  <c r="AQ787" i="1"/>
  <c r="AQ419" i="1"/>
  <c r="AQ363" i="1"/>
  <c r="AQ895" i="1"/>
  <c r="AQ573" i="1"/>
  <c r="AQ338" i="1"/>
  <c r="AQ1150" i="1"/>
  <c r="AQ872" i="1"/>
  <c r="AQ354" i="1"/>
  <c r="AQ764" i="1"/>
  <c r="AQ873" i="1"/>
  <c r="AQ177" i="1"/>
  <c r="AQ152" i="1"/>
  <c r="AQ661" i="1"/>
  <c r="AQ198" i="1"/>
  <c r="AQ217" i="1"/>
  <c r="AQ352" i="1"/>
  <c r="AQ1126" i="1"/>
  <c r="AQ153" i="1"/>
  <c r="AQ433" i="1"/>
  <c r="AQ460" i="1"/>
  <c r="AQ616" i="1"/>
  <c r="AQ685" i="1"/>
  <c r="AQ143" i="1"/>
  <c r="AQ390" i="1"/>
  <c r="AQ786" i="1"/>
  <c r="AQ870" i="1"/>
  <c r="AQ760" i="1"/>
  <c r="AQ601" i="1"/>
  <c r="AQ400" i="1"/>
  <c r="AQ142" i="1"/>
  <c r="AQ335" i="1"/>
  <c r="AQ1106" i="1"/>
  <c r="AQ113" i="1"/>
  <c r="AQ141" i="1"/>
  <c r="AQ427" i="1"/>
  <c r="AQ355" i="1"/>
  <c r="AQ391" i="1"/>
  <c r="AQ97" i="1"/>
  <c r="AQ350" i="1"/>
  <c r="AQ369" i="1"/>
  <c r="AQ643" i="1"/>
  <c r="AQ933" i="1"/>
  <c r="AQ151" i="1"/>
  <c r="AQ424" i="1"/>
  <c r="AQ412" i="1"/>
  <c r="AQ860" i="1"/>
  <c r="AQ554" i="1"/>
  <c r="AQ365" i="1"/>
  <c r="AQ1065" i="1"/>
  <c r="AQ1068" i="1"/>
  <c r="AQ630" i="1"/>
  <c r="AQ540" i="1"/>
  <c r="AQ682" i="1"/>
  <c r="AQ972" i="1"/>
  <c r="AQ358" i="1"/>
  <c r="AQ1074" i="1"/>
  <c r="AQ147" i="1"/>
  <c r="AQ693" i="1"/>
  <c r="AQ772" i="1"/>
  <c r="AQ862" i="1"/>
  <c r="AQ934" i="1"/>
  <c r="AQ384" i="1"/>
  <c r="AQ1031" i="1"/>
  <c r="AQ542" i="1"/>
  <c r="AQ659" i="1"/>
  <c r="AQ993" i="1"/>
  <c r="AQ203" i="1"/>
  <c r="AQ931" i="1"/>
  <c r="AQ425" i="1"/>
  <c r="AQ145" i="1"/>
  <c r="AQ871" i="1"/>
  <c r="AQ220" i="1"/>
  <c r="S44" i="15"/>
  <c r="D42" i="36" s="1"/>
  <c r="S45" i="15"/>
  <c r="D43" i="36" s="1"/>
  <c r="S46" i="15"/>
  <c r="D44" i="36" s="1"/>
  <c r="AQ657" i="1"/>
  <c r="AQ572" i="1"/>
  <c r="R895" i="1"/>
  <c r="S895" i="1" s="1"/>
  <c r="AC42" i="15" s="1"/>
  <c r="AC47" i="15" s="1"/>
  <c r="C14" i="100" s="1"/>
  <c r="Q418" i="1"/>
  <c r="P418" i="1"/>
  <c r="AQ361" i="1"/>
  <c r="AQ357" i="1"/>
  <c r="AQ360" i="1"/>
  <c r="AQ402" i="1"/>
  <c r="AQ366" i="1"/>
  <c r="AQ370" i="1"/>
  <c r="AQ388" i="1"/>
  <c r="AQ413" i="1"/>
  <c r="AQ443" i="1"/>
  <c r="AQ423" i="1"/>
  <c r="AQ395" i="1"/>
  <c r="AQ381" i="1"/>
  <c r="AQ379" i="1"/>
  <c r="Q897" i="1"/>
  <c r="AQ238" i="1"/>
  <c r="Q98" i="1"/>
  <c r="T96" i="1" s="1"/>
  <c r="P98" i="1"/>
  <c r="R96" i="1" s="1"/>
  <c r="S96" i="1" s="1"/>
  <c r="AQ64" i="1"/>
  <c r="AQ888" i="1"/>
  <c r="AQ418" i="1"/>
  <c r="AQ543" i="1"/>
  <c r="AQ541" i="1"/>
  <c r="AQ411" i="1"/>
  <c r="AQ740" i="1"/>
  <c r="AQ383" i="1"/>
  <c r="AQ215" i="1"/>
  <c r="AQ894" i="1"/>
  <c r="AQ974" i="1"/>
  <c r="AQ941" i="1"/>
  <c r="AQ973" i="1"/>
  <c r="AQ1121" i="1"/>
  <c r="AQ172" i="1"/>
  <c r="AQ694" i="1"/>
  <c r="AQ831" i="1"/>
  <c r="AQ170" i="1"/>
  <c r="AQ119" i="1"/>
  <c r="AQ948" i="1"/>
  <c r="AQ356" i="1"/>
  <c r="AQ171" i="1"/>
  <c r="AQ506" i="1"/>
  <c r="AQ711" i="1"/>
  <c r="AQ762" i="1"/>
  <c r="AQ644" i="1"/>
  <c r="AQ347" i="1"/>
  <c r="AQ709" i="1"/>
  <c r="AQ508" i="1"/>
  <c r="AQ1122" i="1"/>
  <c r="AQ111" i="1"/>
  <c r="AQ563" i="1"/>
  <c r="AQ1005" i="1"/>
  <c r="AQ507" i="1"/>
  <c r="AQ1071" i="1"/>
  <c r="AQ168" i="1"/>
  <c r="AQ880" i="1"/>
  <c r="AQ976" i="1"/>
  <c r="AQ329" i="1"/>
  <c r="AQ736" i="1"/>
  <c r="AQ1124" i="1"/>
  <c r="AQ231" i="1"/>
  <c r="AQ777" i="1"/>
  <c r="AQ214" i="1"/>
  <c r="AQ861" i="1"/>
  <c r="AQ1086" i="1"/>
  <c r="AQ586" i="1"/>
  <c r="AQ204" i="1"/>
  <c r="AQ558" i="1"/>
  <c r="AQ599" i="1"/>
  <c r="AQ219" i="1"/>
  <c r="AQ874" i="1"/>
  <c r="AQ692" i="1"/>
  <c r="AQ351" i="1"/>
  <c r="AQ684" i="1"/>
  <c r="AQ359" i="1"/>
  <c r="AQ814" i="1"/>
  <c r="AQ876" i="1"/>
  <c r="AQ602" i="1"/>
  <c r="AQ150" i="1"/>
  <c r="AQ928" i="1"/>
  <c r="AQ774" i="1"/>
  <c r="AQ1075" i="1"/>
  <c r="AQ1066" i="1"/>
  <c r="AQ14" i="1"/>
  <c r="AQ434" i="1"/>
  <c r="AQ99" i="1"/>
  <c r="AQ146" i="1"/>
  <c r="AQ1069" i="1"/>
  <c r="AQ687" i="1"/>
  <c r="AQ273" i="1"/>
  <c r="AQ707" i="1"/>
  <c r="AQ375" i="1"/>
  <c r="AQ271" i="1"/>
  <c r="AQ140" i="1"/>
  <c r="AQ597" i="1"/>
  <c r="AQ348" i="1"/>
  <c r="AQ1067" i="1"/>
  <c r="AQ154" i="1"/>
  <c r="AQ1072" i="1"/>
  <c r="AQ930" i="1"/>
  <c r="AQ139" i="1"/>
  <c r="AQ690" i="1"/>
  <c r="AQ45" i="1"/>
  <c r="AQ1070" i="1"/>
  <c r="AQ607" i="1"/>
  <c r="AQ96" i="1"/>
  <c r="AQ415" i="1"/>
  <c r="AQ686" i="1"/>
  <c r="AQ270" i="1"/>
  <c r="AQ156" i="1"/>
  <c r="AQ372" i="1"/>
  <c r="AQ706" i="1"/>
  <c r="AQ44" i="1"/>
  <c r="AQ224" i="1"/>
  <c r="AQ43" i="1"/>
  <c r="AQ149" i="1"/>
  <c r="AQ148" i="1"/>
  <c r="AQ603" i="1"/>
  <c r="AQ462" i="1"/>
  <c r="AQ46" i="1"/>
  <c r="AQ144" i="1"/>
  <c r="AQ221" i="1"/>
  <c r="AQ155" i="1"/>
  <c r="AQ272" i="1"/>
  <c r="AQ422" i="1"/>
  <c r="AQ566" i="1"/>
  <c r="AQ567" i="1"/>
  <c r="AQ662" i="1"/>
  <c r="AQ832" i="1"/>
  <c r="AQ1020" i="1"/>
  <c r="AQ1025" i="1"/>
  <c r="AQ1029" i="1"/>
  <c r="AQ1030" i="1"/>
  <c r="AQ1047" i="1"/>
  <c r="AQ1115" i="1"/>
  <c r="AQ784" i="1"/>
  <c r="AQ392" i="1"/>
  <c r="E45" i="15"/>
  <c r="E44" i="15"/>
  <c r="D24" i="53"/>
  <c r="G24" i="53" s="1"/>
  <c r="G36" i="57"/>
  <c r="R40" i="15"/>
  <c r="G24" i="57"/>
  <c r="R28" i="15"/>
  <c r="G18" i="57"/>
  <c r="R22" i="15"/>
  <c r="G17" i="57"/>
  <c r="R21" i="15"/>
  <c r="G12" i="57"/>
  <c r="R16" i="15"/>
  <c r="G8" i="57"/>
  <c r="R12" i="15"/>
  <c r="D46" i="44"/>
  <c r="E46" i="44" s="1"/>
  <c r="D46" i="43"/>
  <c r="R347" i="1" l="1"/>
  <c r="S347" i="1" s="1"/>
  <c r="W19" i="15" s="1"/>
  <c r="AF19" i="15" s="1"/>
  <c r="CH41" i="92"/>
  <c r="CT41" i="92" s="1"/>
  <c r="CT2" i="92"/>
  <c r="CP41" i="92"/>
  <c r="DB41" i="92" s="1"/>
  <c r="DB2" i="92"/>
  <c r="CL41" i="92"/>
  <c r="CX41" i="92" s="1"/>
  <c r="CX2" i="92"/>
  <c r="AQ293" i="1"/>
  <c r="AQ779" i="1"/>
  <c r="AQ795" i="1"/>
  <c r="AQ792" i="1"/>
  <c r="AQ61" i="1"/>
  <c r="AQ66" i="1"/>
  <c r="AQ526" i="1"/>
  <c r="AQ240" i="1"/>
  <c r="AQ785" i="1"/>
  <c r="AQ1136" i="1"/>
  <c r="AQ1144" i="1"/>
  <c r="S12" i="15"/>
  <c r="S16" i="15"/>
  <c r="S21" i="15"/>
  <c r="S22" i="15"/>
  <c r="S28" i="15"/>
  <c r="S40" i="15"/>
  <c r="D22" i="48"/>
  <c r="D27" i="48"/>
  <c r="CJ16" i="92"/>
  <c r="CV16" i="92" s="1"/>
  <c r="CN16" i="92"/>
  <c r="CZ16" i="92" s="1"/>
  <c r="CR16" i="92"/>
  <c r="DD16" i="92" s="1"/>
  <c r="AQ555" i="1"/>
  <c r="AQ373" i="1"/>
  <c r="AQ60" i="1"/>
  <c r="AQ1015" i="1"/>
  <c r="AQ1100" i="1"/>
  <c r="AQ10" i="1"/>
  <c r="AQ809" i="1"/>
  <c r="AQ459" i="1"/>
  <c r="AQ461" i="1"/>
  <c r="AQ13" i="1"/>
  <c r="AQ926" i="1"/>
  <c r="AQ103" i="1"/>
  <c r="AQ228" i="1"/>
  <c r="AQ553" i="1"/>
  <c r="AQ664" i="1"/>
  <c r="AQ703" i="1"/>
  <c r="AQ869" i="1"/>
  <c r="AQ877" i="1"/>
  <c r="AQ1035" i="1"/>
  <c r="AQ1082" i="1"/>
  <c r="AQ1049" i="1"/>
  <c r="AQ1094" i="1"/>
  <c r="AQ1062" i="1"/>
  <c r="AQ213" i="1"/>
  <c r="AQ688" i="1"/>
  <c r="AQ975" i="1"/>
  <c r="AQ864" i="1"/>
  <c r="AQ943" i="1"/>
  <c r="AQ197" i="1"/>
  <c r="AQ552" i="1"/>
  <c r="AQ432" i="1"/>
  <c r="AQ604" i="1"/>
  <c r="AQ924" i="1"/>
  <c r="AQ17" i="1"/>
  <c r="AQ20" i="1"/>
  <c r="AQ201" i="1"/>
  <c r="AQ389" i="1"/>
  <c r="AQ515" i="1"/>
  <c r="AQ556" i="1"/>
  <c r="AQ571" i="1"/>
  <c r="AQ710" i="1"/>
  <c r="AQ781" i="1"/>
  <c r="AQ564" i="1"/>
  <c r="AQ562" i="1"/>
  <c r="AQ568" i="1"/>
  <c r="AQ945" i="1"/>
  <c r="AQ206" i="1"/>
  <c r="AQ613" i="1"/>
  <c r="AQ337" i="1"/>
  <c r="AQ330" i="1"/>
  <c r="AQ333" i="1"/>
  <c r="AQ410" i="1"/>
  <c r="AQ513" i="1"/>
  <c r="AQ614" i="1"/>
  <c r="AQ611" i="1"/>
  <c r="AQ1103" i="1"/>
  <c r="AQ1054" i="1"/>
  <c r="AQ232" i="1"/>
  <c r="AQ731" i="1"/>
  <c r="AQ274" i="1"/>
  <c r="AQ647" i="1"/>
  <c r="AQ102" i="1"/>
  <c r="AQ588" i="1"/>
  <c r="AQ466" i="1"/>
  <c r="AQ458" i="1"/>
  <c r="AQ885" i="1"/>
  <c r="AQ878" i="1"/>
  <c r="AQ1131" i="1"/>
  <c r="AQ464" i="1"/>
  <c r="AQ605" i="1"/>
  <c r="AQ1151" i="1"/>
  <c r="AQ239" i="1"/>
  <c r="AQ735" i="1"/>
  <c r="AQ788" i="1"/>
  <c r="AQ557" i="1"/>
  <c r="AQ600" i="1"/>
  <c r="AQ968" i="1"/>
  <c r="AQ962" i="1"/>
  <c r="AQ940" i="1"/>
  <c r="AQ1097" i="1"/>
  <c r="AQ547" i="1"/>
  <c r="AQ947" i="1"/>
  <c r="AQ741" i="1"/>
  <c r="AQ979" i="1"/>
  <c r="AQ110" i="1"/>
  <c r="AQ98" i="1"/>
  <c r="AQ1027" i="1"/>
  <c r="AQ1042" i="1"/>
  <c r="AQ1138" i="1"/>
  <c r="AQ530" i="1"/>
  <c r="AQ648" i="1"/>
  <c r="AQ529" i="1"/>
  <c r="AQ437" i="1"/>
  <c r="AQ584" i="1"/>
  <c r="AQ463" i="1"/>
  <c r="AQ457" i="1"/>
  <c r="AQ56" i="1"/>
  <c r="AQ730" i="1"/>
  <c r="AQ1045" i="1"/>
  <c r="AQ944" i="1"/>
  <c r="AQ1145" i="1"/>
  <c r="AQ763" i="1"/>
  <c r="AQ734" i="1"/>
  <c r="AQ467" i="1"/>
  <c r="AQ695" i="1"/>
  <c r="AQ744" i="1"/>
  <c r="AQ167" i="1"/>
  <c r="AQ691" i="1"/>
  <c r="AQ205" i="1"/>
  <c r="AQ1091" i="1"/>
  <c r="AQ62" i="1"/>
  <c r="AQ405" i="1"/>
  <c r="AQ1000" i="1"/>
  <c r="AQ1033" i="1"/>
  <c r="AQ1060" i="1"/>
  <c r="AQ57" i="1"/>
  <c r="AQ55" i="1"/>
  <c r="AQ946" i="1"/>
  <c r="AQ1028" i="1"/>
  <c r="AQ1043" i="1"/>
  <c r="AQ1080" i="1"/>
  <c r="AQ1110" i="1"/>
  <c r="AQ1139" i="1"/>
  <c r="AQ1146" i="1"/>
  <c r="AQ1156" i="1"/>
  <c r="AQ12" i="1"/>
  <c r="AQ24" i="1"/>
  <c r="AQ19" i="1"/>
  <c r="AQ18" i="1"/>
  <c r="AQ450" i="1"/>
  <c r="AQ449" i="1"/>
  <c r="AQ665" i="1"/>
  <c r="AQ1130" i="1"/>
  <c r="AQ1026" i="1"/>
  <c r="AQ285" i="1"/>
  <c r="AQ200" i="1"/>
  <c r="AQ955" i="1"/>
  <c r="AQ1160" i="1"/>
  <c r="AQ114" i="1"/>
  <c r="AQ108" i="1"/>
  <c r="AQ118" i="1"/>
  <c r="AQ121" i="1"/>
  <c r="AQ229" i="1"/>
  <c r="AQ574" i="1"/>
  <c r="AQ1036" i="1"/>
  <c r="AQ1083" i="1"/>
  <c r="AQ1093" i="1"/>
  <c r="AQ942" i="1"/>
  <c r="AQ1077" i="1"/>
  <c r="AQ1104" i="1"/>
  <c r="AQ1078" i="1"/>
  <c r="AQ612" i="1"/>
  <c r="AQ609" i="1"/>
  <c r="AQ890" i="1"/>
  <c r="AQ882" i="1"/>
  <c r="AQ549" i="1"/>
  <c r="AQ514" i="1"/>
  <c r="AQ653" i="1"/>
  <c r="AQ883" i="1"/>
  <c r="AQ1095" i="1"/>
  <c r="AQ1099" i="1"/>
  <c r="AQ297" i="1"/>
  <c r="AQ441" i="1"/>
  <c r="AQ1112" i="1"/>
  <c r="AQ1055" i="1"/>
  <c r="AQ1024" i="1"/>
  <c r="AQ1041" i="1"/>
  <c r="AQ1052" i="1"/>
  <c r="AQ956" i="1"/>
  <c r="AQ1019" i="1"/>
  <c r="AQ1059" i="1"/>
  <c r="AQ635" i="1"/>
  <c r="AQ509" i="1"/>
  <c r="AQ1006" i="1"/>
  <c r="AQ989" i="1"/>
  <c r="AQ16" i="1"/>
  <c r="AQ117" i="1"/>
  <c r="AQ865" i="1"/>
  <c r="AQ887" i="1"/>
  <c r="AQ892" i="1"/>
  <c r="AQ585" i="1"/>
  <c r="AQ863" i="1"/>
  <c r="AQ858" i="1"/>
  <c r="AQ857" i="1"/>
  <c r="AQ886" i="1"/>
  <c r="AQ1039" i="1"/>
  <c r="AQ1022" i="1"/>
  <c r="AQ997" i="1"/>
  <c r="AQ1109" i="1"/>
  <c r="AQ1004" i="1"/>
  <c r="AQ995" i="1"/>
  <c r="AQ1011" i="1"/>
  <c r="AQ1051" i="1"/>
  <c r="AQ985" i="1"/>
  <c r="AQ1009" i="1"/>
  <c r="AQ1133" i="1"/>
  <c r="AQ1142" i="1"/>
  <c r="AQ1152" i="1"/>
  <c r="AQ778" i="1"/>
  <c r="AQ790" i="1"/>
  <c r="AQ548" i="1"/>
  <c r="AQ742" i="1"/>
  <c r="AQ859" i="1"/>
  <c r="AQ866" i="1"/>
  <c r="AQ438" i="1"/>
  <c r="AQ528" i="1"/>
  <c r="AQ1037" i="1"/>
  <c r="AQ1084" i="1"/>
  <c r="AQ953" i="1"/>
  <c r="AQ1159" i="1"/>
  <c r="AQ1040" i="1"/>
  <c r="AQ1023" i="1"/>
  <c r="AQ218" i="1"/>
  <c r="AQ202" i="1"/>
  <c r="AQ105" i="1"/>
  <c r="AQ216" i="1"/>
  <c r="AQ704" i="1"/>
  <c r="AQ377" i="1"/>
  <c r="AQ743" i="1"/>
  <c r="AQ589" i="1"/>
  <c r="AQ67" i="1"/>
  <c r="AQ100" i="1"/>
  <c r="AQ76" i="1"/>
  <c r="AQ269" i="1"/>
  <c r="AQ561" i="1"/>
  <c r="AQ646" i="1"/>
  <c r="AQ629" i="1"/>
  <c r="AQ761" i="1"/>
  <c r="AQ806" i="1"/>
  <c r="AQ523" i="1"/>
  <c r="AQ689" i="1"/>
  <c r="AQ595" i="1"/>
  <c r="AQ720" i="1"/>
  <c r="AQ223" i="1"/>
  <c r="AQ702" i="1"/>
  <c r="AQ867" i="1"/>
  <c r="AQ936" i="1"/>
  <c r="AQ952" i="1"/>
  <c r="AQ112" i="1"/>
  <c r="AQ465" i="1"/>
  <c r="AQ334" i="1"/>
  <c r="AQ656" i="1"/>
  <c r="AQ658" i="1"/>
  <c r="AQ782" i="1"/>
  <c r="AQ818" i="1"/>
  <c r="AQ992" i="1"/>
  <c r="AQ932" i="1"/>
  <c r="AQ227" i="1"/>
  <c r="AQ532" i="1"/>
  <c r="AQ533" i="1"/>
  <c r="AQ575" i="1"/>
  <c r="AQ610" i="1"/>
  <c r="AQ409" i="1"/>
  <c r="AQ606" i="1"/>
  <c r="AQ958" i="1"/>
  <c r="AQ984" i="1"/>
  <c r="AQ967" i="1"/>
  <c r="AQ990" i="1"/>
  <c r="AQ109" i="1"/>
  <c r="AQ15" i="1"/>
  <c r="AQ957" i="1"/>
  <c r="AQ982" i="1"/>
  <c r="AQ966" i="1"/>
  <c r="AQ938" i="1"/>
  <c r="AQ884" i="1"/>
  <c r="AQ898" i="1"/>
  <c r="AQ1116" i="1"/>
  <c r="AQ1057" i="1"/>
  <c r="AQ1079" i="1"/>
  <c r="AQ417" i="1"/>
  <c r="AQ897" i="1"/>
  <c r="AQ705" i="1"/>
  <c r="AQ773" i="1"/>
  <c r="AQ212" i="1"/>
  <c r="AQ525" i="1"/>
  <c r="AQ77" i="1"/>
  <c r="AQ225" i="1"/>
  <c r="AQ199" i="1"/>
  <c r="AQ241" i="1"/>
  <c r="AQ268" i="1"/>
  <c r="AQ165" i="1"/>
  <c r="AQ207" i="1"/>
  <c r="AQ101" i="1"/>
  <c r="AQ701" i="1"/>
  <c r="AQ587" i="1"/>
  <c r="AQ560" i="1"/>
  <c r="AQ596" i="1"/>
  <c r="AQ628" i="1"/>
  <c r="AQ645" i="1"/>
  <c r="AQ522" i="1"/>
  <c r="AQ160" i="1"/>
  <c r="AQ719" i="1"/>
  <c r="AQ935" i="1"/>
  <c r="AQ951" i="1"/>
  <c r="AQ868" i="1"/>
  <c r="AQ807" i="1"/>
  <c r="AQ812" i="1"/>
  <c r="AQ811" i="1"/>
  <c r="AQ808" i="1"/>
  <c r="AQ1017" i="1"/>
  <c r="AQ927" i="1"/>
  <c r="AQ58" i="1"/>
  <c r="AQ104" i="1"/>
  <c r="AQ196" i="1"/>
  <c r="AQ641" i="1"/>
  <c r="AQ642" i="1"/>
  <c r="AQ1007" i="1"/>
  <c r="AQ977" i="1"/>
  <c r="AQ120" i="1"/>
  <c r="AQ421" i="1"/>
  <c r="AQ983" i="1"/>
  <c r="AQ999" i="1"/>
  <c r="AQ961" i="1"/>
  <c r="AQ1101" i="1"/>
  <c r="AQ939" i="1"/>
  <c r="AQ1012" i="1"/>
  <c r="AQ1096" i="1"/>
  <c r="AQ978" i="1"/>
  <c r="AQ1010" i="1"/>
  <c r="AQ1153" i="1"/>
  <c r="AQ1134" i="1"/>
  <c r="AQ385" i="1"/>
  <c r="AQ230" i="1"/>
  <c r="AQ1038" i="1"/>
  <c r="AQ954" i="1"/>
  <c r="AQ1076" i="1"/>
  <c r="AQ1107" i="1"/>
  <c r="AQ237" i="1"/>
  <c r="AQ683" i="1"/>
  <c r="AQ559" i="1"/>
  <c r="AQ1137" i="1"/>
  <c r="AQ794" i="1"/>
  <c r="AQ780" i="1"/>
  <c r="AQ959" i="1"/>
  <c r="AQ1098" i="1"/>
  <c r="AQ1016" i="1"/>
  <c r="AQ925" i="1"/>
  <c r="AQ937" i="1"/>
  <c r="AQ998" i="1"/>
  <c r="AQ980" i="1"/>
  <c r="AQ1111" i="1"/>
  <c r="AQ986" i="1"/>
  <c r="AQ783" i="1"/>
  <c r="AQ1129" i="1"/>
  <c r="AQ512" i="1"/>
  <c r="AQ339" i="1"/>
  <c r="AQ889" i="1"/>
  <c r="AQ881" i="1"/>
  <c r="AQ234" i="1"/>
  <c r="AQ233" i="1"/>
  <c r="AQ371" i="1"/>
  <c r="AQ988" i="1"/>
  <c r="AQ996" i="1"/>
  <c r="AQ971" i="1"/>
  <c r="AQ1003" i="1"/>
  <c r="AQ1108" i="1"/>
  <c r="AQ1128" i="1"/>
  <c r="AQ991" i="1"/>
  <c r="AQ929" i="1"/>
  <c r="AQ1157" i="1"/>
  <c r="AQ1143" i="1"/>
  <c r="AQ1154" i="1"/>
  <c r="AQ1135" i="1"/>
  <c r="CJ5" i="92"/>
  <c r="CL34" i="92"/>
  <c r="CX34" i="92" s="1"/>
  <c r="CH34" i="92"/>
  <c r="CT34" i="92" s="1"/>
  <c r="CP34" i="92"/>
  <c r="DB34" i="92" s="1"/>
  <c r="CI12" i="92"/>
  <c r="CU12" i="92" s="1"/>
  <c r="CQ12" i="92"/>
  <c r="DC12" i="92" s="1"/>
  <c r="CM12" i="92"/>
  <c r="CY12" i="92" s="1"/>
  <c r="CI24" i="92"/>
  <c r="CU24" i="92" s="1"/>
  <c r="CQ24" i="92"/>
  <c r="DC24" i="92" s="1"/>
  <c r="CM24" i="92"/>
  <c r="CY24" i="92" s="1"/>
  <c r="CR21" i="92"/>
  <c r="DD21" i="92" s="1"/>
  <c r="CJ21" i="92"/>
  <c r="CV21" i="92" s="1"/>
  <c r="CN21" i="92"/>
  <c r="CZ21" i="92" s="1"/>
  <c r="D43" i="39"/>
  <c r="D43" i="10"/>
  <c r="D40" i="39"/>
  <c r="D34" i="10"/>
  <c r="G44" i="15"/>
  <c r="G45" i="15"/>
  <c r="G42" i="52"/>
  <c r="N929" i="1"/>
  <c r="AL929" i="1" s="1"/>
  <c r="N944" i="1"/>
  <c r="AL944" i="1" s="1"/>
  <c r="N949" i="1"/>
  <c r="AL949" i="1" s="1"/>
  <c r="N950" i="1"/>
  <c r="AL950" i="1" s="1"/>
  <c r="N951" i="1"/>
  <c r="AL951" i="1" s="1"/>
  <c r="N952" i="1"/>
  <c r="AL952" i="1" s="1"/>
  <c r="N953" i="1"/>
  <c r="AL953" i="1" s="1"/>
  <c r="N954" i="1"/>
  <c r="AL954" i="1" s="1"/>
  <c r="N955" i="1"/>
  <c r="AL955" i="1" s="1"/>
  <c r="N956" i="1"/>
  <c r="AL956" i="1" s="1"/>
  <c r="N948" i="1"/>
  <c r="AL948" i="1" s="1"/>
  <c r="N925" i="1"/>
  <c r="AL925" i="1" s="1"/>
  <c r="N926" i="1"/>
  <c r="AL926" i="1" s="1"/>
  <c r="N927" i="1"/>
  <c r="AL927" i="1" s="1"/>
  <c r="N930" i="1"/>
  <c r="AL930" i="1" s="1"/>
  <c r="N931" i="1"/>
  <c r="AL931" i="1" s="1"/>
  <c r="N932" i="1"/>
  <c r="AL932" i="1" s="1"/>
  <c r="N933" i="1"/>
  <c r="AL933" i="1" s="1"/>
  <c r="N934" i="1"/>
  <c r="AL934" i="1" s="1"/>
  <c r="N935" i="1"/>
  <c r="AL935" i="1" s="1"/>
  <c r="N936" i="1"/>
  <c r="AL936" i="1" s="1"/>
  <c r="N924" i="1"/>
  <c r="AL924" i="1" s="1"/>
  <c r="N862" i="1"/>
  <c r="AL862" i="1" s="1"/>
  <c r="N861" i="1"/>
  <c r="AL861" i="1" s="1"/>
  <c r="N213" i="1"/>
  <c r="AL213" i="1" s="1"/>
  <c r="N214" i="1"/>
  <c r="AL214" i="1" s="1"/>
  <c r="N215" i="1"/>
  <c r="AL215" i="1" s="1"/>
  <c r="N216" i="1"/>
  <c r="AL216" i="1" s="1"/>
  <c r="N217" i="1"/>
  <c r="AL217" i="1" s="1"/>
  <c r="N218" i="1"/>
  <c r="AL218" i="1" s="1"/>
  <c r="N219" i="1"/>
  <c r="AL219" i="1" s="1"/>
  <c r="N220" i="1"/>
  <c r="AL220" i="1" s="1"/>
  <c r="N221" i="1"/>
  <c r="AL221" i="1" s="1"/>
  <c r="N222" i="1"/>
  <c r="AL222" i="1" s="1"/>
  <c r="N223" i="1"/>
  <c r="AL223" i="1" s="1"/>
  <c r="N224" i="1"/>
  <c r="AL224" i="1" s="1"/>
  <c r="N225" i="1"/>
  <c r="AL225" i="1" s="1"/>
  <c r="N226" i="1"/>
  <c r="AL226" i="1" s="1"/>
  <c r="N227" i="1"/>
  <c r="AL227" i="1" s="1"/>
  <c r="N228" i="1"/>
  <c r="AL228" i="1" s="1"/>
  <c r="N229" i="1"/>
  <c r="AL229" i="1" s="1"/>
  <c r="N230" i="1"/>
  <c r="AL230" i="1" s="1"/>
  <c r="N232" i="1"/>
  <c r="AL232" i="1" s="1"/>
  <c r="N212" i="1"/>
  <c r="AL212" i="1" s="1"/>
  <c r="N1181" i="1"/>
  <c r="AL1181" i="1" s="1"/>
  <c r="N1182" i="1"/>
  <c r="AL1182" i="1" s="1"/>
  <c r="N1176" i="1"/>
  <c r="AL1176" i="1" s="1"/>
  <c r="N1177" i="1"/>
  <c r="AL1177" i="1" s="1"/>
  <c r="N1180" i="1"/>
  <c r="AL1180" i="1" s="1"/>
  <c r="N1175" i="1"/>
  <c r="AL1175" i="1" s="1"/>
  <c r="N153" i="1"/>
  <c r="N154" i="1"/>
  <c r="N155" i="1"/>
  <c r="N156" i="1"/>
  <c r="N152" i="1"/>
  <c r="N140" i="1"/>
  <c r="N141" i="1"/>
  <c r="AL141" i="1" s="1"/>
  <c r="N142" i="1"/>
  <c r="AL142" i="1" s="1"/>
  <c r="N143" i="1"/>
  <c r="N144" i="1"/>
  <c r="AL144" i="1" s="1"/>
  <c r="N145" i="1"/>
  <c r="N146" i="1"/>
  <c r="N147" i="1"/>
  <c r="N148" i="1"/>
  <c r="N149" i="1"/>
  <c r="N150" i="1"/>
  <c r="N139" i="1"/>
  <c r="AL139" i="1" s="1"/>
  <c r="F27" i="48" l="1"/>
  <c r="F22" i="48"/>
  <c r="CQ8" i="92"/>
  <c r="DC8" i="92" s="1"/>
  <c r="CI8" i="92"/>
  <c r="CU8" i="92" s="1"/>
  <c r="CM8" i="92"/>
  <c r="CY8" i="92" s="1"/>
  <c r="Q150" i="1"/>
  <c r="AL150" i="1"/>
  <c r="CN4" i="92"/>
  <c r="CZ4" i="92" s="1"/>
  <c r="CR4" i="92"/>
  <c r="DD4" i="92" s="1"/>
  <c r="CJ4" i="92"/>
  <c r="CV4" i="92" s="1"/>
  <c r="Q156" i="1"/>
  <c r="AL156" i="1"/>
  <c r="Q153" i="1"/>
  <c r="AL153" i="1"/>
  <c r="CJ8" i="92"/>
  <c r="CV8" i="92" s="1"/>
  <c r="CN8" i="92"/>
  <c r="CZ8" i="92" s="1"/>
  <c r="CR8" i="92"/>
  <c r="DD8" i="92" s="1"/>
  <c r="Q149" i="1"/>
  <c r="AL149" i="1"/>
  <c r="Q148" i="1"/>
  <c r="AL148" i="1"/>
  <c r="Q140" i="1"/>
  <c r="AL140" i="1"/>
  <c r="Q145" i="1"/>
  <c r="AL145" i="1"/>
  <c r="Q155" i="1"/>
  <c r="AL155" i="1"/>
  <c r="Q154" i="1"/>
  <c r="AL154" i="1"/>
  <c r="Q143" i="1"/>
  <c r="AL143" i="1"/>
  <c r="Q147" i="1"/>
  <c r="AL147" i="1"/>
  <c r="Q152" i="1"/>
  <c r="AL152" i="1"/>
  <c r="Q146" i="1"/>
  <c r="AL146" i="1"/>
  <c r="CN5" i="92"/>
  <c r="CR5" i="92"/>
  <c r="DD5" i="92" s="1"/>
  <c r="Q139" i="1"/>
  <c r="Q144" i="1"/>
  <c r="Q142" i="1"/>
  <c r="Q141" i="1"/>
  <c r="Q1175" i="1"/>
  <c r="Q1180" i="1"/>
  <c r="Q1177" i="1"/>
  <c r="Q1176" i="1"/>
  <c r="Q1182" i="1"/>
  <c r="T347" i="1" s="1"/>
  <c r="Q1181" i="1"/>
  <c r="Q212" i="1"/>
  <c r="Q232" i="1"/>
  <c r="Q230" i="1"/>
  <c r="Q229" i="1"/>
  <c r="Q228" i="1"/>
  <c r="Q227" i="1"/>
  <c r="Q226" i="1"/>
  <c r="Q225" i="1"/>
  <c r="Q224" i="1"/>
  <c r="Q223" i="1"/>
  <c r="Q222" i="1"/>
  <c r="Q221" i="1"/>
  <c r="Q220" i="1"/>
  <c r="Q219" i="1"/>
  <c r="Q218" i="1"/>
  <c r="Q217" i="1"/>
  <c r="Q216" i="1"/>
  <c r="Q215" i="1"/>
  <c r="Q214" i="1"/>
  <c r="Q213" i="1"/>
  <c r="Q861" i="1"/>
  <c r="Q862" i="1"/>
  <c r="Q924" i="1"/>
  <c r="Q936" i="1"/>
  <c r="Q935" i="1"/>
  <c r="Q934" i="1"/>
  <c r="Q933" i="1"/>
  <c r="Q932" i="1"/>
  <c r="Q931" i="1"/>
  <c r="Q930" i="1"/>
  <c r="Q927" i="1"/>
  <c r="Q926" i="1"/>
  <c r="Q925" i="1"/>
  <c r="Q948" i="1"/>
  <c r="Q956" i="1"/>
  <c r="Q955" i="1"/>
  <c r="Q954" i="1"/>
  <c r="Q953" i="1"/>
  <c r="Q952" i="1"/>
  <c r="Q951" i="1"/>
  <c r="Q950" i="1"/>
  <c r="Q949" i="1"/>
  <c r="Q944" i="1"/>
  <c r="Q929" i="1"/>
  <c r="CQ20" i="92"/>
  <c r="DC20" i="92" s="1"/>
  <c r="CM20" i="92"/>
  <c r="CY20" i="92" s="1"/>
  <c r="CI20" i="92"/>
  <c r="CU20" i="92" s="1"/>
  <c r="CI3" i="92"/>
  <c r="CU3" i="92" s="1"/>
  <c r="CQ3" i="92"/>
  <c r="DC3" i="92" s="1"/>
  <c r="CM3" i="92"/>
  <c r="CY3" i="92" s="1"/>
  <c r="CM7" i="92"/>
  <c r="CY7" i="92" s="1"/>
  <c r="CI7" i="92"/>
  <c r="CU7" i="92" s="1"/>
  <c r="CQ7" i="92"/>
  <c r="DC7" i="92" s="1"/>
  <c r="CV5" i="92"/>
  <c r="CH21" i="92"/>
  <c r="CT21" i="92" s="1"/>
  <c r="CL21" i="92"/>
  <c r="CX21" i="92" s="1"/>
  <c r="CP21" i="92"/>
  <c r="DB21" i="92" s="1"/>
  <c r="CI10" i="92"/>
  <c r="CU10" i="92" s="1"/>
  <c r="CQ10" i="92"/>
  <c r="DC10" i="92" s="1"/>
  <c r="CM10" i="92"/>
  <c r="CY10" i="92" s="1"/>
  <c r="CR2" i="92"/>
  <c r="CJ2" i="92"/>
  <c r="CN2" i="92"/>
  <c r="CI16" i="92"/>
  <c r="CU16" i="92" s="1"/>
  <c r="CQ16" i="92"/>
  <c r="DC16" i="92" s="1"/>
  <c r="CM16" i="92"/>
  <c r="CY16" i="92" s="1"/>
  <c r="CI9" i="92"/>
  <c r="CU9" i="92" s="1"/>
  <c r="CQ9" i="92"/>
  <c r="DC9" i="92" s="1"/>
  <c r="CM9" i="92"/>
  <c r="CY9" i="92" s="1"/>
  <c r="CH12" i="92"/>
  <c r="CL12" i="92"/>
  <c r="CP12" i="92"/>
  <c r="CI5" i="92"/>
  <c r="CU5" i="92" s="1"/>
  <c r="CM5" i="92"/>
  <c r="CY5" i="92" s="1"/>
  <c r="CQ5" i="92"/>
  <c r="DC5" i="92" s="1"/>
  <c r="CI4" i="92"/>
  <c r="CQ4" i="92"/>
  <c r="CM4" i="92"/>
  <c r="CR3" i="92"/>
  <c r="DD3" i="92" s="1"/>
  <c r="CJ3" i="92"/>
  <c r="CV3" i="92" s="1"/>
  <c r="CN3" i="92"/>
  <c r="CZ3" i="92" s="1"/>
  <c r="CQ32" i="92"/>
  <c r="DC32" i="92" s="1"/>
  <c r="CI32" i="92"/>
  <c r="CU32" i="92" s="1"/>
  <c r="CM32" i="92"/>
  <c r="CY32" i="92" s="1"/>
  <c r="CM2" i="92"/>
  <c r="CI2" i="92"/>
  <c r="CQ2" i="92"/>
  <c r="CZ5" i="92"/>
  <c r="C13" i="56"/>
  <c r="F13" i="56" s="1"/>
  <c r="C21" i="56"/>
  <c r="F21" i="56" s="1"/>
  <c r="J44" i="15"/>
  <c r="C44" i="38" s="1"/>
  <c r="E44" i="38" s="1"/>
  <c r="C43" i="12"/>
  <c r="F43" i="10"/>
  <c r="J45" i="15"/>
  <c r="C39" i="32" s="1"/>
  <c r="C38" i="12"/>
  <c r="F34" i="10"/>
  <c r="H43" i="39"/>
  <c r="H40" i="39"/>
  <c r="J2" i="1"/>
  <c r="E14" i="53"/>
  <c r="E25" i="53"/>
  <c r="E29" i="53"/>
  <c r="E8" i="53"/>
  <c r="E30" i="53"/>
  <c r="E31" i="53"/>
  <c r="E26" i="53"/>
  <c r="E21" i="53"/>
  <c r="E32" i="53"/>
  <c r="E20" i="53"/>
  <c r="E9" i="53"/>
  <c r="E33" i="53"/>
  <c r="E34" i="53"/>
  <c r="E35" i="53"/>
  <c r="E16" i="53"/>
  <c r="E13" i="53"/>
  <c r="E22" i="53"/>
  <c r="E23" i="53"/>
  <c r="E36" i="53"/>
  <c r="E38" i="53"/>
  <c r="E12" i="53"/>
  <c r="E10" i="53"/>
  <c r="E18" i="53"/>
  <c r="E39" i="53"/>
  <c r="E40" i="53"/>
  <c r="E41" i="53"/>
  <c r="E27" i="53"/>
  <c r="E19" i="53"/>
  <c r="E42" i="53"/>
  <c r="E43" i="53"/>
  <c r="E28" i="53"/>
  <c r="F14" i="53"/>
  <c r="F25" i="53"/>
  <c r="F29" i="53"/>
  <c r="F8" i="53"/>
  <c r="F30" i="53"/>
  <c r="F31" i="53"/>
  <c r="F26" i="53"/>
  <c r="F21" i="53"/>
  <c r="F32" i="53"/>
  <c r="F20" i="53"/>
  <c r="F11" i="53"/>
  <c r="F9" i="53"/>
  <c r="F33" i="53"/>
  <c r="F34" i="53"/>
  <c r="F35" i="53"/>
  <c r="F16" i="53"/>
  <c r="F13" i="53"/>
  <c r="F22" i="53"/>
  <c r="F23" i="53"/>
  <c r="F36" i="53"/>
  <c r="F37" i="53"/>
  <c r="F15" i="53"/>
  <c r="F38" i="53"/>
  <c r="F12" i="53"/>
  <c r="F18" i="53"/>
  <c r="F39" i="53"/>
  <c r="F41" i="53"/>
  <c r="F27" i="53"/>
  <c r="F19" i="53"/>
  <c r="F17" i="53"/>
  <c r="F42" i="53"/>
  <c r="F43" i="53"/>
  <c r="F7" i="53"/>
  <c r="F6" i="53"/>
  <c r="F28" i="53"/>
  <c r="D43" i="53"/>
  <c r="D42" i="53"/>
  <c r="D19" i="53"/>
  <c r="D41" i="53"/>
  <c r="D40" i="53"/>
  <c r="D39" i="53"/>
  <c r="D38" i="53"/>
  <c r="D15" i="53"/>
  <c r="D37" i="53"/>
  <c r="D36" i="53"/>
  <c r="D13" i="53"/>
  <c r="D35" i="53"/>
  <c r="D34" i="53"/>
  <c r="D33" i="53"/>
  <c r="D11" i="53"/>
  <c r="D32" i="53"/>
  <c r="D31" i="53"/>
  <c r="D8" i="53"/>
  <c r="D29" i="53"/>
  <c r="D25" i="53"/>
  <c r="D28" i="53"/>
  <c r="C43" i="53"/>
  <c r="C17" i="53"/>
  <c r="C19" i="53"/>
  <c r="C27" i="53"/>
  <c r="C41" i="53"/>
  <c r="C40" i="53"/>
  <c r="C39" i="53"/>
  <c r="C18" i="53"/>
  <c r="C10" i="53"/>
  <c r="C38" i="53"/>
  <c r="C15" i="53"/>
  <c r="C37" i="53"/>
  <c r="C23" i="53"/>
  <c r="C22" i="53"/>
  <c r="C35" i="53"/>
  <c r="C34" i="53"/>
  <c r="C20" i="53"/>
  <c r="C32" i="53"/>
  <c r="C21" i="53"/>
  <c r="C26" i="53"/>
  <c r="C30" i="53"/>
  <c r="C29" i="53"/>
  <c r="C14" i="53"/>
  <c r="C28" i="53"/>
  <c r="T921" i="1" l="1"/>
  <c r="CN42" i="92"/>
  <c r="CZ42" i="92" s="1"/>
  <c r="CJ42" i="92"/>
  <c r="CV42" i="92" s="1"/>
  <c r="CR42" i="92"/>
  <c r="DD42" i="92" s="1"/>
  <c r="T861" i="1"/>
  <c r="CI41" i="92"/>
  <c r="CU41" i="92" s="1"/>
  <c r="CU2" i="92"/>
  <c r="CQ42" i="92"/>
  <c r="DC42" i="92" s="1"/>
  <c r="DC4" i="92"/>
  <c r="CL42" i="92"/>
  <c r="CX42" i="92" s="1"/>
  <c r="CX12" i="92"/>
  <c r="CR41" i="92"/>
  <c r="DD41" i="92" s="1"/>
  <c r="DD2" i="92"/>
  <c r="CM41" i="92"/>
  <c r="CY41" i="92" s="1"/>
  <c r="CY2" i="92"/>
  <c r="CI42" i="92"/>
  <c r="CU42" i="92" s="1"/>
  <c r="CU4" i="92"/>
  <c r="CH42" i="92"/>
  <c r="CT42" i="92" s="1"/>
  <c r="CT12" i="92"/>
  <c r="CN41" i="92"/>
  <c r="CZ41" i="92" s="1"/>
  <c r="CZ2" i="92"/>
  <c r="CQ41" i="92"/>
  <c r="DC41" i="92" s="1"/>
  <c r="DC2" i="92"/>
  <c r="CM42" i="92"/>
  <c r="CY42" i="92" s="1"/>
  <c r="CY4" i="92"/>
  <c r="CP42" i="92"/>
  <c r="DB42" i="92" s="1"/>
  <c r="DB12" i="92"/>
  <c r="CJ41" i="92"/>
  <c r="CV41" i="92" s="1"/>
  <c r="CV2" i="92"/>
  <c r="C40" i="38"/>
  <c r="E40" i="38" s="1"/>
  <c r="C35" i="8"/>
  <c r="C44" i="8"/>
  <c r="C44" i="32"/>
  <c r="G4" i="52"/>
  <c r="G16" i="52"/>
  <c r="G36" i="52"/>
  <c r="G8" i="52"/>
  <c r="C36" i="53"/>
  <c r="G23" i="52"/>
  <c r="C12" i="53"/>
  <c r="F5" i="53"/>
  <c r="E5" i="53"/>
  <c r="G24" i="52"/>
  <c r="E37" i="53"/>
  <c r="C31" i="53"/>
  <c r="C42" i="53"/>
  <c r="G11" i="52"/>
  <c r="G7" i="52"/>
  <c r="G31" i="52"/>
  <c r="C25" i="53"/>
  <c r="C33" i="53"/>
  <c r="D30" i="53"/>
  <c r="F40" i="53"/>
  <c r="G32" i="52"/>
  <c r="G34" i="52"/>
  <c r="G18" i="52"/>
  <c r="G26" i="52"/>
  <c r="G5" i="52"/>
  <c r="G17" i="52"/>
  <c r="G37" i="52"/>
  <c r="G30" i="52"/>
  <c r="G2" i="52"/>
  <c r="C5" i="53" l="1"/>
  <c r="G40" i="52"/>
  <c r="D5" i="53"/>
  <c r="G12" i="52" l="1"/>
  <c r="D9" i="53"/>
  <c r="C20" i="56"/>
  <c r="F20" i="56" s="1"/>
  <c r="C21" i="57" l="1"/>
  <c r="F21" i="57"/>
  <c r="D18" i="53"/>
  <c r="G29" i="52"/>
  <c r="C11" i="48"/>
  <c r="E11" i="48"/>
  <c r="E12" i="48"/>
  <c r="D11" i="48"/>
  <c r="C10" i="48"/>
  <c r="D10" i="48"/>
  <c r="E33" i="48"/>
  <c r="E34" i="48"/>
  <c r="E35" i="48"/>
  <c r="E36" i="48"/>
  <c r="D33" i="48"/>
  <c r="D34" i="48"/>
  <c r="D35" i="48"/>
  <c r="D36" i="48"/>
  <c r="E32" i="48"/>
  <c r="D32" i="48"/>
  <c r="C34" i="48"/>
  <c r="D8" i="44"/>
  <c r="E8" i="44" s="1"/>
  <c r="D9" i="44"/>
  <c r="E9" i="44" s="1"/>
  <c r="D10" i="44"/>
  <c r="E10" i="44" s="1"/>
  <c r="D11" i="44"/>
  <c r="E11" i="44" s="1"/>
  <c r="D12" i="44"/>
  <c r="E12" i="44" s="1"/>
  <c r="D13" i="44"/>
  <c r="E13" i="44" s="1"/>
  <c r="D14" i="44"/>
  <c r="E14" i="44" s="1"/>
  <c r="D15" i="44"/>
  <c r="E15" i="44" s="1"/>
  <c r="D16" i="44"/>
  <c r="E16" i="44" s="1"/>
  <c r="D17" i="44"/>
  <c r="E17" i="44" s="1"/>
  <c r="D18" i="44"/>
  <c r="E18" i="44" s="1"/>
  <c r="D19" i="44"/>
  <c r="E19" i="44" s="1"/>
  <c r="D20" i="44"/>
  <c r="E20" i="44" s="1"/>
  <c r="D21" i="44"/>
  <c r="E21" i="44" s="1"/>
  <c r="D22" i="44"/>
  <c r="E22" i="44" s="1"/>
  <c r="D23" i="44"/>
  <c r="E23" i="44" s="1"/>
  <c r="D24" i="44"/>
  <c r="E24" i="44" s="1"/>
  <c r="D25" i="44"/>
  <c r="E25" i="44" s="1"/>
  <c r="D26" i="44"/>
  <c r="E26" i="44" s="1"/>
  <c r="D27" i="44"/>
  <c r="E27" i="44" s="1"/>
  <c r="D28" i="44"/>
  <c r="E28" i="44" s="1"/>
  <c r="D29" i="44"/>
  <c r="E29" i="44" s="1"/>
  <c r="D30" i="44"/>
  <c r="E30" i="44" s="1"/>
  <c r="D31" i="44"/>
  <c r="E31" i="44" s="1"/>
  <c r="D32" i="44"/>
  <c r="E32" i="44" s="1"/>
  <c r="D33" i="44"/>
  <c r="E33" i="44" s="1"/>
  <c r="D34" i="44"/>
  <c r="E34" i="44" s="1"/>
  <c r="D35" i="44"/>
  <c r="E35" i="44" s="1"/>
  <c r="D36" i="44"/>
  <c r="E36" i="44" s="1"/>
  <c r="D37" i="44"/>
  <c r="E37" i="44" s="1"/>
  <c r="D38" i="44"/>
  <c r="E38" i="44" s="1"/>
  <c r="D39" i="44"/>
  <c r="E39" i="44" s="1"/>
  <c r="D40" i="44"/>
  <c r="E40" i="44" s="1"/>
  <c r="D41" i="44"/>
  <c r="E41" i="44" s="1"/>
  <c r="D42" i="44"/>
  <c r="E42" i="44" s="1"/>
  <c r="D43" i="44"/>
  <c r="E43" i="44" s="1"/>
  <c r="D44" i="44"/>
  <c r="E44" i="44" s="1"/>
  <c r="D45" i="44"/>
  <c r="E45" i="44" s="1"/>
  <c r="D7" i="44"/>
  <c r="E7" i="44" s="1"/>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C15" i="37"/>
  <c r="C28" i="37"/>
  <c r="C14" i="37"/>
  <c r="C6" i="37"/>
  <c r="C10" i="37"/>
  <c r="C8" i="37"/>
  <c r="C12" i="37"/>
  <c r="C9" i="37"/>
  <c r="C16" i="37"/>
  <c r="C13" i="37"/>
  <c r="C18" i="37"/>
  <c r="C26" i="37"/>
  <c r="C22" i="37"/>
  <c r="C23" i="37"/>
  <c r="C21" i="37"/>
  <c r="C27" i="37"/>
  <c r="C11" i="37"/>
  <c r="C25" i="37"/>
  <c r="C19" i="37"/>
  <c r="C20" i="37"/>
  <c r="C24" i="37"/>
  <c r="C30" i="37"/>
  <c r="C17" i="37"/>
  <c r="C33" i="37"/>
  <c r="C31" i="37"/>
  <c r="C29" i="37"/>
  <c r="C36" i="37"/>
  <c r="C37" i="37"/>
  <c r="C32" i="37"/>
  <c r="C7" i="37"/>
  <c r="C38" i="37"/>
  <c r="C34" i="37"/>
  <c r="C35" i="37"/>
  <c r="C39" i="37"/>
  <c r="C40" i="37"/>
  <c r="C41" i="37"/>
  <c r="C6" i="53" l="1"/>
  <c r="C46" i="37"/>
  <c r="G21" i="57"/>
  <c r="R25" i="15"/>
  <c r="F48" i="44"/>
  <c r="F47" i="44"/>
  <c r="F49" i="44"/>
  <c r="F38" i="44"/>
  <c r="F34" i="44"/>
  <c r="F46" i="44"/>
  <c r="G46" i="39"/>
  <c r="F34" i="48"/>
  <c r="F45" i="44"/>
  <c r="F41" i="44"/>
  <c r="D31" i="48"/>
  <c r="E31" i="48"/>
  <c r="F30" i="44"/>
  <c r="F22" i="44"/>
  <c r="F10" i="44"/>
  <c r="F40" i="44"/>
  <c r="F37" i="44"/>
  <c r="F29" i="44"/>
  <c r="F17" i="44"/>
  <c r="F9" i="44"/>
  <c r="F43" i="44"/>
  <c r="F36" i="44"/>
  <c r="F32" i="44"/>
  <c r="F28" i="44"/>
  <c r="F24" i="44"/>
  <c r="F20" i="44"/>
  <c r="F16" i="44"/>
  <c r="F12" i="44"/>
  <c r="F8" i="44"/>
  <c r="F26" i="44"/>
  <c r="F18" i="44"/>
  <c r="F14" i="44"/>
  <c r="F44" i="44"/>
  <c r="F33" i="44"/>
  <c r="F25" i="44"/>
  <c r="F21" i="44"/>
  <c r="F13" i="44"/>
  <c r="F7" i="44"/>
  <c r="F42" i="44"/>
  <c r="F39" i="44"/>
  <c r="F35" i="44"/>
  <c r="F31" i="44"/>
  <c r="F27" i="44"/>
  <c r="F23" i="44"/>
  <c r="F19" i="44"/>
  <c r="F15" i="44"/>
  <c r="F11" i="44"/>
  <c r="E24" i="15"/>
  <c r="F40" i="15"/>
  <c r="F28" i="15"/>
  <c r="F22" i="15"/>
  <c r="F21" i="15"/>
  <c r="F12" i="15"/>
  <c r="D41" i="15"/>
  <c r="D40" i="15"/>
  <c r="D38" i="15"/>
  <c r="D37" i="15"/>
  <c r="D36" i="15"/>
  <c r="D34" i="15"/>
  <c r="D33" i="15"/>
  <c r="D30" i="15"/>
  <c r="D28" i="15"/>
  <c r="D27" i="15"/>
  <c r="D22" i="15"/>
  <c r="D21" i="15"/>
  <c r="D20" i="15"/>
  <c r="D15" i="15"/>
  <c r="D13" i="15"/>
  <c r="D12" i="15"/>
  <c r="D11" i="15"/>
  <c r="D9" i="15"/>
  <c r="D8" i="15"/>
  <c r="D6" i="15"/>
  <c r="C34" i="41"/>
  <c r="D46" i="41" s="1"/>
  <c r="I7" i="15"/>
  <c r="E19" i="42" s="1"/>
  <c r="C18" i="48" l="1"/>
  <c r="C19" i="48"/>
  <c r="C25" i="48"/>
  <c r="C26" i="48"/>
  <c r="C28" i="48"/>
  <c r="E26" i="48"/>
  <c r="D23" i="48"/>
  <c r="S25" i="15"/>
  <c r="C39" i="39"/>
  <c r="C42" i="10"/>
  <c r="C41" i="39"/>
  <c r="C39" i="10"/>
  <c r="C25" i="39"/>
  <c r="C21" i="10"/>
  <c r="C37" i="39"/>
  <c r="C31" i="10"/>
  <c r="E34" i="39"/>
  <c r="E37" i="36"/>
  <c r="E37" i="10"/>
  <c r="D21" i="39"/>
  <c r="D17" i="10"/>
  <c r="E31" i="39"/>
  <c r="E38" i="36"/>
  <c r="E33" i="10"/>
  <c r="C32" i="39"/>
  <c r="C23" i="10"/>
  <c r="C34" i="39"/>
  <c r="C37" i="10"/>
  <c r="C38" i="39"/>
  <c r="C36" i="10"/>
  <c r="C23" i="39"/>
  <c r="C22" i="10"/>
  <c r="C33" i="39"/>
  <c r="C30" i="10"/>
  <c r="C29" i="39"/>
  <c r="C27" i="10"/>
  <c r="C31" i="39"/>
  <c r="C33" i="10"/>
  <c r="C15" i="39"/>
  <c r="C20" i="10"/>
  <c r="E41" i="36"/>
  <c r="E42" i="39"/>
  <c r="E45" i="10"/>
  <c r="E40" i="36"/>
  <c r="E39" i="39"/>
  <c r="E42" i="10"/>
  <c r="C22" i="39"/>
  <c r="C41" i="10"/>
  <c r="C35" i="39"/>
  <c r="C32" i="10"/>
  <c r="C27" i="39"/>
  <c r="C29" i="10"/>
  <c r="C10" i="39"/>
  <c r="C18" i="10"/>
  <c r="C20" i="39"/>
  <c r="C28" i="10"/>
  <c r="C36" i="39"/>
  <c r="C38" i="10"/>
  <c r="C42" i="39"/>
  <c r="C45" i="10"/>
  <c r="C19" i="39"/>
  <c r="C35" i="10"/>
  <c r="E39" i="36"/>
  <c r="E27" i="39"/>
  <c r="E29" i="10"/>
  <c r="D20" i="38"/>
  <c r="D38" i="36"/>
  <c r="D37" i="36"/>
  <c r="D40" i="36"/>
  <c r="D41" i="36"/>
  <c r="D39" i="36"/>
  <c r="D8" i="41"/>
  <c r="D38" i="41"/>
  <c r="D30" i="41"/>
  <c r="D22" i="41"/>
  <c r="D45" i="41"/>
  <c r="D14" i="41"/>
  <c r="D7" i="41"/>
  <c r="D39" i="41"/>
  <c r="D31" i="41"/>
  <c r="D23" i="41"/>
  <c r="D15" i="41"/>
  <c r="D42" i="41"/>
  <c r="D35" i="41"/>
  <c r="D27" i="41"/>
  <c r="D19" i="41"/>
  <c r="D11" i="41"/>
  <c r="D41" i="41"/>
  <c r="D34" i="41"/>
  <c r="D26" i="41"/>
  <c r="D18" i="41"/>
  <c r="D10" i="41"/>
  <c r="D44" i="41"/>
  <c r="D40" i="41"/>
  <c r="D37" i="41"/>
  <c r="D33" i="41"/>
  <c r="D29" i="41"/>
  <c r="D25" i="41"/>
  <c r="D21" i="41"/>
  <c r="D17" i="41"/>
  <c r="D13" i="41"/>
  <c r="D9" i="41"/>
  <c r="D43" i="41"/>
  <c r="D36" i="41"/>
  <c r="D32" i="41"/>
  <c r="D28" i="41"/>
  <c r="D24" i="41"/>
  <c r="D20" i="41"/>
  <c r="D16" i="41"/>
  <c r="D12" i="41"/>
  <c r="R22" i="5" l="1"/>
  <c r="S22" i="5" s="1"/>
  <c r="R20" i="5"/>
  <c r="S20" i="5" s="1"/>
  <c r="R21" i="5"/>
  <c r="S21" i="5" s="1"/>
  <c r="R14" i="5"/>
  <c r="S14" i="5" s="1"/>
  <c r="R10" i="5"/>
  <c r="S10" i="5" s="1"/>
  <c r="R11" i="5"/>
  <c r="S11" i="5" s="1"/>
  <c r="R9" i="5"/>
  <c r="S9" i="5" s="1"/>
  <c r="R8" i="5"/>
  <c r="S8" i="5" s="1"/>
  <c r="R5" i="5"/>
  <c r="S5" i="5" s="1"/>
  <c r="R4" i="5"/>
  <c r="S4" i="5" s="1"/>
  <c r="R2" i="5"/>
  <c r="S2" i="5" s="1"/>
  <c r="C33" i="48" s="1"/>
  <c r="F33" i="48" s="1"/>
  <c r="D35" i="15"/>
  <c r="I41" i="15"/>
  <c r="E17" i="42" s="1"/>
  <c r="I40" i="15"/>
  <c r="E29" i="42" s="1"/>
  <c r="I31" i="15"/>
  <c r="E36" i="42" s="1"/>
  <c r="I6" i="15"/>
  <c r="I30" i="15"/>
  <c r="E42" i="42" s="1"/>
  <c r="I34" i="15"/>
  <c r="E43" i="42" s="1"/>
  <c r="I9" i="15"/>
  <c r="E15" i="42" s="1"/>
  <c r="C12" i="48"/>
  <c r="I42" i="15"/>
  <c r="E27" i="42" s="1"/>
  <c r="I18" i="15"/>
  <c r="I23" i="15"/>
  <c r="I27" i="15"/>
  <c r="I39" i="15"/>
  <c r="I15" i="15"/>
  <c r="I25" i="15"/>
  <c r="I36" i="15"/>
  <c r="I14" i="15"/>
  <c r="I24" i="15"/>
  <c r="E39" i="42" s="1"/>
  <c r="I26" i="15"/>
  <c r="I13" i="15"/>
  <c r="E14" i="42" s="1"/>
  <c r="I29" i="15"/>
  <c r="I38" i="15"/>
  <c r="I22" i="15"/>
  <c r="I17" i="15"/>
  <c r="I20" i="15"/>
  <c r="I33" i="15"/>
  <c r="I21" i="15"/>
  <c r="I35" i="15"/>
  <c r="I37" i="15"/>
  <c r="I28" i="15"/>
  <c r="I32" i="15"/>
  <c r="I19" i="15"/>
  <c r="I43" i="15"/>
  <c r="E44" i="42" s="1"/>
  <c r="E13" i="42" l="1"/>
  <c r="D15" i="38" s="1"/>
  <c r="E7" i="42"/>
  <c r="D6" i="38" s="1"/>
  <c r="E41" i="42"/>
  <c r="D37" i="38" s="1"/>
  <c r="E34" i="42"/>
  <c r="D23" i="38" s="1"/>
  <c r="E8" i="42"/>
  <c r="D25" i="38" s="1"/>
  <c r="E9" i="42"/>
  <c r="D29" i="38" s="1"/>
  <c r="E23" i="42"/>
  <c r="D16" i="38" s="1"/>
  <c r="E32" i="42"/>
  <c r="D26" i="38" s="1"/>
  <c r="E31" i="42"/>
  <c r="D22" i="38" s="1"/>
  <c r="E30" i="42"/>
  <c r="D33" i="38" s="1"/>
  <c r="E18" i="42"/>
  <c r="D32" i="38" s="1"/>
  <c r="E33" i="42"/>
  <c r="D28" i="38" s="1"/>
  <c r="E21" i="42"/>
  <c r="D9" i="38" s="1"/>
  <c r="E26" i="42"/>
  <c r="D19" i="38" s="1"/>
  <c r="E11" i="42"/>
  <c r="D11" i="38" s="1"/>
  <c r="E28" i="42"/>
  <c r="D7" i="38" s="1"/>
  <c r="E22" i="42"/>
  <c r="D5" i="38" s="1"/>
  <c r="E24" i="42"/>
  <c r="D21" i="38" s="1"/>
  <c r="E40" i="42"/>
  <c r="D27" i="38" s="1"/>
  <c r="E16" i="42"/>
  <c r="D35" i="38" s="1"/>
  <c r="E20" i="42"/>
  <c r="D34" i="38" s="1"/>
  <c r="E45" i="42"/>
  <c r="C30" i="39"/>
  <c r="C40" i="10"/>
  <c r="D7" i="15"/>
  <c r="D11" i="57"/>
  <c r="G9" i="52"/>
  <c r="D26" i="53"/>
  <c r="C18" i="56"/>
  <c r="F18" i="56" s="1"/>
  <c r="E11" i="53"/>
  <c r="C16" i="56"/>
  <c r="F16" i="56" s="1"/>
  <c r="C32" i="48"/>
  <c r="F32" i="48" s="1"/>
  <c r="E10" i="48"/>
  <c r="C36" i="48"/>
  <c r="F36" i="48" s="1"/>
  <c r="C35" i="48"/>
  <c r="F35" i="48" s="1"/>
  <c r="F16" i="15"/>
  <c r="D10" i="38"/>
  <c r="D12" i="38"/>
  <c r="D42" i="38"/>
  <c r="D36" i="38"/>
  <c r="D18" i="38"/>
  <c r="D41" i="38"/>
  <c r="D30" i="38"/>
  <c r="D39" i="38"/>
  <c r="D38" i="38"/>
  <c r="D39" i="15"/>
  <c r="D16" i="15"/>
  <c r="D8" i="38"/>
  <c r="C17" i="39" l="1"/>
  <c r="C19" i="10"/>
  <c r="C16" i="39"/>
  <c r="C14" i="10"/>
  <c r="F15" i="15"/>
  <c r="E15" i="15"/>
  <c r="E17" i="53"/>
  <c r="E33" i="15"/>
  <c r="E34" i="15"/>
  <c r="E40" i="15"/>
  <c r="F34" i="15"/>
  <c r="D30" i="57"/>
  <c r="F30" i="57" s="1"/>
  <c r="E42" i="15"/>
  <c r="E19" i="15"/>
  <c r="F6" i="15"/>
  <c r="C11" i="57"/>
  <c r="C30" i="57"/>
  <c r="D2" i="57"/>
  <c r="F2" i="57" s="1"/>
  <c r="C2" i="57"/>
  <c r="D25" i="15"/>
  <c r="E30" i="15"/>
  <c r="G33" i="52"/>
  <c r="D18" i="15"/>
  <c r="D31" i="15"/>
  <c r="F11" i="57"/>
  <c r="E7" i="53"/>
  <c r="D14" i="38"/>
  <c r="D19" i="15"/>
  <c r="D26" i="15"/>
  <c r="D14" i="15"/>
  <c r="D29" i="15"/>
  <c r="E15" i="53"/>
  <c r="D12" i="53"/>
  <c r="G27" i="52"/>
  <c r="D22" i="53"/>
  <c r="G21" i="52"/>
  <c r="F10" i="48"/>
  <c r="G49" i="44" s="1"/>
  <c r="E9" i="48"/>
  <c r="E6" i="10" s="1"/>
  <c r="C9" i="48"/>
  <c r="F11" i="48"/>
  <c r="E49" i="43" s="1"/>
  <c r="F31" i="48"/>
  <c r="C31" i="48"/>
  <c r="M46" i="15" l="1"/>
  <c r="L46" i="15"/>
  <c r="C24" i="48"/>
  <c r="D19" i="48"/>
  <c r="E18" i="48"/>
  <c r="D16" i="48"/>
  <c r="E25" i="48"/>
  <c r="D26" i="48"/>
  <c r="D25" i="48"/>
  <c r="C6" i="10"/>
  <c r="C6" i="56"/>
  <c r="F6" i="56" s="1"/>
  <c r="G10" i="52"/>
  <c r="C15" i="56"/>
  <c r="F15" i="56" s="1"/>
  <c r="D23" i="53"/>
  <c r="C17" i="56"/>
  <c r="F17" i="56" s="1"/>
  <c r="G13" i="52"/>
  <c r="C22" i="56"/>
  <c r="F22" i="56" s="1"/>
  <c r="C9" i="53"/>
  <c r="C8" i="56"/>
  <c r="F8" i="56" s="1"/>
  <c r="D14" i="53"/>
  <c r="C19" i="56"/>
  <c r="F19" i="56" s="1"/>
  <c r="C11" i="53"/>
  <c r="C11" i="56"/>
  <c r="F11" i="56" s="1"/>
  <c r="C16" i="53"/>
  <c r="D27" i="39"/>
  <c r="D29" i="10"/>
  <c r="D6" i="39"/>
  <c r="D8" i="10"/>
  <c r="D37" i="39"/>
  <c r="D31" i="10"/>
  <c r="C14" i="39"/>
  <c r="C13" i="10"/>
  <c r="D23" i="39"/>
  <c r="D22" i="10"/>
  <c r="C18" i="39"/>
  <c r="C16" i="10"/>
  <c r="C12" i="39"/>
  <c r="C12" i="10"/>
  <c r="D25" i="39"/>
  <c r="D21" i="10"/>
  <c r="C11" i="39"/>
  <c r="C11" i="10"/>
  <c r="C26" i="39"/>
  <c r="C24" i="10"/>
  <c r="E15" i="36"/>
  <c r="E25" i="39"/>
  <c r="E21" i="10"/>
  <c r="C6" i="39"/>
  <c r="C8" i="10"/>
  <c r="D8" i="39"/>
  <c r="D7" i="10"/>
  <c r="C24" i="39"/>
  <c r="C26" i="10"/>
  <c r="E32" i="39"/>
  <c r="E19" i="36"/>
  <c r="E23" i="10"/>
  <c r="E37" i="39"/>
  <c r="E34" i="36"/>
  <c r="E31" i="10"/>
  <c r="C28" i="39"/>
  <c r="C25" i="10"/>
  <c r="D41" i="39"/>
  <c r="D39" i="10"/>
  <c r="G15" i="15"/>
  <c r="G40" i="15"/>
  <c r="G34" i="15"/>
  <c r="D27" i="53"/>
  <c r="G14" i="52"/>
  <c r="G3" i="52"/>
  <c r="G11" i="57"/>
  <c r="R15" i="15"/>
  <c r="G2" i="57"/>
  <c r="R6" i="15"/>
  <c r="G30" i="57"/>
  <c r="R34" i="15"/>
  <c r="E47" i="43"/>
  <c r="E48" i="43"/>
  <c r="E46" i="43"/>
  <c r="G47" i="44"/>
  <c r="G48" i="44"/>
  <c r="G25" i="52"/>
  <c r="G15" i="52"/>
  <c r="G22" i="52"/>
  <c r="G9" i="44"/>
  <c r="G46" i="44"/>
  <c r="D20" i="53"/>
  <c r="D21" i="53"/>
  <c r="G41" i="44"/>
  <c r="G20" i="44"/>
  <c r="G44" i="44"/>
  <c r="G30" i="44"/>
  <c r="G11" i="44"/>
  <c r="G45" i="44"/>
  <c r="G14" i="44"/>
  <c r="G26" i="44"/>
  <c r="G7" i="44"/>
  <c r="G29" i="44"/>
  <c r="G37" i="44"/>
  <c r="G34" i="44"/>
  <c r="G21" i="44"/>
  <c r="G10" i="44"/>
  <c r="G31" i="44"/>
  <c r="G13" i="44"/>
  <c r="G43" i="44"/>
  <c r="G18" i="44"/>
  <c r="G24" i="44"/>
  <c r="G33" i="44"/>
  <c r="G15" i="44"/>
  <c r="G32" i="44"/>
  <c r="G8" i="44"/>
  <c r="G28" i="44"/>
  <c r="G35" i="44"/>
  <c r="G17" i="44"/>
  <c r="G38" i="44"/>
  <c r="G16" i="44"/>
  <c r="G42" i="44"/>
  <c r="G12" i="44"/>
  <c r="G23" i="44"/>
  <c r="G19" i="44"/>
  <c r="G36" i="44"/>
  <c r="G22" i="44"/>
  <c r="G39" i="44"/>
  <c r="G27" i="44"/>
  <c r="G40" i="44"/>
  <c r="G25" i="44"/>
  <c r="E20" i="43"/>
  <c r="E36" i="43"/>
  <c r="E17" i="43"/>
  <c r="E33" i="43"/>
  <c r="E10" i="43"/>
  <c r="E41" i="43"/>
  <c r="E8" i="43"/>
  <c r="E24" i="43"/>
  <c r="E43" i="43"/>
  <c r="E21" i="43"/>
  <c r="E37" i="43"/>
  <c r="E14" i="43"/>
  <c r="E30" i="43"/>
  <c r="E45" i="43"/>
  <c r="E23" i="43"/>
  <c r="E39" i="43"/>
  <c r="E12" i="43"/>
  <c r="E28" i="43"/>
  <c r="E9" i="43"/>
  <c r="E25" i="43"/>
  <c r="E40" i="43"/>
  <c r="E18" i="43"/>
  <c r="E34" i="43"/>
  <c r="E11" i="43"/>
  <c r="E27" i="43"/>
  <c r="E42" i="43"/>
  <c r="E16" i="43"/>
  <c r="E32" i="43"/>
  <c r="E13" i="43"/>
  <c r="E29" i="43"/>
  <c r="E44" i="43"/>
  <c r="E22" i="43"/>
  <c r="E38" i="43"/>
  <c r="E15" i="43"/>
  <c r="E31" i="43"/>
  <c r="E7" i="43"/>
  <c r="E26" i="43"/>
  <c r="E19" i="43"/>
  <c r="E35" i="43"/>
  <c r="M43" i="15" l="1"/>
  <c r="M21" i="15"/>
  <c r="M29" i="15"/>
  <c r="M7" i="15"/>
  <c r="M37" i="15"/>
  <c r="M17" i="15"/>
  <c r="M24" i="15"/>
  <c r="M25" i="15"/>
  <c r="M6" i="15"/>
  <c r="M35" i="15"/>
  <c r="M14" i="15"/>
  <c r="M38" i="15"/>
  <c r="M18" i="15"/>
  <c r="M31" i="15"/>
  <c r="M32" i="15"/>
  <c r="M12" i="15"/>
  <c r="M20" i="15"/>
  <c r="M41" i="15"/>
  <c r="M28" i="15"/>
  <c r="M9" i="15"/>
  <c r="M33" i="15"/>
  <c r="M13" i="15"/>
  <c r="M26" i="15"/>
  <c r="M34" i="15"/>
  <c r="M36" i="15"/>
  <c r="M15" i="15"/>
  <c r="M42" i="15"/>
  <c r="M23" i="15"/>
  <c r="M30" i="15"/>
  <c r="M27" i="15"/>
  <c r="M8" i="15"/>
  <c r="M40" i="15"/>
  <c r="M11" i="15"/>
  <c r="M39" i="15"/>
  <c r="M19" i="15"/>
  <c r="M10" i="15"/>
  <c r="M22" i="15"/>
  <c r="L28" i="15"/>
  <c r="L41" i="15"/>
  <c r="L32" i="15"/>
  <c r="L25" i="15"/>
  <c r="L10" i="15"/>
  <c r="L21" i="15"/>
  <c r="L26" i="15"/>
  <c r="L13" i="15"/>
  <c r="L31" i="15"/>
  <c r="L18" i="15"/>
  <c r="L24" i="15"/>
  <c r="L19" i="15"/>
  <c r="L43" i="15"/>
  <c r="L33" i="15"/>
  <c r="L8" i="15"/>
  <c r="L38" i="15"/>
  <c r="L17" i="15"/>
  <c r="L39" i="15"/>
  <c r="L27" i="15"/>
  <c r="L20" i="15"/>
  <c r="L30" i="15"/>
  <c r="L14" i="15"/>
  <c r="L37" i="15"/>
  <c r="L11" i="15"/>
  <c r="L23" i="15"/>
  <c r="L42" i="15"/>
  <c r="L35" i="15"/>
  <c r="L7" i="15"/>
  <c r="L29" i="15"/>
  <c r="L15" i="15"/>
  <c r="L34" i="15"/>
  <c r="L12" i="15"/>
  <c r="L36" i="15"/>
  <c r="L6" i="15"/>
  <c r="L22" i="15"/>
  <c r="L40" i="15"/>
  <c r="L9" i="15"/>
  <c r="L45" i="15"/>
  <c r="L44" i="15"/>
  <c r="M45" i="15"/>
  <c r="M44" i="15"/>
  <c r="S34" i="15"/>
  <c r="D34" i="36" s="1"/>
  <c r="S6" i="15"/>
  <c r="D19" i="36" s="1"/>
  <c r="S15" i="15"/>
  <c r="D15" i="36" s="1"/>
  <c r="F25" i="48"/>
  <c r="F26" i="48"/>
  <c r="H25" i="39"/>
  <c r="J40" i="15"/>
  <c r="C36" i="38" s="1"/>
  <c r="E36" i="38" s="1"/>
  <c r="C33" i="12"/>
  <c r="F29" i="10"/>
  <c r="C37" i="12"/>
  <c r="F31" i="10"/>
  <c r="C28" i="12"/>
  <c r="F21" i="10"/>
  <c r="J34" i="15"/>
  <c r="C42" i="38" s="1"/>
  <c r="E42" i="38" s="1"/>
  <c r="J15" i="15"/>
  <c r="H27" i="39"/>
  <c r="H37" i="39"/>
  <c r="E36" i="15"/>
  <c r="E43" i="15"/>
  <c r="D42" i="15"/>
  <c r="D43" i="15"/>
  <c r="D32" i="15"/>
  <c r="M16" i="15"/>
  <c r="C5" i="56"/>
  <c r="E6" i="53"/>
  <c r="E47" i="53" s="1"/>
  <c r="D10" i="53"/>
  <c r="F10" i="53"/>
  <c r="F47" i="53" s="1"/>
  <c r="L16" i="15"/>
  <c r="C7" i="53"/>
  <c r="M47" i="15" l="1"/>
  <c r="L47" i="15"/>
  <c r="C15" i="48"/>
  <c r="C16" i="48"/>
  <c r="D15" i="48"/>
  <c r="D17" i="53"/>
  <c r="C14" i="56"/>
  <c r="F14" i="56" s="1"/>
  <c r="D7" i="53"/>
  <c r="C9" i="56"/>
  <c r="F9" i="56" s="1"/>
  <c r="F5" i="56"/>
  <c r="C8" i="39"/>
  <c r="C7" i="10"/>
  <c r="D5" i="39"/>
  <c r="D5" i="10"/>
  <c r="C7" i="39"/>
  <c r="C10" i="10"/>
  <c r="C5" i="39"/>
  <c r="C5" i="10"/>
  <c r="D20" i="39"/>
  <c r="D28" i="10"/>
  <c r="C41" i="8"/>
  <c r="C31" i="8"/>
  <c r="C36" i="32"/>
  <c r="C42" i="32"/>
  <c r="G38" i="52"/>
  <c r="G39" i="52"/>
  <c r="D6" i="53"/>
  <c r="G28" i="52"/>
  <c r="G35" i="52"/>
  <c r="C7" i="56"/>
  <c r="D10" i="15"/>
  <c r="C17" i="48" l="1"/>
  <c r="C14" i="48" s="1"/>
  <c r="F7" i="56"/>
  <c r="C9" i="39"/>
  <c r="C9" i="10"/>
  <c r="C43" i="36"/>
  <c r="C44" i="36"/>
  <c r="E10" i="15"/>
  <c r="E12" i="15"/>
  <c r="C8" i="53"/>
  <c r="G6" i="52"/>
  <c r="D17" i="48" l="1"/>
  <c r="D39" i="39"/>
  <c r="D42" i="10"/>
  <c r="D9" i="39"/>
  <c r="D9" i="10"/>
  <c r="C42" i="36"/>
  <c r="G12" i="15"/>
  <c r="F25" i="15"/>
  <c r="C40" i="12" l="1"/>
  <c r="F42" i="10"/>
  <c r="E17" i="36"/>
  <c r="E26" i="39"/>
  <c r="E24" i="10"/>
  <c r="H39" i="39"/>
  <c r="E26" i="15"/>
  <c r="D17" i="36"/>
  <c r="D24" i="39" l="1"/>
  <c r="D26" i="10"/>
  <c r="I16" i="15"/>
  <c r="I8" i="15" l="1"/>
  <c r="I10" i="15"/>
  <c r="E37" i="42" s="1"/>
  <c r="I11" i="15"/>
  <c r="I12" i="15"/>
  <c r="E38" i="42" s="1"/>
  <c r="E35" i="42" l="1"/>
  <c r="D24" i="38" s="1"/>
  <c r="E25" i="42"/>
  <c r="D31" i="38" s="1"/>
  <c r="I47" i="15"/>
  <c r="D13" i="38"/>
  <c r="J12" i="15"/>
  <c r="D17" i="38"/>
  <c r="D7" i="57" l="1"/>
  <c r="E11" i="15"/>
  <c r="D36" i="39" l="1"/>
  <c r="D38" i="10"/>
  <c r="C7" i="57"/>
  <c r="F11" i="15"/>
  <c r="E14" i="15"/>
  <c r="E8" i="15"/>
  <c r="F7" i="57"/>
  <c r="E25" i="15"/>
  <c r="D23" i="57"/>
  <c r="C23" i="57"/>
  <c r="D24" i="15"/>
  <c r="D23" i="15"/>
  <c r="F27" i="15"/>
  <c r="C13" i="38"/>
  <c r="E13" i="38" s="1"/>
  <c r="C8" i="48" l="1"/>
  <c r="C23" i="48"/>
  <c r="C21" i="48" s="1"/>
  <c r="G19" i="52"/>
  <c r="C12" i="56"/>
  <c r="F12" i="56" s="1"/>
  <c r="C13" i="53"/>
  <c r="C47" i="53" s="1"/>
  <c r="C10" i="56"/>
  <c r="D47" i="15"/>
  <c r="C21" i="39"/>
  <c r="C17" i="10"/>
  <c r="D29" i="39"/>
  <c r="D27" i="10"/>
  <c r="D18" i="39"/>
  <c r="D16" i="10"/>
  <c r="E27" i="36"/>
  <c r="E35" i="39"/>
  <c r="E32" i="10"/>
  <c r="E36" i="39"/>
  <c r="H36" i="39" s="1"/>
  <c r="E30" i="36"/>
  <c r="E38" i="10"/>
  <c r="C13" i="39"/>
  <c r="C15" i="10"/>
  <c r="D26" i="39"/>
  <c r="D24" i="10"/>
  <c r="G11" i="15"/>
  <c r="G25" i="15"/>
  <c r="G20" i="52"/>
  <c r="F23" i="57"/>
  <c r="G7" i="57"/>
  <c r="R11" i="15"/>
  <c r="D16" i="53"/>
  <c r="D47" i="53" s="1"/>
  <c r="C30" i="32"/>
  <c r="C36" i="8"/>
  <c r="S11" i="15" l="1"/>
  <c r="D30" i="36" s="1"/>
  <c r="C23" i="56"/>
  <c r="F10" i="56"/>
  <c r="C29" i="12"/>
  <c r="F24" i="10"/>
  <c r="J11" i="15"/>
  <c r="C24" i="38" s="1"/>
  <c r="E24" i="38" s="1"/>
  <c r="C36" i="12"/>
  <c r="F38" i="10"/>
  <c r="J25" i="15"/>
  <c r="C7" i="38" s="1"/>
  <c r="E7" i="38" s="1"/>
  <c r="H26" i="39"/>
  <c r="C46" i="39"/>
  <c r="G23" i="57"/>
  <c r="R27" i="15"/>
  <c r="C47" i="10"/>
  <c r="C7" i="48"/>
  <c r="C5" i="38"/>
  <c r="E5" i="38" s="1"/>
  <c r="S27" i="15" l="1"/>
  <c r="D27" i="36" s="1"/>
  <c r="D6" i="65"/>
  <c r="C27" i="8"/>
  <c r="C23" i="32"/>
  <c r="C5" i="32"/>
  <c r="C5" i="8"/>
  <c r="C6" i="32"/>
  <c r="C6" i="8"/>
  <c r="C19" i="36" l="1"/>
  <c r="C39" i="36"/>
  <c r="C34" i="36"/>
  <c r="C17" i="36" l="1"/>
  <c r="C37" i="36"/>
  <c r="C41" i="36"/>
  <c r="C40" i="36"/>
  <c r="C15" i="36"/>
  <c r="C30" i="36"/>
  <c r="C38" i="36"/>
  <c r="C27" i="36"/>
  <c r="G14" i="53" l="1"/>
  <c r="G25" i="53"/>
  <c r="G29" i="53"/>
  <c r="G8" i="53"/>
  <c r="G30" i="53"/>
  <c r="G31" i="53"/>
  <c r="G26" i="53"/>
  <c r="G21" i="53"/>
  <c r="G32" i="53"/>
  <c r="G20" i="53"/>
  <c r="G11" i="53"/>
  <c r="G9" i="53"/>
  <c r="G33" i="53"/>
  <c r="G34" i="53"/>
  <c r="G35" i="53"/>
  <c r="G16" i="53"/>
  <c r="G13" i="53"/>
  <c r="G22" i="53"/>
  <c r="G23" i="53"/>
  <c r="G36" i="53"/>
  <c r="G37" i="53"/>
  <c r="G15" i="53"/>
  <c r="G38" i="53"/>
  <c r="G12" i="53"/>
  <c r="G10" i="53"/>
  <c r="G18" i="53"/>
  <c r="G39" i="53"/>
  <c r="G40" i="53"/>
  <c r="G41" i="53"/>
  <c r="G27" i="53"/>
  <c r="G19" i="53"/>
  <c r="G17" i="53"/>
  <c r="G42" i="53"/>
  <c r="G43" i="53"/>
  <c r="G7" i="53"/>
  <c r="G6" i="53"/>
  <c r="G28" i="53"/>
  <c r="G5" i="53" l="1"/>
  <c r="G47" i="53" s="1"/>
  <c r="D10" i="65" l="1"/>
  <c r="D9" i="65" l="1"/>
  <c r="D7" i="65" l="1"/>
  <c r="D22" i="65" l="1"/>
  <c r="D12" i="65"/>
  <c r="D14" i="65"/>
  <c r="D13" i="65"/>
  <c r="D11" i="65"/>
  <c r="D15" i="65"/>
  <c r="D21" i="65"/>
  <c r="D19" i="65"/>
  <c r="D17" i="65"/>
  <c r="D16" i="65"/>
  <c r="D18" i="65"/>
  <c r="D20" i="65"/>
  <c r="D8" i="65"/>
  <c r="C15" i="57" l="1"/>
  <c r="D15" i="57"/>
  <c r="F19" i="15"/>
  <c r="F15" i="57" l="1"/>
  <c r="E6" i="39"/>
  <c r="H6" i="39" s="1"/>
  <c r="E7" i="36"/>
  <c r="E8" i="10"/>
  <c r="G19" i="15"/>
  <c r="R19" i="15" l="1"/>
  <c r="C7" i="36" s="1"/>
  <c r="G15" i="57"/>
  <c r="D10" i="57"/>
  <c r="F10" i="57" s="1"/>
  <c r="C10" i="57"/>
  <c r="F14" i="15"/>
  <c r="J19" i="15"/>
  <c r="C6" i="12"/>
  <c r="F8" i="10"/>
  <c r="R14" i="15" l="1"/>
  <c r="S19" i="15"/>
  <c r="D7" i="36" s="1"/>
  <c r="C4" i="57"/>
  <c r="D4" i="57"/>
  <c r="F4" i="57" s="1"/>
  <c r="F8" i="15"/>
  <c r="C15" i="38"/>
  <c r="E15" i="38" s="1"/>
  <c r="C21" i="32"/>
  <c r="C18" i="8"/>
  <c r="E18" i="39"/>
  <c r="H18" i="39" s="1"/>
  <c r="E12" i="36"/>
  <c r="E16" i="10"/>
  <c r="G14" i="15"/>
  <c r="G10" i="57"/>
  <c r="C12" i="36" l="1"/>
  <c r="S14" i="15"/>
  <c r="D12" i="36" s="1"/>
  <c r="R8" i="15"/>
  <c r="C24" i="36" s="1"/>
  <c r="G4" i="57"/>
  <c r="C16" i="12"/>
  <c r="F16" i="10"/>
  <c r="J14" i="15"/>
  <c r="E24" i="36"/>
  <c r="E29" i="39"/>
  <c r="H29" i="39" s="1"/>
  <c r="E27" i="10"/>
  <c r="G8" i="15"/>
  <c r="S8" i="15" l="1"/>
  <c r="D24" i="36" s="1"/>
  <c r="C39" i="57"/>
  <c r="F43" i="15"/>
  <c r="C17" i="12"/>
  <c r="J8" i="15"/>
  <c r="F27" i="10"/>
  <c r="C19" i="38"/>
  <c r="E19" i="38" s="1"/>
  <c r="C15" i="8"/>
  <c r="C11" i="32"/>
  <c r="E15" i="48" l="1"/>
  <c r="C31" i="38"/>
  <c r="E31" i="38" s="1"/>
  <c r="C25" i="32"/>
  <c r="C26" i="8"/>
  <c r="E5" i="10"/>
  <c r="E5" i="39"/>
  <c r="G43" i="15"/>
  <c r="E5" i="36"/>
  <c r="S43" i="15"/>
  <c r="D5" i="36" s="1"/>
  <c r="R43" i="15"/>
  <c r="F15" i="48" l="1"/>
  <c r="J43" i="15"/>
  <c r="C5" i="12"/>
  <c r="F5" i="10"/>
  <c r="H5" i="39"/>
  <c r="C5" i="36"/>
  <c r="C18" i="38" l="1"/>
  <c r="E18" i="38" s="1"/>
  <c r="C33" i="32"/>
  <c r="C13" i="8"/>
  <c r="U10" i="15" l="1"/>
  <c r="V7" i="15" l="1"/>
  <c r="F7" i="15" l="1"/>
  <c r="C3" i="57"/>
  <c r="D3" i="57"/>
  <c r="F3" i="57" s="1"/>
  <c r="R7" i="15" l="1"/>
  <c r="E6" i="15"/>
  <c r="V6" i="15"/>
  <c r="V10" i="15"/>
  <c r="C33" i="36"/>
  <c r="G3" i="57"/>
  <c r="E17" i="39"/>
  <c r="E33" i="36"/>
  <c r="E19" i="10"/>
  <c r="S7" i="15" l="1"/>
  <c r="D33" i="36" s="1"/>
  <c r="D18" i="48"/>
  <c r="D14" i="48" s="1"/>
  <c r="D32" i="39"/>
  <c r="H32" i="39" s="1"/>
  <c r="D23" i="10"/>
  <c r="G6" i="15"/>
  <c r="AF6" i="15"/>
  <c r="F18" i="48" l="1"/>
  <c r="F23" i="10"/>
  <c r="C31" i="12"/>
  <c r="J6" i="15"/>
  <c r="C38" i="38" s="1"/>
  <c r="E38" i="38" s="1"/>
  <c r="C37" i="32" l="1"/>
  <c r="C32" i="8"/>
  <c r="U42" i="15" l="1"/>
  <c r="V30" i="15" l="1"/>
  <c r="W10" i="15" l="1"/>
  <c r="W29" i="15" l="1"/>
  <c r="U31" i="15"/>
  <c r="W42" i="15" l="1"/>
  <c r="V31" i="15" l="1"/>
  <c r="F41" i="15" l="1"/>
  <c r="D37" i="57"/>
  <c r="F37" i="57" s="1"/>
  <c r="C37" i="57"/>
  <c r="AG20" i="15"/>
  <c r="R41" i="15" l="1"/>
  <c r="C28" i="36" s="1"/>
  <c r="E28" i="48"/>
  <c r="G37" i="57"/>
  <c r="E19" i="39"/>
  <c r="E28" i="36"/>
  <c r="E35" i="10"/>
  <c r="S41" i="15" l="1"/>
  <c r="D28" i="36" s="1"/>
  <c r="V39" i="15" l="1"/>
  <c r="F39" i="15" l="1"/>
  <c r="D35" i="57"/>
  <c r="F35" i="57" s="1"/>
  <c r="C35" i="57"/>
  <c r="W9" i="15"/>
  <c r="R39" i="15" l="1"/>
  <c r="C11" i="36" s="1"/>
  <c r="E14" i="10"/>
  <c r="E11" i="36"/>
  <c r="E16" i="39"/>
  <c r="G35" i="57"/>
  <c r="S39" i="15" l="1"/>
  <c r="D11" i="36" s="1"/>
  <c r="D5" i="57"/>
  <c r="F5" i="57" s="1"/>
  <c r="R9" i="15" l="1"/>
  <c r="C32" i="36" l="1"/>
  <c r="W31" i="15"/>
  <c r="Y36" i="15" l="1"/>
  <c r="D32" i="57" l="1"/>
  <c r="F32" i="57" s="1"/>
  <c r="R36" i="15" l="1"/>
  <c r="E32" i="15"/>
  <c r="W32" i="15"/>
  <c r="Y7" i="15"/>
  <c r="C20" i="36" l="1"/>
  <c r="D7" i="39"/>
  <c r="D10" i="10"/>
  <c r="Y37" i="15"/>
  <c r="E7" i="15" l="1"/>
  <c r="U7" i="15"/>
  <c r="D17" i="39" l="1"/>
  <c r="H17" i="39" s="1"/>
  <c r="G7" i="15"/>
  <c r="D19" i="10"/>
  <c r="AF7" i="15"/>
  <c r="F19" i="10" l="1"/>
  <c r="C15" i="12"/>
  <c r="J7" i="15"/>
  <c r="C20" i="38" s="1"/>
  <c r="E20" i="38" s="1"/>
  <c r="C19" i="8" l="1"/>
  <c r="C13" i="32"/>
  <c r="X29" i="15"/>
  <c r="E29" i="15" l="1"/>
  <c r="V29" i="15"/>
  <c r="U35" i="15"/>
  <c r="D14" i="39" l="1"/>
  <c r="D13" i="10"/>
  <c r="E35" i="15" l="1"/>
  <c r="W38" i="15"/>
  <c r="D30" i="39" l="1"/>
  <c r="D40" i="10"/>
  <c r="E38" i="15" l="1"/>
  <c r="U41" i="15"/>
  <c r="D15" i="39" l="1"/>
  <c r="D20" i="10"/>
  <c r="X42" i="15" l="1"/>
  <c r="Z31" i="15" l="1"/>
  <c r="U21" i="15"/>
  <c r="V18" i="15" l="1"/>
  <c r="Y10" i="15" l="1"/>
  <c r="AF10" i="15" l="1"/>
  <c r="D6" i="57"/>
  <c r="F6" i="57" s="1"/>
  <c r="C6" i="57"/>
  <c r="F10" i="15"/>
  <c r="E17" i="48" l="1"/>
  <c r="R10" i="15"/>
  <c r="E9" i="39"/>
  <c r="H9" i="39" s="1"/>
  <c r="E9" i="36"/>
  <c r="G10" i="15"/>
  <c r="E9" i="10"/>
  <c r="G6" i="57"/>
  <c r="C9" i="36" l="1"/>
  <c r="S10" i="15"/>
  <c r="D9" i="36" s="1"/>
  <c r="F17" i="48"/>
  <c r="F9" i="10"/>
  <c r="J10" i="15"/>
  <c r="C12" i="12"/>
  <c r="C17" i="38" l="1"/>
  <c r="E17" i="38" s="1"/>
  <c r="C31" i="32"/>
  <c r="C12" i="8"/>
  <c r="E23" i="15" l="1"/>
  <c r="V23" i="15"/>
  <c r="E13" i="15"/>
  <c r="Y13" i="15"/>
  <c r="D18" i="10" l="1"/>
  <c r="D13" i="39"/>
  <c r="D15" i="10"/>
  <c r="D10" i="39"/>
  <c r="C27" i="57" l="1"/>
  <c r="D27" i="57"/>
  <c r="F27" i="57" s="1"/>
  <c r="F31" i="15"/>
  <c r="E24" i="48" l="1"/>
  <c r="R31" i="15"/>
  <c r="C10" i="36" s="1"/>
  <c r="X13" i="15"/>
  <c r="E12" i="10"/>
  <c r="E12" i="39"/>
  <c r="E10" i="36"/>
  <c r="G27" i="57"/>
  <c r="S31" i="15" l="1"/>
  <c r="D10" i="36" s="1"/>
  <c r="X20" i="15" l="1"/>
  <c r="C16" i="57" l="1"/>
  <c r="D16" i="57"/>
  <c r="F16" i="57" s="1"/>
  <c r="F20" i="15"/>
  <c r="H263" i="1"/>
  <c r="R20" i="15" l="1"/>
  <c r="W17" i="15"/>
  <c r="R263" i="1"/>
  <c r="S263" i="1" s="1"/>
  <c r="E46" i="15"/>
  <c r="AG46" i="15"/>
  <c r="H264" i="1"/>
  <c r="R264" i="1" s="1"/>
  <c r="S264" i="1" s="1"/>
  <c r="S10" i="62"/>
  <c r="B10" i="62" s="1"/>
  <c r="S4" i="62"/>
  <c r="B4" i="62" s="1"/>
  <c r="S6" i="62"/>
  <c r="B6" i="62" s="1"/>
  <c r="S36" i="63"/>
  <c r="B36" i="63" s="1"/>
  <c r="S35" i="63"/>
  <c r="B35" i="63" s="1"/>
  <c r="S34" i="63"/>
  <c r="B34" i="63" s="1"/>
  <c r="S33" i="63"/>
  <c r="B33" i="63" s="1"/>
  <c r="S31" i="63"/>
  <c r="B31" i="63" s="1"/>
  <c r="S30" i="63"/>
  <c r="B30" i="63" s="1"/>
  <c r="S29" i="63"/>
  <c r="B29" i="63" s="1"/>
  <c r="S28" i="63"/>
  <c r="B28" i="63" s="1"/>
  <c r="S27" i="63"/>
  <c r="B27" i="63" s="1"/>
  <c r="S26" i="63"/>
  <c r="B26" i="63" s="1"/>
  <c r="S25" i="63"/>
  <c r="B25" i="63" s="1"/>
  <c r="S24" i="63"/>
  <c r="B24" i="63" s="1"/>
  <c r="S23" i="63"/>
  <c r="B23" i="63" s="1"/>
  <c r="S22" i="63"/>
  <c r="B22" i="63" s="1"/>
  <c r="S21" i="63"/>
  <c r="B21" i="63" s="1"/>
  <c r="S20" i="63"/>
  <c r="B20" i="63" s="1"/>
  <c r="S19" i="63"/>
  <c r="B19" i="63" s="1"/>
  <c r="S18" i="63"/>
  <c r="B18" i="63" s="1"/>
  <c r="S17" i="63"/>
  <c r="B17" i="63" s="1"/>
  <c r="S16" i="63"/>
  <c r="B16" i="63" s="1"/>
  <c r="S15" i="63"/>
  <c r="B15" i="63" s="1"/>
  <c r="S14" i="63"/>
  <c r="B14" i="63" s="1"/>
  <c r="S13" i="63"/>
  <c r="B13" i="63" s="1"/>
  <c r="S12" i="63"/>
  <c r="B12" i="63" s="1"/>
  <c r="S11" i="63"/>
  <c r="B11" i="63" s="1"/>
  <c r="S10" i="63"/>
  <c r="B10" i="63" s="1"/>
  <c r="S9" i="63"/>
  <c r="B9" i="63" s="1"/>
  <c r="S8" i="63"/>
  <c r="B8" i="63" s="1"/>
  <c r="S7" i="63"/>
  <c r="B7" i="63" s="1"/>
  <c r="S6" i="63"/>
  <c r="B6" i="63" s="1"/>
  <c r="S5" i="63"/>
  <c r="B5" i="63" s="1"/>
  <c r="S4" i="63"/>
  <c r="B4" i="63" s="1"/>
  <c r="S3" i="63"/>
  <c r="B3" i="63" s="1"/>
  <c r="S2" i="63"/>
  <c r="B2" i="63" s="1"/>
  <c r="S39" i="62"/>
  <c r="B39" i="62" s="1"/>
  <c r="S38" i="62"/>
  <c r="B38" i="62" s="1"/>
  <c r="S37" i="62"/>
  <c r="B37" i="62" s="1"/>
  <c r="S36" i="62"/>
  <c r="B36" i="62" s="1"/>
  <c r="S33" i="62"/>
  <c r="B33" i="62" s="1"/>
  <c r="S32" i="62"/>
  <c r="B32" i="62" s="1"/>
  <c r="S31" i="62"/>
  <c r="B31" i="62" s="1"/>
  <c r="S30" i="62"/>
  <c r="B30" i="62" s="1"/>
  <c r="S29" i="62"/>
  <c r="B29" i="62" s="1"/>
  <c r="S28" i="62"/>
  <c r="B28" i="62" s="1"/>
  <c r="S27" i="62"/>
  <c r="B27" i="62" s="1"/>
  <c r="S26" i="62"/>
  <c r="B26" i="62" s="1"/>
  <c r="S25" i="62"/>
  <c r="B25" i="62" s="1"/>
  <c r="S24" i="62"/>
  <c r="B24" i="62" s="1"/>
  <c r="S23" i="62"/>
  <c r="B23" i="62" s="1"/>
  <c r="S22" i="62"/>
  <c r="B22" i="62" s="1"/>
  <c r="S9" i="62"/>
  <c r="B9" i="62" s="1"/>
  <c r="S5" i="62"/>
  <c r="B5" i="62" s="1"/>
  <c r="S2" i="62"/>
  <c r="B2" i="62" s="1"/>
  <c r="S17" i="62"/>
  <c r="B17" i="62" s="1"/>
  <c r="S16" i="62"/>
  <c r="B16" i="62" s="1"/>
  <c r="S12" i="62"/>
  <c r="B12" i="62" s="1"/>
  <c r="S11" i="62"/>
  <c r="B11" i="62" s="1"/>
  <c r="S18" i="62"/>
  <c r="B18" i="62" s="1"/>
  <c r="S14" i="62"/>
  <c r="B14" i="62" s="1"/>
  <c r="S13" i="62"/>
  <c r="B13" i="62" s="1"/>
  <c r="S3" i="62"/>
  <c r="B3" i="62" s="1"/>
  <c r="S21" i="62"/>
  <c r="B21" i="62" s="1"/>
  <c r="S8" i="62"/>
  <c r="B8" i="62" s="1"/>
  <c r="S15" i="62"/>
  <c r="B15" i="62" s="1"/>
  <c r="S7" i="62"/>
  <c r="B7" i="62" s="1"/>
  <c r="E33" i="39"/>
  <c r="E22" i="36"/>
  <c r="E30" i="10"/>
  <c r="C22" i="36"/>
  <c r="G16" i="57"/>
  <c r="AG22" i="15"/>
  <c r="S20" i="15" l="1"/>
  <c r="D22" i="36" s="1"/>
  <c r="D29" i="48"/>
  <c r="Z17" i="15"/>
  <c r="AA17" i="15"/>
  <c r="G46" i="15"/>
  <c r="D44" i="10"/>
  <c r="D44" i="39"/>
  <c r="H44" i="39" s="1"/>
  <c r="AE18" i="92"/>
  <c r="AE42" i="92" s="1"/>
  <c r="BG42" i="92" s="1"/>
  <c r="AH18" i="92"/>
  <c r="AH42" i="92" s="1"/>
  <c r="BJ42" i="92" s="1"/>
  <c r="AZ18" i="92"/>
  <c r="AT18" i="92"/>
  <c r="AT42" i="92" s="1"/>
  <c r="BV42" i="92" s="1"/>
  <c r="AG18" i="92"/>
  <c r="AD18" i="92"/>
  <c r="E9" i="66" s="1"/>
  <c r="AV18" i="92"/>
  <c r="AV42" i="92" s="1"/>
  <c r="BX42" i="92" s="1"/>
  <c r="AS18" i="92"/>
  <c r="AS42" i="92" s="1"/>
  <c r="BU42" i="92" s="1"/>
  <c r="AY18" i="92"/>
  <c r="AJ18" i="92"/>
  <c r="C9" i="66" s="1"/>
  <c r="AF18" i="92"/>
  <c r="AF42" i="92" s="1"/>
  <c r="BH42" i="92" s="1"/>
  <c r="AL18" i="92"/>
  <c r="AX18" i="92"/>
  <c r="AU18" i="92"/>
  <c r="AR18" i="92"/>
  <c r="C44" i="12"/>
  <c r="J46" i="15"/>
  <c r="V21" i="15"/>
  <c r="AF21" i="15" s="1"/>
  <c r="AG41" i="15"/>
  <c r="V38" i="15"/>
  <c r="AR42" i="92" l="1"/>
  <c r="BT42" i="92" s="1"/>
  <c r="E10" i="66"/>
  <c r="E22" i="66" s="1"/>
  <c r="AY42" i="92"/>
  <c r="CA42" i="92" s="1"/>
  <c r="D10" i="66"/>
  <c r="E16" i="66" s="1"/>
  <c r="AX42" i="92"/>
  <c r="BZ42" i="92" s="1"/>
  <c r="C10" i="66"/>
  <c r="E19" i="66" s="1"/>
  <c r="F29" i="48"/>
  <c r="F44" i="10"/>
  <c r="E28" i="15"/>
  <c r="U28" i="15"/>
  <c r="AF28" i="15" s="1"/>
  <c r="P10" i="99" a="1"/>
  <c r="P10" i="99" s="1"/>
  <c r="I10" i="99" a="1"/>
  <c r="I10" i="99" s="1"/>
  <c r="P4" i="99" a="1"/>
  <c r="P4" i="99" s="1"/>
  <c r="G4" i="99" a="1"/>
  <c r="G4" i="99" s="1"/>
  <c r="O10" i="99" a="1"/>
  <c r="O10" i="99" s="1"/>
  <c r="H10" i="99" a="1"/>
  <c r="H10" i="99" s="1"/>
  <c r="I4" i="99" a="1"/>
  <c r="I4" i="99" s="1"/>
  <c r="M10" i="99" a="1"/>
  <c r="M10" i="99" s="1"/>
  <c r="G10" i="99" a="1"/>
  <c r="G10" i="99" s="1"/>
  <c r="H4" i="99" a="1"/>
  <c r="H4" i="99" s="1"/>
  <c r="M7" i="99" a="1"/>
  <c r="M7" i="99" s="1"/>
  <c r="H7" i="99" a="1"/>
  <c r="H7" i="99" s="1"/>
  <c r="O7" i="99" a="1"/>
  <c r="O7" i="99" s="1"/>
  <c r="K7" i="99" a="1"/>
  <c r="K7" i="99" s="1"/>
  <c r="K4" i="99" a="1"/>
  <c r="K4" i="99" s="1"/>
  <c r="N7" i="99" a="1"/>
  <c r="N7" i="99" s="1"/>
  <c r="J7" i="99" a="1"/>
  <c r="J7" i="99" s="1"/>
  <c r="J4" i="99" a="1"/>
  <c r="J4" i="99" s="1"/>
  <c r="AD42" i="92"/>
  <c r="BF42" i="92" s="1"/>
  <c r="AJ42" i="92"/>
  <c r="BL42" i="92" s="1"/>
  <c r="AK42" i="92"/>
  <c r="BM42" i="92" s="1"/>
  <c r="BI18" i="92"/>
  <c r="AG42" i="92"/>
  <c r="BI42" i="92" s="1"/>
  <c r="BN18" i="92"/>
  <c r="AL42" i="92"/>
  <c r="BN42" i="92" s="1"/>
  <c r="BW18" i="92"/>
  <c r="AU42" i="92"/>
  <c r="BW42" i="92" s="1"/>
  <c r="CB18" i="92"/>
  <c r="AZ42" i="92"/>
  <c r="CB42" i="92" s="1"/>
  <c r="BM18" i="92"/>
  <c r="BT18" i="92"/>
  <c r="BZ18" i="92"/>
  <c r="BH18" i="92"/>
  <c r="BL18" i="92"/>
  <c r="CA18" i="92"/>
  <c r="AW18" i="92"/>
  <c r="BU18" i="92"/>
  <c r="BX18" i="92"/>
  <c r="BF18" i="92"/>
  <c r="BV18" i="92"/>
  <c r="BJ18" i="92"/>
  <c r="AI18" i="92"/>
  <c r="BG18" i="92"/>
  <c r="C43" i="32"/>
  <c r="C43" i="8"/>
  <c r="C43" i="38"/>
  <c r="E43" i="38" s="1"/>
  <c r="Y38" i="15"/>
  <c r="X30" i="15"/>
  <c r="Y17" i="15"/>
  <c r="Z32" i="15"/>
  <c r="Z38" i="15"/>
  <c r="D11" i="66" l="1"/>
  <c r="F19" i="66"/>
  <c r="G32" i="95"/>
  <c r="E32" i="95"/>
  <c r="G13" i="95"/>
  <c r="E13" i="95"/>
  <c r="F16" i="66"/>
  <c r="F22" i="66"/>
  <c r="C11" i="66"/>
  <c r="E11" i="66"/>
  <c r="AI42" i="92"/>
  <c r="BK42" i="92" s="1"/>
  <c r="C13" i="95" s="1"/>
  <c r="F9" i="66"/>
  <c r="AW42" i="92"/>
  <c r="BY42" i="92" s="1"/>
  <c r="F10" i="66"/>
  <c r="E25" i="66" s="1"/>
  <c r="D45" i="10"/>
  <c r="G28" i="15"/>
  <c r="J28" i="15" s="1"/>
  <c r="D42" i="39"/>
  <c r="H42" i="39" s="1"/>
  <c r="E27" i="15"/>
  <c r="V27" i="15"/>
  <c r="AF27" i="15" s="1"/>
  <c r="AF38" i="15"/>
  <c r="E31" i="15"/>
  <c r="Y31" i="15"/>
  <c r="AF31" i="15" s="1"/>
  <c r="S7" i="99"/>
  <c r="T7" i="99" s="1"/>
  <c r="J13" i="95"/>
  <c r="J32" i="95"/>
  <c r="I13" i="95"/>
  <c r="I32" i="95"/>
  <c r="L10" i="99"/>
  <c r="H32" i="95"/>
  <c r="H13" i="95"/>
  <c r="D32" i="95"/>
  <c r="D13" i="95"/>
  <c r="BK18" i="92"/>
  <c r="BY18" i="92"/>
  <c r="D34" i="57"/>
  <c r="F34" i="57" s="1"/>
  <c r="F38" i="15"/>
  <c r="X33" i="15"/>
  <c r="C34" i="57"/>
  <c r="D26" i="57"/>
  <c r="F26" i="57" s="1"/>
  <c r="Z37" i="15"/>
  <c r="U33" i="15"/>
  <c r="Y29" i="15"/>
  <c r="AF29" i="15" s="1"/>
  <c r="U9" i="15"/>
  <c r="W33" i="15"/>
  <c r="W35" i="15"/>
  <c r="AF35" i="15" s="1"/>
  <c r="C41" i="12" l="1"/>
  <c r="F13" i="95"/>
  <c r="F25" i="66"/>
  <c r="F11" i="66"/>
  <c r="R30" i="15"/>
  <c r="R38" i="15"/>
  <c r="D24" i="48"/>
  <c r="G27" i="15"/>
  <c r="F45" i="10"/>
  <c r="D32" i="10"/>
  <c r="D12" i="39"/>
  <c r="H12" i="39" s="1"/>
  <c r="D12" i="10"/>
  <c r="D35" i="39"/>
  <c r="H35" i="39" s="1"/>
  <c r="G31" i="15"/>
  <c r="C18" i="12" s="1"/>
  <c r="E37" i="15"/>
  <c r="V37" i="15"/>
  <c r="AF37" i="15" s="1"/>
  <c r="E41" i="15"/>
  <c r="V41" i="15"/>
  <c r="AF41" i="15" s="1"/>
  <c r="V22" i="15"/>
  <c r="AF22" i="15" s="1"/>
  <c r="AF33" i="15"/>
  <c r="D12" i="48"/>
  <c r="D9" i="48" s="1"/>
  <c r="AG16" i="15"/>
  <c r="E21" i="15"/>
  <c r="AG21" i="15"/>
  <c r="C26" i="57"/>
  <c r="G26" i="57" s="1"/>
  <c r="Z30" i="15"/>
  <c r="AF30" i="15" s="1"/>
  <c r="S10" i="99"/>
  <c r="T10" i="99" s="1"/>
  <c r="F32" i="95"/>
  <c r="C32" i="95"/>
  <c r="H567" i="1"/>
  <c r="H566" i="1"/>
  <c r="R566" i="1" s="1"/>
  <c r="S566" i="1" s="1"/>
  <c r="E16" i="15"/>
  <c r="F30" i="15"/>
  <c r="E22" i="15"/>
  <c r="G34" i="57"/>
  <c r="C31" i="57"/>
  <c r="F35" i="15"/>
  <c r="D31" i="57"/>
  <c r="F31" i="57" s="1"/>
  <c r="C25" i="57"/>
  <c r="D25" i="57"/>
  <c r="F25" i="57" s="1"/>
  <c r="F29" i="15"/>
  <c r="D29" i="57"/>
  <c r="F29" i="57" s="1"/>
  <c r="C29" i="57"/>
  <c r="F33" i="15"/>
  <c r="C37" i="38"/>
  <c r="E37" i="38" s="1"/>
  <c r="C39" i="8"/>
  <c r="C34" i="32"/>
  <c r="D33" i="57"/>
  <c r="F33" i="57" s="1"/>
  <c r="C33" i="57"/>
  <c r="F37" i="15"/>
  <c r="E15" i="39"/>
  <c r="H15" i="39" s="1"/>
  <c r="E26" i="36"/>
  <c r="E20" i="10"/>
  <c r="G38" i="15"/>
  <c r="W13" i="15"/>
  <c r="V20" i="15"/>
  <c r="W20" i="15"/>
  <c r="W36" i="15"/>
  <c r="AF36" i="15" s="1"/>
  <c r="C26" i="36" l="1"/>
  <c r="F32" i="10"/>
  <c r="C31" i="36"/>
  <c r="J27" i="15"/>
  <c r="C22" i="8" s="1"/>
  <c r="C35" i="12"/>
  <c r="R37" i="15"/>
  <c r="C29" i="36" s="1"/>
  <c r="R33" i="15"/>
  <c r="C25" i="36" s="1"/>
  <c r="R29" i="15"/>
  <c r="C18" i="36" s="1"/>
  <c r="R35" i="15"/>
  <c r="S38" i="15"/>
  <c r="D26" i="36" s="1"/>
  <c r="D31" i="39"/>
  <c r="H31" i="39" s="1"/>
  <c r="G16" i="15"/>
  <c r="E45" i="41" s="1"/>
  <c r="S30" i="15"/>
  <c r="D31" i="36" s="1"/>
  <c r="G21" i="15"/>
  <c r="C27" i="12" s="1"/>
  <c r="D28" i="48"/>
  <c r="D21" i="48" s="1"/>
  <c r="D38" i="39"/>
  <c r="F24" i="48"/>
  <c r="F12" i="10"/>
  <c r="J31" i="15"/>
  <c r="C9" i="8" s="1"/>
  <c r="F12" i="48"/>
  <c r="D35" i="10"/>
  <c r="D19" i="39"/>
  <c r="H19" i="39" s="1"/>
  <c r="G41" i="15"/>
  <c r="D37" i="10"/>
  <c r="D36" i="10"/>
  <c r="D34" i="39"/>
  <c r="H34" i="39" s="1"/>
  <c r="AG47" i="15"/>
  <c r="E41" i="39"/>
  <c r="H41" i="39" s="1"/>
  <c r="E19" i="48"/>
  <c r="AB26" i="15"/>
  <c r="AB47" i="15" s="1"/>
  <c r="C13" i="100" s="1"/>
  <c r="E31" i="36"/>
  <c r="E39" i="10"/>
  <c r="G30" i="15"/>
  <c r="G22" i="15"/>
  <c r="D33" i="10"/>
  <c r="G33" i="57"/>
  <c r="C5" i="57"/>
  <c r="G5" i="57" s="1"/>
  <c r="F9" i="15"/>
  <c r="E25" i="36"/>
  <c r="E23" i="39"/>
  <c r="H23" i="39" s="1"/>
  <c r="E22" i="10"/>
  <c r="G33" i="15"/>
  <c r="F20" i="10"/>
  <c r="J38" i="15"/>
  <c r="C11" i="12"/>
  <c r="G29" i="57"/>
  <c r="E14" i="39"/>
  <c r="H14" i="39" s="1"/>
  <c r="E18" i="36"/>
  <c r="E13" i="10"/>
  <c r="G29" i="15"/>
  <c r="G25" i="57"/>
  <c r="F36" i="15"/>
  <c r="C32" i="57"/>
  <c r="G32" i="57" s="1"/>
  <c r="D6" i="10"/>
  <c r="F9" i="48"/>
  <c r="E38" i="39"/>
  <c r="E36" i="10"/>
  <c r="E29" i="36"/>
  <c r="E40" i="10"/>
  <c r="E30" i="39"/>
  <c r="H30" i="39" s="1"/>
  <c r="E35" i="36"/>
  <c r="G35" i="15"/>
  <c r="G31" i="57"/>
  <c r="G37" i="15"/>
  <c r="U32" i="15"/>
  <c r="AF32" i="15" s="1"/>
  <c r="Z23" i="15"/>
  <c r="X17" i="15"/>
  <c r="AA42" i="15"/>
  <c r="AA47" i="15" s="1"/>
  <c r="C12" i="100" s="1"/>
  <c r="W23" i="15"/>
  <c r="C27" i="38" l="1"/>
  <c r="E27" i="38" s="1"/>
  <c r="E14" i="41"/>
  <c r="K15" i="15" s="1"/>
  <c r="N15" i="15" s="1"/>
  <c r="D28" i="12" s="1"/>
  <c r="E13" i="41"/>
  <c r="K14" i="15" s="1"/>
  <c r="N14" i="15" s="1"/>
  <c r="E9" i="41"/>
  <c r="K9" i="15" s="1"/>
  <c r="N9" i="15" s="1"/>
  <c r="E15" i="41"/>
  <c r="K17" i="15" s="1"/>
  <c r="N17" i="15" s="1"/>
  <c r="D20" i="12" s="1"/>
  <c r="E16" i="41"/>
  <c r="K18" i="15" s="1"/>
  <c r="N18" i="15" s="1"/>
  <c r="O18" i="15" s="1"/>
  <c r="D26" i="32" s="1"/>
  <c r="E47" i="41"/>
  <c r="K44" i="15" s="1"/>
  <c r="N44" i="15" s="1"/>
  <c r="O44" i="15" s="1"/>
  <c r="D44" i="32" s="1"/>
  <c r="H38" i="39"/>
  <c r="C35" i="36"/>
  <c r="E34" i="41"/>
  <c r="E30" i="41"/>
  <c r="K36" i="15" s="1"/>
  <c r="N36" i="15" s="1"/>
  <c r="O36" i="15" s="1"/>
  <c r="D9" i="32" s="1"/>
  <c r="E32" i="41"/>
  <c r="K38" i="15" s="1"/>
  <c r="N38" i="15" s="1"/>
  <c r="D11" i="12" s="1"/>
  <c r="E19" i="41"/>
  <c r="E11" i="41"/>
  <c r="K12" i="15" s="1"/>
  <c r="N12" i="15" s="1"/>
  <c r="P12" i="15" s="1"/>
  <c r="Q12" i="15" s="1"/>
  <c r="E30" i="32" s="1"/>
  <c r="E38" i="41"/>
  <c r="E42" i="41"/>
  <c r="K31" i="15" s="1"/>
  <c r="N31" i="15" s="1"/>
  <c r="E27" i="41"/>
  <c r="K32" i="15" s="1"/>
  <c r="N32" i="15" s="1"/>
  <c r="E28" i="41"/>
  <c r="K33" i="15" s="1"/>
  <c r="N33" i="15" s="1"/>
  <c r="D21" i="12" s="1"/>
  <c r="J21" i="15"/>
  <c r="C24" i="32" s="1"/>
  <c r="C29" i="32"/>
  <c r="F37" i="10"/>
  <c r="E21" i="41"/>
  <c r="K23" i="15" s="1"/>
  <c r="N23" i="15" s="1"/>
  <c r="E22" i="41"/>
  <c r="E46" i="41"/>
  <c r="K16" i="15" s="1"/>
  <c r="N16" i="15" s="1"/>
  <c r="E36" i="41"/>
  <c r="K10" i="15" s="1"/>
  <c r="N10" i="15" s="1"/>
  <c r="E49" i="41"/>
  <c r="K46" i="15" s="1"/>
  <c r="N46" i="15" s="1"/>
  <c r="E43" i="41"/>
  <c r="K30" i="15" s="1"/>
  <c r="N30" i="15" s="1"/>
  <c r="E44" i="41"/>
  <c r="K6" i="15" s="1"/>
  <c r="N6" i="15" s="1"/>
  <c r="E23" i="41"/>
  <c r="K26" i="15" s="1"/>
  <c r="N26" i="15" s="1"/>
  <c r="D30" i="12" s="1"/>
  <c r="E10" i="41"/>
  <c r="K11" i="15" s="1"/>
  <c r="N11" i="15" s="1"/>
  <c r="E17" i="41"/>
  <c r="K19" i="15" s="1"/>
  <c r="N19" i="15" s="1"/>
  <c r="P19" i="15" s="1"/>
  <c r="E48" i="41"/>
  <c r="K45" i="15" s="1"/>
  <c r="N45" i="15" s="1"/>
  <c r="E7" i="41"/>
  <c r="K7" i="15" s="1"/>
  <c r="N7" i="15" s="1"/>
  <c r="E12" i="41"/>
  <c r="K13" i="15" s="1"/>
  <c r="N13" i="15" s="1"/>
  <c r="D19" i="12" s="1"/>
  <c r="E29" i="41"/>
  <c r="K35" i="15" s="1"/>
  <c r="N35" i="15" s="1"/>
  <c r="E25" i="41"/>
  <c r="K28" i="15" s="1"/>
  <c r="N28" i="15" s="1"/>
  <c r="J16" i="15"/>
  <c r="E39" i="41"/>
  <c r="E24" i="41"/>
  <c r="K27" i="15" s="1"/>
  <c r="N27" i="15" s="1"/>
  <c r="E8" i="41"/>
  <c r="E37" i="41"/>
  <c r="K42" i="15" s="1"/>
  <c r="N42" i="15" s="1"/>
  <c r="E20" i="41"/>
  <c r="K22" i="15" s="1"/>
  <c r="N22" i="15" s="1"/>
  <c r="E18" i="41"/>
  <c r="K20" i="15" s="1"/>
  <c r="N20" i="15" s="1"/>
  <c r="E26" i="41"/>
  <c r="K29" i="15" s="1"/>
  <c r="N29" i="15" s="1"/>
  <c r="E41" i="41"/>
  <c r="K40" i="15" s="1"/>
  <c r="N40" i="15" s="1"/>
  <c r="E40" i="41"/>
  <c r="K41" i="15" s="1"/>
  <c r="N41" i="15" s="1"/>
  <c r="E31" i="41"/>
  <c r="K37" i="15" s="1"/>
  <c r="N37" i="15" s="1"/>
  <c r="O37" i="15" s="1"/>
  <c r="D17" i="32" s="1"/>
  <c r="E35" i="41"/>
  <c r="K43" i="15" s="1"/>
  <c r="N43" i="15" s="1"/>
  <c r="S35" i="15"/>
  <c r="D35" i="36" s="1"/>
  <c r="S36" i="15"/>
  <c r="D20" i="36" s="1"/>
  <c r="S29" i="15"/>
  <c r="D18" i="36" s="1"/>
  <c r="S33" i="15"/>
  <c r="D25" i="36" s="1"/>
  <c r="S9" i="15"/>
  <c r="S37" i="15"/>
  <c r="D29" i="36" s="1"/>
  <c r="F19" i="48"/>
  <c r="K25" i="15"/>
  <c r="N25" i="15" s="1"/>
  <c r="D29" i="12" s="1"/>
  <c r="K34" i="15"/>
  <c r="N34" i="15" s="1"/>
  <c r="P34" i="15" s="1"/>
  <c r="E37" i="12" s="1"/>
  <c r="F28" i="48"/>
  <c r="E33" i="41"/>
  <c r="C39" i="12"/>
  <c r="Z18" i="15"/>
  <c r="F35" i="10"/>
  <c r="J41" i="15"/>
  <c r="C40" i="32" s="1"/>
  <c r="C19" i="32"/>
  <c r="C12" i="38"/>
  <c r="E12" i="38" s="1"/>
  <c r="Y18" i="15"/>
  <c r="Y47" i="15" s="1"/>
  <c r="C10" i="100" s="1"/>
  <c r="E20" i="15"/>
  <c r="U20" i="15"/>
  <c r="E39" i="15"/>
  <c r="W39" i="15"/>
  <c r="J30" i="15"/>
  <c r="C41" i="38" s="1"/>
  <c r="E41" i="38" s="1"/>
  <c r="C42" i="12"/>
  <c r="F39" i="10"/>
  <c r="F33" i="10"/>
  <c r="J22" i="15"/>
  <c r="C33" i="38" s="1"/>
  <c r="E33" i="38" s="1"/>
  <c r="C22" i="12"/>
  <c r="C34" i="12"/>
  <c r="F36" i="10"/>
  <c r="J37" i="15"/>
  <c r="F17" i="15"/>
  <c r="C13" i="57"/>
  <c r="D13" i="57"/>
  <c r="F13" i="57" s="1"/>
  <c r="C32" i="38"/>
  <c r="E32" i="38" s="1"/>
  <c r="C30" i="8"/>
  <c r="C18" i="32"/>
  <c r="F6" i="10"/>
  <c r="D28" i="57"/>
  <c r="F28" i="57" s="1"/>
  <c r="C28" i="57"/>
  <c r="F32" i="15"/>
  <c r="C25" i="12"/>
  <c r="F40" i="10"/>
  <c r="J35" i="15"/>
  <c r="E32" i="36"/>
  <c r="E22" i="39"/>
  <c r="E41" i="10"/>
  <c r="E28" i="10"/>
  <c r="G36" i="15"/>
  <c r="E20" i="36"/>
  <c r="E20" i="39"/>
  <c r="H20" i="39" s="1"/>
  <c r="C13" i="12"/>
  <c r="F13" i="10"/>
  <c r="J29" i="15"/>
  <c r="C21" i="12"/>
  <c r="F22" i="10"/>
  <c r="J33" i="15"/>
  <c r="D32" i="36"/>
  <c r="V42" i="15"/>
  <c r="AF42" i="15" s="1"/>
  <c r="X9" i="15"/>
  <c r="W18" i="15"/>
  <c r="V24" i="15"/>
  <c r="W24" i="15"/>
  <c r="V13" i="15"/>
  <c r="C29" i="38" l="1"/>
  <c r="E29" i="38" s="1"/>
  <c r="Q34" i="15"/>
  <c r="E42" i="32" s="1"/>
  <c r="O35" i="15"/>
  <c r="D32" i="32" s="1"/>
  <c r="P35" i="15"/>
  <c r="E6" i="12"/>
  <c r="Q19" i="15"/>
  <c r="E21" i="32" s="1"/>
  <c r="C29" i="8"/>
  <c r="D10" i="12"/>
  <c r="O32" i="15"/>
  <c r="D7" i="32" s="1"/>
  <c r="D16" i="12"/>
  <c r="O14" i="15"/>
  <c r="D11" i="32" s="1"/>
  <c r="D8" i="12"/>
  <c r="O42" i="15"/>
  <c r="D28" i="32" s="1"/>
  <c r="O29" i="15"/>
  <c r="D12" i="32" s="1"/>
  <c r="P29" i="15"/>
  <c r="E13" i="12" s="1"/>
  <c r="D44" i="12"/>
  <c r="O46" i="15"/>
  <c r="D43" i="32" s="1"/>
  <c r="P46" i="15"/>
  <c r="E44" i="12" s="1"/>
  <c r="O9" i="15"/>
  <c r="D22" i="32" s="1"/>
  <c r="D32" i="12"/>
  <c r="O45" i="15"/>
  <c r="D39" i="32" s="1"/>
  <c r="D38" i="12"/>
  <c r="P31" i="15"/>
  <c r="O31" i="15"/>
  <c r="D19" i="32" s="1"/>
  <c r="D26" i="12"/>
  <c r="P33" i="15"/>
  <c r="Q33" i="15" s="1"/>
  <c r="E16" i="32" s="1"/>
  <c r="O34" i="15"/>
  <c r="D42" i="32" s="1"/>
  <c r="E40" i="12"/>
  <c r="D13" i="12"/>
  <c r="D34" i="12"/>
  <c r="P37" i="15"/>
  <c r="Q37" i="15" s="1"/>
  <c r="E17" i="32" s="1"/>
  <c r="D25" i="12"/>
  <c r="O20" i="15"/>
  <c r="D15" i="32" s="1"/>
  <c r="D23" i="12"/>
  <c r="O12" i="15"/>
  <c r="D30" i="32" s="1"/>
  <c r="O41" i="15"/>
  <c r="D40" i="32" s="1"/>
  <c r="D39" i="12"/>
  <c r="P25" i="15"/>
  <c r="E29" i="12" s="1"/>
  <c r="D18" i="12"/>
  <c r="O19" i="15"/>
  <c r="D21" i="32" s="1"/>
  <c r="P45" i="15"/>
  <c r="E38" i="12" s="1"/>
  <c r="K21" i="15"/>
  <c r="N21" i="15" s="1"/>
  <c r="P21" i="15" s="1"/>
  <c r="E27" i="12" s="1"/>
  <c r="O26" i="15"/>
  <c r="D8" i="32" s="1"/>
  <c r="D6" i="12"/>
  <c r="K8" i="15"/>
  <c r="N8" i="15" s="1"/>
  <c r="O13" i="15"/>
  <c r="D10" i="32" s="1"/>
  <c r="K24" i="15"/>
  <c r="N24" i="15" s="1"/>
  <c r="P41" i="15"/>
  <c r="Q41" i="15" s="1"/>
  <c r="E40" i="32" s="1"/>
  <c r="P15" i="15"/>
  <c r="E28" i="12" s="1"/>
  <c r="D40" i="12"/>
  <c r="D37" i="12"/>
  <c r="P6" i="15"/>
  <c r="E31" i="12" s="1"/>
  <c r="O6" i="15"/>
  <c r="D37" i="32" s="1"/>
  <c r="D31" i="12"/>
  <c r="D12" i="12"/>
  <c r="P10" i="15"/>
  <c r="E12" i="12" s="1"/>
  <c r="O10" i="15"/>
  <c r="D31" i="32" s="1"/>
  <c r="O23" i="15"/>
  <c r="D27" i="32" s="1"/>
  <c r="D9" i="12"/>
  <c r="D5" i="12"/>
  <c r="O43" i="15"/>
  <c r="D33" i="32" s="1"/>
  <c r="P43" i="15"/>
  <c r="Q43" i="15" s="1"/>
  <c r="E33" i="32" s="1"/>
  <c r="D33" i="12"/>
  <c r="P40" i="15"/>
  <c r="E33" i="12" s="1"/>
  <c r="O40" i="15"/>
  <c r="D36" i="32" s="1"/>
  <c r="D22" i="12"/>
  <c r="O22" i="15"/>
  <c r="D35" i="32" s="1"/>
  <c r="P22" i="15"/>
  <c r="Q22" i="15" s="1"/>
  <c r="E35" i="32" s="1"/>
  <c r="P27" i="15"/>
  <c r="O27" i="15"/>
  <c r="D29" i="32" s="1"/>
  <c r="D35" i="12"/>
  <c r="O28" i="15"/>
  <c r="D34" i="32" s="1"/>
  <c r="D41" i="12"/>
  <c r="P28" i="15"/>
  <c r="Q28" i="15" s="1"/>
  <c r="E34" i="32" s="1"/>
  <c r="O7" i="15"/>
  <c r="D13" i="32" s="1"/>
  <c r="D15" i="12"/>
  <c r="P7" i="15"/>
  <c r="E15" i="12" s="1"/>
  <c r="D36" i="12"/>
  <c r="P11" i="15"/>
  <c r="Q11" i="15" s="1"/>
  <c r="E23" i="32" s="1"/>
  <c r="O11" i="15"/>
  <c r="D23" i="32" s="1"/>
  <c r="O30" i="15"/>
  <c r="D41" i="32" s="1"/>
  <c r="D42" i="12"/>
  <c r="P30" i="15"/>
  <c r="Q30" i="15" s="1"/>
  <c r="E41" i="32" s="1"/>
  <c r="P16" i="15"/>
  <c r="Q16" i="15" s="1"/>
  <c r="O16" i="15"/>
  <c r="P14" i="15"/>
  <c r="Q14" i="15" s="1"/>
  <c r="E11" i="32" s="1"/>
  <c r="O25" i="15"/>
  <c r="D6" i="32" s="1"/>
  <c r="P38" i="15"/>
  <c r="E11" i="12" s="1"/>
  <c r="P44" i="15"/>
  <c r="E43" i="12" s="1"/>
  <c r="D7" i="12"/>
  <c r="O38" i="15"/>
  <c r="D18" i="32" s="1"/>
  <c r="O33" i="15"/>
  <c r="D16" i="32" s="1"/>
  <c r="O17" i="15"/>
  <c r="D20" i="32" s="1"/>
  <c r="D43" i="12"/>
  <c r="O15" i="15"/>
  <c r="D5" i="32" s="1"/>
  <c r="R32" i="15"/>
  <c r="C8" i="36" s="1"/>
  <c r="R17" i="15"/>
  <c r="D14" i="10"/>
  <c r="D33" i="39"/>
  <c r="H33" i="39" s="1"/>
  <c r="K39" i="15"/>
  <c r="C30" i="38"/>
  <c r="E30" i="38" s="1"/>
  <c r="C37" i="8"/>
  <c r="G39" i="15"/>
  <c r="D16" i="39"/>
  <c r="H16" i="39" s="1"/>
  <c r="G20" i="15"/>
  <c r="D30" i="10"/>
  <c r="AF24" i="15"/>
  <c r="C19" i="57"/>
  <c r="X23" i="15"/>
  <c r="AF23" i="15" s="1"/>
  <c r="E18" i="15"/>
  <c r="X18" i="15"/>
  <c r="AF18" i="15" s="1"/>
  <c r="AF9" i="15"/>
  <c r="AF20" i="15"/>
  <c r="U47" i="15"/>
  <c r="C6" i="100" s="1"/>
  <c r="AF13" i="15"/>
  <c r="AF39" i="15"/>
  <c r="W47" i="15"/>
  <c r="C8" i="100" s="1"/>
  <c r="C38" i="8"/>
  <c r="C41" i="32"/>
  <c r="H563" i="1"/>
  <c r="H562" i="1"/>
  <c r="R562" i="1" s="1"/>
  <c r="S562" i="1" s="1"/>
  <c r="E9" i="15"/>
  <c r="Q10" i="15"/>
  <c r="E31" i="32" s="1"/>
  <c r="Q29" i="15"/>
  <c r="E12" i="32" s="1"/>
  <c r="Q25" i="15"/>
  <c r="E6" i="32" s="1"/>
  <c r="C33" i="8"/>
  <c r="C35" i="32"/>
  <c r="D19" i="57"/>
  <c r="F19" i="57" s="1"/>
  <c r="F23" i="15"/>
  <c r="C23" i="38"/>
  <c r="E23" i="38" s="1"/>
  <c r="C17" i="32"/>
  <c r="C20" i="8"/>
  <c r="D20" i="57"/>
  <c r="F20" i="57" s="1"/>
  <c r="C20" i="57"/>
  <c r="F24" i="15"/>
  <c r="C16" i="38"/>
  <c r="E16" i="38" s="1"/>
  <c r="C16" i="32"/>
  <c r="C17" i="8"/>
  <c r="F18" i="15"/>
  <c r="C14" i="57"/>
  <c r="D14" i="57"/>
  <c r="F14" i="57" s="1"/>
  <c r="C26" i="12"/>
  <c r="J36" i="15"/>
  <c r="F28" i="10"/>
  <c r="P36" i="15"/>
  <c r="G13" i="57"/>
  <c r="C28" i="38"/>
  <c r="E28" i="38" s="1"/>
  <c r="C24" i="8"/>
  <c r="C12" i="32"/>
  <c r="E28" i="39"/>
  <c r="E23" i="36"/>
  <c r="E25" i="10"/>
  <c r="C25" i="38"/>
  <c r="E25" i="38" s="1"/>
  <c r="C32" i="32"/>
  <c r="C42" i="8"/>
  <c r="F13" i="15"/>
  <c r="C9" i="57"/>
  <c r="D9" i="57"/>
  <c r="F9" i="57" s="1"/>
  <c r="E25" i="12"/>
  <c r="Q35" i="15"/>
  <c r="E32" i="32" s="1"/>
  <c r="E8" i="36"/>
  <c r="E7" i="39"/>
  <c r="H7" i="39" s="1"/>
  <c r="E10" i="10"/>
  <c r="G32" i="15"/>
  <c r="F42" i="15"/>
  <c r="D38" i="57"/>
  <c r="C38" i="57"/>
  <c r="G28" i="57"/>
  <c r="C23" i="36" l="1"/>
  <c r="Q45" i="15"/>
  <c r="E39" i="32" s="1"/>
  <c r="Q7" i="15"/>
  <c r="E13" i="32" s="1"/>
  <c r="Q6" i="15"/>
  <c r="Q46" i="15"/>
  <c r="E43" i="32" s="1"/>
  <c r="Q44" i="15"/>
  <c r="E44" i="32" s="1"/>
  <c r="E16" i="12"/>
  <c r="E21" i="12"/>
  <c r="Q15" i="15"/>
  <c r="E5" i="32" s="1"/>
  <c r="E34" i="12"/>
  <c r="E18" i="12"/>
  <c r="Q31" i="15"/>
  <c r="E19" i="32" s="1"/>
  <c r="E42" i="12"/>
  <c r="E41" i="12"/>
  <c r="E5" i="12"/>
  <c r="E22" i="12"/>
  <c r="Q21" i="15"/>
  <c r="E24" i="32" s="1"/>
  <c r="E39" i="12"/>
  <c r="P8" i="15"/>
  <c r="O8" i="15"/>
  <c r="D25" i="32" s="1"/>
  <c r="D17" i="12"/>
  <c r="D27" i="12"/>
  <c r="O21" i="15"/>
  <c r="D24" i="32" s="1"/>
  <c r="D24" i="12"/>
  <c r="O24" i="15"/>
  <c r="D38" i="32" s="1"/>
  <c r="E35" i="12"/>
  <c r="Q27" i="15"/>
  <c r="E29" i="32" s="1"/>
  <c r="Q38" i="15"/>
  <c r="E18" i="32" s="1"/>
  <c r="E36" i="12"/>
  <c r="Q40" i="15"/>
  <c r="E36" i="32" s="1"/>
  <c r="C14" i="12"/>
  <c r="F14" i="10"/>
  <c r="J39" i="15"/>
  <c r="C14" i="32" s="1"/>
  <c r="S32" i="15"/>
  <c r="D8" i="36" s="1"/>
  <c r="E16" i="48"/>
  <c r="E14" i="48" s="1"/>
  <c r="R13" i="15"/>
  <c r="S17" i="15"/>
  <c r="D23" i="36" s="1"/>
  <c r="R18" i="15"/>
  <c r="E23" i="48"/>
  <c r="E21" i="48" s="1"/>
  <c r="R24" i="15"/>
  <c r="R23" i="15"/>
  <c r="C16" i="36" s="1"/>
  <c r="D41" i="10"/>
  <c r="D11" i="39"/>
  <c r="J20" i="15"/>
  <c r="C15" i="32" s="1"/>
  <c r="N39" i="15"/>
  <c r="K47" i="15"/>
  <c r="F30" i="10"/>
  <c r="D11" i="10"/>
  <c r="P20" i="15"/>
  <c r="E23" i="12" s="1"/>
  <c r="C23" i="12"/>
  <c r="G18" i="15"/>
  <c r="X47" i="15"/>
  <c r="C9" i="100" s="1"/>
  <c r="D22" i="39"/>
  <c r="H22" i="39" s="1"/>
  <c r="G9" i="15"/>
  <c r="E37" i="32"/>
  <c r="E21" i="39"/>
  <c r="H21" i="39" s="1"/>
  <c r="E36" i="36"/>
  <c r="E17" i="10"/>
  <c r="G24" i="15"/>
  <c r="F38" i="57"/>
  <c r="G20" i="57"/>
  <c r="E15" i="10"/>
  <c r="E16" i="36"/>
  <c r="E13" i="39"/>
  <c r="H13" i="39" s="1"/>
  <c r="G23" i="15"/>
  <c r="G14" i="57"/>
  <c r="E6" i="36"/>
  <c r="E8" i="39"/>
  <c r="G42" i="15"/>
  <c r="E7" i="10"/>
  <c r="J32" i="15"/>
  <c r="C10" i="12"/>
  <c r="F10" i="10"/>
  <c r="P32" i="15"/>
  <c r="E10" i="39"/>
  <c r="H10" i="39" s="1"/>
  <c r="E13" i="36"/>
  <c r="E18" i="10"/>
  <c r="G13" i="15"/>
  <c r="Q36" i="15"/>
  <c r="E9" i="32" s="1"/>
  <c r="E26" i="12"/>
  <c r="E11" i="39"/>
  <c r="E11" i="10"/>
  <c r="E14" i="36"/>
  <c r="G9" i="57"/>
  <c r="C9" i="32"/>
  <c r="C14" i="8"/>
  <c r="C11" i="38"/>
  <c r="E11" i="38" s="1"/>
  <c r="G19" i="57"/>
  <c r="C21" i="38" l="1"/>
  <c r="E21" i="38" s="1"/>
  <c r="C13" i="36"/>
  <c r="Q8" i="15"/>
  <c r="E25" i="32" s="1"/>
  <c r="E17" i="12"/>
  <c r="C36" i="36"/>
  <c r="H11" i="39"/>
  <c r="C16" i="8"/>
  <c r="C14" i="36"/>
  <c r="C23" i="8"/>
  <c r="C26" i="38"/>
  <c r="E26" i="38" s="1"/>
  <c r="S23" i="15"/>
  <c r="D16" i="36" s="1"/>
  <c r="S13" i="15"/>
  <c r="D13" i="36" s="1"/>
  <c r="F16" i="48"/>
  <c r="F14" i="48" s="1"/>
  <c r="S18" i="15"/>
  <c r="D14" i="36" s="1"/>
  <c r="S24" i="15"/>
  <c r="D36" i="36" s="1"/>
  <c r="R42" i="15"/>
  <c r="C6" i="36" s="1"/>
  <c r="F23" i="48"/>
  <c r="F21" i="48" s="1"/>
  <c r="P9" i="15"/>
  <c r="E32" i="12" s="1"/>
  <c r="C7" i="12"/>
  <c r="O39" i="15"/>
  <c r="D14" i="12"/>
  <c r="D54" i="12" s="1"/>
  <c r="N47" i="15"/>
  <c r="P39" i="15"/>
  <c r="Q20" i="15"/>
  <c r="E15" i="32" s="1"/>
  <c r="P18" i="15"/>
  <c r="Q18" i="15" s="1"/>
  <c r="E26" i="32" s="1"/>
  <c r="J18" i="15"/>
  <c r="C26" i="32" s="1"/>
  <c r="F11" i="10"/>
  <c r="J9" i="15"/>
  <c r="C10" i="38" s="1"/>
  <c r="E10" i="38" s="1"/>
  <c r="F41" i="10"/>
  <c r="C32" i="12"/>
  <c r="Z26" i="15"/>
  <c r="G38" i="57"/>
  <c r="C6" i="38"/>
  <c r="E6" i="38" s="1"/>
  <c r="C7" i="32"/>
  <c r="C7" i="8"/>
  <c r="J42" i="15"/>
  <c r="C8" i="12"/>
  <c r="F7" i="10"/>
  <c r="P42" i="15"/>
  <c r="J13" i="15"/>
  <c r="C19" i="12"/>
  <c r="F18" i="10"/>
  <c r="P13" i="15"/>
  <c r="H8" i="39"/>
  <c r="E10" i="12"/>
  <c r="Q32" i="15"/>
  <c r="E7" i="32" s="1"/>
  <c r="F17" i="10"/>
  <c r="J24" i="15"/>
  <c r="C24" i="12"/>
  <c r="P24" i="15"/>
  <c r="J23" i="15"/>
  <c r="F15" i="10"/>
  <c r="C9" i="12"/>
  <c r="P23" i="15"/>
  <c r="Q9" i="15" l="1"/>
  <c r="C7" i="98"/>
  <c r="S42" i="15"/>
  <c r="D6" i="36" s="1"/>
  <c r="E14" i="12"/>
  <c r="Q39" i="15"/>
  <c r="E14" i="32" s="1"/>
  <c r="D14" i="32"/>
  <c r="O47" i="15"/>
  <c r="C25" i="8"/>
  <c r="C34" i="38"/>
  <c r="E34" i="38" s="1"/>
  <c r="E7" i="12"/>
  <c r="AF26" i="15"/>
  <c r="Z47" i="15"/>
  <c r="C11" i="100" s="1"/>
  <c r="C22" i="32"/>
  <c r="C40" i="8"/>
  <c r="F26" i="15"/>
  <c r="D22" i="57"/>
  <c r="F22" i="57" s="1"/>
  <c r="C22" i="57"/>
  <c r="E22" i="32"/>
  <c r="E24" i="12"/>
  <c r="Q24" i="15"/>
  <c r="E38" i="32" s="1"/>
  <c r="C39" i="38"/>
  <c r="E39" i="38" s="1"/>
  <c r="C38" i="32"/>
  <c r="C34" i="8"/>
  <c r="E19" i="12"/>
  <c r="Q13" i="15"/>
  <c r="E10" i="32" s="1"/>
  <c r="E9" i="12"/>
  <c r="Q23" i="15"/>
  <c r="E27" i="32" s="1"/>
  <c r="Q42" i="15"/>
  <c r="E28" i="32" s="1"/>
  <c r="E8" i="12"/>
  <c r="C35" i="38"/>
  <c r="E35" i="38" s="1"/>
  <c r="C28" i="8"/>
  <c r="C27" i="32"/>
  <c r="C8" i="38"/>
  <c r="E8" i="38" s="1"/>
  <c r="C10" i="32"/>
  <c r="C11" i="8"/>
  <c r="C28" i="32"/>
  <c r="C14" i="38"/>
  <c r="E14" i="38" s="1"/>
  <c r="C10" i="8"/>
  <c r="R26" i="15" l="1"/>
  <c r="G22" i="57"/>
  <c r="E21" i="36"/>
  <c r="E46" i="36" s="1"/>
  <c r="E24" i="39"/>
  <c r="E26" i="10"/>
  <c r="E47" i="10" s="1"/>
  <c r="E8" i="48"/>
  <c r="E7" i="48" s="1"/>
  <c r="G26" i="15"/>
  <c r="F47" i="15"/>
  <c r="R47" i="15" l="1"/>
  <c r="C21" i="36"/>
  <c r="C46" i="36" s="1"/>
  <c r="S26" i="15"/>
  <c r="S47" i="15" s="1"/>
  <c r="H24" i="39"/>
  <c r="E46" i="39"/>
  <c r="P26" i="15"/>
  <c r="J26" i="15"/>
  <c r="C30" i="12"/>
  <c r="F26" i="10"/>
  <c r="D21" i="36" l="1"/>
  <c r="D46" i="36" s="1"/>
  <c r="Q26" i="15"/>
  <c r="E8" i="32" s="1"/>
  <c r="E30" i="12"/>
  <c r="C9" i="38"/>
  <c r="E9" i="38" s="1"/>
  <c r="C8" i="32"/>
  <c r="C8" i="8"/>
  <c r="H259" i="1"/>
  <c r="R259" i="1" s="1"/>
  <c r="S259" i="1" s="1"/>
  <c r="H253" i="1" l="1"/>
  <c r="R253" i="1" s="1"/>
  <c r="S253" i="1" s="1"/>
  <c r="H249" i="1"/>
  <c r="R249" i="1" s="1"/>
  <c r="S249" i="1" s="1"/>
  <c r="H258" i="1"/>
  <c r="R258" i="1" s="1"/>
  <c r="S258" i="1" s="1"/>
  <c r="V17" i="15" l="1"/>
  <c r="AF17" i="15" l="1"/>
  <c r="AF47" i="15" s="1"/>
  <c r="V47" i="15"/>
  <c r="C7" i="100" s="1"/>
  <c r="C17" i="100" s="1"/>
  <c r="E17" i="15"/>
  <c r="D28" i="39" l="1"/>
  <c r="D46" i="39" s="1"/>
  <c r="D8" i="48"/>
  <c r="D7" i="48" s="1"/>
  <c r="D25" i="10"/>
  <c r="D47" i="10" s="1"/>
  <c r="G17" i="15"/>
  <c r="E47" i="15"/>
  <c r="H28" i="39" l="1"/>
  <c r="H46" i="39" s="1"/>
  <c r="J17" i="15"/>
  <c r="C21" i="8" s="1"/>
  <c r="C20" i="12"/>
  <c r="C54" i="12" s="1"/>
  <c r="F25" i="10"/>
  <c r="F47" i="10" s="1"/>
  <c r="P17" i="15"/>
  <c r="Q17" i="15" s="1"/>
  <c r="G47" i="15"/>
  <c r="F8" i="48"/>
  <c r="C22" i="38"/>
  <c r="E22" i="38" s="1"/>
  <c r="C20" i="32" l="1"/>
  <c r="J47" i="15"/>
  <c r="E20" i="12"/>
  <c r="E54" i="12" s="1"/>
  <c r="P47" i="15"/>
  <c r="F7" i="48"/>
  <c r="Q47" i="15"/>
  <c r="E20" i="32"/>
  <c r="C6" i="98" l="1"/>
  <c r="C9" i="98" s="1"/>
  <c r="C18" i="100" s="1"/>
  <c r="C19" i="100" s="1"/>
  <c r="C5"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Frank, Andre</author>
  </authors>
  <commentList>
    <comment ref="T16" authorId="0" shapeId="0" xr:uid="{D6F84912-1166-4F3C-A8E4-A896EC77D5A9}">
      <text>
        <r>
          <rPr>
            <b/>
            <sz val="9"/>
            <color indexed="81"/>
            <rFont val="Segoe UI"/>
            <family val="2"/>
          </rPr>
          <t>Frank, Andre:</t>
        </r>
        <r>
          <rPr>
            <sz val="9"/>
            <color indexed="81"/>
            <rFont val="Segoe UI"/>
            <family val="2"/>
          </rPr>
          <t xml:space="preserve">
Attention: EU Commission and council commitments per month contains EPF and EIB commitments per month.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 Frank</author>
  </authors>
  <commentList>
    <comment ref="C14" authorId="0" shapeId="0" xr:uid="{00000000-0006-0000-1900-000001000000}">
      <text>
        <r>
          <rPr>
            <b/>
            <sz val="9"/>
            <color rgb="FF000000"/>
            <rFont val="Tahoma"/>
            <family val="2"/>
          </rPr>
          <t>Andre Frank:</t>
        </r>
        <r>
          <rPr>
            <sz val="9"/>
            <color rgb="FF000000"/>
            <rFont val="Tahoma"/>
            <family val="2"/>
          </rPr>
          <t xml:space="preserve">
</t>
        </r>
        <r>
          <rPr>
            <sz val="9"/>
            <color rgb="FF000000"/>
            <rFont val="Tahoma"/>
            <family val="2"/>
          </rPr>
          <t>2019 value since 2020 was not available from the World Bank</t>
        </r>
      </text>
    </comment>
    <comment ref="C38" authorId="0" shapeId="0" xr:uid="{00000000-0006-0000-1900-000002000000}">
      <text>
        <r>
          <rPr>
            <b/>
            <sz val="9"/>
            <color indexed="81"/>
            <rFont val="Tahoma"/>
            <family val="2"/>
          </rPr>
          <t>Andre Frank:</t>
        </r>
        <r>
          <rPr>
            <sz val="9"/>
            <color indexed="81"/>
            <rFont val="Tahoma"/>
            <family val="2"/>
          </rPr>
          <t xml:space="preserve">
2019 value since 2020 was not available. </t>
        </r>
      </text>
    </comment>
    <comment ref="C43" authorId="0" shapeId="0" xr:uid="{00000000-0006-0000-1900-000003000000}">
      <text>
        <r>
          <rPr>
            <b/>
            <sz val="9"/>
            <color indexed="81"/>
            <rFont val="Tahoma"/>
            <family val="2"/>
          </rPr>
          <t>Andre Frank:</t>
        </r>
        <r>
          <rPr>
            <sz val="9"/>
            <color indexed="81"/>
            <rFont val="Tahoma"/>
            <family val="2"/>
          </rPr>
          <t xml:space="preserve">
2019 value since 2020 was not available.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O5" authorId="0" shapeId="0" xr:uid="{00000000-0006-0000-2300-000001000000}">
      <text>
        <r>
          <rPr>
            <b/>
            <sz val="9"/>
            <color indexed="81"/>
            <rFont val="Tahoma"/>
            <family val="2"/>
          </rPr>
          <t>Ivan Kharitonov:</t>
        </r>
        <r>
          <rPr>
            <sz val="9"/>
            <color indexed="81"/>
            <rFont val="Tahoma"/>
            <family val="2"/>
          </rPr>
          <t xml:space="preserve">
we also add the amount of IRIS-T that was delivered in Egypt</t>
        </r>
      </text>
    </comment>
    <comment ref="AA5" authorId="0" shapeId="0" xr:uid="{00000000-0006-0000-2300-000002000000}">
      <text>
        <r>
          <rPr>
            <b/>
            <sz val="9"/>
            <color indexed="81"/>
            <rFont val="Tahoma"/>
            <family val="2"/>
          </rPr>
          <t>Ivan Kharitonov:</t>
        </r>
        <r>
          <rPr>
            <sz val="9"/>
            <color indexed="81"/>
            <rFont val="Tahoma"/>
            <family val="2"/>
          </rPr>
          <t xml:space="preserve">
we take the amount that was delivered in Egypt</t>
        </r>
      </text>
    </comment>
    <comment ref="M16" authorId="0" shapeId="0" xr:uid="{00000000-0006-0000-2300-000003000000}">
      <text>
        <r>
          <rPr>
            <sz val="12"/>
            <color theme="1"/>
            <rFont val="Calibri"/>
            <family val="2"/>
            <scheme val="minor"/>
          </rPr>
          <t>Ivan Kharitonov:
According to https://www.nrk.no/dokumentar/feilinvesteringer-for-milliarder-1.12603537 Norway had 12 M270 in store and SIPRI database does not have any infromation on transfer of these MLRS.</t>
        </r>
      </text>
    </comment>
    <comment ref="O26" authorId="0" shapeId="0" xr:uid="{00000000-0006-0000-2300-000004000000}">
      <text>
        <r>
          <rPr>
            <b/>
            <sz val="9"/>
            <color indexed="81"/>
            <rFont val="Tahoma"/>
            <family val="2"/>
          </rPr>
          <t>Ivan Kharitonov:</t>
        </r>
        <r>
          <rPr>
            <sz val="9"/>
            <color indexed="81"/>
            <rFont val="Tahoma"/>
            <family val="2"/>
          </rPr>
          <t xml:space="preserve">
source: SIPRI and https://www.forbes.com/sites/davidaxe/2022/04/08/ukraine-is-losing-several-s-300-anti-air-launchers-per-week-but-it-still-has-hundreds-left/?sh=7684b0e93ba8</t>
        </r>
      </text>
    </comment>
    <comment ref="Q26" authorId="0" shapeId="0" xr:uid="{5D8B22DC-D024-46D4-B473-493C8746A2A6}">
      <text>
        <r>
          <rPr>
            <b/>
            <sz val="9"/>
            <color indexed="81"/>
            <rFont val="Tahoma"/>
            <family val="2"/>
          </rPr>
          <t>Ivan Kharitonov:</t>
        </r>
        <r>
          <rPr>
            <sz val="9"/>
            <color indexed="81"/>
            <rFont val="Tahoma"/>
            <family val="2"/>
          </rPr>
          <t xml:space="preserve">
source: SIPRI and https://www.forbes.com/sites/davidaxe/2022/04/08/ukraine-is-losing-several-s-300-anti-air-launchers-per-week-but-it-still-has-hundreds-left/?sh=7684b0e93ba8</t>
        </r>
      </text>
    </comment>
    <comment ref="J34" authorId="0" shapeId="0" xr:uid="{00000000-0006-0000-2300-000005000000}">
      <text>
        <r>
          <rPr>
            <sz val="12"/>
            <color theme="1"/>
            <rFont val="Calibri"/>
            <family val="2"/>
            <scheme val="minor"/>
          </rPr>
          <t>Ivan Kharitonov:
52 BVP M80A was in stocks of the Slovenian army in 2001; according to Jane's Armour and Artillery 2002-2003, the SIPRI dataset does not show the contracts shipping them from Slovenia, so we consider they had them in store.</t>
        </r>
      </text>
    </comment>
    <comment ref="X34" authorId="0" shapeId="0" xr:uid="{00000000-0006-0000-2300-000006000000}">
      <text>
        <r>
          <rPr>
            <sz val="12"/>
            <color theme="1"/>
            <rFont val="Calibri"/>
            <family val="2"/>
            <scheme val="minor"/>
          </rPr>
          <t>Ivan Kharitonov:
52 BVP M80A was in stocks of the Slovenian army in 2001; according to Jane's Armour and Artillery 2002-2003, the SIPRI dataset does not show the contracts shipping them from Slovenia, so we consider they had them in store.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BU1" authorId="0" shapeId="0" xr:uid="{00000000-0006-0000-2400-000001000000}">
      <text>
        <r>
          <rPr>
            <b/>
            <sz val="9"/>
            <color indexed="81"/>
            <rFont val="Tahoma"/>
            <family val="2"/>
          </rPr>
          <t>Ivan Kharitonov:</t>
        </r>
        <r>
          <rPr>
            <sz val="9"/>
            <color indexed="81"/>
            <rFont val="Tahoma"/>
            <family val="2"/>
          </rPr>
          <t xml:space="preserve">
incl. A1 and A2</t>
        </r>
      </text>
    </comment>
    <comment ref="AS2" authorId="0" shapeId="0" xr:uid="{00000000-0006-0000-2400-000002000000}">
      <text>
        <r>
          <rPr>
            <b/>
            <sz val="9"/>
            <color indexed="81"/>
            <rFont val="Tahoma"/>
            <family val="2"/>
          </rPr>
          <t>Ivan Kharitonov:</t>
        </r>
        <r>
          <rPr>
            <sz val="9"/>
            <color indexed="81"/>
            <rFont val="Tahoma"/>
            <family val="2"/>
          </rPr>
          <t xml:space="preserve">
in store</t>
        </r>
      </text>
    </comment>
    <comment ref="BU2" authorId="0" shapeId="0" xr:uid="{00000000-0006-0000-2400-000003000000}">
      <text>
        <r>
          <rPr>
            <b/>
            <sz val="9"/>
            <color indexed="81"/>
            <rFont val="Tahoma"/>
            <family val="2"/>
          </rPr>
          <t>Ivan Kharitonov:</t>
        </r>
        <r>
          <rPr>
            <sz val="9"/>
            <color indexed="81"/>
            <rFont val="Tahoma"/>
            <family val="2"/>
          </rPr>
          <t xml:space="preserve">
8000 in store</t>
        </r>
      </text>
    </comment>
    <comment ref="DR2" authorId="0" shapeId="0" xr:uid="{00000000-0006-0000-2400-000004000000}">
      <text>
        <r>
          <rPr>
            <b/>
            <sz val="9"/>
            <color indexed="81"/>
            <rFont val="Tahoma"/>
            <family val="2"/>
          </rPr>
          <t>Ivan Kharitonov:</t>
        </r>
        <r>
          <rPr>
            <sz val="9"/>
            <color indexed="81"/>
            <rFont val="Tahoma"/>
            <family val="2"/>
          </rPr>
          <t xml:space="preserve">
301 medical</t>
        </r>
      </text>
    </comment>
    <comment ref="HA2" authorId="0" shapeId="0" xr:uid="{00000000-0006-0000-2400-000005000000}">
      <text>
        <r>
          <rPr>
            <b/>
            <sz val="9"/>
            <color indexed="81"/>
            <rFont val="Tahoma"/>
            <family val="2"/>
          </rPr>
          <t>Ivan Kharitonov:</t>
        </r>
        <r>
          <rPr>
            <sz val="9"/>
            <color indexed="81"/>
            <rFont val="Tahoma"/>
            <family val="2"/>
          </rPr>
          <t xml:space="preserve">
in store</t>
        </r>
      </text>
    </comment>
    <comment ref="HE2" authorId="0" shapeId="0" xr:uid="{00000000-0006-0000-2400-000006000000}">
      <text>
        <r>
          <rPr>
            <b/>
            <sz val="9"/>
            <color indexed="81"/>
            <rFont val="Tahoma"/>
            <family val="2"/>
          </rPr>
          <t>Ivan Kharitonov:</t>
        </r>
        <r>
          <rPr>
            <sz val="9"/>
            <color indexed="81"/>
            <rFont val="Tahoma"/>
            <family val="2"/>
          </rPr>
          <t xml:space="preserve">
850 in store</t>
        </r>
      </text>
    </comment>
    <comment ref="MU2" authorId="0" shapeId="0" xr:uid="{00000000-0006-0000-2400-000007000000}">
      <text>
        <r>
          <rPr>
            <b/>
            <sz val="9"/>
            <color indexed="81"/>
            <rFont val="Tahoma"/>
            <family val="2"/>
          </rPr>
          <t>Ivan Kharitonov:</t>
        </r>
        <r>
          <rPr>
            <sz val="9"/>
            <color indexed="81"/>
            <rFont val="Tahoma"/>
            <family val="2"/>
          </rPr>
          <t xml:space="preserve">
At least delivered from the US</t>
        </r>
      </text>
    </comment>
    <comment ref="I5" authorId="0" shapeId="0" xr:uid="{00000000-0006-0000-2400-000008000000}">
      <text>
        <r>
          <rPr>
            <b/>
            <sz val="9"/>
            <color indexed="81"/>
            <rFont val="Tahoma"/>
            <family val="2"/>
          </rPr>
          <t>Ivan Kharitonov:</t>
        </r>
        <r>
          <rPr>
            <sz val="9"/>
            <color indexed="81"/>
            <rFont val="Tahoma"/>
            <family val="2"/>
          </rPr>
          <t xml:space="preserve">
in store</t>
        </r>
      </text>
    </comment>
    <comment ref="K5" authorId="0" shapeId="0" xr:uid="{00000000-0006-0000-2400-000009000000}">
      <text>
        <r>
          <rPr>
            <b/>
            <sz val="9"/>
            <color indexed="81"/>
            <rFont val="Tahoma"/>
            <family val="2"/>
          </rPr>
          <t>Ivan Kharitonov:</t>
        </r>
        <r>
          <rPr>
            <sz val="9"/>
            <color indexed="81"/>
            <rFont val="Tahoma"/>
            <family val="2"/>
          </rPr>
          <t xml:space="preserve">
2a5/2a6 together </t>
        </r>
      </text>
    </comment>
    <comment ref="HV5" authorId="0" shapeId="0" xr:uid="{2D6CC0F9-A7F4-41DE-BBD7-8FF1BF10CDEE}">
      <text>
        <r>
          <rPr>
            <sz val="12"/>
            <color theme="1"/>
            <rFont val="Calibri"/>
            <family val="2"/>
            <scheme val="minor"/>
          </rPr>
          <t>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t>
        </r>
      </text>
    </comment>
    <comment ref="OR6" authorId="0" shapeId="0" xr:uid="{937F20B9-FD55-4301-9BA0-3F10822CDB99}">
      <text>
        <r>
          <rPr>
            <b/>
            <sz val="9"/>
            <color indexed="81"/>
            <rFont val="Tahoma"/>
            <family val="2"/>
          </rPr>
          <t>Ivan Kharitonov:</t>
        </r>
        <r>
          <rPr>
            <sz val="9"/>
            <color indexed="81"/>
            <rFont val="Tahoma"/>
            <family val="2"/>
          </rPr>
          <t xml:space="preserve">
80 of L/60/L70 </t>
        </r>
      </text>
    </comment>
    <comment ref="ED8" authorId="0" shapeId="0" xr:uid="{00000000-0006-0000-2400-00000A000000}">
      <text>
        <r>
          <rPr>
            <b/>
            <sz val="9"/>
            <color indexed="81"/>
            <rFont val="Tahoma"/>
            <family val="2"/>
          </rPr>
          <t>Ivan Kharitonov:</t>
        </r>
        <r>
          <rPr>
            <sz val="9"/>
            <color indexed="81"/>
            <rFont val="Tahoma"/>
            <family val="2"/>
          </rPr>
          <t xml:space="preserve">
incl. 16 medical</t>
        </r>
      </text>
    </comment>
    <comment ref="EF8" authorId="0" shapeId="0" xr:uid="{00000000-0006-0000-2400-00000B000000}">
      <text>
        <r>
          <rPr>
            <b/>
            <sz val="9"/>
            <color indexed="81"/>
            <rFont val="Tahoma"/>
            <family val="2"/>
          </rPr>
          <t>Ivan Kharitonov:</t>
        </r>
        <r>
          <rPr>
            <sz val="9"/>
            <color indexed="81"/>
            <rFont val="Tahoma"/>
            <family val="2"/>
          </rPr>
          <t xml:space="preserve">
incl. 82 medical</t>
        </r>
      </text>
    </comment>
    <comment ref="R9" authorId="0" shapeId="0" xr:uid="{00000000-0006-0000-2400-00000C000000}">
      <text>
        <r>
          <rPr>
            <b/>
            <sz val="9"/>
            <color indexed="81"/>
            <rFont val="Tahoma"/>
            <family val="2"/>
          </rPr>
          <t>Ivan Kharitonov:</t>
        </r>
        <r>
          <rPr>
            <sz val="9"/>
            <color indexed="81"/>
            <rFont val="Tahoma"/>
            <family val="2"/>
          </rPr>
          <t xml:space="preserve">
in store</t>
        </r>
      </text>
    </comment>
    <comment ref="FU10" authorId="0" shapeId="0" xr:uid="{00000000-0006-0000-2400-00000D000000}">
      <text>
        <r>
          <rPr>
            <b/>
            <sz val="9"/>
            <color indexed="81"/>
            <rFont val="Tahoma"/>
            <family val="2"/>
          </rPr>
          <t>Ivan Kharitonov:</t>
        </r>
        <r>
          <rPr>
            <sz val="9"/>
            <color indexed="81"/>
            <rFont val="Tahoma"/>
            <family val="2"/>
          </rPr>
          <t xml:space="preserve">
32 more in store</t>
        </r>
      </text>
    </comment>
    <comment ref="HH10" authorId="0" shapeId="0" xr:uid="{00000000-0006-0000-2400-00000E000000}">
      <text>
        <r>
          <rPr>
            <b/>
            <sz val="9"/>
            <color indexed="81"/>
            <rFont val="Tahoma"/>
            <family val="2"/>
          </rPr>
          <t>Ivan Kharitonov:</t>
        </r>
        <r>
          <rPr>
            <sz val="9"/>
            <color indexed="81"/>
            <rFont val="Tahoma"/>
            <family val="2"/>
          </rPr>
          <t xml:space="preserve">
38 in store</t>
        </r>
      </text>
    </comment>
    <comment ref="I12" authorId="0" shapeId="0" xr:uid="{00000000-0006-0000-2400-00000F000000}">
      <text>
        <r>
          <rPr>
            <b/>
            <sz val="9"/>
            <color indexed="81"/>
            <rFont val="Tahoma"/>
            <family val="2"/>
          </rPr>
          <t>Ivan Kharitonov:</t>
        </r>
        <r>
          <rPr>
            <sz val="9"/>
            <color indexed="81"/>
            <rFont val="Tahoma"/>
            <family val="2"/>
          </rPr>
          <t xml:space="preserve">
being upgraded to 2PL</t>
        </r>
      </text>
    </comment>
    <comment ref="S12" authorId="0" shapeId="0" xr:uid="{00000000-0006-0000-2400-000010000000}">
      <text>
        <r>
          <rPr>
            <b/>
            <sz val="9"/>
            <color indexed="81"/>
            <rFont val="Tahoma"/>
            <family val="2"/>
          </rPr>
          <t>Ivan Kharitonov:</t>
        </r>
        <r>
          <rPr>
            <sz val="9"/>
            <color indexed="81"/>
            <rFont val="Tahoma"/>
            <family val="2"/>
          </rPr>
          <t xml:space="preserve">
in test</t>
        </r>
      </text>
    </comment>
    <comment ref="V13" authorId="0" shapeId="0" xr:uid="{00000000-0006-0000-2400-000011000000}">
      <text>
        <r>
          <rPr>
            <b/>
            <sz val="9"/>
            <color indexed="81"/>
            <rFont val="Tahoma"/>
            <family val="2"/>
          </rPr>
          <t>Ivan Kharitonov:</t>
        </r>
        <r>
          <rPr>
            <sz val="9"/>
            <color indexed="81"/>
            <rFont val="Tahoma"/>
            <family val="2"/>
          </rPr>
          <t xml:space="preserve">
2000 in store</t>
        </r>
      </text>
    </comment>
    <comment ref="IA13" authorId="0" shapeId="0" xr:uid="{00000000-0006-0000-2400-000012000000}">
      <text>
        <r>
          <rPr>
            <b/>
            <sz val="9"/>
            <color indexed="81"/>
            <rFont val="Tahoma"/>
            <family val="2"/>
          </rPr>
          <t>Ivan Kharitonov:</t>
        </r>
        <r>
          <rPr>
            <sz val="9"/>
            <color indexed="81"/>
            <rFont val="Tahoma"/>
            <family val="2"/>
          </rPr>
          <t xml:space="preserve">
mod.</t>
        </r>
      </text>
    </comment>
    <comment ref="IS13" authorId="0" shapeId="0" xr:uid="{00000000-0006-0000-2400-000013000000}">
      <text>
        <r>
          <rPr>
            <b/>
            <sz val="9"/>
            <color indexed="81"/>
            <rFont val="Tahoma"/>
            <family val="2"/>
          </rPr>
          <t>Ivan Kharitonov:</t>
        </r>
        <r>
          <rPr>
            <sz val="9"/>
            <color indexed="81"/>
            <rFont val="Tahoma"/>
            <family val="2"/>
          </rPr>
          <t xml:space="preserve">
107mm
</t>
        </r>
      </text>
    </comment>
    <comment ref="PD13" authorId="0" shapeId="0" xr:uid="{83E118E3-E38A-4303-A4C1-65E13D536720}">
      <text>
        <r>
          <rPr>
            <b/>
            <sz val="9"/>
            <color indexed="81"/>
            <rFont val="Tahoma"/>
            <family val="2"/>
          </rPr>
          <t>Ivan Kharitonov:</t>
        </r>
        <r>
          <rPr>
            <sz val="9"/>
            <color indexed="81"/>
            <rFont val="Tahoma"/>
            <family val="2"/>
          </rPr>
          <t xml:space="preserve">
including GDF-001</t>
        </r>
      </text>
    </comment>
    <comment ref="K14" authorId="0" shapeId="0" xr:uid="{00000000-0006-0000-2400-000014000000}">
      <text>
        <r>
          <rPr>
            <b/>
            <sz val="9"/>
            <color indexed="81"/>
            <rFont val="Tahoma"/>
            <family val="2"/>
          </rPr>
          <t>Ivan Kharitonov:</t>
        </r>
        <r>
          <rPr>
            <sz val="9"/>
            <color indexed="81"/>
            <rFont val="Tahoma"/>
            <family val="2"/>
          </rPr>
          <t xml:space="preserve">
Strv 122</t>
        </r>
      </text>
    </comment>
    <comment ref="AX14" authorId="0" shapeId="0" xr:uid="{00000000-0006-0000-2400-000015000000}">
      <text>
        <r>
          <rPr>
            <b/>
            <sz val="9"/>
            <color indexed="81"/>
            <rFont val="Tahoma"/>
            <family val="2"/>
          </rPr>
          <t>Ivan Kharitonov:</t>
        </r>
        <r>
          <rPr>
            <sz val="9"/>
            <color indexed="81"/>
            <rFont val="Tahoma"/>
            <family val="2"/>
          </rPr>
          <t xml:space="preserve">
Mk2</t>
        </r>
      </text>
    </comment>
    <comment ref="BR14" authorId="0" shapeId="0" xr:uid="{00000000-0006-0000-2400-000016000000}">
      <text>
        <r>
          <rPr>
            <b/>
            <sz val="9"/>
            <color indexed="81"/>
            <rFont val="Tahoma"/>
            <family val="2"/>
          </rPr>
          <t>Ivan Kharitonov:</t>
        </r>
        <r>
          <rPr>
            <sz val="9"/>
            <color indexed="81"/>
            <rFont val="Tahoma"/>
            <family val="2"/>
          </rPr>
          <t xml:space="preserve">
XA-360/Patgb 360</t>
        </r>
      </text>
    </comment>
    <comment ref="BV14" authorId="0" shapeId="0" xr:uid="{00000000-0006-0000-2400-000017000000}">
      <text>
        <r>
          <rPr>
            <b/>
            <sz val="9"/>
            <color indexed="81"/>
            <rFont val="Tahoma"/>
            <family val="2"/>
          </rPr>
          <t>Ivan Kharitonov:</t>
        </r>
        <r>
          <rPr>
            <sz val="9"/>
            <color indexed="81"/>
            <rFont val="Tahoma"/>
            <family val="2"/>
          </rPr>
          <t xml:space="preserve">
Patgb 180</t>
        </r>
      </text>
    </comment>
    <comment ref="BY14" authorId="0" shapeId="0" xr:uid="{00000000-0006-0000-2400-000018000000}">
      <text>
        <r>
          <rPr>
            <b/>
            <sz val="9"/>
            <color indexed="81"/>
            <rFont val="Tahoma"/>
            <family val="2"/>
          </rPr>
          <t>Ivan Kharitonov:</t>
        </r>
        <r>
          <rPr>
            <sz val="9"/>
            <color indexed="81"/>
            <rFont val="Tahoma"/>
            <family val="2"/>
          </rPr>
          <t xml:space="preserve">
Patgb 202</t>
        </r>
      </text>
    </comment>
    <comment ref="BZ14" authorId="0" shapeId="0" xr:uid="{00000000-0006-0000-2400-000019000000}">
      <text>
        <r>
          <rPr>
            <b/>
            <sz val="9"/>
            <color indexed="81"/>
            <rFont val="Tahoma"/>
            <family val="2"/>
          </rPr>
          <t>Ivan Kharitonov:</t>
        </r>
        <r>
          <rPr>
            <sz val="9"/>
            <color indexed="81"/>
            <rFont val="Tahoma"/>
            <family val="2"/>
          </rPr>
          <t xml:space="preserve">
Patgb 203</t>
        </r>
      </text>
    </comment>
    <comment ref="CZ14" authorId="0" shapeId="0" xr:uid="{00000000-0006-0000-2400-00001A000000}">
      <text>
        <r>
          <rPr>
            <b/>
            <sz val="9"/>
            <color indexed="81"/>
            <rFont val="Tahoma"/>
            <family val="2"/>
          </rPr>
          <t>Ivan Kharitonov:</t>
        </r>
        <r>
          <rPr>
            <sz val="9"/>
            <color indexed="81"/>
            <rFont val="Tahoma"/>
            <family val="2"/>
          </rPr>
          <t xml:space="preserve">
incl variants</t>
        </r>
      </text>
    </comment>
    <comment ref="GK14" authorId="0" shapeId="0" xr:uid="{00000000-0006-0000-2400-00001B000000}">
      <text>
        <r>
          <rPr>
            <b/>
            <sz val="9"/>
            <color indexed="81"/>
            <rFont val="Tahoma"/>
            <family val="2"/>
          </rPr>
          <t>Ivan Kharitonov:</t>
        </r>
        <r>
          <rPr>
            <sz val="9"/>
            <color indexed="81"/>
            <rFont val="Tahoma"/>
            <family val="2"/>
          </rPr>
          <t xml:space="preserve">
Strf 9040; incl 54 CP</t>
        </r>
      </text>
    </comment>
    <comment ref="KF14" authorId="0" shapeId="0" xr:uid="{00000000-0006-0000-2400-00001C000000}">
      <text>
        <r>
          <rPr>
            <b/>
            <sz val="9"/>
            <color indexed="81"/>
            <rFont val="Tahoma"/>
            <family val="2"/>
          </rPr>
          <t>Ivan Kharitonov:</t>
        </r>
        <r>
          <rPr>
            <sz val="9"/>
            <color indexed="81"/>
            <rFont val="Tahoma"/>
            <family val="2"/>
          </rPr>
          <t xml:space="preserve">
multirole
</t>
        </r>
      </text>
    </comment>
    <comment ref="I16" authorId="0" shapeId="0" xr:uid="{00000000-0006-0000-2400-00001D000000}">
      <text>
        <r>
          <rPr>
            <b/>
            <sz val="9"/>
            <color indexed="81"/>
            <rFont val="Tahoma"/>
            <family val="2"/>
          </rPr>
          <t>Ivan Kharitonov:</t>
        </r>
        <r>
          <rPr>
            <sz val="9"/>
            <color indexed="81"/>
            <rFont val="Tahoma"/>
            <family val="2"/>
          </rPr>
          <t xml:space="preserve">
16 in store</t>
        </r>
      </text>
    </comment>
    <comment ref="EF16" authorId="0" shapeId="0" xr:uid="{00000000-0006-0000-2400-00001E000000}">
      <text>
        <r>
          <rPr>
            <b/>
            <sz val="9"/>
            <color indexed="81"/>
            <rFont val="Tahoma"/>
            <family val="2"/>
          </rPr>
          <t>Ivan Kharitonov:</t>
        </r>
        <r>
          <rPr>
            <sz val="9"/>
            <color indexed="81"/>
            <rFont val="Tahoma"/>
            <family val="2"/>
          </rPr>
          <t xml:space="preserve">
50 in store</t>
        </r>
      </text>
    </comment>
    <comment ref="HE16" authorId="0" shapeId="0" xr:uid="{00000000-0006-0000-2400-00001F000000}">
      <text>
        <r>
          <rPr>
            <b/>
            <sz val="9"/>
            <color indexed="81"/>
            <rFont val="Tahoma"/>
            <family val="2"/>
          </rPr>
          <t>Ivan Kharitonov:</t>
        </r>
        <r>
          <rPr>
            <sz val="9"/>
            <color indexed="81"/>
            <rFont val="Tahoma"/>
            <family val="2"/>
          </rPr>
          <t xml:space="preserve">
being withdrawn</t>
        </r>
      </text>
    </comment>
    <comment ref="HV16" authorId="0" shapeId="0" xr:uid="{0234CCA9-A3D4-47E3-BBD2-8D61FCC8F1CA}">
      <text>
        <r>
          <rPr>
            <sz val="12"/>
            <color theme="1"/>
            <rFont val="Calibri"/>
            <family val="2"/>
            <scheme val="minor"/>
          </rPr>
          <t>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t>
        </r>
      </text>
    </comment>
    <comment ref="MU16" authorId="0" shapeId="0" xr:uid="{00000000-0006-0000-2400-000020000000}">
      <text>
        <r>
          <rPr>
            <b/>
            <sz val="9"/>
            <color indexed="81"/>
            <rFont val="Tahoma"/>
            <family val="2"/>
          </rPr>
          <t>Ivan Kharitonov:</t>
        </r>
        <r>
          <rPr>
            <sz val="9"/>
            <color indexed="81"/>
            <rFont val="Tahoma"/>
            <family val="2"/>
          </rPr>
          <t xml:space="preserve">
delivered from the US</t>
        </r>
      </text>
    </comment>
    <comment ref="BC17" authorId="0" shapeId="0" xr:uid="{00000000-0006-0000-2400-000021000000}">
      <text>
        <r>
          <rPr>
            <b/>
            <sz val="9"/>
            <color indexed="81"/>
            <rFont val="Tahoma"/>
            <family val="2"/>
          </rPr>
          <t>Ivan Kharitonov:</t>
        </r>
        <r>
          <rPr>
            <sz val="9"/>
            <color indexed="81"/>
            <rFont val="Tahoma"/>
            <family val="2"/>
          </rPr>
          <t xml:space="preserve">
medical
</t>
        </r>
      </text>
    </comment>
    <comment ref="BH17" authorId="0" shapeId="0" xr:uid="{00000000-0006-0000-2400-000022000000}">
      <text>
        <r>
          <rPr>
            <b/>
            <sz val="9"/>
            <color indexed="81"/>
            <rFont val="Tahoma"/>
            <family val="2"/>
          </rPr>
          <t>Ivan Kharitonov:</t>
        </r>
        <r>
          <rPr>
            <sz val="9"/>
            <color indexed="81"/>
            <rFont val="Tahoma"/>
            <family val="2"/>
          </rPr>
          <t xml:space="preserve">
incl. 6 medical</t>
        </r>
      </text>
    </comment>
    <comment ref="EP17" authorId="0" shapeId="0" xr:uid="{00000000-0006-0000-2400-000023000000}">
      <text>
        <r>
          <rPr>
            <b/>
            <sz val="9"/>
            <color indexed="81"/>
            <rFont val="Tahoma"/>
            <family val="2"/>
          </rPr>
          <t>Ivan Kharitonov:</t>
        </r>
        <r>
          <rPr>
            <sz val="9"/>
            <color indexed="81"/>
            <rFont val="Tahoma"/>
            <family val="2"/>
          </rPr>
          <t xml:space="preserve">
incl. 10 medical
</t>
        </r>
      </text>
    </comment>
    <comment ref="I18" authorId="0" shapeId="0" xr:uid="{00000000-0006-0000-2400-000024000000}">
      <text>
        <r>
          <rPr>
            <b/>
            <sz val="9"/>
            <color indexed="81"/>
            <rFont val="Tahoma"/>
            <family val="2"/>
          </rPr>
          <t>Ivan Kharitonov:</t>
        </r>
        <r>
          <rPr>
            <sz val="9"/>
            <color indexed="81"/>
            <rFont val="Tahoma"/>
            <family val="2"/>
          </rPr>
          <t xml:space="preserve">
in store</t>
        </r>
      </text>
    </comment>
    <comment ref="HV20" authorId="0" shapeId="0" xr:uid="{8474FEA8-7B05-4961-A3B6-B093AF0E054A}">
      <text>
        <r>
          <rPr>
            <sz val="12"/>
            <color theme="1"/>
            <rFont val="Calibri"/>
            <family val="2"/>
            <scheme val="minor"/>
          </rPr>
          <t>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t>
        </r>
      </text>
    </comment>
    <comment ref="JK20" authorId="0" shapeId="0" xr:uid="{00000000-0006-0000-2400-000025000000}">
      <text>
        <r>
          <rPr>
            <b/>
            <sz val="9"/>
            <color indexed="81"/>
            <rFont val="Tahoma"/>
            <family val="2"/>
          </rPr>
          <t>Ivan Kharitonov:</t>
        </r>
        <r>
          <rPr>
            <sz val="9"/>
            <color indexed="81"/>
            <rFont val="Tahoma"/>
            <family val="2"/>
          </rPr>
          <t xml:space="preserve">
30 operational</t>
        </r>
      </text>
    </comment>
    <comment ref="Z21" authorId="0" shapeId="0" xr:uid="{00000000-0006-0000-2400-000026000000}">
      <text>
        <r>
          <rPr>
            <b/>
            <sz val="9"/>
            <color indexed="81"/>
            <rFont val="Tahoma"/>
            <family val="2"/>
          </rPr>
          <t>Ivan Kharitonov:</t>
        </r>
        <r>
          <rPr>
            <sz val="9"/>
            <color indexed="81"/>
            <rFont val="Tahoma"/>
            <family val="2"/>
          </rPr>
          <t xml:space="preserve">
in store</t>
        </r>
      </text>
    </comment>
    <comment ref="FH21" authorId="0" shapeId="0" xr:uid="{00000000-0006-0000-2400-000027000000}">
      <text>
        <r>
          <rPr>
            <b/>
            <sz val="9"/>
            <color indexed="81"/>
            <rFont val="Tahoma"/>
            <family val="2"/>
          </rPr>
          <t>Ivan Kharitonov:</t>
        </r>
        <r>
          <rPr>
            <sz val="9"/>
            <color indexed="81"/>
            <rFont val="Tahoma"/>
            <family val="2"/>
          </rPr>
          <t xml:space="preserve">
in store</t>
        </r>
      </text>
    </comment>
    <comment ref="FM21" authorId="0" shapeId="0" xr:uid="{00000000-0006-0000-2400-000028000000}">
      <text>
        <r>
          <rPr>
            <b/>
            <sz val="9"/>
            <color indexed="81"/>
            <rFont val="Tahoma"/>
            <family val="2"/>
          </rPr>
          <t>Ivan Kharitonov:</t>
        </r>
        <r>
          <rPr>
            <sz val="9"/>
            <color indexed="81"/>
            <rFont val="Tahoma"/>
            <family val="2"/>
          </rPr>
          <t xml:space="preserve">
65 in store</t>
        </r>
      </text>
    </comment>
    <comment ref="HM21" authorId="0" shapeId="0" xr:uid="{00000000-0006-0000-2400-000029000000}">
      <text>
        <r>
          <rPr>
            <b/>
            <sz val="9"/>
            <color indexed="81"/>
            <rFont val="Tahoma"/>
            <family val="2"/>
          </rPr>
          <t>Ivan Kharitonov:</t>
        </r>
        <r>
          <rPr>
            <sz val="9"/>
            <color indexed="81"/>
            <rFont val="Tahoma"/>
            <family val="2"/>
          </rPr>
          <t xml:space="preserve">
38 in store
</t>
        </r>
      </text>
    </comment>
    <comment ref="KP27" authorId="0" shapeId="0" xr:uid="{00000000-0006-0000-2400-00002A000000}">
      <text>
        <r>
          <rPr>
            <b/>
            <sz val="9"/>
            <color indexed="81"/>
            <rFont val="Tahoma"/>
            <family val="2"/>
          </rPr>
          <t>Ivan Kharitonov:</t>
        </r>
        <r>
          <rPr>
            <sz val="9"/>
            <color indexed="81"/>
            <rFont val="Tahoma"/>
            <family val="2"/>
          </rPr>
          <t xml:space="preserve">
in store</t>
        </r>
      </text>
    </comment>
    <comment ref="KQ27" authorId="0" shapeId="0" xr:uid="{00000000-0006-0000-2400-00002B000000}">
      <text>
        <r>
          <rPr>
            <b/>
            <sz val="9"/>
            <color indexed="81"/>
            <rFont val="Tahoma"/>
            <family val="2"/>
          </rPr>
          <t>Ivan Kharitonov:</t>
        </r>
        <r>
          <rPr>
            <sz val="9"/>
            <color indexed="81"/>
            <rFont val="Tahoma"/>
            <family val="2"/>
          </rPr>
          <t xml:space="preserve">
in store</t>
        </r>
      </text>
    </comment>
    <comment ref="DT30" authorId="0" shapeId="0" xr:uid="{00000000-0006-0000-2400-00002C000000}">
      <text>
        <r>
          <rPr>
            <b/>
            <sz val="9"/>
            <color indexed="81"/>
            <rFont val="Tahoma"/>
            <family val="2"/>
          </rPr>
          <t>Ivan Kharitonov:</t>
        </r>
        <r>
          <rPr>
            <sz val="9"/>
            <color indexed="81"/>
            <rFont val="Tahoma"/>
            <family val="2"/>
          </rPr>
          <t xml:space="preserve">
medical</t>
        </r>
      </text>
    </comment>
    <comment ref="AA34" authorId="0" shapeId="0" xr:uid="{00000000-0006-0000-2400-00002D000000}">
      <text>
        <r>
          <rPr>
            <sz val="12"/>
            <color theme="1"/>
            <rFont val="Calibri"/>
            <family val="2"/>
            <scheme val="minor"/>
          </rPr>
          <t>Ivan Kharitonov:
before 2011 but as turned out they were in store</t>
        </r>
      </text>
    </comment>
    <comment ref="AH34" authorId="0" shapeId="0" xr:uid="{00000000-0006-0000-2400-00002E000000}">
      <text>
        <r>
          <rPr>
            <b/>
            <sz val="9"/>
            <color indexed="81"/>
            <rFont val="Tahoma"/>
            <family val="2"/>
          </rPr>
          <t>Ivan Kharitonov:</t>
        </r>
        <r>
          <rPr>
            <sz val="9"/>
            <color indexed="81"/>
            <rFont val="Tahoma"/>
            <family val="2"/>
          </rPr>
          <t xml:space="preserve">
32 in store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<sst xmlns="http://schemas.openxmlformats.org/spreadsheetml/2006/main" count="30510" uniqueCount="4640">
  <si>
    <t>Ukraine Support Tracker –– 8th release (covering January 24 to November 20, 2022)</t>
  </si>
  <si>
    <t>Kiel Working Paper No. 2218</t>
  </si>
  <si>
    <t xml:space="preserve"> – Feedback and comments on our paper and database are highly appreciated (ukrainetracker@ifw-kiel.de) –</t>
  </si>
  <si>
    <r>
      <rPr>
        <b/>
        <sz val="12"/>
        <color theme="1"/>
        <rFont val="Times New Roman"/>
        <family val="1"/>
      </rPr>
      <t xml:space="preserve">1. </t>
    </r>
    <r>
      <rPr>
        <b/>
        <u/>
        <sz val="12"/>
        <color theme="1"/>
        <rFont val="Times New Roman"/>
        <family val="1"/>
      </rPr>
      <t>Citation</t>
    </r>
  </si>
  <si>
    <r>
      <t xml:space="preserve">When using the data, please cite it as follows: Antezza, A., Bushnell, K., Frank, A., Frank, P., Franz, L., Kharitonov, I., Rebinskaya, E. &amp; Trebesch, C. (2022). "The Ukraine Support Tracker: Which countries help Ukraine and how?". </t>
    </r>
    <r>
      <rPr>
        <i/>
        <sz val="12"/>
        <color rgb="FF000000"/>
        <rFont val="Times New Roman"/>
      </rPr>
      <t>Kiel Working Paper</t>
    </r>
    <r>
      <rPr>
        <sz val="12"/>
        <color rgb="FF000000"/>
        <rFont val="Times New Roman"/>
      </rPr>
      <t>, No. 2218, 1-65.</t>
    </r>
  </si>
  <si>
    <r>
      <t xml:space="preserve">2. </t>
    </r>
    <r>
      <rPr>
        <b/>
        <u/>
        <sz val="12"/>
        <color theme="1"/>
        <rFont val="Times New Roman"/>
        <family val="1"/>
      </rPr>
      <t>Scope of the data set</t>
    </r>
  </si>
  <si>
    <t>Our database lists and quantifies military, financial and humanitarian aid transferred by governments to Ukraine after the end of diplomatic relations between Russia and Ukraine on January 24. We focus on commitments from Western governments, namely by G7 and European Union member countries. We quantify government-to-government commitments, and provide preliminary (non-exhaustive) data on non-bilateral aid. To value in-kind support like military equipment or weapons, we use market prices and consider upper bounds to avoid underestimating the true extent of bilateral assistance.</t>
  </si>
  <si>
    <r>
      <t>Country sample</t>
    </r>
    <r>
      <rPr>
        <b/>
        <sz val="11"/>
        <rFont val="Times New Roman"/>
        <family val="1"/>
      </rPr>
      <t>:</t>
    </r>
  </si>
  <si>
    <t>We focus on bilateral donors. The largest group are the 27 EU member countries. Besides, we include the (remaining) G7 countries plus Australia, China, India, New Zealand, Norway, South Korea, Switzerland, Taiwan, and Turkey. Moreover, we include assistance provided by the EU in the core database under EU (Commission and Council), European Peace Facility, European Investment Bank.</t>
  </si>
  <si>
    <r>
      <t>Forms of assistance</t>
    </r>
    <r>
      <rPr>
        <b/>
        <sz val="11"/>
        <rFont val="Times New Roman"/>
        <family val="1"/>
      </rPr>
      <t>:</t>
    </r>
  </si>
  <si>
    <t>Military assistance includes all types of weapons and military equipment alongside items donated to the Ukrainian army as well as financial assistance tied for military purposes. Humanitarian aid refers to assistance supporting the civilian population (mainly food, medicines, and other relief items). Financial assistance includes grants, loans, guarantees and swap-lines.</t>
  </si>
  <si>
    <r>
      <t>Commitments vs. disbursements</t>
    </r>
    <r>
      <rPr>
        <b/>
        <sz val="11"/>
        <rFont val="Times New Roman"/>
        <family val="1"/>
      </rPr>
      <t>:</t>
    </r>
  </si>
  <si>
    <t xml:space="preserve">We primarily report commitments. However, whenever information on deliveries or disbursements is available, we report these values including a respective source. </t>
  </si>
  <si>
    <r>
      <t>Valuing in-kind donations</t>
    </r>
    <r>
      <rPr>
        <b/>
        <sz val="11"/>
        <color rgb="FF000000"/>
        <rFont val="Times New Roman"/>
        <family val="1"/>
      </rPr>
      <t>:</t>
    </r>
  </si>
  <si>
    <t>We generally use upper bounds for prices to avoid underestimating the true scale of assistance. Please refer to the corresponding paper for price sources and further explanations.</t>
  </si>
  <si>
    <r>
      <t xml:space="preserve">3. </t>
    </r>
    <r>
      <rPr>
        <b/>
        <u/>
        <sz val="11"/>
        <rFont val="Times New Roman"/>
        <family val="1"/>
      </rPr>
      <t>Contents</t>
    </r>
  </si>
  <si>
    <t>The dataset is segmented into different colored sheets. The contained information is as follows:</t>
  </si>
  <si>
    <t>Gray sheets</t>
  </si>
  <si>
    <t>ReadMe and Updates/ corrections.</t>
  </si>
  <si>
    <t>Green sheets</t>
  </si>
  <si>
    <t>Contains datasets for bilateral/ multilateral/ commercial aid as well as pages with aggregate information on country and group donor level.</t>
  </si>
  <si>
    <t>Blue sheets</t>
  </si>
  <si>
    <t xml:space="preserve">Contains figures and the respective data of which they are comprised. </t>
  </si>
  <si>
    <t>Orange sheets</t>
  </si>
  <si>
    <t>Contains auxiliary information used for calculations like European Aid shares, prices, or stored information for various purposes.</t>
  </si>
  <si>
    <t>Updates and corrections</t>
  </si>
  <si>
    <t>Release 8 (until November 20, 2022)</t>
  </si>
  <si>
    <t>Major new commitments</t>
  </si>
  <si>
    <r>
      <t xml:space="preserve">The </t>
    </r>
    <r>
      <rPr>
        <u/>
        <sz val="11"/>
        <color rgb="FF000000"/>
        <rFont val="Times New Roman"/>
        <family val="1"/>
      </rPr>
      <t>European Commission and Council</t>
    </r>
    <r>
      <rPr>
        <sz val="11"/>
        <color rgb="FF000000"/>
        <rFont val="Times New Roman"/>
        <family val="1"/>
      </rPr>
      <t xml:space="preserve"> commits additional €18 billion of financial aid to Ukraine. The package is an extension of the previous Macro-Financial Assistance (MFA) and increases the EU financial contributions to €30.32 billion (+146%).</t>
    </r>
  </si>
  <si>
    <r>
      <rPr>
        <u/>
        <sz val="11"/>
        <color rgb="FF000000"/>
        <rFont val="Times New Roman"/>
        <family val="1"/>
      </rPr>
      <t>Germany</t>
    </r>
    <r>
      <rPr>
        <sz val="11"/>
        <color rgb="FF000000"/>
        <rFont val="Times New Roman"/>
        <family val="1"/>
      </rPr>
      <t xml:space="preserve"> pledges new in-kind military aid. Germany's military assistance now amounts to a total of €2.35 billion (increase by 96%).</t>
    </r>
  </si>
  <si>
    <r>
      <t xml:space="preserve">The </t>
    </r>
    <r>
      <rPr>
        <u/>
        <sz val="11"/>
        <color rgb="FF000000"/>
        <rFont val="Times New Roman"/>
        <family val="1"/>
      </rPr>
      <t>German government</t>
    </r>
    <r>
      <rPr>
        <sz val="11"/>
        <color rgb="FF000000"/>
        <rFont val="Times New Roman"/>
        <family val="1"/>
      </rPr>
      <t xml:space="preserve"> also committed humanitarian aid of €1 billion for protection against cyber attacks and investigation of war crimes (increase of humanitarian commitment by 100%).</t>
    </r>
  </si>
  <si>
    <r>
      <rPr>
        <u/>
        <sz val="11"/>
        <color rgb="FF000000"/>
        <rFont val="Times New Roman"/>
        <family val="1"/>
      </rPr>
      <t>Taiwan</t>
    </r>
    <r>
      <rPr>
        <sz val="11"/>
        <color rgb="FF000000"/>
        <rFont val="Times New Roman"/>
        <family val="1"/>
      </rPr>
      <t xml:space="preserve"> pledges new humanitarian aid for reconstruction worth €56.6 million (increase of total commitments by 450%).</t>
    </r>
  </si>
  <si>
    <r>
      <rPr>
        <u/>
        <sz val="11"/>
        <color rgb="FF000000"/>
        <rFont val="Times New Roman"/>
        <family val="1"/>
      </rPr>
      <t>Switzerland</t>
    </r>
    <r>
      <rPr>
        <sz val="11"/>
        <color rgb="FF000000"/>
        <rFont val="Times New Roman"/>
        <family val="1"/>
      </rPr>
      <t xml:space="preserve"> pledges new humanitarian aid specially intended as winter aid worth €103.8 million (increasing total commitments by 100%).</t>
    </r>
  </si>
  <si>
    <r>
      <rPr>
        <u/>
        <sz val="11"/>
        <color rgb="FF000000"/>
        <rFont val="Times New Roman"/>
        <family val="1"/>
      </rPr>
      <t>Finland</t>
    </r>
    <r>
      <rPr>
        <sz val="11"/>
        <color rgb="FF000000"/>
        <rFont val="Times New Roman"/>
        <family val="1"/>
      </rPr>
      <t xml:space="preserve"> commits its 10th military aid package, worth €55.6 million in additional military aid. This brings Finland’s military aid commitment to around €150 million (increase by around 60%).</t>
    </r>
  </si>
  <si>
    <r>
      <rPr>
        <u/>
        <sz val="11"/>
        <color rgb="FF000000"/>
        <rFont val="Times New Roman"/>
        <family val="1"/>
      </rPr>
      <t>Sweden</t>
    </r>
    <r>
      <rPr>
        <sz val="11"/>
        <color rgb="FF000000"/>
        <rFont val="Times New Roman"/>
        <family val="1"/>
      </rPr>
      <t xml:space="preserve"> commits roughly €280 million in military aid and €70 million in humanitarian and financial aid (3 billion SEK military, 720 million SEK) in November. This increases Swedish aid commitments by almost 70%.</t>
    </r>
  </si>
  <si>
    <r>
      <rPr>
        <u/>
        <sz val="11"/>
        <color rgb="FF000000"/>
        <rFont val="Times New Roman"/>
        <family val="1"/>
      </rPr>
      <t>Norway</t>
    </r>
    <r>
      <rPr>
        <sz val="11"/>
        <color rgb="FF000000"/>
        <rFont val="Times New Roman"/>
        <family val="1"/>
      </rPr>
      <t xml:space="preserve"> pledges additional funding of €146 million for a UK-led weapons procurement program. Norway further announced a military budget intended for Ukraine. This increases the Norwegian military aid to €538 million (increase by 72%).</t>
    </r>
  </si>
  <si>
    <r>
      <t xml:space="preserve">The </t>
    </r>
    <r>
      <rPr>
        <u/>
        <sz val="11"/>
        <color rgb="FF000000"/>
        <rFont val="Times New Roman"/>
        <family val="1"/>
      </rPr>
      <t>Netherlands</t>
    </r>
    <r>
      <rPr>
        <sz val="11"/>
        <color rgb="FF000000"/>
        <rFont val="Times New Roman"/>
        <family val="1"/>
      </rPr>
      <t xml:space="preserve"> and the </t>
    </r>
    <r>
      <rPr>
        <u/>
        <sz val="11"/>
        <color rgb="FF000000"/>
        <rFont val="Times New Roman"/>
        <family val="1"/>
      </rPr>
      <t>United States</t>
    </r>
    <r>
      <rPr>
        <sz val="11"/>
        <color rgb="FF000000"/>
        <rFont val="Times New Roman"/>
        <family val="1"/>
      </rPr>
      <t xml:space="preserve"> split the refurbishment costs for 90 Czech T-72 tanks. The total amount of the joint project is US$90 million.   									</t>
    </r>
  </si>
  <si>
    <r>
      <rPr>
        <u/>
        <sz val="11"/>
        <color rgb="FF000000"/>
        <rFont val="Times New Roman"/>
        <family val="1"/>
      </rPr>
      <t>Portugal</t>
    </r>
    <r>
      <rPr>
        <sz val="11"/>
        <color rgb="FF000000"/>
        <rFont val="Times New Roman"/>
        <family val="1"/>
      </rPr>
      <t xml:space="preserve"> commits six Soviet-made helicopters for humanitarian purposes, with an estimated value of 35 million EUR (increase of humanitarian commitment by 3000%).   </t>
    </r>
  </si>
  <si>
    <r>
      <rPr>
        <u/>
        <sz val="11"/>
        <color rgb="FF000000"/>
        <rFont val="Times New Roman"/>
        <family val="1"/>
      </rPr>
      <t>Czech Republic</t>
    </r>
    <r>
      <rPr>
        <sz val="11"/>
        <color rgb="FF000000"/>
        <rFont val="Times New Roman"/>
        <family val="1"/>
      </rPr>
      <t>: Due to new information released on October 28, the amount of delivered T-72 tanks is disclosed as 40 instead of the previous 12. This also increases the commitment from 20 to 40 T-72 tanks. In total, this increases the Czech military commitment by €32 million (+10 %) and the Czech deliveries by €45 million (+20 %).</t>
    </r>
  </si>
  <si>
    <r>
      <rPr>
        <u/>
        <sz val="11"/>
        <color rgb="FF000000"/>
        <rFont val="Times New Roman"/>
        <family val="1"/>
      </rPr>
      <t>Estonia</t>
    </r>
    <r>
      <rPr>
        <sz val="11"/>
        <color rgb="FF000000"/>
        <rFont val="Times New Roman"/>
        <family val="1"/>
      </rPr>
      <t xml:space="preserve"> commits a new military aid package worth €62 million (increase of military aid committment by 130%).   </t>
    </r>
  </si>
  <si>
    <r>
      <t xml:space="preserve">The </t>
    </r>
    <r>
      <rPr>
        <u/>
        <sz val="11"/>
        <color rgb="FF000000"/>
        <rFont val="Times New Roman"/>
        <family val="1"/>
      </rPr>
      <t>European Union</t>
    </r>
    <r>
      <rPr>
        <sz val="11"/>
        <color rgb="FF000000"/>
        <rFont val="Times New Roman"/>
        <family val="1"/>
      </rPr>
      <t xml:space="preserve"> commits €150 million in humanitarian aid targeted at assistance during the upcoming winter.</t>
    </r>
  </si>
  <si>
    <r>
      <rPr>
        <u/>
        <sz val="11"/>
        <color rgb="FF000000"/>
        <rFont val="Times New Roman"/>
        <family val="1"/>
      </rPr>
      <t>France</t>
    </r>
    <r>
      <rPr>
        <sz val="11"/>
        <color rgb="FF000000"/>
        <rFont val="Times New Roman"/>
        <family val="1"/>
      </rPr>
      <t xml:space="preserve"> establishes a fund worth €100 million which will enable Ukraine to procure weapons and other military equipment directly from French companies. </t>
    </r>
  </si>
  <si>
    <r>
      <t xml:space="preserve">The </t>
    </r>
    <r>
      <rPr>
        <u/>
        <sz val="11"/>
        <color rgb="FF000000"/>
        <rFont val="Times New Roman"/>
        <family val="1"/>
      </rPr>
      <t>French government</t>
    </r>
    <r>
      <rPr>
        <sz val="11"/>
        <color rgb="FF000000"/>
        <rFont val="Times New Roman"/>
        <family val="1"/>
      </rPr>
      <t xml:space="preserve"> also committed additional six CAESAR howitzers, worth around €90 million.  </t>
    </r>
  </si>
  <si>
    <r>
      <rPr>
        <u/>
        <sz val="11"/>
        <color rgb="FF000000"/>
        <rFont val="Times New Roman"/>
        <family val="1"/>
      </rPr>
      <t>Denmark</t>
    </r>
    <r>
      <rPr>
        <sz val="11"/>
        <color rgb="FF000000"/>
        <rFont val="Times New Roman"/>
        <family val="1"/>
      </rPr>
      <t xml:space="preserve">: According to new information, Denmark approved the delivery of the missing items of package DKM1 (including M113 APCs, mines, mortars, and further items) in April. This increases Denmark's in-kind military deliveries by €71.2 million. </t>
    </r>
  </si>
  <si>
    <r>
      <rPr>
        <u/>
        <sz val="11"/>
        <color rgb="FF000000"/>
        <rFont val="Times New Roman"/>
        <family val="1"/>
      </rPr>
      <t>Greece</t>
    </r>
    <r>
      <rPr>
        <sz val="11"/>
        <color rgb="FF000000"/>
        <rFont val="Times New Roman"/>
        <family val="1"/>
      </rPr>
      <t>: According to new information, Greece delivers 40 BMP-1 infantry fighting vehicles worth €22.7 million. These are part of the 'Ringtausch' weapon exchange agreement with Germany.</t>
    </r>
  </si>
  <si>
    <t>Major corrections</t>
  </si>
  <si>
    <t>United States: Following the change from FY2022 to FY2023 at the end of September and the release of new information, open budget positions from FY2022 no longer constitute a commitment to Ukraine as these budgets can no longer be accessed. We corrected for these no-longer-usable positions, leading to a decrease in military aid for the U.S. of $3.4 billion.</t>
  </si>
  <si>
    <t>USM7: We changed this commitment from military to financial aid to more accurately capture its purpose (i.e., financial aid for security assistance). The entry is henceforth under ID USF6.</t>
  </si>
  <si>
    <t>USM3, USM8: We change these entries from military to humanitarian aid to more accurately capture their purpose (i.e., investigation of war crimes, civilian assistance). The entries are henceforth under IDs USH7, USH8, respectively.</t>
  </si>
  <si>
    <t>ITF2, ITF3: Even though the loans were announced with different conditions, the two entries now appear to refer to the same €200 million loan. This leads to a decrease in financial commitment for Italy over €200 million.</t>
  </si>
  <si>
    <t>DKF2: Changed from US$30 million to €37.5 million as official sources stated this value. This increases Danish financial contribution to €57.5 million (increase by 15%).</t>
  </si>
  <si>
    <t>DKM3: Due to a coding inconsistency, the commitment was not counted as in-kind military aid for Denmark. This was corrected, leading to an increase in Danish military aid of €110 million (increase by 36 %).</t>
  </si>
  <si>
    <t xml:space="preserve">DKM4: Following new information regarding the joint financing of Zuzana-2 howitzers, this commitment was included in ID DKM3 as the howitzers are financed from that budget. </t>
  </si>
  <si>
    <t xml:space="preserve">             Accordingly, the Danish military support until October 2022 amounted to DKK 3.8 billion or €510 million. DKM4 now captures the difference to our previous record, leading to an increase by €130.4 million in Danish military aid (+34%).</t>
  </si>
  <si>
    <t>CZM14: Following new information from October 28 the amount of delivered T-72 tanks is disclosed as 40 instead of the previous 12. This also increases the commitment from 20 to 40 T-72 tanks. In total, this increases the Czech military commitment by €32 million (+10 %) and the Czech deliveries by €45 million (+20 %). </t>
  </si>
  <si>
    <t>FIM3-FIM5: Following the release of new information, the entire value of Finnish military commitments until the end of September could now be determined, which changed previously unknown values. Accordingly, Finland's military commitment increased from €30 million to €90 million (increase by 200 %).</t>
  </si>
  <si>
    <t>BEM1: Due to a coding inconsistency, the value of deliveries of this entry were calculated with our price estimates. This was corrected, increasing Belgian deliveries by €54.3 million, in turn increasing the Belgian in-kind military delivery rate to 100%. </t>
  </si>
  <si>
    <t>FIM1: Due to a coding inconsistency, the value of deliveries of this entry were calculated with our price estimates. This was corrected. The entire package has been delivered, increasing the Finnish in-kind military deliveries by €18 million.</t>
  </si>
  <si>
    <t xml:space="preserve">FRH4, FRH6: Following the release of new information, the humanitarian aid France provided for Ukrainian emergency services in the spring is estimated to be worth €18 million (increase in humanitarian aid by 15%).  </t>
  </si>
  <si>
    <t>ITM6: Following new information about Italy's military support under the previous government, the five aid packages for which the details have been undisclosed are estimated to be worth €169 million in commitments (€163 million in deliveries).</t>
  </si>
  <si>
    <t>DEM1: Due to contradicting official information, we now evaluate the entire German military contribution with our own price data. This may lead to an overestimation, but is consistent with our approach to estimate upper bounds to not underestimate the true extent of assistance to Ukraine.</t>
  </si>
  <si>
    <t>Release 7 (until October 3, 2022)</t>
  </si>
  <si>
    <r>
      <rPr>
        <u/>
        <sz val="11"/>
        <color theme="1"/>
        <rFont val="Times New Roman"/>
        <family val="1"/>
      </rPr>
      <t>United Kingdom</t>
    </r>
    <r>
      <rPr>
        <sz val="11"/>
        <color theme="1"/>
        <rFont val="Times New Roman"/>
        <family val="1"/>
      </rPr>
      <t xml:space="preserve"> increases its total commitments by €140 million (+2 %)</t>
    </r>
  </si>
  <si>
    <r>
      <rPr>
        <u/>
        <sz val="11"/>
        <color theme="1"/>
        <rFont val="Times New Roman"/>
        <family val="1"/>
      </rPr>
      <t>Norway</t>
    </r>
    <r>
      <rPr>
        <sz val="11"/>
        <color theme="1"/>
        <rFont val="Times New Roman"/>
        <family val="1"/>
      </rPr>
      <t xml:space="preserve"> committed additional €110 million in military aid (+52 %)</t>
    </r>
  </si>
  <si>
    <r>
      <rPr>
        <u/>
        <sz val="11"/>
        <color rgb="FF000000"/>
        <rFont val="Times New Roman"/>
        <family val="1"/>
      </rPr>
      <t xml:space="preserve">Netherlands, Czech Republic </t>
    </r>
    <r>
      <rPr>
        <sz val="11"/>
        <color rgb="FF000000"/>
        <rFont val="Times New Roman"/>
        <family val="1"/>
      </rPr>
      <t>and</t>
    </r>
    <r>
      <rPr>
        <u/>
        <sz val="11"/>
        <color rgb="FF000000"/>
        <rFont val="Times New Roman"/>
        <family val="1"/>
      </rPr>
      <t xml:space="preserve"> Latvia</t>
    </r>
    <r>
      <rPr>
        <sz val="11"/>
        <color rgb="FF000000"/>
        <rFont val="Times New Roman"/>
        <family val="1"/>
      </rPr>
      <t xml:space="preserve"> all increase their total commitments by €50 million (+ 10 %, +15 %, + 16 %)</t>
    </r>
  </si>
  <si>
    <r>
      <rPr>
        <u/>
        <sz val="11"/>
        <color theme="1"/>
        <rFont val="Times New Roman"/>
        <family val="1"/>
      </rPr>
      <t>Slovenia</t>
    </r>
    <r>
      <rPr>
        <sz val="11"/>
        <color theme="1"/>
        <rFont val="Times New Roman"/>
        <family val="1"/>
      </rPr>
      <t xml:space="preserve"> increases its total commitment by €20 million (+66 %)</t>
    </r>
  </si>
  <si>
    <r>
      <t xml:space="preserve">The </t>
    </r>
    <r>
      <rPr>
        <u/>
        <sz val="11"/>
        <color theme="1"/>
        <rFont val="Times New Roman"/>
        <family val="1"/>
      </rPr>
      <t>United States</t>
    </r>
    <r>
      <rPr>
        <sz val="11"/>
        <color theme="1"/>
        <rFont val="Times New Roman"/>
        <family val="1"/>
      </rPr>
      <t xml:space="preserve"> committed USD 7.157 billion in military assistance: </t>
    </r>
  </si>
  <si>
    <t>$3.7 billion in Presidential Drawdown Authority for FY23</t>
  </si>
  <si>
    <t>$3 billion under Ukraine Security Assistance Initiative</t>
  </si>
  <si>
    <t xml:space="preserve">$457.5 million in Protection for Civilian Security Assistance </t>
  </si>
  <si>
    <r>
      <t xml:space="preserve">The </t>
    </r>
    <r>
      <rPr>
        <u/>
        <sz val="11"/>
        <color theme="1"/>
        <rFont val="Times New Roman"/>
        <family val="1"/>
      </rPr>
      <t>United States</t>
    </r>
    <r>
      <rPr>
        <sz val="11"/>
        <color theme="1"/>
        <rFont val="Times New Roman"/>
        <family val="1"/>
      </rPr>
      <t xml:space="preserve"> committed  USD 4.5 billion in financial assistance: </t>
    </r>
  </si>
  <si>
    <t>$4.5 billion in Economic Support Fund</t>
  </si>
  <si>
    <t>Major new deliveries/disbursements</t>
  </si>
  <si>
    <r>
      <rPr>
        <u/>
        <sz val="11"/>
        <color theme="1"/>
        <rFont val="Times New Roman"/>
        <family val="1"/>
      </rPr>
      <t>Germany</t>
    </r>
    <r>
      <rPr>
        <sz val="11"/>
        <color theme="1"/>
        <rFont val="Times New Roman"/>
        <family val="1"/>
      </rPr>
      <t xml:space="preserve"> delivers additional €133 million in in-kind military aid, increasing its delivery share by 10 percentage points. </t>
    </r>
  </si>
  <si>
    <r>
      <rPr>
        <u/>
        <sz val="11"/>
        <color theme="1"/>
        <rFont val="Times New Roman"/>
        <family val="1"/>
      </rPr>
      <t>US</t>
    </r>
    <r>
      <rPr>
        <sz val="11"/>
        <color theme="1"/>
        <rFont val="Times New Roman"/>
        <family val="1"/>
      </rPr>
      <t xml:space="preserve"> increases its disbursed budget support by €4.571 billion (+116 %).</t>
    </r>
  </si>
  <si>
    <r>
      <rPr>
        <u/>
        <sz val="11"/>
        <color theme="1"/>
        <rFont val="Times New Roman"/>
        <family val="1"/>
      </rPr>
      <t>Italy</t>
    </r>
    <r>
      <rPr>
        <sz val="11"/>
        <color theme="1"/>
        <rFont val="Times New Roman"/>
        <family val="1"/>
      </rPr>
      <t xml:space="preserve"> increases its disbursed budget support by €207 million (+168 %).</t>
    </r>
  </si>
  <si>
    <r>
      <rPr>
        <u/>
        <sz val="11"/>
        <color theme="1"/>
        <rFont val="Times New Roman"/>
        <family val="1"/>
      </rPr>
      <t>Germany</t>
    </r>
    <r>
      <rPr>
        <sz val="11"/>
        <color theme="1"/>
        <rFont val="Times New Roman"/>
        <family val="1"/>
      </rPr>
      <t xml:space="preserve"> increases its disbursed budget support by €150 million (+15 %).</t>
    </r>
  </si>
  <si>
    <t>USM1, USM5: After further investigation the second presidential drawdown (USM5) was uncovered to be an extension of the first drawdown, announced in March 2022 (USM1).</t>
  </si>
  <si>
    <t xml:space="preserve">          This eliminates double counting of 3.3 billion EUR for the US. All the presidential drawdown announcements for FY22 are mentioned only under USM1.</t>
  </si>
  <si>
    <t xml:space="preserve">          The Congress gave the US President authority to draw down upto the value of USD 11 bn for FY22 (which ended on 30 Sep 2022). We only consider USD 10.8 billion as USD 200 million was announced in Dec 2021, which is outside our time frame.</t>
  </si>
  <si>
    <t xml:space="preserve">          Of the USD 10.8 billion, the US had utilised drawdowns worth USD 9.025 billion (reflected in R803) during the period Jan - Oct 2022. The remaining USD 1.775 billion cannot be accessed anymore as the US has entered a new fiscal year FY2023 starting Oct 1, 2022.</t>
  </si>
  <si>
    <t>Release 6 (until August 3, 2022)</t>
  </si>
  <si>
    <r>
      <rPr>
        <u/>
        <sz val="11"/>
        <color theme="1"/>
        <rFont val="Times New Roman"/>
        <family val="1"/>
      </rPr>
      <t>Canada</t>
    </r>
    <r>
      <rPr>
        <sz val="11"/>
        <color theme="1"/>
        <rFont val="Times New Roman"/>
        <family val="1"/>
      </rPr>
      <t xml:space="preserve"> committed CA$450 (€342) million in </t>
    </r>
    <r>
      <rPr>
        <i/>
        <sz val="11"/>
        <color theme="1"/>
        <rFont val="Times New Roman"/>
        <family val="1"/>
      </rPr>
      <t>financial assistance</t>
    </r>
    <r>
      <rPr>
        <sz val="11"/>
        <color theme="1"/>
        <rFont val="Times New Roman"/>
        <family val="1"/>
      </rPr>
      <t xml:space="preserve"> on July 29, rising from 6th to 5th place in the ranking of total aid.</t>
    </r>
  </si>
  <si>
    <r>
      <rPr>
        <u/>
        <sz val="11"/>
        <color theme="1"/>
        <rFont val="Times New Roman"/>
        <family val="1"/>
      </rPr>
      <t>Norway</t>
    </r>
    <r>
      <rPr>
        <sz val="11"/>
        <color theme="1"/>
        <rFont val="Times New Roman"/>
        <family val="1"/>
      </rPr>
      <t xml:space="preserve"> committed €1 billion in </t>
    </r>
    <r>
      <rPr>
        <i/>
        <sz val="11"/>
        <color theme="1"/>
        <rFont val="Times New Roman"/>
        <family val="1"/>
      </rPr>
      <t>financial assistance</t>
    </r>
    <r>
      <rPr>
        <sz val="11"/>
        <color theme="1"/>
        <rFont val="Times New Roman"/>
        <family val="1"/>
      </rPr>
      <t xml:space="preserve"> on July 1, rising from 9th to 8th place in the ranking of total aid. </t>
    </r>
  </si>
  <si>
    <r>
      <rPr>
        <u/>
        <sz val="11"/>
        <color theme="1"/>
        <rFont val="Times New Roman"/>
        <family val="1"/>
      </rPr>
      <t>Lithuania</t>
    </r>
    <r>
      <rPr>
        <sz val="11"/>
        <color theme="1"/>
        <rFont val="Times New Roman"/>
        <family val="1"/>
      </rPr>
      <t xml:space="preserve"> committed almost €4 million in </t>
    </r>
    <r>
      <rPr>
        <i/>
        <sz val="11"/>
        <color theme="1"/>
        <rFont val="Times New Roman"/>
        <family val="1"/>
      </rPr>
      <t>military assistance</t>
    </r>
    <r>
      <rPr>
        <sz val="11"/>
        <color theme="1"/>
        <rFont val="Times New Roman"/>
        <family val="1"/>
      </rPr>
      <t>, rising from 6th to 5th in the ranking of total aid in percent of GDP (0.13% increase).</t>
    </r>
  </si>
  <si>
    <r>
      <t xml:space="preserve">The </t>
    </r>
    <r>
      <rPr>
        <u/>
        <sz val="11"/>
        <color theme="1"/>
        <rFont val="Times New Roman"/>
        <family val="1"/>
      </rPr>
      <t>United States</t>
    </r>
    <r>
      <rPr>
        <sz val="11"/>
        <color theme="1"/>
        <rFont val="Times New Roman"/>
        <family val="1"/>
      </rPr>
      <t xml:space="preserve"> disbursed €2.987 billion in </t>
    </r>
    <r>
      <rPr>
        <i/>
        <sz val="11"/>
        <color theme="1"/>
        <rFont val="Times New Roman"/>
        <family val="1"/>
      </rPr>
      <t>budgetary support</t>
    </r>
    <r>
      <rPr>
        <sz val="11"/>
        <color theme="1"/>
        <rFont val="Times New Roman"/>
        <family val="1"/>
      </rPr>
      <t xml:space="preserve">, rising from 3d to 1st place in the ranking of disbursed budgetary support. </t>
    </r>
  </si>
  <si>
    <r>
      <t xml:space="preserve">The </t>
    </r>
    <r>
      <rPr>
        <u/>
        <sz val="11"/>
        <color theme="1"/>
        <rFont val="Times New Roman"/>
        <family val="1"/>
      </rPr>
      <t>European Union</t>
    </r>
    <r>
      <rPr>
        <sz val="11"/>
        <color theme="1"/>
        <rFont val="Times New Roman"/>
        <family val="1"/>
      </rPr>
      <t xml:space="preserve"> disbursed €1.09 billion in </t>
    </r>
    <r>
      <rPr>
        <i/>
        <sz val="11"/>
        <color theme="1"/>
        <rFont val="Times New Roman"/>
        <family val="1"/>
      </rPr>
      <t>budgetary support</t>
    </r>
    <r>
      <rPr>
        <sz val="11"/>
        <color theme="1"/>
        <rFont val="Times New Roman"/>
        <family val="1"/>
      </rPr>
      <t xml:space="preserve">, moving from 1st to 2nd place in the ranking of disbursed budgetary support. </t>
    </r>
  </si>
  <si>
    <r>
      <rPr>
        <u/>
        <sz val="11"/>
        <color theme="1"/>
        <rFont val="Times New Roman"/>
        <family val="1"/>
      </rPr>
      <t>Germany</t>
    </r>
    <r>
      <rPr>
        <sz val="11"/>
        <color theme="1"/>
        <rFont val="Times New Roman"/>
        <family val="1"/>
      </rPr>
      <t xml:space="preserve"> disbursed €995 million in </t>
    </r>
    <r>
      <rPr>
        <i/>
        <sz val="11"/>
        <color theme="1"/>
        <rFont val="Times New Roman"/>
        <family val="1"/>
      </rPr>
      <t>budgetary support</t>
    </r>
    <r>
      <rPr>
        <sz val="11"/>
        <color theme="1"/>
        <rFont val="Times New Roman"/>
        <family val="1"/>
      </rPr>
      <t xml:space="preserve">, moving from 6th to 3d place in the ranking of disbursed budgetary support. </t>
    </r>
  </si>
  <si>
    <r>
      <t xml:space="preserve">The </t>
    </r>
    <r>
      <rPr>
        <u/>
        <sz val="11"/>
        <color theme="1"/>
        <rFont val="Times New Roman"/>
        <family val="1"/>
      </rPr>
      <t>United Kingdom</t>
    </r>
    <r>
      <rPr>
        <sz val="11"/>
        <color theme="1"/>
        <rFont val="Times New Roman"/>
        <family val="1"/>
      </rPr>
      <t xml:space="preserve"> disbursed €447 million in </t>
    </r>
    <r>
      <rPr>
        <i/>
        <sz val="11"/>
        <color theme="1"/>
        <rFont val="Times New Roman"/>
        <family val="1"/>
      </rPr>
      <t>budgetary support</t>
    </r>
    <r>
      <rPr>
        <sz val="11"/>
        <color theme="1"/>
        <rFont val="Times New Roman"/>
        <family val="1"/>
      </rPr>
      <t xml:space="preserve">, rising from 7th to 5th place in the ranking of disbursed budgetary support. </t>
    </r>
  </si>
  <si>
    <t>Major disclosures</t>
  </si>
  <si>
    <r>
      <t xml:space="preserve">The </t>
    </r>
    <r>
      <rPr>
        <u/>
        <sz val="11"/>
        <color theme="1"/>
        <rFont val="Times New Roman"/>
        <family val="1"/>
      </rPr>
      <t>Netherlands</t>
    </r>
    <r>
      <rPr>
        <sz val="11"/>
        <color theme="1"/>
        <rFont val="Times New Roman"/>
        <family val="1"/>
      </rPr>
      <t xml:space="preserve"> committed €200 million in </t>
    </r>
    <r>
      <rPr>
        <i/>
        <sz val="11"/>
        <color theme="1"/>
        <rFont val="Times New Roman"/>
        <family val="1"/>
      </rPr>
      <t>financial assistance</t>
    </r>
    <r>
      <rPr>
        <sz val="11"/>
        <color theme="1"/>
        <rFont val="Times New Roman"/>
        <family val="1"/>
      </rPr>
      <t xml:space="preserve"> on May 6, rising from 21st to 13th place in the ranking of total aid. This information was disclosed during the Ukraine Recovery Conference taking place in Lugano </t>
    </r>
  </si>
  <si>
    <t xml:space="preserve">on July 4. </t>
  </si>
  <si>
    <r>
      <rPr>
        <u/>
        <sz val="11"/>
        <color theme="1"/>
        <rFont val="Times New Roman"/>
        <family val="1"/>
      </rPr>
      <t>Spain</t>
    </r>
    <r>
      <rPr>
        <sz val="11"/>
        <color theme="1"/>
        <rFont val="Times New Roman"/>
        <family val="1"/>
      </rPr>
      <t xml:space="preserve"> committed €200 million in </t>
    </r>
    <r>
      <rPr>
        <i/>
        <sz val="11"/>
        <color theme="1"/>
        <rFont val="Times New Roman"/>
        <family val="1"/>
      </rPr>
      <t>financial assistance</t>
    </r>
    <r>
      <rPr>
        <sz val="11"/>
        <color theme="1"/>
        <rFont val="Times New Roman"/>
        <family val="1"/>
      </rPr>
      <t xml:space="preserve"> on June 7, thus rising from 24th to 14th place in the ranking of total aid. This information was disclosed during the Ukraine Recovery Conference taking place in Lugano</t>
    </r>
  </si>
  <si>
    <r>
      <t xml:space="preserve">The list of weapons and equipment provided by </t>
    </r>
    <r>
      <rPr>
        <u/>
        <sz val="11"/>
        <color theme="1"/>
        <rFont val="Times New Roman"/>
        <family val="1"/>
      </rPr>
      <t>German</t>
    </r>
    <r>
      <rPr>
        <sz val="11"/>
        <color theme="1"/>
        <rFont val="Times New Roman"/>
        <family val="1"/>
      </rPr>
      <t xml:space="preserve"> official sources on July 1 (amounting to €245 million) is now included in the €1.2 military package announced by Scholz on April 15. </t>
    </r>
  </si>
  <si>
    <r>
      <t xml:space="preserve">The 1€ billion financial guarantee provided by </t>
    </r>
    <r>
      <rPr>
        <u/>
        <sz val="11"/>
        <color theme="1"/>
        <rFont val="Times New Roman"/>
        <family val="1"/>
      </rPr>
      <t>France</t>
    </r>
    <r>
      <rPr>
        <sz val="11"/>
        <color theme="1"/>
        <rFont val="Times New Roman"/>
        <family val="1"/>
      </rPr>
      <t xml:space="preserve"> on February 8 is not included anymore due to a lack of sources on the money's allocation.</t>
    </r>
  </si>
  <si>
    <t xml:space="preserve">The price estimates have been updated through more precise and careful calculations. </t>
  </si>
  <si>
    <t>Release 5 (until July 1, 2022)</t>
  </si>
  <si>
    <r>
      <t xml:space="preserve">The </t>
    </r>
    <r>
      <rPr>
        <u/>
        <sz val="11"/>
        <color theme="1"/>
        <rFont val="Times New Roman"/>
        <family val="1"/>
      </rPr>
      <t>United Kingdom</t>
    </r>
    <r>
      <rPr>
        <sz val="11"/>
        <color theme="1"/>
        <rFont val="Times New Roman"/>
        <family val="1"/>
      </rPr>
      <t xml:space="preserve"> committed £1.2 (€1.55) billion in </t>
    </r>
    <r>
      <rPr>
        <i/>
        <sz val="11"/>
        <color theme="1"/>
        <rFont val="Times New Roman"/>
        <family val="1"/>
      </rPr>
      <t>military assistance</t>
    </r>
    <r>
      <rPr>
        <sz val="11"/>
        <color theme="1"/>
        <rFont val="Times New Roman"/>
        <family val="1"/>
      </rPr>
      <t xml:space="preserve"> on June 30. Despite the United Kingdom remanining in 3d place in the ranking of total aid, this new commitment shifts its</t>
    </r>
  </si>
  <si>
    <t xml:space="preserve">position in the ranking of total aid in percent of GDP, bringing the United Kingdom from 6th to 5th place (0.05% increase). </t>
  </si>
  <si>
    <r>
      <t xml:space="preserve">The </t>
    </r>
    <r>
      <rPr>
        <u/>
        <sz val="11"/>
        <color theme="1"/>
        <rFont val="Times New Roman"/>
        <family val="1"/>
      </rPr>
      <t>European Union</t>
    </r>
    <r>
      <rPr>
        <sz val="11"/>
        <color theme="1"/>
        <rFont val="Times New Roman"/>
        <family val="1"/>
      </rPr>
      <t xml:space="preserve"> committed €205 million in </t>
    </r>
    <r>
      <rPr>
        <i/>
        <sz val="11"/>
        <color theme="1"/>
        <rFont val="Times New Roman"/>
        <family val="1"/>
      </rPr>
      <t>humanitarian assistance</t>
    </r>
    <r>
      <rPr>
        <sz val="11"/>
        <color theme="1"/>
        <rFont val="Times New Roman"/>
        <family val="1"/>
      </rPr>
      <t xml:space="preserve">, thus remaining in 2nd place in the ranking of total aid. </t>
    </r>
  </si>
  <si>
    <r>
      <rPr>
        <u/>
        <sz val="11"/>
        <color theme="1"/>
        <rFont val="Times New Roman"/>
        <family val="1"/>
      </rPr>
      <t>Poland</t>
    </r>
    <r>
      <rPr>
        <sz val="11"/>
        <color theme="1"/>
        <rFont val="Times New Roman"/>
        <family val="1"/>
      </rPr>
      <t xml:space="preserve"> committed €100 million in </t>
    </r>
    <r>
      <rPr>
        <i/>
        <sz val="11"/>
        <color theme="1"/>
        <rFont val="Times New Roman"/>
        <family val="1"/>
      </rPr>
      <t>military assistance</t>
    </r>
    <r>
      <rPr>
        <sz val="11"/>
        <color theme="1"/>
        <rFont val="Times New Roman"/>
        <family val="1"/>
      </rPr>
      <t xml:space="preserve">, thus remaining in 5th place in the ranking of total aid. </t>
    </r>
  </si>
  <si>
    <r>
      <rPr>
        <u/>
        <sz val="11"/>
        <color theme="1"/>
        <rFont val="Times New Roman"/>
        <family val="1"/>
      </rPr>
      <t>Canada</t>
    </r>
    <r>
      <rPr>
        <sz val="11"/>
        <color theme="1"/>
        <rFont val="Times New Roman"/>
        <family val="1"/>
      </rPr>
      <t xml:space="preserve"> committed C$200 million (€148 million) in </t>
    </r>
    <r>
      <rPr>
        <i/>
        <sz val="11"/>
        <color theme="1"/>
        <rFont val="Times New Roman"/>
        <family val="1"/>
      </rPr>
      <t>financial assistance</t>
    </r>
    <r>
      <rPr>
        <sz val="11"/>
        <color theme="1"/>
        <rFont val="Times New Roman"/>
        <family val="1"/>
      </rPr>
      <t xml:space="preserve"> through loans, thus remaining in 6th place in the ranking. </t>
    </r>
  </si>
  <si>
    <r>
      <rPr>
        <u/>
        <sz val="11"/>
        <color theme="1"/>
        <rFont val="Times New Roman"/>
        <family val="1"/>
      </rPr>
      <t>Slovakia</t>
    </r>
    <r>
      <rPr>
        <sz val="11"/>
        <color theme="1"/>
        <rFont val="Times New Roman"/>
        <family val="1"/>
      </rPr>
      <t xml:space="preserve"> committed €50 million in </t>
    </r>
    <r>
      <rPr>
        <i/>
        <sz val="11"/>
        <color theme="1"/>
        <rFont val="Times New Roman"/>
        <family val="1"/>
      </rPr>
      <t>military assistance</t>
    </r>
    <r>
      <rPr>
        <sz val="11"/>
        <color theme="1"/>
        <rFont val="Times New Roman"/>
        <family val="1"/>
      </rPr>
      <t xml:space="preserve"> (weapons), thus moving from 12th to 7th place in the ranking of total aid in percent of GDP (0.05% increase). </t>
    </r>
  </si>
  <si>
    <r>
      <rPr>
        <u/>
        <sz val="11"/>
        <color rgb="FF000000"/>
        <rFont val="Times New Roman"/>
        <family val="1"/>
      </rPr>
      <t>Canada</t>
    </r>
    <r>
      <rPr>
        <sz val="11"/>
        <color rgb="FF000000"/>
        <rFont val="Times New Roman"/>
        <family val="1"/>
      </rPr>
      <t xml:space="preserve"> delivered €295 million of its </t>
    </r>
    <r>
      <rPr>
        <i/>
        <sz val="11"/>
        <color rgb="FF000000"/>
        <rFont val="Times New Roman"/>
        <family val="1"/>
      </rPr>
      <t>in-kind military assistance</t>
    </r>
    <r>
      <rPr>
        <sz val="11"/>
        <color rgb="FF000000"/>
        <rFont val="Times New Roman"/>
        <family val="1"/>
      </rPr>
      <t xml:space="preserve">, thus remaining 4t in the ranking of delivered in-kind military assistance. </t>
    </r>
  </si>
  <si>
    <r>
      <rPr>
        <u/>
        <sz val="11"/>
        <color rgb="FF000000"/>
        <rFont val="Times New Roman"/>
        <family val="1"/>
      </rPr>
      <t>Denmark</t>
    </r>
    <r>
      <rPr>
        <sz val="11"/>
        <color rgb="FF000000"/>
        <rFont val="Times New Roman"/>
        <family val="1"/>
      </rPr>
      <t xml:space="preserve"> delivered €107 million of its </t>
    </r>
    <r>
      <rPr>
        <i/>
        <sz val="11"/>
        <color rgb="FF000000"/>
        <rFont val="Times New Roman"/>
        <family val="1"/>
      </rPr>
      <t>in-kind military assistance</t>
    </r>
    <r>
      <rPr>
        <sz val="11"/>
        <color rgb="FF000000"/>
        <rFont val="Times New Roman"/>
        <family val="1"/>
      </rPr>
      <t xml:space="preserve">, thus moving from 16th to 10th in the ranking of delivered in-kind military assistance. </t>
    </r>
  </si>
  <si>
    <r>
      <rPr>
        <u/>
        <sz val="11"/>
        <color rgb="FF000000"/>
        <rFont val="Times New Roman"/>
        <family val="1"/>
      </rPr>
      <t>Poland</t>
    </r>
    <r>
      <rPr>
        <sz val="11"/>
        <color rgb="FF000000"/>
        <rFont val="Times New Roman"/>
        <family val="1"/>
      </rPr>
      <t xml:space="preserve"> delivered €100 million of its </t>
    </r>
    <r>
      <rPr>
        <i/>
        <sz val="11"/>
        <color rgb="FF000000"/>
        <rFont val="Times New Roman"/>
        <family val="1"/>
      </rPr>
      <t>in-kind military assistance</t>
    </r>
    <r>
      <rPr>
        <sz val="11"/>
        <color rgb="FF000000"/>
        <rFont val="Times New Roman"/>
        <family val="1"/>
      </rPr>
      <t xml:space="preserve">, thus remaining 2nd in the ranking of delivered in-kind military assistance. </t>
    </r>
  </si>
  <si>
    <r>
      <rPr>
        <u/>
        <sz val="11"/>
        <color rgb="FF000000"/>
        <rFont val="Times New Roman"/>
        <family val="1"/>
      </rPr>
      <t>Canada</t>
    </r>
    <r>
      <rPr>
        <sz val="11"/>
        <color rgb="FF000000"/>
        <rFont val="Times New Roman"/>
        <family val="1"/>
      </rPr>
      <t xml:space="preserve"> disbursed €175 million in </t>
    </r>
    <r>
      <rPr>
        <i/>
        <sz val="11"/>
        <color rgb="FF000000"/>
        <rFont val="Times New Roman"/>
        <family val="1"/>
      </rPr>
      <t>budgetary support</t>
    </r>
    <r>
      <rPr>
        <sz val="11"/>
        <color rgb="FF000000"/>
        <rFont val="Times New Roman"/>
        <family val="1"/>
      </rPr>
      <t xml:space="preserve">, thus moving from 3d to 2nd place in the ranking of disbursed budgetary support. </t>
    </r>
  </si>
  <si>
    <r>
      <rPr>
        <u/>
        <sz val="11"/>
        <color rgb="FF000000"/>
        <rFont val="Times New Roman"/>
        <family val="1"/>
      </rPr>
      <t>Japan</t>
    </r>
    <r>
      <rPr>
        <sz val="11"/>
        <color rgb="FF000000"/>
        <rFont val="Times New Roman"/>
        <family val="1"/>
      </rPr>
      <t xml:space="preserve"> disbursed €452 million in </t>
    </r>
    <r>
      <rPr>
        <i/>
        <sz val="11"/>
        <color rgb="FF000000"/>
        <rFont val="Times New Roman"/>
        <family val="1"/>
      </rPr>
      <t>budegtary support</t>
    </r>
    <r>
      <rPr>
        <sz val="11"/>
        <color rgb="FF000000"/>
        <rFont val="Times New Roman"/>
        <family val="1"/>
      </rPr>
      <t xml:space="preserve">, thus moving from 8th to 4th in the ranking of disbursed budgetary support. </t>
    </r>
  </si>
  <si>
    <r>
      <t xml:space="preserve">On July 1, </t>
    </r>
    <r>
      <rPr>
        <u/>
        <sz val="11"/>
        <color rgb="FF000000"/>
        <rFont val="Times New Roman"/>
        <family val="1"/>
      </rPr>
      <t>Germany</t>
    </r>
    <r>
      <rPr>
        <sz val="11"/>
        <color rgb="FF000000"/>
        <rFont val="Times New Roman"/>
        <family val="1"/>
      </rPr>
      <t xml:space="preserve"> published a list of committed and delivered military items to Ukraine. This list contained items specified in our previous release, along with new </t>
    </r>
  </si>
  <si>
    <t xml:space="preserve">equipment amounting to €80 million. The additional military equipment does not change the position of Germany in the ranking of total aid (4th place). </t>
  </si>
  <si>
    <t xml:space="preserve">No major corrections in this release. </t>
  </si>
  <si>
    <t>Release 4 (until June 7, 2022)</t>
  </si>
  <si>
    <r>
      <t xml:space="preserve">The </t>
    </r>
    <r>
      <rPr>
        <u/>
        <sz val="11"/>
        <color theme="1"/>
        <rFont val="Times New Roman"/>
        <family val="1"/>
      </rPr>
      <t>European Union</t>
    </r>
    <r>
      <rPr>
        <sz val="11"/>
        <color theme="1"/>
        <rFont val="Times New Roman"/>
        <family val="1"/>
      </rPr>
      <t xml:space="preserve"> committed an additional amount of €9.5 billion, rising from 3rd to 2nd in the ranking of total aid:</t>
    </r>
  </si>
  <si>
    <r>
      <t>€9 billion in</t>
    </r>
    <r>
      <rPr>
        <i/>
        <sz val="11"/>
        <color theme="1"/>
        <rFont val="Times New Roman"/>
        <family val="1"/>
      </rPr>
      <t xml:space="preserve"> financial assistance</t>
    </r>
    <r>
      <rPr>
        <sz val="11"/>
        <color theme="1"/>
        <rFont val="Times New Roman"/>
        <family val="1"/>
      </rPr>
      <t xml:space="preserve"> through the Macro-Financial Assistance facility</t>
    </r>
  </si>
  <si>
    <r>
      <t xml:space="preserve">€500 million in </t>
    </r>
    <r>
      <rPr>
        <i/>
        <sz val="11"/>
        <color theme="1"/>
        <rFont val="Times New Roman"/>
        <family val="1"/>
      </rPr>
      <t>military assistance</t>
    </r>
    <r>
      <rPr>
        <sz val="11"/>
        <color theme="1"/>
        <rFont val="Times New Roman"/>
        <family val="1"/>
      </rPr>
      <t xml:space="preserve"> through the European Peace Facility</t>
    </r>
  </si>
  <si>
    <r>
      <rPr>
        <u/>
        <sz val="11"/>
        <color theme="1"/>
        <rFont val="Times New Roman"/>
        <family val="1"/>
      </rPr>
      <t>Germany</t>
    </r>
    <r>
      <rPr>
        <sz val="11"/>
        <color theme="1"/>
        <rFont val="Times New Roman"/>
        <family val="1"/>
      </rPr>
      <t xml:space="preserve"> committed €1 billion in </t>
    </r>
    <r>
      <rPr>
        <i/>
        <sz val="11"/>
        <color theme="1"/>
        <rFont val="Times New Roman"/>
        <family val="1"/>
      </rPr>
      <t>financial assistance</t>
    </r>
    <r>
      <rPr>
        <sz val="11"/>
        <color theme="1"/>
        <rFont val="Times New Roman"/>
        <family val="1"/>
      </rPr>
      <t>, thus moving from 5th to 4th in the ranking of total aid.</t>
    </r>
  </si>
  <si>
    <r>
      <rPr>
        <u/>
        <sz val="11"/>
        <color theme="1"/>
        <rFont val="Times New Roman"/>
        <family val="1"/>
      </rPr>
      <t>Japan</t>
    </r>
    <r>
      <rPr>
        <sz val="11"/>
        <color theme="1"/>
        <rFont val="Times New Roman"/>
        <family val="1"/>
      </rPr>
      <t xml:space="preserve"> committed $300 (€278) million in </t>
    </r>
    <r>
      <rPr>
        <i/>
        <sz val="11"/>
        <color theme="1"/>
        <rFont val="Times New Roman"/>
        <family val="1"/>
      </rPr>
      <t>financial assistance</t>
    </r>
    <r>
      <rPr>
        <sz val="11"/>
        <color theme="1"/>
        <rFont val="Times New Roman"/>
        <family val="1"/>
      </rPr>
      <t>, thus moving from 11th to 8th in the ranking of total aid.</t>
    </r>
  </si>
  <si>
    <r>
      <rPr>
        <u/>
        <sz val="11"/>
        <color theme="1"/>
        <rFont val="Times New Roman"/>
        <family val="1"/>
      </rPr>
      <t>Lithuania</t>
    </r>
    <r>
      <rPr>
        <sz val="11"/>
        <color theme="1"/>
        <rFont val="Times New Roman"/>
        <family val="1"/>
      </rPr>
      <t xml:space="preserve"> committed €15.5 million in </t>
    </r>
    <r>
      <rPr>
        <i/>
        <sz val="11"/>
        <color theme="1"/>
        <rFont val="Times New Roman"/>
        <family val="1"/>
      </rPr>
      <t>military assistance</t>
    </r>
    <r>
      <rPr>
        <sz val="11"/>
        <color theme="1"/>
        <rFont val="Times New Roman"/>
        <family val="1"/>
      </rPr>
      <t>, thus moving from 5th to 4th in the ranking of total aid in percent of GDP (0.11% increase).</t>
    </r>
  </si>
  <si>
    <r>
      <t xml:space="preserve">The </t>
    </r>
    <r>
      <rPr>
        <u/>
        <sz val="11"/>
        <color theme="1"/>
        <rFont val="Times New Roman"/>
        <family val="1"/>
      </rPr>
      <t>Czech Republic</t>
    </r>
    <r>
      <rPr>
        <sz val="11"/>
        <color theme="1"/>
        <rFont val="Times New Roman"/>
        <family val="1"/>
      </rPr>
      <t xml:space="preserve"> committed €175.27 million in new assistance (€107.30 million in </t>
    </r>
    <r>
      <rPr>
        <i/>
        <sz val="11"/>
        <color theme="1"/>
        <rFont val="Times New Roman"/>
        <family val="1"/>
      </rPr>
      <t>military</t>
    </r>
    <r>
      <rPr>
        <sz val="11"/>
        <color theme="1"/>
        <rFont val="Times New Roman"/>
        <family val="1"/>
      </rPr>
      <t xml:space="preserve"> and €67.97 million in </t>
    </r>
    <r>
      <rPr>
        <i/>
        <sz val="11"/>
        <color theme="1"/>
        <rFont val="Times New Roman"/>
        <family val="1"/>
      </rPr>
      <t>humanitarian</t>
    </r>
    <r>
      <rPr>
        <sz val="11"/>
        <color theme="1"/>
        <rFont val="Times New Roman"/>
        <family val="1"/>
      </rPr>
      <t>), thus moving from from 12th to 7th in the ranking of total aid in</t>
    </r>
  </si>
  <si>
    <t>percent of GDP (0.08% increase).</t>
  </si>
  <si>
    <r>
      <rPr>
        <u/>
        <sz val="11"/>
        <color theme="1"/>
        <rFont val="Times New Roman"/>
        <family val="1"/>
      </rPr>
      <t>Norway</t>
    </r>
    <r>
      <rPr>
        <sz val="11"/>
        <color theme="1"/>
        <rFont val="Times New Roman"/>
        <family val="1"/>
      </rPr>
      <t xml:space="preserve"> committed €160.2 million in new assistance (€155.3 million in </t>
    </r>
    <r>
      <rPr>
        <i/>
        <sz val="11"/>
        <color theme="1"/>
        <rFont val="Times New Roman"/>
        <family val="1"/>
      </rPr>
      <t>military</t>
    </r>
    <r>
      <rPr>
        <sz val="11"/>
        <color theme="1"/>
        <rFont val="Times New Roman"/>
        <family val="1"/>
      </rPr>
      <t xml:space="preserve"> and €4.9 million in </t>
    </r>
    <r>
      <rPr>
        <i/>
        <sz val="11"/>
        <color theme="1"/>
        <rFont val="Times New Roman"/>
        <family val="1"/>
      </rPr>
      <t>financial</t>
    </r>
    <r>
      <rPr>
        <sz val="11"/>
        <color theme="1"/>
        <rFont val="Times New Roman"/>
        <family val="1"/>
      </rPr>
      <t>), thus moving from from 9th to 8th in the ranking of total aid in percent of GDP (0.06% increase).</t>
    </r>
  </si>
  <si>
    <r>
      <rPr>
        <u/>
        <sz val="11"/>
        <color theme="1"/>
        <rFont val="Times New Roman"/>
        <family val="1"/>
      </rPr>
      <t>Greece</t>
    </r>
    <r>
      <rPr>
        <sz val="11"/>
        <color theme="1"/>
        <rFont val="Times New Roman"/>
        <family val="1"/>
      </rPr>
      <t xml:space="preserve"> committed €231.58 million in </t>
    </r>
    <r>
      <rPr>
        <i/>
        <sz val="11"/>
        <color theme="1"/>
        <rFont val="Times New Roman"/>
        <family val="1"/>
      </rPr>
      <t>military assistance</t>
    </r>
    <r>
      <rPr>
        <sz val="11"/>
        <color theme="1"/>
        <rFont val="Times New Roman"/>
        <family val="1"/>
      </rPr>
      <t>, thus moving from from 29th to 10th in the ranking of total aid in percent of GDP (0.13% increase).</t>
    </r>
  </si>
  <si>
    <r>
      <rPr>
        <u/>
        <sz val="11"/>
        <color theme="1"/>
        <rFont val="Times New Roman"/>
        <family val="1"/>
      </rPr>
      <t>Portugal</t>
    </r>
    <r>
      <rPr>
        <sz val="11"/>
        <color theme="1"/>
        <rFont val="Times New Roman"/>
        <family val="1"/>
      </rPr>
      <t xml:space="preserve"> committed €250 million in </t>
    </r>
    <r>
      <rPr>
        <i/>
        <sz val="11"/>
        <color theme="1"/>
        <rFont val="Times New Roman"/>
        <family val="1"/>
      </rPr>
      <t>financial assistance</t>
    </r>
    <r>
      <rPr>
        <sz val="11"/>
        <color theme="1"/>
        <rFont val="Times New Roman"/>
        <family val="1"/>
      </rPr>
      <t>, thus moving from from 35th to 11th in the ranking of total aid in percent of GDP (0.12% increase).</t>
    </r>
  </si>
  <si>
    <t xml:space="preserve">No major disclosure of previously committed aid. </t>
  </si>
  <si>
    <t xml:space="preserve">Figure 5, "Military aid": We counted for the US a total of 13.93 billion EUR of military aid commitments that were tied to some specific weapon and equipment delivery. </t>
  </si>
  <si>
    <t>However, this included also 11 billion USD of presidential drawdowns that are so far only used for a commitment of 700 million USD specifically tied to weapon deliveries.</t>
  </si>
  <si>
    <t>Hence, we correct this and disentangle the 11 billion USD accordingly as 700 million USD tied to weapon and equipment deliveries and the remaining part as financial aid</t>
  </si>
  <si>
    <t>with military purpose.</t>
  </si>
  <si>
    <t>Release 3 (until May 10, 2022)</t>
  </si>
  <si>
    <r>
      <t xml:space="preserve">The </t>
    </r>
    <r>
      <rPr>
        <u/>
        <sz val="11"/>
        <color theme="1"/>
        <rFont val="Times New Roman"/>
        <family val="1"/>
      </rPr>
      <t>United States</t>
    </r>
    <r>
      <rPr>
        <sz val="11"/>
        <color theme="1"/>
        <rFont val="Times New Roman"/>
        <family val="1"/>
      </rPr>
      <t xml:space="preserve"> committed and additional amount of $21.1 (€19.99) billion in </t>
    </r>
    <r>
      <rPr>
        <i/>
        <sz val="11"/>
        <color theme="1"/>
        <rFont val="Times New Roman"/>
        <family val="1"/>
      </rPr>
      <t>military assistance</t>
    </r>
    <r>
      <rPr>
        <sz val="11"/>
        <color theme="1"/>
        <rFont val="Times New Roman"/>
        <family val="1"/>
      </rPr>
      <t xml:space="preserve"> on May 10:</t>
    </r>
  </si>
  <si>
    <t>$ 11 billion in Presidential Drawdowns</t>
  </si>
  <si>
    <t>$ 6 billion for the Ukraine Security Assistance Initiative</t>
  </si>
  <si>
    <t>$ 4 billion for the Foreign Military Financing Program</t>
  </si>
  <si>
    <t>$ 100 million for non-proliferation, anti-terrorism, demining and related programs</t>
  </si>
  <si>
    <r>
      <t xml:space="preserve">The </t>
    </r>
    <r>
      <rPr>
        <u/>
        <sz val="11"/>
        <color theme="1"/>
        <rFont val="Times New Roman"/>
        <family val="1"/>
      </rPr>
      <t>United States</t>
    </r>
    <r>
      <rPr>
        <sz val="11"/>
        <color theme="1"/>
        <rFont val="Times New Roman"/>
        <family val="1"/>
      </rPr>
      <t xml:space="preserve"> committed $8.506 (€8.06) billion in </t>
    </r>
    <r>
      <rPr>
        <i/>
        <sz val="11"/>
        <color theme="1"/>
        <rFont val="Times New Roman"/>
        <family val="1"/>
      </rPr>
      <t xml:space="preserve">financial assistance </t>
    </r>
    <r>
      <rPr>
        <sz val="11"/>
        <color theme="1"/>
        <rFont val="Times New Roman"/>
        <family val="1"/>
      </rPr>
      <t>on May 10:</t>
    </r>
  </si>
  <si>
    <t>$ 8.006 billion for the Economic Support Fund</t>
  </si>
  <si>
    <t>$ 500 million through the European Bank for Reconstruction and Development</t>
  </si>
  <si>
    <r>
      <t xml:space="preserve">The </t>
    </r>
    <r>
      <rPr>
        <u/>
        <sz val="11"/>
        <color theme="1"/>
        <rFont val="Times New Roman"/>
        <family val="1"/>
      </rPr>
      <t>United States</t>
    </r>
    <r>
      <rPr>
        <sz val="11"/>
        <color theme="1"/>
        <rFont val="Times New Roman"/>
        <family val="1"/>
      </rPr>
      <t xml:space="preserve"> committed $4.502 (€4.26) billion in </t>
    </r>
    <r>
      <rPr>
        <i/>
        <sz val="11"/>
        <color theme="1"/>
        <rFont val="Times New Roman"/>
        <family val="1"/>
      </rPr>
      <t xml:space="preserve">humanitarian assistance </t>
    </r>
    <r>
      <rPr>
        <sz val="11"/>
        <color theme="1"/>
        <rFont val="Times New Roman"/>
        <family val="1"/>
      </rPr>
      <t>on May 10:</t>
    </r>
  </si>
  <si>
    <t>$ 4.35 billion for emergency food assistance</t>
  </si>
  <si>
    <t>$ 2 million and modern and regulatory support</t>
  </si>
  <si>
    <t>$ 150 million for the Global Agriculture and Food Security Program</t>
  </si>
  <si>
    <r>
      <t xml:space="preserve">The </t>
    </r>
    <r>
      <rPr>
        <u/>
        <sz val="11"/>
        <color theme="1"/>
        <rFont val="Times New Roman"/>
        <family val="1"/>
      </rPr>
      <t>United Kingdom</t>
    </r>
    <r>
      <rPr>
        <sz val="11"/>
        <color theme="1"/>
        <rFont val="Times New Roman"/>
        <family val="1"/>
      </rPr>
      <t xml:space="preserve"> committed £1.3 (€1.55) billion in </t>
    </r>
    <r>
      <rPr>
        <i/>
        <sz val="11"/>
        <color theme="1"/>
        <rFont val="Times New Roman"/>
        <family val="1"/>
      </rPr>
      <t>military assistance</t>
    </r>
    <r>
      <rPr>
        <sz val="11"/>
        <color theme="1"/>
        <rFont val="Times New Roman"/>
        <family val="1"/>
      </rPr>
      <t xml:space="preserve"> at the beginning of May.</t>
    </r>
  </si>
  <si>
    <r>
      <rPr>
        <u/>
        <sz val="11"/>
        <color theme="1"/>
        <rFont val="Times New Roman"/>
        <family val="1"/>
      </rPr>
      <t>Lithuania</t>
    </r>
    <r>
      <rPr>
        <sz val="11"/>
        <color theme="1"/>
        <rFont val="Times New Roman"/>
        <family val="1"/>
      </rPr>
      <t xml:space="preserve"> committed €27 million in new assistance (€20 million in </t>
    </r>
    <r>
      <rPr>
        <i/>
        <sz val="11"/>
        <color theme="1"/>
        <rFont val="Times New Roman"/>
        <family val="1"/>
      </rPr>
      <t>military</t>
    </r>
    <r>
      <rPr>
        <sz val="11"/>
        <color theme="1"/>
        <rFont val="Times New Roman"/>
        <family val="1"/>
      </rPr>
      <t xml:space="preserve">, €5 million in </t>
    </r>
    <r>
      <rPr>
        <i/>
        <sz val="11"/>
        <color theme="1"/>
        <rFont val="Times New Roman"/>
        <family val="1"/>
      </rPr>
      <t>humanitarian</t>
    </r>
    <r>
      <rPr>
        <sz val="11"/>
        <color theme="1"/>
        <rFont val="Times New Roman"/>
        <family val="1"/>
      </rPr>
      <t xml:space="preserve"> and €2 million in </t>
    </r>
    <r>
      <rPr>
        <i/>
        <sz val="11"/>
        <color theme="1"/>
        <rFont val="Times New Roman"/>
        <family val="1"/>
      </rPr>
      <t>financial</t>
    </r>
    <r>
      <rPr>
        <sz val="11"/>
        <color theme="1"/>
        <rFont val="Times New Roman"/>
        <family val="1"/>
      </rPr>
      <t>), raising from 6th to 5th in the ranking of total aid in percent of GDP (0.02% increase).</t>
    </r>
  </si>
  <si>
    <r>
      <rPr>
        <u/>
        <sz val="11"/>
        <color theme="1"/>
        <rFont val="Times New Roman"/>
        <family val="1"/>
      </rPr>
      <t>Hungary</t>
    </r>
    <r>
      <rPr>
        <sz val="11"/>
        <color theme="1"/>
        <rFont val="Times New Roman"/>
        <family val="1"/>
      </rPr>
      <t xml:space="preserve"> committed €119.01 million in </t>
    </r>
    <r>
      <rPr>
        <i/>
        <sz val="11"/>
        <color theme="1"/>
        <rFont val="Times New Roman"/>
        <family val="1"/>
      </rPr>
      <t>humanitarian</t>
    </r>
    <r>
      <rPr>
        <sz val="11"/>
        <color theme="1"/>
        <rFont val="Times New Roman"/>
        <family val="1"/>
      </rPr>
      <t xml:space="preserve"> assistance, raising from 26th to 10th in the ranking of total aid in percent of GDP (0.08% increase).</t>
    </r>
  </si>
  <si>
    <r>
      <rPr>
        <u/>
        <sz val="11"/>
        <color theme="1"/>
        <rFont val="Times New Roman"/>
        <family val="1"/>
      </rPr>
      <t>Estonia</t>
    </r>
    <r>
      <rPr>
        <sz val="11"/>
        <color theme="1"/>
        <rFont val="Times New Roman"/>
        <family val="1"/>
      </rPr>
      <t xml:space="preserve"> committed €234.59 in new assistance (€230 million in </t>
    </r>
    <r>
      <rPr>
        <i/>
        <sz val="11"/>
        <color theme="1"/>
        <rFont val="Times New Roman"/>
        <family val="1"/>
      </rPr>
      <t>military</t>
    </r>
    <r>
      <rPr>
        <sz val="11"/>
        <color theme="1"/>
        <rFont val="Times New Roman"/>
        <family val="1"/>
      </rPr>
      <t xml:space="preserve"> and €4.59 million in </t>
    </r>
    <r>
      <rPr>
        <i/>
        <sz val="11"/>
        <color theme="1"/>
        <rFont val="Times New Roman"/>
        <family val="1"/>
      </rPr>
      <t>humanitarian</t>
    </r>
    <r>
      <rPr>
        <sz val="11"/>
        <color theme="1"/>
        <rFont val="Times New Roman"/>
        <family val="1"/>
      </rPr>
      <t>), with a 0.1% increase in ist total aid in percent of GDP.</t>
    </r>
  </si>
  <si>
    <r>
      <t xml:space="preserve">We discovered through an article published by Delano on April 25 that the €250 million </t>
    </r>
    <r>
      <rPr>
        <i/>
        <sz val="11"/>
        <color theme="1"/>
        <rFont val="Times New Roman"/>
        <family val="1"/>
      </rPr>
      <t>financial assistance</t>
    </r>
    <r>
      <rPr>
        <sz val="11"/>
        <color theme="1"/>
        <rFont val="Times New Roman"/>
        <family val="1"/>
      </rPr>
      <t xml:space="preserve"> reported for </t>
    </r>
    <r>
      <rPr>
        <u/>
        <sz val="11"/>
        <color theme="1"/>
        <rFont val="Times New Roman"/>
        <family val="1"/>
      </rPr>
      <t>Luxembourg</t>
    </r>
    <r>
      <rPr>
        <sz val="11"/>
        <color theme="1"/>
        <rFont val="Times New Roman"/>
        <family val="1"/>
      </rPr>
      <t xml:space="preserve"> in the previous data release</t>
    </r>
  </si>
  <si>
    <t>is a contribution to a collective EU aid package. In this current release we decided to drop it in order to avoid double-counting.</t>
  </si>
  <si>
    <r>
      <t xml:space="preserve">We added the </t>
    </r>
    <r>
      <rPr>
        <i/>
        <sz val="11"/>
        <color theme="1"/>
        <rFont val="Times New Roman"/>
        <family val="1"/>
      </rPr>
      <t xml:space="preserve">financial aid </t>
    </r>
    <r>
      <rPr>
        <sz val="11"/>
        <color theme="1"/>
        <rFont val="Times New Roman"/>
        <family val="1"/>
      </rPr>
      <t xml:space="preserve">provided by the </t>
    </r>
    <r>
      <rPr>
        <u/>
        <sz val="11"/>
        <color theme="1"/>
        <rFont val="Times New Roman"/>
        <family val="1"/>
      </rPr>
      <t>United Kingdom</t>
    </r>
    <r>
      <rPr>
        <sz val="11"/>
        <color theme="1"/>
        <rFont val="Times New Roman"/>
        <family val="1"/>
      </rPr>
      <t xml:space="preserve"> on April 22 and amounting to £1.05 billion (£730 million in guarantees and £320 in grants). </t>
    </r>
  </si>
  <si>
    <r>
      <t xml:space="preserve">We revise downwards the </t>
    </r>
    <r>
      <rPr>
        <i/>
        <sz val="11"/>
        <color theme="1"/>
        <rFont val="Times New Roman"/>
        <family val="1"/>
      </rPr>
      <t xml:space="preserve">humanitarian aid </t>
    </r>
    <r>
      <rPr>
        <sz val="11"/>
        <color theme="1"/>
        <rFont val="Times New Roman"/>
        <family val="1"/>
      </rPr>
      <t xml:space="preserve">provided by the </t>
    </r>
    <r>
      <rPr>
        <u/>
        <sz val="11"/>
        <color theme="1"/>
        <rFont val="Times New Roman"/>
        <family val="1"/>
      </rPr>
      <t>United Kingdom</t>
    </r>
    <r>
      <rPr>
        <sz val="11"/>
        <color theme="1"/>
        <rFont val="Times New Roman"/>
        <family val="1"/>
      </rPr>
      <t xml:space="preserve"> dropping £100 million dedictaed to a 3-year development package.</t>
    </r>
  </si>
  <si>
    <r>
      <t xml:space="preserve">We no longer double count the EPF contribution as additional aid, namely the €400 million, €1.2 million, €33 million and €10 million reported by </t>
    </r>
    <r>
      <rPr>
        <u/>
        <sz val="11"/>
        <color theme="1"/>
        <rFont val="Times New Roman"/>
        <family val="1"/>
      </rPr>
      <t>Germany</t>
    </r>
    <r>
      <rPr>
        <sz val="11"/>
        <color theme="1"/>
        <rFont val="Times New Roman"/>
        <family val="1"/>
      </rPr>
      <t xml:space="preserve">, </t>
    </r>
    <r>
      <rPr>
        <u/>
        <sz val="11"/>
        <color theme="1"/>
        <rFont val="Times New Roman"/>
        <family val="1"/>
      </rPr>
      <t>Latvia</t>
    </r>
    <r>
      <rPr>
        <sz val="11"/>
        <color theme="1"/>
        <rFont val="Times New Roman"/>
        <family val="1"/>
      </rPr>
      <t xml:space="preserve">, </t>
    </r>
    <r>
      <rPr>
        <u/>
        <sz val="11"/>
        <color theme="1"/>
        <rFont val="Times New Roman"/>
        <family val="1"/>
      </rPr>
      <t>Ireland</t>
    </r>
    <r>
      <rPr>
        <sz val="11"/>
        <color theme="1"/>
        <rFont val="Times New Roman"/>
        <family val="1"/>
      </rPr>
      <t xml:space="preserve"> and </t>
    </r>
    <r>
      <rPr>
        <u/>
        <sz val="11"/>
        <color theme="1"/>
        <rFont val="Times New Roman"/>
        <family val="1"/>
      </rPr>
      <t>Portugal</t>
    </r>
    <r>
      <rPr>
        <sz val="11"/>
        <color theme="1"/>
        <rFont val="Times New Roman"/>
        <family val="1"/>
      </rPr>
      <t xml:space="preserve"> to</t>
    </r>
  </si>
  <si>
    <t xml:space="preserve">the European Peace Facility. The EPF is of courses counted when listing contribution provided by the European Union (Commission and Council). </t>
  </si>
  <si>
    <t xml:space="preserve">In May, Macron reiterated France's €1.2 billion of financial aid committed to Ukraine in February. These commitmenst were barely reported on earlier, but are now added: </t>
  </si>
  <si>
    <t>€200 million loan on February 8</t>
  </si>
  <si>
    <t>€1 billion guarantee on February 8</t>
  </si>
  <si>
    <t>Release 2 (until April 23, 2022)</t>
  </si>
  <si>
    <r>
      <t xml:space="preserve">The </t>
    </r>
    <r>
      <rPr>
        <u/>
        <sz val="11"/>
        <rFont val="Times New Roman"/>
        <family val="1"/>
      </rPr>
      <t>United States</t>
    </r>
    <r>
      <rPr>
        <sz val="11"/>
        <rFont val="Times New Roman"/>
        <family val="1"/>
      </rPr>
      <t xml:space="preserve"> committed an additional amount of $2 billion in </t>
    </r>
    <r>
      <rPr>
        <i/>
        <sz val="11"/>
        <rFont val="Times New Roman"/>
        <family val="1"/>
      </rPr>
      <t>financial assistance:</t>
    </r>
  </si>
  <si>
    <t>$1 billion loan on February 14</t>
  </si>
  <si>
    <t>$500 million grant on March 30</t>
  </si>
  <si>
    <t>$500 million grant on April 21</t>
  </si>
  <si>
    <r>
      <t xml:space="preserve">The </t>
    </r>
    <r>
      <rPr>
        <u/>
        <sz val="11"/>
        <rFont val="Times New Roman"/>
        <family val="1"/>
      </rPr>
      <t>United States</t>
    </r>
    <r>
      <rPr>
        <sz val="11"/>
        <rFont val="Times New Roman"/>
        <family val="1"/>
      </rPr>
      <t xml:space="preserve"> committed in April an additional amount of $1.32 billion in </t>
    </r>
    <r>
      <rPr>
        <i/>
        <sz val="11"/>
        <rFont val="Times New Roman"/>
        <family val="1"/>
      </rPr>
      <t>humanitarian assistance</t>
    </r>
    <r>
      <rPr>
        <sz val="11"/>
        <rFont val="Times New Roman"/>
        <family val="1"/>
      </rPr>
      <t>.</t>
    </r>
  </si>
  <si>
    <r>
      <rPr>
        <u/>
        <sz val="11"/>
        <color theme="1"/>
        <rFont val="Times New Roman"/>
        <family val="1"/>
      </rPr>
      <t>Canada</t>
    </r>
    <r>
      <rPr>
        <sz val="11"/>
        <color theme="1"/>
        <rFont val="Times New Roman"/>
        <family val="1"/>
      </rPr>
      <t xml:space="preserve"> extended its </t>
    </r>
    <r>
      <rPr>
        <i/>
        <sz val="11"/>
        <color theme="1"/>
        <rFont val="Times New Roman"/>
        <family val="1"/>
      </rPr>
      <t>financial assistance</t>
    </r>
    <r>
      <rPr>
        <sz val="11"/>
        <color theme="1"/>
        <rFont val="Times New Roman"/>
        <family val="1"/>
      </rPr>
      <t xml:space="preserve"> of €1.1 billion:</t>
    </r>
  </si>
  <si>
    <t>€367 loan on February 14</t>
  </si>
  <si>
    <t>€735 loan on April 8</t>
  </si>
  <si>
    <r>
      <rPr>
        <u/>
        <sz val="11"/>
        <color theme="1"/>
        <rFont val="Times New Roman"/>
        <family val="1"/>
      </rPr>
      <t>Canada</t>
    </r>
    <r>
      <rPr>
        <sz val="11"/>
        <color theme="1"/>
        <rFont val="Times New Roman"/>
        <family val="1"/>
      </rPr>
      <t xml:space="preserve"> extended its </t>
    </r>
    <r>
      <rPr>
        <i/>
        <sz val="11"/>
        <color theme="1"/>
        <rFont val="Times New Roman"/>
        <family val="1"/>
      </rPr>
      <t>military assistance</t>
    </r>
    <r>
      <rPr>
        <sz val="11"/>
        <color theme="1"/>
        <rFont val="Times New Roman"/>
        <family val="1"/>
      </rPr>
      <t xml:space="preserve"> of approximately €617 million:</t>
    </r>
  </si>
  <si>
    <t>€250 million on January 26</t>
  </si>
  <si>
    <t>€367 million on April 24</t>
  </si>
  <si>
    <r>
      <t xml:space="preserve">The </t>
    </r>
    <r>
      <rPr>
        <i/>
        <sz val="11"/>
        <color theme="1"/>
        <rFont val="Times New Roman"/>
        <family val="1"/>
      </rPr>
      <t>financial assistance</t>
    </r>
    <r>
      <rPr>
        <sz val="11"/>
        <color theme="1"/>
        <rFont val="Times New Roman"/>
        <family val="1"/>
      </rPr>
      <t xml:space="preserve"> offered by the </t>
    </r>
    <r>
      <rPr>
        <u/>
        <sz val="11"/>
        <color theme="1"/>
        <rFont val="Times New Roman"/>
        <family val="1"/>
      </rPr>
      <t>United Kindgom</t>
    </r>
    <r>
      <rPr>
        <sz val="11"/>
        <color theme="1"/>
        <rFont val="Times New Roman"/>
        <family val="1"/>
      </rPr>
      <t xml:space="preserve"> increased of almost €800 million:</t>
    </r>
  </si>
  <si>
    <t xml:space="preserve">€105 million grant on February 1 </t>
  </si>
  <si>
    <t>€598 million loan on February 23</t>
  </si>
  <si>
    <t>€91 million through the World Bank</t>
  </si>
  <si>
    <r>
      <rPr>
        <u/>
        <sz val="11"/>
        <color theme="1"/>
        <rFont val="Times New Roman"/>
        <family val="1"/>
      </rPr>
      <t>Germany</t>
    </r>
    <r>
      <rPr>
        <sz val="11"/>
        <color theme="1"/>
        <rFont val="Times New Roman"/>
        <family val="1"/>
      </rPr>
      <t xml:space="preserve"> announced on April 14 an increase of €1.2 billion in its </t>
    </r>
    <r>
      <rPr>
        <i/>
        <sz val="11"/>
        <color theme="1"/>
        <rFont val="Times New Roman"/>
        <family val="1"/>
      </rPr>
      <t>military assistance</t>
    </r>
    <r>
      <rPr>
        <sz val="11"/>
        <color theme="1"/>
        <rFont val="Times New Roman"/>
        <family val="1"/>
      </rPr>
      <t>.</t>
    </r>
  </si>
  <si>
    <r>
      <t xml:space="preserve">The Prime Minister of </t>
    </r>
    <r>
      <rPr>
        <u/>
        <sz val="11"/>
        <color theme="1"/>
        <rFont val="Times New Roman"/>
        <family val="1"/>
      </rPr>
      <t>Poland</t>
    </r>
    <r>
      <rPr>
        <sz val="11"/>
        <color theme="1"/>
        <rFont val="Times New Roman"/>
        <family val="1"/>
      </rPr>
      <t xml:space="preserve"> announced on April 23 that the overall Polish </t>
    </r>
    <r>
      <rPr>
        <i/>
        <sz val="11"/>
        <color theme="1"/>
        <rFont val="Times New Roman"/>
        <family val="1"/>
      </rPr>
      <t>military assistance</t>
    </r>
    <r>
      <rPr>
        <sz val="11"/>
        <color theme="1"/>
        <rFont val="Times New Roman"/>
        <family val="1"/>
      </rPr>
      <t xml:space="preserve"> amounted to $1.6 billion. Because of this new piece of information the military assistance from Poland</t>
    </r>
  </si>
  <si>
    <t>recorded in our second release increased of $1.49 billion.</t>
  </si>
  <si>
    <r>
      <t xml:space="preserve">Due to the disclosure made on April 6 by the Minister of Foreign Affairs about </t>
    </r>
    <r>
      <rPr>
        <u/>
        <sz val="11"/>
        <color theme="1"/>
        <rFont val="Times New Roman"/>
        <family val="1"/>
      </rPr>
      <t>Latvia</t>
    </r>
    <r>
      <rPr>
        <sz val="11"/>
        <color theme="1"/>
        <rFont val="Times New Roman"/>
        <family val="1"/>
      </rPr>
      <t xml:space="preserve">'s military assistance, Latvia's </t>
    </r>
    <r>
      <rPr>
        <i/>
        <sz val="11"/>
        <color theme="1"/>
        <rFont val="Times New Roman"/>
        <family val="1"/>
      </rPr>
      <t>aid in percentage of GDP</t>
    </r>
    <r>
      <rPr>
        <sz val="11"/>
        <color theme="1"/>
        <rFont val="Times New Roman"/>
        <family val="1"/>
      </rPr>
      <t xml:space="preserve"> increased of approximately 0.7%.</t>
    </r>
  </si>
  <si>
    <r>
      <t xml:space="preserve">The military aid provided by the </t>
    </r>
    <r>
      <rPr>
        <u/>
        <sz val="11"/>
        <color theme="1"/>
        <rFont val="Times New Roman"/>
        <family val="1"/>
      </rPr>
      <t>United States</t>
    </r>
    <r>
      <rPr>
        <sz val="11"/>
        <color theme="1"/>
        <rFont val="Times New Roman"/>
        <family val="1"/>
      </rPr>
      <t xml:space="preserve"> was revised downwards, due to the fact that $200 million out of the $3.5 allowed in presidential drawdowns had already been used in December 2021.</t>
    </r>
  </si>
  <si>
    <r>
      <t xml:space="preserve">We added the </t>
    </r>
    <r>
      <rPr>
        <i/>
        <sz val="11"/>
        <color theme="1"/>
        <rFont val="Times New Roman"/>
        <family val="1"/>
      </rPr>
      <t>financial assistance</t>
    </r>
    <r>
      <rPr>
        <sz val="11"/>
        <color theme="1"/>
        <rFont val="Times New Roman"/>
        <family val="1"/>
      </rPr>
      <t xml:space="preserve"> committed by </t>
    </r>
    <r>
      <rPr>
        <u/>
        <sz val="11"/>
        <color theme="1"/>
        <rFont val="Times New Roman"/>
        <family val="1"/>
      </rPr>
      <t>Luxembourg</t>
    </r>
    <r>
      <rPr>
        <sz val="11"/>
        <color theme="1"/>
        <rFont val="Times New Roman"/>
        <family val="1"/>
      </rPr>
      <t xml:space="preserve"> on March 8, amounting to €250 million and increasing aid in percentage of GDP of  approximately 0.37%.</t>
    </r>
  </si>
  <si>
    <t xml:space="preserve">In Figure 9 the GDP (USD) was used to calculate the Percentage of GDP values. This was adjusted to be calculated with the GDP (EUR). </t>
  </si>
  <si>
    <t xml:space="preserve">In Figure 4 the GDP (USD) was used to calculate the Percentage of GDP values for the EU Aid ('Figure 4' Column D). This was resolved to now be calculated with the GDP (EUR) Values. </t>
  </si>
  <si>
    <t>Since the EPF is already included in the EU (Commission and Council) contributions, we excluded it from the Sum of EU Aid ('Aggregate Aid' Column P) calculation.</t>
  </si>
  <si>
    <t xml:space="preserve">Previously, this resulted in a double counting of the EPF shares for EU countries in Figure 4 and Figure A1, this double counting issue was resolved. </t>
  </si>
  <si>
    <t>ID</t>
  </si>
  <si>
    <t>countries</t>
  </si>
  <si>
    <t>Announcement Date</t>
  </si>
  <si>
    <t>Type of Aid General</t>
  </si>
  <si>
    <t>Type of Aid Specific</t>
  </si>
  <si>
    <t>Explanation</t>
  </si>
  <si>
    <t>Original Currency</t>
  </si>
  <si>
    <t>Monetary Value as Given by Source</t>
  </si>
  <si>
    <t>Items</t>
  </si>
  <si>
    <t>Type of item</t>
  </si>
  <si>
    <t>Sub-type of item</t>
  </si>
  <si>
    <t>Soviet origin (1)</t>
  </si>
  <si>
    <t>No. of Units</t>
  </si>
  <si>
    <t>No. of Units delivered (in-kind military aid)</t>
  </si>
  <si>
    <t>Unit Price in USD</t>
  </si>
  <si>
    <t>Value committed (own estimate, in USD)</t>
  </si>
  <si>
    <t>Value delivered (own estimate, in USD)</t>
  </si>
  <si>
    <t xml:space="preserve">Total </t>
  </si>
  <si>
    <t>Converted Value in EUR</t>
  </si>
  <si>
    <t>Total monetary value delivered in EUR</t>
  </si>
  <si>
    <t>OfficialSource</t>
  </si>
  <si>
    <t>Source of Aid 1</t>
  </si>
  <si>
    <t>Source of Aid 2</t>
  </si>
  <si>
    <t>Source of Aid 3</t>
  </si>
  <si>
    <t>Source of Aid 4</t>
  </si>
  <si>
    <t>Bilateral loan/grant made through IMF or WB?</t>
  </si>
  <si>
    <t>Updated/newly added entry</t>
  </si>
  <si>
    <t>Source for Delivery</t>
  </si>
  <si>
    <t>Working/debug &gt;&gt;&gt;</t>
  </si>
  <si>
    <t>Total_value_dummy (1 is first row in the package)</t>
  </si>
  <si>
    <t>value_source_commitments</t>
  </si>
  <si>
    <t>value_source_deliveries</t>
  </si>
  <si>
    <t>MonthCoding2</t>
  </si>
  <si>
    <t>Month3</t>
  </si>
  <si>
    <t>BeforeWar4</t>
  </si>
  <si>
    <t>Ukraine Asked for it dummy (=1)</t>
  </si>
  <si>
    <t>Heavy_but_undisclosed_commitments</t>
  </si>
  <si>
    <t>Heavy_but_undisclosed_deliveries</t>
  </si>
  <si>
    <t>Ammunition_dummy(=1)</t>
  </si>
  <si>
    <t>Source of item</t>
  </si>
  <si>
    <t>Items (short version)</t>
  </si>
  <si>
    <t xml:space="preserve"> Germany (BW=1)</t>
  </si>
  <si>
    <t>Official Source Yes/No Dummy</t>
  </si>
  <si>
    <t>in-kind dummy</t>
  </si>
  <si>
    <t>dummy_month_check (1=error)</t>
  </si>
  <si>
    <t>explanation dummy (1=error)</t>
  </si>
  <si>
    <t>AUH1</t>
  </si>
  <si>
    <t>Australia</t>
  </si>
  <si>
    <t>Humanitarian</t>
  </si>
  <si>
    <t>Assistance</t>
  </si>
  <si>
    <t>Australia has committed immediate humanitarian assistance of an initial 35 million AUD to help meeting the urgent needs of the Ukrainian people. This assistance will deliver lifesaving services and supplies, including the provision of shelter, food, medical care and water.</t>
  </si>
  <si>
    <t>AUD</t>
  </si>
  <si>
    <t>.</t>
  </si>
  <si>
    <t>Yes</t>
  </si>
  <si>
    <t>https://pmtranscripts.pmc.gov.au/release/transcript-43831</t>
  </si>
  <si>
    <t>https://admin.globalcitizen.org/en/content/australia-aid-ukraine/?edit</t>
  </si>
  <si>
    <t>Value is given by the source</t>
  </si>
  <si>
    <t>Value is not given at all</t>
  </si>
  <si>
    <t>AUH2</t>
  </si>
  <si>
    <t>Equipment</t>
  </si>
  <si>
    <t xml:space="preserve">A shipment of 70,000 tons of thermal coal has been provided. Source of Aid 4 lists the value as 32.6 million AUD. We convert the AUD price to USD for a price value per ton of coal estimation. </t>
  </si>
  <si>
    <t>ton of coal</t>
  </si>
  <si>
    <t xml:space="preserve">https://www.minister.industry.gov.au/ministers/pitt/media-releases/whitehaven-assist-ukraine-request-provide-energy-security </t>
  </si>
  <si>
    <t xml:space="preserve">https://www.kmu.gov.ua/en/news/70-000-tonn-vugillya-nadast-ukrayini-avstraliya-german-galushchenko </t>
  </si>
  <si>
    <t xml:space="preserve">https://www.abc.net.au/news/rural/2022-03-22/cost-sending-70000-tonnes-of-coal-to-ukraine/100929070 </t>
  </si>
  <si>
    <t>https://www.dfat.gov.au/crisis-hub/invasion-ukraine-russia</t>
  </si>
  <si>
    <t>AUH3</t>
  </si>
  <si>
    <t xml:space="preserve">The Australian Government announced 30 million AUD to Ukraine in emergency humanitarian aid. This aid package is intended to provide emergency help for women, children, elderly and disabled. From the entire package, AUD 10 million are devoted to the World Food Program, which we do not consider. We equally do not consider AUD 8 million to the UN Population fund. Hence, we report the donation value as AUD 12 million. Source of Aid 3 mentions AUD 65 million in humanitarian aid. Since we do not count AUD 18 million in this packet, we arrive at a total of AUD 47 million in humanitarian aid that Australia has provided. </t>
  </si>
  <si>
    <t>https://pmtranscripts.pmc.gov.au/release/transcript-43868</t>
  </si>
  <si>
    <t>https://www.globalcitizen.org/en/content/australia-ukraine-aid-follow-up/</t>
  </si>
  <si>
    <t xml:space="preserve">https://www.peterdutton.com.au/joint-media-release-australia-to-provide-additional-support-to-ukraine/ </t>
  </si>
  <si>
    <t>AUM1</t>
  </si>
  <si>
    <t>Military</t>
  </si>
  <si>
    <t>Weapons and equipment</t>
  </si>
  <si>
    <t>Australia has announced around 70 million AUD in lethal military assistance to support the defence of Ukraine, including missiles and weapons. They also provide a range of non-lethal military equipment and medical supplies in response to a specific request from the Ukrainian Government. No further information about the composition of the equipment was disclosed.</t>
  </si>
  <si>
    <t>https://www.theguardian.com/australia-news/2022/feb/27/labor-warns-china-it-should-not-take-comfort-from-russian-invasion-of-ukraine</t>
  </si>
  <si>
    <t>AUM2</t>
  </si>
  <si>
    <t>Additional 21 million AUD support package of defensive military assistance for the Ukrainian Armed Forces. No further information was disclosed.</t>
  </si>
  <si>
    <t>https://www.foreignminister.gov.au/minister/marise-payne/media-release/additional-support-ukraine</t>
  </si>
  <si>
    <t xml:space="preserve">https://pmtranscripts.pmc.gov.au/release/transcript-43868 </t>
  </si>
  <si>
    <t>AUM3</t>
  </si>
  <si>
    <t>Military Equipment</t>
  </si>
  <si>
    <t>This 25 million AUD package of additional defensive military assistance will include tactical decoys, unmanned aerial and unmanned ground systems, rations, and medical supplies.</t>
  </si>
  <si>
    <t>tactical decoy</t>
  </si>
  <si>
    <t>undisclosed</t>
  </si>
  <si>
    <t>https://pmtranscripts.pmc.gov.au/release/transcript-43925</t>
  </si>
  <si>
    <t>https://www.easternriverinachronicle.com.au/story/7680638/australia-sends-25m-for-ukraine-military/?cs=7</t>
  </si>
  <si>
    <t>https://www.abc.net.au/news/2022-03-31/more-military-aid-defence-weapons-ukraine-zelenskyy/100955544</t>
  </si>
  <si>
    <t>unmanned aerial system</t>
  </si>
  <si>
    <t>unmanned ground system</t>
  </si>
  <si>
    <t>field ration</t>
  </si>
  <si>
    <t>medical supplies</t>
  </si>
  <si>
    <t>AUM4</t>
  </si>
  <si>
    <t>On April 8, the prime minister announced that Australia sends additional 20 Bushmaster Protected Mobility Vehicles to Ukraine. It is mentioned that these vehicles increase the total commitment of military assistance from 116 million AUD (the sum of AUM1 - AUM3) to 165 million AUD. Hence, we can deduce that the 20 Bushmasters have a value of 49 million AUD (165 million - 116 million).</t>
  </si>
  <si>
    <t>Bushmaster Protected Mobility Vehicles</t>
  </si>
  <si>
    <t>https://pmtranscripts.pmc.gov.au/release/transcript-43947</t>
  </si>
  <si>
    <t>https://www.minister.defence.gov.au/statements/2022-04-08/australia-gift-20-bushmasters-government-ukraine</t>
  </si>
  <si>
    <t>https://news.defence.gov.au/international/working-together-ukraine</t>
  </si>
  <si>
    <t>AUM5</t>
  </si>
  <si>
    <t>Australia announced (in addition to the 20 Bushmaster protected mobility vehicles reported in AUM4) another aid package that includes anti-armour weapons and ammunition. Since the amount of items sent is not entirely disclosed, we report the monetary value as given by the donor.</t>
  </si>
  <si>
    <t>light anti-armor weapon</t>
  </si>
  <si>
    <t>https://pmtranscripts.pmc.gov.au/release/transcript-43950</t>
  </si>
  <si>
    <t>https://www.armyrecognition.com/defense_news_may_2022_global_security_army_industry/australia_announces_delivery_of_14_m113_tracked_apcs_and_20_bushmaster_armored_vehicles_to_ukraine.html</t>
  </si>
  <si>
    <t>ammunition for light anti-armor weapon</t>
  </si>
  <si>
    <t>AUM6</t>
  </si>
  <si>
    <t>The Australian Government is gifting six M777 155mm lightweight towed howitzers and howitzer ammunition to the Government of Ukraine. Since entire support package is valued at AUD 26.7 million. Source of Aid 1 mentions a total military contribution until April 27 of AUD 225 million. Donation IDs AUM1 to AUM6 report AUD 218.2 million. This is due to Australia providing military aid to Ukraine through the NATO partners, with an undisclosed amount. The difference of AUD 6.8 million between Source of Aid 1 and our data collection until this point is due to this aid through NATO partners, with an undislosed amount (most likely AUD 6.8 million).</t>
  </si>
  <si>
    <t>M777 howitzer</t>
  </si>
  <si>
    <t>https://www.peterdutton.com.au/joint-media-release-australia-to-provide-additional-support-to-ukraine/</t>
  </si>
  <si>
    <t>https://www.abc.net.au/news/2022-02-27/australia-send-weapons-nato-ukraine-war-russia/100865712</t>
  </si>
  <si>
    <t>round of ammunition for M777 howitzer</t>
  </si>
  <si>
    <t>AUM7</t>
  </si>
  <si>
    <t>The Australian Government is providing further support with the gifting of 14 M113 Armoured Personnel Carriers (APCs) and a further 20 Bushmaster Protected Mobility Vehicles (PMVs) to the Government of Ukraine. According to Source of Aid 1, the APCs are worth AUD 12 million in total, the PMVs AUD 48.9 million in total. According to Source of Aid 3, this brings the total military contribution of Australia to AUD 285 million. This coincides with the total value recorded here (AUD 279.1 million) as we do not consider AUD 6.8 million dontated to a NATO trust fund as military aid to Ukraine. Source of Aid 3 also mentions that only 4 of the announced 14 M113 have been delivered. However since Source of Delivery states the delivery of the entire package, we assume upper bounds and consider the entire package as being delivered.</t>
  </si>
  <si>
    <t>M113 armored personnel carrier</t>
  </si>
  <si>
    <t>https://www.peterdutton.com.au/australia-to-provide-armoured-personnel-carriers-and-more-bushmasters-to-ukraine/</t>
  </si>
  <si>
    <t>https://war.ukraine.ua/news/19207/</t>
  </si>
  <si>
    <t>https://bulgarianmilitary.com/2022/06/20/ukraine-gets-australian-m113as4-with-12-7mm-browning-m2hb-qcb-355hp/</t>
  </si>
  <si>
    <t>AUM8</t>
  </si>
  <si>
    <t>The Australian Government announced AUD 99.5 million in military assistance, including 14 armoured personnel carriers, 20 Bushmaster protected mobility vehicles and other military equipment supplied by Australia’s defence industry, and a contribution to NATO’s Ukraine Comprehensive Assistance Package Trust Fund. This brings Australia’s total military assistance to Ukraine to approximately AUD 388 million. According to Source of Aid 2, the contribution towards the NATO Trust Fund is reported as AUD 20 million, which we do not consider as military aid to Ukraine and hence reduce from the overall package. Source of Aid 2 also mentions that demining equipment will be provided to Ukraine as part of this package.</t>
  </si>
  <si>
    <t>https://www.pm.gov.au/media/visit-kyiv-and-further-australian-support-ukraine</t>
  </si>
  <si>
    <t>https://www.minister.defence.gov.au/minister/rmarles/media-releases/australia-increases-support-ukraine#:~:text=The%20Australian%20Government%20will%20provide,more%20Bushmaster%20Protected%20Mobility%20Vehicles.</t>
  </si>
  <si>
    <t>Value is calculated with prices</t>
  </si>
  <si>
    <t> </t>
  </si>
  <si>
    <t>Demining Equipment</t>
  </si>
  <si>
    <t>Other military equipment</t>
  </si>
  <si>
    <t>AUM9</t>
  </si>
  <si>
    <t>The government also announced A$8.7 million (US$6 million) to assist Ukraine’s Border Guard Service to upgrade border management equipment, improve cyber security and enhance border operations in the field.</t>
  </si>
  <si>
    <t>AUM10</t>
  </si>
  <si>
    <t>Weapons</t>
  </si>
  <si>
    <t>The Australian government announced to provide additional 30 Bushmaster protected mobility vehicles to Ukraine (bringing the total number to 90 at the time).</t>
  </si>
  <si>
    <t>Not given</t>
  </si>
  <si>
    <t>Additional support for Ukraine | Defence Ministers</t>
  </si>
  <si>
    <t>ATH1</t>
  </si>
  <si>
    <t>Austria</t>
  </si>
  <si>
    <t>The Austrian Government has sent two shipments of medical supplies. The first included 5 power generators, 700 sleeping bags and 28 water containers (with a capacity of 1,000 liters each). The second shipment included 50,000 liters of hand disinfectant, 9,000 liters of surface disinfectant, 50,000 security glasses, 50,000 mouth and nose masks and 20,000 pairs of gloves. Austria has bought the material for its own storage due to the COVID-19 pandemic, but decided to send it to Ukraine after the start of the war.</t>
  </si>
  <si>
    <t>USD</t>
  </si>
  <si>
    <t>liter of hand disinfectant</t>
  </si>
  <si>
    <t>https://bmi.gv.at/news.aspx?id=44786F67485A5049462F493D#:~:text=Mit%20der%20bereits%20zweiten%20Hilfslieferung,Plastikhandschuhen%2C%20Schutzbrillen%20und%20Desinfektionsmittel%20entsandt.</t>
  </si>
  <si>
    <t>liter of disinfectant</t>
  </si>
  <si>
    <t>safety glasses</t>
  </si>
  <si>
    <t>medical protective mask</t>
  </si>
  <si>
    <t>gloves</t>
  </si>
  <si>
    <t>power generator</t>
  </si>
  <si>
    <t>sleeping bag</t>
  </si>
  <si>
    <t>liter of water</t>
  </si>
  <si>
    <t>ATH2</t>
  </si>
  <si>
    <t>Austria has sent 20 ambulances to Ukraine, following a commitment from the Chancellor. Note that "Source of Aid 1" also lists 16 other ambulances, provided by the city of Vienna, which gives a total of 36 ambulances provided by Austria.</t>
  </si>
  <si>
    <t>ambulance H</t>
  </si>
  <si>
    <t>https://www.bundeskanzleramt.gv.at/bundeskanzleramt/nachrichten-der-bundesregierung/2022/06/bundeskanzler-nehammer-wir-helfen-dort-wo-es-uns-als-neutrales-oesterreich-moeglich-ist.html</t>
  </si>
  <si>
    <t>https://www.krone.at/2724936</t>
  </si>
  <si>
    <t>ATH3</t>
  </si>
  <si>
    <t>Grant</t>
  </si>
  <si>
    <t>The minister of foreign affairs announced to provide additional 41.9 million EUR in financial assistance for humanitarian projects. Note that this is tied to an equal amount that has been donated by the general public (another 41.9 million EUR). As outlined by "Source of Aid 2", at least 15 million EUR of this announced sum is devoted to projects for women and children. Furthermore, it is reported that 5 million EUR are devoted to refugees in Moldova. Hence, we substract these 5 million EUR and count 36.9 million EUR as direct aid to Ukraine. We do not report the 17 million EUR donated to international organizations (see "Source of Aid 2") and we do report the financial assistance amounting to 10 million EUR (see "Source of Aid 2") in ATF1.</t>
  </si>
  <si>
    <t>EUR</t>
  </si>
  <si>
    <t>https://www.youtube.com/watch?v=NdYiLiivIgs</t>
  </si>
  <si>
    <t>https://www.euractiv.com/section/politics/short_news/austria-more-than-doubles-financial-support-for-ukraine-with-citizen-donations/</t>
  </si>
  <si>
    <t>https://medinlive.at/gesellschaft/oesterreich-unterstuetzt-ukraine-mit-ueber-80-millionen-euro</t>
  </si>
  <si>
    <t>https://www.ukrinform.net/rubric-society/3474985-austria-allocates-another-42m-in-humanitarian-aid-to-ukraine.html</t>
  </si>
  <si>
    <t>ATH4</t>
  </si>
  <si>
    <t>Austrian Association of Municipalities (Österreichischer Gemeindebund) provides the aid. Since this organisation uni#tes almost all municipalities of Austria (2.084 of 2.095), we consider this organisation to be governmental and thus, this package is bilateral aid. The number and type of vehicle are specified in Source of Aid 2.</t>
  </si>
  <si>
    <t>https://www.facebook.com/ukremb.at/posts/2254397241403945</t>
  </si>
  <si>
    <t>https://gemeindebund.at/gemeinden-blaulichtorganisationen-und-unternehmen-helfen-der-ukraine/</t>
  </si>
  <si>
    <t>Fire-vehicle</t>
  </si>
  <si>
    <t>Garbage truck</t>
  </si>
  <si>
    <t>ATH5</t>
  </si>
  <si>
    <t>Guarantee</t>
  </si>
  <si>
    <t>Construction and equipment of the National Children's Specialized Hospital "Okhmatdyt" and a modern university clinic in Kyiv, as well as the creation of the National Rehabilitation Center in Lviv. The estimated cost of these projects will be over EUR 500 million," said First Vice Prime Minister of Ukraine - Minister of Economy Yulia Svyrydenko. "Export credit agencies" should finance it with loans, and the Austrian government provides a guarantee for it.</t>
  </si>
  <si>
    <t>https://www.kmu.gov.ua/news/ukraina-i-avstriia-domovylys-pro-ekonomichnu-spivpratsiu-u-rozvytku-proektiv</t>
  </si>
  <si>
    <t>https://odessa-journal.com/ukraine-and-austria-agreed-on-economic-cooperation-in-the-development-of-projects/</t>
  </si>
  <si>
    <t>ATH6</t>
  </si>
  <si>
    <t>In November 2022 Austrian Embassy in the US created a webpage listing all aid provided to Ukraine (Source of Aid 1). Among other things listed, there is a monetary value of all in-kind humanitarian assistance (6 million EUR). This information was rarely available so far, so we only managed to capture the first big package (see ATH1). So, to cover the rest, we subtract the value of the previous package(ATH1) and report it in this entry.</t>
  </si>
  <si>
    <t>https://www.austria.org/ukraine</t>
  </si>
  <si>
    <t>ATH7</t>
  </si>
  <si>
    <t>Assistance and equipment</t>
  </si>
  <si>
    <t>In November 2022 Austrian Embassy in the US created a webpage listing all aid provided to Ukraine (Source of Aid 1). Among other things listed, the list provides information regarding the monetary value of winterisation aid for Ukraine. We assume this aid was provided recently to the date of the publication since the demand for such a type of aid only occurred after a massive missile strike in October 2022.</t>
  </si>
  <si>
    <t>ATH8</t>
  </si>
  <si>
    <t xml:space="preserve">In November 2022 Austrian Embassy in the US created a webpage listing all aid provided to Ukraine (Source of Aid 1). Among other things listed, the list includes information regarding emergency vehicles provided to Ukraine. Since some emergency vehicles were reported in ATH2 and ATH4, we report the rest of them here. </t>
  </si>
  <si>
    <t>ATM1</t>
  </si>
  <si>
    <t>On March 13, Austria announced that it has sent a package consisting of protective helmets, ballistic vests and bandages to Ukraine. The government besides announced to send 200,000 liters of diesel. On May 5, the Ministry of Defence reported the total amounts that were sent in March ("Source of Aid 2") and puts a value of 35 EUR on each helmet. "Source of Aid 2" also mentions that Austria still behaves neutrally, which results in the provision of only non-lethal equipment as reporter here and abstention on the European Peace Facility (EPF) decision.</t>
  </si>
  <si>
    <t>liter of diesel M</t>
  </si>
  <si>
    <t>https://www.bmi.gv.at/news.aspx?id=69543149763057644C4C633D</t>
  </si>
  <si>
    <t>https://www.wienerzeitung.at/nachrichten/politik/oesterreich/2146418-Oesterreich-schickte-Ukraine-Armeeausruestung.html</t>
  </si>
  <si>
    <t>https://www.weekend.at/chronik/200000-liter-diesel-aus-oesterreich-fuer-ukraine</t>
  </si>
  <si>
    <t>helmet Austria</t>
  </si>
  <si>
    <t>ballistic vest Austria</t>
  </si>
  <si>
    <t>wound bandage</t>
  </si>
  <si>
    <t>ATF1</t>
  </si>
  <si>
    <t>Financial</t>
  </si>
  <si>
    <t>Austria contributed with 10 million EUR to the multi-donor trust fund (MDTF) set up by the World Bank.</t>
  </si>
  <si>
    <t>https://www.worldbank.org/en/news/press-release/2022/03/14/world-bank-announces-additional-200-million-in-financing-for-ukraine</t>
  </si>
  <si>
    <t>BEH1</t>
  </si>
  <si>
    <t>Belgium</t>
  </si>
  <si>
    <t xml:space="preserve">Belgium announced to send medical ressources amounting to 3.4 million EUR. The aid falls within the framework of the EU Civil Protection Mechanism (EUCPM). The package includes on top of the items listed to the right also anaesthetics, muscle relaxants and painkillers. </t>
  </si>
  <si>
    <t>No</t>
  </si>
  <si>
    <t>https://www.brusselstimes.com/208911/belgium-to-send-e3-4-million-medical-supplies-to-ukraine</t>
  </si>
  <si>
    <t>respiratory assistance device</t>
  </si>
  <si>
    <t>syringe</t>
  </si>
  <si>
    <t>BEH2</t>
  </si>
  <si>
    <t xml:space="preserve">Emergency shelter material adapted to cold climate conditions, such as tents, blankets and sanitary kits. The aid falls within the framework of the EU Civil Protection Mechanism (EUCPM). </t>
  </si>
  <si>
    <t>https://diplomatie.belgium.be/en/belgium-sends-emergency-shelter-material-ukraine-b-fast</t>
  </si>
  <si>
    <t>BEH3</t>
  </si>
  <si>
    <t xml:space="preserve">On April 9, in occasion of the event "Stand Up for Ukraine", the Belgian Prime Minister announced that Belgium had set up a fund of 800 million EUR to support Ukraine and Ukrainian refugees. Since only 83 million EUR will be sent to Ukraine (see "Sorce of Aid 2"), we only report this amount. The Prime Minister also mentioned trucks of medical supplies reaching Ukraine on the same day of the announcements (see "Source of Aid 1"). We assume that the trucks are part of the 83 million EUR package. </t>
  </si>
  <si>
    <t>https://twitter.com/i/status/1512804572728897539</t>
  </si>
  <si>
    <t>https://www.globalcitizen.org/en/content/stand-up-for-ukraine-impact-report/</t>
  </si>
  <si>
    <t>BEH4</t>
  </si>
  <si>
    <t>Belgium "scales up the humanitarian support to a total of 30 million EUR". This was announced on the International Donors' Conference on May 5, 2022 (see 1:51:00 in "Source of Aid 1") . Since BEH1 already reports a value of 230,000 EUR, we report in this entry the difference between 30 million and 230,000 (30 million EUR - 230,000 EUR = 29,770,000 EUR).</t>
  </si>
  <si>
    <t>https://www.youtube.com/watch?v=vzENx6dTpqY</t>
  </si>
  <si>
    <t>BEH5</t>
  </si>
  <si>
    <t xml:space="preserve">The Belgian Government approved the shipment of medical equipment, basic supplies and medicines. which will be carried by 11 trucks. The total cost of the aid amounts to 800000 EUR. </t>
  </si>
  <si>
    <t>https://www.brusselstimes.com/255904/belgium-to-send-new-huge-aid-shipment-to-ukraine</t>
  </si>
  <si>
    <t>BEM1</t>
  </si>
  <si>
    <t>Automatic rifles and tons of fuel. This is part of total aid until April 22 that is estimated by the Prime Minister to be 76 million EUR ("Source of Aid 1").</t>
  </si>
  <si>
    <t>FNC-type automatic rifle</t>
  </si>
  <si>
    <t>https://mil.in.ua/en/news/belgium-made-a-decision-to-hand-over-artillery-to-ukraine-the-media/</t>
  </si>
  <si>
    <t>https://twitter.com/alexanderdecroo/status/1497542000228417537</t>
  </si>
  <si>
    <t>https://www.thebulletin.be/belgium-send-more-weapons-and-fuel-ukraine</t>
  </si>
  <si>
    <t>ton of fuel</t>
  </si>
  <si>
    <t>Automatic rifles and anti-tank weapons. "Source of Aid 2" lists this aid as an additional package to the one reported in BEM1. This is part of total aid until April 22 that is estimated by the Prime Minister to be 76 million EUR ("Source of Aid 1").</t>
  </si>
  <si>
    <t>https://twitter.com/alexanderdecroo/status/1497914776063594502</t>
  </si>
  <si>
    <t>M72 rocket launcher</t>
  </si>
  <si>
    <t>Lethal and non-lethal weapons amounting to 11 million EUR were approved on March 18. This is part of total aid until April 22 that is estimated by the Prime Minister to be 76 million EUR ("Source of Aid 1"). No further information has been disclosed on the type of weapons. However, "Source of Aid 3" mentions that this package is partially covered through the EPF, without disclosing the exact amount of reimbursement.</t>
  </si>
  <si>
    <t>https://www.lesoir.be/437698/article/2022-04-22/guerre-en-ukraine-la-belgique-sapprete-livrer-de-nouveaux-missiles-antichars</t>
  </si>
  <si>
    <t>https://cde.news/belgium-explores-new-avenues-of-assistance-for-ukraine/</t>
  </si>
  <si>
    <t>BEM2</t>
  </si>
  <si>
    <t>8 million EUR in support to the Ukrainian armed forces through NATO Comprehensive Assistance Package (CAP) Trust Fund, which provides non-lethal support  to Ukraine.</t>
  </si>
  <si>
    <t>First aid kit</t>
  </si>
  <si>
    <t>https://lahbib.belgium.be/en/belgium-provide-8-million-eur-non-lethal-support-ukrainian-armed-forces</t>
  </si>
  <si>
    <t>https://twitter.com/hadjalahbib/status/1562721777649799170?ref_src=twsrc%5Etfw%7Ctwcamp%5Etweetembed%7Ctwterm%5E1562721777649799170%7Ctwgr%5E69cb6a35c6fc5375ee1777ba5e3491bf84fd300f%7Ctwcon%5Es1_&amp;ref_url=https%3A%2F%2Fbabel.ua%2Fen%2Fnews%2F83487-belgium-allocated-8-million-for-non-lethal-aid-to-ukraine</t>
  </si>
  <si>
    <t>https://www.euractiv.com/section/politics/short_news/belgium-to-provide-e8-million-for-non-lethal-aid-to-ukraines-armed-forces/</t>
  </si>
  <si>
    <t>https://www.brusselstimes.com/278107/belgium-provides-e8-million-for-non-lethal-help-to-ukraine</t>
  </si>
  <si>
    <t>winter clothing (general)</t>
  </si>
  <si>
    <t>Night-vision goggles</t>
  </si>
  <si>
    <t>Medicines</t>
  </si>
  <si>
    <t>BEM3</t>
  </si>
  <si>
    <t>Belgium will send heavy machine guns, ammunition, and other equipment from Belgian arms manufacturer FN Herstal. It will also send non-lethal equipment for the winter, helmets, spare provisions and night vision equipment. In addition, ambulances and medical evacuation trucks are also expected to be delivered in early 2023.</t>
  </si>
  <si>
    <t>large-caliber machine guns</t>
  </si>
  <si>
    <t>https://www.brusselstimes.com/290771/belgium-to-give-e12-million-in-military-aid-to-ukraine</t>
  </si>
  <si>
    <t>https://www.lecho.be/dossiers/conflit-ukraine-russie/ludivine-dedonder-la-belgique-va-octroyer-une-nouvelle-aide-militaire-a-l-ukraine/10414118.html</t>
  </si>
  <si>
    <t>https://en.interfax.com.ua/news/general/859303.html</t>
  </si>
  <si>
    <t>Ammunition</t>
  </si>
  <si>
    <t>helmet</t>
  </si>
  <si>
    <t>spare part and equipment</t>
  </si>
  <si>
    <t>surveillance equipment</t>
  </si>
  <si>
    <t>ambulance</t>
  </si>
  <si>
    <t>medical evacuation truck</t>
  </si>
  <si>
    <t>BEF1</t>
  </si>
  <si>
    <t>Belgium allocated 4.96 EUR million to the IMF's Administered Account for Ukraine.</t>
  </si>
  <si>
    <t>https://twitter.com/KGeorgieva/status/1590600147368656896</t>
  </si>
  <si>
    <t>BGH1</t>
  </si>
  <si>
    <t>Bulgaria</t>
  </si>
  <si>
    <t xml:space="preserve">Equipment and logistic assistance. The assistance falls within the framework of the EU Civil Protection Mechanism (EUCPM). No further information regarding the shipment has been disclosed. </t>
  </si>
  <si>
    <t>https://sofiaglobe.com/2022/02/27/bulgaria-to-provide-humanitarian-military-logistical-aid-to-ukraine/?msclkid=2fb3d8c7b05511ec86aca56bb6424b21</t>
  </si>
  <si>
    <t>https://www.slobodenpecat.mk/en/bugarija-kje-isprati-humanitarna-i-voeno-logistichka-pomosh-na-ukraina/</t>
  </si>
  <si>
    <t>BGH2</t>
  </si>
  <si>
    <t>The Bulgarian government announced to provide Ukraine humanitarian assistance worth 706,000 EUR.</t>
  </si>
  <si>
    <t>https://www.kmu.gov.ua/en/news/denis-shmigal-ukrayina-vdyachna-bolgariyi-shcho-spilno-z-mizhnarodnoyu-spilnotoyu-bere-uchast-u-pidtrimci-nashoyi-krayini</t>
  </si>
  <si>
    <t>https://www.ukrinform.net/rubric-ato/3470180-bulgaria-to-give-ukraine-humanitarian-aid-worth-over-eur-700000-shmyhal.html</t>
  </si>
  <si>
    <t>https://interfax.com/newsroom/top-stories/78780/</t>
  </si>
  <si>
    <t>BGH3</t>
  </si>
  <si>
    <t>Humanitarian aid in the form of medicines, clothing, and food. "Source of Aid 1" mentions that Bulgaria approved the repairment of Ukranian military equipment in Bulgarian firms. The latter is reported in BGM1.</t>
  </si>
  <si>
    <t>https://www.dw.com/bg/%D0%BF%D0%B0%D1%80%D0%BB%D0%B0%D0%BC%D0%B5%D0%BD%D1%82%D1%8A%D1%82-%D1%80%D0%B5%D1%88%D0%B8-%D0%B1%D1%8A%D0%BB%D0%B3%D0%B0%D1%80%D0%B8%D1%8F-%D1%89%D0%B5-%D0%BE%D0%BA%D0%B0%D0%B6%D0%B5-%D0%B2%D0%BE%D0%B5%D0%BD%D0%BD%D0%BE-%D1%82%D0%B5%D1%85%D0%BD%D0%B8%D1%87%D0%B5%D1%81%D0%BA%D0%B0-%D0%BF%D0%BE%D0%BC%D0%BE%D1%89-%D0%BD%D0%B0-%D1%83%D0%BA%D1%80%D0%B0%D0%B9%D0%BD%D0%B0/a-61683857</t>
  </si>
  <si>
    <t>https://bntnews.bg/news/kakva-tochno-pomosht-shte-predostavi-balgariya-na-ukraina-1193662news.html</t>
  </si>
  <si>
    <t>BGM1</t>
  </si>
  <si>
    <t>Bulgaria announced to send 2,000 helmets and 2,000 bulletproof vests to Ukraine.</t>
  </si>
  <si>
    <t>https://www.euractiv.com/section/politics/short_news/bulgaria-sends-helmets-to-ukrain%D0%B5/</t>
  </si>
  <si>
    <t>https://bnr.bg/en/post/101627966</t>
  </si>
  <si>
    <t>https://www.bta.bg/en/news/bulgaria/264039-ukrainian-experts-explore-opportunities-for-military-equipment-repairs-in-bulgar</t>
  </si>
  <si>
    <t>ballistic vest</t>
  </si>
  <si>
    <t>BGM2</t>
  </si>
  <si>
    <t xml:space="preserve">The Bulgarian government approved that Bulgaria will help Ukraine repair military hardware. The cost of the donation was not given by the source. </t>
  </si>
  <si>
    <t>https://www.reuters.com/world/europe/bulgaria-approves-repairs-ukrainian-military-equipment-not-military-aid-2022-05-04/</t>
  </si>
  <si>
    <t>https://balkaninsight.com/2022/06/07/we-have-done-enough-bulgaria-rejects-ukraines-plea-for-heavy-weapons/</t>
  </si>
  <si>
    <t>CAF1</t>
  </si>
  <si>
    <t>Canada</t>
  </si>
  <si>
    <t>Loan</t>
  </si>
  <si>
    <t>In addition to the 120 million USD loan announced on January 21 (not reported in our dataset) Canada announced a 500 million CAD loan. This loan was announced on February 14, but was signed on April 14, as mentioned by "Source of Aid 2".</t>
  </si>
  <si>
    <t>CAD</t>
  </si>
  <si>
    <t>https://www.canada.ca/en/department-finance/news/2022/02/canada-pledges-additional-support-for-ukraine.html</t>
  </si>
  <si>
    <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t>
  </si>
  <si>
    <t>CAF2</t>
  </si>
  <si>
    <t>Canada will offer 1 billion CAD of new loan resources through the newly established account of the International Monetary Found. In this specific case, the IMF works as a mediator: donors can provide loans or grants in either reserve currencies or special drawing rights. Refer to CAM8 for the 500 million CAD mentioned in "Source of Aid 1". "Source of Aid 3" lists the previously granted loans of 620 million CAD, discussed in CAF1. "Source of Aid 4" clarifies that this aid was disbursed on June 17 and it specifies the conditions: the loan maturity is 10 years and the interest rate p.a. is 1.69%.</t>
  </si>
  <si>
    <t>https://www.reuters.com/article/canada-budget-ukraine-aid-idCAKCN2LZ2CL</t>
  </si>
  <si>
    <t>https://www.bnnbloomberg.ca/imf-creates-new-account-to-help-ukraine-as-canada-pledges-funds-1.1749951</t>
  </si>
  <si>
    <t>https://www.theglobeandmail.com/canada/article-federal-budget-2022-ukraine-russia-1-billion-loan/#:~:text=The%20federal%20government%20is%20proposing%20to%20assist%20Ukraine%E2%80%99s,loan%20through%20a%20new%20Canada-led%20international%20financial%20program.</t>
  </si>
  <si>
    <t>https://www.kmu.gov.ua/en/news/minfin-ukrayina-otrimala-1-mlrd-kanadskih-dolariv-vid-kanadi</t>
  </si>
  <si>
    <t>CAF3</t>
  </si>
  <si>
    <t>Canada announced to provide an additional loan of 250 million CAD to support Ukraine. The Minister of Finance that it will be provided through the IMF's Administered Account. Notice that "Source of Aid 1" mentions a total amount of financial aid amounting to 1.87 billion CAD, of which CAF1 to CAF3 covers 1.75 billion CAD (500 million CAD + 1 billion CAD + 250 million CAD). The remaining 120 million CAD (1.87 billion CAD - 1.75 billion CAD) is reflected by a loan announced on Jan 21, so prior to the starting date for our dataset, Jan 24.</t>
  </si>
  <si>
    <t>https://www.canada.ca/en/department-finance/news/2022/05/canada-provides-additional-financial-support-to-ukraine.html</t>
  </si>
  <si>
    <t>https://english.news.cn/northamerica/20220521/316cc7dea3444c36b011aa19617629ac/c.html</t>
  </si>
  <si>
    <t>https://www.republicworld.com/world-news/russia-ukraine-crisis/canada-announces-additional-loan-of-250mn-for-ukraine-as-russian-invasion-enters-day-87-articleshow.html</t>
  </si>
  <si>
    <t>CAF4</t>
  </si>
  <si>
    <t>Prime Minister Trudeau announced the provision of a 200 million CAD loan through the IMF to Ukraine. Furthermore, "Source of Aid 1" mentions additional humanitarian assistance that is reported in CAH5, CAH6, CAH7. Moreover, "Source of Aid 1" re-iterates the pledge of Canada at the Stand Up for Ukraine Event that is covered in CAH3.</t>
  </si>
  <si>
    <t>https://pm.gc.ca/en/news/backgrounders/2022/06/28/additional-canadian-support-ukraine-announced-2022-g7-summit#:~:text=Canada%20will%20provide%20%24200%20million,administrative%20burden%20on%20Ukrainian%20officials.</t>
  </si>
  <si>
    <t>https://www.ctvnews.ca/politics/canada-pledges-more-aid-and-loans-to-ukraine-as-g7-targets-russian-oil-1.5965947</t>
  </si>
  <si>
    <t>CAF5</t>
  </si>
  <si>
    <t xml:space="preserve">Canada provided a new loan to Ukraine, the Financial Ministry of Ukraine reports. Source of aid 2 shows that it was also reported later on the governmental portal of Ukraine (previously, it was only a financial ministry page). Source of aid 3 specifies that 450 CAD million goes into the purchase of the fuel for the winter. We do not consider Source of aid 3 to be another transaction since the amount of money provided, and timing corresponds to each other. Moreover, there are no sources to prove that these are separate transactions. </t>
  </si>
  <si>
    <t>https://www.mof.gov.ua/uk/news/minfin_ukraina_otrimaie_vid_kanadi_dodatkovikh_450_mln_kanadskikh_dolariv-3544</t>
  </si>
  <si>
    <t xml:space="preserve">https://www.kmu.gov.ua/en/news/ukraina-otrymala-vid-kanady-450-mln-kanadskykh-dolariv </t>
  </si>
  <si>
    <t>https://twitter.com/Denys_Shmyhal/status/1559962571230380032</t>
  </si>
  <si>
    <t>CAF6</t>
  </si>
  <si>
    <t>Justin Trudeau, Canadian Prime Minister, announced the allocation of funding for two Ukraine projects through the Peace and Stabilization Operations Program (PSOPs), totalling 3.85 CAD million.</t>
  </si>
  <si>
    <t>https://pm.gc.ca/en/news/news-releases/2022/08/23/prime-minister-announces-additional-support-ukraine</t>
  </si>
  <si>
    <t>CAF7</t>
  </si>
  <si>
    <t>The Government of Canada will issue Ukraine Sovereignty Bonds, which will help the government continue operations, including providing essential services to Ukrainians, like pensions, and purchasing fuel before winter. Later Canadian government specified that it is going to be 5-year 500 CAD million bond (Source of aid 2).</t>
  </si>
  <si>
    <t xml:space="preserve">https://pm.gc.ca/en/news/news-releases/2022/10/28/prime-minister-announces-new-measures-support-ukraine </t>
  </si>
  <si>
    <t>https://www.canada.ca/en/department-finance/programs/financial-sector-policy/ukraine-sovereignty-bond.html</t>
  </si>
  <si>
    <t>CAH1</t>
  </si>
  <si>
    <t>The intention of the donation was to fund development and humanitarian assistance. The 340 million CAD mentioned in "Source of Aid 1" are reported in CAM1.</t>
  </si>
  <si>
    <t>https://www.canada.ca/en/department-national-defence/news/2022/01/canada-extends-and-expands-military-and-other-support-for-the-security-of-ukraine.html</t>
  </si>
  <si>
    <t>CAH2</t>
  </si>
  <si>
    <t>Equipment and assistance</t>
  </si>
  <si>
    <t>Emergency health services (including trauma care), protection, support to displaced people, and essential life-saving services such as shelter, water, sanitation, and food. The aid is directed to those affected by the conflict in Ukraine and neighboring countries. We do not consider aid directed to international organisations that are not explicitly active in Ukraine.</t>
  </si>
  <si>
    <t>https://www.canada.ca/en/global-affairs/news/2022/03/canada-announces-100-million-humanitarian-assistance-to-ukraine.html</t>
  </si>
  <si>
    <t>https://www.canada.ca/en/global-affairs/news/2022/03/canadas-humanitarian-assistance-for-ukraine.html</t>
  </si>
  <si>
    <t>CAH3</t>
  </si>
  <si>
    <t>In occasion of the "Stand up for Ukraine" campaign, which was held in Warsaw on April 9 and organised in cooperation with Canada and the European Commission, the Prime Minister of Canada announced that Canadian humanitarian assistance will be increased with additional 100 million CAD.</t>
  </si>
  <si>
    <t>CAH4</t>
  </si>
  <si>
    <t>To support dairy farmers in Ukraine, Canada announced to provide 2 million CAD without providing further information. Notice that we do not include the committed amount of 9 million CAD in "Source of Aid 1 &amp; 2" as this is devoted to UN organizations.</t>
  </si>
  <si>
    <t>https://www.canada.ca/en/global-affairs/news/2022/05/g7-development-ministers-conclude-successful-meeting-and-issue-statement-on-ukraine.html</t>
  </si>
  <si>
    <t>https://www.ukrinform.net/rubric-ato/3488287-canada-to-provide-cad-9m-in-humanitarian-aid-to-ukraine.html</t>
  </si>
  <si>
    <t>CAH5</t>
  </si>
  <si>
    <t>Canada announced to provide additional humanitarian assistance in the volume of 75 million CAD. Even though this money is provided not directly to Ukraine but rather to several partner organizations, we consider it as the government explicitly states that the total budget is devoted to "humanitarian operations inside Ukraine". Note that the loan discussed in the sources is covered in CAF4 and other humanitarian packages are reported in CAH3, CAH6 and CAH7.</t>
  </si>
  <si>
    <t>CAH6</t>
  </si>
  <si>
    <t>Canada announced to provide 52 million CAD to help Ukraine by providing storage capacities for grain. Thereby, 50 million CAD is devoted to storage and 2 million CAD for complementary equipment. Note that the loan discussed in the sources is covered in CAF4 and other humanitarian packages are reported in CAH3, CAH5 and CAH7.</t>
  </si>
  <si>
    <t>CAH7</t>
  </si>
  <si>
    <t>Canada announced to provide 9.7 million CAD to support Ukrainian institutions regarding human rights violations, especially sexual and gender-based violence. The funding is also devoted to support Ukrainian police and judicial institutions. Note that the loan discussed in the sources is covered in CAF4 and other humanitarian packages are reported in CAH3, CAH5 and CAH6.</t>
  </si>
  <si>
    <t>CAH8</t>
  </si>
  <si>
    <t xml:space="preserve">Canada provides 52 CAD million to provide storage opportunities for 2.4 million tons of grain. </t>
  </si>
  <si>
    <t>https://minagro.gov.ua/news/kanada-nadaye-40-miljoniv-dolariv-ssha-dlya-zabezpechennya-24-miljona-tonn-shovishch?fbclid=IwAR0tOKhcjlcnwj5Wvpqe3fr0kwd_90iCZAxzUMMeqqvk45emy4e0lakzOQ0</t>
  </si>
  <si>
    <t>CAM1</t>
  </si>
  <si>
    <t xml:space="preserve">Aid for military assistance and for the extension and expansion of Operation UNIFIER, the Canadian Armed Forces’ military training and capacity-building mission in Ukraine. The 50 million CAD mentioned in "Source of Aid 1" are reported in CAH1. </t>
  </si>
  <si>
    <t>https://www.netnewsledger.com/2022/01/26/government-of-canada-announces-340-million-for-ukraine/</t>
  </si>
  <si>
    <t>https://www.cmfmag.ca/canadian-government-sends-lethal-weapons-to-ukraine/</t>
  </si>
  <si>
    <t>CAM2</t>
  </si>
  <si>
    <t xml:space="preserve">Undisclosed number of lethal weapons and assorted support items (machine guns, pistols, carbines, 1.5 million rounds of ammunition, sniper rifles, and various related items) for a total value of 7 million USD, which is directed to the Armed Force of Ukraine. </t>
  </si>
  <si>
    <t>https://www.canada.ca/en/department-national-defence/news/2022/02/canada-commits-lethal-weapons-and-ammunition-in-support-of-ukraine.html</t>
  </si>
  <si>
    <t>https://english.almayadeen.net/news/politics/canada-sends-lethal-weapons-to-ukraine</t>
  </si>
  <si>
    <t>CAM3</t>
  </si>
  <si>
    <t>Both lethal and non-lethal military equipment such as protective gear, meal packs, weapons and ammunition. The source mentions 25 million USD in non-lethal weapons, reported in CAM4, military equipment of an unknwon value reported in CAM5, and 1 million USD reported in CAM6.</t>
  </si>
  <si>
    <t>fragmentation vest</t>
  </si>
  <si>
    <t>https://www.canada.ca/en/department-national-defence/news/2022/03/defence-minister-anand-announces-additional-military-support-to-ukraine.html?msclkid=50865665ab9011ecbb2d77d3ecd6e3a6</t>
  </si>
  <si>
    <t>https://tfiglobalnews.com/2022/03/21/canada-wanted-to-supply-weapons-to-ukraine-turns-out-it-didnt-have-any/</t>
  </si>
  <si>
    <t>individual meal pack</t>
  </si>
  <si>
    <t>Carl Gustav M2 recoilless rifle</t>
  </si>
  <si>
    <t>round of 84 mm ammunition</t>
  </si>
  <si>
    <t>CAM4</t>
  </si>
  <si>
    <t>Non-lethal items such as helmets, body armor, gas masks, and night vision gear.</t>
  </si>
  <si>
    <t>https://www.canada.ca/en/global-affairs/news/2022/02/canada-sending-additional-25m-military-aid-to-support-ukraine.html</t>
  </si>
  <si>
    <t>https://www.cbc.ca/news/politics/canada-ukraine-artillery-1.6426132</t>
  </si>
  <si>
    <t>gas mask</t>
  </si>
  <si>
    <t>night vision device</t>
  </si>
  <si>
    <t>CAM5</t>
  </si>
  <si>
    <t>Lethal items, such as M72 rocket launchers and hand grenades. "Source of Aid 1" lists 25 million USD in non-lethal weapons, reported in CAM4, 1 million USD for satellite imaging reported in CAM6 and lethal and non-lethal equipment reported in CAM3.</t>
  </si>
  <si>
    <t>https://www.canada.ca/en/department-national-defence/news/2022/03/defence-minister-anand-announces-additional-military-support-to-ukraine.html</t>
  </si>
  <si>
    <t>hand grenade</t>
  </si>
  <si>
    <t>CAM6</t>
  </si>
  <si>
    <t>Grant amounting to 1 million CAD, which can be used for the purchase of commercial satellite high resolution and modern imagery. "Source of Aid 1" lists a shipment of 4500 M72 rocket launchers as well as 7500 hand grenades, these are included in aid package CAM5, 25 million CAD in non-lethal weapons, reported in CAM4 and lethal and non-lethal equipment reported in CAM3.</t>
  </si>
  <si>
    <t>https://www.ctvnews.ca/politics/a-lot-more-people-are-going-to-die-canada-sending-more-lethal-weapons-to-ukraine-1.5804357</t>
  </si>
  <si>
    <t>CAM7</t>
  </si>
  <si>
    <t>Lethal weapons and non-lethal specialized equipment for military purposes, including Canadian-made cameras for surveillance drones. No further information regarding the shipment has been disclosed. The amount of 10 million USD previously shipped weaponry is included in "Source of Aid 1" in transaction CAM3.</t>
  </si>
  <si>
    <t>Lethal weapons</t>
  </si>
  <si>
    <t>https://www.ctvnews.ca/politics/ukraine-can-t-negotiate-with-gun-to-head-says-joly-as-trudeau-presses-allies-1.5811832</t>
  </si>
  <si>
    <t>https://www.txtreport.com/news/2022-03-10-canada-will-provide-%24-50-million-in-military-assistance-to-ukraine.S1BRwmvb5.html</t>
  </si>
  <si>
    <t>https://www.youtube.com/watch?v=EKzlhntZigE&amp;t=888s</t>
  </si>
  <si>
    <t>drone camera</t>
  </si>
  <si>
    <t>CAM8</t>
  </si>
  <si>
    <t>M777 Howitzers (four Howitzers according to "Source of Aid 2") and Carl Gustaf anti-armour ammunitions were delivered.</t>
  </si>
  <si>
    <t>https://www.canada.ca/en/department-national-defence/news/2022/04/canada-announces-artillery-and-other-additional-military-aid-for-ukraine.html</t>
  </si>
  <si>
    <t>https://www.cbc.ca/news/politics/ukraine-m777-howitzer-russia-heavy-artillery-1.6427762</t>
  </si>
  <si>
    <t xml:space="preserve">https://www.canada.ca/en/department-national-defence/news/2022/04/canada-announces-artillery-and-other-additional-military-aid-for-ukraine.html 
</t>
  </si>
  <si>
    <t>CAM9</t>
  </si>
  <si>
    <t xml:space="preserve">500 million CAD for military assistance in lethal and non-lethal weapons were dedicated to Ukraine in the Canadian budget for the fiscal year 2022-2023 ("Source of Aid 1"). On April 26, up to eight armored vehicles were financed with these means. ("Source of Aid 2"). On May 23, the Defense Minister announced a purchase of 20,000 rounds (worth: 98 million CAD) of artillery ammunition as part of this budget line ("Source of Aid 2"). </t>
  </si>
  <si>
    <t>Roshel Senator 4x4 armored personnel carrier</t>
  </si>
  <si>
    <t>https://globalnews.ca/news/8788360/ukraine-war-canada-armoured-vehicles/</t>
  </si>
  <si>
    <t>https://mil.in.ua/en/news/canada-is-set-to-hand-over-eight-armored-vehicles-to-ukraine/</t>
  </si>
  <si>
    <t>https://mil.in.ua/en/news/ukraine-received-senator-apc-armored-vehicles/</t>
  </si>
  <si>
    <t>round of ammunition for 155mm howitzer</t>
  </si>
  <si>
    <t>https://www.cbc.ca/news/politics/anand-biggest-military-donation-ukraine-1.6463915</t>
  </si>
  <si>
    <t>https://www.ukrinform.net/rubric-ato/3491327-canada-to-give-ukraine-over-20000-155-mm-shells.html</t>
  </si>
  <si>
    <t>https://torontosun.com/news/national/canada-shipping-20000-rounds-of-artillery-ammunition-to-ukraine</t>
  </si>
  <si>
    <t>replacement barrels for M777 howitzer</t>
  </si>
  <si>
    <t>https://www.business-standard.com/article/international/canada-to-provide-further-military-aid-for-ukraine-says-defence-minister-122061600137_1.html</t>
  </si>
  <si>
    <t>CAM10</t>
  </si>
  <si>
    <t>During a visit in Ukraine, the Canadian Prime Minister announced additional military assistance worth 50 million CAD. He states that this package comes on top of what Canada has provided so far, referring to the budget increase (CAM9), previous loans (CAF1, CAF2) and humanitarian assistance (CAH1-CAH3). Note that there is a gap between the 200 million CAD we count and the 245 million CAD, the Prime Minister mentions in "Source of Aid 1". This is because the remaining part has been devoted to international organization, which we do not count (see CAH2, "Source of Aid 2" for a list of the aid we do not count). Finally, "Source of Aid 1" also mentions two additional packages we do not count since they are allotted to international organizations (25 million CAD to the World Food Programme and 10 million CAD to support human rights).</t>
  </si>
  <si>
    <t>https://pm.gc.ca/en/news/news-releases/2022/05/08/prime-minister-visits-kyiv-ukraine</t>
  </si>
  <si>
    <t>https://www.france24.com/en/live-news/20220601-arms-for-ukraine-who-has-sent-what</t>
  </si>
  <si>
    <t>high-resoultion satellity imagery</t>
  </si>
  <si>
    <t>small arm and ammunition</t>
  </si>
  <si>
    <t>CAM11</t>
  </si>
  <si>
    <t>During the NATO summit in Madrid, Justin Trudeau announced that the country was finalizing an agreement on 39 armored vehicles and 6 drone cameras for Ukraine.</t>
  </si>
  <si>
    <t>https://www.cbc.ca/news/politics/nato-arms-canada-1.6506611</t>
  </si>
  <si>
    <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t>
  </si>
  <si>
    <t>Armoured Combat Support Vehicles (ACSV)</t>
  </si>
  <si>
    <t>CAM12</t>
  </si>
  <si>
    <t>Defence Minister Anita Anand announced that Canada will provide over $47 million in new military aid that will assist the Armed Forces of Ukraine as they fight for Ukraine’s sovereignty and security.</t>
  </si>
  <si>
    <t>155mm artillery round</t>
  </si>
  <si>
    <t>https://www.canada.ca/en/department-national-defence/campaigns/canadian-military-support-to-ukraine.html</t>
  </si>
  <si>
    <t>winter clothing (Canada)</t>
  </si>
  <si>
    <t>CAM13</t>
  </si>
  <si>
    <t>At the G20 Summit in Bali, Indonesia, Canadian Prime Minister Justin Trudeau announced that Canada will provide $500 million in additional military assistance for Ukraine to assist the Armed Forces of Ukraine in defending their country against Russia’s brutal and unjustifiable invasion.</t>
  </si>
  <si>
    <t>https://pm.gc.ca/en/news/news-releases/2022/11/14/prime-minister-announces-additional-military-assistance-ukraine-and</t>
  </si>
  <si>
    <t>CAM14</t>
  </si>
  <si>
    <t>Canada will use 5 CAD million of the said funds to provide the Armed Forces with modern satellite imagery, 18 CAD million for high-resolution cameras for unmanned aerial vehicles, and the remaining 10 CAD million for winter gear, including portable heaters, blankets, and sleeping bags.</t>
  </si>
  <si>
    <t>CNH1</t>
  </si>
  <si>
    <t>China</t>
  </si>
  <si>
    <t>Donation in terms of daily necessities of the Chinese Red Cross to Ukraine.</t>
  </si>
  <si>
    <t>CNY</t>
  </si>
  <si>
    <t>https://www.reuters.com/world/china-provide-5-mln-yuan-worth-humanitarian-assistance-ukraine-2022-03-09/</t>
  </si>
  <si>
    <t>CNH2</t>
  </si>
  <si>
    <t>Donation in terms of daily necessities of the Chinese Red Cross to Ukraine. The "5 million CNY" of "Source of Aid 1" refer to CNH1.</t>
  </si>
  <si>
    <t>https://www.reuters.com/world/china/china-says-it-will-offer-10-mln-yuan-more-humanitarian-aid-ukraine-2022-03-21/</t>
  </si>
  <si>
    <t>HRH1</t>
  </si>
  <si>
    <t>Croatia</t>
  </si>
  <si>
    <t>Goods and equipment that will be provided from the available stockpiles of the Ministry of the Interior, the Ministry of Economy and Sustainable Development, the Ministry of Health, the Ministry of Foreign and European Affairs, and the Croatian Fire Service.</t>
  </si>
  <si>
    <t>HRK</t>
  </si>
  <si>
    <t>https://vlada.gov.hr/news/croatia-sending-emergency-aid-to-ukraine/33960</t>
  </si>
  <si>
    <t>https://hr.n1info.com/english/news/croatia-sends-emergency-aid-worth-e1-2m-to-ukraine-in-wake-of-russias-invasion/</t>
  </si>
  <si>
    <t>https://ba.n1info.com/english/news/croatia-sends-emergency-aid-worth-e1-2m-to-ukraine-in-wake-of-russias-invasion/</t>
  </si>
  <si>
    <t>HRH2</t>
  </si>
  <si>
    <t>Humanitarian aid worth of 1,516,800 HRK.</t>
  </si>
  <si>
    <t>https://civilna-zastita.gov.hr/vijesti/dostavljena-zurna-humanitarna-pomoc-ukrajini-u-organizaciji-ravnateljstva-civilne-zastite/5634</t>
  </si>
  <si>
    <t>https://mup.gov.hr/UserDocsImages/2022/4/112_8.pdf</t>
  </si>
  <si>
    <t>HRH3</t>
  </si>
  <si>
    <t xml:space="preserve">Croatia pledged an additional 5 million EUR contribution during the International Donors' Conference on May 5, 2022 (see 1:06:00 in "Source of Aid 1"). </t>
  </si>
  <si>
    <t>https://hr.n1info.com/svijet/ek-daje-200-mil-eura-za-ukrajince-plenkovic-hrvatska-ce-pomagati-iz-principa/</t>
  </si>
  <si>
    <t>https://www.24sata.hr/news/solidarnost-hrvatska-donirala-5-mil-eura-za-pomoc-ukrajini-833624</t>
  </si>
  <si>
    <t>HRH4</t>
  </si>
  <si>
    <t>16.4 tonnes of aid worth HRK 247311 (EUR 33000) were sent by the Vukovar-Srijem county with the help of cities and municipalities. The aid consists mainly of food, baby food, water and cosmetics.</t>
  </si>
  <si>
    <t>https://www.total-croatia-news.com/politics/63404-vukovar-srijem-county-sends-humanitarian-aid-to-ukraine</t>
  </si>
  <si>
    <t>https://www-vecernji-hr.translate.goog/vijesti/vukovarsko-srijemska-zupanija-uputila-pomoc-ukrajini-znamo-sto-znaci-biti-u-potrebi-1592483?_x_tr_sl=hr&amp;_x_tr_tl=it&amp;_x_tr_hl=it&amp;_x_tr_pto=sc</t>
  </si>
  <si>
    <t>https://www.vecernji.hr/vijesti/vukovarsko-srijemska-zupanija-uputila-pomoc-ukrajini-znamo-sto-znaci-biti-u-potrebi-1592483</t>
  </si>
  <si>
    <t>HRM1</t>
  </si>
  <si>
    <t xml:space="preserve">Protective military equipment and infantry weapons. No further information regarding the shipment has been disclosed.  </t>
  </si>
  <si>
    <t>https://vlada.gov.hr/news/croatia-had-sided-with-freedom-and-democracy-and-with-the-ukrainian-people-which-is-the-only-right-way/34979</t>
  </si>
  <si>
    <t>https://www.total-croatia-news.com/politics/60689-support-measures-for-ukraine</t>
  </si>
  <si>
    <t>https://www.jutarnji.hr/vijesti/hrvatska/donesen-paket-mjera-za-ukrajinu-hrvatska-salje-opremu-i-naoruzanje-u-vrijednosti-124-milijuna-kuna-15163892</t>
  </si>
  <si>
    <t>https://www.euractiv.com/section/politics/short_news/croatia-to-send-weapons-to-ukraine-provide-health-care-to-refugees/</t>
  </si>
  <si>
    <t>https://twitter.com/visegrad24/status/1503313508980637696</t>
  </si>
  <si>
    <t>CYH1</t>
  </si>
  <si>
    <t>Cyprus</t>
  </si>
  <si>
    <t xml:space="preserve">Cyprus has dispatched two shipments of humanitarian aid to Ukraine. The first one was sent on March 8, 2022, and includes a total of 150 tons of humanitarian aid, including 80 tons of food supplies (infant milk and food, flour, long life food), shelter equipment (sleeping bags, tents, blankets, biological toilets), 13 tons of medical supplies and medicines, 5000 pairs of shoes, 22500 liters of bottled water, electricity generator, personal hygiene kits and other civil protection and first aid equipment. The second one, instead, was sent on the 6.04.2022. No information regarding the second shipment has been disclosed. The total value of the two shipments is equal to 2 million EUR. </t>
  </si>
  <si>
    <t>ton of food</t>
  </si>
  <si>
    <t>https://mfa.gov.cy/press-releases/2022/03/09/cyprus-humanitarian-aid-to-ukraine/</t>
  </si>
  <si>
    <t>https://cyprus-mail.com/2022/04/06/aid-for-ukraine-now-tops-e2-million/</t>
  </si>
  <si>
    <t>ton of medical equipment</t>
  </si>
  <si>
    <t>liter of bottled water</t>
  </si>
  <si>
    <t>pair of shoes</t>
  </si>
  <si>
    <t>Power generator</t>
  </si>
  <si>
    <t>CYH2</t>
  </si>
  <si>
    <t>On June 3, it was reported that a third tranche of humanitarian aid (the first two tranches are covered in CYH1) is ready to be sent to Ukraine. According to "Source of Aid 1", this has a value of 500,000 EUR and "includes mainly medical equipment such as respirators, defibrillators and first aid supplies".</t>
  </si>
  <si>
    <t>https://in-cyprus.philenews.com/cyprus-third-humanitarian-aid-package-to-war-torn-ukraine-ready-to-be-shipped-photos/</t>
  </si>
  <si>
    <t>https://cyprus-mail.com/2022/06/03/third-humanitarian-aid-shipment-heading-to-ukraine/</t>
  </si>
  <si>
    <t>CZM1</t>
  </si>
  <si>
    <t>Czech Republic</t>
  </si>
  <si>
    <t>152mm artillery ammunition for different howitzers and self-propelled guns for a total of 36.6 million CZK.</t>
  </si>
  <si>
    <t>CZK</t>
  </si>
  <si>
    <t>https://www.czdefence.com/article/czech-republic-donates-artillery-ammunition-worth-czk-366-million-to-ukraine</t>
  </si>
  <si>
    <t>https://czechdaily.cz/the-czech-republic-is-sending-thousands-of-artillery-shells-to-ukraine/</t>
  </si>
  <si>
    <t>CZM2</t>
  </si>
  <si>
    <t>Weapons and ammunitions of various types, including pistols, machine guns, submachine guns and sniper rifles.</t>
  </si>
  <si>
    <t>9mm pistol vz. 82</t>
  </si>
  <si>
    <t>https://www.vlada.cz/cz/media-centrum/aktualne/vlada-schvalila-dalsi-dar-v-podobe-vojenskeho-materialu-ukrajine-194585/</t>
  </si>
  <si>
    <t>7.62 mm assault rifle vz. 58</t>
  </si>
  <si>
    <t>hub NB 7.62-43</t>
  </si>
  <si>
    <t>hub NB 7.62-SV 43</t>
  </si>
  <si>
    <t>7.65mm submachine gun vz. 61 Scorpio</t>
  </si>
  <si>
    <t>hub NB 7.65-Browning</t>
  </si>
  <si>
    <t>7.62 mm universal machine gun vz.59</t>
  </si>
  <si>
    <t>7.62 mm sniper rifle Dragunov</t>
  </si>
  <si>
    <t>hub NB 7,62-59 (TŽ, OKRAJ.)</t>
  </si>
  <si>
    <t>hub NB 7,62-SV 59 (TŽ-SV)</t>
  </si>
  <si>
    <t>hub NB 7,62-PZ 59 (PZ EDGE)</t>
  </si>
  <si>
    <t>12.7mm sniper rifle Falcon</t>
  </si>
  <si>
    <t>CZM3</t>
  </si>
  <si>
    <t>Lethal and non-lethal items, worth 400 million CZK. "Source of Aid 3" speaks of 188 million CZK, reported in CZM2.</t>
  </si>
  <si>
    <t>shoulder fired MANPAD</t>
  </si>
  <si>
    <t>https://www.vlada.cz/cz/media-centrum/aktualne/vlada-petra-fialy-schvalila-dalsi-vojenskou-pomoc-bojujici-ukrajine-194603/</t>
  </si>
  <si>
    <t>https://www.praguemorning.cz/czech-governmenet-approves-czk-400-million-in-military-aid-for-ukraine/</t>
  </si>
  <si>
    <t>https://www.politico.com/news/2022/03/22/ukraine-weapons-military-aid-00019104</t>
  </si>
  <si>
    <t>https://www.rferl.org/a/czech-republic-poland-new-military-aid-ukraine/31873938.html</t>
  </si>
  <si>
    <t>FN Minimi</t>
  </si>
  <si>
    <t>CZ 805 BREN</t>
  </si>
  <si>
    <t>CZ Scorpion Evo 3</t>
  </si>
  <si>
    <t>bullet</t>
  </si>
  <si>
    <t>tactical gloves</t>
  </si>
  <si>
    <t>CZM4</t>
  </si>
  <si>
    <t xml:space="preserve">Weapons, ammunitions and equipment, worth 17 million crowns. The delivery was made by Czech arm manufactures, but it has been scrutinized and negotiated with the Czech Government. </t>
  </si>
  <si>
    <t>https://www.vlada.cz/cz/media-centrum/aktualne/vlada-schvalila-dalsi-materialni-pomoc-pro-ukrajinu-a-opatreni-na-pomoc-se-zvladnutim-migracni-krize-194727/</t>
  </si>
  <si>
    <t>https://english.radio.cz/czech-republic-sending-more-arms-ukraine-8743811</t>
  </si>
  <si>
    <t>CZM5</t>
  </si>
  <si>
    <t>According to a government spokesman's statement, the Czech Government plans to deliver further military aid worth 31.5 million USD to Ukraine (see "Source of Aid 3"). "Source of Aid 1" cites 750 million CZK of total military assistance, delivered to Ukraine before this aid package. This sum is reported in transactions CZM1-CZM4, CZM6, and in CZM8-CZM10.</t>
  </si>
  <si>
    <t>https://english.radio.cz/czech-republic-send-more-arms-ukraine-8745032</t>
  </si>
  <si>
    <t>https://www.reuters.com/article/ukraine-crisis-czech-arms-idUSL2N2VG078</t>
  </si>
  <si>
    <t>https://edition.cnn.com/europe/live-news/ukraine-russia-putin-news-03-13-22/h_025dcb1758c374a11f208c39d687f1b0</t>
  </si>
  <si>
    <t>CZM6</t>
  </si>
  <si>
    <t>Military material. No further Information has been disclosed. "Source of Aid 1" lists additional donations reported in CZH1-CZH4, CZM1-CZM4, and in CZM8-CZM12.</t>
  </si>
  <si>
    <t>https://www.vlada.cz/cz/media-centrum/aktualne/informace-v-souvislosti-s-invazi-ruska-na-ukrajinu-194507/</t>
  </si>
  <si>
    <t>CZM7</t>
  </si>
  <si>
    <t>22 ballistic vests (protective gear). "Source of Aid 1" lists additional donations reported in CZH1-CZH4, CZM1-CZM4, CZM6 and in CZM8-CZM12.</t>
  </si>
  <si>
    <t>CZM8</t>
  </si>
  <si>
    <t>unspecified</t>
  </si>
  <si>
    <t>Equipment, ballistic protection, opticsal and other small material to Ukraine for a total of 53.26 million crowns. "Source of Aid 1" lists additional donations reported in CZH1-CZH4, CZM1-CZM4, CZM6, CZM7 and in CZM9-CZM12.</t>
  </si>
  <si>
    <t>CZM9</t>
  </si>
  <si>
    <t>until 3/10/2022</t>
  </si>
  <si>
    <t>Fuel and petrol for the Ukraine Armed Forces. "Source of Aid 2" lists additional donations reported in CZH1-CZH4, in CZM1-CZM4, CZM6-CZM8, and CZM10-CZM12.</t>
  </si>
  <si>
    <t>https://www.vlada.cz/cz/media-centrum/aktualne/vlada-kvuli-migracni-krizi-vyhlasila-od-patku-nouzovy-stav--schvalila-i-dalsi-pomoc-pro-ukrajinu-a-navrh-na-zvyseni-vydaju-na-obranu-194695/</t>
  </si>
  <si>
    <t>CZM10</t>
  </si>
  <si>
    <t>The aid package consists of 6 fire engines. "Source of Aid 1" lists additional donations reported in CZH1-CZH4, CZM6-CZM9 and CZM11-CZM12.</t>
  </si>
  <si>
    <t>fire-engine</t>
  </si>
  <si>
    <t>CZM11</t>
  </si>
  <si>
    <t>Weapons and equipment. Official sources did not disclose the value of the shipment and, since we could always rely on Czech official sources, we decided not to report rumors or unconcise statements of politicians, such as the one made by the Czech Minister of Defense, who spoke vaguely on the March 13 about doubling the military assistance (see CZM5). "Source of Aid 2" lists additional donations reported in  CZH1-CZH4, CZM1-CZM4, CZM6- CZM10, CZM12.</t>
  </si>
  <si>
    <t>CZM12</t>
  </si>
  <si>
    <t>Provision of defense material, with no reference to lethal items in the source. 52 ballist vests are included in the shipment. Moreover, "Source of Aid 1" lists additional donations reported in CZH1-CZH4, CZM1-CZM4, CZM6-CZM10.</t>
  </si>
  <si>
    <t>CZM13</t>
  </si>
  <si>
    <t>Help in armoured vehicle servicing.</t>
  </si>
  <si>
    <t>https://www.czdefence.com/article/ukrainian-armoured-vehicles-will-be-repaired-in-the-czech-republic#:~:text=Ukrainian%20armoured%20vehicles%20will%20be%20repaired%20in%20the%20Czech%20Republic,-19.&amp;text=The%20Ministry%20of%20Defence%20of,the%20Czech%20Republic%20and%20Slovakia.</t>
  </si>
  <si>
    <t>CZM14</t>
  </si>
  <si>
    <t>According to unofficial sources, Czech Republic has been sending tanks since the beginning of the conflict. On April 5, photos of 5 T72 and 5 BVP-1 infantry fighting vehicles leaving to Ukraine from Czech Republic have started circulating in social networks. Thanks to new information on the weapons swap between Germany and Czech Republic (see Source of Aid 3), we know that Czech Republic has sent at least 20 T-72 tanks and will probably receive 14 Leopard 2 A4 models and one rescue tank based on Leopard, from Germany. According to Source of Aid 4 and the delivery source, Czechia has sent 40 tanks to Ukraine. We therefore take this number as committed as well as delivered.</t>
  </si>
  <si>
    <t>Modified T-72 tank (T-72A/T-72M1/M1R)</t>
  </si>
  <si>
    <t>https://www.reuters.com/world/europe/czech-republic-sends-tanks-ukraine-czech-tv-reports-2022-04-05/</t>
  </si>
  <si>
    <t>https://echo24.cz/a/SrjYb/cesko-poslalo-na-ukrajinu-desitky-tanku-t-72-a-bvp</t>
  </si>
  <si>
    <t>https://www.wsj.com/articles/ukraine-quietly-receives-tanks-from-czech-republic-to-support-war-effort-11649160666</t>
  </si>
  <si>
    <t>https://www.forbes.com/sites/sebastienroblin/2022/10/28/czech-super-t-72m4-tanks-seen-headed-towards-ukraine/?sh=679ee5423ce7</t>
  </si>
  <si>
    <t>BVP-1 infantry fighting vehicle</t>
  </si>
  <si>
    <t>CZM15</t>
  </si>
  <si>
    <t>Lethal and non-lethal items."Source of Aid 2" lists additional sources reported in CZH1-CZH4, CZM1-CZM4, CZM6- CZM10, CZM12 and CZM14.</t>
  </si>
  <si>
    <t>CZM16</t>
  </si>
  <si>
    <t>unclear, 04/22</t>
  </si>
  <si>
    <t xml:space="preserve">Shipment of RM-70 Multiple Rocket Launchers and Dana Howitzers. This shipment comes in addition of the T72 tanks, 152 mm field guns and BMP1 reported in CZM14 and CZM13. </t>
  </si>
  <si>
    <t>RM-70 multiple rocket launcher</t>
  </si>
  <si>
    <t>https://mezha.media/en/2022/04/15/new-weapon-deliveries-from-the-czech-republic-dana-self-propelled-artillery-and-rm-70-multiple-rocket-launcher/</t>
  </si>
  <si>
    <t>https://gagadget.com/en/129425-they-will-pour-armed-forces-of-ukraine-have-already-received-czech-multiple-launch-rocket-systems-rm-70/</t>
  </si>
  <si>
    <t>Dana Howitzer</t>
  </si>
  <si>
    <t>CZM17</t>
  </si>
  <si>
    <t>Attack helicopters. According to "Source of Aid 1", Czech Republic will most likely send the Mi-24 helicopters, since they are Soviet in origin and thus require little-to-no training. Also, according to "Source of Aid 2" Czech Republic will probably send all Mi-24 in stock, namely seven units.</t>
  </si>
  <si>
    <t>Mi-24 attack helicopter</t>
  </si>
  <si>
    <t>https://www.flightglobal.com/helicopters/czech-republic-sending-attack-helicopters-to-ukraine/148770.article</t>
  </si>
  <si>
    <t>https://en.defence-ua.com/industries/czechia_sends_ukraine_mi_24_attack_helicopters-3051.html</t>
  </si>
  <si>
    <t>https://www.globaldefensecorp.com/2022/07/31/czech-republic-donates-mi-24-helicopters-to-ukraine/#:~:text=The%20Ukrainian%20military%20confirmed%20that%20the%20Armed%20Forces,Of%20Mi-24%20Helicopters%20To%20Ukraine%20May%2027%2C%202022</t>
  </si>
  <si>
    <t>CZM18</t>
  </si>
  <si>
    <t>The Czech Ministry of Defense declared that the Czech Republic will send in between 26 and 30 million USD  in additional in-kind military aid to Ukraine. The 150 million USD mentioned in "Source of Aid 1" are covered in CZM1-CZM15. We do not consider the CZM16 being part of the 150 million USD mentioned in "Source of Aid 1", since it is only a commitment, whereas the source explicitly refers to the monetary value of the deliveries. No detail regarding the items was revealed.</t>
  </si>
  <si>
    <t>CZM19</t>
  </si>
  <si>
    <t xml:space="preserve">The Czech Ministry of Defense stated that the country has supplied material worth 4.2 billion crowns, as of 5 October. We take this value as an official benchmark and subtract from it the values from CZM1-18 (using exchange rate 1 USD = 24.57 CZK for USD entries), which is 2,398,378,550 CZK. Therefore, the amount of unisclosed military aid is 1,801,621,450 CZK </t>
  </si>
  <si>
    <t xml:space="preserve">Yes </t>
  </si>
  <si>
    <t>https://mocr.army.cz/informacni-servis/zpravodajstvi/jednani-ministryne-s-ceskymi-zbrojari--ocenuji-podporu-exportu-i-ceskych-zakazek-239387/</t>
  </si>
  <si>
    <t>CZM20</t>
  </si>
  <si>
    <t>Czech Republic approved a new batch of military aid to Ukraine with equipment, weapons, and ammunition. The package includes heavy equipment, short-barreled and long-barreled weapons, as well as ammunition, but further details of the deal are not being disclosed in the Czech Republic for security reasons. According to Source of Aid 2, the value of the package is 7.5 million USD</t>
  </si>
  <si>
    <t>https://mil.in.ua/en/news/czech-republic-to-transfer-heavy-equipment-and-weapons-to-ukraine/</t>
  </si>
  <si>
    <t>https://english.nv.ua/nation/czech-republic-prepares-new-military-aid-package-for-ukraine-50278050.html</t>
  </si>
  <si>
    <t>CZM21</t>
  </si>
  <si>
    <t>Military equipment</t>
  </si>
  <si>
    <t xml:space="preserve">The Czech Republic has prepared a new military package for Ukraine, with equipment and supplies. There are no other details of the aid package. </t>
  </si>
  <si>
    <t>CZM22</t>
  </si>
  <si>
    <t xml:space="preserve">US and Netherlands partner to refurbish 90 Czech T-72 tanks to be sent to Ukraine. The refurbishment project costs a total of 90 million USD, which means it costs 1 million USD per tank. We estimate the cost of a T-72 tank as roughly 1.5 million USD, which means that the monetary value of the tank attributed to Czech Republic is 500,000 USD. For 90 tanks, this value is 45 million USD.   </t>
  </si>
  <si>
    <t>unrefurbished T-72 (US, NL, CZ)</t>
  </si>
  <si>
    <t>https://media.defense.gov/2022/Nov/04/2003108893/-1/-1/0/USAI-7-CZE-TANKS-US-NLD-CZE-PRESS-STATEMENT.PDF</t>
  </si>
  <si>
    <t>https://www.thedrive.com/the-war-zone/ukraine-to-get-90-t-72b-tanks-from-czech-republic</t>
  </si>
  <si>
    <t>https://www.defensenews.com/pentagon/2022/11/04/us-netherlands-go-dutch-to-refurbish-czech-tanks-for-ukraine/</t>
  </si>
  <si>
    <t>CZM23</t>
  </si>
  <si>
    <t xml:space="preserve">Assistance </t>
  </si>
  <si>
    <t xml:space="preserve">The Czech government plans to provide training to up to 4000 Ukrainian troops. The training will cost 975 million crowns ($41.60 million USD) </t>
  </si>
  <si>
    <t>https://www.reuters.com/world/europe/czechs-plan-train-4000-ukrainian-troops-2022-11-16/</t>
  </si>
  <si>
    <t>CZH1</t>
  </si>
  <si>
    <t>Release of 300 million CZK for humanitarian assistance. These funds will be used for the immediate needs of the civilian population of Ukraine, especially medical supplies and medical capacities, and for needs related to forced displacement (i.e. emergency accommodation, provision of drinking water, food, other basic material needs and health care). "Source of Aid 1" lists additional sources reported in CZH1-CZH4 and in CZM6-CZM11.</t>
  </si>
  <si>
    <t>https://czechdaily.cz/the-government-will-send-to-ukraine-czk-300-million-in-aid/</t>
  </si>
  <si>
    <t>https://www.vlada.cz/cz/media-centrum/aktualne/bezpecnostni-rada-statu-se-zabyvala-aktualni-bezpecnostni-situaci-po-napadeni-nezavisle-ukrajiny-vojsky-ruske-federace-194513/</t>
  </si>
  <si>
    <t>CZH2</t>
  </si>
  <si>
    <t xml:space="preserve">Medical supplies. "Source of Aid 1" mentions additional 10 million in tied cash assistance. This is reported in CZH2. </t>
  </si>
  <si>
    <t>https://www.expats.cz/czech-news/article/czech-republic-to-donate-100-million-crowns-of-medical-supplies-to-ukraine?msclkid=70d47c46ab9e11eca12fbfc7dff1390d</t>
  </si>
  <si>
    <t>CZH3</t>
  </si>
  <si>
    <t>Tied cash assistance of 10 million CZK for the purchase of medical supplies. "Source of Aid 1" mentions additional 108 million CZK being contributed through in-kind donations. This is reported in CZH1.</t>
  </si>
  <si>
    <t>CZH4</t>
  </si>
  <si>
    <t>Assistance and Equipment</t>
  </si>
  <si>
    <t xml:space="preserve">Assistance to the International Committee of Red Cross in Ukraine. Since the package is directed to the Red Cross in Ukraine and, thus, constitutes a direct flow into Ukraine, we included it in the dataset. "Source of Aid 1" lists additional sources reported in CZH1-CZH3, CZM1-CZM4 and in CZM6-CZM11. 
</t>
  </si>
  <si>
    <t>CZH5</t>
  </si>
  <si>
    <t>Humanitarian donation in form of durable food for internally displaced people. This is in addition to the remaining packages mentioned by the source and reported in our dataset: the 36.6 million CZK in CZM1, 188 million CZK in CZM2, 400 million CZK in CZM3, 24 million CZK in CZM6, 10 million CZK in CZH2, 300 million CZK in CZH3, 25 million CZK in CZH4, 30 million CZK in CZM9, 53.26 million CZK in CZM8, 4.5 million CZK in CZM10, 857,000 CZK in CZM12 and 133 million CZK in CZM14. The remainder of the aid reported in the source is not directed to Ukraine and, hence, is not reported in our dataset.</t>
  </si>
  <si>
    <t>CZH6</t>
  </si>
  <si>
    <t>Humanitarian aid (01:33:00 of "Source of Aid 1"). No further information has been disclosed.</t>
  </si>
  <si>
    <t>CZH7</t>
  </si>
  <si>
    <t xml:space="preserve">Donation of two temporary bridges for civilian transport. </t>
  </si>
  <si>
    <t>temporary bridge</t>
  </si>
  <si>
    <t>https://mil.in.ua/en/news/ukraine-has-received-two-temporary-bridges-for-civilian-transport-from-the-czech-republic/</t>
  </si>
  <si>
    <t>CZH8</t>
  </si>
  <si>
    <t>The shipment amounts to 100 million CZK and includes medical equipment, firefighting equipment and workwear. Among all, it also includes 3.64 million disposable gloves and around 500,000 single-use protective suits.</t>
  </si>
  <si>
    <t>disposable glove</t>
  </si>
  <si>
    <t>https://english.radio.cz/czech-republic-sends-further-humanitarian-aid-ukraine-8752601</t>
  </si>
  <si>
    <t>single-use protective suit</t>
  </si>
  <si>
    <t>DKH1</t>
  </si>
  <si>
    <t>Denmark</t>
  </si>
  <si>
    <t>not specified, 03/22</t>
  </si>
  <si>
    <t>Cars, generators and more. The operation is coordinated by the Danish Emergency Management Facility. Note that the total sum of 668 million DKK reported in "Source of Aid 1" can be divided into 8 million DKK, 20 million DKK (DKH2), 10 million DKK (DKH3), 50 million DKK (DKH4), 50 million DKK (DKH5) and 140 million DKK (DKH6). Additionally, the package consisting of 150 million DKK directed to the World Bank corresponds to the Danish share of 20 million EUR reported in DKF1. We do not consider the remaining packages cited in the source, since they all represent flows going to international organizations: 105 million DKK to UN organizations (UNHCR, OCHA, UNICEF), 115 million DKK to Danish and International organizations and 20 million DKK to the International Red Cross. We consider this aid package to have been pledged entirely in March for Analysis of aid over time purposes.</t>
  </si>
  <si>
    <t>DKK</t>
  </si>
  <si>
    <t>https://um.dk/danida/lande-og-regioner/ukraine</t>
  </si>
  <si>
    <t>DKH2</t>
  </si>
  <si>
    <t>Infrastructure</t>
  </si>
  <si>
    <t>Construction of a civilian mobile hospital. The operation is coordinated by the Danish Emergency Management Facility. For the further amounts reported in "Source of Aid 1", see explanation in DKH1. We consider this aid package to have been pledged entirely in March for Analysis of aid over time purposes.</t>
  </si>
  <si>
    <t>DKH3</t>
  </si>
  <si>
    <t>Fund of 10 million DKK to finance Danish civil society organizations working in Ukraine. The aid focuses on protection, food and emergency shelter. For an explanation about additional amounts reported in "Source of Aid 1", refer to DKH1. We consider this aid package to have been pledged entirely in March for Analysis of aid over time purposes.</t>
  </si>
  <si>
    <t>DKH4</t>
  </si>
  <si>
    <t xml:space="preserve">Drugs and medical equipment for Ukraine and neighboring countries, aimed at assisting Ukrainian refugees. For an explanation about additional amounts reported in "Source of Aid 1", refer to DKH1. Source of Aid 2 reports this as Health related donations. </t>
  </si>
  <si>
    <t>https://um.dk/en/foreign-policy/danish-support-for-ukraine</t>
  </si>
  <si>
    <t>DKH5</t>
  </si>
  <si>
    <t>Drugs, as a response to a request made by Ukraine through the EU's Crisis Response Team (HERA). For an explanation about additional amounts reported in "Source of Aid 1", refer to DKH1. Source of Aid 2 reports these as Health related donations.</t>
  </si>
  <si>
    <t>https://sum.dk/nyheder/2022/marts/danmark-donerer-medicin-og-medicinsk-udstyr-til-ukraine</t>
  </si>
  <si>
    <t>DKH6</t>
  </si>
  <si>
    <t>not specified, 05/22</t>
  </si>
  <si>
    <t>Additional 155 million DKK for humanitarian efforts in Ukraine. Since no further information was disclosed, we cannot determine whether the amount will be devoted directly to Ukraine or to international organizations. To avoid underestimating the true extent of assistance, we include this amount in our data.</t>
  </si>
  <si>
    <t>https://um.dk/en/danida/countries-and-regions/ukraine#:~:text=Denmarks%20has%20allocated%20another%20DKK,war%20crimes%20committed%20in%20Ukraine.</t>
  </si>
  <si>
    <t>DKH7</t>
  </si>
  <si>
    <t>not specified, 8/2022</t>
  </si>
  <si>
    <t>Reconstruction</t>
  </si>
  <si>
    <t xml:space="preserve">In August 2022, the Danish Ministry of the Interior reported a reconstruction commitment for the city of  Mykolaiv (Source of Aid 1). Initially, this commitment was over 13.4 million EUR, but increased in November 2022 to 16 million EUR (Source of Aid 2). This donation will report the entire reconstruction effort. </t>
  </si>
  <si>
    <t>Independence Day of Ukraine - Six months since the Russia invasion (um.dk)</t>
  </si>
  <si>
    <t>Danish support for Ukraine (um.dk)</t>
  </si>
  <si>
    <t>DKH8</t>
  </si>
  <si>
    <t>not specified, 10/2023</t>
  </si>
  <si>
    <t xml:space="preserve">The Danish humanitarian contribution is stated to amount to EUR 85.4 million in November 2022. Since our dataset covers only EUR 67.2 million at this point, we add the difference (EUR 18.2 million) as an unspecified humanitarian contribution. </t>
  </si>
  <si>
    <t>DKM1</t>
  </si>
  <si>
    <t>On April 21, the Prime Minister announced to provide additional military aid for 600 million DKK. She declared that this would bring the total military assistance to Ukraine to 1 billion DKK. This implies that Denmark has previously provided military assistance worth 400 million DKK (see "Source of Aid 1"). This prior assistance includes at least the announcement to send anti-tank missiles, anti-aircraft systems, drones as well as protective vests and hygiene kits (see "Source of Aid 2", "Source of Aid 3"). "Source of Aid 4" reports that as part of the 600 million DKK, Denmark sent armored personnel carriers, anti-tank mines and mortars as well as mortar shells. According to Source of Aid 2, Denmark has approved the delivery of the remaining M113 APCs and misc. other in-kind military goods from this package. We therefore consider this package as being entirely delivered.</t>
  </si>
  <si>
    <t>https://www.reuters.com/world/europe/spains-pm-sanchez-denmarks-pm-frederiksen-visit-kyiv-2022-04-21/</t>
  </si>
  <si>
    <t>https://www.armyrecognition.com/defense_news_april_2022_global_security_army_industry/denmark_approves_delivery_of_m113_tracked_armored_vehicles_and_ammunition_to_ukraine.html</t>
  </si>
  <si>
    <t>https://en.kriseinformation.dk/denmarks-reactions/denmarks-contributions</t>
  </si>
  <si>
    <t>https://twitter.com/kyivindependent/status/1520462556338569216?lang=en</t>
  </si>
  <si>
    <t>https://www.youtube.com/watch?v=S4G4kaNLqbk</t>
  </si>
  <si>
    <t>Stinger anti-aircraft system</t>
  </si>
  <si>
    <t>https://www.globaldefensecorp.com/2022/03/04/denmark-delivered-2700-anti-tank-rockets-and-300-stinger-missiles-to-ukraine/</t>
  </si>
  <si>
    <t>Skywatch drone</t>
  </si>
  <si>
    <t>https://militaryleak.com/2022/05/01/denmark-to-send-m113-armored-personnel-carriers-and-weapons-to-ukraine/</t>
  </si>
  <si>
    <t>hygiene kit</t>
  </si>
  <si>
    <t>mine</t>
  </si>
  <si>
    <t>M10 mortar</t>
  </si>
  <si>
    <t>M10 mortar shell</t>
  </si>
  <si>
    <t>DKM2</t>
  </si>
  <si>
    <t>until 5/31/2022</t>
  </si>
  <si>
    <t>Denmark pledged to deliver one Harpoon coastal defense missile system, together with an undisclosed number of missiles and other equipment such as ballistic vests. As the Defence Minister of Denmark stated in an interview on May 31, the total military aid has by then reached 2 billion DKK (see "Source of Aid 1"). So accounting for the reported 1 billion DKK in DKM1, we only report 1 billion DKK in this entry in order to avoid double counting. We report this new shipment of Harpoon coastal defence systems and missiles as having been pledged in May as the announcement was done in that month. This is done only for Analysis of aid over time purposes.</t>
  </si>
  <si>
    <t>Harpoon coastal defense missile system</t>
  </si>
  <si>
    <t>https://cphpost.dk/?p=134195</t>
  </si>
  <si>
    <t>https://www.reuters.com/article/us-ukraine-crisis-harpoon-idUKKCN2N91YC</t>
  </si>
  <si>
    <t>https://www.euractiv.com/section/politics/short_news/denmark-to-send-harpoon-launchers-missiles-to-ukraine/</t>
  </si>
  <si>
    <t>https://mil.in.ua/en/news/harpoon-what-is-known-about-danish-coastal-missile-systems/</t>
  </si>
  <si>
    <t>https://www.reuters.com/world/europe/ukraine-receives-harpoon-missiles-howitzers-says-defence-minister-2022-05-28/</t>
  </si>
  <si>
    <t>Harpoon coastal defense missile</t>
  </si>
  <si>
    <t>DKM3</t>
  </si>
  <si>
    <t>Weapons, equipment and assistance</t>
  </si>
  <si>
    <t xml:space="preserve">During the international donors conference in Copenhagen, the Danish government committed a new package of approximately DKK 820 million for financing weapons and training for Ukraine. Previously, the Danish government informed that it would allocate DKK 100 million to train Ukrainian solders (Source of aid 2), indicating that it will be included in the aid package during the conference. Thus, we consider the costs of the training program to be included in DKK 820 million package. Additionally, the Danish contribution to joint financing of Zuzana-2 howitzers is done with means from this package. The joint project is set between Denmark, Germany and Norway. </t>
  </si>
  <si>
    <t>Zusana-2 howitzer</t>
  </si>
  <si>
    <t>https://www.regeringen.dk/nyheder/2022/ny-massiv-donationspakke-til-ukraine/</t>
  </si>
  <si>
    <t>https://www.fmn.dk/en/news/2022/130-danish-soldiers-will-train-ukrainian-colleagues/</t>
  </si>
  <si>
    <t>https://twitter.com/DanishMFA/status/1557711944626438145</t>
  </si>
  <si>
    <t>DKM4</t>
  </si>
  <si>
    <t>unclear, 09/2022</t>
  </si>
  <si>
    <t xml:space="preserve">On October 2, Denmark released new information that their official military commitment to Ukraine now amounts to DKK 3.8 billion, or EUR 510 million. We therefore attribute the difference between our military commitment numbers until that point (DKK 2.820 billion) and the official numbers until November 20 (Release 8), DKK 3.8 billion, which amounts to DKK 973 million, or EUR 130.8 million, in this package. </t>
  </si>
  <si>
    <t>DKF1</t>
  </si>
  <si>
    <t>Denmark has contributed 20 million EUR to the Multi donor trust fund, established by the World Bank to facilitate financial support to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Latvia, Lithuania and Iceland with 12 million USD (together), Austria with 10 million EUR as well and Japan with 100 million USD.</t>
  </si>
  <si>
    <t>https://www.worldbank.org/en/news/press-release/2022/03/07/world-bank-mobilizes-an-emergency-financing-package-of-over-700-million-for-ukraine</t>
  </si>
  <si>
    <t>https://um.dk/en/danida/countries-and-regions/ukraine#:~:text=World%20Bank%3A%20DKK%20150%20million%20(approx.&amp;text=DKK%20150%20million%20(EUR%2020.2,billion)%20to%20the%20Ukrainian%20government.</t>
  </si>
  <si>
    <t>DKF2</t>
  </si>
  <si>
    <t>Loan guarantee by Denmark (37.5 million EUR) for Public Expenditures for Administrative Capacity Endurance in Ukraine (PEACE) Project through the World Bank. The project's goal is to support continued government capacity.</t>
  </si>
  <si>
    <t>https://www.worldbank.org/en/news/press-release/2022/09/30/world-bank-mobilizes-additional-530-million-in-support-to-ukraine</t>
  </si>
  <si>
    <t>Denmark provides a guarantee of DKK 280 million to Ukraine's hard-hit economy | Foreign ministry (ritzau.dk)</t>
  </si>
  <si>
    <t>EEM1</t>
  </si>
  <si>
    <t>Estonia</t>
  </si>
  <si>
    <t>until 6/7/2022</t>
  </si>
  <si>
    <t>The military assistance from Estonia to Ukraine has been estimated at around 240 million EUR (see "Source of Aid 5"). In comparison to the previous update of our dataset (May 10, 2022) this is an increase of 20 million EUR.  The shipment includes: missiles for anti-tank weapon system Javelin; Javelin launchers; ammunition; medical equipment; personal equipment; 25,000 field rations announced on 25 February; an undisclosed number of D-30 howitzers, originally put forward on December 30, 2021, but stalled due to required approval from their previous owner - Germany (approved on February 26) and Finland (approved on February 27). This list should only be considered as indicative, since most of the information regarding the assistance has remained undisclosed. We consider this aid package to have been committed entirely in May 2022. This is done only for Analysis of Aid over time purposes and does not change the interpretation or evaluation of the aid in any other way.</t>
  </si>
  <si>
    <t>food ration M</t>
  </si>
  <si>
    <t xml:space="preserve">https://vm.ee/en/humanitarian-aid-ukraine#:~:text=Estonian%20people%2C%20government%20and%20private,aid%20to%20Ukraine%20in%20total &amp;text=Govermental%20aid%20means%20means%20assistance,state%20budget%20through%20state%20agencies </t>
  </si>
  <si>
    <t>https://kaitseministeerium.ee/en/news/estonia-donated-missiles-anti-tank-weapon-system-javelin-ukraine</t>
  </si>
  <si>
    <t>https://news.err.ee/1608589426/estonia-s-military-aid-to-ukraine-totals-230-million</t>
  </si>
  <si>
    <t>https://news.err.ee/1608555886/estonia-s-220-million-military-aid-to-ukraine-substantially-diversified</t>
  </si>
  <si>
    <t>https://www.ukrinform.net/rubric-polytics/3501933-estonia-has-provided-240m-in-military-aid-to-ukraine-korniyenko.html</t>
  </si>
  <si>
    <t>Javelin anti-tank missile</t>
  </si>
  <si>
    <t>D-30 Howitzer</t>
  </si>
  <si>
    <t>minesweeper</t>
  </si>
  <si>
    <t>single-use anti-tank granade launcher</t>
  </si>
  <si>
    <t>recoiless anti-tank gun</t>
  </si>
  <si>
    <t>automatic fire arm</t>
  </si>
  <si>
    <t>small-calibre ammunition</t>
  </si>
  <si>
    <t>fuse</t>
  </si>
  <si>
    <t>lifejacket</t>
  </si>
  <si>
    <t>radio transmitter</t>
  </si>
  <si>
    <t>drone</t>
  </si>
  <si>
    <t>thermal imagery system</t>
  </si>
  <si>
    <t>laser rangefinder</t>
  </si>
  <si>
    <t>Mamba 4x4 armoured vehicle</t>
  </si>
  <si>
    <t>https://www.armyrecognition.com/ukraine_-_russia_conflict_war_2022/mamba_mk_2_4x4_armored_vehicles_formerly_from_estonian_army_now_used_by_ukrainian_soldiers.html?jampmain</t>
  </si>
  <si>
    <t>https://en.defence-ua.com/weapon_and_tech/ukrainian_defense_forces_will_get_several_alvis_apc_from_estonia-2973.html</t>
  </si>
  <si>
    <t>EEM2</t>
  </si>
  <si>
    <t xml:space="preserve">Liters of fuel. See bottom of "Source of Aid1". The rest of the aid mentioned in the source is reported under the id EEM1. </t>
  </si>
  <si>
    <t>liter of fuel M</t>
  </si>
  <si>
    <t>https://www.kaitseinvesteeringud.ee/en/estonian-military-aid-to-ukraine-has-been-substantially-diversified/</t>
  </si>
  <si>
    <t>EEM3</t>
  </si>
  <si>
    <t>Estonia, in cooperation with Germany, built and delivered a field hospital to Ukraine. Germany contributed to the cooperation project by donating 5.3 million euros, for the purchase of a field hospital. Estonian Defence Forces will organise a 13-day training course for Ukrainian military medical instructors.</t>
  </si>
  <si>
    <t>Field hospital</t>
  </si>
  <si>
    <t>https://kyiv.mfa.ee/en/2022/02/estonia-and-germany-to-donate-military-field-hospital-to-ukraine/</t>
  </si>
  <si>
    <t>https://twitter.com/mod_estonia/status/1507641039745605634?lang=en</t>
  </si>
  <si>
    <t>EEM4</t>
  </si>
  <si>
    <t>Estonia, in cooperation with Germany, built and delivered a second field hospital to Ukraine. Germany contributed to the cooperation project by donating 7.7 million euros, for the purchase of a field hospital. In addition, the non-profit organisation Slava Ukraini granted EUR 120,000 from the donations made to it for the purchase of medical equipment for the field hospital. Hence, we take the overall value of this donation be EUR 7.82 million. Source of aid 2 mentions that medical supplies will also be sent. We assume that the medical supplies were delivered along with the field hospital.</t>
  </si>
  <si>
    <t>https://kaitseministeerium.ee/en/news/estonia-increase-defence-aid-ukraine</t>
  </si>
  <si>
    <t>https://www.thedefensepost.com/2022/08/19/estonia-aid-weapons-ukraine/</t>
  </si>
  <si>
    <t>https://twitter.com/oleksiireznikov/status/1569670474841427971</t>
  </si>
  <si>
    <t>https://mil.in.ua/en/news/estonia-handed-over-the-second-modern-mobile-hospital-to-the-ukrainian-army/</t>
  </si>
  <si>
    <t>EEM5</t>
  </si>
  <si>
    <t>On Aug 18, Estonia announced additional defence aid to Ukraine, which includes additional lethal aid such as mortars and anti-tank weaponry. Source of Aid 3 states that the total amount of military aid Estonia has provided is 255 million EUR, as of 7 October. Subtracting EEM1 and EEM2 from this value (EEM3-4, the cooperation with Germany, is not included) leaves 10 million EUR, which we attribute to EEM5</t>
  </si>
  <si>
    <t>mortar (Estonia)</t>
  </si>
  <si>
    <t>https://www.kyivpost.com/russias-war/estonia-to-boost-military-assistance-for-ukraine.html</t>
  </si>
  <si>
    <t>https://kaitseministeerium.ee/en/news/estonia-sending-ukraine-ammunition-and-equipment</t>
  </si>
  <si>
    <t>Value is given by the souce</t>
  </si>
  <si>
    <t>anti-tank weapon</t>
  </si>
  <si>
    <t>EEM6</t>
  </si>
  <si>
    <t>Estonian Minister of Defense submits the next military aid package to the government. The package will include artillery ammunition, anti-tank ammunition, winter uniforms, and armoured vests. According to Source of Aid 2, the value of Estonia's military aid to Ukraine is €330 million, as of 18 November. We subtract the value of EEM1-5 (268,120,000 EUR) from this total and estimate 61,880,000 EUR for EEM6</t>
  </si>
  <si>
    <t>Artillery ammunition</t>
  </si>
  <si>
    <t>https://news.err.ee/1608793648/estonia-s-total-military-aid-to-ukraine-to-date-approaching-300-million</t>
  </si>
  <si>
    <t>https://news.err.ee/1608742171/estonia-sends-more-ammunition-protective-equipment-to-ukraine</t>
  </si>
  <si>
    <t>https://www.republicworld.com/world-news/russia-ukraine-crisis/estonia-confirms-relief-package-to-aid-war-torn-ukraine-articleshow.html</t>
  </si>
  <si>
    <t>Anti-tank missile and anti-tank rocket</t>
  </si>
  <si>
    <t>Ballistic vest</t>
  </si>
  <si>
    <t>EEH1</t>
  </si>
  <si>
    <t>until 7/29/2022</t>
  </si>
  <si>
    <t>The government of Estonia has sent a total amount of  EUR 2,070,228 in humanitarian aid to Ukraine. This is a marginal increase compared to the previous version of our dataset (we reported 1,949,999 EUR in the data published on July 6). We report the military donation mentioned in "Source of Aid 1" in EEM1. Also, we do not count the private donations reported in "Source of Aid 1".</t>
  </si>
  <si>
    <t>EEH2</t>
  </si>
  <si>
    <t xml:space="preserve">The Prime Minister Kallas has pledged 2.9 million EUR in aid for reconstruction in Ukraine.  </t>
  </si>
  <si>
    <t>https://twitter.com/kajakallas/status/1522215001934557186</t>
  </si>
  <si>
    <t>On June 16, Estonia donated five buses to the Vyshneve City Community to evacuate people from high-risk areas. This is assumed to be part of 2.9 million reconstruction pledge made by Estonia on 5 May 2022.</t>
  </si>
  <si>
    <t>IVECO Irisbus Crossway</t>
  </si>
  <si>
    <t>https://rubryka.com/en/2022/06/17/buses-estonia-vyshneve/</t>
  </si>
  <si>
    <t>https://www.vm.ee/en/news/estonia-donates-12-buses-zhytomyr-oblast-ukraine-help-restore-transport-links</t>
  </si>
  <si>
    <t>On Aug 2, Estonian FM visited Zhytomyr in Ukraine and laid the cornerstone for a new new kindergarten school. This is assumed to be part of 2.9 million reconstruction pledge made by Estonia on 5 May 2022.</t>
  </si>
  <si>
    <t>school</t>
  </si>
  <si>
    <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t>
  </si>
  <si>
    <t>https://news.err.ee/1608674068/estonian-fm-visits-ukraine-lays-new-kindergarten-cornerstone-in-zhytomyr</t>
  </si>
  <si>
    <t>On Sep 24, the Estonian government donated 12 Iveco Irisbus Crossway buses to the Zhytomyr Oblast in Ukraine to help them restore their transport services. These buses previously operated transport lines in Estonia. 3 of the 12 buses set off for Zhytomyr on Sep 24 while the remainder departed in the week after. This is assumed to be part of 2.9 million reconstruction pledge made by Estonia on 5 May 2022.</t>
  </si>
  <si>
    <t>https://news.err.ee/1608727414/estonia-sends-12-buses-to-ukraine-s-zhytomyr-region</t>
  </si>
  <si>
    <t>https://balticguide.ee/en/estonia-donates-12-buses-to-ukraine-to-help-restore-transport-links-in-the-country/</t>
  </si>
  <si>
    <t>Estonia will provide asssistance in constructing a new bridge in Zhytomyr region in Ukraine. This is assumed to be part of 2.9 million reconstruction pledge made by Estonia on 5 May 2022.</t>
  </si>
  <si>
    <t>construction of a bridge</t>
  </si>
  <si>
    <t>https://twitter.com/OlekKorn/status/1574691048378765312?ref_src=twsrc%5Etfw%7Ctwcamp%5Etweetembed%7Ctwterm%5E1574764099644301314%7Ctwgr%5E32aa61244c5816ffc71c7af61a0a966f6f6a69a4%7Ctwcon%5Es3_&amp;ref_url=https%3A%2F%2Fnews.err.ee%2F1608731662%2Feconomic-minister-estonia-can-set-an-example-for-rebuilding-ukraine</t>
  </si>
  <si>
    <t>https://news.err.ee/1608731662/economic-minister-estonia-can-set-an-example-for-rebuilding-ukraine</t>
  </si>
  <si>
    <t>FIH1</t>
  </si>
  <si>
    <t>Finland</t>
  </si>
  <si>
    <t>Finland provided 4 million EUR in additional support. Of this total amount, "Source of Aid 1" allows a more detailed differentiation. We do not count 1.5 million EUR that are devoted to strenghten human rights via the Council of Europe Action Programme and OSCE projects as well as further 0.5 million that are devoted to international organizations. Nevertheless, we count the remaining sum of 2 million EUR, as 1 million EUR is channelled to the Red Cross operating in Ukraine and the other 1 million EUR is for humanitarian aid.</t>
  </si>
  <si>
    <t>https://um.fi/press-releases/-/asset_publisher/ued5t2wDmr1C/content/suomi-myontaa-4-miljoonaa-euroa-lisatukea-ukrainalle-kehitysyhteistyon-ja-humanitaarisen-avun-kautta/35732</t>
  </si>
  <si>
    <t>FIH2</t>
  </si>
  <si>
    <t>A first package of humanitarian aid, including emergency accomodations for 5,000 people as well as further protective equipment. No further information regarding the shipment was provided. Even though the source does not specify the information, we substitute it with the information provided by the Finnish ministry of foreign affairs on September 2nd and Finnish Ministry of Interior on August 24th(See FIH16, FIH15, FIH14).</t>
  </si>
  <si>
    <t>https://intermin.fi/en/ukraine/civilian-assistance-to-ukraine</t>
  </si>
  <si>
    <t>FIH3</t>
  </si>
  <si>
    <t>A second package of humanitarian aid, including again emergency acoomodations for 5,000 people, as well as other equipment.</t>
  </si>
  <si>
    <t>field kitchen</t>
  </si>
  <si>
    <t>shower tent</t>
  </si>
  <si>
    <t>general purpose tent</t>
  </si>
  <si>
    <t>FIH4</t>
  </si>
  <si>
    <t>unspecified, 03/2022</t>
  </si>
  <si>
    <t>Delivery of medical protective equipment as well as medical supplies to Ukraine. No further information regarding the shipment was provided. Moreover, the shipment also included private donations. Even though the source does not specify the information, we substitute it with the information provided by the Finnish ministry of foreign affairs on September 2nd and Finnish Ministry of Interior on August 24th(See FIH16, FIH15, FIH14).</t>
  </si>
  <si>
    <t>FIH5</t>
  </si>
  <si>
    <t>Finland sent two fire engines to Ukraine</t>
  </si>
  <si>
    <t>FIH6</t>
  </si>
  <si>
    <t>Finland sent four ambulances to Ukraine.</t>
  </si>
  <si>
    <t>FIH7</t>
  </si>
  <si>
    <t>Finland sent another two ambulances to Ukraine.</t>
  </si>
  <si>
    <t>FIH8</t>
  </si>
  <si>
    <t>FIH9</t>
  </si>
  <si>
    <t>Finland sent medical supplies and dosimeters to Ukraine. No further information regarding the shipment is provided.  Even though the source does not specify the information, we substitute it with the information provided by the Finnish ministry of foreign affairs on September 2nd and Finnish Ministry of Interior on August 24th(See FIH16, FIH15, FIH14).</t>
  </si>
  <si>
    <t>FIH10</t>
  </si>
  <si>
    <t>Finland announced that it has sent "rescue service supplies and equipment", however, without providing further information regarding the shipment.  Even though the source does not specify the information, we substitute it with the information provided by the Finnish ministry of foreign affairs on September 2nd and Finnish Ministry of Interior on August 24th(See FIH16, FIH15, FIH14).</t>
  </si>
  <si>
    <t>FIH11</t>
  </si>
  <si>
    <t>Finland sent another ambulance to Ukraine.</t>
  </si>
  <si>
    <t>FIH12</t>
  </si>
  <si>
    <t>Finland sent another two ambulances as well as rescue service supplies and protective overalls, however, without providing more information regarding the two latter mentioned items.</t>
  </si>
  <si>
    <t>FIH13</t>
  </si>
  <si>
    <t xml:space="preserve">Two ambulances and rescue services. No further information has been disclosed. </t>
  </si>
  <si>
    <t>https://valtioneuvosto.fi/en/-/1410869/finland-sent-additional-civilian-material-assistance-to-ukraine-and-moldova</t>
  </si>
  <si>
    <t>FIH14</t>
  </si>
  <si>
    <t>On 24.8.2022 Finnish Ministry of Interior reported that on 8 July, Finland sent medical supplies and radiation safety equipment to Ukraine, and on 2 August, rescue service supplies, such as stretchers, defibrillators, first-aid kits and protective equipment. They also report that so far, 2 EUR million was spent on civilian material assistance. So, combining it with information from FIH16, we distribute 2 EUR million + the difference of 4.6 EUR million among packages with no value given, including those two packages (FIH2,4,10,11,14,15)</t>
  </si>
  <si>
    <t>https://intermin.fi/en/-/finland-continued-to-support-ukraine-through-civilian-material-assistance-during-the-summer#:~:text=Since%20February%2C%20Finland%20has%20sent,is%20over%20EUR%20two%20million.</t>
  </si>
  <si>
    <t>FIH15</t>
  </si>
  <si>
    <t>FIH16</t>
  </si>
  <si>
    <t xml:space="preserve">The official press release of the Finnish ministry of foreign affairs informs that Finland will provide 30 EUR million to Ukraine for humanitarian assistance and 5 EUR million for temporary homes and mobile accommodation units (which we also see as humanitarian assistance). The complete allocation of this package is planned for the end of 2022 and 2023. This package includes 15 EUR million to Public Expenditures for Administrative Capacity Endurance (PEACE). Moreover, it specifies that Finland has provided 9.2 EUR million of humanitarian assistance to Ukraine so far. Since our dataset only has only 5.6 EUR million and four entries for which sources did not provide any value, we use the difference between  9.2 and 5.6 EUR million to fill those gaps by equally distributing it between them (see FIH2,4,10,11). </t>
  </si>
  <si>
    <t xml:space="preserve">https://um.fi/press-releases/-/asset_publisher/ued5t2wDmr1C/content/suomelta-humanitaarista-apua-valiaikaisia-asuntoja-seka-julkisen-hallinnon-tukea-ukrainaan/35732 </t>
  </si>
  <si>
    <t>FIH17</t>
  </si>
  <si>
    <t>unclear, 10/2022</t>
  </si>
  <si>
    <t xml:space="preserve">According to Source of Aid 1 (Finnish ministry of the Interior), Finland has provided an undisclosed amount of backup generators and protective equipment to Ukraine in October and November. Since this donation was already disclosed in early November, we report it entirely for October. </t>
  </si>
  <si>
    <t>Civilian assistance sent from Finland to Ukraine - Ministry of the Interior (intermin.fi)</t>
  </si>
  <si>
    <t>protective gear and equipment (including first aid)</t>
  </si>
  <si>
    <t>FIM1</t>
  </si>
  <si>
    <t>According to "Source of Aid 1", the Ministry of Defense stated that the total value of military support that Finland sent to Ukraine until May 4 amounts to 29.3 million EUR. We document four announcements from the Ministry of Defense until this date. This sum includes two packages from February 27 and 28 (where information on the content of the shipment was provided). The two further announcements, from March 24 and April 19, include no further information regarding the content or value of the shipment. Note that "Source of Aid 3" from the package announced on February 27 also lists aid from Sweden (5,000 anti-tank weapons, 5,000 helmets, 5,000 body armors and 135,000 field rations), reported in SEM1, and a package of 500 million EUR from the European Union, reported in EUM1. According to the Source of Delivery, Finland delivered military aid worth 160 million EUR, which includes donation IDs FIM1, FIM3, FIM4, FIM7.</t>
  </si>
  <si>
    <t>https://suomenkuvalehti.fi/paajutut/viela-vuoden-alussa-aseapu-ukrainalle-oli-tabu-sitten-lannen-mitta-tayttyi-kaannamme-maat-ja-taivaat-venajan-lyomiseksi/?shared=1219900-dfafb371-500</t>
  </si>
  <si>
    <t>https://www.defmin.fi/en/topical/press_releases_and_news/finland_sends_additional_aid_to_ukraine.12482.news#c7898b3c</t>
  </si>
  <si>
    <t>https://www.helsinkitimes.fi/finland/finland-news/domestic/21086-finland-commits-military-protective-equipment-to-ukraine.html</t>
  </si>
  <si>
    <t>https://yle.fi/news/3-12335944</t>
  </si>
  <si>
    <t>stretcher</t>
  </si>
  <si>
    <t>RK 62</t>
  </si>
  <si>
    <t>https://valtioneuvosto.fi/en/-/finland-to-send-arms-assistance-to-ukraine#:~:text=On%20the%20proposal%20of%20the%20Government%2C%20the%20President,combat%20ration%20packages%20to%20Ukraine%20as%20material%20aid.?msclkid=43fcac85ab7811ecb0558f7b82e56a26</t>
  </si>
  <si>
    <t>https://edition.cnn.com/europe/live-news/ukraine-russia-news-02-28-22/h_a60e1971e20b82d25ce7ce24657afcbb</t>
  </si>
  <si>
    <t>https://www.tasnimnews.com/en/news/2022/05/06/2706116/finland-to-send-more-defense-aid-to-ukraine</t>
  </si>
  <si>
    <t>cartridge for RK 62</t>
  </si>
  <si>
    <t>single-shot anti-tank weapon</t>
  </si>
  <si>
    <t>combat ration package</t>
  </si>
  <si>
    <t>FIM2</t>
  </si>
  <si>
    <t>On May 5, Finland announced to send additional military material to Ukraine. This was stated during the High-Level International Donor's Conference for Ukraine on May 5 ("Source of Aid 1": 1:07:00 minute) as well as by a press release on the same day (see "Source of Aid 2"). Finland did not disclose any further information. "Source of Aid 3" also mentions a military aid package from the UK (see UKM8). Note that we do not include the announced additional 70 million EUR in humanitarian aid as it is subject to parliaments approval.</t>
  </si>
  <si>
    <t>https://www.defmin.fi/en/topical/press_releases_and_news/finland_sends_more_defence_materiel_assistance_to_ukraine.12692.news#40d3246d</t>
  </si>
  <si>
    <t>https://www.army-technology.com/news/finland-sends-additional-defence-aid-ukraine/</t>
  </si>
  <si>
    <t>FIM3</t>
  </si>
  <si>
    <t>The government stated that it has made the decision to send further defence materiel to Ukraine. However, the government explicitly mentions that it will not provide further information on the shipment. Source of Aid 3 states that between October and February, Finland has provided military aid worth 92.3 million EUR. If we subtract the 29.3 million EUR in donation FIM1 and the 8.25 million EUR reported in FIM4, we arrive at a value of 54.75 million EUR. Since we would need to split his up between FIM3 and FIM2, we decide to report this value entirely in this donation ID. According to the Source of Delivery, Finland delivered military aid worth 160 million EUR, which includes donation IDs FIM1, FIM3, FIM4, FIM7.</t>
  </si>
  <si>
    <t>https://www.defmin.fi/en/topical/press_releases_and_news/finland_sends_more_defence_materiel_assistance_to_ukraine.12834.news#40d3246d</t>
  </si>
  <si>
    <t>https://yle.fi/news/3-12487455</t>
  </si>
  <si>
    <t>.https://www.ukrinform.net/rubric-ato/3585945-finland-preparing-new-military-aid-package-for-ukraine.html</t>
  </si>
  <si>
    <t>https://www.defmin.fi/ajankohtaista/tiedotteet_ja_uutiset/suomi_toimittaa_lisaa_puolustustarvikeapua_ukrainaan.13184.news#35b98872</t>
  </si>
  <si>
    <t>FIM4</t>
  </si>
  <si>
    <t>According to an official press release, Finland will deliver more defence aid to Ukraine (Source of aid 1). As with previous military packages, the official source does not provide any information regarding the content and monetary value committed. Even though, Source of aid 2 specifies the monetary value of this aid, which is 8.3 EUR million. Source of aid 3 gives the monetary value of this aid as 8.2 EUR million. Therefore, we report the average between the two values, which gives this package a value of 8.25 million EUR. According to the Source of Delivery, Finland delivered military aid worth 160 million EUR, which includes donation IDs FIM1, FIM3, FIM4, FIM7.</t>
  </si>
  <si>
    <t>https://www.defmin.fi/en/topical/press_releases_and_news/finland_to_deliver_more_defence_materiel_assistance_to_ukraine.13055.news#f9cb427e</t>
  </si>
  <si>
    <t>https://www.reuters.com/article/idUSO9N2XQ01K</t>
  </si>
  <si>
    <t>https://kyivindependent.com/news-feed/finland-prepares-8th-batch-of-military-aid-for-ukraine</t>
  </si>
  <si>
    <t>FIM5</t>
  </si>
  <si>
    <t xml:space="preserve">According to Source of Aid 1, Finland will deliver the ninth package of defence materiel to Ukraine. The President of the Republic decided on the matter on 6 October 2022 on the proposal of the Government. This marks Finland’s ninth delivery of defence materiel assistance to Ukraine. Additional Information regarding content or value of the package was not disclosed due to security concerns. </t>
  </si>
  <si>
    <t>Minister of Defense: a new batch of military assistance is being prepared for Ukraine | News | Yle Uutiset</t>
  </si>
  <si>
    <t>https://www.ukrinform.net/rubric-ato/3585945-finland-preparing-new-military-aid-package-for-ukraine.html</t>
  </si>
  <si>
    <t>FIM6</t>
  </si>
  <si>
    <t>According to Source of Aid 1, Finland has decided on a supplementary budget from with EUR30 million are intended for Ukraine. It is unclear, whether Ukraine will receive weapons as direct support or receive the aid through funds.</t>
  </si>
  <si>
    <t>https://valtioneuvosto.fi/-/10616/hallitus-antoi-eduskunnalle-lisatalousarvioesityksen-2</t>
  </si>
  <si>
    <t>FIM7</t>
  </si>
  <si>
    <t>According to Source of Aid 1, Finland will deliver the tenth package of military aid to Ukraine. Exact delivery details or information about the composition of the package remained undisclosed due to security concerns. Only the package value, amounting to EUR 55.6 million, is known. It is said to bring Finlands military contribution to EUR 160.4 million, which roughly coincides with our numbers. According to the Source of Delivery, Finland delivered military aid worth 160 million EUR, which includes donation IDs FIM1, FIM3, FIM4, FIM7.</t>
  </si>
  <si>
    <t>Finland to deliver more defence equipment aid to Ukraine - Ministry of Defence (defmin.fi)</t>
  </si>
  <si>
    <t>Finland commits the largest military aid package in the amount of €55.6 million - Militarnyi</t>
  </si>
  <si>
    <t>Finland sending 10th military aid package to Ukraine | News | Yle Uutiset</t>
  </si>
  <si>
    <t>FIF1</t>
  </si>
  <si>
    <t xml:space="preserve">As announced by the Finnish finance minister ("Source of Aid 1"), Finland committed to donating the earnings from the sale of seized bitcoins. "Source of Aid 2" specifies that the Finnish government held 1981 bitcoins (~€75 million at rates in April 2022). "Source of Aid 3" specifies that only 1890 Bitcoins (~€70 million at rates in April 2022) are to be donated. Still, according to the official press release of Finnish customs("Source of aid 4") they sold the abovementioned 1889.1 bitcoins only during summer and gained about €46.5 million due to a change in Bitcoin price. Thus, we report €46.5 million </t>
  </si>
  <si>
    <t>https://twitter.com/AnnikaSaarikko/status/1519361293823746049?s=20&amp;t=bCGlZWqdKQAC7geTzWxcRw</t>
  </si>
  <si>
    <t>https://www.euronews.com/next/2022/04/28/finland-to-sell-confiscated-bitcoin-worth-75-million-to-support-ukraine-s-war-effort</t>
  </si>
  <si>
    <t>https://www.businesstoday.in/crypto/story/finland-set-to-donate-over-eu70-million-worth-of-crypto-to-war-torn-ukraine-331795-2022-04-29#:~:text=Finland%27s%20government%20has%20promised%20to,to%20the%20war%2Dtorn%20country.&amp;text=Cryptocurrencies%20have%20come%20to%20aid,for%20over%202%20months%20now.</t>
  </si>
  <si>
    <t>https://tulli.fi/en/-/finnish-customs-sold-its-legally-forfeited-cryptocurrencies</t>
  </si>
  <si>
    <t>FIF2</t>
  </si>
  <si>
    <t>The official press release of the Finnish ministry of foreign affairs informs that Finland will provide 35 EUR million to Ukraine for development cooperation. The complete allocation of this package is planned for the end of 2022 and 2023.</t>
  </si>
  <si>
    <t>https://um.fi/press-releases/-/asset_publisher/ued5t2wDmr1C/content/suomelta-humanitaarista-apua-valiaikaisia-asuntoja-seka-julkisen-hallinnon-tukea-ukrainaan/35732</t>
  </si>
  <si>
    <t>FRH1</t>
  </si>
  <si>
    <t>France</t>
  </si>
  <si>
    <t>France has provided almost 100 million EUR in humanitarian assistance to Ukraine. The assistance also includes the shipment of emergency aid. The first tranche of material aid was sent on the February 28 and consisted of four trucks carrying an initial shipment of 33 tons of emergency aid with items such as blankets, tents and medical supplies (500 family tents, 2,300 blankets, 1,000 hygiene kits, 2,000 floor mats and 300 sleeping bags). A second shipment was sent on March 1, consisting of eight tons of medical supplies, including a mobile clinic with medicines and hospital equipment capable of treating up to 500 war-wounded. The assistance falls within the framework of the EU Civil Protection Mechanism (EUCPM).</t>
  </si>
  <si>
    <t>family tent</t>
  </si>
  <si>
    <t>https://www.diplomatie.gouv.fr/en/country-files/ukraine/news/article/ukraine-france-mobilizes-to-deliver-emergency-medical-aid-to-victims-of-the</t>
  </si>
  <si>
    <t>https://www.lefigaro.fr/flash-actu/la-france-a-envoye-33-tonnes-d-aide-humanitaire-pour-l-ukraine-20220228</t>
  </si>
  <si>
    <t>https://www.reuters.com/world/europe/france-offer-100-mln-euros-humanitarian-aid-ukraine-2022-03-01/</t>
  </si>
  <si>
    <t>blanket</t>
  </si>
  <si>
    <t>floor mat</t>
  </si>
  <si>
    <t>FRH2</t>
  </si>
  <si>
    <t>A total amount of 1.6 million EUR has been donated by French local governments. The funding process has been coordinated by the Local Government External Action Fund (FAECO). "Source of Aid 1" also lists earlier shipments of humanitarian assistance reported in FRH1.</t>
  </si>
  <si>
    <t>https://www.diplomatie.gouv.fr/en/country-files/ukraine/news/article/ukraine-france-steps-up-humanitarian-relief-efforts-for-ukraine-10-mar-2022</t>
  </si>
  <si>
    <t>FRH3</t>
  </si>
  <si>
    <t xml:space="preserve">Ambulances, medical supplies and fire engines. The assistance falls within the framework of the EU Civil Protection Mechanism (EUCPM). 
</t>
  </si>
  <si>
    <t>https://ec.europa.eu/echo/news-stories/news/ukraine-eu-delivers-additional-assistance-rescue-vehicles-and-emergency-equipment-2022-03-25_de</t>
  </si>
  <si>
    <t>https://www.arout.net/france-sends-dozens-of-fire-engines-and-ambulances-to-ukraine-to-support-the-war-against-russia/</t>
  </si>
  <si>
    <t>rescue vehicle</t>
  </si>
  <si>
    <t>Lorry</t>
  </si>
  <si>
    <t>ton of health and emergency equipment</t>
  </si>
  <si>
    <t>FRH4</t>
  </si>
  <si>
    <t xml:space="preserve">Equipment </t>
  </si>
  <si>
    <t>Second convoy of relief vehicles and supplies for Ukraine's emergency services, organized by the Ministries for Europe and Foreign Affairs and the Interior</t>
  </si>
  <si>
    <t>https://www.interieur.gouv.fr/actualites/dossiers/situation-en-ukraine/solidarite-nationale-envers-lukraine-second-convoi-de</t>
  </si>
  <si>
    <t>Rescue vehicle</t>
  </si>
  <si>
    <t>truck</t>
  </si>
  <si>
    <t>rescue and clearing equipment</t>
  </si>
  <si>
    <t>Ton of fire-fighting equipment</t>
  </si>
  <si>
    <t>FRH5</t>
  </si>
  <si>
    <t>At the Ukranian government's request, the Ministry for Europe and Foreign Affairs Crisis and Support Center delivered 28 tons of medical equipment. The shipment is directed to Ukraine and is coordinated by the EU Civil Protection Mechanism. The 28 tons include oxygen generators allowing to treat up to 500 patients, 50 sets of respiratory equipment and 4.5 tons of medicines.</t>
  </si>
  <si>
    <t>https://www.diplomatie.gouv.fr/en/country-files/ukraine/news/article/ukraine-special-delivery-of-emergency-medical-aid-by-france-joint-communique</t>
  </si>
  <si>
    <t>https://www.techopital.com/la-france-envoie-28-tonnes-de-materiel-medical-en-ukraine-NS_6281.html</t>
  </si>
  <si>
    <t>https://www.lefigaro.fr/international/direct-guerre-en-ukraine-situation-critique-a-marioupol-20220421</t>
  </si>
  <si>
    <t>FRH6</t>
  </si>
  <si>
    <t>Third convoy of relief vehicles and supplies for Ukraine's emergency services, organized by the Ministries for Europe and Foreign Affairs and the Interior</t>
  </si>
  <si>
    <t>Ton of medical equipment</t>
  </si>
  <si>
    <t>https://www.defense.gouv.fr/terre/actualites/uiisc-1-3e-convoi-solidarite-lukraine</t>
  </si>
  <si>
    <t>vehicle equipped with a mobile radiology device</t>
  </si>
  <si>
    <t>km of fire hose</t>
  </si>
  <si>
    <t>liter of foam concentrate (against hydrocarbon fires)</t>
  </si>
  <si>
    <t>food ration H</t>
  </si>
  <si>
    <t>FRH7</t>
  </si>
  <si>
    <t>Evacuation and provision of medical care for seven Ukrainian war wounded.</t>
  </si>
  <si>
    <t>https://www.diplomatie.gouv.fr/en/country-files/ukraine/news/article/ukraine-france-mobilised-to-support-ukraine-through-medical-care-for-war</t>
  </si>
  <si>
    <t>FRH8</t>
  </si>
  <si>
    <t>In-kind donation of 12 ambulances.</t>
  </si>
  <si>
    <t>https://twitter.com/MinColonna/status/1531344296191868928</t>
  </si>
  <si>
    <t>FRH9</t>
  </si>
  <si>
    <t>Donation of 31 tons of field crop seeds. The shipment includes several different types of seeds: beet, carrot, cabbage, cauliflower, chives, cucumber, zucchini and tomato, among others – enough to plant 23,475 acres of farmland and vegetable gardens and harvest up to 260,000 tons of food. We do not consider the private donation of 600 Tons of potato plants by the French Federation of Seed Potato Growers (mentioned in "Source of Aid 1"). The aid is not quantifiable in monetary terms.</t>
  </si>
  <si>
    <t>Field crop seed (per Ton)</t>
  </si>
  <si>
    <t>https://www.diplomatie.gouv.fr/en/country-files/ukraine/news/article/ukraine-exceptional-assistance-from-france-to-bolster-food-security-for-the</t>
  </si>
  <si>
    <t>FRH10</t>
  </si>
  <si>
    <t>Evacuation and provision of medical care for six Ukrainian war wounded. The aid is not quantifiable in monetary terms.</t>
  </si>
  <si>
    <t>FRH11</t>
  </si>
  <si>
    <t>This delivery includes a mobile health post with medical equipment and medicines, enabling the treatment of 250 patients, as well as medical devices used for anaesthesia and resuscitation, amongst others. The aid is not quantifiable in monetary terms.</t>
  </si>
  <si>
    <t>https://www.diplomatie.gouv.fr/en/country-files/ukraine/news/article/ukraine-exceptional-delivery-of-emergency-medical-assistance-by-france-28-jun</t>
  </si>
  <si>
    <t>FRH12</t>
  </si>
  <si>
    <t>Assitance</t>
  </si>
  <si>
    <t xml:space="preserve">On 14 July 2022, the French Ministry for Europe and Foreign Affairs’ Crisis and Support Centre provided the Ukrainian Prosecutor-General’s Office with a new mobile laboratory devoted to rapid DNA analysis and expertise. </t>
  </si>
  <si>
    <t>mobile DNA-analysis laboratory</t>
  </si>
  <si>
    <t>https://www.diplomatie.gouv.fr/en/country-files/ukraine/news/article/france-donates-a-mobile-dna-analysis-laboratory-to-ukraine-joint-press-release</t>
  </si>
  <si>
    <t>FRH13</t>
  </si>
  <si>
    <t>France sent a humanitarian ship with more than 1,000 tonnes on board on 28 Sep 2022. This includes materials set to help with the reconstruction of cities and towns , as well as medical equipment. According to source of aid 1, the operation was announced by French President on 24 Aug 2022. According to Source of Aid 1, the  total value is 8 million EUR, but according to Source of Aid 2, the total value is 10 million EUR. Therefore, we take the average 9 million EUR.</t>
  </si>
  <si>
    <t>https://www.connexionfrance.com/article/French-news/Humanitarian-ship-for-Ukraine-leaves-French-port-with-8m-of-aid</t>
  </si>
  <si>
    <t>https://www.euronews.com/2022/09/29/cargo-ship-with-1000-tonnes-of-ukraine-aid-sets-sail-from-marseille</t>
  </si>
  <si>
    <t>https://www.diplomatie.gouv.fr/en/country-files/ukraine/news/article/ukraine-catherine-colonna-to-attend-the-launch-of-solidarity-operation-un</t>
  </si>
  <si>
    <t>https://www.gouvernement.fr/actualite/lancement-de-loperation-un-bateau-pour-lukraine</t>
  </si>
  <si>
    <t>meter of bridges in parts</t>
  </si>
  <si>
    <t>modular / prefabricated bridge</t>
  </si>
  <si>
    <t>building materials</t>
  </si>
  <si>
    <t>tarpaulins</t>
  </si>
  <si>
    <t>ton of emergency and resuscitation drugs</t>
  </si>
  <si>
    <t>Semi-rigid inflatable boat</t>
  </si>
  <si>
    <t>FRH14</t>
  </si>
  <si>
    <t>France increases civilian aid to Ukraine, in which the country will repair and improve the electricity and water supply infrastructure 'considerably damaged by the Russian attacks'</t>
  </si>
  <si>
    <t>https://www.euractiv.com/section/all/short_news/france-announces-increased-military-aid-to-ukraine/</t>
  </si>
  <si>
    <t>FRF1</t>
  </si>
  <si>
    <t>Loan with favourable terms, in addition to the guarantee mentioned in FRF2.</t>
  </si>
  <si>
    <t>https://ua.interfax.com.ua/news/economic/796996.html</t>
  </si>
  <si>
    <t>FRF2</t>
  </si>
  <si>
    <t>Loan announced on February 25 and granted on March 28. According to press releases, the loan has a 15-year maturity (see “Source of Aid 3"). The mentioned equipment in "Source of Aid 2" refers to FRM1.</t>
  </si>
  <si>
    <t>https://www.diplomatie.gouv.fr/en/country-files/ukraine/news/article/ukraine-conversation-between-jean-yves-le-drian-and-his-ukrainian-counterpart</t>
  </si>
  <si>
    <t>https://www.aa.com.tr/en/europe/france-to-offer-300m-worth-of-aid-military-equipment-to-ukraine/2515343</t>
  </si>
  <si>
    <t>https://www.reuters.com/article/ukraine-crisis-france-loan-idUSL5N2VX4PT</t>
  </si>
  <si>
    <t>FRF3</t>
  </si>
  <si>
    <t>Increase in overall financial aid to Ukraine, from 1.7 billion EUR to 2 billion EUR. By taking the total value of FRH1, FRM1, FRF1, FRF2, and the 1 billion EUR in financial guarantees that are not included in our dataset, we reach the 1.7 bill EUR President Macron mentioned during the Stand Up for Ukraine event on May 5 (see "Source of Aid 2").</t>
  </si>
  <si>
    <t>https://www.reuters.com/world/europe/france-will-increase-financial-aid-ukraine-by-300-mln-macron-tells-donor-2022-05-05/</t>
  </si>
  <si>
    <t>https://www.townsvillebulletin.com.au/news/national/france-to-increase-ukraine-financial-aid-by-300-mln/video/2374a117e7e4337e8832c3be6c744260</t>
  </si>
  <si>
    <t>FRM1</t>
  </si>
  <si>
    <t>until 4/13/2022</t>
  </si>
  <si>
    <t>According to a tweet of the French Minister of Defence on April 13, France has sent a total amount of 100 million EUR in military assistance to Ukraine since the beginning of the conflict. Later on, ahead of the second round of presidential elections in France, President Macron disclosed the content of the shipment: a few dozen MILAN and up to ten CAESARS artillery howitzers (see "Source of Aid 3"). As the report of the aid was done in April and no earlier announcement can be verified, we report this aid as having been pledged in April 2022 for Analysis of Aid over time purposes.</t>
  </si>
  <si>
    <t>Milan</t>
  </si>
  <si>
    <t>https://twitter.com/florence_parly/status/1514275166158790666</t>
  </si>
  <si>
    <t>https://www.lesechos.fr/monde/enjeux-internationaux/la-france-renforce-son-soutien-militaire-a-lukraine-1389929</t>
  </si>
  <si>
    <t>https://www.aa.com.tr/en/europe/france-to-deliver-caesar-artillery-guns-shells-to-ukraine/2570644</t>
  </si>
  <si>
    <t>https://www.lemonde.fr/en/international/article/2022/04/24/france-is-delivering-caesar-cannons-and-milan-anti-tank-missiles-to-kiev_5981417_4.html</t>
  </si>
  <si>
    <t>FRM2</t>
  </si>
  <si>
    <t>The Prime Minister of France announced the shipment of military material, additional to the already sent weapons (see FRM1).</t>
  </si>
  <si>
    <t>CAESAR artillery howitzer</t>
  </si>
  <si>
    <t>https://meta-defense.fr/en/2022/04/22/france-will-deliver-caesar-mobile-artillery-systems-to-ukraine/</t>
  </si>
  <si>
    <t>https://www.strategypage.com/htmw/htart/articles/20220502.aspx</t>
  </si>
  <si>
    <t>FRM3</t>
  </si>
  <si>
    <t>President Macron promised that France will keep providing military aid to Ukraine. No further information regarding the new shipments was disclosed.</t>
  </si>
  <si>
    <t>https://www.reuters.com/world/europe/france-strengthen-military-humanitarian-aid-ukraine-elysee-2022-04-30/</t>
  </si>
  <si>
    <t>FRM4</t>
  </si>
  <si>
    <t>The French Ministry of Defence declared that France will boost military aid to Ukraine. No further information regarding the new shipments was disclosed.</t>
  </si>
  <si>
    <t>https://www.thedefensepost.com/2022/05/31/france-boost-arms-supplies-ukraine/</t>
  </si>
  <si>
    <t>FRM5</t>
  </si>
  <si>
    <t>Pledge of six additional CAESAR howitzers and an undisclosed number of armoured vehicles to Ukraine. Accoring to Source of Aid 2, thousands of CEASAR howitzer shells have been supplied to Ukraine as well. Since those are matching the Artillery committed, we assume they have been committed in this package as well. On the 19th of November, French Defense Minister Sébastien Lecornu specified that France sent 60 VAB APC, so we assume they were delivered in this package (Source of aid 3).</t>
  </si>
  <si>
    <t>https://twitter.com/EmmanuelMacron/status/1542480626560942080</t>
  </si>
  <si>
    <t>https://www.lemonde.fr/en/international/article/2022/10/11/what-weapons-is-france-sending-to-ukraine_5999916_4.html</t>
  </si>
  <si>
    <t>https://www.lejdd.fr/International/sebastien-lecornu-ministre-des-armees-nous-navons-pas-a-rougir-de-notre-aide-a-lukraine-4148779</t>
  </si>
  <si>
    <t>https://www.thedefensepost.com/2022/07/20/french-caesar-canons-ukraine/</t>
  </si>
  <si>
    <t>Round of ammunition for 155mm howitzer</t>
  </si>
  <si>
    <t>VAB Armored Personnel Carrier</t>
  </si>
  <si>
    <t>FRM6</t>
  </si>
  <si>
    <t>On the 6th of October, after the Prague summit, President Macron announced that France has been creating a new fund worth 100 million EUR for Ukraine to directly buy weapons and other materials it needs from French companies (Source of aid 1). Later in an interview with Le Parisien (Source of aid 2), French Defense Minister Sébastien Lecornu announced that with this money, Ukraine could acquire weapons from French companies. According to him, Ukraine has already started to use this money, for example, by placing an order for floating bridge systems.</t>
  </si>
  <si>
    <t>https://www.france24.com/en/europe/20221007-macron-announces-%E2%82%AC100-million-fund-for-ukraine-to-buy-arms</t>
  </si>
  <si>
    <t>https://www.leparisien.fr/politique/sebastien-lecornu-nous-allons-former-jusqua-2000-soldats-ukrainiens-en-france-15-10-2022-SBLM6EKPOFELNHN3GHGA7IAESY.php</t>
  </si>
  <si>
    <t>FRM7</t>
  </si>
  <si>
    <t xml:space="preserve">On the 6th of October, after the Prague summit, President Macron announced that France could send Caeser howitzers as a part of new military aid package (Source of aid 1). On 12th of October, during an interview with France 2 television channel, he said that France will deliver radars, air-defence systems with ammunition, and 6 Caesar howitzers (Source of aid 2). Later in an interview with Le Parisien (Source of aid 3), French Defense Minister Sébastien Lecornu placed it more precisely and said that France is sending Crotale anti-aircraft systems. 
He also specified that this is a separate aid package from 100 EUR million from the previous entry (FRM6). On the 19th of November, French Defense Minister Sébastien Lecornu specified that France is sending two Crotale anti-aircraft systems and two LRU MLRS, which are a varian of M270 (Source of aid 4). </t>
  </si>
  <si>
    <t>https://www.lemonde.fr/en/international/article/2022/10/12/macron-promises-air-defense-systems-for-ukraine-calls-for-putin-to-discuss-peace_6000130_4.html</t>
  </si>
  <si>
    <t>Cortale air-defense system</t>
  </si>
  <si>
    <t>M270 weapon system</t>
  </si>
  <si>
    <t>unkown radar (France)</t>
  </si>
  <si>
    <t>DEH1</t>
  </si>
  <si>
    <t>Germany</t>
  </si>
  <si>
    <t>until 5/6/2022</t>
  </si>
  <si>
    <t>According to the official website of the German Ministry for Economic Development and Cooperation, Germany's humanitarian aid to Ukraine amounts to 185 million EUR. Here, we also include previous humanitarian aid coordinated by the Ministry for Development and Cooperation and the 38.5 million EUR approved on March 7 (see "Source of aid 2"). As the sum of 185 million EUR of humanitarian aid was reached in May 2022, we also report this sum entirely for May for Analysis of Aid over time purposes.</t>
  </si>
  <si>
    <t>https://www.bmz.de/de/laender/ukraine</t>
  </si>
  <si>
    <t>https://www.deutschland.de/en/news/ticker-solidarity-with-ukraine</t>
  </si>
  <si>
    <t>DEH2</t>
  </si>
  <si>
    <t>During the "Stand Up for Ukraine" donor's conference on April 9, Chancellor Olaf Scholz announced that the German government will send 425 million EUR in humanitarian aid to Ukraine and neighbouring countries. According to an E-Mail received by the Ministry of Economic Development and Cooperation, 55 million EUR out of the annouced 425 million EUR are part of 185 million EUR pledged by the German Ministry of Economic Development and Cooperation (see DEH1) and therefore are not included in this entry (425-55=370).</t>
  </si>
  <si>
    <t>https://www.youtube.com/watch?v=xsRCOOin-0U</t>
  </si>
  <si>
    <t>DEH3</t>
  </si>
  <si>
    <t>During the "Stand Up for the Ukraine" donor's conference chancellor Olaf Scholz announced that the German government will send 70 million EUR in humanitarian aid to Ukraine. We do report the 425 million EUR announced by Scholz on the same day (see "Source of Aid 1", DEH2), and we report the 185 million EUR effectively reported by the Germany Ministry of Economic Development and Cooperation (see DEH1).</t>
  </si>
  <si>
    <t>DEH4</t>
  </si>
  <si>
    <t xml:space="preserve">Not specified. Announced by Olaf Scholz during the "Stand Up for Ukraine" event on May 5. This is in addition to the two loans reported in DEF1, and the intended 140 million EUR in development aid (which we do not include since it refers to an intention and not a commitment). </t>
  </si>
  <si>
    <t>https://interfax.com.ua/news/general/829945.html</t>
  </si>
  <si>
    <t>DEH5</t>
  </si>
  <si>
    <t>Germany pledges €200 million in new aid to assist programs for internally displaced people.</t>
  </si>
  <si>
    <t>https://www.reuters.com/world/europe/germany-pledges-199-mln-aid-displaced-people-ukraine-minister-2022-09-03/</t>
  </si>
  <si>
    <t>https://www.dw.com/en/russia-ukraine-updates-germany-pledges-200-million-in-new-aid-report/a-63013436</t>
  </si>
  <si>
    <t>DEH6</t>
  </si>
  <si>
    <t xml:space="preserve">The German government has given an extra 1 billion euros ($1.03 billion) from its 2023 budget to support Ukraine, with money allocated to defending against Russian cyberattacks and collecting evidence of war crimes. </t>
  </si>
  <si>
    <t>https://www.reuters.com/world/europe/germany-allocates-extra-1-bln-euros-ukraine-cyber-defence-documenting-war-crimes-2022-11-11/</t>
  </si>
  <si>
    <t>DEM1</t>
  </si>
  <si>
    <t>Weapons and Equipment</t>
  </si>
  <si>
    <t xml:space="preserve">According to "Source of Aid 2", which is the official source of the German ministry of defence, Germany has committed 1.540.932.933 EUR in military aid to Ukraine between January 1 and November 14. Although the time period of our analysis starts on January 24, we still decided to refer to this number because there is no other availabe official source. We have also listed all items sent by the ministry, which you can find in columns "I". The list contains items that have been delivered as well as those to be delivered. The items are financed with the Ertüchtigungshilfe pledged by Scholz, the German Chancellor, on April 15, 2022. On this day (see "Source of Aid 1"),  the German Chancellor  announced the provision of 2 billion EUR in additional military aid for Ukraine and neighbouring countries. Out of this sum, we do not consider the 400 million EUR share to the European Peace Facility (EPF), which is a mandatory contribution offered by almost every EU member. In the 2022 fiscal budget, EUR 1.2 billion were intended for Ukraine as well as EUR 400 million for other countries, which can include Ukraine. Unfortunately, the items contain new military goods, old ones from Bundeswehr stocks as well as those who do not need licencing for export. Even though we do have the committed number of 1.540.932.933 EUR as the sum of all the licences listed, trying to estimate delivery values is too uncertain. Especially items from Bundeswehr stocks are evaluated with their time value in the official BR source with no indication on what that value is. Evaluating these items with current prices will likely lead to vast overevaluation of the delivery value, on top of uncountable or unquantifyable items further increaseing the degree of uncertainty. We therefore do not report delivery values as the degree of uncertainty regarding the prices is too high.
</t>
  </si>
  <si>
    <t>Ammunition for MARS II</t>
  </si>
  <si>
    <t>https://www.tagesschau.de/inland/scholz-ukraine-militaerhilfe-101.html</t>
  </si>
  <si>
    <t>https://www.bundesregierung.de/breg-de/themen/krieg-in-der-ukraine/lieferungen-ukraine-2054514</t>
  </si>
  <si>
    <t>https://www.spiegel.de/politik/deutschland/ukraine-krieg-deutschland-lieferte-waffen-fuer-37-millionen-euro-a-460a7b35-70aa-40bb-8ec7-80f5606f0d5a</t>
  </si>
  <si>
    <t>until 11/20/2022</t>
  </si>
  <si>
    <t>AdBlue (in tons)</t>
  </si>
  <si>
    <t>https://www.bundesregierung.de/breg-de/themen/krieg-in-der-ukraine/lieferungen-ukraine-2054522</t>
  </si>
  <si>
    <t>https://www.bundesregierung.de/breg-de/themen/krieg-in-der-ukraine/lieferungen-ukraine-2054537</t>
  </si>
  <si>
    <t>anti-drone cannon</t>
  </si>
  <si>
    <t>anti-drone sensors</t>
  </si>
  <si>
    <t>https://www.bundesregierung.de/breg-de/themen/krieg-in-der-ukraine/lieferungen-ukraine-2054526</t>
  </si>
  <si>
    <t>anti-tank mine</t>
  </si>
  <si>
    <t>Pionierpanzer Dachs</t>
  </si>
  <si>
    <t>https://www.bundesregierung.de/breg-de/themen/krieg-in-der-ukraine/lieferungen-ukraine-2054517</t>
  </si>
  <si>
    <t>https://www.bundesregierung.de/breg-de/themen/krieg-in-der-ukraine/lieferungen-ukraine-2054532</t>
  </si>
  <si>
    <t>Bergepanzer 2</t>
  </si>
  <si>
    <t>auto-injector device</t>
  </si>
  <si>
    <t>BIBER bridge-laying tank</t>
  </si>
  <si>
    <t>https://www.bundesregierung.de/breg-de/themen/krieg-in-der-ukraine/lieferungen-ukraine-2054527</t>
  </si>
  <si>
    <t>binoculars</t>
  </si>
  <si>
    <t>border protection vehicle</t>
  </si>
  <si>
    <t>Bunker buster missile (Bunkerfaust)</t>
  </si>
  <si>
    <t>cable reels and carrying straps</t>
  </si>
  <si>
    <t>combat helmet</t>
  </si>
  <si>
    <t>communications electronic scanner/jammer system</t>
  </si>
  <si>
    <t>https://www.bundesregierung.de/breg-de/themen/krieg-in-der-ukraine/lieferungen-ukraine-2054520</t>
  </si>
  <si>
    <t>counter battery radar system COBRA</t>
  </si>
  <si>
    <t>decontamination material</t>
  </si>
  <si>
    <t>https://www.bundesregierung.de/breg-de/themen/krieg-in-der-ukraine/lieferungen-ukraine-2054516</t>
  </si>
  <si>
    <t>detonating cord</t>
  </si>
  <si>
    <t>detonator</t>
  </si>
  <si>
    <t>Diesel and gasoline</t>
  </si>
  <si>
    <t>electronic anti-drone device</t>
  </si>
  <si>
    <t xml:space="preserve">https://www.bundesregierung.de/breg-de/themen/krieg-in-der-ukraine/lieferungen-ukraine-2054514 </t>
  </si>
  <si>
    <t>explosive charge</t>
  </si>
  <si>
    <t>field glasses</t>
  </si>
  <si>
    <t>field hospital</t>
  </si>
  <si>
    <t>field telephone</t>
  </si>
  <si>
    <t>first aid kit</t>
  </si>
  <si>
    <t>frequency range extensions for anti-drone devices</t>
  </si>
  <si>
    <t>fridge for medical material</t>
  </si>
  <si>
    <t>generator</t>
  </si>
  <si>
    <t>heavy and medium bridge system</t>
  </si>
  <si>
    <t>heavy duty trailer truck</t>
  </si>
  <si>
    <t>https://www.bundesregierung.de/breg-de/themen/krieg-in-der-ukraine/lieferungen-ukraine-2054523</t>
  </si>
  <si>
    <t>https://www.bundesregierung.de/breg-de/themen/krieg-in-der-ukraine/lieferungen-ukraine-2054538</t>
  </si>
  <si>
    <t>high frequency unit with equipment</t>
  </si>
  <si>
    <t>HMMWV</t>
  </si>
  <si>
    <t>hospital bed</t>
  </si>
  <si>
    <t>Iris-T SLM air defence system</t>
  </si>
  <si>
    <t>Iris-T SLM missile</t>
  </si>
  <si>
    <t>https://www.bundesregierung.de/breg-de/themen/krieg-in-der-ukraine/lieferungen-ukraine-2054525</t>
  </si>
  <si>
    <t>laser target designator</t>
  </si>
  <si>
    <t xml:space="preserve">Forklift </t>
  </si>
  <si>
    <t>https://www.bundesregierung.de/breg-de/themen/krieg-in-der-ukraine/lieferungen-ukraine-2054524</t>
  </si>
  <si>
    <t>load-handling truck 8x8</t>
  </si>
  <si>
    <t>https://www.bundesregierung.de/breg-de/themen/krieg-in-der-ukraine/lieferungen-ukraine-2054518</t>
  </si>
  <si>
    <t>https://www.bundesregierung.de/breg-de/themen/krieg-in-der-ukraine/lieferungen-ukraine-2054533</t>
  </si>
  <si>
    <t>M113's refitting (collab with Danemark)</t>
  </si>
  <si>
    <t>MG3</t>
  </si>
  <si>
    <t>man-portable anti-tank weapon</t>
  </si>
  <si>
    <t>Mars II</t>
  </si>
  <si>
    <t>medical gauzes</t>
  </si>
  <si>
    <t>medical material</t>
  </si>
  <si>
    <t>MG3 for armoured recovery vehicle</t>
  </si>
  <si>
    <t>MiG-29 spare parts</t>
  </si>
  <si>
    <t>mine clearing tank</t>
  </si>
  <si>
    <t>mobile and protected mine clearing system</t>
  </si>
  <si>
    <t>mobile decontamination vehicle</t>
  </si>
  <si>
    <t xml:space="preserve">https://www.bundesregierung.de/breg-de/themen/krieg-in-der-ukraine/lieferungen-ukraine-2054515 </t>
  </si>
  <si>
    <t>mobile ground surveillance radar</t>
  </si>
  <si>
    <t>https://www.bundesregierung.de/breg-de/themen/krieg-in-der-ukraine/lieferungen-ukraine-2054519</t>
  </si>
  <si>
    <t>mobile heating system</t>
  </si>
  <si>
    <t>mobile reconnaissance system on vehicles</t>
  </si>
  <si>
    <t>https://www.bundesregierung.de/breg-de/themen/krieg-in-der-ukraine/lieferungen-ukraine-2054528</t>
  </si>
  <si>
    <t>mobile, remote controlled and protected mine clearing system</t>
  </si>
  <si>
    <t>MRAP vehicle DINGO</t>
  </si>
  <si>
    <t>palette material for explosive ordnance disposal</t>
  </si>
  <si>
    <t>palette medical material</t>
  </si>
  <si>
    <t>palette military clothing</t>
  </si>
  <si>
    <t>Panzerfaust 3</t>
  </si>
  <si>
    <t>Panzerhaubitze 2000</t>
  </si>
  <si>
    <t>pick-up</t>
  </si>
  <si>
    <t>pre-packaged military meals ready</t>
  </si>
  <si>
    <t>proctected vehicle</t>
  </si>
  <si>
    <t xml:space="preserve">https://www.tagesschau.de/inland/scholz-ukraine-militaerhilfe-101.html </t>
  </si>
  <si>
    <t xml:space="preserve">https://www.spiegel.de/politik/deutschland/ukraine-krieg-deutschland-lieferte-waffen-fuer-37-millionen-euro-a-460a7b35-70aa-40bb-8ec7-80f5606f0d5a </t>
  </si>
  <si>
    <t>protective clothing</t>
  </si>
  <si>
    <t>radio frequency system</t>
  </si>
  <si>
    <t>radio jammer</t>
  </si>
  <si>
    <t>reconnaissance drone</t>
  </si>
  <si>
    <t>RGW 90 Matador man-portable anti-tank weapon</t>
  </si>
  <si>
    <t>rocket launcher 70mm on pick-up trucks</t>
  </si>
  <si>
    <t>rocket for 70mm rocket launchers</t>
  </si>
  <si>
    <t>40mm ammunition</t>
  </si>
  <si>
    <t>round of ammunition for fire arms</t>
  </si>
  <si>
    <t>Gepard ammunition round</t>
  </si>
  <si>
    <t>GEPARD training ammunition round</t>
  </si>
  <si>
    <t>Gepard rapid-fire armored vehicle</t>
  </si>
  <si>
    <t>semi-trailer</t>
  </si>
  <si>
    <t>https://www.bundesregierung.de/breg-de/themen/krieg-in-der-ukraine/lieferungen-ukraine-2054529</t>
  </si>
  <si>
    <t>Spare barrels and breechblocks for MG3</t>
  </si>
  <si>
    <t>spare parts for heavy machine gun M2</t>
  </si>
  <si>
    <t>STRELA man portable air defense system</t>
  </si>
  <si>
    <t>surgical light</t>
  </si>
  <si>
    <t>surgical mask</t>
  </si>
  <si>
    <t>M1070 Oshkosh tank transporter tractor</t>
  </si>
  <si>
    <t>military tent</t>
  </si>
  <si>
    <t>thermal imaging camera</t>
  </si>
  <si>
    <t>tractor</t>
  </si>
  <si>
    <t>trailer</t>
  </si>
  <si>
    <t>truck tractor train</t>
  </si>
  <si>
    <t>unmanned surface vessel</t>
  </si>
  <si>
    <t>vehicle (trucks, minibuses, all-terrain vehicles)</t>
  </si>
  <si>
    <t>vehicle decontamination system</t>
  </si>
  <si>
    <t>winter hat</t>
  </si>
  <si>
    <t>winter jacket</t>
  </si>
  <si>
    <t>winter trouser</t>
  </si>
  <si>
    <t>https://www.bundesregierung.de/breg-de/themen/krieg-in-der-ukraine/lieferungen-ukraine-2054521</t>
  </si>
  <si>
    <t>https://www.bundesregierung.de/breg-de/themen/krieg-in-der-ukraine/lieferungen-ukraine-2054536</t>
  </si>
  <si>
    <t>DEM2</t>
  </si>
  <si>
    <t xml:space="preserve">Weapons </t>
  </si>
  <si>
    <t xml:space="preserve">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 Since Germany lists the howitzers in its military aid overview (basis for Donation ID DEM1) we do not report any additional commitment for Germany here. </t>
  </si>
  <si>
    <t>https://www.regjeringen.no/en/aktuelt/statement-by-the-norwegian-german-slovakian-and-danish-ministers-of-defence/id2930329/</t>
  </si>
  <si>
    <t>https://www.tagesschau.de/inland/bericht-aus-berlin-lambrecht-haubitzen-101.html</t>
  </si>
  <si>
    <t>https://www.army-technology.com/news/germany-norway-denmark-zuzana2-ukraine/</t>
  </si>
  <si>
    <t>https://www.thedefensepost.com/2022/10/03/germany-denmark-norway-howitzers-ukraine/</t>
  </si>
  <si>
    <t>DEF1</t>
  </si>
  <si>
    <t>Additional loan to the already existing 150 million reported in DEF1. The financial assistance is in addition to the humanitarian assistance worth 125 million EUR reported in DEH3 and the intended 140 million EUR in development aid (which we do not include since it refers an intention and not a commitment).</t>
  </si>
  <si>
    <t>DEF2</t>
  </si>
  <si>
    <t xml:space="preserve">Contribution of 1 billion EUR in grants, announced by the German Minister of Defence during the G7 conference on May 19, 2022. We do not report the 150 million EUR loan reported in "Source of Aid 2", since it is the last tranche of a credit line authorized in 2015 (more info on the credit in "Source of Aid 3"). </t>
  </si>
  <si>
    <t>https://www.bloomberg.com/news/articles/2022-05-19/germany-to-contribute-1-billion-euros-of-grants-to-ukraine</t>
  </si>
  <si>
    <t>https://www.sueddeutsche.de/politik/g7-deutschland-gibt-ukraine-rund-eine-milliarde-euro-dpa.urn-newsml-dpa-com-20090101-220519-99-355600</t>
  </si>
  <si>
    <t>https://www.kfw.de/About-KfW/Newsroom/Latest-News/Pressemitteilungen-Details_702848.html</t>
  </si>
  <si>
    <t>ELH1</t>
  </si>
  <si>
    <t>Greece</t>
  </si>
  <si>
    <t>Medical supplies. No further information on the shipment has been disclosed.</t>
  </si>
  <si>
    <t>https://www.mod.mil.gr/en/deputy-defence-minister-nikolaos-chardalias-accompanies-a-humanitarian-aid-cargo/#:~:text=humanitarian%20aid%20with-,medical%2C%20pharmaceutical%20and%20first%20aid%20material,-.%20The%20humanitarian%20aid</t>
  </si>
  <si>
    <t> https://greekcitytimes.com/2022/02/28/greece-send-military-medical-ukraine/</t>
  </si>
  <si>
    <t>ELH2</t>
  </si>
  <si>
    <t>The Prime Minister announced that Greece would be ready to rebuild the maternity hospital in Mariupol.</t>
  </si>
  <si>
    <t>Prime Minister GR auf Twitter: „Greece is ready to rebuild the maternity hospital in Mariupol, the center of the Greek minority in Ukraine, a city dear to our hearts and symbol of the barbarity of the war.“ / Twitter</t>
  </si>
  <si>
    <t>https://www.keeptalkinggreece.com/2022/03/18/greece-rebuild-maternity-hospital-mariupol/</t>
  </si>
  <si>
    <t>ELH3</t>
  </si>
  <si>
    <t>A humanitarian aid package. No further information on the shipment has been disclosed. Note that even though the official source ("Source of Aid 1") is from April 6, the actual date where it became publicly known is April 3 ("Source of Aid 2").</t>
  </si>
  <si>
    <t>https://hellenicaid.mfa.gr/en/epikairotita/anakoinoseis/episkepse-upourgou-exoterikon-nikou.html#:~:text=On%203%20April%202022%2C%20Greek%20Minister%20of%20Foreign,relief%20to%20the%20city%E2%80%99s%20population%2C%20including%20Greek%20diaspora.</t>
  </si>
  <si>
    <t>https://cyprus-digest.com/nikos-dendias-arrives-in-odessa-as-head-of-a-humanitarian-mission/</t>
  </si>
  <si>
    <t>ELH4</t>
  </si>
  <si>
    <t>The package includes food, hygienic and pharmaceutical products of unknown amounts. "Source of Aid 1" refers directly to ELH2 (another package from the government as of April 3). Note that the source also mentions additional packages from the Hellenic Red Cross. We do not consider these shipments from the Hellenic Red Cross since they consist of private donations.</t>
  </si>
  <si>
    <t>https://www.mfa.gr/en/current-affairs/statements-speeches/delivery-of-greek-humanitarian-aid-to-the-ukrainian-people-including-diaspora-greeks-in-odessa-11042022-and-departure-of-the-4th-humanitarian-mission-of-the-hellenic-red-cross-to-ukraine-odessa-12042022.html</t>
  </si>
  <si>
    <t>ELM1</t>
  </si>
  <si>
    <t>until 3/15/2022</t>
  </si>
  <si>
    <t>Lethal weapons, in particular assault rifles and anti-tank missiles. "Source of Aid 1" also reports Greece's contribution to NATO, which is not included in our dataset because it is not a direct contribution to Ukraine.</t>
  </si>
  <si>
    <t>AK-47-type assault rifle</t>
  </si>
  <si>
    <t>https://www.ekathimerini.com/news/1179620/greek-role-within-nato-is-upgraded/</t>
  </si>
  <si>
    <t>https://twitter.com/visegrad24/status/1504145180647170060?cxt=HHwWmIC58dGE5t8pAAAA</t>
  </si>
  <si>
    <t>https://tass.com/world/1439267?utm_source=google.com&amp;utm_medium=organic&amp;utm_campaign=google.com&amp;utm_referrer=google.com</t>
  </si>
  <si>
    <t>Soviet-made RPG-18 anti-tank missile launcher</t>
  </si>
  <si>
    <t>https://www.oryxspioenkop.com/2022/05/guns-n-greece-hellenic-support-to.html</t>
  </si>
  <si>
    <t>missile for Czech-made RM-70 multiple rocket launcher</t>
  </si>
  <si>
    <t>https://www.thenationalherald.com/russias-ukraine-invasion-sees-greece-taking-bigger-nato-role/#:~:text=Greece%20sent%20Ukraine%20military%20equipment%20compatible%20with%20that,rocket%20launchers%2C%20aligning%20itself%20with%20NATO%E2%80%99s%20indirect%20assistance.?msclkid=6dac7726ab8911ec980d9386f90d3180</t>
  </si>
  <si>
    <t>ELM2</t>
  </si>
  <si>
    <t xml:space="preserve">U.S. minister Austin announced during a meeting of the Ukraine Contact Group (a meeting discussing the delivery of weapons and equipment to Ukraine) that Greece would provide more weapons to Ukraine, without giving more information ("Source of Aid 1"). In the next couple of days, media reports ("Sources of Aid 2 &amp; 3") specified the total package of new weapons and Source of Aid 2 clarifies on top of that, that these packages have already been sent to Ukraine. </t>
  </si>
  <si>
    <t>73mm missile</t>
  </si>
  <si>
    <t>https://www.euractiv.com/section/politics/short_news/greece-sends-more-weapons-to-ukraine-angering-the-opposition/</t>
  </si>
  <si>
    <t>https://www.armyrecognition.com/defense_news_june_2022_global_security_army_industry/greece_to_donate_bmp-1p_tracked_armored_ifvs_to_ukraine_in_exchange_for_german_marder_1a3/1a5_ifvs.html</t>
  </si>
  <si>
    <t>https://twitter.com/visegrad24/status/1533567105110507521</t>
  </si>
  <si>
    <t>7.62mm cartridge</t>
  </si>
  <si>
    <t>Stinger missile</t>
  </si>
  <si>
    <t>ELM3</t>
  </si>
  <si>
    <t xml:space="preserve">Transfer of 40 BMP-1 IFVs from Greece to Ukraine and replacement with 40 MARDER IFVs from Germany. Despite reports, the earlier announced 122 BMP-1s have not been committed and delivered due to Germanys interference which is why the number of committed BMP-1 from Greece remains at 40 from this donation. </t>
  </si>
  <si>
    <t>BMP-1</t>
  </si>
  <si>
    <t>https://www.mod.mil.gr/en/transfer-of-40-bmp-1-ifvs-from-greece-to-ukraine/</t>
  </si>
  <si>
    <t>https://neoskosmos.com/en/2022/09/19/news/greece/greek-tanks-on-route-to-ukraine/</t>
  </si>
  <si>
    <t>https://www.facebook.com/UkraineMFA/videos/667551908260597/?extid=NS-UNK-UNK-UNK-IOS_GK0T-GK1C</t>
  </si>
  <si>
    <t>HUH1</t>
  </si>
  <si>
    <t>Hungary</t>
  </si>
  <si>
    <t>First necessity equipment, gasoline, and diesel. The 1 million EUR directed to the Ecumenical Humanitarian Organization and reported by "Source of Aid 1" is not included in the dataset because it is not a sovereign to sovereign flow. Aid to refugees is not considered either since it is not directed to Ukraine.</t>
  </si>
  <si>
    <t>liter of diesel H</t>
  </si>
  <si>
    <t>https://telex.hu/kulfold/2022/02/27/magyarorszag-100-ezer-liter-uzemanyagot-adomanyozott-karpataljanak</t>
  </si>
  <si>
    <t>https://www.karpatinfo.net/2022/2/27/szijjarto-magyarorszag-szerepet-vallal-humanitarius-katasztrofa-enyhiteseben-200055995</t>
  </si>
  <si>
    <t>liter of fuel H</t>
  </si>
  <si>
    <t>HUH2</t>
  </si>
  <si>
    <t>Medical supplies listed in the middle of "Source of Aid 1" (and in "Source of Aid 2"). "Source of Aid 1" and "Source of Aid 2" list also the aid package reported in HUH3.</t>
  </si>
  <si>
    <t>ventilator</t>
  </si>
  <si>
    <t>https://abouthungary.hu/news-in-brief/hungary-to-make-another-shipment-of-humanitarian-aid-to-ukraine?msclkid=ca53d542ab8b11ec95fbf81dabb45ae9</t>
  </si>
  <si>
    <t>https://dailynewshungary.com/hungary-to-send-shipment-of-medical-equipment-to-ukraine/</t>
  </si>
  <si>
    <t>patient monitor</t>
  </si>
  <si>
    <t>central monitor</t>
  </si>
  <si>
    <t>infusion pump and blood bag</t>
  </si>
  <si>
    <t>HUH3</t>
  </si>
  <si>
    <t>The aid consists of clamps, scissors, instrument trays, infusion sets, bandages, surgical gloves and medicines. "Source of Aid 1" and "Source of Aid 2" list also the aid package reported in HUH2.</t>
  </si>
  <si>
    <t>https://bbj.hu/politics/foreign-affairs/ukraine-crisis/ukraine-crisis-hungary-to-send-additional-medical-supplies-to-ukraine</t>
  </si>
  <si>
    <t>HUH4</t>
  </si>
  <si>
    <t>Humanitarian assistance to the municipality of Berehove (Beregszász), comprising 66 million HUF to help in maintaining the water supply.</t>
  </si>
  <si>
    <t>HUF</t>
  </si>
  <si>
    <t>https://abouthungary.hu/news-in-brief/government-donates-huf-66-million-to-help-berehove-water-supply</t>
  </si>
  <si>
    <t>HUH5</t>
  </si>
  <si>
    <t>until 4/20/2022</t>
  </si>
  <si>
    <t xml:space="preserve">Hungary has so far sent 1,300 tons of humanitarian aid (a major part is mentioned in HUH2). But here, the source mentions for the first time a specific amount. We apply as an estimate our price for "ton of necessity items", since the package includes food, medicine, medical equipment and clothes. We then substract the previously calculated sum of HUH1 (since we could quantify this package) so that the remaining sum captures all of the so far unreported humanitarian packages. Moreover, "Source of Aid 1" mentions the package of 100,000 liter fuel ("HUH1") delivered since the war began. </t>
  </si>
  <si>
    <t>ton of necessity items</t>
  </si>
  <si>
    <t>https://dailynewshungary.com/hungary-can-be-of-far-greater-help-if-it-remains-an-island-of-peace-together-with-transcarpathia-says-official/</t>
  </si>
  <si>
    <t>HUH6</t>
  </si>
  <si>
    <t>Five trucks arrived in Ukraine, with 60 tons of durable food and toiletries worth 52 million HUF. Moreover, the Department of Human Resources offered a truckload of medicines worth 210 million HUF. In total, the aid therefore amounts to 262 million HUF.</t>
  </si>
  <si>
    <t>https://life.karpat.in.ua/?p=101279&amp;lang=hu</t>
  </si>
  <si>
    <t>HUH7</t>
  </si>
  <si>
    <t>Construction of a hospital and a school in Kyiv or any other Ukrainian city, and delivery of mobile houses to host internally displaced people in Ukraine, scholarhsips for Ukrainian students, treatment of wounded Ukrainians in Hungarian hospitals. All the aid amount to 37 million EUR and since we cannot disentangle the direct aid to Ukraine from the one offered to refugees (e.g the scholarships), we include here the entire sum. The assistance was announced at the International Donors' Conference on May 5, 2022 (see 1:36:50 in "Source of Aid 1").</t>
  </si>
  <si>
    <t>hospital</t>
  </si>
  <si>
    <t>mobile house</t>
  </si>
  <si>
    <t>INH1</t>
  </si>
  <si>
    <t>India</t>
  </si>
  <si>
    <t>until  5/7/2022</t>
  </si>
  <si>
    <t xml:space="preserve">Until May 7, 2022, India has provided 187 tons of medical and relief items to hospitals in Ukraine. Source of Aid 3 reports 230 tons of medical equipment. However, this includes private donations which we do not consider. Equally, the 7 tons of humanitarian aid mentioned in Source of Aid 4 are part of the 187 tons and will therefore not be reported seperately. </t>
  </si>
  <si>
    <t>https://moz.gov.ua/article/news/ukraina-otrimala-gumanitarnij-vantazh-vid-posolstva-indii</t>
  </si>
  <si>
    <t>https://www.ukrinform.net/rubric-society/3477447-india-donates-total-of-187-tonnes-of-humanitarian-aid-to-ukrainian-hospitals.html</t>
  </si>
  <si>
    <t>https://www.thehindu.com/news/national/ukraine-expects-india-to-participate-actively-in-post-war-construction/article65491977.ece</t>
  </si>
  <si>
    <t>https://www.hindustantimes.com/india-news/india-provides-7-725-kg-of-humanitarian-aid-to-ukraine-101651854620406.html</t>
  </si>
  <si>
    <t>INH2</t>
  </si>
  <si>
    <t>According to source of aid 1, India sent its 12th consignment of humanitarian aid to Ukraine on 12 Sep 2022. Source of aid 2 mentions that the consignment contains 7,725 kilograms of humanitarian aid comprising essential medicines and medical equipment. 7,725 kg translates into 7.725 tonnes</t>
  </si>
  <si>
    <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t>
  </si>
  <si>
    <t>https://www.livemint.com/news/world/india-sends-7-725-kilograms-of-humanitarian-aid-to-ukraine-amid-war-read-here-11662994122487.html</t>
  </si>
  <si>
    <t>https://timesofindia.indiatimes.com/india/india-hands-over-12th-consignment-of-humanitarian-aid-to-ukraine/articleshow/94157783.cms</t>
  </si>
  <si>
    <t>https://theprint.in/world/india-sends-7725-kilograms-of-humanitarian-aid-to-ukraine/1125936/</t>
  </si>
  <si>
    <t>IEH1</t>
  </si>
  <si>
    <t>Ireland</t>
  </si>
  <si>
    <t>The government announced the dispatchment of humanitarian assistance worth 10 million EUR without providing further information regarding the shipment.</t>
  </si>
  <si>
    <t>https://www.irishtimes.com/news/ireland/irish-news/irish-government-provides-10-million-in-humanitarian-support-for-ukraine-1.4810982#:~:text=The%20Irish%20government%20is%20to%20provide%20%E2%82%AC10%20million,to%20coordinate%20a%20response%20to%20the%20Russian%20invasion.</t>
  </si>
  <si>
    <t>IEH2</t>
  </si>
  <si>
    <t>4,000 blood bags. The aid package falls within the framework of the EU Civil Protection Mechanism (EUCPM). "Source of Aid 1" and "Source of Aid 2" list also the aid package reported in IEH3.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</si>
  <si>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blood bag</t>
  </si>
  <si>
    <t>https://www.gov.ie/en/press-release/b80b7-government-ministers-announce-irish-support-for-ukrainian-health-service/?msclkid=07ab0901b05a11ec8239ca04bfcdbb9d</t>
  </si>
  <si>
    <t>https://www.irishtimes.com/news/health/thousands-of-blood-bags-and-protective-suits-among-irish-aid-sent-to-ukraine-1.4824403</t>
  </si>
  <si>
    <t>IEH3</t>
  </si>
  <si>
    <t>Medical supplies. The assistance falls within the framework of the EU Civil Protection Mechanism (EUCPM). "Source of Aid 1" and "Source of Aid 2" list also the aid package reported in IEH2.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</si>
  <si>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bio protection suit</t>
  </si>
  <si>
    <t>IEH4</t>
  </si>
  <si>
    <t>until 3/26/2022</t>
  </si>
  <si>
    <t xml:space="preserve">"Source of Aid 1" mentions that beside medical consumables and personal protective equipment (listed in IEH5, IEH6), the government has sent 9 ambulances. </t>
  </si>
  <si>
    <t>https://www.gov.ie/en/press-release/2e59c-update-on-medical-humanitarian-support-to-ukraine/</t>
  </si>
  <si>
    <t>IEH5</t>
  </si>
  <si>
    <t>In total, four shipments were sent to Ukraine from March 26, to April 1. "Source of Aid 1" mentions that the these shipments include over 3,600 items comprising critical care devices including life support, diagnostic, therapeutic and infant care together with a range of consumable devices. However, due to the unknown amount, we cannot further quantify this aid package.</t>
  </si>
  <si>
    <t>IEH6</t>
  </si>
  <si>
    <t>In addition to the shipments mentioned in IEH4, another delivery of 18 pallets of pharmaceutical items was sent to Ukraine.</t>
  </si>
  <si>
    <t>IEH7</t>
  </si>
  <si>
    <t>Ireland committed during the "Stand Up for Ukraine Event" to direct its REACT-EU funds, worth 53 million EUR, to Ukraine for humanitarian purposes.</t>
  </si>
  <si>
    <t>IEH8</t>
  </si>
  <si>
    <t>Grant provided by the Ministry of Foreign Affairs to an Irish charity in order to open a center providing psychological support and sexual health care in Ukraine.</t>
  </si>
  <si>
    <t>https://www.irishmirror.ie/news/irish-news/politics/goal-opens-new-support-offices-27021322</t>
  </si>
  <si>
    <t>IEH9</t>
  </si>
  <si>
    <t xml:space="preserve">Ireland has sent 10 additional ambulances, thus bringing the total value of medical assistance to EUR 4.3 million. Since part of this assistance has already been quantified and defined in IEH2, IEH3, IEH4, IEH5 and IEH6, we substract the quantified amounts from the total EUR 4.3 million mentioned in the source. Thus, the monetary value equals to EUR 2.197 million. Moreover, Ireland has contributed EUR 20 million through UN agencies and the Red Cross in our dataset. </t>
  </si>
  <si>
    <t>https://www.gov.ie/en/press-release/e6e61-ireland-donates-ambulances-and-other-life-saving-equipment-to-ukraine/#:~:text=%E2%80%9CIreland%20is%20sending%20another%20significant,the%20wider%20coordinated%20EU%20effort.</t>
  </si>
  <si>
    <t xml:space="preserve">https://www.independent.ie/irish-news/news/10-hse-ambulances-sent-to-ukraine-to-help-in-humanitarian-effort-41789730.html </t>
  </si>
  <si>
    <t>ITH1</t>
  </si>
  <si>
    <t>Italy</t>
  </si>
  <si>
    <t xml:space="preserve">Grant with humanitarian purposes to the International Red Cross activities in Ukraine.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</si>
  <si>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https://www.esteri.it/en/politica-estera-e-cooperazione-allo-sviluppo/aree_geografiche/europa/litalia-a-sostegno-dellucraina/</t>
  </si>
  <si>
    <t>ITH2</t>
  </si>
  <si>
    <t xml:space="preserve">Food and first-necessity items. The aid package falls within the framework of the EU Civil Protection Mechanism (EUCPM). This mechanism organizes logistics for donations and covers some of the transportation cost. No further information regarding the shipment has been disclosed. </t>
  </si>
  <si>
    <t>https://www.esteri.it/it/sala_stampa/archivionotizie/comunicati/2022/03/fornitura-di-beni-umanitari-in-favore-della-popolazione-ucraina/</t>
  </si>
  <si>
    <t>ITH3</t>
  </si>
  <si>
    <t xml:space="preserve">Italian Civil Protection sent materials via Poland (200 tents for a total of 1000 people; 1000 camp beds; 1000 sleeping bags), medicines and medical equipment via Romania (23 ambulances, as well as 3 field kitchens).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</si>
  <si>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bed</t>
  </si>
  <si>
    <t>ITH4</t>
  </si>
  <si>
    <t xml:space="preserve">The Italian Corpo Nazionale dei Vigili del Fuoco donated 45 vehicles to their Ukrainian counterpart. The shipment, coordinated by the Italian Civil Protection, left by train towards Slovakia.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</si>
  <si>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fire-vehicle</t>
  </si>
  <si>
    <t>https://www.padovaoggi.it/cronaca/vigili-fuoco-mezzi-ucraina-padova-14-aprile-2022.html</t>
  </si>
  <si>
    <t>ITH5</t>
  </si>
  <si>
    <t>Donation amounting to 4 million EUR for the International Red Cross in Ukraine, 6 million for UNICEF in Ukraine and 6 million to the OCHA's "Ukraine Humanitarian Fund". All of these international organizations are active in Ukraine. We do not count donations made to international organisations that are not explicitly active in Ukraine.</t>
  </si>
  <si>
    <t>https://www.onuitalia.com/2022/04/20/ucraina-sereni-da-italia-26-milioni-di-aiuti-umanitari/</t>
  </si>
  <si>
    <t>ITM1</t>
  </si>
  <si>
    <t>Since February 2022, Italy has sent an undisclosed number of lethal and non-lethal weapons to Ukraine, worth a total of 150 million EUR according to a statement of the Italian Ministry of Defense. Also, "Source of Aid 3" reports that 50 million EUR are accountable to the equipment material, while the remainder is related to major and minor weapons. The Italian government has not disclosed the full list, but, thanks to a leak published by “Il Fatto Quotidiano”, Italy has sent an undisclosed number of Stinger launchers, millions of rounds of ammunition caliber 12.7, thousands of mortar bombs, Browning machine guns, thousands of helmets, Milan launchers and thousands of food rations. "Source of Aid 1" reports also aid for refugees, which we don't report in our dataset because it is not a flow directed to Ukraine. "Source of Aid 2" lists also the aid package reported in ITF1 (110 million EUR).</t>
  </si>
  <si>
    <t>https://www.repubblica.it/politica/2022/03/01/news/armi_ucraina_di_governo_oggi_camere-339750246/</t>
  </si>
  <si>
    <t>https://www.startmag.it/innovazione/armi-italia-ucraina/</t>
  </si>
  <si>
    <t>https://www.termometropolitico.it/1600183_guerra-russia-ucraina-litalia-invia-armi-e-mezzi-i-dettagli-delloperazione.html</t>
  </si>
  <si>
    <t>https://www.repubblica.it/esteri/2022/04/28/news/guerra_russia_ucraina_armi_italiane-347273567/</t>
  </si>
  <si>
    <t>ITM2</t>
  </si>
  <si>
    <t>Italy approved a second tranche of military aid for Ukraine. The Minister of Defence declared that the second tranche of aid "will be of the same nature as the first one", in terms of items sent (see ITM1). However, no further details were announced.</t>
  </si>
  <si>
    <t>https://www.gazzettaufficiale.it/eli/id/2022/04/27/22A02651/sg</t>
  </si>
  <si>
    <t>https://www.ilmessaggero.it/politica/armi_ucraina_italia_guerini_conte_draghi_costo_cosa_succede_governo_ultime_notizie-6652159.html</t>
  </si>
  <si>
    <t>ITM3</t>
  </si>
  <si>
    <t xml:space="preserve">Italy approved a third tranche (see ITM1 and ITM2) of military aid to Ukraine, which entails 155 mm FH70 howitzers, Lince armoured vehicles and M130 tracks for troop transport, but does not include tanks or drones (see "Source of Aid 3") . According to "Source of Aid 2", on May 9 it became publicly know by John Kirby that besides Belgium (BEM4) and the Netherlands (NLM4), Italy would be sending either M-109 or 155mm howitzers PzH 2000, however the exact amount remains unclear. "Source of Aid 3" clarifies that Italy will deliver 155 mm FH70 towed howitzers (amount undisclosed). </t>
  </si>
  <si>
    <t>FH70 155mm howitzer</t>
  </si>
  <si>
    <t>https://www.gazzettaufficiale.it/atto/serie_generale/caricaDettaglioAtto/originario?atto.dataPubblicazioneGazzetta=2022-05-13&amp;atto.codiceRedazionale=22A02976&amp;elenco30giorni=false</t>
  </si>
  <si>
    <t>https://mil.in.ua/en/news/the-netherlands-italy-and-belgium-have-agreed-to-transfer-the-additional-155-mm-caliber-acs-to-ukraine/</t>
  </si>
  <si>
    <t>https://www.fanpage.it/politica/armi-allucraina-arriva-il-terzo-decreto-del-governo-lelenco-e-secretato-come-i-precedenti/</t>
  </si>
  <si>
    <t>https://www.ilmessaggero.it/mondo/armi_italia_ucraina_inviate_quali_sono_guerra_russia_ultime_notizie-6743279.html</t>
  </si>
  <si>
    <t>https://geopolitiki.com/italian-fh70-howitzers-ukraine-against-russians/</t>
  </si>
  <si>
    <t>M130 tracks for troop transport</t>
  </si>
  <si>
    <t>Lince armoured car</t>
  </si>
  <si>
    <t>105mm light field gun ammunition</t>
  </si>
  <si>
    <t>ITM4</t>
  </si>
  <si>
    <t xml:space="preserve">Italy approved its fourth tranche (see ITM1, ITM2. ITM3) of military aid to Ukraine. As for the other four shipments, the type of weapons committed and the monetary value of the donation is still kept secret. </t>
  </si>
  <si>
    <t>https://twitter.com/oleksiireznikov/status/1553647959501414401?s=20&amp;t=sxJyy3lEqeaMPa3O1ayEDw</t>
  </si>
  <si>
    <t>https://www.ilfattoquotidiano.it/2022/07/27/armi-allucraina-ok-del-copasir-al-quarto-decreto-sullinvio-aderente-alle-indicazioni-del-parlamento-la-lista-e-sempre-segreta/6744667/</t>
  </si>
  <si>
    <t>ITM5</t>
  </si>
  <si>
    <t xml:space="preserve">Italy approved a fifth tranche (see ITM1, ITM2, ITM3, ITM4) of military aid to Ukraine As for the other four shipments, the type of weapons committed and the monetary value of the donation is still kept secret. </t>
  </si>
  <si>
    <t>https://www.ukrinform.net/rubric-ato/3604150-italy-provides-ukraine-with-two-m270-systems-six-pzh-2000-about-30-selfpropelled-howitzers-media.html</t>
  </si>
  <si>
    <t>ITM6</t>
  </si>
  <si>
    <t>until 17/10/2022</t>
  </si>
  <si>
    <t>In October 2022, La Republica revealed some content of the military aid packages committed by the previous Government (ITM1-ITM5). Since we cannot identify which package consists of which weapons, we report it as a separate entry.</t>
  </si>
  <si>
    <t>https://euromaidanpress.com/2022/10/30/italy-allegedly-supplied-many-heavy-weapons-to-ukraine-but-didnt-disclose-it-earlier-la-repubblica/</t>
  </si>
  <si>
    <t>https://euromaidanpress.com/2022/11/05/italy-set-to-approve-sixth-military-aid-package-for-ukraine-italian-defense-minister/</t>
  </si>
  <si>
    <t>https://www.reuters.com/world/europe/italy-open-supplying-air-defence-systems-ukraine-official-2022-11-08/</t>
  </si>
  <si>
    <t>M109 A3GM 155mm howitzer</t>
  </si>
  <si>
    <t>ITF1</t>
  </si>
  <si>
    <t>Grant worth 110 million EUR.</t>
  </si>
  <si>
    <t>https://www.ansa.it/sito/notizie/topnews/2022/02/27/di-maio-da-italia-110-milioni-di-euro-al-governo-di-kiev_946fac9e-f0a8-492e-9b12-7b64fefc6bac.html</t>
  </si>
  <si>
    <t>https://ua.interfax.com.ua/news/general/804360.html</t>
  </si>
  <si>
    <t>ITF3</t>
  </si>
  <si>
    <t>200 million EUR loan for a 15-year period, with the grace period of 7.5 years, and applies a 0 % interest rate.</t>
  </si>
  <si>
    <t>https://www.kmu.gov.ua/en/news/minfin-ukraina-otrymala-200-mln-ievro-vid-italii</t>
  </si>
  <si>
    <t>JPH1</t>
  </si>
  <si>
    <t>Japan</t>
  </si>
  <si>
    <t>Japan provided a grant for medical equipment to Ukraine. It belongs to the "Economic and Social Development Programme". Note that "Source of Aid 1" also includes the signment of a loan of 100 million USD, which belongs to the total volume that was committed earlier (see JPF1).</t>
  </si>
  <si>
    <t>https://www.kmu.gov.ua/en/news/ukrayina-otrimaye-vid-yaponiyi-kredit-u-rozmiri-100-mln-dol-ssha-ta-grant-23-mln-dol-ssha</t>
  </si>
  <si>
    <t>https://ukranews.com/en/news/853495-japan-decides-to-allocate-usd-100-million-loan-and-usd-2-3-million-grant-to-ukraine</t>
  </si>
  <si>
    <t>JPH2</t>
  </si>
  <si>
    <t>Government of Japan decided to extend an Emergency Grant Aid of about 1.66 million US dollars, considering further increase of needs for humanitarian assistance to assist the people of Ukraine.</t>
  </si>
  <si>
    <t>https://www.mofa.go.jp/press/release/press3e_000396.html#:~:text=Emergency%20Grant%20Aid%20for%20the%20transportation%20of%20relief%20products%20for%20Ukraine,-May%2027%2C%202022&amp;text=On%20May%2027%2C%20the%20Government,assist%20the%20people%20of%20Ukraine.</t>
  </si>
  <si>
    <t>JPH3</t>
  </si>
  <si>
    <t>https://japan.kantei.go.jp/ongoingtopics/pdf/jp_stands_with_ukraine_eng.pdf</t>
  </si>
  <si>
    <t>The Japanese Ministry of Defense will provide new civilian vehicles (vans) to the Ukrainian government. They will also hand over additional small drones as stated in Source of Aid 1, quantified in Donation ID JPM3.</t>
  </si>
  <si>
    <t>civilian van</t>
  </si>
  <si>
    <t>https://www.mod.go.jp/j/press/news/2022/08/04a.html</t>
  </si>
  <si>
    <t>https://www.kyivpost.com/russias-war/japan-to-provide-vans-drones-to-ukraine.html</t>
  </si>
  <si>
    <t>https://mil.in.ua/en/news/the-ministry-of-defense-of-japan-will-hand-over-vans-and-drones-to-ukraine/</t>
  </si>
  <si>
    <t>JPM1</t>
  </si>
  <si>
    <t xml:space="preserve">Military basic supplies such as bulletproof vests, helmets, power generators and food. According to "Source of Aid 2", this was enacted officially on March 8. Source of Aid 4 lists 110000 provided food rations, out of which 100000 are intended for Ukraine. </t>
  </si>
  <si>
    <t>https://www.wsj.com/livecoverage/russia-ukraine-latest-news-2022-03-04/card/japan-will-send-the-ukrainian-military-basic-supplies-VOtpnPjTX2ooK8dqQ8o8?msclkid=8d9aa20aaf4811eca75cd52c21f47675</t>
  </si>
  <si>
    <t>https://www.mofa.go.jp/press/release/press4e_003098.html</t>
  </si>
  <si>
    <t>https://cxtvnews.com/military/2022/03/07/japan-decides-to-send-military-supplies-to-ukraine/</t>
  </si>
  <si>
    <t>https://www.ukrinform.net/rubric-ato/3424220-japan-sends-military-protective-equipment-to-ukraine.html</t>
  </si>
  <si>
    <t>https://www.wfp.org/news/japan-provides-us28-million-humanitarian-food-assistance-ukraine</t>
  </si>
  <si>
    <t>JPM2</t>
  </si>
  <si>
    <t xml:space="preserve">Japan announced the dispatchment of protective masks, clothing against chemical weapons and camera-equipped drones. Source of Aid 2 mentions the number of 30 drones. </t>
  </si>
  <si>
    <t>protective mask with filter</t>
  </si>
  <si>
    <t>https://english.kyodonews.net/news/2022/04/00e4cd64dc1c-japan-to-offer-protective-masks-clothing-drones-to-ukraine.html</t>
  </si>
  <si>
    <t>https://www.asahi.com/ajw/articles/14608909</t>
  </si>
  <si>
    <t>chemical, biological, radiological, nuclear protective equipment</t>
  </si>
  <si>
    <t>https://www.nippon.com/en/news/kd927892413712449536/</t>
  </si>
  <si>
    <t>JPM3</t>
  </si>
  <si>
    <t xml:space="preserve">The Japanese Ministry of Defense will provide small drones to the Ukrainian government. Source of Aid 4 mentions "at least a dozen", which is why we use 12 as the minimal number of committed drones. They will also hand over additional new civilian vehicles (vans), quantified in donation JPH3. </t>
  </si>
  <si>
    <t>JPF1</t>
  </si>
  <si>
    <t>Loan of at least 100 million USD to Ukraine. As stated by "Source of Aid 2", the loan is provided in cooperation with the World Bank. "Source of Aid 1" lists also the aid packages reported in JPH1 and JPM1. Moreover, "Source of Aid 1" reports a total value of aid amounting to 1.87 billion USD, however from 2014 on. We do not report this value in our dataset, because it considers aid prior to January 24, 2022.</t>
  </si>
  <si>
    <t>https://www.mofa.go.jp/press/kaiken/kaiken24e_000113.html</t>
  </si>
  <si>
    <t xml:space="preserve">https://www.reuters.com/markets/europe/japan-offers-ukraine-100-mln-loans-show-support-2022-02-15/ </t>
  </si>
  <si>
    <t>JPF2</t>
  </si>
  <si>
    <t>Prime Minister Kishida announced to increase the previous granted loan (JPF1) to a total of 300 million USD. Hence, we consider here the increase of 200 million USD.</t>
  </si>
  <si>
    <t>https://www.reuters.com/world/europe/japan-trebles-loans-ukraine-300-mln-pm-kishida-other-leaders-2022-04-19/</t>
  </si>
  <si>
    <t>https://www.ukrinform.net/rubric-ato/3462246-japan-to-extend-300-million-in-loans-to-ukraine.html</t>
  </si>
  <si>
    <t>https://www.fxempire.com/news/article/japan-trebles-loans-to-ukraine-to-300-million-pm-kishida-to-other-leaders-972430</t>
  </si>
  <si>
    <t>JPF3</t>
  </si>
  <si>
    <t>Prime Minister Kishida announced to double the financial aid to Ukraine to 600 million USD (previous amount was also 300 million USD, see JPF1 and JPF2). The additional 300 million USD in loans ("Source of Aid 2" specifies that it will be a loan) are provided via the World Bank.</t>
  </si>
  <si>
    <t>https://japantoday.com/category/politics/japan-to-double-ukraine-aid-to-600-million</t>
  </si>
  <si>
    <t>https://www3.nhk.or.jp/nhkworld/en/news/20220519_02/</t>
  </si>
  <si>
    <t>https://www.business-standard.com/article/international/japan-will-double-financial-aid-for-ukraine-to-600-million-pm-kishida-122051900737_1.html</t>
  </si>
  <si>
    <t>LVH1</t>
  </si>
  <si>
    <t>Latvia</t>
  </si>
  <si>
    <t xml:space="preserve">Broad aid package covering various areas, ranging from support to Ukrainian media to support for international organizations working in Ukraine. Since we cannot disentangle the part of the aid dispatched to Ukrainian media from the part of the aid dispatched to international organizations, we apply our upper bound rule and report the entire package of 1.2 million EUR. We do not consider the 1.2 million sent through the European Peace Facility, since this is categorized as EU military aid. </t>
  </si>
  <si>
    <t>https://www.mfa.gov.lv/en/article/latvian-foreign-ministry-channel-eur-24000000-towards-assistance-ukraine</t>
  </si>
  <si>
    <t>https://eng.lsm.lv/article/society/defense/30-truckloads-of-equipment-heading-from-latvia-to-ukraine.a445455/</t>
  </si>
  <si>
    <t xml:space="preserve">https://eng.lsm.lv/article/society/society/latvia-has-sent-14-loads-of-donations-to-ukraine.a448977/ </t>
  </si>
  <si>
    <t>LVH2</t>
  </si>
  <si>
    <t>The Cabinet decided to donate two ambulances (according to the Cabinet, worth 83,693.93 EUR each) and 200 stretchers to the Borispil hospital (worth 29.88 EUR each). The aid package falls within the framework of the EU Civil Protection Mechanism (EUCPM).</t>
  </si>
  <si>
    <t>ambulance Latvia</t>
  </si>
  <si>
    <t xml:space="preserve">https://tapportals.mk.gov.lv/legal_acts/4cc2e5ed-8d7f-4052-8aaa-9a3a1d472b7d </t>
  </si>
  <si>
    <t>stretcher Latvia</t>
  </si>
  <si>
    <t>LVM1</t>
  </si>
  <si>
    <t>until 4/6/2022</t>
  </si>
  <si>
    <t>"Source of Aid 1", an email from the Ministry of Defense, quantifies the military aid to Ukraine to 220 million EUR and mentions the listed items. Among them are also Stinger anti-aircraft missile system ("Source of Aid 4" specifies the commitment of them). This is in line with a statement of Latvia's Minister of Foreign Affairs from April 6 (more than 200 million euros in support of the Ukraine, "Source of Aid 2") and includes LVM1. Considering the value Latvia provides via the European Peace Facility and which we therefore count as EU aid (1.2 million EUR, see "Source of Aid 3" - here we list also LVH1), we quantify 218.8 million EUR. As the aid was provided until April 2022 and no earlier announcement can be verified, we report this package entirely for the month of April for Analysis of Aid over time purposes.</t>
  </si>
  <si>
    <t>armament (Latvia)</t>
  </si>
  <si>
    <t>E-Mail from the Ministry of Defence of the Republic of Latvia</t>
  </si>
  <si>
    <t>https://twitter.com/edgarsrinkevics/status/1511694357560180745?ref_src=twsrc%5Etfw%7Ctwcamp%5Etweetembed%7Ctwterm%5E1511694357560180745%7Ctwgr%5E%7Ctwcon%5Es1_&amp;ref_url=https%3A%2F%2Fwww.redditmedia.com%2Fmediaembed%2Ftxqhaq%3Fresponsive%3Dtrueis_nightmode%3Dfalse</t>
  </si>
  <si>
    <t>https://www.mod.gov.lv/en/news/latvia-delivers-stinger-anti-aircraft-missile-system-ukraine</t>
  </si>
  <si>
    <t>until 4/6/2023</t>
  </si>
  <si>
    <t>Stinger anti-aircraft system (Latvia)</t>
  </si>
  <si>
    <t>until 4/6/2024</t>
  </si>
  <si>
    <t>unmanned system (Latvia)</t>
  </si>
  <si>
    <t>until 4/6/2025</t>
  </si>
  <si>
    <t>Helicopter and spare parts (Latvia)</t>
  </si>
  <si>
    <t>until 4/6/2026</t>
  </si>
  <si>
    <t>until 4/6/2027</t>
  </si>
  <si>
    <t>MRE</t>
  </si>
  <si>
    <t>LVM2</t>
  </si>
  <si>
    <t>until 7/7/2022</t>
  </si>
  <si>
    <t>During the interview with Ukrinform, the president of Latvia Egils Levits said that so far, Latvia has provided 250 million euros to Ukraine for military assistance(Source of Aid 1). Since in LVM1 we reported 218.8 million euros, we calculate that Latvia donated another 30 million euros. (we don't count 1.2 million euros dedicated to the European peace facility). He also specified that this help is already provided, so we consider it to be delivered. As the interview was conducted in July, we also consider this aid package to have been committed and delivered entirely in July for Analysis of Aid over time purposes.</t>
  </si>
  <si>
    <t>https://www.ukrinform.ua/rubric-world/3523885-egils-levits-prezident-latvii.html</t>
  </si>
  <si>
    <t>LVM3</t>
  </si>
  <si>
    <t>According to the press release of the Latvian Ministry of Defense, Latvia has delivered Mi-17 and Mi-2 helicopters to the Ukrainian army.</t>
  </si>
  <si>
    <t>Mi-17</t>
  </si>
  <si>
    <t>https://www.mod.gov.lv/lv/zinas/latvija-ukrainas-armijai-piegadajusi-helikopterus-mi-17-un-mi-2</t>
  </si>
  <si>
    <t>https://twitter.com/Pabriks/status/1559196940167962624?s=20&amp;t=8mX0LWVPGMqpt7LQ8N__qA</t>
  </si>
  <si>
    <t>Mi-2</t>
  </si>
  <si>
    <t>LVM4</t>
  </si>
  <si>
    <t>According to Oleg Reznikov, the Ukraine Minister of Defense, Latvia has delivered six more M109 howitzers to the Ukrainian army.</t>
  </si>
  <si>
    <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t>
  </si>
  <si>
    <t>LVF1</t>
  </si>
  <si>
    <t>Latvia has contributed 5 million EUR to the Multi Donor Trust Fund set up by the World Bank to facility financial support to the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Denmark with 22 million USD, Latvia + Lithuania + Iceland with 12 million USD and Japan with 100 million USD.</t>
  </si>
  <si>
    <t>https://eng.lsm.lv/article/economy/economy/latvia-directs-additional-five-million-euros-to-ukraine.a446989/#:~:text=The%20Latvian%20government%20has%20directed,of%20military%20aggression%20by%20Russia.</t>
  </si>
  <si>
    <t>LVF2</t>
  </si>
  <si>
    <t>During the High-Level International Donor's Conference for Ukraine on May 5, 2022, Latvia announced to double its contribution by 10 million EUR (see "Source of Aid 1" at 1:39:20). "Source of Aid 2" clarifies  that this represents a loan guarantee as contribution to the IBRD PEACE project.</t>
  </si>
  <si>
    <t>https://www.vestnesis.lv/op/2022/118.11</t>
  </si>
  <si>
    <t>LTM1</t>
  </si>
  <si>
    <t>Lithuania</t>
  </si>
  <si>
    <t>until 3/16/2022</t>
  </si>
  <si>
    <t>Military aid worth a total of 29 million EUR. According to "Source of Aid 1", the Prime Minister indicated that this has included overall Stinger anti-aircraft systems, and other important military equipment like ammunition. However, no further information regarding the amounts and type of item supplied has been released.</t>
  </si>
  <si>
    <t>https://www.delfi.lt/en/politics/kasciunas-lithuania-provides-ukraine-with-military-aid-worth-eur-29-mln.d?id=89718941</t>
  </si>
  <si>
    <t>https://www.teletrader.com/lithuania-to-give-ukraine-10m-in-military-aid/news/details/57547008?internal=1&amp;ts=1654245351379</t>
  </si>
  <si>
    <t>LTM2</t>
  </si>
  <si>
    <t>The Lithuanian President announced the provision of at least 10 million EUR in additional military aid to Ukraine, including night vision devices and anti-drone weapons.</t>
  </si>
  <si>
    <t>https://www.lrt.lt/en/news-in-english/19/1652048/lithuania-to-provide-eur10m-in-military-aid-to-ukraine</t>
  </si>
  <si>
    <t>https://www.teletrader.com/lithuania-to-give-ukraine-10m-in-military-aid/news/details/57547008?internal=1&amp;ts=1650527739811</t>
  </si>
  <si>
    <t>anti-drone weapon</t>
  </si>
  <si>
    <t>LTM3</t>
  </si>
  <si>
    <t>The Lithuanian defense minister states that among the weapons sent, there are heavy mortars. Even though the minister did not disclose a specific number, it was reported that the overall cost for this military assistance is worth "tens of millions" EUR. However, as the minister stated on April 26 that the total military aid Lithuania had provided until that date is worth 100 million ("Source of Aid 3"), we can subtract from this value the values for LTM1 (29 million EUR) and LTM2 (10 million EUR) and can apply a value fof 61 million EUR to correctly reflect the total military aid provided by Lithuania. "Source of aid 4" specifies that Lithuania sent 120mm mortars.</t>
  </si>
  <si>
    <t>2B11 or M/41D 120mm heavy mortar</t>
  </si>
  <si>
    <t>https://news.az/news/lithuania-supplies-another-batch-of-weapons-to-ukraine</t>
  </si>
  <si>
    <t>https://www.txtreport.com/news/2022-04-21-lithuania-has-provided-ukraine-with-large-mortars.Sk8DYtC45.html</t>
  </si>
  <si>
    <t>https://www.armyrecognition.com/defense_news_may_2022_global_security_army_industry/lithuania_prepares_a_shipment_of_20_m113_tracked_apcs_to_ukraine.html</t>
  </si>
  <si>
    <t>https://twitter.com/a_anusauskas/status/1546202214003269635</t>
  </si>
  <si>
    <t>LTM4</t>
  </si>
  <si>
    <t>Lithuania announced to provide military equipment, worth about 15.5 million EUR. "Source of Aid 4" mentions that this package would bring the total value of Lithuania's military aid to 115 million EUR, which corresponds to the sum of LTM1 - LTM4.</t>
  </si>
  <si>
    <t>https://interfax.com/newsroom/top-stories/79528/</t>
  </si>
  <si>
    <t>https://www.lrt.lt/en/news-in-english/19/1702086/lithuania-to-hand-over-eur15-5-million-worth-of-armoured-vehicles-trucks-suvs-to-ukraine</t>
  </si>
  <si>
    <t>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t>
  </si>
  <si>
    <t>https://www.lrt.lt/en/news-in-english/19/1702318/lithuania-among-top-15-of-ukraine-s-military-donors-mp</t>
  </si>
  <si>
    <t>https://twitter.com/UAWeapons/status/1530575142115495937</t>
  </si>
  <si>
    <t>Military trucks</t>
  </si>
  <si>
    <t>off-road vehicle for demining operations</t>
  </si>
  <si>
    <t>LTM5</t>
  </si>
  <si>
    <t>Arvydas Anušauskas, Lithuanian defence minister, says in July 2022 that they provided 123 million EUR of military aid to this point. Still, "Source of Aid 2" states that Bayraktar drones listed in "Source of aid 1" and thus included in 123 million EUR of military aid were covered by private donations. Considering that Luthiania previously provided 115 million EUR, we calculate this package to be worth 8 million EUR with private donations and 2 million EUR without. Thus, we report 2 million EUR. Arvydas Anušauskas also specifies which weapons were sent so far, so we consider this package to contain only those weapons that have not been specifically indicated in previous ones.</t>
  </si>
  <si>
    <t>https://www.reuters.com/world/europe/lithuania-transfer-crowdfunded-bayraktar-drone-ukraine-wednesday-2022-07-06/</t>
  </si>
  <si>
    <t>LTM6</t>
  </si>
  <si>
    <t>Arvydas Anušauskas, Lithuanian defence minister, committed additional M113 and M577 military vehicles to be delivered "in the nearest future". We estimate the total monetary value using more recent reports (see LTM8).</t>
  </si>
  <si>
    <t>https://twitter.com/a_anusauskas/status/1549776944295809028</t>
  </si>
  <si>
    <t>https://defence-blog.com/lithuania-to-send-more-armored-vehicles-to-ukraine/</t>
  </si>
  <si>
    <t>M577 Command Post Carrier</t>
  </si>
  <si>
    <t xml:space="preserve">https://twitter.com/a_anusauskas/status/1549776944295809028 </t>
  </si>
  <si>
    <t xml:space="preserve">https://defence-blog.com/lithuania-to-send-more-armored-vehicles-to-ukraine/ </t>
  </si>
  <si>
    <t>LTM7</t>
  </si>
  <si>
    <t>According to the correspondent of ukrinform, Lithuanian president Gitanas Nauseda announced a new package of military aid, which includes military ammunition and 10 armoured vehicles (Source of Aid 1). President did not reveal which armoured vehicles are to be sent to Ukraine but based on previous commitments and stocks of the Lithuanian army; we assume it goes about M113. The exact type of ammunition, however, remains unknown.</t>
  </si>
  <si>
    <t>https://www.ukrinform.net/rubric-ato/3538884-lithuanian-president-announces-new-package-of-military-aid-to-ukraine.html</t>
  </si>
  <si>
    <t>military ammunition</t>
  </si>
  <si>
    <t>LTM8</t>
  </si>
  <si>
    <t>According to Arvydas Anušauskas, the Lithuanian Minister of Defense, Lithuania has delivered an unspecified amount of M50 105 mm howitzers and M101 105 mm howitzers. He also mentioned that with this package, the total aid provided by Lithuania reaches 200 EUR million. Thus, we can redistribute approximately 50 EUR million between this package (LTM8) and LTM6 since these are only two packages for which we don't have any information regarding the number of weapons sent and the monetary value provided by the source. As before, we do not include 8 EUR million from privat donations.</t>
  </si>
  <si>
    <t>M50 105mm howitzer</t>
  </si>
  <si>
    <t>https://www.facebook.com/arvydas.anusauskas/posts/pfbid0NXcMbwFUD4xXGgSJXGo4GpNMp54C1HMYD4taLbMP8jK4N2mh2Z2Emv1xGJqzMJvol</t>
  </si>
  <si>
    <t>https://twitter.com/Lithuanian_MoD/status/1567446474312540160?ref_src=twsrc%5Etfw%7Ctwcamp%5Etweetembed%7Ctwterm%5E1567446474312540160%7Ctwgr%5E4672a6b5ec4c4f6cf0f7166371f51fb78182c17f%7Ctwcon%5Es1_&amp;ref_url=https%3A%2F%2Fwww.eurointegration.com.ua%2Fnews%2F2022%2F09%2F7%2F7146332%2F</t>
  </si>
  <si>
    <t>M101 105mm howitzer</t>
  </si>
  <si>
    <t>https://www.facebook.com/UkraineMFA/videos/440959088009136/</t>
  </si>
  <si>
    <t xml:space="preserve">https://fakty.com.ua/en/ukraine/20220926-lytva-postavyla-ukrayini-50-btr-m113-glava-minoborony/ </t>
  </si>
  <si>
    <t>LTM9</t>
  </si>
  <si>
    <t xml:space="preserve">Gabrielius Landsbergis, Minister of Foreign Affairs of Lithuania, provided information regarding the new commitment of armoured vehicles during the Joint press conference of foreign ministers on 14 September (Source of aid 1). Later on, Arvydas Anušauskas, the Lithuanian Minister of Defense, specified the number of vehicles and their type (Source of aid 2). Source of Aid 3 mentions that the total amount of military aid Lithuania committed is 200 million EUR as per September 14. Before September 14, we quantify the Military Support of Lithuania to 186.7 million EUR. Taking the difference would evaluate the value of this package as 13.3 million EUR, close to the 15 million EUR value by item estimation. </t>
  </si>
  <si>
    <t>https://www.lrt.lt/en/news-in-english/19/1779577/lithuania-has-provided-eur200m-in-military-aid-to-war-torn-ukraine-minister</t>
  </si>
  <si>
    <t>https://twitter.com/a_anusauskas/status/1592084804501401604</t>
  </si>
  <si>
    <t>https://twitter.com/a_anusauskas/status/1574471610807062542</t>
  </si>
  <si>
    <t>LTM10</t>
  </si>
  <si>
    <t>Lithuania is to train Ukranian soldiers in the UK and in Lithuania</t>
  </si>
  <si>
    <t>https://twitter.com/a_anusauskas/status/1579816453611847680</t>
  </si>
  <si>
    <t>LTM11</t>
  </si>
  <si>
    <t>Lithuania is to provide additional military aid to Ukraine, according to Arvydas Anušauskas, the Lithuanian defence minister. The amount of M113 and armoured Toyotas is specified in Source of Aid 2 and 3. Source of aid 4 specified the amount and the price of winter clothing.</t>
  </si>
  <si>
    <t>winter clothing (Lithuania)</t>
  </si>
  <si>
    <t>https://twitter.com/a_anusauskas/status/1580272120306995201</t>
  </si>
  <si>
    <t>https://twitter.com/a_anusauskas/status/1585514603366305794</t>
  </si>
  <si>
    <t>https://twitter.com/a_anusauskas/status/1575131983499362304</t>
  </si>
  <si>
    <t>Armored toyota Land Cruiser 200</t>
  </si>
  <si>
    <t>Thermal imagery system</t>
  </si>
  <si>
    <t>LTM12</t>
  </si>
  <si>
    <t xml:space="preserve">Lithuania is repairing PzH2000, two of which already have been repaired and 14 more are expected to be repaired. </t>
  </si>
  <si>
    <t>Panzerhaubitze 2000 (repair)</t>
  </si>
  <si>
    <t>https://twitter.com/a_anusauskas/status/1586273232511848449</t>
  </si>
  <si>
    <t>LTH1</t>
  </si>
  <si>
    <t>Equipment and Assistance</t>
  </si>
  <si>
    <t xml:space="preserve">Shipment of first necessity items and equipment. The donations fall within the framework of the EU Civil Protection Mechanism (EUCPM). No further information regarding the shipment has been disclosed. </t>
  </si>
  <si>
    <t>https://lrv.lt/en/news/lithuania-allocates-1-8-mln-euro-worth-aid-to-ukraine?msclkid=2f9d4bd4b05c11ecbef1f3a571834d09</t>
  </si>
  <si>
    <t>LTH2</t>
  </si>
  <si>
    <t>The Lithuanian government approved a medical aid package to Ukraine worth 4 million EUR. According to "Source of Aid 1", it includes "medication, face masks, surgical kits, bandages, surgery gowns, various kits to stop bleeding and treat bone fractures, as well as burn wounds". Particular amounts remain undisclosed.</t>
  </si>
  <si>
    <t>https://www.lrt.lt/en/news-in-english/19/1628536/lithuania-to-send-eur4-million-medical-military-assistance-to-ukraine</t>
  </si>
  <si>
    <t>LTH3</t>
  </si>
  <si>
    <t>until 4/9/2022</t>
  </si>
  <si>
    <t>According to "Source of Aid 1", Lithuania expressed that it sent in-kind humanitarian and financial assistance worth 40 million EUR. Since no further information is provided, we include the total sum to avoid underestimating the true support. However, we take into account LTH1 and LTH2, and substract it from the mentioned aggregate sum (40-4-1.8=34.2).</t>
  </si>
  <si>
    <t>LTH4</t>
  </si>
  <si>
    <t>During the High-Level International Donor's Conference for Ukraine on May 5, 2022, Lithuania announced to provide additional 2 million EUR to support internally displaced people in Ukraine (01:44:52 in "Source of Aid 1").</t>
  </si>
  <si>
    <t>LTH5</t>
  </si>
  <si>
    <t>Lithuanian government approves 10 million euros in aid for Ukraine's rebuilding needs</t>
  </si>
  <si>
    <t>https://lrv.lt/en/news/government-approves-10-million-euros-in-aid-for-ukraines-rebuilding-needs</t>
  </si>
  <si>
    <t>LTH6</t>
  </si>
  <si>
    <t>Lithuania provides €5m to help Ukraine rebuild energy infrastructure</t>
  </si>
  <si>
    <t>https://www.lrt.lt/en/news-in-english/19/1824281/lithuania-provides-eur5m-to-help-ukraine-rebuild-energy-infrastructure</t>
  </si>
  <si>
    <t>https://www.delfi.lt/en/politics/lithuania-provides-eur-5-mln-to-help-ukraine-rebuild-energy-infrastructure.d?id=91786261</t>
  </si>
  <si>
    <t>LTF1</t>
  </si>
  <si>
    <t>Together with Iceland and Latvia, Lithuania has contributed 12 million EUR to the Multi Donor Trust Fund set up by the World Bank to facilitate financial support to the Ukraine. Latvia contributed 5 million EUR through this vehicle (LVF1). We attribute another 5 million EUR to Lithuania (see "Source of Aid 2"). The contribution is part of the Emergency Financing Package established by the World Bank thats amounts to 723 million USD in total. Other countries have contributed to this Emergency Financing Package: the Netherlands with 89 million USD, Sweden with 50 million USD, the United Kingdom with 100 million USD, Denmark with 22 million USD, Latvia + Lithuania + Iceland with 12 million USD and Japan with 100 million USD.</t>
  </si>
  <si>
    <t>https://mof.gov.ua/en/news/ukraines_state_budget_financing_since_the_beginning_of_the_full-scale_war-3435</t>
  </si>
  <si>
    <t>LUM1</t>
  </si>
  <si>
    <t>Luxembourg</t>
  </si>
  <si>
    <t>Following "Source of Aid 1", Luxembourg's defense minister stated on April 25 that the country has provided 50 million EUR in military and financial support to Ukraine until this date. As the government does not provide a detailed breakdown of the total amount (see "Source of Aid 1"), we report the total as military support. Here, we list the two announcements that belong to this 50 million EUR package. First, on February 28 it was announced that Luxembourg would send lethal weapons and equipment. We do not include the military equipment provided to NATO since this is not a direct flow into Ukraine (i.e. not a sovereign-to-sovereign flow). For the same reson, we do not include Luxembourg's contribution to the European funding of 250 million EUR, which refers probably to the EU Civil Protection Mechanism (see "Source of Aid 2" and "Source of Aid 3" of the package from February 28). Second, the minister of defense stated on March 28 that Luxembourg sent more than what is listed above, including protective vests and gas masks.</t>
  </si>
  <si>
    <t>https://delano.lu/article/luxembourg-gives-50m-in-milita</t>
  </si>
  <si>
    <t>https://gouvernement.lu/en/actualites/toutes_actualites/communiques/2022/02-fevrier/28-bausch-ukraine.html</t>
  </si>
  <si>
    <t>https://delano.lu/article/zelenskyy-thanks-luxembourg-fo</t>
  </si>
  <si>
    <t>https://delano.lu/article/luxembourg-delivering-substant</t>
  </si>
  <si>
    <t>NLAW anti-tank weapon</t>
  </si>
  <si>
    <t>Jeep Wrangler 4x4</t>
  </si>
  <si>
    <t>LUM2</t>
  </si>
  <si>
    <t xml:space="preserve">Luxembourg bought 200 rounds of ammunition for BM-21 Grad from an undisclosed EU country to give Ukraine, Luxembourg Defence Minister François Bausch says. </t>
  </si>
  <si>
    <t>GRAD multiple rocket launcher rocket</t>
  </si>
  <si>
    <t>https://www.luxtimes.lu/en/luxembourg/luxembourg-bought-soviet-era-weapons-for-ukraine-62cfbed9de135b9236a64dd4</t>
  </si>
  <si>
    <t>https://www.dw.com/en/ukraine-updates-zelenskyy-hints-he-is-open-to-talks-with-russia/a-63679013</t>
  </si>
  <si>
    <t>LUM3</t>
  </si>
  <si>
    <t>until 04/10/2022</t>
  </si>
  <si>
    <t xml:space="preserve">During the Warsaw Security Forum, François Bausch, Luxembourgish Minister of Defense, said that so far, his country has provided 72 million lethal and non-lethal equipment. We use this number to update the estimates of the aid provided after the last packages, LUM1 and LUM2.    </t>
  </si>
  <si>
    <t>https://gouvernement.lu/en/actualites/toutes_actualites/communiques/2022/10-octobre/04-bausch-warsaw-security-forum.html</t>
  </si>
  <si>
    <t>LUH1</t>
  </si>
  <si>
    <t>until 5/5/2022</t>
  </si>
  <si>
    <t>According to the statement of the Prime Minister as of May 5 (see 2:17:20 in "Source of Aid 1"), Luxembourg had until that date contributed 3 million EUR in humanitarian aid to Ukraine. Being part of it, we report for Luxembourg a a delivery containing medical and technical equipment as of February 28 ("Source of Aid 2"). This assistance falls within the framework of the EU Civil Protection Mechanism (EUCPM). No further information regarding the shipment has been disclosed.</t>
  </si>
  <si>
    <t>https://www.youtube.com/watch?v=A1nTsblXabc</t>
  </si>
  <si>
    <t>https://gouvernement.lu/en/actualites/toutes_actualites/communiques/2022/02-fevrier/28-bofferding-ucpm.html</t>
  </si>
  <si>
    <t>LUH2</t>
  </si>
  <si>
    <t xml:space="preserve">"Source of Aid 1" indicates that Luxembourg sent material contributions, namely 50 tons of fire-fighting equipment and medical supplies and medicines. Note that we do not count the mentioned assistance of 2.8 million in "Source of Aid 1", because this is devoted to multilateral organizations. The Prime Minister reiterated this aid within his statement, as of May 5 ("Source of Aid 2", 2:17:20). </t>
  </si>
  <si>
    <t>ton of fire-fighting equipment</t>
  </si>
  <si>
    <t>https://today.rtl.lu/news/luxembourg/a/1881929.html</t>
  </si>
  <si>
    <t>LUH3</t>
  </si>
  <si>
    <t>Luxembourg increased its humanitarian efforts with 1 million EUR "with a focus on children's safety" (see 2:17:40 in "Source of Aid 1").</t>
  </si>
  <si>
    <t>MTH1</t>
  </si>
  <si>
    <t>Malta</t>
  </si>
  <si>
    <t xml:space="preserve">Six large containers with medicines and medical equipment with a value of 1.15 million EUR, delivered through a coordinated national effort between the Ministry for Foreign and European Affairs and the Ministry for Home Affairs, National Security and Law Enforcement. Efforts are being coordinated by the Civil Protection Department. </t>
  </si>
  <si>
    <t>https://foreignandeu.gov.mt/en/Government/Press%20Releases/Pages/The-Government-of-Malta-is-committed-to-providing-official-aid-to-address-the-humanitarian-needs-of-the-people-of-Ukraine.aspx</t>
  </si>
  <si>
    <t>https://www.independent.com.mt/articles/2022-02-25/local-news/Malta-to-send-humanitarian-aid-to-Ukrainian-people-6736240942</t>
  </si>
  <si>
    <t>NLM1</t>
  </si>
  <si>
    <t>Netherlands</t>
  </si>
  <si>
    <t>Military equipment, equipment for protection (such as helmets, vests, detectors and radar systems) and lethal weapons such as rifles and ammunitions. "Source of Aid 3" mentions that the Minister of Foreign Affairs quantifies this package to about 7.4 million EUR. This delivery is part of the total military aid by the Netherlands until March 31, amounting to 50 million EUR ("Source of Aid 1").</t>
  </si>
  <si>
    <t>https://english.defensie.nl/latest/news/2022/04/06/a-look-at-the-defence-news-28-march---3-april</t>
  </si>
  <si>
    <t>https://www.government.nl/topics/russia-and-ukraine/news/2022/02/18/the-netherlands-intends-to-supply-military-goods-to-ukraine</t>
  </si>
  <si>
    <t>https://www.volkskrant.nl/nieuws-achtergrond/nederland-levert-militaire-goederen-en-wapens-aan-oekraine-ter-waarde-van-7-4-miljoen-euro~be2a2004/?referrer=https%3A%2F%2Fen.wikipedia.org%2F</t>
  </si>
  <si>
    <t>https://www.news18.com/news/world/ukraine-asks-for-military-aid-from-world-netherlands-us-among-25-countries-to-provide-support-4814291.html</t>
  </si>
  <si>
    <t>metal detector</t>
  </si>
  <si>
    <t>wire-guided detection robots for land and sea mine detection</t>
  </si>
  <si>
    <t>SQUIRE Ground Surveillance Radar</t>
  </si>
  <si>
    <t>Hughes AN/TPQ-36 Firefinder weapon locating system</t>
  </si>
  <si>
    <t>Barrett M82 sniper rifle</t>
  </si>
  <si>
    <t>Accuracy International sniper rifle(AX308 and AX 338)</t>
  </si>
  <si>
    <t>round of ammunition for sniper rifles</t>
  </si>
  <si>
    <t xml:space="preserve">Lethal weapons. This delivery is part of the total military aid by the Netherlands until March 31, amounting to 50 million EUR ("Source of Aid 1"). We don't include the Dutch contribution to NATO, since it's not a direct flow to Ukraine and not a sovereign-to-sovereign donation. </t>
  </si>
  <si>
    <t>https://www.defensie.nl/actueel/nieuws/2022/02/26/ook-antitankwapens-van-nederland-naar-oekraine</t>
  </si>
  <si>
    <t>https://www.rijksoverheid.nl/documenten/kamerstukken/2022/02/27/kamerbrief-update-afgifte-vergunning-voor-de-export-van-militaire-goederen-aan-oekraine</t>
  </si>
  <si>
    <t>https://www.aljazeera.com/news/2022/2/26/germany-approves-delivery-of-rpgs-from-netherlands-to-ukraine</t>
  </si>
  <si>
    <t>missile for Panzerfaust 3</t>
  </si>
  <si>
    <t>On March 16, the Defence Minister announced that the Netherlands are going to provide additional weapons ("Source of Aid 2"). However, no further information was given. This delivery is part of the total military aid by the Netherlands until March 31, amounting to 50 million EUR ("Source of Aid 1").</t>
  </si>
  <si>
    <t>https://www.reuters.com/world/europe/dutch-others-will-continue-deliver-weapons-ukraine-dutch-minister-2022-03-16/</t>
  </si>
  <si>
    <t>The Netherlands announced to send, in addition to howitzers (see "NLM2") to send armored vehicles ("Source of Aid 2"). "Source of Aid 3" specifies that it is about YPR-765 infantry vehicles. And as we can track the delivery of them until June 7, they are part of the total military aid provided until June 9, amounting to 130.4 million EUR.</t>
  </si>
  <si>
    <t>YPR-765 infantry vehicle</t>
  </si>
  <si>
    <t>https://twitter.com/MinPres/status/1516393082148773892</t>
  </si>
  <si>
    <t>https://www.oryxspioenkop.com/2022/04/beyond-call-dutch-arms-deliveries-to.html</t>
  </si>
  <si>
    <t>https://defence-blog.com/dutch-ypr-765-infantry-vehicles-arrived-in-ukraine/</t>
  </si>
  <si>
    <t>until 6/9/2022</t>
  </si>
  <si>
    <t>It was reported that the Netherlands have provided Ukraine with an undisclosed amount of drones. Moreover, as clarified by "Source of Aid 2", this has not included armed drones.</t>
  </si>
  <si>
    <t>https://nos.nl/artikel/2432074-nederland-levert-ook-drones-aan-oekraine-per-ongeluk-bekend-geworden</t>
  </si>
  <si>
    <t>NLM2</t>
  </si>
  <si>
    <t>"Source of Aid 1" states that the Netherlands planned to send heavy weapons on April 19, without specifying further information. On April 20, Bloomberg reported that the Netherlands are sending some of its Panzerhaubitze 2000 long-range armored howitzers to Ukraine. "Source of Aid 3" (as of April 25) indicates the shipment of five 155mm Howitzers. Moreover, the Netherlands are going to send armored fighting vehicles (undisclosed amount).</t>
  </si>
  <si>
    <t>https://www.forbes.com/sites/sebastienroblin/2022/04/21/the-dutch-are-sending-huge-german-armored-howitzers-to-ukraine/?sh=6c70196f9380</t>
  </si>
  <si>
    <t>https://twitter.com/oleksiireznikov/status/1539234531764486149</t>
  </si>
  <si>
    <t>NLM3</t>
  </si>
  <si>
    <t>As reported by the British Minister of Defence, the Netherlands announced to support Ukraine with anti-ship rockets, namely Harpoon missiles. No further information regarding the amount was disclosed.</t>
  </si>
  <si>
    <t>https://nltimes.nl/2022/06/16/netherlands-give-ukraine-anti-ship-rockets</t>
  </si>
  <si>
    <t>https://www.defencetalk.com/uk-to-deliver-rocket-launchers-to-ukraine-soon-defence-secretary-78981/</t>
  </si>
  <si>
    <t>NLM4</t>
  </si>
  <si>
    <t>In a common statement together with the German Minister, the Dutch Minister of Defence announced to provide together with Germany in total six additional Panzerhaubitze 2000, three by each of the both countries.</t>
  </si>
  <si>
    <t>https://nextcloud.auf.bundeswehr.de/s/AqqWmDg3m5kxg5o</t>
  </si>
  <si>
    <t>https://www.reuters.com/world/europe/germany-netherlands-supply-six-more-howitzers-kyiv-2022-06-28/</t>
  </si>
  <si>
    <t>https://www.dw.com/en/germany-netherlands-promise-additional-howitzers-to-ukraine/a-62294789</t>
  </si>
  <si>
    <t>NLM5</t>
  </si>
  <si>
    <t>Minister for Foreign Trade and Development Cooperation Liesje Schreinemacher and Minister of Defence Kajsa Ollongren pledged a new aid package for Ukraine during their joint visit to Kyiv on 22 August. 10 EUR million will be provided to clear landmines and other explosive remnants of war, which is listed as military assistance. Other commitments were dedicated to financial purposes (see NLF3).</t>
  </si>
  <si>
    <t>https://www.government.nl/latest/news/2022/08/22/extra-dutch-support-for-ukrainian-war-effort-and-reconstruction</t>
  </si>
  <si>
    <t>https://www.euractiv.com/section/politics/short_news/dutch-to-send-extra-war-efforts-to-ukraine/</t>
  </si>
  <si>
    <t>NLM6</t>
  </si>
  <si>
    <t>Weapons and Assistance</t>
  </si>
  <si>
    <t xml:space="preserve">The Netherlands is supplying heavy military equipment to Ukraine. The total value of the support package is € 120 million, of which € 45 million is designated for providing T-72 tanks. The first batch of tanks is expected to be delivered to Ukraine as early as next month. According to Source of aid 2 the government will not provide any further information about the content of this package.
</t>
  </si>
  <si>
    <t>T-72 overhaul</t>
  </si>
  <si>
    <t>https://www.defensie.nl/actueel/nieuws/2022/11/04/nederlands-militair-steunpakket-voor-oekraine</t>
  </si>
  <si>
    <t>https://www.rtlnieuws.nl/nieuws/politiek/artikel/5344701/kabinet-120-miljoen-extra-militaire-steun-voor-oekraine</t>
  </si>
  <si>
    <t>NLH1</t>
  </si>
  <si>
    <t>Emergency assistance worth 15 million EUR. "Source of Aid 1" and "Source of Aid 2" list also other aid packages directed to or offered by international organizations and, thus, not reported in our main dataset. We don't report the 20 million EUR given to the United Nations, the aid provided by the Dutch Relief Alliance (DRA) amounting to  2.5 million EUR, the 1 million EUR provided to the United Nation's Office of the High Commissioner for Human Rights (OHCHR), the 1 million EUR fund established for the defense of human rights, the aid provided by the UN Central Emergency Fund nor by the World Health Organization's Contingency Fund for Emergencies (CFE).</t>
  </si>
  <si>
    <t>https://www.government.nl/topics/russia-and-ukraine/dutch-aid-for-ukraine#:~:text=Humanitarian%20aid%20for%20Ukraine%20The%20Netherlands%20is%20supporting,available%20for%20victims%20of%20the%20war%20in%20Ukraine.?msclkid=75995df0b05d11eca834a0801d91bf9b</t>
  </si>
  <si>
    <t>https://www.vindobona.org/article/attack-on-ukraine-austria-extends-aid-from-foreign-disaster-fund-to-a-total-of-17-5-million-euros</t>
  </si>
  <si>
    <t>NLH2</t>
  </si>
  <si>
    <t>unti 10/3/2022</t>
  </si>
  <si>
    <t>Support of the work of the Red Cross in Ukraine and in neighboring countries where refugees are fleeing to. Since it is not possible to differentiate the sum dispatched to Ukraine from the sum dispatched to the neighboring countries, we include the total sum of 1.5 million EUR (following our upper value rule). "Source of Aid 1" lists also other aid packages directed to or offered by international organizations and, thus, not reported in our main dataset (for further information, refer to the explanation of NLH1).</t>
  </si>
  <si>
    <t>NLH3</t>
  </si>
  <si>
    <t>Medical supplies and equipment. Donations from the private sector are not included in our dataset, since they are no a sovereign-to-sovereign flow.</t>
  </si>
  <si>
    <t>https://netherlandsnewslive.com/the-netherlands-supplies-medicines-and-medical-supplies-to-ukraine/373516/</t>
  </si>
  <si>
    <t>coat</t>
  </si>
  <si>
    <t>mouth mask</t>
  </si>
  <si>
    <t>NLH4</t>
  </si>
  <si>
    <t>Prime Minister Rutte stated that the Netherlands is going to provide 5 million EUR of fuel (no quantity specified, see NLH5) and furthermore, 17 ambulances (see 2:15:30, "Source of Aid 1").</t>
  </si>
  <si>
    <t>NLH5</t>
  </si>
  <si>
    <t>Prime Minister Rutte stated that the Netherlands is going to provide 5 million EUR of fuel (no quantity specified) and furthermore, 17 ambulances (see NLH4) (see 2:15:30, "Source of Aid 1").</t>
  </si>
  <si>
    <t>NLH6</t>
  </si>
  <si>
    <t>The Netherlands announced a new contribution of 70 million euros for winterization activities. The Ukrainian authorities can use these funds directly to repair rooftops, power lines and water sources. And to buy gas to get their citizens through the cold winter. Source of aid 2 specifies that this amount will be increased by 110 million euros, making it 180 million euros in total.</t>
  </si>
  <si>
    <t>https://twitter.com/LSchreinemacher/status/1580222344538169346?ref_src=twsrc%5Etfw%7Ctwcamp%5Etweetembed%7Ctwterm%5E1580222344538169346%7Ctwgr%5Eda5480de56b54594938272c57ded09082863f933%7Ctwcon%5Es1_&amp;ref_url=https%3A%2F%2Fwww.eurointegration.com.ua%2Fnews%2F2022%2F10%2F13%2F7148653%2F</t>
  </si>
  <si>
    <t>https://twitter.com/LSchreinemacher/status/1591089465719926784</t>
  </si>
  <si>
    <t>NLF1</t>
  </si>
  <si>
    <t>The Netherlands have contributed 80 million EUR to the "FREE Ukraine Support Package". The latter is part of the Emergency Financing Package established by the World Bank and amounting to 723 million USD. Other countries have contributed to Emergency Financing Package: Sweden with 50 million USD, United Kingdom with 100 million USD, Denmark with 22 million USD, Latvia + Lithuania + Iceland with 12 million USD and Japan with 100 million USD.</t>
  </si>
  <si>
    <t>NLF2</t>
  </si>
  <si>
    <t>According to Ukrinform correspondent, during the Ukraine Recovery Conference in Lugano, a representative of the Dutch government stated the Kingdom of the Netherlands had allocated a EUR 200 million loan for Ukraine, which will be used through the International Monetary Fund (IMF) on the day-to-day needs of Ukraine’s public sector, including the payment of salaries.</t>
  </si>
  <si>
    <t>https://www.kyivpost.com/world/netherlands-allocates-eur-200m-loan-for-ukraine.html</t>
  </si>
  <si>
    <t>NLF3</t>
  </si>
  <si>
    <t xml:space="preserve">Minister for Foreign Trade and Development Cooperation Liesje Schreinemacher and Minister of Defence Kajsa Ollongren made pledged a new aid package for Ukraine during their joint visit to Kyiv on 22 August. 65 EUR million will go for aid and investment in Ukraine. Moreover, 1 EUR million will support initial design plans for rebuilding three cities: Kherson, Odesa and Mykolaiv, and another 2.5 EUR million will go to the European Bank for Reconstruction and Development (EBRD) to share knowledge with bodies such as the National Bank of Ukraine concerning macroeconomic reforms, good governance and the rule of law. An additional 10 EUR million will be provided to clear landmines and other explosive remnants of war, which is listed as military assistance (See NLM5).   </t>
  </si>
  <si>
    <t>NZM1</t>
  </si>
  <si>
    <t>New Zealand</t>
  </si>
  <si>
    <t>The aid consists of protective equipment (body armor plates, helmets, and camouflage vests) announced in tandem with NZM2.</t>
  </si>
  <si>
    <t>https://www.beehive.govt.nz/release/nz-provide-non-lethal-military-assistance-ukraine</t>
  </si>
  <si>
    <t>https://www.reuters.com/world/new-zealand-provide-ukraine-with-non-lethal-military-assistance-2022-03-21/</t>
  </si>
  <si>
    <t>https://www.rnz.co.nz/news/national/464762/first-shipment-of-nz-defence-equipment-arrives-to-aid-ukraine</t>
  </si>
  <si>
    <t>camouflage vest</t>
  </si>
  <si>
    <t>NZM2</t>
  </si>
  <si>
    <t>The total sum is attributed to a NATO Trust Fund that provides non-lethal military aid to Ukraine as well as a direct transfer to the Ukrainian army. Since the share going directly to the Ukrainian army remains undisclosed, we consider the total sum in our data. Retroactively, the share going to the NATO trust fund was revealed as being NZD 4.24 million as mentioned in Source of Aid 4. However we still report the whole donation value of NZD 5 million here, as both the donation to the NATO trust fund as well as the direct transfer to the Ukrainian army are considered bilateral military aid.</t>
  </si>
  <si>
    <t>NZD</t>
  </si>
  <si>
    <t>https://www.mfat.govt.nz/en/countries-and-regions/europe/ukraine/russian-invasion-of-ukraine/</t>
  </si>
  <si>
    <t>https://www.beehive.govt.nz/release/further-aotearoa-new-zealand-support-ukraine</t>
  </si>
  <si>
    <t>NZM4</t>
  </si>
  <si>
    <t>Support commercial satellite access for the Ukrainian Defence Intelligence.</t>
  </si>
  <si>
    <t>https://www.defensenews.com/global/asia-pacific/2022/04/13/new-zealand-bolsters-support-for-ukraine/</t>
  </si>
  <si>
    <t>https://www.aa.com.tr/en/russia-ukraine-war/new-zealand-announces-13m-additional-aid-for-ukraine/2560551</t>
  </si>
  <si>
    <t>NZM5</t>
  </si>
  <si>
    <t xml:space="preserve">New Zealand contributes financially to a weapons and ammunition procurement fund. The fund is set up by the United Kingdom, but is used as a means to transfer in-kind military donation to Ukraine. Since it is similar to other cases like the EU Civil protection mechanism or the World Bank funds (Donation ID WBF1, WBF2), we include this contribution. </t>
  </si>
  <si>
    <t>NZM6</t>
  </si>
  <si>
    <t>New Zealand provides approximately 40 gun sights to Ukraine, along with a small quantity of ammunition for training purposes. The gun sights and ammunition are connected to weapons training, that Ukrainian Soldiers receive in the UK, for the L119 105mm light field guns. Source of Aid 1 states that 30 men will be deployed to the United Kingdom to aid in the training of Ukrainian Soldiers for using the L119 Light Field gun.</t>
  </si>
  <si>
    <t>gun sight for L119 Light Field gun</t>
  </si>
  <si>
    <t>https://www.beehive.govt.nz/release/nz-provide-additional-deployment-support-ukraine</t>
  </si>
  <si>
    <t>https://www.stuff.co.nz/national/300597643/new-zealand-soldiers-excited-to-assist-ukraine-with-light-gun-training</t>
  </si>
  <si>
    <t>NZM7</t>
  </si>
  <si>
    <t xml:space="preserve">New Zealand announced to provide NZD 4.5 million to the NATO trust fund to ensure the procurement of non-lethal military aid. Source of Aid 1 mentions that this package comes on top of an earlier commitment to the same NATO trust fund over NZD 4.21 million, which is reported in donation ID NZM2. </t>
  </si>
  <si>
    <t>NZM8</t>
  </si>
  <si>
    <t>New Zealand announced to train Ukrainian solders to use 105-millimetre howitzers provided by the UK</t>
  </si>
  <si>
    <t>https://www.nytimes.com/2022/07/27/us/politics/ukraine-weapons-center.html</t>
  </si>
  <si>
    <t>NZM9</t>
  </si>
  <si>
    <t>Training and Equipment</t>
  </si>
  <si>
    <t xml:space="preserve">According to Source of Aid 1, New Zealand has committed more personnel for training in the UK and Europe. Additionally, NZD 1.85 million will be provided through a NATO trust fund to provide nonlethal military aid to Ukraine. </t>
  </si>
  <si>
    <t>https://www.beehive.govt.nz/release/assistance-ukraine-extended-and-enhanced</t>
  </si>
  <si>
    <t>NZH1</t>
  </si>
  <si>
    <t>The funding will support health facilities on the ground and provide basic needs like food and hygiene items.</t>
  </si>
  <si>
    <t>https://www.rnz.co.nz/news/world/462443/new-zealand-pledges-2m-for-ukraine-aid</t>
  </si>
  <si>
    <t>https://www.dw.com/en/new-zealand-announces-new-measures-to-support-ukraine/a-61127549</t>
  </si>
  <si>
    <t>NZH2</t>
  </si>
  <si>
    <t xml:space="preserve">The funding of NZD 2 million will support to the United Nations’ Ukraine Humanitarian Fund. The fund works with a range of UN agencies and NGOs to meet the most urgent unmet humanitarian needs through the provision of healthcare, food aid, clean water, shelter and other humanitarian assistance for millions of people inside Ukraine. Source of Aid 1 mentions NZD 8 million in humanitarian aid. Of these, we only count NZD 4 million in total (NZH1, NZH2), as NZD 2 million will be given to an NGO in New Zealand and NDZ 2 million will be given to the UN Refugee Agency, both times not directly benefitting Ukraine. </t>
  </si>
  <si>
    <t>NOM1</t>
  </si>
  <si>
    <t>Norway</t>
  </si>
  <si>
    <t>2,000 M72 LAWs (portable anti-armor weapons) have been announced to be sent to Ukraine. "Source of Aid 3" indicates the delivery of 4,000 NLAWs in total (see also NOM2).</t>
  </si>
  <si>
    <t>https://www.regjeringen.no/en/aktuelt/norway-to-provide-weapons-to-ukraine/id2902587/</t>
  </si>
  <si>
    <t>https://www.regjeringen.no/en/aktuelt/ukrainefund/id2909840/</t>
  </si>
  <si>
    <t>https://www.regjeringen.no/en/aktuelt/air-defense-system-to-ukraine/id2908807/</t>
  </si>
  <si>
    <t>https://www.aa.com.tr/en/russia-ukraine-war/norway-sends-roughly-100-anti-aircraft-missiles-to-ukraine/2568447</t>
  </si>
  <si>
    <t>NOM2</t>
  </si>
  <si>
    <t>Additional 2,000 M72 LAWs (portable anti-armor weapons) have been announced to be sent to Ukraine. "Source of Aid 3" indicates the delivery of 4,000 NLAWs in total (also see NOM1).</t>
  </si>
  <si>
    <t>https://www.regjeringen.no/en/aktuelt/norway-provides-additional-weapons-to-ukraine/id2906254/</t>
  </si>
  <si>
    <t>NOM3</t>
  </si>
  <si>
    <t>Norway has announced 100 units of the Mistral Air Defence missiles and an unknown number of Mistral Launchers to be sent to Ukraine.</t>
  </si>
  <si>
    <t>Mistral Air Defence Launcher</t>
  </si>
  <si>
    <t>https://www.regjeringen.no/en/topics/foreign-affairs/humanitarian-efforts/neighbour_support/id2908141/</t>
  </si>
  <si>
    <t>Mistral Air Defence Missile</t>
  </si>
  <si>
    <t>https://techartica.com/this-is-the-first-view-of-the-mistral-antiaircraft-system-in-ukraine-it-shows-how-civilian-cars-are-used-at-war-front/</t>
  </si>
  <si>
    <t>NOM4</t>
  </si>
  <si>
    <t>until 4/27/2022</t>
  </si>
  <si>
    <t>Norway has donated 1,500 bulletproof vests, 5,000 helmets, 15,000 field rations, 1,000 protective masks with filters, 2,000 sleeping bags, 10,000 sleeping mats, and clothing to Ukraine. As this aid was primarily provided in April, we consider the entire package to have been committed in April.</t>
  </si>
  <si>
    <t>https://www.regjeringen.no/en/aktuelt/norway-to-increase-support-to-ukraine-and-provide-military-equipment/id2902406/</t>
  </si>
  <si>
    <t>https://www-forsvaret-no.translate.goog/aktuelt-og-presse/aktuelt/sender-militaerutstyr-og-vapen-til-ukraina?_x_tr_sl=auto&amp;_x_tr_tl=auto&amp;_x_tr_hl=de</t>
  </si>
  <si>
    <t>sleeping mat</t>
  </si>
  <si>
    <t>Clothes</t>
  </si>
  <si>
    <t>NOM5</t>
  </si>
  <si>
    <t>Funding for Weapon Acquisition Program</t>
  </si>
  <si>
    <t xml:space="preserve">Norway contributes to a weapon and ammunition procurement fund to coordinate acquisition of military equipment for Ukraine. The fund is led by the United Kingdom and coordinates the purchase and transport of defence equipment for Ukraine. The same fund is also mentioned in donation ID NZM5. As this aid was announced in April we consider it to have been pledged entirely in April. </t>
  </si>
  <si>
    <t>NOK</t>
  </si>
  <si>
    <t>NOM6</t>
  </si>
  <si>
    <t>According to Source of Aid 1, Norway has delivered 22 M109 artillery guns as well as an undisclosed number of equipment, spare parts and ammunition for the howitzer. Since the announcement came after the package has already been delivered, we report it as having been announced and delivered until June 7. Source of Aid 4 mentions 5000 155mm Artillery shells, additionally to 5000 already donated. We report the additional 5000 155mm shells in ID NOM7. The initial 5000 155mm shells mentioned in Source of Aid 4 are reported in this donation, changing the undisclosed amount from Source of Aid 1-3 into 5000. Since the majority of this aid package was committed in June and no earlier sources for it can be found, we consider it to have been pledged entirely in June.</t>
  </si>
  <si>
    <t>https://www.regjeringen.no/en/aktuelt/norge-og-storbritannia-gir-langtrekkende-rakettartilleri-til-ukraina/id2921395/</t>
  </si>
  <si>
    <t>https://www.politico.eu/article/norway-ukraine-donates-howitzers/</t>
  </si>
  <si>
    <t>https://www.ukrinform.net/rubric-ato/3502204-norway-donates-22-m109-howitzers-to-ukraine.html</t>
  </si>
  <si>
    <t xml:space="preserve">https://www.regjeringen.no/en/aktuelt/norge-og-storbritannia-gir-langtrekkende-rakettartilleri-til-ukraina/id2921395/  </t>
  </si>
  <si>
    <t>https://www-regjeringen-no.translate.goog/no/aktuelt/norge-har-donert-artilleriskyts-til-ukraina/id2917760/?_x_tr_sl=auto&amp;_x_tr_tl=auto&amp;_x_tr_hl=de</t>
  </si>
  <si>
    <t>equipment for M109 artillery gun</t>
  </si>
  <si>
    <t>spare parts for M109 artillery gun</t>
  </si>
  <si>
    <t>until 6/7/2023</t>
  </si>
  <si>
    <t>M270 weapon system (Norway)</t>
  </si>
  <si>
    <t>NOM7</t>
  </si>
  <si>
    <t xml:space="preserve">According to Source of Aid 1, Norway will provide weapons and equipment worth NOK 2.691 billion to Ukraine. Source of Aid 1 mentions NOK 3 billion as the entire sum. However this includes a donation to the EPF of NOK 250 million and </t>
  </si>
  <si>
    <t>NOM8</t>
  </si>
  <si>
    <t>According to official website of Norwegian government, Norway has donated 14 IVECO LAV III armored patrol vehicles to Ukraine.</t>
  </si>
  <si>
    <t>IVECO LAV 3</t>
  </si>
  <si>
    <t>https://www.regjeringen.no/no/aktuelt/norge-donerer-pansrede-patruljekjoretoy-til-ukraina/id2923198/</t>
  </si>
  <si>
    <t> https://www.ukrinform.net/rubric-ato/3540240-norway-donates-14-iveco-lav-iii-armored-vehicles-to-ukraine.html</t>
  </si>
  <si>
    <t>NOM9</t>
  </si>
  <si>
    <t xml:space="preserve">Joint package with the United Kingdom to acquire the Norwegian micro-drone Black Hornet as a donation to Ukraine. The cost will be up to 90 million NOK. The purchase will be funded by the amount in donation ID NOM5, which is a British-led weapons funding program. </t>
  </si>
  <si>
    <t>Black Hornet drone</t>
  </si>
  <si>
    <t>https://www-regjeringen-no.translate.goog/en/aktuelt/droner/id2924942/?_x_tr_sl=auto&amp;_x_tr_tl=uk&amp;_x_tr_hl=uk&amp;_x_tr_pto=op</t>
  </si>
  <si>
    <t>NOM10</t>
  </si>
  <si>
    <t>According to official website of Norwegian government, Norway will donate 160 Hellfire missiles including launching equipment and night vision equipment to Ukraine.</t>
  </si>
  <si>
    <t>Hellfire missiles</t>
  </si>
  <si>
    <t>https://www.regjeringen.no/en/aktuelt/donerer-hellfire-missiler-og-nattoptikk-til-ukraina/id2926713/</t>
  </si>
  <si>
    <t>Hellfire missiles launching pad</t>
  </si>
  <si>
    <t>Hellfire missiles guidance unit</t>
  </si>
  <si>
    <t>Night vision device</t>
  </si>
  <si>
    <t>NOM11</t>
  </si>
  <si>
    <t>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t>
  </si>
  <si>
    <t>NOM12</t>
  </si>
  <si>
    <t xml:space="preserve">Norway pledged a grant of additional NOK 3 billion to support numerous international weapon funds and programs to provide Ukraine with weapons and equipment. Source of Aid 1 mentions NOK 3 billion. </t>
  </si>
  <si>
    <t>https://www.regjeringen.no/en/aktuelt/regjeringen-vil-gi-3-milliarder-kroner-i-militar-stotte-til-ukraina/id2929594/</t>
  </si>
  <si>
    <t>NOH1</t>
  </si>
  <si>
    <t>Following "Source of Aid 1", Norway has provided 265 million NOK in aid through the EU Civil Protection Mechanism to Ukraine. Note that "Source of Aid 1" also lists another package of 100 million NOK (NOH2) and the budget support reported in NOF1. We consider this package to have been pledged entirely in April for Analysis of Aid over time purposes.</t>
  </si>
  <si>
    <t xml:space="preserve">https://www.regjeringen.no/en/topics/foreign-affairs/humanitarian-efforts/neighbour_support/id2908141/ </t>
  </si>
  <si>
    <t>https://twitter.com/norwayeu/with_replies</t>
  </si>
  <si>
    <t>NOH2</t>
  </si>
  <si>
    <t>Following "Source of Aid 1", Norway has provided additional NOK 100 million in medical supplies and material assistance to Ukraine through the EU Civil Protection Mechanism. The information what material assistance includes, is undisclosed. We consider this package to have been pledged entirely in April for Analysis of Aid over Time purposes.</t>
  </si>
  <si>
    <t>NOH3</t>
  </si>
  <si>
    <t xml:space="preserve">Norway offered to treat 550 wounded Ukrainian soldiers in Norway. Source of Aid 1 mentions the arrival of the first ones in Norway. This aid falls under the framework of the EU Civil protection mechanism. Since there is no monetary value of the donation given by the donor and this type of aid is difficult to quantify, we will leave the monetary value cells empty. </t>
  </si>
  <si>
    <t>https://www.regjeringen.no/en/aktuelt/first-wounded-soldiers-from-ukraine-arrive/id2918391/</t>
  </si>
  <si>
    <t>NOH4</t>
  </si>
  <si>
    <t>until 11/2022</t>
  </si>
  <si>
    <t>According to their official website, Norway has allocated additional funding of NOK 1 billion for humanitarian aid in 2022.</t>
  </si>
  <si>
    <t>NOH5</t>
  </si>
  <si>
    <t xml:space="preserve">According to their official website, Norway has allocated additional funding of NOK 2 billion for civilian support in 2023. </t>
  </si>
  <si>
    <t>NOF1</t>
  </si>
  <si>
    <t>until 5/11/2022</t>
  </si>
  <si>
    <t>The money will be transfered to Ukraine through the Emergency Aid package by the World Bank and is intended to support key government services and pay sallaries in the public sector. Source of Aid 1, 2 state the commitment of initial NOK 200 million, while Source of Aid 3 states an additional commitment of NOK 100 million to the same cause, also via the World Bank Fund. We consider this aid to have been pledged entirely in May for Analysis of Aid over time purposes.</t>
  </si>
  <si>
    <t>https://norwaytoday.info/news/norway-is-giving-200-million-kroner-to-ukrainian-teachers-and-government-employees/</t>
  </si>
  <si>
    <t>https://www.regjeringen.no/en/aktuelt/additional-nok-100-million/id2911879/</t>
  </si>
  <si>
    <t>NOF2</t>
  </si>
  <si>
    <t>Norway decided to allocate NOK 50 million in funding to the European Bank for Reconstruction and Development (EBRD) to help ensure that essential agricultural inputs reach farmers in time.</t>
  </si>
  <si>
    <t>https://www.regjeringen.no/en/aktuelt/norwegian-support-for-farmers/id2911804/</t>
  </si>
  <si>
    <t>https://wataha.no/en/2022/05/07/Norwegian-support-for-farmers-in-Ukraine/</t>
  </si>
  <si>
    <t>NOF3</t>
  </si>
  <si>
    <t>The Norwegian Minister of Finance Trygve Slagsvold Vedum has signed an agreement to provide funding of NOK 2 billion to enable Ukraine to purchase natural gas during the coming winter. The funding will be provided through the EBRD.</t>
  </si>
  <si>
    <t>https://www.regjeringen.no/en/aktuelt/agreement_gas/id2947818/</t>
  </si>
  <si>
    <t>https://reliefweb.int/report/ukraine/norway-increase-support-humanitarian-efforts-and-government-administration-ukraine</t>
  </si>
  <si>
    <t>NOF4</t>
  </si>
  <si>
    <t>NOK 1 billion has been allocated to help the Ukrainian government administration to maintain critical services such as hospitals, schools and other public services. This support is being channelled through the World Bank.</t>
  </si>
  <si>
    <t>PLH1</t>
  </si>
  <si>
    <t>Poland</t>
  </si>
  <si>
    <t>120 wagons with 1,500 tons of food. We do not count the aid given to refugees displaced in Poland or in neighbouring countries.</t>
  </si>
  <si>
    <t>https://twitter.com/PremierRP_en/status/1510971075936542726</t>
  </si>
  <si>
    <t>https://tvn24.pl/polska/ukraina-pomoc-humanitarna-z-polski-dotarla-na-ukraine-5660490</t>
  </si>
  <si>
    <t>https://polskatimes.pl/polska-przekazala-ukraincom-pomoc-humanitarna-o-wartosci-300-milionow-zlotych/ar/c1-16217063</t>
  </si>
  <si>
    <t>PLH2</t>
  </si>
  <si>
    <t>Food and medical equipment (02:06:00 of "Source of Aid 1") pledged during the International Donors' Conference on May 5, 2022.</t>
  </si>
  <si>
    <t>PLH3</t>
  </si>
  <si>
    <t>According to the Ukrainian Minister of digital transformation, 5,000 Starlink terminals were sent from the Polish government.</t>
  </si>
  <si>
    <t>Starlink terminal</t>
  </si>
  <si>
    <t>https://www.facebook.com/watch/?v=830836764592255</t>
  </si>
  <si>
    <t>PLH4</t>
  </si>
  <si>
    <t>According to information provided on the official website of the Ukranian Government, Poland provided US$177 million of financial aid to Ukraine, which is higher than the US$115 million recorded in our dataset. Thus, we report the remaining US$62 million here.</t>
  </si>
  <si>
    <t>https://www.kmu.gov.ua/en/news/yuliia-svyrydenko-polskyi-uriad-hotovyi-stymuliuvaty-biznes-investuvaty-v-ukrainu-i-dokladaie-do-tsoho-maksymum-zusyl</t>
  </si>
  <si>
    <t>PLH5</t>
  </si>
  <si>
    <t>According to the Ukrainian Minister of digital transformation, an additional 1,570 Starlink terminals were sent from the Polish government.</t>
  </si>
  <si>
    <t>https://t.me/zedigital/2613</t>
  </si>
  <si>
    <t>PLM1</t>
  </si>
  <si>
    <t>37 trucks with humanitarian aid, weapons and military equipment. No further information has been disclosed, hence, we cannot further quantify this package.</t>
  </si>
  <si>
    <t>https://twitter.com/michaldworczyk/status/1494357415915048962?s=21&amp;t=L7Uw2JWRBlkceKl-kFEvSQ</t>
  </si>
  <si>
    <t>PLM2</t>
  </si>
  <si>
    <t>On June 27 (see "Source of Aid 4"), Michał Dworczyk, the head of the Chancellery of the Prime Minister, said in a interview by Radio Plus that Poland has sent a total amount of 1,8 billion EUR in military aid to Ukraine. Source of Aid 1 lists the first batch of the Polish military aid in April, which is why we consider the entire commitment for the month April for analysis of aid over time purposes.</t>
  </si>
  <si>
    <t>Piorun man-portable air-defense system</t>
  </si>
  <si>
    <t xml:space="preserve">https://www.wsj.com/livecoverage/russia-ukraine-latest-news-2022-04-29/card/poland-has-sent-more-than-200-tanks-to-ukraine-Krwar3DCPzHJJk4UMVh4#:~:text=Poland%20has%20sent%20at%20least,escalating%20fight%20for%20its%20east </t>
  </si>
  <si>
    <t>https://www.rp.pl/biznes/art35754421-polska-bron-dla-ukrainy-pierwsze-transporty-dotarly-kolejne-w-drodze</t>
  </si>
  <si>
    <t>https://cxtvnews.com/military/2022/02/26/polish-military-aid-equipment-has-arrived-in-ukraine/</t>
  </si>
  <si>
    <t>https://300gospodarka.pl/news/dworczyk-wartosc-polskiej-pomocy-militarnej-dla-ukrainy-to-juz-18-mld-euro</t>
  </si>
  <si>
    <t>https://rmx.news/poland/polish-army-to-order-additional-piorun-anti-air-missiles-after-the-weapon-outperforms-on-ukrainian-battlefield/</t>
  </si>
  <si>
    <t>until 6/27/2022</t>
  </si>
  <si>
    <t>https://kyivindependent.com/uncategorized/poland-has-provided-ukraine-with-weapons-worth-1-6-billion/</t>
  </si>
  <si>
    <t>60 mm LMP-2017 mortar</t>
  </si>
  <si>
    <t>FlyEye drone</t>
  </si>
  <si>
    <t>https://radar.rp.pl/przemysl-obronny/art35751811-pioruny-drony-i-amunicja-polskie-uzbrojenie-w-drodze-na-ukraine</t>
  </si>
  <si>
    <t>5.56 mm, 23 mm firearms for the ZU-23-2 cannon</t>
  </si>
  <si>
    <t>152 mm, 125 mm and 122 mm artillery ammunition</t>
  </si>
  <si>
    <t>round of ammunition for 60 mm LMP 2017 mortar</t>
  </si>
  <si>
    <t>https://www.wsj.com/livecoverage/russia-ukraine-latest-news-2022-04-29/card/poland-has-sent-more-than-200-tanks-to-ukraine-Krwar3DCPzHJJk4UMVh4</t>
  </si>
  <si>
    <t>Warmate drone</t>
  </si>
  <si>
    <t xml:space="preserve">https://mezha.media/en/2022/04/25/the-warmate-uav-a-polish-alternative-to-the-switchblades-kamikaze-drone-already-in-ukraine/#:~:text=%23Ukraine%3A%20Ukrainian%20forces%20started%20to,the%20front%20of%20the%20drone &amp;text=Warmate%20barrage%20ammunition%20was%20created,of%20Poland%20since%20autumn%202017 </t>
  </si>
  <si>
    <t>AHS Krab self-propelled howitzer</t>
  </si>
  <si>
    <t>https://mil.in.ua/en/news/poland-will-hand-over-the-155-mm-krab-ahs-self-propelled-howitzers-to-ukraine/</t>
  </si>
  <si>
    <t>https://www.armyrecognition.com/defense_news_may_2022_global_security_army_industry/poland_delivers_to_ukraine_18_krab_155mm_self-propelled_howitzers.html</t>
  </si>
  <si>
    <t>PLM3</t>
  </si>
  <si>
    <t>On July 25, Andrii Yermak, the press secretary of the Polish Arms Agency Krzyszt of Płatek confirmed the delivery of РТ-91 Twardy main battle tanks to Ukraine. The number of tanks were not disclosed. РТ-91 is the main battle tank of the Polish army. These tanks were made on the basis of a licensed version of the Soviet Т-72М1 MBT.</t>
  </si>
  <si>
    <t>PT-91 Twardy</t>
  </si>
  <si>
    <t>https://mil.in.ua/en/news/ukraine-receives-pt-91-twardy-tanks-from-poland/</t>
  </si>
  <si>
    <t>https://defence24.com/polish-pt-91-twardy-tanks-sent-to-ukraine-commentary</t>
  </si>
  <si>
    <t>PLM4</t>
  </si>
  <si>
    <t>According to source of aid 1, Poland has provided Ukraine with 40 BWP-1 IFVs. Source of aid 2 and 3 confirm the delivery of BWP-1 to Ukriane.</t>
  </si>
  <si>
    <t>https://gagadget.com/en/149656-poland-transferred-40-bmp-1-combat-vehicles-to-ukraine/</t>
  </si>
  <si>
    <t>https://www.polskieradio.pl/398/9724/Artykul/2948128,</t>
  </si>
  <si>
    <t>https://defence24.com/industry/polish-weapons-defending-ukraine-analysis</t>
  </si>
  <si>
    <t>PLF1</t>
  </si>
  <si>
    <t>Swap-line</t>
  </si>
  <si>
    <t>The Polish central bank extended a currency swap line of 1 billion USD to the Ukrainian Central Bank, allowing it to draw dollar funds. This is akin to a standing credit line, i.e. a loan (see corresponsing paper for further explanations). Originally, the swap line was denominated in Zloty (4 billion Polish Zloty, which according to the euronews article in "Source of Aid 3" is equal to 1 billion USD).</t>
  </si>
  <si>
    <t>https://www.nbp.pl/homen.aspx?f=/en/aktualnosci/2022/24.02-2.html</t>
  </si>
  <si>
    <t xml:space="preserve">https://www.centralbanking.com/central-banks/financial-stability/7933406/poland-offers-ukraine-swap-line-as-nbu-suspends-forex-transactions </t>
  </si>
  <si>
    <t xml:space="preserve">https://www.euronews.com/next/2022/03/21/ukraine-crisis-poland-cenbank </t>
  </si>
  <si>
    <t>PLF2</t>
  </si>
  <si>
    <t>30 million PLN donated by the BGK Polish Development Bank.</t>
  </si>
  <si>
    <t>PLN</t>
  </si>
  <si>
    <t>https://www.bgk.pl/aktualnosc/bgk-polish-development-bank-has-donated-pln-30-million-to-help-ukraine/</t>
  </si>
  <si>
    <t>PTH1</t>
  </si>
  <si>
    <t>Portugal</t>
  </si>
  <si>
    <t>Portugal has sent a medical aid package, comprising 204,000 units of medicines, including antibiotics, pain medicines, hydration serums, syringes and needles, among other products. This aid package belongs to the EU Civil Protection Mechanism.</t>
  </si>
  <si>
    <t>https://www.sulinformacao.pt/en/2022/03/ucrania-portugal-envia-medicamentos-material-medico-e-equipamento-de-emergencia-humanitaria/</t>
  </si>
  <si>
    <t>https://www.theportugalnews.com/news/2022-03-04/portugal-sends-ukraine-100000-of-medical-supplies/65610</t>
  </si>
  <si>
    <t>PTH2</t>
  </si>
  <si>
    <t>Humanitarian assistance to Ukraine (along with 1 million EUR given to the UN, which we do not consider in our dataset as it is not a direct contribution to Ukraine).</t>
  </si>
  <si>
    <t>https://www.portugal.gov.pt/pt/gc23/comunicacao/noticia?i=portugal-doa-21-milhoes-de-euros-a-ucrania</t>
  </si>
  <si>
    <t>PTM3</t>
  </si>
  <si>
    <t>Portugal will hand over to Ukraine six Soviet-made Kamov helicopters, which were deprived of their operating license due to anti-Russian sanctions</t>
  </si>
  <si>
    <t>K-32 helicopter</t>
  </si>
  <si>
    <t>https://odessa-journal.com/portugal-will-send-russian-made-helicopters-to-ukraine/</t>
  </si>
  <si>
    <t>PTM1</t>
  </si>
  <si>
    <t>The Portuguese government announced to provide military equipment consisting of ballistic vests, helmets, night vision goggles, grenades, and ammunition of different calibres, complete portable radios, analogue repeaters and G3 automatic rifles.</t>
  </si>
  <si>
    <t>https://www.portugal.gov.pt/en/gc22/communication/announcement?i=assistance-to-ukraine</t>
  </si>
  <si>
    <t>https://mobile.twitter.com/AAhronheim/status/1498004573528772608</t>
  </si>
  <si>
    <t>https://www.theportugalnews.com/news/2022-04-07/portugal-to-send-more-military-material-to-ukraine/66259</t>
  </si>
  <si>
    <t>rifle + MG round</t>
  </si>
  <si>
    <t>portable radio</t>
  </si>
  <si>
    <t>G3 automatic rifle</t>
  </si>
  <si>
    <t>PTM2</t>
  </si>
  <si>
    <t>The Portuguese defence minister announced that the government would send another 99 tons of military and medical support to Ukraine, without providing any further information on the shipment.</t>
  </si>
  <si>
    <t>https://twitter.com/defesa_pt/status/1513633729666818052</t>
  </si>
  <si>
    <t>https://www.theportugalnews.com/news/2022-04-12/portugal-sending-over-99-tonnes-of-medical-and-military-materials/66356</t>
  </si>
  <si>
    <t>https://www.macaubusiness.com/portugal-country-to-send-further-99-t-medical-military-equipment-to-ukraine/</t>
  </si>
  <si>
    <t>Portugal has ordered 4 armored vehicles to support Ukraine.</t>
  </si>
  <si>
    <t>Iveco M 40.12 WM/P 4x4 armored vehicle</t>
  </si>
  <si>
    <t>https://europe-cities.com/2022/04/30/us-pressuring-portugal-to-cede-armored-vehicles-to-ukraine/</t>
  </si>
  <si>
    <t>https://www.armyrecognition.com/defense_news_may_2022_global_security_army_industry/us_pushing_portugal_to_cede_some_m113_apcs_to_ukraine.html</t>
  </si>
  <si>
    <t>PTM4</t>
  </si>
  <si>
    <t>15 units of M113 armored personnel carriers, 5 units of 155-mm howitzers, communications equipment and other small arms.</t>
  </si>
  <si>
    <t>https://mil.in.ua/en/news/portugal-is-preparing-to-hand-over-m113-armored-personnel-carriers-to-ukraine-media/</t>
  </si>
  <si>
    <t>https://en.defence-ua.com/weapon_and_tech/portugal_to_send_howitzers_and_apcs_to_ukraine-2846.html</t>
  </si>
  <si>
    <t>https://en.defence-ua.com/weapon_and_tech/portuguese_m113_apc_are_on_their_way_to_ukraine-3615.html</t>
  </si>
  <si>
    <t>M114 155mm Howitzer</t>
  </si>
  <si>
    <t>PTM5</t>
  </si>
  <si>
    <t>160 tons of aid, including military equipment, medical and humanitarian support.</t>
  </si>
  <si>
    <t>https://babel.ua/en/news/78825-portugal-will-hand-over-another-160-tons-of-military-aid-to-ukraine</t>
  </si>
  <si>
    <t>https://frontnews.eu/en/news/details/30810</t>
  </si>
  <si>
    <t>PTF1</t>
  </si>
  <si>
    <t>250 million EUR grant, which will have a 100 million EUR disbursement in the year 2022 and three subsequential disbursements of 50 million EUR each in the next three years. The commitment is aimed at giving budgetary support and will be mainly provided through the IMF.</t>
  </si>
  <si>
    <t>https://www.kmu.gov.ua/en/news/portugaliya-nadast-ukrayini-do-250-mln-yevro-finansovoyi-pidtrimki-denis-shmigal</t>
  </si>
  <si>
    <t>https://www.ukrinform.net/rubric-polytics/3488816-portugal-will-provide-financial-assistance-to-ukraine.html</t>
  </si>
  <si>
    <t>https://www.bvinet.com/2022/05/21/ukraine-will-receive-250-million-euros-of-financial-assistance-from-portugal/</t>
  </si>
  <si>
    <t>https://www-rtp-pt.translate.goog/noticias/politica/ajuda-financeira-a-ucrania-primeiros-100-milhoes-de-euros-serao-entregues-ainda-este-ano_v1406838?_x_tr_sl=pt&amp;_x_tr_tl=it&amp;_x_tr_hl=it&amp;_x_tr_pto=op,sc</t>
  </si>
  <si>
    <t>KOH1</t>
  </si>
  <si>
    <t>South Korea</t>
  </si>
  <si>
    <t>The aid package consists of humanitarian in-kind donations. There exists no list of specific items included in this package, while the total value of the package was indicated by the donor.</t>
  </si>
  <si>
    <t>https://reliefweb.int/report/ukraine/korea-provide-humanitarian-assistance-people-ukraine</t>
  </si>
  <si>
    <t>https://www.reuters.com/world/europe/ukraines-zelenskiy-says-tens-thousands-killed-mariupol-seeks-military-aid-skorea-2022-04-11/</t>
  </si>
  <si>
    <t>http://www.koreaherald.com/view.php?ud=20220228000968</t>
  </si>
  <si>
    <t>KOH2</t>
  </si>
  <si>
    <t>The aid package consists of additional in-kind humanitarian aid. There exists no list of specific items included in this package, while the total value of the package was indicated by the donor.</t>
  </si>
  <si>
    <t>https://www.usnews.com/news/world/articles/2022-04-11/ukraines-zelenskiy-says-tens-of-thousands-killed-in-mariupol-seeks-military-aid-from-s-korea</t>
  </si>
  <si>
    <t>https://twitter.com/KyivIndependent/status/1516621305608552451?ref_src=twsrc%5Etfw</t>
  </si>
  <si>
    <t>KOH3</t>
  </si>
  <si>
    <t>South Korea has decided to provide assistance worth approximately US$1.2 million to Ukraine through the International Atomic Energy Agency (IAEA) to support the safe and secure operation of Ukraine’s nuclear power plants under the threat of military conflict</t>
  </si>
  <si>
    <t>https://www.mofa.go.kr/eng/brd/m_5676/view.do?seq=322053</t>
  </si>
  <si>
    <t>https://www.koreatimes.co.kr/www/nation/2022/06/113_330680.html</t>
  </si>
  <si>
    <t>KOH4</t>
  </si>
  <si>
    <t>According to the official statement of the Korean Ministry of Foreign Affairs, the Korean government has decided to provide an additional US$50 million in humanitarian assistance.</t>
  </si>
  <si>
    <t>https://www.mofa.go.kr/eng/brd/m_5676/view.do?seq=322061&amp;page=1</t>
  </si>
  <si>
    <t>KOM1</t>
  </si>
  <si>
    <t>South Korea has announced to support Ukraine with 1 billion KRW (800,000 USD) of non-lethal military equipment, such as bulletproof helmets and medical kit. There exists no list of specific items included in this package, while the total value of the package was indicated by the donor.</t>
  </si>
  <si>
    <t>https://www.france24.com/en/live-news/20220411-zelensky-says-he-believes-tens-of-thousands-killed-in-mariupol</t>
  </si>
  <si>
    <t>https://english.alarabiya.net/News/world/2022/04/11/Zelenskyy-believes-tens-of-thousands-killed-in-Ukraine-s-Mariupol</t>
  </si>
  <si>
    <t>https://consent.yahoo.com/v2/collectConsent?sessionId=3_cc-session_a65137b7-2008-4f6a-9d84-5817bf1a558b</t>
  </si>
  <si>
    <t>KOM2</t>
  </si>
  <si>
    <t>The aid package includes items including bulletproof vests, helmets, medical supplies and meals, ready-to-eat (MREs). There exists no list of specific items included in this package, while the total value of the package was indicated by the donor.</t>
  </si>
  <si>
    <t>https://mil.in.ua/en/news/south-korea-will-be-providing-ukraine-with-additional-aid-worth-1-6-million/</t>
  </si>
  <si>
    <t>https://en.yna.co.kr/view/AEN20220413000800325</t>
  </si>
  <si>
    <t>medical equipment</t>
  </si>
  <si>
    <t>KOM3</t>
  </si>
  <si>
    <t xml:space="preserve">South Korea announced to provide further non-lethal military protection equipment. The shipment consists of equipment needed for chemical, biological, radiological protection. Since no further information about the exact item list has been disclosed, we report the value of donation as given by donor only. </t>
  </si>
  <si>
    <t>https://see.news/south-korea-to-send-non-lethal-aid-to-ukraine/</t>
  </si>
  <si>
    <t>https://www.tellerreport.com/news/2022-05-26-south-korea-to-provide-ukraine-with-chemical-defense-equipment-worth-1-5-billion-won.HJuNwyTvc.html</t>
  </si>
  <si>
    <t>https://en.yna.co.kr/view/AEN20220526005300325</t>
  </si>
  <si>
    <t>ROH1</t>
  </si>
  <si>
    <t>Romania</t>
  </si>
  <si>
    <t xml:space="preserve">Medical equipment, including packs of analgesics, anti-inflammatory medicines, antibiotics, and hand disinfectants. The donation falls within the framework of the EU Civil Protection Mechanism (EUCPM). No further information regarding the shipment has been disclosed. </t>
  </si>
  <si>
    <t>pack of analgesics</t>
  </si>
  <si>
    <t>https://ec.europa.eu/commission/presscorner/detail/en/ip_22_1222</t>
  </si>
  <si>
    <t>https://www.romania-insider.com/ro-ukraine-eu-civil-protection-feb-2022</t>
  </si>
  <si>
    <t>pack of anti-inflammatory</t>
  </si>
  <si>
    <t>pack of antibiotics</t>
  </si>
  <si>
    <t>ROH2</t>
  </si>
  <si>
    <t>Equipment and medicines</t>
  </si>
  <si>
    <t xml:space="preserve">Subsistence material worth 5 million EUR. We don't include in our dataset the 30 tons of humanitarian assistance provided through private donations, since it doesn't represent aid coming directly from the Romanian government. </t>
  </si>
  <si>
    <t>RON</t>
  </si>
  <si>
    <t>https://gov.ro/en/news/medical-equipment-and-medicines-donated-by-romania-in-support-of-ukraine&amp;page=13</t>
  </si>
  <si>
    <t>ROH3</t>
  </si>
  <si>
    <t>The government of Romania announced to donate 11 fully-equipped ambulances.</t>
  </si>
  <si>
    <t>https://www.romania-insider.com/romania-donates-ambulances-ukraine-2022</t>
  </si>
  <si>
    <t>ROH4</t>
  </si>
  <si>
    <t>1,900 tons of fuel worth 3.2 million EUR and announced on May 5, 2022, at the International Donors' Conference (see 1:22:40 in "Source of Aid 1").</t>
  </si>
  <si>
    <t>https://www-puterea-ro.translate.goog/romania-ofera-ucrainei-o-noua-contributie-de-asistenta-umanitara/?_x_tr_sl=ro&amp;_x_tr_tl=en&amp;_x_tr_hl=en&amp;_x_tr_pto=sc</t>
  </si>
  <si>
    <t>ROM1</t>
  </si>
  <si>
    <t>Tranche of military equipment worth 3 million EUR, consisting of fuels, bulletproof vests, helmets, ammunition and military equipment, food, water and medicines. We don't include in our dataset the aid directed to Ukrainian refugees in Romania, listed in "Source of Aid 1", "Source of Aid 2" and "Source of Aid 3".</t>
  </si>
  <si>
    <t>https://gov.ro/ro/stiri/declaratii-de-presa-sustinute-de-purtatorul-de-cuvant-al-guvernului-dan-carbunaru-privind-masurile-luate-de-executiv-in-cadrul-edintei-task-force-pentru-gestionarea-situatiei-generate-de-agresiunea-militara-rusa-din-ucraina&amp;page=2</t>
  </si>
  <si>
    <t xml:space="preserve">https://www.romania-insider.com/ro-aid-ukraine-sanctions-feb-28-2022 </t>
  </si>
  <si>
    <t xml:space="preserve">https://www.reuters.com/world/europe/romania-send-fuel-ammunition-ukraine-2022-02-27/ </t>
  </si>
  <si>
    <t>https://twitter.com/TheEconomist/status/1506413311272886276</t>
  </si>
  <si>
    <t>ROM2</t>
  </si>
  <si>
    <t>Undisclosed amount of weapons will be sent in the future.</t>
  </si>
  <si>
    <t>https://ua.interfax.com.ua/news/general/825450.html</t>
  </si>
  <si>
    <t>https://ukranews.com/en/news/850937-romania-will-transfer-lethal-weapons-from-its-own-reserves-to-ukraine-media</t>
  </si>
  <si>
    <t>SKH1</t>
  </si>
  <si>
    <t>Slovakia</t>
  </si>
  <si>
    <t>5 million EUR for the development of regions in Ukraine and for internally displaced Ukranians. In our dataset, we do not include the 530 million EUR mentioned in "Source of Aid 1" , since they are dedicated to refugees and to countries supporting Ukraine.</t>
  </si>
  <si>
    <t>https://twitter.com/eduardheger/status/1512777474828079109</t>
  </si>
  <si>
    <t>SKM1</t>
  </si>
  <si>
    <t>Military items, including five demining sets.</t>
  </si>
  <si>
    <t>demining set</t>
  </si>
  <si>
    <t>https://twitter.com/eduardheger/status/1495764246780645377</t>
  </si>
  <si>
    <t>https://spectator.sme.sk/c/22842829/slovakia-will-send-mine-clearance-systems-and-healthcare-material-to-ukraine.html</t>
  </si>
  <si>
    <t>SKM2</t>
  </si>
  <si>
    <t>Military equipment worth 4.5 million EUR (see "Source of Aid 2"). It contains 486 anti-tank missiles and anti-tank rockets, along with 100 air defense launchers (see "Source of Aid1" or "Source of Aid 3").</t>
  </si>
  <si>
    <t>anti-tank missile and anti-tank rocket</t>
  </si>
  <si>
    <t>https://twitter.com/eduardheger/status/1498055152045015046</t>
  </si>
  <si>
    <t>https://spectator.sme.sk/c/22850259/slovakia-will-send-more-military-aid-to-ukraine.html</t>
  </si>
  <si>
    <t>https://www.aa.com.tr/en/russia-ukraine-crisis/slovakia-to-send-more-military-supplies-to-ukraine-premier-says/2518136</t>
  </si>
  <si>
    <t>https://www.reuters.com/world/europe/slovakia-says-it-delivered-air-defence-anti-tank-rockets-ukraine-2022-02-28/</t>
  </si>
  <si>
    <t>air defense launcher</t>
  </si>
  <si>
    <t>SKM3</t>
  </si>
  <si>
    <t xml:space="preserve">Lethal weapons and military equipment worth 32.2 million EUR. </t>
  </si>
  <si>
    <t>https://twitter.com/eduardheger/status/1499479828218658819</t>
  </si>
  <si>
    <t>https://www.reuters.com/article/ukraine-crisis-slovakia-defence-idUSL2N2V626W</t>
  </si>
  <si>
    <t>SKM4</t>
  </si>
  <si>
    <t>Unknown number of liters of fuel and rounds of ammunitions, for a total value of 11 million EUR.</t>
  </si>
  <si>
    <t>https://twitter.com/eduardheger/status/1497624801497821188</t>
  </si>
  <si>
    <t>SKM5</t>
  </si>
  <si>
    <t>https://www.defensenews.com/global/europe/2022/04/11/slovakia-could-sell-howitzers-to-ukraine-and-repair-its-tanks-vehicles/</t>
  </si>
  <si>
    <t>SKM6</t>
  </si>
  <si>
    <t>S-300 air defence system. According to the Slovak Minister of Defense, the monetary value of the military aid amounts to 68 million EUR (see "Source of Aid 3").</t>
  </si>
  <si>
    <t>S-300 air defence system</t>
  </si>
  <si>
    <t>https://twitter.com/eduardheger/status/1512386024399376389</t>
  </si>
  <si>
    <t>https://abcnews.go.com/Politics/us-sends-patriot-battery-slovakia-ukraine-300-anti/story?id=83965999</t>
  </si>
  <si>
    <t>https://spectator.sme.sk/c/22895899/slovakia-donates-military-equipment-to-ukraine.html</t>
  </si>
  <si>
    <t>https://www.nytimes.com/2022/04/14/world/europe/ukraine-russia-nato-s300.html</t>
  </si>
  <si>
    <t>SKM7</t>
  </si>
  <si>
    <t>Donation of four Mi-17 and one Mi-2 helicopters and "thousands" of multiple rocket launchers. Since "Source of Aid 2" mentions the shipment of "thousands" of rocket launchers, we approximate the number to 2000 units.</t>
  </si>
  <si>
    <t>https://www.usnews.com/news/world/articles/2022-06-16/slovaks-give-mi-helicopters-grad-rockets-to-ukraine#:~:text=June%2016%2C%202022%2C%20at%202%3A26%20a.m.&amp;text=(Reuters)%20%2D%20Slovakia%20has%20donated,defence%20minister%20said%20on%20Thursday.</t>
  </si>
  <si>
    <t>https://kyivindependent.com/news-feed/slovakia-supplies-5-helicopters-ammunition-for-grad-multiple-rocket-launchers</t>
  </si>
  <si>
    <t>https://twitter.com/JaroNad/status/1537194189066223616?ref_src=twsrc%5Etfw%7Ctwcamp%5Etweetembed%7Ctwterm%5E1537194189066223616%7Ctwgr%5E%7Ctwcon%5Es1_&amp;ref_url=https%3A%2F%2Fgagadget.com%2Fen%2F138212-slovakia-handed-over-to-ukraine-mi-17-and-mi-2-helicopters-as-well-as-ammunition-for-the-grad-mlrs%2F</t>
  </si>
  <si>
    <t>SKM8</t>
  </si>
  <si>
    <t>As part of defense agreement with Germany, Slovakia will hand over 30 BVP-1 infantry fighting vehicles to Ukraine and will instead receive 15 Leopard 2A4 tanks from Germany.</t>
  </si>
  <si>
    <t>https://www.reuters.com/world/europe/slovakia-donate-30-infantry-fighting-vehicles-ukraine-minister-2022-08-23/</t>
  </si>
  <si>
    <t>https://www.facebook.com/mosr.sk/videos/5722932787787796</t>
  </si>
  <si>
    <t>https://www.defensenews.com/global/europe/2022/08/23/germany-slovakia-sign-tank-swap-deal-to-arm-ukraine/</t>
  </si>
  <si>
    <t>SIH1</t>
  </si>
  <si>
    <t>Slovenia</t>
  </si>
  <si>
    <t>Material assistance</t>
  </si>
  <si>
    <t xml:space="preserve">Material assistance worth 163,000 EUR, consisting mostly of medical equipment. The aid package falls within the framework of the EU Civil Protection Mechanism (EUCPM). Our dataset does not include the 1.1 million EUR aid package dispatched to the International Committee of the Red Cross (ICRC - 100,000 EUR), to the United Nations Office for the Coordination of Humanitarian Affairs (UN OCHA - 400,000 EUR), to the United Nations High Commissioner for Refugees (UNHCR - 400,000 EUR) and to Caritas Internationalis (200,000 EUR), since it is not a direct donation to Ukraine. </t>
  </si>
  <si>
    <t>diesel-powered generator</t>
  </si>
  <si>
    <t>https://www.gov.si/en/news/2022-02-26-humanitarian-contribution-of-the-republic-of-slovenia-to-the-people-of-ukraine/</t>
  </si>
  <si>
    <t xml:space="preserve">https://www.gov.si/en/news/2022-03-01-minister-logar-announces-eur-1-1-million-in-humanitarian-aid-for-ukraine/ </t>
  </si>
  <si>
    <t xml:space="preserve">https://www.gov.si/en/news/2022-03-07-eu-development-ministers-on-emergency-humanitarian-aid-to-ukraine/ </t>
  </si>
  <si>
    <t>pair of rubber boots</t>
  </si>
  <si>
    <t>pair of latex gloves</t>
  </si>
  <si>
    <t>pair of nitrile gloves</t>
  </si>
  <si>
    <t>SIH2</t>
  </si>
  <si>
    <t xml:space="preserve">Humanitarian contribution of 100.000 EUR to the International Committee of the Red Cross in Ukraine. </t>
  </si>
  <si>
    <t>https://sloveniatimes.com/slovenia-sending-eur-100000-aid-to-ukraine/</t>
  </si>
  <si>
    <t>SIH3</t>
  </si>
  <si>
    <t>40 tons of first-necessity items (38 according to "Source of Aid 2"), such as toiletries, first aid kits, food and firefighter equipment. No further information regarding the shipment has been disclosed. Our dataset does not report the aid delivered by the Slovenian Caritas, mentioned in "Source of Aid 1", since it is not a flow coming directly from the Slovenian government.</t>
  </si>
  <si>
    <t>https://www.rtvslo.si/radio-si/news/slovenia-sending-more-aid-to-ukraine/616960</t>
  </si>
  <si>
    <t xml:space="preserve">https://english.sta.si/3017990/tonnes-of-aid-for-ukraine-dispatched-this-week </t>
  </si>
  <si>
    <t>SIH4</t>
  </si>
  <si>
    <t>1.64 million EUR in assistance to Ukraine and neighboring countries. No further information about this flow has been disclosed. Since we cannot disentangle the assistance directed to Ukraine from the one directed to neighboring countries, we apply our "upper bound rule" and include this value in our dataset to avoid underestimating the true extent of assistance to Ukraine. Moreover, the 40 tons of necessity mentioned in SIH1 are likely part of the 1.64 million EUR. We don't substract the 40 tons  from 1.64 million EUR because we don't have any monetary value for SIH1.</t>
  </si>
  <si>
    <t>https://www.gov.si/en/news/2022-04-06-eu-directors-general-for-development-cooperation-on-coordination-of-assistance-for-ukraine/</t>
  </si>
  <si>
    <t>https://twitter.com/MZZRS/status/1511723242939105281</t>
  </si>
  <si>
    <t>SIH5</t>
  </si>
  <si>
    <t>Material assistance including IP phones, computers, petrol generators, antennas, and cables.</t>
  </si>
  <si>
    <t>IP phone</t>
  </si>
  <si>
    <t>https://english.sta.si/3031756/slovenia-to-send-additional-material-aid-to-ukraine</t>
  </si>
  <si>
    <t>https://www.rtvslo.si/radio-si/news/slovenia-promises-aid-to-ukraine/625786</t>
  </si>
  <si>
    <t>https://babel.ua/en/news/78193-slovenia-will-provide-180-000-in-financial-assistance-to-ukraine</t>
  </si>
  <si>
    <t>laptop</t>
  </si>
  <si>
    <t>desktop</t>
  </si>
  <si>
    <t>petrol generator</t>
  </si>
  <si>
    <t>antenna</t>
  </si>
  <si>
    <t>cable</t>
  </si>
  <si>
    <t>SIM1</t>
  </si>
  <si>
    <t>until 6/14/2022</t>
  </si>
  <si>
    <t>Undisclosed number of rifles, ammunitions and helmets. The EU contribution of 450 million EUR + 50 million EUR, cited by "Source of Aid 1", is reported in EUM1. The military assistance worth 163,000 EUR and mentioned in "Source of Aid 2" is reported in SIH1. According to the Slovak minister of Foreign Affairs, Slovenia's military assistance to Ukraine amounts to 7 million EUR. We report the amount under the column "Monetary Value as Given by Source" and list all items found in "Item". According to the Slovak minister of Foreign Affairs (see "Source of Aid 4"), Slovenia has also donated a total of 3,2 million EUR in humanitarian aid to Ukraine. This is in line with our narrative, since we count a total of 2,083 million EUR (SIH1-SIH5)  and discard the 1,1 million EUR promised to international organisations that are not explicitly active in Ukraine (2,083+ 1,1= 3,2)</t>
  </si>
  <si>
    <t>rifle</t>
  </si>
  <si>
    <t>https://n1info.si/novice/svet/slovenija-ukrajini-ze-poslala-puske-streliva-in-celade/</t>
  </si>
  <si>
    <t>https://www.euractiv.com/section/politics/short_news/slovenia-sends-military-aid-including-weapons-to-ukraine/</t>
  </si>
  <si>
    <t xml:space="preserve">https://www.politico.com/news/2022/03/22/ukraine-weapons-military-aid-00019104 </t>
  </si>
  <si>
    <t>https://www.total-slovenia-news.com/politics/10138-slovenia-moves-from-military-to-humanitarian-aid-for-ukraine</t>
  </si>
  <si>
    <t>SIM2</t>
  </si>
  <si>
    <t>As per Source of Aid 1, Slovenian Defense Minister confirmed that Slovenia has sent 35 infantry fighting vehicles to Ukriane. Source of Aid 2 mentions that the infantry vehicles delivered by Slovenia are of type M80A.</t>
  </si>
  <si>
    <t>M80A infantry fighting vehicle</t>
  </si>
  <si>
    <t>https://www.rtvslo.si/slovenija/sarec-zaveze-natu-ostajajo-zmanjsevanja-sredstev-za-obrambo-ne-bo/631221</t>
  </si>
  <si>
    <t>https://mil.in.ua/en/news/slovenia-handed-over-35-m80a-infantry-fighting-vehicles-to-ukraine/</t>
  </si>
  <si>
    <t>SIM3</t>
  </si>
  <si>
    <t>Ukrainian Minister of Foreign Affairs, Dmytro Kuleba, announced that Slovenia intends to transfer civilian mine-clearing equipment to Ukraine which will be used to help clear mines from formerly occupied territories in Ukraine as part of the European Union’s Civil Protection Mechanism. Slovenia has also promised to rebuild the Kharkiv Institute of Prosthetics, which had been destroyed during the war, and to assist in rebuilding the public transportation services in the city of Kharkiv</t>
  </si>
  <si>
    <t>https://mobile.twitter.com/EU_Commission/status/1551598152041603072</t>
  </si>
  <si>
    <t>https://www.kyivpost.com/russias-war/slovenia-to-provide-mine-sweeping-equipment-to-ukraine.html</t>
  </si>
  <si>
    <t>https://twitter.com/DmytroKuleba/status/1552292097566380033?ref_src=twsrc%5Etfw</t>
  </si>
  <si>
    <t>SIM4</t>
  </si>
  <si>
    <t>As part of defense agreement with Germany, Slovenia will hand over 28 modified M-55S Soviet-era tanks to Ukraine and will instead receive 40 military transport vehicles, including 35 heavy hook loaders and five water tankers from Germany.</t>
  </si>
  <si>
    <t>M-55S tank</t>
  </si>
  <si>
    <t>https://www.gov.si/en/news/2022-09-19-prime-minister-robert-golob-in-a-telephone-conversation-with-german-chancellor-olaf-scholz-about-current-european-affairs/</t>
  </si>
  <si>
    <t>https://www.ukrinform.net/rubric-ato/3575496-ukraine-to-get-28-m55s-tanks-from-slovenia.html</t>
  </si>
  <si>
    <t>ESH1</t>
  </si>
  <si>
    <t>Spain</t>
  </si>
  <si>
    <t>Protective equipment and medical supplies</t>
  </si>
  <si>
    <t>Spain's Ministry of Foreign Affairs sent 20 tons of personal protective equipment and medical supplies worth 150,000 EUR (masks; gloves; medical protection suits; helmets; flak jackets; NBC protection waistcoats). The assistance falls within the framework of the EU Civil Protection Mechanism (EUCPM). This mechanism organizes logistics for donations and covers some of the transportation cost. Thus, we do not include the 10,000 EUR spent in transport, cited by "Source of Aid 1", since this expense is covered by the EU Civil Protection Mechanism.</t>
  </si>
  <si>
    <t>https://www.lamoncloa.gob.es/lang/en/gobierno/news/Paginas/2022/20220226_humanitarian-aid.aspx</t>
  </si>
  <si>
    <t xml:space="preserve">https://www.lamoncloa.gob.es/lang/en/gobierno/news/Paginas/2022/20220227_aid-to-ukraine.aspx </t>
  </si>
  <si>
    <t>https://twitter.com/desdelamoncloa/status/1497563071761453057</t>
  </si>
  <si>
    <t>ESH2</t>
  </si>
  <si>
    <t xml:space="preserve">5,500 hospital beds, 1,184 of which are pediatrics. This is in addition to the 20 tonnes of personal protective equipment sent on February 26, 2022 (ESH1). </t>
  </si>
  <si>
    <t>https://twitter.com/sanidadgob/status/1503783624969265161</t>
  </si>
  <si>
    <t>https://www.sanidad.gob.es/en/gabinete/notasPrensa.do?id=5684</t>
  </si>
  <si>
    <t>hospital pediatric bed</t>
  </si>
  <si>
    <t>ESH3</t>
  </si>
  <si>
    <t>23 million EUR directed to Ukraine, which are part of a 31 million EUR humanitarian package allocated by the Ministry of Foreign Affairs, European Union and Cooperation. Of the 31 million EUR, 23 million EUR will go to Ukraine and 8 million EUR will go to the neighboring countries (20 tonnes of medication to Poland and 30 tonnes to Moldova). We do not include the 8 million EUR in our dataset, since this is not a flow directed to Ukraine. Moreover, Spain allocated 25 million EUR to various international organizations and 3 million EUR to Spanish NGOs. These flows are not included either, since they don't represent sovereign-to-sovereign flows directed to Ukraine.</t>
  </si>
  <si>
    <t>https://www.exteriores.gob.es/Embajadas/washington/en/Comunicacion/Noticias/Paginas/Articulos/20220317_NEWS01.aspx</t>
  </si>
  <si>
    <t>https://www.exteriores.gob.es/Embajadas/washington/en/Comunicacion/Noticias/Paginas/Articulos/20220324_NEWS01.aspx#:~:text=Last%20week%2C%20the%20Government%20approved,Directive%20within%20the%20EU%20framework.</t>
  </si>
  <si>
    <t>ESH4</t>
  </si>
  <si>
    <t>until 4/8/2022</t>
  </si>
  <si>
    <t>"Source of Aid 1" mentions that before Spain announced to send 50 tons to Ukraine (ESH5), the country provided a total of 19 tons in humanitarian aid, worth about 1,161,542 EUR. Among them are, according to the "Sources of Aid 2 &amp; 3", 11 tons of medical material given by Autonomous Communities (a first-level political and administrative division which guarantees limited autonomy to the regions constituting Spain).</t>
  </si>
  <si>
    <t>https://www.lamoncloa.gob.es/lang/en/gobierno/news/Paginas/2022/20220411_health-shipment.aspx</t>
  </si>
  <si>
    <t>https://twitter.com/Defensagob/status/1512424894881017857</t>
  </si>
  <si>
    <t>https://www.defensa.gob.es/gabinete/notasPrensa/2022/04/DGC-220408-visita-centro-militar-farmacia.html</t>
  </si>
  <si>
    <t>ESH5</t>
  </si>
  <si>
    <t xml:space="preserve">50 tons of medical material given by the Autonomous Communities (a first-level political and administrative division which guarantees limited autonomy to the regions constituting Spain, see "Source of Aid 2"). The material was delivered by the Armed Forces. This is in addition to the 11 tons of medical material sent previously (ESH4). </t>
  </si>
  <si>
    <t>ESH6</t>
  </si>
  <si>
    <t>During the international Ukraine Recovery Conference in Lugano, Secretary of State of the Foreign Ministry for International Cooperation Pilar Cancela Rodríguez said that Spain might allocate EUR 250 million to Ukraine (Source of Aid 1). Source of Aid 2 specifies that 50 million euros from this package will go to food security and cities. Anouther parts of this package are reported in  ESF1 (budget support trougth World Bank) and ESF2 (guarantee trougth EBRD).</t>
  </si>
  <si>
    <t>https://thediplomatinspain.com/en/2022/07/spain-announces-250-million-euros-for-agriculture-and-renewables-in-ukraine/</t>
  </si>
  <si>
    <t>https://ua.interfax.com.ua/news/general/844172.html</t>
  </si>
  <si>
    <t>ESM1</t>
  </si>
  <si>
    <t>Lethal weapons, including 1,370 anti-tank grenade launchers, 700,000 rifles and an undisclosed number of machine-gun rounds and light machine guns.</t>
  </si>
  <si>
    <t>SB-40 LAG</t>
  </si>
  <si>
    <t>https://www.reuters.com/world/europe/spain-send-grenade-launchers-machine-guns-ukraine-minister-says-2022-03-02/</t>
  </si>
  <si>
    <t xml:space="preserve">https://www.aa.com.tr/en/europe/spain-to-send-weapons-to-ukrainian-forces/2520902 </t>
  </si>
  <si>
    <t>https://euroweeklynews.com/2022/03/05/spanish-grenade-launchers-sent-to-ukraine/</t>
  </si>
  <si>
    <t>rifle + MG Round</t>
  </si>
  <si>
    <t>light machine gun</t>
  </si>
  <si>
    <t>ESM2</t>
  </si>
  <si>
    <t>Spain has declared that new weapons will be shipped. Our dataset reports the 1 billion EUR cited in "Source of Aid 2" as it represents the aid devoted by the European Peace Facility so far (EUM1 and EUM2).</t>
  </si>
  <si>
    <t>https://www.thelocal.es/20220311/spain-to-send-more-weapons-to-ukraine/</t>
  </si>
  <si>
    <t>https://www.barrons.com/news/spain-to-send-more-weapons-to-ukraine-01647003007</t>
  </si>
  <si>
    <t>ESM3</t>
  </si>
  <si>
    <t>An RG-31 ambulance of the Armed Forces, delivered to help evacuate the wounded from the most affected regions.</t>
  </si>
  <si>
    <t>RG-31 ambulance</t>
  </si>
  <si>
    <t>https://twitter.com/Defensagob/status/1508877933242372096</t>
  </si>
  <si>
    <t>https://pledgetimes.com/spain-sends-an-armored-ambulance-and-more-weapons-to-ukraine/</t>
  </si>
  <si>
    <t>ESM4</t>
  </si>
  <si>
    <t>New batch of military aid consisting of 200 tons of military material. This was announced by the prime minister without specifying the aid in more detail. However, "Source of Aid 2" discloses that the package includes 200 tons of ammunition, 20 armored vehicles and 30 military trucks. Prime Minister Sanchez specifies that this package would more than double what Spain had delivered until that date. "Source of Aid 4" admits this by quantifying the aid up to the date to 170 tons. The source specifies that the entries ESH1 and ESM1 belong to this amount.</t>
  </si>
  <si>
    <t>ton of rifle + MG round</t>
  </si>
  <si>
    <t>https://www.lamoncloa.gob.es/lang/en/presidente/news/paginas/2022/20220421_visit-to-ukraine.aspx</t>
  </si>
  <si>
    <t>https://armyrecognition.com/ukraine_-_russia_invasion_conflict_war/full_list_of_us_european_weapons_and_military_equipment_delivered_to_ukraine.html</t>
  </si>
  <si>
    <t>https://www.ukrinform.net/rubric-defense/3463928-spain-sends-new-military-aid-batch-to-ukraine.html</t>
  </si>
  <si>
    <t>https://westobserver.com/news/europe/40-spanish-made-military-trucks-and-off-road-vehicles-for-ukraine-travel-in-the-ysabel/</t>
  </si>
  <si>
    <t>https://www.thelocal.es/20220421/spain-sends-200-tonnes-of-military-material-to-ukraine-pm/</t>
  </si>
  <si>
    <t>VAMTAC 4x4 armored vehicle</t>
  </si>
  <si>
    <t>lorry</t>
  </si>
  <si>
    <t>ESM5</t>
  </si>
  <si>
    <t>According to media reports, Spain plans to provide Ukraine with a undisclosed amount of Aspide anti-aircraft missiles as well as with Leopard 2A4 tanks. According to "Source of Aid 2", the preparations to deliver the Aspide missiles are already in an advanced stage. On the other hand, the delivery of Leopard 2A4 tanks is subject to at least two factors, according to "Source of Aid 3". First of all the approval from the German government since Spain bought them from Germany in 1995. And secondly, the tanks need a complete overhaul. Even though "Source of Aid 2" speaks about 40 tanks that could be delivered, another media report as of June 8 ("Source of Aid 4") clarifies that Spain would send only up to ten Leopard 2A4 tanks. Based on later reports, Spain decied to not to send Leopards(see ESM6 for detailes).</t>
  </si>
  <si>
    <t>Shorad Aspide anti-aircraft missile</t>
  </si>
  <si>
    <t>https://www.reuters.com/world/europe/spain-deliver-anti-aircraft-missiles-tanks-ukraine-el-pais-2022-06-05/</t>
  </si>
  <si>
    <t>https://elpais.com/espana/2022-06-05/espana-dispuesta-a-entregar-a-ucrania-misiles-antiaereos-y-carros-de-combate-leopard.html</t>
  </si>
  <si>
    <t>https://www.faz.net/aktuell/politik/inland/spanien-erwaegt-lieferung-deutscher-kampfpanzer-an-die-ukraine-18084152.html</t>
  </si>
  <si>
    <t>https://www.faz.net/aktuell/politik/waffen-fuer-die-ukraine-norwegen-liefert-haubitzen-18089553.html</t>
  </si>
  <si>
    <t>ESM6</t>
  </si>
  <si>
    <t>According to the Spanish newspaper Infodefensa ("Source of aid 1"), the Spanish defence ministry and army decided to donate 10 Leopards and 20 M113 to Ukraine. Still, later in August, Spanish Defence Minister Margarita Robles reported that Spain could not send its mothballed Leopard 2A4 tanks to Ukraine as they are "in an absolutely deplorable state (Source of Aid 2), so we don't include leopards in the dataset. We also deleted Leopards from ESM5, since these are the same leopards.</t>
  </si>
  <si>
    <t>https://www.infodefensa.com/texto-diario/mostrar/3822103/defensa-da-luz-verde-donacion-10-carros-combate-leopard-2a4-20-m113-ucrania</t>
  </si>
  <si>
    <t>https://www.reuters.com/world/europe/spain-says-its-mothballed-german-made-tanks-no-fit-state-send-ukraine-2022-08-02/</t>
  </si>
  <si>
    <t>ESM7</t>
  </si>
  <si>
    <t>Spain’s Ministry of Defense has announced that it will transfer additional military assistance, and the first package is already being prepared. At the same time, the content was described without specifying the concrete models of different weapons, only the broad typing. Source of aid 3 later specified the amount of winter clothing delivered to Ukraine.</t>
  </si>
  <si>
    <t>https://www.defensa.gob.es/gabinete/notasPrensa/2022/10/DGC-221006-envio-ucrania.html</t>
  </si>
  <si>
    <t>https://edition.cnn.com/europe/live-news/russia-ukraine-war-news-08-25-22/index.html</t>
  </si>
  <si>
    <t>https://www.defensa.gob.es/gabinete/notasPrensa/2022/11/DGC-221110-sesion-ucrania.html</t>
  </si>
  <si>
    <t>https://www.aa.com.tr/en/europe/spain-announces-increase-in-military-aid-to-ukraine/2668809</t>
  </si>
  <si>
    <t>https://www.defensa.gob.es/gabinete/notasPrensa/2022/08/DGC-220831-envio-armamento-ucrania.html</t>
  </si>
  <si>
    <t>Howitzer</t>
  </si>
  <si>
    <t>ton of diesel (Spain)</t>
  </si>
  <si>
    <t>unkown anti-aircraft battery (Spain)</t>
  </si>
  <si>
    <t>ESM8</t>
  </si>
  <si>
    <t>Spain’s Ministry of Defense has announced that it will transfer additional military assistance. Source of aid 2 specified some details about the content of the package.</t>
  </si>
  <si>
    <t>Anibal light vehicle</t>
  </si>
  <si>
    <t>https://www.infodefensa.com/texto-diario/mostrar/3916727/defensa-envia-polonia-10-vehiculos-ligeros-ucrania-prepara-entrega-otros-12-pesados</t>
  </si>
  <si>
    <t>ESM9</t>
  </si>
  <si>
    <t xml:space="preserve">During the NATO briefing, Jens Stoltenberg, General Secretary of NATO, said that Spain will send two HAWK anti-aircraft systems to Ukraine. Later on, During the joint press conference with the Minister of Foreign Affairs, European Union and Cooperation of Spain Jose Manuel Albarez Bueno in Kyiv confirmed it and also revealed that Spain is going to send Aspide batteries and missiles to Ukraine (Source of aid 2). </t>
  </si>
  <si>
    <t>MIM-23 HAWK</t>
  </si>
  <si>
    <t>https://www.youtube.com/watch?v=D59VdvNdPwo&amp;t=2s&amp;ab_channel=NATONews</t>
  </si>
  <si>
    <t>https://www.facebook.com/UkraineMFA/videos/804435197447603/?extid=CL-UNK-UNK-UNK-AN_GK0T-GK1C</t>
  </si>
  <si>
    <t>https://twitter.com/oleksiireznikov/status/1589571269363904512?cxt=HHwWgMDR-bippY8sAAAA</t>
  </si>
  <si>
    <t>Aspide battery</t>
  </si>
  <si>
    <t>ESM10</t>
  </si>
  <si>
    <t>According to Spanish defence minister Margarita Robles, Spain is to send additional heavy weapon support to Ukraine. She also revealed the content of the following delivery package but only specified the amount of MIM-23 HAWK anti-aircraft systems. Source of aid 2 specified the amount of 105mm howitzers.</t>
  </si>
  <si>
    <t>https://www.infodefensa.com/texto-diario/mostrar/4066952/espana-enviara-hawk-generadores-bateria-105-ucrania</t>
  </si>
  <si>
    <t>https://www.reuters.com/world/europe/spain-send-two-more-hawk-air-defence-systems-ukraine-2022-11-10/</t>
  </si>
  <si>
    <t xml:space="preserve">OTO Melara Mod 56 Towed Howitzer 105/14 </t>
  </si>
  <si>
    <t>ESF1</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</si>
  <si>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for the multi-donor fund of the World Bank, which provides direct financial support to the budget of Ukraine. Anouther parts of this package are reported in ESF2 (guarantee trougth EBRD) and ESH6 (humanitarian help).</t>
  </si>
  <si>
    <t>ESF2</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</si>
  <si>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as guarantee for the European Bank for Reconstruction and Development (EBRD). Anouther parts of this package are reported in ESF1 (budget support trougth World Bank) and ESH6 (humanitarian help).</t>
  </si>
  <si>
    <t>SEH1</t>
  </si>
  <si>
    <t>Sweden</t>
  </si>
  <si>
    <t>Sweden decided to provide equipment that is necessary to repair Ukraine's energy grid. However, as no further information is provided, an in-kind valuation of this aid is not possible.</t>
  </si>
  <si>
    <t>https://government.se/press-releases/2022/04/sweden-supporting-ukraine-with-equipment-to-secure-the-countrys-energy-supply/</t>
  </si>
  <si>
    <t>SEH2</t>
  </si>
  <si>
    <t>until 5/4/2022</t>
  </si>
  <si>
    <t>Following "Source of Aid 1", Sweden has provided direct humanitarian aid to Ukraine worth 570 million SEK until May 4, 2022. Of this amount,we document 500 million EUR and 20 million EUR to support the International Committee of the Red Cross (ICRC) in Ukraine (both as of February 27). Furthermore, Sweden announced to assist Ukraine with equipment to secure the country's energy supply (April 22). We do not include the contribution of Sweden to UN organizations, including the Central Emergency Response Fund (CERF) and to the Red Cross Movement’s Disaster Relief Emergency Fund (DREF) (as listed in "Source of Aid 1"), since those international organisations are not explicitly active in Ukraine.</t>
  </si>
  <si>
    <t>SEK</t>
  </si>
  <si>
    <t>https://www.government.se/press-releases/2022/05/sweden-and-poland-co-host-international-donors-conference-to-support-ukrainian-people/#:~:text=Sweden%27s%20support%20to%20Ukraine&amp;text=Sweden%20is%20one%20of%20CERF%27s,SEK%2035%20million%20in%202022.</t>
  </si>
  <si>
    <t>https://www.government.se/articles/2022/03/sweden-planning-additional-support-to-ukraine-through-world-bank/#:~:text=Due%20to%20Russia's%20aggression%20against,to%20the%20growing%20humanitarian%20needs.</t>
  </si>
  <si>
    <t>https://government.se/press-releases/2022/05/sweden-and-poland-co-host-international-donors-conference-to-support-ukrainian-people/</t>
  </si>
  <si>
    <t>SEH3</t>
  </si>
  <si>
    <t>During the High-Level International Donor's Conference for Ukraine on May 5, 2022, Sweden announced to provide additional 230 million SEK, according to "Source of Aid 1", for humanitarian organisations active in Ukraine.</t>
  </si>
  <si>
    <t>https://www.government.se/articles/2022/05/sweden-and-poland-mobilised-humanitarian-support-for-ukraine/</t>
  </si>
  <si>
    <t>https://en.interfax.com.ua/news/general/829822.html</t>
  </si>
  <si>
    <t>https://www.news.az/news/sweden-pledges-additional-23-million-for-humanitarian-actions-in-ukraine</t>
  </si>
  <si>
    <t>SEH4</t>
  </si>
  <si>
    <t>As a part of the total package comprising 1 billion SEK, Sweden also announced to provide 100 million SEK for humanitarian purposes. According to "Source of Aid 1" this money is provided through the EU Civil Protection Mechanism on the one hand and to the UN on the other hand. As we cannot disentangle these two parts, we report the total sum. Note that SEM4 provides an overview of the remaining part of the package, comprising 900 million SEK.</t>
  </si>
  <si>
    <t>https://www.government.se/press-releases/2022/06/additional-amending-budget-with-further-support-to-ukraine/</t>
  </si>
  <si>
    <t>SEH5</t>
  </si>
  <si>
    <t>The Swedish Government has decided to donate more than 500 000 doses of the Pfizer/BioNTech COVID-19 vaccine to Ukraine.</t>
  </si>
  <si>
    <t>Pfizer vaccine dose</t>
  </si>
  <si>
    <t>https://www.government.se/press-releases/2022/09/sweden-donates-covid-19-vaccines-to-ukraine/</t>
  </si>
  <si>
    <t>SEH6</t>
  </si>
  <si>
    <t>According to Source of Aid 1, the Swedish govenment committed additional humanitarian aid of SEK 720 million for this Winter aid package for various purposes. Source of aid 1 also mentions SEK 3 billion humanitarian aid that is covered in Donation ID SEM9. Not all of the humanitarian aid is intended for Ukraine. We only count SEK 170 million as bilateral aid to Ukraine (Nordic Environment Finance Corporation’s Ukraine Green Recovery Programme SEK 110 million, Ukrainian Red Cross SEK 50 million, Mine clearance through the Danish Refugee Council SEK 10 million) since the rest of the package does not benefit Ukraine directly. SEF4 covers the SEK 140 million through the World Bank.</t>
  </si>
  <si>
    <t>https://www.government.se/articles/2022/11/government-to-send-record-support-package-to-ukraine/</t>
  </si>
  <si>
    <t>SEM1</t>
  </si>
  <si>
    <t>5,000 anti-tank weapons, 5,000 helmets, 5,000 body shields and 135,000 field rations of a value of 400 million SEK. "Source of Aid 1" also lists the 500 million SEK assistance to the Ukranian army reported in SEM2, and the 500 million SEK humanitarian assistance reported in SEH3.</t>
  </si>
  <si>
    <t>https://www.government.se/articles/2022/02/sweden-to-provide-direct-support-and-defence-materiel-to-ukraine/</t>
  </si>
  <si>
    <t xml:space="preserve">https://www.reuters.com/world/europe/sweden-send-military-aid-ukraine-pm-andersson-2022-02-27/ </t>
  </si>
  <si>
    <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t>
  </si>
  <si>
    <t>https://www.reuters.com/world/europe/sweden-provide-ukraine-with-5000-more-anti-tank-weapons-tt-news-agency-2022-03-23/</t>
  </si>
  <si>
    <t>AT4 anti-tank weapon</t>
  </si>
  <si>
    <t>SEM2</t>
  </si>
  <si>
    <t>Financial grant directed to the Armed Forces of Ukraine. "Source of Aid 2" also lists the aid package reported in SEM1 (military equipment worth 400 million SEK).</t>
  </si>
  <si>
    <t>https://ua.interfax.com.ua/news/general/807284.html</t>
  </si>
  <si>
    <t>SEM3</t>
  </si>
  <si>
    <t xml:space="preserve">Shipment of additional 5,000 anti-tank weapons and demining equipment. </t>
  </si>
  <si>
    <t>https://twitter.com/AnnLinde/status/1506663502865485844?msclkid=7276d96ab5d011ecb3f22619c3297e84</t>
  </si>
  <si>
    <t>https://www.armyrecognition.com/defense_news_march_2022_global_security_army_industry/sweden_to_provide_another_batch_of_5000_at4_anti-tank_weapons_to_ukraine.html</t>
  </si>
  <si>
    <t>https://www.ukrinform.net/rubric-ato/3500636-sweden-to-provide-ukraine-with-ag-90-antimateriel-sniper-rifles-at4-antitank-weapons.html</t>
  </si>
  <si>
    <t>SEM4</t>
  </si>
  <si>
    <t>"Source of Aid 1" lists several military in-kind donations as part of the total amount of 1 billion SEK that the government announced. Notice that this is divided into the following entries: 100 million SEK reflect humanitarian aid (see SEH3), 578 million SEK and 60 million SEK represent grants with military purpose (SEM5 and SEM6) and the remaining 262 million SEK out of the total package is allocated for Weapons and Equipment.</t>
  </si>
  <si>
    <t>https://twitter.com/AnnLinde/status/1532316643254226945?ref_src=twsrc%5Etfw%7Ctwcamp%5Etweetembed%7Ctwterm%5E1532316643254226945%7Ctwgr%5E%7Ctwcon%5Es1_&amp;ref_url=https%3A%2F%2Fmezha.media%2Fen%2F2022%2F06%2F03%2Frbs-17-swedish-short-range-anti-ship-missile%2F</t>
  </si>
  <si>
    <t>https://www.reuters.com/world/europe/sweden-supply-more-military-aid-including-anti-ship-missiles-ukraine-2022-06-02/</t>
  </si>
  <si>
    <t>RBS 17 anti-ship missile system</t>
  </si>
  <si>
    <t>AG 90 anti-materiel sniper rifle</t>
  </si>
  <si>
    <t>SEM5</t>
  </si>
  <si>
    <t>As part of the total package of 1 billion SEK ("Source of Aid 1"), Sweden announced to provide additional 578 million SEK as grant directed to the Armed Forces of Ukraine, with reference to an earlier grant of 500 million SEK (see "SEM2"). See also SEH4, SEM4, SEM6 for the other parts of the total 1 billion SEK package.</t>
  </si>
  <si>
    <t>SEM6</t>
  </si>
  <si>
    <t>As part of the total package of 1 billion SEK ("Source of Aid 1"), Sweden also announced to provide 60 million SEK as contribution to a NATO fund that aims to equip the Ukrainian Armed Forces ("Source of Aid 1"). See also SEH4, SEM4, SEM5 for the other parts of the total 1 billion SEK package.</t>
  </si>
  <si>
    <t>SEM7</t>
  </si>
  <si>
    <t>Financial grant directed to the Armed Forces of Ukraine.</t>
  </si>
  <si>
    <t>https://bank.gov.ua/en/news/all/uryad-shvetsiyi-pererahuvav-5777-mln-shvedskih-kron-na-dopomogu-zbroynim-silam-ukrayini?fbclid=IwAR2GXaFc3IMIbZSXOY8F7GKajhqkPjM9F5GjMl1cFhI_X1DeYZjIVLKXbdg</t>
  </si>
  <si>
    <t>SEM8</t>
  </si>
  <si>
    <t xml:space="preserve">During the meeting of Swedish Prime Minister Magdalena Andersson and Ukrainian Minister for Foreign Affairs Dmytro Kuleba, Magdalena Andersson informed that Sweden pledged 500 SEK million for military assistance and 500 SEK million for civilian assistance (see SEF3 ). Source of Aid 4 specifies that Sweden delivers ammunition for howitzers, and since it was done right after this meeting, we assume that it is included in the 500 SEK million package. Moreover, since Sweden only has 155mm of howitzers in its stocks, we consider it to deliver 155mm of howitzer ammunition. </t>
  </si>
  <si>
    <t>https://www.government.se/press-releases/2022/08/prime-minister-magdalena-andersson-to-receive-ukrainian-minister-for-foreign-affairs-dmytro-kuleba/</t>
  </si>
  <si>
    <t>https://edition.cnn.com/europe/live-news/russia-ukraine-war-news-08-29-22/h_21f066995f2c6fe12ab6605c48c1b9d1</t>
  </si>
  <si>
    <t>https://www.reuters.com/world/europe/swedish-pm-sets-out-further-military-aid-package-ukraine-2022-08-29/</t>
  </si>
  <si>
    <t>https://twitter.com/oleksiireznikov/status/1565001295177687045</t>
  </si>
  <si>
    <t>SEM9</t>
  </si>
  <si>
    <t xml:space="preserve">According to Source of Aid 1, the Swedish govenment committed additional military aid of SEK 3 billion for this Winter aid package. Source of aid 1 also mentions SEK 720 million humanitarian aid that is covered in Donation ID SEH6. The composition of the military aid package is unknown. </t>
  </si>
  <si>
    <t>SEF1</t>
  </si>
  <si>
    <t>Sweden has contributed 50 million USD to the "FREE Ukraine Support Package". The latter is part of the Emergency Financing Package established by the World Bank and amounting to 723 million USD. Other countries have contributed to Emergency Financing Package: the Netherlands with 89 million USD, United Kingdom with 100 million USD, Denmark with 22 million USD, Latvia + Lithuania + Iceland with 12 million USD and Japan with 100 million USD.</t>
  </si>
  <si>
    <t>SEF2</t>
  </si>
  <si>
    <t xml:space="preserve">Loan guarantee in excess of 44 million EUR provided through the World Bank. </t>
  </si>
  <si>
    <t>https://twitter.com/SweMFA/status/1517445238142521346</t>
  </si>
  <si>
    <t>SEF3</t>
  </si>
  <si>
    <t>During the meeting of Swedish Prime Minister Magdalena Andersson and Ukrainian Minister for Foreign Affairs Dmytro Kuleba, Magdalena Andersson informed that Sweden pledged 500 SEK million for military assistance(see SEM8) and 500 SEK million for civilian assistance.</t>
  </si>
  <si>
    <t>SEF4</t>
  </si>
  <si>
    <t xml:space="preserve">Accoring to Source of aid 1, Sweden has pledged a grant over SEK 140 million to Ukraine through the World Bank. Source of Aid 1 mentions additional military and humanitarian aid, covered in Donation Ids SEM9 and SEH6. </t>
  </si>
  <si>
    <t>CHH1</t>
  </si>
  <si>
    <t>Switzerland</t>
  </si>
  <si>
    <t>Switzerland provided a total of 60 million CHF of direct in-kind humanitarian aid as well as financial aid to various humanitarian institutions in Ukraine and international organizations benefiting the people of Ukraine. There is no extensive list as to what amount went to which organization, other than the information that 60 million CHF are devoted directly to Ukraine (Reported in Source of Aid 4: three quarters of their total CHF 80 million budget; the remaining 20 million CHF are going to countries dealing with Ukrainian refugees including Poland and Moldova, which we do not include here as we measure direct support to Ukraine). To avoid underestimating the true extent of support to Ukraine, we include the entire amount of CHF 60 million as humanitarian aid.</t>
  </si>
  <si>
    <t>CHF</t>
  </si>
  <si>
    <t>https://www.admin.ch/gov/en/start/documentation/media-releases.msg-id-87488.html</t>
  </si>
  <si>
    <t>https://reliefweb.int/report/ukraine/switzerland-steps-humanitarian-aid-ukraine</t>
  </si>
  <si>
    <t>https://www.admin.ch/gov/en/start/documentation/media-releases.msg-id-87418.html</t>
  </si>
  <si>
    <t>https://www.swissinfo.ch/eng/switzerland-approves-chf80-million-in-emergency-aid-for-ukraine/47423096?utm_campaign=teaser-in-article&amp;utm_source=swissinfoch&amp;utm_content=o&amp;utm_medium=display</t>
  </si>
  <si>
    <t>https://www.admin.ch/gov/en/start/documentation/media-releases.msg-id-89923.html</t>
  </si>
  <si>
    <t>CHH2</t>
  </si>
  <si>
    <t>According to source of aid 1, Switzerland sent around 100 tonnes of humanitarian goods to Ukraine in August. A first consignment of humanitarian aid comprising 71 tonnes of firefighting equipment (protective clothing, hoses, water cannons, petrol-driven chainsaws), 11 tonnes of medical equipment (examination gloves, breathing apparatus) and over 10 tonnes of medicines was sent on 3 Aug 2022. A second consignment of 15 water treatment units, in addition to eleven respirators, plus ancillary equipment. The source mentions that Switzerland has provided just under CHF 100 million in funding to support Ukraine. Since, CHH1 is valued at 60 million CHF, the value of CHH2 is estimated to be 40 million CHF</t>
  </si>
  <si>
    <t>ton of firefighting equipment</t>
  </si>
  <si>
    <t>ton of medicine</t>
  </si>
  <si>
    <t>water treatment unit</t>
  </si>
  <si>
    <t>respirator</t>
  </si>
  <si>
    <t>CHH3</t>
  </si>
  <si>
    <t xml:space="preserve">According to Source of Aid 1, Switzerland will give 100 million CHF in aid for projects to support the urgend rehabilitation of energy infrastructure and alleviate the precarious humanitarian situation. The aid is also intended to mitigate the impact of the cold season in Ukraine. </t>
  </si>
  <si>
    <t>https://www.admin.ch/gov/en/start/documentation/media-releases.msg-id-91098.html</t>
  </si>
  <si>
    <t>https://www.swissinfo.ch/eng/politics/swiss-to-send-chf100-million-in-aid-to-help-ukraine-get-through-winter/48025666#:~:text=The%20Swiss%20government%20has%20promised,infrastructure%20damaged%20by%20the%20war.</t>
  </si>
  <si>
    <t>TRM1</t>
  </si>
  <si>
    <t>Turkey</t>
  </si>
  <si>
    <t>On February 3, 2022, the President of Turkey and the Prime Minister of Ukraine signed an agreement on the co-production of Bakar Bayraktar TB2 armed drones​ in Ukrainian territory. Financial details remained undisclosed.</t>
  </si>
  <si>
    <t>Bayraktar TB2 drone</t>
  </si>
  <si>
    <t>https://nordicmonitor.com/2022/03/turkey-deployed-personnel-to-operate-armed-drones-in-targeting-russian-military/</t>
  </si>
  <si>
    <t>https://www.newyorker.com/magazine/2022/05/16/the-turkish-drone-that-changed-the-nature-of-warfare</t>
  </si>
  <si>
    <t>TRM2</t>
  </si>
  <si>
    <t>According to source of aid 1, Turkey has delivered 50 used mine-resistant, ambush-protected vehicles to the Ukraine. The delivery of the Kirpi vehicles was the result of a government agreement.</t>
  </si>
  <si>
    <t>BMC Kirpi</t>
  </si>
  <si>
    <t>https://www.defensenews.com/land/2022/08/22/turkey-sends-50-mine-resistant-vehicles-to-ukraine-with-more-expected/</t>
  </si>
  <si>
    <t>TRH1</t>
  </si>
  <si>
    <t>Turkey has reportedly provided a Humanitarian Aid convoy to Ukraine, carrying 1.536 food packages, 240 family tents, 1.680 blankets, 200 beds and 18 general purpose tents.</t>
  </si>
  <si>
    <t>https://twitter.com/AFADTurkey/status/1497633720068714497</t>
  </si>
  <si>
    <t>TRH2</t>
  </si>
  <si>
    <t>Turkey has sent 43 trucks of humanitarian aid and a mobile food truck for the people of Ukraine. Given the lack of more specific information, the monetary value of the shipment cannot be calculated.</t>
  </si>
  <si>
    <t>https://twitter.com/AFADTurkey/status/1503080333205700608</t>
  </si>
  <si>
    <t>TRH3</t>
  </si>
  <si>
    <t>between 3/20/2022 and 7/1/2022</t>
  </si>
  <si>
    <t>Since March 20, the mobile food truck of the AFAD Türkyie (Ministry of Interior Disaster and Emergency Management Authority)  has been distributing hot meals in various Ukrainian cities, such as Borodyianka and Lviv. The value of the aid is not quantifiable.</t>
  </si>
  <si>
    <t>https://twitter.com/AFADTurkiye/status/1537845513671917570?s=20&amp;t=s9akAL75RoX8Zs9Cn_sKtQ</t>
  </si>
  <si>
    <t>TWH1</t>
  </si>
  <si>
    <t>Taiwan</t>
  </si>
  <si>
    <t>Donation worth 3 million USD directed to humanitarian assistance in Kyiv.</t>
  </si>
  <si>
    <t>https://focustaiwan.tw/politics/202204220023</t>
  </si>
  <si>
    <t>TWH2</t>
  </si>
  <si>
    <t xml:space="preserve">Donation worth 5 million USD directed to six Ukrainian hospitals. </t>
  </si>
  <si>
    <t>TWH3</t>
  </si>
  <si>
    <t xml:space="preserve">Donation worth 2 million USD directed to Kharkiv. </t>
  </si>
  <si>
    <t>https://focustaiwan.tw/politics/202206030014</t>
  </si>
  <si>
    <t>TWH4</t>
  </si>
  <si>
    <t>Donation worth 500000 USD, directed to humanitarian assistance in Chernihiv.</t>
  </si>
  <si>
    <t>TWH5</t>
  </si>
  <si>
    <t>Donation worth 500000 USD, directed to humanitarian assistance in Mykolaiev.</t>
  </si>
  <si>
    <t>TWH6</t>
  </si>
  <si>
    <t>Donation worth 500000 USD, directed to humanitarian assistance in Sumy.</t>
  </si>
  <si>
    <t>TWH7</t>
  </si>
  <si>
    <t>Donation worth 500000 USD, directed to humanitarian assistance in Zaporizhzhia.</t>
  </si>
  <si>
    <t>TWH9</t>
  </si>
  <si>
    <t>Donation worth 500000 USD, directed to humanitarian assistance in Bucha. According to "Source of Aid 1", Taiwan has donated a total amount of 13,2 million USD (besides the 500000 USD newly committed to Bucha). Since we discard the 1,2 million USD donated to the Orthodox church for the reconstruction of churches in Ukraine, we only count 12 million USD (see TWH1 -TWH8).</t>
  </si>
  <si>
    <t>https://focustaiwan.tw/politics/202206200021</t>
  </si>
  <si>
    <t>TWH10</t>
  </si>
  <si>
    <t>Foreign Minister Jaushieh Joseph Wu announced a US$56 million donation on behalf of the government and people of Taiwan. The donation will be used to support Ukraine to rebuild schools, hospitals and fundamental infrastructure.</t>
  </si>
  <si>
    <t>https://www.taiwan.gov.tw/news.php#:~:text=Foreign%20Minister%20Jaushieh%20Joseph%20Wu%20announced%20a%20US%2456%20million,26.</t>
  </si>
  <si>
    <t>https://taiwantoday.tw/news.php?unit=2&amp;post=227225&amp;unitname=Politics-Top-News&amp;postname=MOFA-Minister-Wu-unveils-US%2456-million-donation-to-rebuild-Ukraine</t>
  </si>
  <si>
    <t>UKH1</t>
  </si>
  <si>
    <t>United Kingdom</t>
  </si>
  <si>
    <t>Humanitarian assistance via equipment and grants.</t>
  </si>
  <si>
    <t>GBP</t>
  </si>
  <si>
    <t>https://www.gov.uk/government/news/pm-announces-further-humanitarian-aid-to-ukraine</t>
  </si>
  <si>
    <t>UKH2</t>
  </si>
  <si>
    <t>Humanitarian assistance via equipment and grants. Out of the 80 million GBP reported in "Source of Aid 1" we do not count 40 million GBP, since they have been allocated to international organisations which are not explicitly active in Ukraine (see "Source of Aid 3"). The 120 million GBP reported in "Source of Aid 1" are made out of the 80 million GBP (out of which we don't count the 40 million GBP to international organisations) reported in "Source of Aid 1", and of the the 40 million GBP in UKH1.</t>
  </si>
  <si>
    <t>https://reliefweb.int/report/ukraine/uk-pledges-another-80-million-aid-help-ukraine-deal-humanitarian-crisis</t>
  </si>
  <si>
    <t>https://www.gov.uk/government/news/uk-sets-out-new-multi-million-dollar-economic-package-of-support-for-ukraine</t>
  </si>
  <si>
    <t>https://www.gov.uk/government/news/uk-provides-further-humanitarian-aid-focused-on-most-vulnerable-in-ukraine</t>
  </si>
  <si>
    <t>UKH3</t>
  </si>
  <si>
    <t xml:space="preserve">Humanitarian assistance via equipment and grants. </t>
  </si>
  <si>
    <t>https://hit-logo-klingelton.com/uk-announces-additional-230-million-in-aid-for-ukraine/?msclkid=0f934a89cf8011ec82b90a2bac4d5bea</t>
  </si>
  <si>
    <t>UKH4</t>
  </si>
  <si>
    <t>UK government to donate generators to provide vital power for Ukraine. Source of aid 1 reports the initial number of generators. Source of aid 2 reports an increase in this amount. Source of aid 3 specifis the monetary value of this package.</t>
  </si>
  <si>
    <t>https://www.gov.uk/government/news/uk-government-to-donate-generators-to-provide-vital-power-for-ukraine</t>
  </si>
  <si>
    <t>https://www.gov.uk/government/news/hundreds-more-mobile-generators-to-provide-vital-power-for-ukraine</t>
  </si>
  <si>
    <t>https://www.gov.uk/government/news/uk-funding-to-help-repair-ukraines-damaged-energy-systems-and-get-power-back-to-ukrainian-people</t>
  </si>
  <si>
    <t>UKH5</t>
  </si>
  <si>
    <t xml:space="preserve">10 million GBP civil society fund launched by the government, directed to organizations in Ukraine supporting civilians, including victims of conflict-related sexual violence. </t>
  </si>
  <si>
    <t>https://www.gov.uk/government/speeches/poland-foreign-secretarys-statement-to-warsaw-press-conference</t>
  </si>
  <si>
    <t>https://www.gov.uk/government/news/uk-government-and-nobel-prize-winner-launch-global-code-to-tackle-conflict-related-sexual-violence</t>
  </si>
  <si>
    <t>UKH6</t>
  </si>
  <si>
    <t>£5 million support fund for providing safety and security equipment to Ukraine's civil nuclear sector</t>
  </si>
  <si>
    <t>https://www.gov.uk/government/news/uk-provides-increased-support-for-ukraines-energy-sector</t>
  </si>
  <si>
    <t>UKH7</t>
  </si>
  <si>
    <t>The State Emergency Service of Ukraine received 9 firetrucks from the Government of Great Britain and Northern Ireland took place in Lviv on Thursday, October 27</t>
  </si>
  <si>
    <t>https://www.facebook.com/LVIVDSNS/posts/pfbid0Kh4LzoSej4TroK3tNk9nUGzRfwB9sFeaRPgWP94cdzQsv1ChVf42NgPiSmZBK6wMl</t>
  </si>
  <si>
    <t>UKH8</t>
  </si>
  <si>
    <t>£10 million to the Ukraine Energy Support Fund</t>
  </si>
  <si>
    <t>https://www.gov.uk/government/publications/ukraine-energy-equipment-appeal-to-industry/appeal-to-industry-ukraine-energy-equipment-html</t>
  </si>
  <si>
    <t>UKM1</t>
  </si>
  <si>
    <t>Anti-tank weaponry. The 88 million GBP are included in UKF1. "Source of Aid 1" does not specify the exact amount of anti-tank weaponry committed. However, "Source of Aid 2" mentions that on January 17 the defence secretary announced the intention of supplying 2,000 new light anti-tank weapons (NLAWs), along with small arms and ammunitions. We assume that the anti-tank weaponry committed towards the end of January consists of the 2,000 NLAW first mentioned on January 17.</t>
  </si>
  <si>
    <t>https://www.gov.uk/government/speeches/pm-statement-at-ukraine-press-conference-1-february-2022</t>
  </si>
  <si>
    <t>https://www.gov.uk/government/speeches/defence-secretary-statement-to-the-house-of-commons-on-ukraine-9-march-2022</t>
  </si>
  <si>
    <t>https://www.bbc.com/news/world-europe-61482305</t>
  </si>
  <si>
    <t>UKM2</t>
  </si>
  <si>
    <t>Lethal weapons.</t>
  </si>
  <si>
    <t>https://ukdefencejournal.org.uk/britain-sending-anti-aircraft-and-javelin-missiles-to-ukraine/</t>
  </si>
  <si>
    <t>UKM3</t>
  </si>
  <si>
    <t>Undisclosed number of Starstreak anti-aircraft missile systems. "Source of Aid 2" mentions also the 3,615 anti-tank systems reported in UKM1 and the Javelin weapons reported in UKM4.</t>
  </si>
  <si>
    <t>Starstreak anti-aircraft missile system</t>
  </si>
  <si>
    <t>https://www.reuters.com/world/europe/britain-exploring-donating-anti-air-missiles-ukraine-defence-minister-2022-03-09/</t>
  </si>
  <si>
    <t>https://www.thedefensepost.com/2022/03/10/uk-starstreak-missiles-ukraine/</t>
  </si>
  <si>
    <t>https://eurasiantimes.com/from-britain-with-love-uks-new-game-changing-missiles-to-ukraine-has-potential-to-turn-tables-on-belligerent-russia/</t>
  </si>
  <si>
    <t>UKM4</t>
  </si>
  <si>
    <t>Lethal weapons. "Source of Aid 1" states that the 4.1 million GBP and 25 million GBP reported in UKF1 are part of the package delivering the 6,000 defensive missiles. Thus, the source talks about providing 6,000 missiles along with "30 million pounds to support the BBC's coverage in the region and pay Ukrainian soldiers and pilots". "Source of Aid 2" also mentions the contribution to BBC and to the Ukrainian Armed Force reported in UKF1.</t>
  </si>
  <si>
    <t>defensive missile</t>
  </si>
  <si>
    <t>https://www.reuters.com/world/europe/uk-provide-6000-missiles-ukraine-new-support-2022-03-23/</t>
  </si>
  <si>
    <t>https://www.telegraph.co.uk/world-news/2022/03/24/ukraine-morning-briefing-five-developments-britain-agrees-send/</t>
  </si>
  <si>
    <t>UKM5</t>
  </si>
  <si>
    <t>Anti-tank missiles and an undisclosed number of anti-aircraft Starstreak Missiles, additional to the aid specified in UKM1, UKM2 and UKM3 (see "we are more than doubling our support with a further 6,000 missiles [...] and we are now equipping our Ukrainian friends with anti-aircraft Starstreak missiles", "Source of Aid 1"). "Source of Aid 1" mentions also the 2 million GBP in food which are part of UKH1. "Source of Aid 1" talks also about 220 million GBP in humanitarian aid, which we do not report because this flow is directed to international organizations including the UN Refugee Agency (UNHCR - 25 million GBP), the UN Office for Coordination of Humanitarian Affairs (OCHA - 20 million GBP), and the International Federation of Red Cross and Red Crescent Societies (10 million GBP). "Source of Aid 2" lists as well the 4.1 million GBP supporting the BBC World Service and the 25 million GBP directed to the Ukrainian Military, reported in UKF4. The 4 million items of medical equipment are reported in UKH1. Finally, the 1 million GBP mentioned at the end of "Source of Aid 2" is directed to the court of Hague and, hence, is not included in our dataset.</t>
  </si>
  <si>
    <t>missile (including NLAWs and Javelin anti-tank weapons)</t>
  </si>
  <si>
    <t>https://www.gov.uk/government/speeches/ukraine-foreign-secretary-statement-to-parliament-28-march-2022</t>
  </si>
  <si>
    <t>https://www.gov.uk/government/news/pm-announces-major-new-military-support-package-for-ukraine-24-march-2022</t>
  </si>
  <si>
    <t>https://www.forces.net/technology/weapons-and-kit/latest-military-aid-being-sent-ukraine-west</t>
  </si>
  <si>
    <t>anti-aircraft Starstreak missile</t>
  </si>
  <si>
    <t>Undisclosed</t>
  </si>
  <si>
    <t>UKM6</t>
  </si>
  <si>
    <t xml:space="preserve">100 million GBP package of weapons and equipment. This package comes in addition to the so far committed 350 million GBP military assistance (identifiers UKM1 - UKM4) and 400 million GBP humanitarian assistance (identifiers UKH1 - UKH4). We do not include in our dataset the 1.5 billion GBP collected through the first Donor Conference, since this sum represents assistance provided by the international community and not only by the UK itself. According to "Source of delivery", "more than 200" Javelins have been sent. In order to quantify the value, we report 201 delivered Javelins. </t>
  </si>
  <si>
    <t>https://www.gov.uk/government/news/uk-to-bolster-defensive-aid-to-ukraine-with-new-100m-package</t>
  </si>
  <si>
    <t>https://www.gov.uk/government/speeches/pm-opening-remarks-at-press-conference-with-german-chancellor-olaf-scholz-8-april-2022</t>
  </si>
  <si>
    <t>https://www.gov.uk/government/news/prime-minister-pledges-uks-unwavering-support-to-ukraine-on-visit-to-kyiv-9-april-2022</t>
  </si>
  <si>
    <t>https://www.gov.uk/government/news/uk-to-send-scores-of-artillery-guns-and-hundreds-of-drones-to-ukraine</t>
  </si>
  <si>
    <t>loitering munition</t>
  </si>
  <si>
    <t>UKM7</t>
  </si>
  <si>
    <t>UK pledged to deliver armoured vehicles and new anti-ship missile systems, in addition to the 100 million GBP offered on April 8 (UKM6). The 500 million GBP through the World Bank is reported in UKF2. However, we could not find any information on the destination and nature of the previously disbursed 394 million GBP. Hence, we do not include them. Source of aid 3 provides information regarding the armoured vehicles that are going to be sent. These are 80 Protected Patrol Vehicles, 35 Spartan Reconnaissance vehicles, and an unknown amount of Samaritan ambulances. Still, since a total of 120 vehicles were to be provided, approximately 5 Samaritan ambulances were committed.</t>
  </si>
  <si>
    <t>Mastiff 6x6, Wolfhound and Husky armoured vehicle</t>
  </si>
  <si>
    <t>https://edition.cnn.com/2022/04/09/europe/ukraine-uk-boris-johnson-intl-gbr/index.html</t>
  </si>
  <si>
    <t>anti-ship missile system</t>
  </si>
  <si>
    <t>FV104 Samaritan armoured ambulance</t>
  </si>
  <si>
    <t>https://www.forces.net/ukraine/uk/what-armoured-vehicles-are-uk-sending-ukraine</t>
  </si>
  <si>
    <t>FV103 Spartan</t>
  </si>
  <si>
    <t>UKM8</t>
  </si>
  <si>
    <t>Shipment of a small undisclosed amount of Stromer armoured vehicles. "Source of aid 2" reveals the number of vehicles.</t>
  </si>
  <si>
    <t>Stormer armoured vehicle with Starstreak anti-air missile launchers</t>
  </si>
  <si>
    <t>https://www.reuters.com/business/aerospace-defense/britain-send-stormer-armoured-vehicles-ukraine-2022-04-25/</t>
  </si>
  <si>
    <t>UKM9</t>
  </si>
  <si>
    <t>Military aid amounting to 1.3 billion GBP in total, which includes, among other equipment, the 300 million GBP worth military kit announced on May 5. This comes on top of the previous commitments worth 1.5 billion GBP ("Source of Aid 1"), which include the humanitarian aid reported in our dataset, assistance directed to international organizations not explicitly active inside Ukraine and thus not included, and the loan of 730 million GBP committed through the World Bank (see UKF5). We reported 2000 units of delivered devices, since the "Source of delivery" reports "thousands" of units sent. We also reported "200" units of Brimstone-1 missile as sent, since "Source of delivery" reports "hundreds".  Besides the weapons, the Prime Minister has offered to launch a major training operation for Ukrainian forces, with the potential to train up to 10,000 soldiers every 120 days.</t>
  </si>
  <si>
    <t>weapon locating radar system</t>
  </si>
  <si>
    <t>https://www.gbnews.uk/news/uk-pledges-13-billion-in-support-for-ukraines-fight-against-putins-russia/288926</t>
  </si>
  <si>
    <t>https://inews.co.uk/news/brimstone-missile-what-uk-plans-long-range-weapons-ukraine-how-work-explained-1607595</t>
  </si>
  <si>
    <t xml:space="preserve">https://www.bbc.com/news/world-europe-61482305 </t>
  </si>
  <si>
    <t>heavy transport drone</t>
  </si>
  <si>
    <t>dozens</t>
  </si>
  <si>
    <t>artillery round</t>
  </si>
  <si>
    <t>GPS jamming equipment</t>
  </si>
  <si>
    <t>Brimstone-1 missile</t>
  </si>
  <si>
    <t>https://www.gov.uk/government/news/uk-to-gift-multiple-launch-rocket-systems-to-ukraine</t>
  </si>
  <si>
    <t>https://www.defense.gov/News/Releases/Release/Article/3064556/joint-statement-by-the-united-states-department-of-defense-the-ministry-of-defe/</t>
  </si>
  <si>
    <t>https://www.gov.uk/government/news/uk-to-give-more-multiple-launch-rocket-systems-and-guided-missiles-to-ukraine</t>
  </si>
  <si>
    <t>M31A1 munition</t>
  </si>
  <si>
    <t>until 6/17/2022</t>
  </si>
  <si>
    <t>Military aid amounting to 1.3 billion GBP in total, which includes, among other equipment, the 300 million GBP worth military kit announced on May 5. This comes on top of the previous commitments worth 1.5 billion GBP ("Source of Aid 1"), which include the humanitarian aid reported in our dataset, assistance directed to international organizations not explicitly active inside Ukraine and thus not included, and the loan of 730 million GBP committed through the World Bank (see UKF5). We reported 2000 units of delivered devices, since the "Source of delivery" reports "thousands" of units sent. We also reported "200" units of Brimstone-1 missile as sent, since "Source of delivery" reports "hundreds".  Besides the weapons, the Prime Minister has offered to launch a major training operation for Ukrainian forces, with the potential to train up to 10,000 soldiers every 120 days. The number of M109 155mm howitzers was corrected using the recent infromation from the UK official statistics (Source of aid 3).</t>
  </si>
  <si>
    <t>https://www.gov.uk/government/news/uk-to-offer-major-training-programme-for-ukrainian-forces-as-prime-minister-hails-their-victorious-determination</t>
  </si>
  <si>
    <t>https://gagadget.com/en/138343-the-uk-bought-and-repaired-more-than-20-m109-self-propelled-guns-now-they-are-being-sent-to-ukraine/</t>
  </si>
  <si>
    <t>https://breakingdefense.com/2022/11/uk-delays-defense-spending-increase-raising-fears-3-gdp-target-will-be-axed/</t>
  </si>
  <si>
    <t>UKM10</t>
  </si>
  <si>
    <t>Additional pledge of 1 billion GBP in military support to Ukraine, announced on the final day of the NATO Summit. The money comes from "underspends" plus £95 million from the Welsh and Scottish governments' budgets. "Source of aid 2" reveals what this donation was dedicated for. The number of M119 105mm howitzers was corrected using the recent infromation from the UK official statistics (Source of aid 3).</t>
  </si>
  <si>
    <t>M119 105mm howitzer</t>
  </si>
  <si>
    <t xml:space="preserve">https://www.bbc.com/news/uk-61990479 </t>
  </si>
  <si>
    <t xml:space="preserve"> https://www.gov.uk/government/news/uk-to-send-scores-of-artillery-guns-and-hundreds-of-drones-to-ukraine </t>
  </si>
  <si>
    <t>https://www.bbc.com/news/uk-61990479</t>
  </si>
  <si>
    <t> https://www.gov.uk/government/news/uk-to-send-scores-of-artillery-guns-and-hundreds-of-drones-to-ukraine</t>
  </si>
  <si>
    <t>Lockheed Martin Desert Hawk</t>
  </si>
  <si>
    <t>During the international donor's conference in Copenhagen, British Defence Secretary Ben Wallace announced that 250 GBR million out of 1 GBR billion would go to the IFU, a flexible low-bureaucracy fund, which will be used to provide military equipment and other support to the Armed Forces of Ukraine (AFU). Other sources specify that this part of the package will include multiple-launch rocket systems and precision-guided M31A1 missiles. Since Britain had committed M270 MLRs before, we assume they also did so this time.</t>
  </si>
  <si>
    <t>https://www.gov.uk/government/news/uk-and-allies-agree-expanded-international-fund-for-ukraine-support</t>
  </si>
  <si>
    <t xml:space="preserve">https://www.reuters.com/world/europe/denmark-will-contribute-additional-110-mln-euros-ukraine-pm-2022-08-11/ </t>
  </si>
  <si>
    <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t>
  </si>
  <si>
    <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t>
  </si>
  <si>
    <t xml:space="preserve">https://www.gov.uk/government/news/uk-and-allies-agree-expanded-international-fund-for-ukraine-support </t>
  </si>
  <si>
    <t>Prime Minister Boris Johnson announced during his visit to Kyiv a 54 GBR million disbursement of a 1 GBR billion package. This package consists of 850 hand-launched Black Hornet micro-drones and 1150 unspecified loitering munitions.</t>
  </si>
  <si>
    <t>https://www.gov.uk/government/news/prime-minister-tells-ukraine-they-will-win-as-he-marks-independence-day-24-august-2022</t>
  </si>
  <si>
    <t>Loitering munition</t>
  </si>
  <si>
    <t>Six autonomous minehunting vehicles will be sent to the country to help detect Russian mines in the waters off its coast.</t>
  </si>
  <si>
    <t>Unspecified undersea minehunter drones</t>
  </si>
  <si>
    <t>UKM11</t>
  </si>
  <si>
    <t>According to Ambassador Extraordinary and Plenipotentiary of Ukraine to the United Kingdom, Vadym Prystaiko, UK, is about to transfer 2 mine countermeasures vessels. The exact type stays unknown, but we take Hunt-class vessels as a proxy since the UK has them in abundance.</t>
  </si>
  <si>
    <t>Hunt-class mine countermeasures vessel</t>
  </si>
  <si>
    <t>https://www.ukrinform.net/rubric-defense/3535335-uk-to-train-10000-ukrainians-with-little-to-no-military-experience-training.html</t>
  </si>
  <si>
    <t>https://www.dw.com/uk/ukraina-rozrakhovuie-otrymaty-protyminni-korabli-vid-velykobrytanii/a-62669465</t>
  </si>
  <si>
    <t>UKM12</t>
  </si>
  <si>
    <t>The United Kingdom announced another military aid package. In the official press release, they do not state that it's part of the previous 1 GBP billion package and is referred to as a separate package, so we consider it a new one. Among other items, the UK donated 18 unspecified howitzers, which could be either 155mm or 105mm. Still, due to the fact that the UK purchased around 50 105mm howitzers in June to send to Ukraine and has sent so far only 36, we assume that these are the remaining 105mm howitzers.</t>
  </si>
  <si>
    <t>AMRAAM rockets (for NASAMS)</t>
  </si>
  <si>
    <t>https://www.gov.uk/government/news/uk-to-give-air-defence-missiles-to-help-ukraine-defend-against-rockets</t>
  </si>
  <si>
    <t>Air Defence Missile</t>
  </si>
  <si>
    <t>UKM13</t>
  </si>
  <si>
    <t>The UK will give £10 million to NATO’s Comprehensive Assistance Package for Ukraine. The funding will help to provide urgent non-lethal assistance to Ukraine, such as winter clothes, shelters, generators, fuel trucks and ambulances for the Ukrainian Army ahead of the winter.</t>
  </si>
  <si>
    <t>UKM14</t>
  </si>
  <si>
    <t>The UK is to provide 1,000 more surface to air missiles to Ukraine.</t>
  </si>
  <si>
    <t>surface to air missile</t>
  </si>
  <si>
    <t>https://www.gov.uk/government/news/uk-to-provide-1000-more-surface-to-air-missiles-to-ukraine</t>
  </si>
  <si>
    <t>UKM15</t>
  </si>
  <si>
    <t xml:space="preserve">The £50 million package of defence aid comprises 125 anti-aircraft guns and technology to counter deadly Iranian-supplied drones, including dozens of radars and anti-drone electronic warfare capability. </t>
  </si>
  <si>
    <t>anti-aircraft gun</t>
  </si>
  <si>
    <t>https://www.gov.uk/government/news/pm-announces-new-air-defence-for-ukraine-on-first-visit-to-kyiv</t>
  </si>
  <si>
    <t>UKF1</t>
  </si>
  <si>
    <t>88 million GBP to support good governance and energy independence in Ukraine.</t>
  </si>
  <si>
    <t>UKF2</t>
  </si>
  <si>
    <t>500 million GBP in loans to support Ukraine in response of Russia's aggression. We do not report in our dataset the 3.5 billion GBP committed prior to January 24, 2022.</t>
  </si>
  <si>
    <t>UKF3</t>
  </si>
  <si>
    <t>The United Kingdom has contributed 74 million GBP to the Multi donor trust fund set up by the World Bank to facilitate financial support to Ukraine. This fund is part of the emergency financing package established by the World Bank (worth a total of 723 million USD). Other countries have contributed to this emergency financing package: the Netherlands with 89 million USD, Sweden with 50 million USD, Denmark with 22 million USD, Latvia + Lithuania + Iceland with 12 million USD and Japan with 100 million USD. We report the 730 million GBP in financial guarantees through the World Bank in UKF5 and the 320 million GBP in UKF6 (both were mentioned in "Source of Aid 2").</t>
  </si>
  <si>
    <t>https://www.gov.uk/government/publications/world-bank-spring-meetings-2022-uk-governors-statement/world-bank-spring-meetings-2022-uk-governors-statement</t>
  </si>
  <si>
    <t>UKF4</t>
  </si>
  <si>
    <t>4.1 million GBP supporting the BBC World Service and 25 million GBP financial support for the Ukrainian Military. "Source of Aid 1" mentions as well that the United Kingdom has provided so far over 4,000 anti-tank weapons, this number is included in UKM1, UKM2 and UKM3. The 4 million items of medical equipment are reported in UKH1. Finally, the 1 million GBP mentioned at the end of "Source of Aid 1" is directed to the court of Hague and, hence, is not included in our dataset. "Source of Aid 2" mentions as well the 6,000 missiles reported in UKM4.</t>
  </si>
  <si>
    <t>https://www.wsj.com/livecoverage/russia-ukraine-latest-news-2022-03-24/card/u-k-to-send-extra-missiles-to-ukraine-prime-minister-says-wVycdL1VQIo91y4wGFxo</t>
  </si>
  <si>
    <t>UKF5</t>
  </si>
  <si>
    <t>World Bank lending through loan guarantees.</t>
  </si>
  <si>
    <t>UKF6</t>
  </si>
  <si>
    <t xml:space="preserve">Grant aid amounting to a total of 394 million GBP and including also the contribution of 74 million GBP to the Multi Donor Trust Fund of the Word Bank (mentioned in UKF3). Here, we subtract the 74 million USD and only report the remaining amount. We report the 730 million GBP in loan guarantees through the World Bank in UKF5. </t>
  </si>
  <si>
    <t>UKF7</t>
  </si>
  <si>
    <t xml:space="preserve">Committment of the UK from the London-based European Bank of Reconstruction and Development. It remains unclear, whether the commitment will be disbursed in form of grants or loans. The 950 million USD in loan guarantees mentioned in "Source of Aid 1" are reported in UKF5. </t>
  </si>
  <si>
    <t>https://apnews.com/article/russia-ukraine-janet-yellen-christian-lindner-91b5272f3c3381f340c6916653ddfa6a</t>
  </si>
  <si>
    <t>UKF8</t>
  </si>
  <si>
    <t>Loan guarantee by the United Kingdom  ($500 million) for Public Expenditures for Administrative Capacity Endurance in Ukraine (PEACE) Project. The project's goal is to support continued government capacity.</t>
  </si>
  <si>
    <t>https://www.kmu.gov.ua/en/news/ukraina-otrymaie-vid-svitovoho-banku-dodatkove-finansuvannia-na-5299-mln-dol-ssha-dlia-nahalnykh-potreb</t>
  </si>
  <si>
    <t>USH1</t>
  </si>
  <si>
    <t>United States</t>
  </si>
  <si>
    <t>The aid, almost equally funded by the Department of State (26 million USD) and the U.S. Agency for International Development (28 million USD) amounts to 54 million USD. No further information regarding the involved international organizations has been disclosed.</t>
  </si>
  <si>
    <t>https://www.state.gov/the-united-states-announces-additional-humanitarian-assistance-for-the-people-of-ukraine/</t>
  </si>
  <si>
    <t>https://www.usaid.gov/news-information/press-releases/mar-10-2022-united-states-announces-additional-humanitarian-assistance?msclkid=fc0f8e8dae8611ecaad8dc70eab615cc</t>
  </si>
  <si>
    <t>USH2</t>
  </si>
  <si>
    <t xml:space="preserve">The aid, funded by the U.S. Agency for International Development, will be used for humanitarian assistance for Ukrainian refugees and, in particular, to support World Food Programme’s logistics operations to move assistance into Ukraine, including to people in Kyiv. </t>
  </si>
  <si>
    <t>https://www.whitehouse.gov/briefing-room/statements-releases/2022/03/10/vice-president-kamala-harris-announces-additional-u-s-funding-to-respond-to-humanitarian-needs-in-ukraine-and-eastern-europe/</t>
  </si>
  <si>
    <t>https://www.whitehouse.gov/briefing-room/speeches-remarks/2022/03/10/corrected-remarks-by-vice-president-harris-and-president-andrzej-duda-of-poland-in-joint-press-conference/</t>
  </si>
  <si>
    <t>USH3</t>
  </si>
  <si>
    <t>3.446 billion USD for humanitarian assistance directed to Ukraine. The aid includes 2.799 billion USD for the U.S. Agency for International Development (USAID) and 647 million USD for the Economic Support Fund for Ukraine. This is part of a larger aid worth 13.603 billion USD in total, from which 6.221 billion USD are accountable to humanitarian assistance. We do not include humanitarian assistance to other countries in support of Ukrainian refugees or to international organizations that are active outside the Ukrainian territory (a total of 2.775 billion USD) as this is not direct aid to Ukraine. Also, the part of the aid package related to military assistance, included in the 13.603 billion USD and amounting to 7.181 billon USD in total, is reported in USM1. Next to the above military and humanitarian aid, we do not count the provisions for US internal affairs that are part of the 13.603 billion USD package. The USAID announcement of humanitarian aid worth 378 million USD reported in "Source of Aid 3" is included in the 3.446 billion USD.</t>
  </si>
  <si>
    <t>https://www.whitehouse.gov/briefing-room/press-briefings/2022/03/15/press-briefing-by-press-secretary-jen-psaki-march-15-2022/</t>
  </si>
  <si>
    <t>https://appropriations.house.gov/sites/democrats.appropriations.house.gov/files/Ukraine%20Supplemental%20Summary.pdf</t>
  </si>
  <si>
    <t>https://twitter.com/USAIDUkraine/status/1522237212334641152</t>
  </si>
  <si>
    <t>USH4</t>
  </si>
  <si>
    <t>Undisclosed amount of antiretroviral drugs, re-purposing of mobile HIV testing vans, and expanded support to patients and home delivery of medicines.</t>
  </si>
  <si>
    <t>https://www.whitehouse.gov/briefing-room/statements-releases/2022/03/24/fact-sheet-the-biden-administration-announces-new-humanitarian-development-and-democracy-assistance-to-ukraine-and-the-surrounding-region/</t>
  </si>
  <si>
    <t>https://americanews.news/fact-sheet-the-biden-administration-announces-new-humanitarian-development-and-democracy-assistance-11404.html</t>
  </si>
  <si>
    <t>USH5</t>
  </si>
  <si>
    <t>320 million USD to support media freedom and counter disinformation in Ukraine and neighboring countries. This is in addition to the aid porvided to refugees (which we do not include in our dataset since it is not a direct flow to Ukraine), in addition to the 1 billion humanitarian aid which the United States will be ready to provide (see identifier USH6) and in addition to the 6.1 million USD for medical equipment (see identifier USH4). We do not consider in our dataset the 11 billion USD directed to counter hunger around the world, since it is not a direct flow to Ukraine.</t>
  </si>
  <si>
    <t>USH6</t>
  </si>
  <si>
    <t>Additional humanitarian aid, announced during the G7 conference on March 24, 2022, and confirmed during the press conference of the March 29, 2022, in the White House.</t>
  </si>
  <si>
    <t>https://www.whitehouse.gov/briefing-room/press-briefings/2022/03/29/press-briefing-by-director-of-communications-kate-bedingfield/</t>
  </si>
  <si>
    <t>https://www.whitehouse.gov/briefing-room/speeches-remarks/2022/03/26/remarks-by-president-biden-on-the-united-efforts-of-the-free-world-to-support-the-people-of-ukraine/</t>
  </si>
  <si>
    <t>USH7</t>
  </si>
  <si>
    <t>Funding for Assistance</t>
  </si>
  <si>
    <t>Provision for Civilian Security Assistance.</t>
  </si>
  <si>
    <t>https://www.state.gov/100-million-in-new-u-s-civilian-security-assistance-for-ukraine/</t>
  </si>
  <si>
    <t>https://pl.usembassy.gov/civilian_security_assistance/</t>
  </si>
  <si>
    <t>USH8</t>
  </si>
  <si>
    <t>Additional Provision for Civilian Security Assistance.</t>
  </si>
  <si>
    <t>https://www.state.gov/457-5-million-in-new-u-s-civilian-security-assistance-for-ukraine/#:~:text=Since%20mid%2DDecember%202021%2C%20the,and%20State%20Border%20Guard%20Service.</t>
  </si>
  <si>
    <t>USH9</t>
  </si>
  <si>
    <t>Emergency food assistance. The aid is part of a bigger package from May 10, 2022, the Additional Ukraine Supplemental Act 2022, that provides a total amount of 4.7 billion USD in direct humanitarian assistance to Ukraine and neighboring countries (see also USH8 and USH9), financial assistance of 8.506 billion USD (see also USF4 and USF5) and military assistance of 21.1 billion USD to Ukraine and neighboring countries (see USM1 and USM5-USM7). We do not include the remaining part of the overall package signed on May 10 as it is not directly targeted at Ukraine.</t>
  </si>
  <si>
    <t>https://appropriations.house.gov/sites/democrats.appropriations.house.gov/files/Additional%20Ukraine%20Suplemental%20Appropriations%20Act%20Summary.pdf</t>
  </si>
  <si>
    <t>USH10</t>
  </si>
  <si>
    <t>Technical and regulatory support to Ukraine’s nuclear regulatory agency. The aid is part of a bigger package from May 10, 2022, the Additional Ukraine Supplemental Act 2022, that provides a total amount of 4.52 billion USD in direct humanitarian assistance to Ukraine and neighboring countries (see also USH7 and USH9), financial assistance of 8.506 billion USD (see also USF4 and USF5) and military assistance of 21.1 billion USD to Ukraine and neighboring countries (see USM1 and USM5-USM7). We do not include the remaining part of that overall package signed on May 10 as it is not directly targeted at Ukraine.</t>
  </si>
  <si>
    <t>USH11</t>
  </si>
  <si>
    <t xml:space="preserve">Global Agriculture and Food Security Program to support countries including Ukraine, weather impacts from rising food prices. The aid is part of a bigger package from May 10, 2022, the Additional Ukraine Supplemental Act 2022, that provides a total amount of 4.52 billion USD in direct humanitarian assistance to Ukraine and neighboring countries (see also USH7 and USH8), financial assistance of 8.506 billion USD (see also USF4 and USF5) and military assistance of 21.1 billion USD to Ukraine and neighboring countries (see USM1 and USM5-USM8). We do not include the remaining part of that overall package signed on May 10 since it is not directly targeted at Ukraine.
</t>
  </si>
  <si>
    <t>USM1</t>
  </si>
  <si>
    <t>Both lethal and non-lethal weapons and equipment, approved through Presidential Drawdown Authority.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According to "Source of Aid 3", the Pentagon is sending military aid on an expeditious timeline. Since the 800 million USD dollar announced on March 16 has been already delivered, we can assume that this package was delivered, too. Of the USD 11 bn drawdown limit, the US President only utilised USD 9.025 bn in FY22, which is what is reflected in R803.</t>
  </si>
  <si>
    <t>https://www.defense.gov/News/Releases/Release/Article/3007664/fact-sheet-on-us-security-assistance-for-ukraine-roll-up-as-of-april-21-2022/</t>
  </si>
  <si>
    <t>https://www.defense.gov/News/News-Stories/Article/Article/2955960/us-provided-more-than-1-billion-in-security-assistance-to-ukraine-in-past-year/</t>
  </si>
  <si>
    <t>Value is given by hand</t>
  </si>
  <si>
    <t>Equipment and, specifically, an undisclosed number of Javelin anti-tank missiles and Stinger anti-aircraft missiles, approved through Presidential Drawdown Authority. No further information regarding the amounts has been disclosed.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According to "Source of Aid 3", the Pentagon is sending military aid on an expeditious timeline. Since the 800 million USD dollar announced on March 16 has been already delivered, we can assume that this package was delivered, too. Of the USD 11 bn drawdown limit, the US President only utilised USD 9.025 bn in FY22, which is what is reflected in the total committed amount.</t>
  </si>
  <si>
    <t>Lethal and non-lethal weapons, approved through Presidential Drawdown Authority.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All items listed in this entry have been sent, therefore we report the total value given by donor instead of our own estimates in our "total monetary value delivered column). Of the USD 11 bn drawdown limit, the US President only utilised USD 9.025 bn in FY22, which is what is reflected in R803.</t>
  </si>
  <si>
    <t>https://www.thedefensepost.com/2022/04/19/us-arms-arrive-ukraine/</t>
  </si>
  <si>
    <t>Javelin</t>
  </si>
  <si>
    <t>Tactical unmanned aerial system</t>
  </si>
  <si>
    <t>grenade launcher (M320 or M203)</t>
  </si>
  <si>
    <t>M4 Carbine rifle</t>
  </si>
  <si>
    <t>pistol</t>
  </si>
  <si>
    <t>machine gun</t>
  </si>
  <si>
    <t>shotgun</t>
  </si>
  <si>
    <t>round of small arms ammunitions, grenade launchers and mortar rounds</t>
  </si>
  <si>
    <t>100 million USD in security assistance, through Presidential Drawdown Authority.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Of the USD 11 bn drawdown limit, the US President only utilised USD 9.025 bn in FY22, which is what is reflected in R803.</t>
  </si>
  <si>
    <t>https://crsreports.congress.gov/product/pdf/IF/IF12040</t>
  </si>
  <si>
    <t>https://www.npr.org/2022/05/03/1096398193/retired-colonel-on-the-rise-of-javelin-missiles-as-biden-seeks-to-aid-ukraine</t>
  </si>
  <si>
    <t>800 million USD in weapons, ammunitions and security equipment, approved through Presidential Drawdown Authority.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Of the USD 11 bn drawdown limit, the US President only utilised USD 9.025 bn in FY22, which is what is reflected in R803.</t>
  </si>
  <si>
    <t>https://www.19fortyfive.com/2022/04/switchblade-the-drone-giving-ukraine-a-big-edge-against-russia/</t>
  </si>
  <si>
    <t>https://www.aa.com.tr/en/americas/us-says-vast-majority-of-howitzers-has-arrived-in-ukraine/2581253</t>
  </si>
  <si>
    <t>AN/MPQ-64 Sentinel air surveillance radar</t>
  </si>
  <si>
    <t>Switchblade tactical unmanned aerial system</t>
  </si>
  <si>
    <t>https://defensereview.com/aevex-aerospace-phoenix-ghost-secretive-suicide-kamikaze-drone-aircraft-being-shipped-to-ukraine-to-help-fight-the-russians/</t>
  </si>
  <si>
    <t>anti-armor system</t>
  </si>
  <si>
    <t>armored high mobility multipurpose wheeled vehicle</t>
  </si>
  <si>
    <t>https://mil.in.ua/en/news/us-demonstrates-mi-17-helicopters-designated-for-ukraine/</t>
  </si>
  <si>
    <t>unmanned coastal defense vessel</t>
  </si>
  <si>
    <t>optics</t>
  </si>
  <si>
    <t>C-4 explosives and demolition equipment for obstacle clearing</t>
  </si>
  <si>
    <t>M18A1 Claymore anti-personnel munitions</t>
  </si>
  <si>
    <t>https://www.legion.org/news/255649/more-half-90-us-howitzers-bound-ukraine-now-delivered</t>
  </si>
  <si>
    <t>https://nationalinterest.org/blog/buzz/us-phoenix-ghost-drones-are-helping-ukraine-take-fight-russia-202249</t>
  </si>
  <si>
    <t>https://coffeeordie.com/m777-howitzers-ukraine/#:~:text=More%20than%20100%20M777%20howitzers,according%20to%20the%20Defense%20Department.</t>
  </si>
  <si>
    <t>Tactical vehicle to tow 155mm howitzer</t>
  </si>
  <si>
    <t>https://topwar.ru/196543-pentagon-gotovit-otpravku-na-ukrainu-esche-odnoj-partii-buksiruemyh-155-mm-gaubic-m777.html</t>
  </si>
  <si>
    <t>Phoenix Ghost tactical unmanned aerial system</t>
  </si>
  <si>
    <t>partially</t>
  </si>
  <si>
    <t>https://www.19fortyfive.com/2022/05/putin-is-mad-u-s-begins-delivering-new-phoenix-ghost-drones-to-ukraine/</t>
  </si>
  <si>
    <t>field equipment</t>
  </si>
  <si>
    <t>USM2</t>
  </si>
  <si>
    <t>Additional artillery ammunitions, radars and other equipment.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Of the USD 11 bn drawdown limit, the US President only utilised USD 9.025 bn in FY22, which is what is reflected in R803.</t>
  </si>
  <si>
    <t>https://www.whitehouse.gov/briefing-room/statements-releases/2022/05/06/statement-by-president-joe-biden-on-additional-security-assistance-to-ukraine/</t>
  </si>
  <si>
    <t>https://www.defense.gov/News/Releases/Release/Article/3023667/pentagon-press-secretary-statement-on-150-million-in-additional-security-assist/</t>
  </si>
  <si>
    <t>https://www.kyivpost.com/ukraine-politics/after-all-the-foreign-artillery-deliveries-why-is-ukraine-demanding-more-and-better-guns.html</t>
  </si>
  <si>
    <t>Electronic jamming equipment</t>
  </si>
  <si>
    <t>spare parts</t>
  </si>
  <si>
    <t>100 million USD in security assistance, through Presidential Drawdown Authority.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Of the USD 11 bn, the US President only utilised USD 9.025 bn in FY22, which is what is reflected in R803.</t>
  </si>
  <si>
    <t>https://www.defense.gov/News/News-Stories/Article/Article/3038121/additional-100-million-in-howitzers-tactical-vehicles-radars-headed-to-ukraine/source/additional-100-million-in-howitzers-tactical-vehicles-radars-headed-to-ukraine/</t>
  </si>
  <si>
    <t>https://frontnews.eu/en/news/details/31081</t>
  </si>
  <si>
    <t>700 million USD in lethal weapons and equipment, approved through Presidential Drawdown Authority on June 6.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The Additional Ukraine Supplemental Act 2022 also provides 4.52 billion USD in direct humanitarian assistance to Ukraine and neighboring countries (see also USH7-USH9), financial assistance of 8.506 billion USD (see also USF4 and USF5) and military assistance of 21.1 billion USD to Ukraine and neighboring countries (see USM1 and USM5-USM7). The Additional Ukraine Supplemental Act 2022 from May 10 follows the Ukraine Supplemental Act 2022 approved on March 15. Of the USD 11 bn drawdown limit, the US President only utilised USD 9.025 bn in FY22, which is what is reflected in R803.</t>
  </si>
  <si>
    <t>HIMARS 142 multiple rocket launcher</t>
  </si>
  <si>
    <t>https://www.defense.gov/News/Releases/Release/Article/3049472/700-million-in-additional-security-assistance-for-ukraine/</t>
  </si>
  <si>
    <t>https://www.theguardian.com/world/2022/jun/01/himars-what-are-the-advanced-rockets-us-is-sending-ukraine</t>
  </si>
  <si>
    <t>https://www.thequint.com/news/world/m142-himars-rocket-system-united-states-ukraine-russia</t>
  </si>
  <si>
    <t>https://www.nytimes.com/2022/07/01/us/politics/himars-weapons-ukraine.html#:~:text=On%20June%2023%2C%20Ukraine's%20defense,one%20for%20some%20of%20them.%E2%80%9D</t>
  </si>
  <si>
    <t>Guided Multiple Launch Rocket System round</t>
  </si>
  <si>
    <t>https://www.defensenews.com/pentagon/2022/06/01/us-will-send-himars-precision-rockets-to-ukraine/</t>
  </si>
  <si>
    <t>artillery radar</t>
  </si>
  <si>
    <t>air-surveillance radar US</t>
  </si>
  <si>
    <t>Javelin command launch unit</t>
  </si>
  <si>
    <t>anti-armor weapon</t>
  </si>
  <si>
    <t>tactical vehicle</t>
  </si>
  <si>
    <t>350 million USD in lethal weapons and equipment, approved through Presidential Drawdown Authority on June 17.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The Additional Ukraine Supplemental Act 2022 also provides 4.52 billion USD in direct humanitarian assistance to Ukraine and neighboring countries (see also USH7-USH9), financial assistance of 8.506 billion USD (see also USF4 and USF5) and military assistance of 21.1 billion USD to Ukraine and neighboring countries (see USM1 and USM5-USM7). The Additional Ukraine Supplemental Act 2022 from May 10 follows the Ukraine Supplemental Act 2022 approved on March 15. According to "Source of Aid 3", so far in FY2022, DoD has provided $950 million in security assistance to Ukraine under the Ukraine Security Assistance Initiative (USAI). This is in line with our narrative on the budgeting of the USAI. Of the USD 11 bn drawdown limit, the US President only utilised USD 9.025 bn in FY22, which is what is reflected in R803.</t>
  </si>
  <si>
    <t>https://www.defense.gov/News/Releases/Release/Article/3066864/fact-sheet-on-us-security-assistance-to-ukraine/</t>
  </si>
  <si>
    <t>https://www.cnbc.com/2022/06/15/biden-to-send-another-1-billion-in-military-aid-to-ukraine-.html</t>
  </si>
  <si>
    <t>https://www.state.gov/u-s-security-cooperation-with-ukraine/</t>
  </si>
  <si>
    <t>https://pl.usembassy.gov/1billion_assistance_ukraine/</t>
  </si>
  <si>
    <t>ammunition for HIMARS</t>
  </si>
  <si>
    <t>Tactical vehicle</t>
  </si>
  <si>
    <t>450 million USD in lethal weapons and equipment, approved through Presidential Drawdown Authority on June 23.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The Additional Ukraine Supplemental Act 2022 also provides 4.52 billion USD in direct humanitarian assistance to Ukraine and neighboring countries (see also USH7-USH9), financial assistance of 8.506 billion USD (see also USF4 and USF5) and military assistance of 21.1 billion USD to Ukraine and neighboring countries (see USM1 and USM5-USM7). The Additional Ukraine Supplemental Act 2022 from May 10 follows the Ukraine Supplemental Act 2022 approved on March 15. According to "Source of Aid 3", so far in FY2022, DoD has provided $950 million in security assistance to Ukraine under the Ukraine Security Assistance Initiative (USAI). This is in line with our narrative on the budgeting of the USAI. Of the USD 11 bn drawdown limit, the US President only utilised USD 9.025 bn in FY22, which is what is reflected in R803.</t>
  </si>
  <si>
    <t>https://www.defense.gov/News/News-Stories/Article/Article/3072692/president-authorizes-another-450-million-drawdown-to-support-ukraine/</t>
  </si>
  <si>
    <t>https://twitter.com/oleksiireznikov/status/1554076054435889152?s=20&amp;t=sxJyy3lEqeaMPa3O1ayEDw</t>
  </si>
  <si>
    <t>coastal and riverine patrol boat</t>
  </si>
  <si>
    <t xml:space="preserve">50 million USD spent in ammunition for HIMARS;, approved through Presidential Drawdown Authority on June 23.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The Additional Ukraine Supplemental Act 2022 also provides 4.52 billion USD in direct humanitarian assistance to Ukraine and neighboring countries (see also USH7-USH9), financial assistance of 8.506 billion USD (see also USF4 and USF5) and military assistance of 21.1 billion USD to Ukraine and neighboring countries (see USM1 and USM5-USM7). The Additional Ukraine Supplemental Act 2022 from May 10 follows the Ukraine Supplemental Act 2022 approved on March 15. The remaining 770 million USD of "Source of Aid 1" are reported in USM5. </t>
  </si>
  <si>
    <t>https://www.defense.gov/News/Releases/Release/Article/3081993/820-million-in-additional-security-assistance-for-ukraine/</t>
  </si>
  <si>
    <t>Fifteenth drawdown of arms and equipment from U.S. Department of Defense inventories for Ukraine’s self-defense. The aid is part of a bigger package from May 10, 2022, the Additional Ukraine Supplemental Act 2022, which provides a total amount of 4.52 billion USD in direct humanitarian assistance to Ukraine and neighboring countries (see also USH7-USH9), financial assistance of 8.506 billion USD (see also USF4 and USF5) and military assistance of 21.1 billion USD to Ukraine and neighboring countries (see USM1 and USM5-USM7).</t>
  </si>
  <si>
    <t>https://www.state.gov/400-million-in-new-u-s-military-assistance-for-ukraine/#:~:text=The%20Ukrainian%20people%20continue%20to,as%20long%20as%20it%20takes.</t>
  </si>
  <si>
    <t xml:space="preserve">https://edition.cnn.com/2022/07/08/politics/us-ukraine-arms-shipment/index.html
</t>
  </si>
  <si>
    <t>https://www.politico.com/news/2022/07/20/austin-more-us-rocket-systems-ukraine-00046856</t>
  </si>
  <si>
    <t>demolition munition</t>
  </si>
  <si>
    <t>counter battery systems</t>
  </si>
  <si>
    <t>Sixteenth Presidential Drawdown of equipment from DoD inventories for Ukraine worth USD 175 million. Capabilities in this package include additional quantities of weapons systems and equipment. This aid was announced together with the 95 million USD, financed under the USAI Initiative (see USM5).</t>
  </si>
  <si>
    <t>https://www.defense.gov/News/Releases/Release/Article/3102984/270-million-in-additional-security-assistance-for-ukraine/</t>
  </si>
  <si>
    <t>https://www.defensenews.com/pentagon/2022/08/01/biden-to-send-ukraine-ammo-for-himars-as-kyiv-congress-push-for-more/</t>
  </si>
  <si>
    <t>Unspecified Command Post Carrier</t>
  </si>
  <si>
    <t xml:space="preserve">https://edition.cnn.com/2022/07/08/politics/us-ukraine-arms-shipment/index.html
</t>
  </si>
  <si>
    <t>Seventeenth Presidential Drawdown of up to USD 550 million in arms and equipment from U.S. Department of Defense (DoD) inventories for Ukraine’s self-defense.</t>
  </si>
  <si>
    <t>https://www.state.gov/biden-harris-administration-announces-550-million-in-new-u-s-military-assistance-for-ukraine/</t>
  </si>
  <si>
    <t>https://twitter.com/SecDef/status/1554197040904785921</t>
  </si>
  <si>
    <t>Eighteenth Presidential Drawdown of up to USD 1 billion in arms and equipment from U.S. Department of Defense (DoD) inventories for Ukraine’s self-defense.</t>
  </si>
  <si>
    <t xml:space="preserve">https://www.defense.gov/News/Releases/Release/Article/3120059/1-billion-in-additional-security-assistance-for-ukraine/ </t>
  </si>
  <si>
    <t>120mm mortar system</t>
  </si>
  <si>
    <t>120mm mortar ammunition</t>
  </si>
  <si>
    <t>munitions for NASAMS</t>
  </si>
  <si>
    <t>armored medical treatment vehicles</t>
  </si>
  <si>
    <t>C-4 explosives, demolition munitions, and demolition equipment</t>
  </si>
  <si>
    <t>Medical supplies and other equipment</t>
  </si>
  <si>
    <t>Nighteenth Presidential Drawdown of up to USD 775 million in arms and equipment from U.S. Department of Defense (DoD) inventories for Ukraine’s self-defense.</t>
  </si>
  <si>
    <t>https://www.defense.gov/News/Releases/Release/Article/3134457/775-million-in-additional-security-assistance-for-ukraine/</t>
  </si>
  <si>
    <t>105mm howitzer</t>
  </si>
  <si>
    <t>105mm artillery round</t>
  </si>
  <si>
    <t>Scan Eagle Unmanned Aerial Systems</t>
  </si>
  <si>
    <t>MaxxPro Mine Resistant Ambush Protected Vehicles</t>
  </si>
  <si>
    <t>High-speed Anti-radiation missiles</t>
  </si>
  <si>
    <t>Armored high mobility multipurpose wheeled vehicle</t>
  </si>
  <si>
    <t>Tube-Launched, optically-Tracked, Wire-Guided (TOW) missiles</t>
  </si>
  <si>
    <t>Javelin anti-armor systems</t>
  </si>
  <si>
    <t>anti-armor rounds</t>
  </si>
  <si>
    <t>Mine clearing equipment</t>
  </si>
  <si>
    <t>Demolition munition</t>
  </si>
  <si>
    <t>Tactical secure communications system</t>
  </si>
  <si>
    <t xml:space="preserve">https://www.defense.gov/News/Releases/Release/Article/3134457/775-million-in-additional-security-assistance-for-ukraine/ </t>
  </si>
  <si>
    <t>Laser rangefinder</t>
  </si>
  <si>
    <t>Twentieth Presidential Drawdown of up to USD 675 million in arms and equipment from U.S. Department of Defense (DoD) inventories for Ukraine’s self-defense.</t>
  </si>
  <si>
    <t>https://www.defense.gov/News/Releases/Release/Article/3152071/675-million-in-additional-security-assistance-for-ukraine/</t>
  </si>
  <si>
    <t>Armored High Mobility Multipurpose Wheeled Vehicle</t>
  </si>
  <si>
    <t>rounds of small arms ammunition</t>
  </si>
  <si>
    <t>155mm rounds of Remote Anti-Armor Mine (RAAM) Systems</t>
  </si>
  <si>
    <t>grenade launchers and small arms</t>
  </si>
  <si>
    <t>Other field equipment</t>
  </si>
  <si>
    <t>Twentyfirst Presidential Drawdown of up to USD 600 million in arms and equipment from U.S. Department of Defense (DoD) inventories for Ukraine’s self-defense.</t>
  </si>
  <si>
    <t>https://www.defense.gov/News/Releases/Release/Article/3160503/600-million-in-additional-security-assistance-for-ukraine/</t>
  </si>
  <si>
    <t>150mm artillery round</t>
  </si>
  <si>
    <t>counter artillery radar</t>
  </si>
  <si>
    <t>Counter-Unmanned Aerial System</t>
  </si>
  <si>
    <t>Small arms and ammunition</t>
  </si>
  <si>
    <t>Cold weather gear</t>
  </si>
  <si>
    <t>USM3</t>
  </si>
  <si>
    <t xml:space="preserve">650 million USD to the Foreign Military Financing Program of the US, which will provide grants or financial loans to Ukraine or NATO allies for the purchase of weapons and defense equipment made in US. Here, we report the purchase of 165 million USD in non standard ammuniton. Upcoming Purchases financed under the Foreign Military Financing Program and made after May 21 are reported in USM6. According to new sources (Source of Aid 3), only USD 322 million of the FMF FY2022 package were obligated for Ukraine. We therefore record this amount as the rest of the budget can no longer be accessed as of October 2022. </t>
  </si>
  <si>
    <t>152 mm round for 2A36 Giatsint</t>
  </si>
  <si>
    <t>https://www.dsca.mil/press-media/major-arms-sales/ukraine-non-standard-ammunition</t>
  </si>
  <si>
    <t>152 mm round for D-20 cannon</t>
  </si>
  <si>
    <t>https://crsreports.congress.gov/product/pdf/IF/IF12041</t>
  </si>
  <si>
    <t>VOG-17 automatic grenade launcher AGS-17</t>
  </si>
  <si>
    <t>https://crsreports.congress.gov/product/pdf/IF/IF12042</t>
  </si>
  <si>
    <t>122 mm mortar round (non-NATO)</t>
  </si>
  <si>
    <t>https://crsreports.congress.gov/product/pdf/IF/IF12043</t>
  </si>
  <si>
    <t>122 mm round for 2S1 Gvozdika</t>
  </si>
  <si>
    <t>https://crsreports.congress.gov/product/pdf/IF/IF12044</t>
  </si>
  <si>
    <t>BM-21 GRAD Rocket</t>
  </si>
  <si>
    <t>https://crsreports.congress.gov/product/pdf/IF/IF12045</t>
  </si>
  <si>
    <t>300 mm round/rocket for MLRS "Smerch"</t>
  </si>
  <si>
    <t>https://crsreports.congress.gov/product/pdf/IF/IF12046</t>
  </si>
  <si>
    <t>VOG-25 grenade for under barrel grenade launcher GP-25</t>
  </si>
  <si>
    <t>https://crsreports.congress.gov/product/pdf/IF/IF12047</t>
  </si>
  <si>
    <t>82 mm mortar round</t>
  </si>
  <si>
    <t>https://crsreports.congress.gov/product/pdf/IF/IF12048</t>
  </si>
  <si>
    <t>125 mm HE ammunition for T-72</t>
  </si>
  <si>
    <t>https://crsreports.congress.gov/product/pdf/IF/IF12049</t>
  </si>
  <si>
    <t>152 mm round for 2A65 Msta</t>
  </si>
  <si>
    <t>https://crsreports.congress.gov/product/pdf/IF/IF12050</t>
  </si>
  <si>
    <t>USM4</t>
  </si>
  <si>
    <t xml:space="preserve">300 million USD in security assistance. Unlike Presidential Drawdowns, USAI is an authority under which the U.S. procures capabilities from industry rather than delivering equipment that is drawn down from DoD stocks. This announcement represents the beginning of a contracting process to provide new capabilities to Ukraine’s Armed Forces. The aid includes equipment listed in the column "Item". </t>
  </si>
  <si>
    <t>laser-guided rocket system</t>
  </si>
  <si>
    <t>https://www.defense.gov/News/Releases/Release/Article/2987119/defense-department-announces-300-million-in-additional-assistance-for-ukraine/#:~:text=Through%20USAI%2C%20DoD%20will%20provide,repel%20Russia's%20war%20of%20choice</t>
  </si>
  <si>
    <t>https://www.whitehouse.gov/briefing-room/press-briefings/2022/04/04/press-briefing-by-press-secretary-jen-psaki-and-national-security-advisor-jake-sullivan/</t>
  </si>
  <si>
    <t>Switchblade Tactical Unmanned Aerial System</t>
  </si>
  <si>
    <t>Puma unmanned aerial system</t>
  </si>
  <si>
    <t>counter-unmanned aerial system</t>
  </si>
  <si>
    <t>small-to-large caliber nonstandard ammunition</t>
  </si>
  <si>
    <t>non-standard machine gun</t>
  </si>
  <si>
    <t>commercial satellite imagery service</t>
  </si>
  <si>
    <t>USM5</t>
  </si>
  <si>
    <t xml:space="preserve">Tranche of aid financed through the budget for the USAI (Ukraine Security Assistance Initiative), which provides military support, logistic and equipment to Ukraine. The aid is part of a bigger package from May 10, 2022, the Additional Ukraine Supplemental Act 2022, which provides a total amount of 4.52 billion USD in direct humanitarian assistance to Ukraine and neighboring countries (see also USH7-USH9), financial assistance of 8.506 billion USD (see also USF4 and USF5) and military assistance of 21.1 billion USD to Ukraine and neighboring countries (see USM1 and USM5-USM7). We do not include the remaining part of that overall package from May 10, 2022, since it is not directly targeted at Ukraine. As of October 2022, only USD 5.595 billion of the USD 6 billion appropriated have been used to commit in-kind military aid (according to Source of Aid 4). Since the fiscal year 2022 ended September 30, the remaining USD 405 million can no longer be accessed for commitments. We therefore report the total amount under the FY2022 USAI program as the in-kind committed military aid sum of USD 5.595 billion. </t>
  </si>
  <si>
    <t>Tranche of aid amounting to 770 USD, financed through the budget for the USAI (Ukraine Security Assistance Initiative), which provides military support, logistic and equipment to Ukraine. The aid is part of a bigger package from May 10, 2022, the Additional Ukraine Supplemental Act 2022, which provides a total amount of 4.52 billion USD in direct humanitarian assistance to Ukraine and neighboring countries (see also USH7-USH9), financial assistance of 8.506 billion USD (see also USF4 and USF5) and military assistance of 21.1 billion USD to Ukraine and neighboring countries (see USM1 and USM5-USM7). We do not include the remaining part of that overall package from May 10, 2022, since it is not directly targeted at Ukraine. The remaining 50 million USD are reported in USM1.</t>
  </si>
  <si>
    <t>National Advanced Surface-to-Air Missile System (NASAMS)</t>
  </si>
  <si>
    <t>https://www.mil.gov.ua/en/news/2022/11/15/russia-is-told-about-peace-it-responds-with-missiles-address-by-the-president-of-ukraine/</t>
  </si>
  <si>
    <t>Tranche of aid amounting to USD 95 million financed through the budger for USAI (Ukraine Security Assistance Initiative), which provides military support, logistics and equipment to Ukraine. This package was announced together with the 175 million USD, financed under the Presidential Drawdown authority (see USM5).</t>
  </si>
  <si>
    <t>Tranche of aid amounting to USD 2.98 billion financed through the budget for USAI (Ukraine Security Assistance Initiative), which provides military support, logistics and equipment to Ukraine. It also includes funding for training, maintenance, and sustainment.</t>
  </si>
  <si>
    <t>https://www.defense.gov/News/Releases/Release/Article/3138105/nearly-3-billion-in-additional-security-assistance-for-ukraine/</t>
  </si>
  <si>
    <t>Puma Unmanned Aerial System</t>
  </si>
  <si>
    <t>support equipment for Scan Eagle UAS systems</t>
  </si>
  <si>
    <t>VAMPIRE Counter-Unmanned Aerial System</t>
  </si>
  <si>
    <t>Laser-guided rocket system</t>
  </si>
  <si>
    <t>Tranche of aid amounting to USD 1.1 billion financed through the budget for USAI (Ukraine Security Assistance Initiative), which provides military support, logistics and equipment to Ukraine. It also includes funding for training, maintenance, and sustainment.</t>
  </si>
  <si>
    <t>https://www.defense.gov/News/Releases/Release/Article/3173378/11-billion-in-additional-security-assistance-for-ukraine/</t>
  </si>
  <si>
    <t>Tactical Vehicle</t>
  </si>
  <si>
    <t>radars for Unmanned Aerial System</t>
  </si>
  <si>
    <t>multi-mission radar</t>
  </si>
  <si>
    <t>Tactical secure communications systems, surveillance systems, and optics</t>
  </si>
  <si>
    <t>Explosive ordnance disposal equipment</t>
  </si>
  <si>
    <t>Body armor</t>
  </si>
  <si>
    <t>USM6</t>
  </si>
  <si>
    <t xml:space="preserve">Additional budget for the Foreign Military Financing (FMF) program amounting to 4 billion USD in total, which will provide grants and financial loans to Ukraine and neighboring countries for the purchase of weapons and defense equipment made in US. The aid is part of a bigger package from May 10, 2022: the Additional Ukraine Supplemental Act 2022, that provides a total amount of 4.52 billion USD in direct humanitarian assistance to Ukraine and neighboring countries (see also USH7-USH9), financial assistance of 8.506 billion USD (see also USF4 and USF5) and military assistance of 21.1 billion USD to Ukraine and neighboring countries (see USM1 and USM5-USM7 ). We do not include the remaining part of that overall package from May 10, 2022, since it is not directly targeted to Ukraine. In USM6, we list the purchases financed with the Program (similar to USM2). At first, we report the purchase of boats and radars announced on June 17, whose monetary value given by the source amounts to 600 million USD (See "Source of Aid 2"). According to source of aid 3, on 8 Sep 2022. the US made available USD 2.2 billion in FMF for Ukraine and other countries. The USD 2.2 billion is being utilised from the USD 4 billion FMF announced on 10 May. According to new sources from October 2022 (Source of Aid 4), until October 2022 only USD 1 billion from the initial USD 4 billion had been used. Since the Fiscal Year 2022 ended September 30, 2022, the remaining USD 3 billion can no longer be accessed, which is why we report USD 1 billion in this entry. </t>
  </si>
  <si>
    <t>Mark VI Patrol boat</t>
  </si>
  <si>
    <t>https://www.dsca.mil/press-media/major-arms-sales/ukraine-mark-vi-patrol-boats</t>
  </si>
  <si>
    <t xml:space="preserve">https://www.state.gov/2-8-billion-in-additional-u-s-military-assistance-for-ukraine-and-its-neighbors/ </t>
  </si>
  <si>
    <t>MSI Seahawk A2 gun system</t>
  </si>
  <si>
    <t>Electro-Optics-Infrared Radar (FLIR)</t>
  </si>
  <si>
    <t>Long Range Acoustic Device (LRAD) 5km loudspeaker system</t>
  </si>
  <si>
    <t>Identification Friend and Foe system</t>
  </si>
  <si>
    <t>MK44 cannon</t>
  </si>
  <si>
    <t>USM9</t>
  </si>
  <si>
    <t>Military Assistance authorizing the President to direct the drawdown of up to $3.7 billion worth of defense articles from U.S. stocks and defense services to provide additional essential support to Ukraine’s armed forces. The aid is part of a bigger package from Sep 30, 2022, the Ukraine Supplemental Act 2023, that provides a total amount of financial assistance of 4.5 billion USD (see also USF6) and military assistance of 6.7 billion USD to Ukraine (see USM9-USM10). We do not include the remaining part of that overall package from Sep 30, 2022, since it is not directly targeted at Ukraine.</t>
  </si>
  <si>
    <t>https://appropriations.house.gov/sites/democrats.appropriations.house.gov/files/Summary%20Continuing%20Appropriations%20and%20Ukraine%20Supplemental%20Appropriations%20Act%202023.pdf</t>
  </si>
  <si>
    <t xml:space="preserve">22nd presidential drawdown amounting to USD 625 million for the provision of various military weapons. </t>
  </si>
  <si>
    <t>https://ua.usembassy.gov/625-million-in-additional-u-s-military-assistance-for-ukraine/#:~:text=OCTOBER%204%2C%202022&amp;text=Pursuant%20to%20a%20delegation%20of,U.S.%20Department%20of%20Defense%20inventories.</t>
  </si>
  <si>
    <t>https://www.whitehouse.gov/briefing-room/press-briefings/2022/10/04/press-briefing-by-press-secretary-karine-jean-pierre-october-4-2022/</t>
  </si>
  <si>
    <t xml:space="preserve">23rd presidential drawdown amounting to USD 725 million for the provision of various military weapons. </t>
  </si>
  <si>
    <t>https://www.defense.gov/News/Releases/Release/Article/3189571/725-million-in-additional-security-assistance-for-ukraine/</t>
  </si>
  <si>
    <t>precision-guided 155mm artillery round</t>
  </si>
  <si>
    <t>rounds of Remote Anti-Armor Mine (RAAM) Systems</t>
  </si>
  <si>
    <t xml:space="preserve">24th presidential drawdown amounting to USD 275 million for the provision of various military weapons. </t>
  </si>
  <si>
    <t>https://www.defense.gov/News/Releases/Release/Article/3203509/275-million-in-additional-presidential-drawdown-security-assistance-for-ukraine/</t>
  </si>
  <si>
    <t>satellite communications antenna</t>
  </si>
  <si>
    <t xml:space="preserve">25th presidential drawdown amounting to USD 400 million for the provision of various military weapons. </t>
  </si>
  <si>
    <t>missiles for HAWK air defense system</t>
  </si>
  <si>
    <t>https://www.defense.gov/News/Releases/Release/Article/3216287/400-million-in-additional-assistance-for-ukraine/</t>
  </si>
  <si>
    <t>Avenger air defense system</t>
  </si>
  <si>
    <t>USM10</t>
  </si>
  <si>
    <t>USD 3 billion under Ukraine Security Assistance Initiative (USAI) to provide assistance, including training, equipment, weapons, logistics support, supplies and services, salaries and stipends, sustainment, and intelligence support to the military and national security forces of Ukraine. The aid is part of a bigger package from Sep 30, 2022, the Ukraine Supplemental Act 2023, that provides a total amount of financial assistance of 4.5 billion USD (see also USF6) and military assistance of 6.7 billion USD to Ukraine (see USM9-USM10). We do not include the remaining part of that overall package from Sep 30, 2022, since it is not directly targeted at Ukraine.</t>
  </si>
  <si>
    <t>Tranche of aid amounting to USD 400 million financed through the USAI framework. Next to the listed weapons and equipment it also contains funding for refurbishing 250 M117 Armored security vehicles as well as funding for training, maintenance, and sustainment.</t>
  </si>
  <si>
    <t>https://www.defense.gov/News/Releases/Release/Article/3210297/400-million-in-additional-security-assistance-for-ukraine/</t>
  </si>
  <si>
    <t>Coastal and riverine patrol boat</t>
  </si>
  <si>
    <t>USF1</t>
  </si>
  <si>
    <t>Loan guarantee of up to 1 billion USD. We do not take into account the military assistance amounting to 650 million USD (from "Source of Aid 1") since it was committed before January 24, 2022.</t>
  </si>
  <si>
    <t>https://www.whitehouse.gov/briefing-room/speeches-remarks/2022/02/18/remarks-by-president-biden-providing-an-update-on-russia-and-ukraine-2/</t>
  </si>
  <si>
    <t>USF2</t>
  </si>
  <si>
    <t xml:space="preserve">500 million USD of direct budgetary aid, to pay salaries and maintain government services. As stated by "Source of Aid 2", the money will go to the World Bank's Multi-Donor Trust Fund for Ukraine (MDTF). </t>
  </si>
  <si>
    <t>https://www.whitehouse.gov/briefing-room/statements-releases/2022/03/30/readout-of-president-bidens-call-with-president-zelenskyy-of-ukraine-8/</t>
  </si>
  <si>
    <t>https://www.usaid.gov/news-information/press-releases/apr-20-2022-united-states-contributes-500-million-world-bank-multi-donor-trust</t>
  </si>
  <si>
    <t>https://www.whitehouse.gov/briefing-room/statements-releases/2022/03/30/press-briefing-by-communications-director-kate-bedingfield/</t>
  </si>
  <si>
    <t>USF3</t>
  </si>
  <si>
    <t>500 million USD loan for direct economic assistance.</t>
  </si>
  <si>
    <t>https://www.whitehouse.gov/briefing-room/speeches-remarks/2022/04/21/remarks-by-president-biden-providing-an-update-on-russia-and-ukraine-3/</t>
  </si>
  <si>
    <t>https://www.whitehouse.gov/briefing-room/statements-releases/2022/04/21/readout-of-president-bidens-meeting-with-prime-minister-of-ukraine-denys-shmyhal/</t>
  </si>
  <si>
    <t>USF4</t>
  </si>
  <si>
    <t>Economic Support Fund to respond to emergent needs in Ukraine, to provide needed budget support to assist with Ukraine’s continuity of government. The fund can be all disbursed in grants. Out of a total of 8.776 billion USD, we do not count the 760 million USD donated to face global food insecurity. According to "Source of Aid 2", 5 billion USD of the total 8.006 billion US will be spent to support Ukraine's economy in cooperation with the European Union. The aid is part of a bigger package from May 10, 2022, the Additional Ukraine Supplemental Act 2022, that provides a total amount of 4.52 billion USD in direct humanitarian assistance to Ukraine and neighboring countries (see also USH7-USH9), financial assistance of 8.506 billion USD (see also USF5) and military assistance of 21.1 billion USD to Ukraine and neighboring countries (see USM1 and USM5-USM7). We do not include the remaining part of that overall package from May 10, 2022, since it is not directly targeted at Ukraine.</t>
  </si>
  <si>
    <t>https://www.ft.com/content/8d3a4174-6bcb-4867-a83e-47a258a918d0</t>
  </si>
  <si>
    <t>USF5</t>
  </si>
  <si>
    <t>Support for the specialized facilities of the European Bank for Reconstruction and Development to support Ukraine’s economic and energy needs. The aid is part of a bigger package from May 10, 2022, the Additional Ukraine Supplemental Act 2022, which provides a total amount of 4.52 billion USD in direct humanitarian assistance to Ukraine and neighboring countries (see also USH7-USH9), financial assistance of 8.506 billion USD (see also USF4) and military assistance of 21.1 billion USD to Ukraine and neighboring countries (see USM1 and USM5-USM7). We do not include the remaining part of that overall package from May 10, 2022, since it is not directly targeted to Ukraine.</t>
  </si>
  <si>
    <t>USF6</t>
  </si>
  <si>
    <t>Funding for nonproliferation, anti-terrorism, demining and related programs to protect against chemical, biological, radiological, and nuclear incidents and expand demining programs in Ukraine. The aid is part of a bigger package aprroved on May 21, 2022, the Additional Ukraine Supplemental Act 2022, which provides a total amount of 4.52 billion USD in direct humanitarian assistance to Ukraine and neighboring countries (see also USH7-USH9), financial assistance of 8.506 billion USD (see also USF4 and USF5) and military assistance of 21.1 billion USD to Ukraine and neighboring countries (see USM1 and USM5-USM7). We do not include the remaining part of that overall package from May 21, 2022, since it is not directly targeted to Ukraine.</t>
  </si>
  <si>
    <t>USF7</t>
  </si>
  <si>
    <t>USD 4.5 billion Economic Support Fund to respond to emergent needs in Ukraine, to provide needed budget support to assist with Ukraine’s continuity of government. The aid is part of a bigger package from Sep 30, 2022, the Ukraine Supplemental Act 2023, that provides a total amount of financial assistance of 4.5 billion USD (see also USF5) and military assistance of 6.7 billion USD to Ukraine (see USM9-USM10). We do not include the remaining part of that overall package from Sep 30, 2022, since it is not directly targeted at Ukraine.</t>
  </si>
  <si>
    <t>https://appropriations.house.gov/sites/democrats.appropriations.house.gov/files /Summary%20Continuing%20Appropriations%20and%20Ukraine%20Supplemental%20Appropriations%20Act%202023.pdf</t>
  </si>
  <si>
    <t>EUH1</t>
  </si>
  <si>
    <t>EU (Commission and Council)</t>
  </si>
  <si>
    <t xml:space="preserve">The EU Civil Protection Mechanism is an instrument aiming to improve the prevention, preparedness, and response to disasters. Since the EU Civil Protection Mechanism is not a direct contribution to Ukraine, meaning that it doesn't provide the resources constituting the aid, we do not report it in "Bilateral Aid". This choice was made despite the fact that the EU Civil Protection Mechanism was established by the European Commission. </t>
  </si>
  <si>
    <t>https://ec.europa.eu/info/strategy/priorities-2019-2024/stronger-europe-world/eu-solidarity-ukraine/eu-assistance-ukraine_en#eu-civil-protection-mechanism</t>
  </si>
  <si>
    <t>EUH2</t>
  </si>
  <si>
    <t xml:space="preserve">The entire announced support package for Ukraine and its neighboring countries is 500 million EUR, according to "Source of Aid 1". Since this sum is for refugees outside of Ukraine as well, we need to disentangle it into the disclosed sums and purposes to attribute the correct amount. "Source of Aid 2" mentions that over 93 million EUR have been made available so far for humanitarian aid. From these 93 million EUR, the Commission states that 85 million EUR will be given to Ukraine directly as Humanitarian Aid to help provide food, water, shelter and other basic needs to the people affected by the war, while 8 million EUR were devoted to Moldova (which we dont count since it not direct bilateral aid to Ukraine). Moreover, "Source of Aid 2" mentions that 330 million EUR are contributed via an Emergency Support Program for the people in Ukraine. It helps dealing with physical and psychological trauma and provides goods for basic needs as well as access to healthcare and education. Hence, we can disentangle the total sum of 500 million EUR for Ukraine and neighboring countries such that we attribute 415 million EUR out of the 500 million EUR total package (330 million + 85 million EUR) for Ukraine. The 8 million EUR for Moldova are not counted. </t>
  </si>
  <si>
    <t>https://ec.europa.eu/commission/presscorner/detail/en/speech_22_1483</t>
  </si>
  <si>
    <t>https://ec.europa.eu/info/strategy/priorities-2019-2024/stronger-europe-world/eu-solidarity-ukraine/eu-assistance-ukraine_en</t>
  </si>
  <si>
    <t>EUH3</t>
  </si>
  <si>
    <t>As a partner of the "Stand Up for the Ukraine" Event, the EU announced the provision of additional 1 billion EUR on April 9, 2022. According to "Source of Aid 1", only 600 million EUR out of the 1 billion EUR are devoted to Ukraine. "Source of Aid 2" admits the total amount of 1 billion EUR, pledged by the EU Commission.</t>
  </si>
  <si>
    <t>https://ec.europa.eu/commission/presscorner/detail/en/IP_22_2382</t>
  </si>
  <si>
    <t>EUH4</t>
  </si>
  <si>
    <t>The EU pledged an additional 200 million EUR for internally displaced people during the International Donor's Conference on May 5, 2022 (see "Source of Aid 1", 37:00).</t>
  </si>
  <si>
    <t>https://euneighbourseast.eu/news-and-stories/latest-news/ukraine-eu-announces-new-aid-worth-e200-million-for-displaced-people/#:~:text=Ukraine%3A%20EU%20announces%20new%20aid%20worth%20%E2%82%AC200%20million,Donors%E2%80%99%20Conference%20convened%20jointly%20by%20Poland%20and%20Sweden.?msclkid=2ab08ff4cf8811ec87c245022077fc10</t>
  </si>
  <si>
    <t>EUH5</t>
  </si>
  <si>
    <t xml:space="preserve">The EU allocated an additional 205 million EUR in humanitarian assistance for Ukraine, according to commissioner for Crisis Management, Janez Lenarčič </t>
  </si>
  <si>
    <t>https://ec.europa.eu/commission/presscorner/detail/en/speech_22_2807</t>
  </si>
  <si>
    <t>EUH6</t>
  </si>
  <si>
    <t>European Commission will provide an additional 175 EUR million in humanitarian assistance to support those most in need in Ukraine and Moldova. 150 EUR million will go directly to Ukraine.</t>
  </si>
  <si>
    <t>https://ec.europa.eu/commission/presscorner/detail/es/ip_22_6263</t>
  </si>
  <si>
    <t>EUF1</t>
  </si>
  <si>
    <t>A new emergency Macro-Financial Assistance amounting to 1.2 billion EUR was adopted by the Commission on February 1, 2022 (to be disbursed in two equal tranches á 600 million EUR). We don't report the aid provided by the MFA in the context of the Covid-19 pandemic, nor MFA I, MFA II, MFA III or MFA IV, because they are unrelated to Russia's aggression and are prior to January 24, 2022.</t>
  </si>
  <si>
    <t>https://ec.europa.eu/info/business-economy-euro/economic-and-fiscal-policy-coordination/international-economic-relations/enlargement-and-neighbouring-countries/neighbouring-countries-eu/neighbourhood-countries/ukraine_en</t>
  </si>
  <si>
    <t>EUF2</t>
  </si>
  <si>
    <t>In addition to its Macro-Financial Assistance, the EU offered a grant to support the budget of Ukraine, "to help state and resilience building" ("Source of Aid 1").</t>
  </si>
  <si>
    <t>https://ec.europa.eu/info/strategy/priorities-2019-2024/stronger-europe-world/eu-solidarity-ukraine/eu-assistance-ukraine_en?msclkid=23e9b3c1d14011ecaaeca792ec66a4ed</t>
  </si>
  <si>
    <t>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t>
  </si>
  <si>
    <t>EUF3</t>
  </si>
  <si>
    <t>In light of urgent financial needs of the Ukrainian government, the Commission announced to grant Ukraine additional Macro-Financial Assistance, worth up to 9 billion EUR in 2022, guaranteed by the Union budget. Furthermore, it is stated that the Member States "should" make additional guarantees. "Source of Aid 2" refers to additional 0.6 billion EUR, which reflects one tranche of the entry EUF1. According to "Source of Aid 3", in August European Commission disbursed the first 1 billion euros from this grant. Another allocation took place on September 7, when 5 EUR billion were allocated (Source of Aid 4).</t>
  </si>
  <si>
    <t>https://ec.europa.eu/commission/presscorner/detail/en/ip_22_3121</t>
  </si>
  <si>
    <t>https://twitter.com/ZelenskyyUa/status/1527221083979620352</t>
  </si>
  <si>
    <t>https://ec.europa.eu/commission/presscorner/detail/en/IP_22_4783</t>
  </si>
  <si>
    <t>.https://www.kmu.gov.ua/en/news/premier-ministr-ievrokomisiia-oholosyla-pro-vydilennia-ukraini-5-mlrd-ievro-makrofinansovoi-dopomohy</t>
  </si>
  <si>
    <t>EUF4</t>
  </si>
  <si>
    <t>A new financial aid package of up to 18 billion EUR consisting of loans. It is intended for paying wages and pensions and maintain essential public services running, such as hospitals, schools, and housing for relocated people. It will also allow Ukraine to ensure macroeconomic stability, and restore critical infrastructure destroyed by Russia in its war of aggression, such as energy infrastructure, water systems, transport networks, roads and bridges. Building on previous Macro-Financial Assistance packages, this Macro-Financial Assistance+ (MFA+) instrument offers high flexibility and very favourable terms for Ukraine, catering to the country's current situation and ensuring swift action to support the Ukrainian people.
The funds will be provided through highly concessional loans, to be repaid in the course of maximum 35 years, starting in 2033.</t>
  </si>
  <si>
    <t>https://ec.europa.eu/commission/presscorner/detail/en/ip_22_6699</t>
  </si>
  <si>
    <t>EUM1</t>
  </si>
  <si>
    <t>European Peace Facility</t>
  </si>
  <si>
    <t>The European Peace Facility (EPF) is an off-budget instrument to fund emergency assistance measures. It has a regulated annual budget. In view of the Russia-Ukraine war, the EU commission decided to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</si>
  <si>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https://www.europarl.europa.eu/RegData/etudes/ATAG/2022/729301/EPRS_ATA(2022)729301_EN.pdf</t>
  </si>
  <si>
    <t>EUM2</t>
  </si>
  <si>
    <t>The European Peace Facility (EPF) is an off-budget instrument to fund emergency assistance measures. It has a regulated annual budget. On March 23, the EU commission decided  to further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</si>
  <si>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EUM3</t>
  </si>
  <si>
    <t>The EU increased the total resources of the European Peace Facility to 1.5 billion EUR with a third tranche worth 500 million EUR.</t>
  </si>
  <si>
    <t>https://twitter.com/vonderleyen/status/1512525016910471170</t>
  </si>
  <si>
    <t>https://www.consilium.europa.eu/de/press/press-releases/2022/04/13/eu-support-to-ukraine-council-agrees-on-third-tranche-of-support-under-the-european-peace-facility-for-total-1-5-billion/</t>
  </si>
  <si>
    <t>https://tvpworld.com/59620451/eu-allocates-additional-eur-500-million-to-aid-ukraine#:~:text=The%20European%20Union%20agreed%20on%20the%20third%20tranche,of%20military%20equipment%20to%20the%20Ukrainian%20Armed%20Forces.</t>
  </si>
  <si>
    <t>EUM4</t>
  </si>
  <si>
    <t>The EU increased the total resources of the European Peace Facility to 2 billion EUR with a fourth tranche worth 500 million EUR.</t>
  </si>
  <si>
    <t>https://www.consilium.europa.eu/en/press/press-releases/2022/05/24/eu-support-to-ukraine-council-agrees-on-further-increase-of-support-under-the-european-peace-facility/</t>
  </si>
  <si>
    <t>https://www.politico.eu/article/eu-to-increase-military-support-fund-for-ukraine-2-billion/</t>
  </si>
  <si>
    <t>https://euneighbourseast.eu/news-and-stories/latest-news/council-adopts-e500-million-eu-support-to-ukraine-under-european-peace-facility/</t>
  </si>
  <si>
    <t>EUM5</t>
  </si>
  <si>
    <t>The EU increased the total resources of the European Peace Facility to 2.5 billion EUR with a fifth tranche worth 500 million EUR.</t>
  </si>
  <si>
    <t>https://www.consilium.europa.eu/en/press/press-releases/2022/07/22/european-peace-facility-eu-support-to-ukraine-increased-to-2-5-billion/</t>
  </si>
  <si>
    <t>https://www.ukrinform.net/rubric-economy/3534770-eu-announces-allocation-of-another-eur-500m-in-military-aid-to-ukraine.html</t>
  </si>
  <si>
    <t>EUM6</t>
  </si>
  <si>
    <t xml:space="preserve">The EU increased the total resources of the European Peace Facility to 3.1 billion EUR with a six tranche worth 500 million EUR and with contributions from three member states who chose to abstain from the provision of lethal equipment (which we assume is worth 100 million EUR). </t>
  </si>
  <si>
    <t>https://www.consilium.europa.eu/en/press/press-releases/2022/10/17/ukraine-council-agrees-on-further-support-under-the-european-peace-facility/</t>
  </si>
  <si>
    <t>https://www.consilium.europa.eu/en/policies/european-peace-facility/timeline-european-peace-facility/</t>
  </si>
  <si>
    <t>EIF1</t>
  </si>
  <si>
    <t>European Investment Bank</t>
  </si>
  <si>
    <t>The EIB, provided with an external lending mandate, has prepared an emergency solidarity package for Ukraine of 2 billion EUR, including the provision of 668 million EUR in immediate liquidity assistance to the Ukrainian authorities and 1.3 billion EUR of commitments made for infrastructure projects. "Source of Aid 3" speaks of initial €700 million liquidity assistance, from which we only include €668 million since this amount went to Ukraine directly. Source of Aid 3 also speaks of a €4 billion pledge during the "Stand up for Ukraine" event in April. This however is not included since the aid does not go to Ukraine.</t>
  </si>
  <si>
    <t>https://www.eib.org/en/press/all/2022-124-first-payments-under-eib-ukraine-solidarity-urgent-response-reach-ukraine-as-part-of-european-union-immediate-support-to-the-country</t>
  </si>
  <si>
    <t>https://www.eib.org/en/press/news/joint-statement-of-heads-of-international-financial-institutions-with-programs-in-ukraine-and-neighboring-countries</t>
  </si>
  <si>
    <t>https://www.eib.org/en/projects/regions/eastern-neighbours/ukraine/eib-solidarity.htm?sortColumn=StartDate&amp;sortDir=desc&amp;pageNumber=0&amp;itemPerPage=10&amp;pageable=true&amp;language=EN&amp;defaultLanguage=EN&amp;tags=ukraine-solidarity&amp;ortags=true</t>
  </si>
  <si>
    <t>EIF2</t>
  </si>
  <si>
    <t>As part of the EIB Group support to Ukraine, the EIB Institute gives humanitarian assistance of 2.5 million EUR to help the people affected by the war in Ukraine. The financing comes on top of the 668 million EUR provided as part of the package reported in EIF1.</t>
  </si>
  <si>
    <t>https://www.eib.org/en/press/news/donation-ukraine</t>
  </si>
  <si>
    <t>Donor</t>
  </si>
  <si>
    <t>Contributing Country</t>
  </si>
  <si>
    <t>Country contribution</t>
  </si>
  <si>
    <t>Currency of Country Contribution</t>
  </si>
  <si>
    <t>Item (in kind aid)</t>
  </si>
  <si>
    <t>Source of Unit Price</t>
  </si>
  <si>
    <t>Notes on Unit Price</t>
  </si>
  <si>
    <t>Value (own estimate)</t>
  </si>
  <si>
    <t>Official Source</t>
  </si>
  <si>
    <t>EBF1</t>
  </si>
  <si>
    <t>European Bank for Reconstruction and Development</t>
  </si>
  <si>
    <t>Funding to support the continuation of key government services.</t>
  </si>
  <si>
    <t>The aid consists of 2 billion EUR to support resilience and livelihoods in Ukraine and affected countries. Since we could not disentagle the aid directed to Ukraine from the aid directed to neighboring countries, we assumed upper bounds and included the package in its entirety. "Source of Aid 3" speaks of 1 billion EUR support intented to Ukraine this year, announced on April 27, 2022. This, however, is part of the initial 2 billion EUR package reported here.</t>
  </si>
  <si>
    <t>https://www.ebrd.com/news/2022/ebrd-unveils-2-billion-resilience-package-in-response-to-the-war-on-ukraine-.html</t>
  </si>
  <si>
    <t>https://www.worldbank.org/en/news/statement/2022/03/17/joint-statement-of-heads-of-international-financial-institutions-with-programs-in-ukraine-and-neighboring-countries</t>
  </si>
  <si>
    <t>https://www.ebrd.com/news/2022/ebrd-enhances-trade-finance-for-ukraine-.html</t>
  </si>
  <si>
    <t>EBF2</t>
  </si>
  <si>
    <t>The European Bank for Reconstruction and Development will commit up to €3 billion over 2022-2023 to help Ukraine’s businesses and economy keep functioning.</t>
  </si>
  <si>
    <t>https://www.ebrd.com/news/2022/ebrd-commits-up-to-3-billion-to-ukraine.html#:~:text=The%20European%20Bank%20for%20Reconstruction,businesses%20and%20economy%20keep%20functioning.</t>
  </si>
  <si>
    <t>IMF1</t>
  </si>
  <si>
    <t>IMF</t>
  </si>
  <si>
    <t>Emergency assistance disbursed under the Rapid Financing Instrument (RFI) to help meet urgent financing needs including to mitigate the economic impact of the war.</t>
  </si>
  <si>
    <t>https://www.imf.org/en/News/Articles/2022/03/17/pr2280-joint-statement-heads-ifis-programs-ukraine-neighboring-countries</t>
  </si>
  <si>
    <t>https://www.imf.org/en/About/FAQ/russia-ukraine#Q1%20What%20resources%20is%20the%20IMF%20making%20available%20to%20help%20Ukraine?</t>
  </si>
  <si>
    <t>IMF2</t>
  </si>
  <si>
    <t>Multi-donor administered account for direct financial. assistance</t>
  </si>
  <si>
    <t>The IMF set up a multi-donor administered account that allows to donate money into, which then will be transferred to Ukraine as direct financial assistance. The account is not restricted to countries and also allows international organisations or NGOs to donate into it to ensure that the money gets transferred to Ukraine safe. On April 8, 2022, Canada has proposed 1 billion CAD in their annual government budget to be donated to this vehicle.</t>
  </si>
  <si>
    <t>https://www.imf.org/en/News/Articles/2022/04/08/pr22111-imf-executive-board-approves-establishment-of-a-multi-donor-administered-account-for-ukraine</t>
  </si>
  <si>
    <t>https://www.bloomberg.com/news/articles/2022-04-08/imf-creates-new-account-to-help-ukraine-as-canada-pledges-funds</t>
  </si>
  <si>
    <t>https://english.nv.ua/nation/canada-to-send-1-billion-canadian-dollars-to-ukraine-50232696.html</t>
  </si>
  <si>
    <t>IMF3</t>
  </si>
  <si>
    <t xml:space="preserve">IMF Executive Board Approves US$ 1.3 Billion in Emergency Financing Support to Ukraine
</t>
  </si>
  <si>
    <t>https://www.imf.org/en/News/Articles/2022/10/07/pr22343-imf-approves-emergency-financing-support-to-ukraine</t>
  </si>
  <si>
    <t>RCH1</t>
  </si>
  <si>
    <t>International Federation of Red Cross and Red Crescent Societies</t>
  </si>
  <si>
    <t>Until 4/4/2022</t>
  </si>
  <si>
    <t>Delivery of over 700 tons of medical supplies, food and relief items</t>
  </si>
  <si>
    <t>The ICRC has delivered over 700 tons of medical supplies, food and relief items to Ukraine since the start of the Russian invasion. As we cannot disentangle how much food, medical supplies and relief items have been sent respectively, and since the value of donation as given by the donor is also unknown, we cannot evaluate the total amount donated.</t>
  </si>
  <si>
    <t>https://www.icrc.org/en/document/what-about-our-action-ukraine</t>
  </si>
  <si>
    <t>UNF1</t>
  </si>
  <si>
    <t>United Nations</t>
  </si>
  <si>
    <t>Fund</t>
  </si>
  <si>
    <t>The UN provides money through the Central Emergency Response Fund (CERF) for Humanitarian Assistance. "Source of Aid 1" cites the 20 million USD provided by the CERF and cited in UNF2.</t>
  </si>
  <si>
    <t>https://reliefweb.int/report/ukraine/ukraine-flash-appeal-march-may-2022-enukru</t>
  </si>
  <si>
    <t>UNF2</t>
  </si>
  <si>
    <t xml:space="preserve">The assistance consists of a grant for the Central Emergency Response Fund (CERF), additional to the 20 million EUR allocated by the CERF on February 24, 2022, and reported in UNF1. </t>
  </si>
  <si>
    <t>UNF3</t>
  </si>
  <si>
    <t>The aid is provided by the UN through the Ukraine Humanitarian Fund (UHF). "Source of Aid 1" lists also the aid provided by the CERF and reported in UNF2 and UNF3.</t>
  </si>
  <si>
    <t>https://www.unocha.org/ukraine/about-uhf</t>
  </si>
  <si>
    <t>WBF1</t>
  </si>
  <si>
    <t>World Bank Group</t>
  </si>
  <si>
    <t>Loan + Guarantees</t>
  </si>
  <si>
    <t>The budget support package for Ukraine consists of a supplemental loan of 350 million USD by the IBRD, a branch of the World Bank Group, and guarantees in the amount of 139 million USD by the Netherlands (89 million USD) and Sweden (50 million USD). Thus, we report a contribution of 489 million USD. "Source of Aid 1" reports the aid packages described in WBF1, WBF2 and WBF3, thus giving a total amount of 723 million USD. "Source of Aid 2" reports the aid packages described in WBF1, WBF2, WBF3 and WBF4, thus amouting to a total of 925 million USD.</t>
  </si>
  <si>
    <t>International Bank for Reconstruction and Development (IBRD)</t>
  </si>
  <si>
    <t>WBF2</t>
  </si>
  <si>
    <t>Grants and pledges for Multi Donor Trust Fund</t>
  </si>
  <si>
    <t>In addition to the budget support described in WBF1, the World Bank has offered a grant financing amounting to 134 million USD in a Multi Donor Trust Fund. The grant is made by different countries' pledges: UK has pledged for 100 million USD, Denmark has pledged for 20 million EUR (22 million USD, accordin to "Source of Aid 1"), Latvia, Lithuania and Iceland combined have pledged for 12 million USD. "Source of Aid 1" reports the aid packages described in WBF1, WBF2 and WBF3, thus amounting to a total of 723 million USD.</t>
  </si>
  <si>
    <t>Latvia, Lithuania, Iceland</t>
  </si>
  <si>
    <t>Iceland</t>
  </si>
  <si>
    <t>WBF3</t>
  </si>
  <si>
    <t>Linked Parallel Financing</t>
  </si>
  <si>
    <t>In addition to the aid included in WBF1 and WBF2, the World Bank has delivered a parallel financing of 100 million USD. The financing comes from Japan and is reported here, as well as in the bilateral country sheet, because it is part of the aid package provided by the World Bank. "Source of Aid 1" reports the aid packages reported in WBF1, WBF2 and WBF3, thus amounting to a total of 723 million USD.</t>
  </si>
  <si>
    <t>WBF4</t>
  </si>
  <si>
    <t>Financing</t>
  </si>
  <si>
    <t>The World Bank provides nearly $200 million in additional and reprogrammed financing to bolster Ukraine’s social services for vulnerable people. This comes on top of the 723 million USD reported in WBF1, WF2 and WBF3. We leave out the multi donor trust fund (MDTF) amounting to 145 million USD, as we consider only the aid delivered directly by the World Bank. The aid reported in WBF1, WBF2, WF3 and WBF4 is part of the 3 billion USD support promised to Ukraine by the World Bank.</t>
  </si>
  <si>
    <t>WBF5</t>
  </si>
  <si>
    <t>The aid package was announced by the President of the World Bank on April 12, 2022, and is intended to help support key services of the Ukrainian government, like wages for hospital workers, pensions for elderly people and social programmes for vulnerable people. The funding consists of $1 billion through the International Development Association arm of the World Bank Group and $472 million guaranteed by the International Bank for Reconstruction and Development, a division of the World Bank Group. On June 7, the package was announced to have been approved by the board of directors (Source of Aid 3).</t>
  </si>
  <si>
    <t>https://www.reuters.com/business/world-bank-says-it-is-preparing-15-billion-aid-package-ukraine-2022-04-12/</t>
  </si>
  <si>
    <t>https://www.theguardian.com/world/2022/apr/12/world-bank-approves-770m-ukraine-services-funds-russia</t>
  </si>
  <si>
    <t>https://www.worldbank.org/en/news/press-release/2022/06/07/-world-bank-announces-additional-1-49-billion-financing-support-for-ukraine</t>
  </si>
  <si>
    <t>WBF6</t>
  </si>
  <si>
    <t>On Aug 8, the World Bank Group announced USD 4.5 billion in additional financing mobilized for Ukraine under the Public Expenditures for Administrative Capacity Endurance in Ukraine (PEACE) Project, which aims to help the Government of Ukraine meet urgent needs created by the ongoing war. The financing package is comprised of a $4.5 billion grant provided by the United States.</t>
  </si>
  <si>
    <t>https://www.worldbank.org/en/news/press-release/2022/08/08/world-bank-mobilizes-4-5-billion-in-additional-financing-for-vital-support-to-ukraine</t>
  </si>
  <si>
    <t>WBF7</t>
  </si>
  <si>
    <t>The IBRD financing is supported by timely loan guarantees by the United Kingdom ($500 million) and the Kingdom of Denmark ($30 million) and was mobilized under the Public Expenditures for Administrative Capacity Endurance in Ukraine (PEACE) Project, which supports continued government capacity, including the provision of core public services such as health, education, and social protection</t>
  </si>
  <si>
    <t>Item</t>
  </si>
  <si>
    <t>CZMC1</t>
  </si>
  <si>
    <t>29/06/2022</t>
  </si>
  <si>
    <t>A Czech company will hand over 3 Bivoj drones to Ukraine. Soldiers have already been trained. Financing of the shipment is unclear.</t>
  </si>
  <si>
    <t>Bivoj drone</t>
  </si>
  <si>
    <t>https://babel.ua/en/news/80749-the-czech-company-will-hand-over-three-modern-bivoj-reconnaissance-drones-to-ukraine</t>
  </si>
  <si>
    <t>https://mil.in.ua/en/news/the-czech-company-will-hand-over-two-reconnaissance-bivoj-uavs-to-ukraine/</t>
  </si>
  <si>
    <t>DEMC1</t>
  </si>
  <si>
    <t>Germany agreed on the sale of 100 Panzerhaubitze 2000, that will be produced by the company "Krauss- Maffei Wegmann" for Ukraine.</t>
  </si>
  <si>
    <t>https://mil.in.ua/en/news/germany-agreed-to-sell-100-panzerhaubitze-2000-to-ukraine/</t>
  </si>
  <si>
    <t>PLMC1</t>
  </si>
  <si>
    <t xml:space="preserve">Commercial contract amounting to 700 million USD, for the purchase of 60 howitzers. </t>
  </si>
  <si>
    <t>https://www.defensenews.com/global/europe/2022/06/08/ukraine-to-buy-polish-howitzers-as-long-war-looms-with-russia/</t>
  </si>
  <si>
    <t>SKMC1</t>
  </si>
  <si>
    <t>Purchase of eight Zusana-2 howitzers under commercial contract</t>
  </si>
  <si>
    <t>not given</t>
  </si>
  <si>
    <t>https://english.nv.ua/nation/slovakia-to-send-8-howitzers-to-ukraine-military-news-50247162.html#:~:text=Ukraine%20and%20the%20Slovak%20Republic,on%20Twitter%20on%20June%202.</t>
  </si>
  <si>
    <t>TRMC1</t>
  </si>
  <si>
    <t xml:space="preserve">The company Baykar Defense has donated three Bayraktar TB2 to Ukraine. </t>
  </si>
  <si>
    <t>Bayraktar TB2 Drone</t>
  </si>
  <si>
    <t>https://asia.nikkei.com/Politics/Ukraine-war/With-drone-gift-to-Ukraine-Turkey-s-Baykar-wins-fans-and-clients</t>
  </si>
  <si>
    <t>TRMC2</t>
  </si>
  <si>
    <t xml:space="preserve">The company Baykar Defense has sent a total of 50 units of Bayraktar TB2 to Ukraine since the start of the invasion on February 2022. </t>
  </si>
  <si>
    <t>https://www.middleeasteye.net/news/russia-ukraine-war-tb2-bayraktar-drones-fifty-received</t>
  </si>
  <si>
    <t>Numbers by country</t>
  </si>
  <si>
    <t>Commitments per Month</t>
  </si>
  <si>
    <t>January</t>
  </si>
  <si>
    <t>February</t>
  </si>
  <si>
    <t>March</t>
  </si>
  <si>
    <t>April</t>
  </si>
  <si>
    <t>May</t>
  </si>
  <si>
    <t>June</t>
  </si>
  <si>
    <t>July</t>
  </si>
  <si>
    <t>August</t>
  </si>
  <si>
    <t>September</t>
  </si>
  <si>
    <t>October</t>
  </si>
  <si>
    <t>November</t>
  </si>
  <si>
    <t>December</t>
  </si>
  <si>
    <t>Country</t>
  </si>
  <si>
    <t>EU member</t>
  </si>
  <si>
    <t>Financial commitments</t>
  </si>
  <si>
    <t>Humanitarian commitments</t>
  </si>
  <si>
    <t>Military commitments</t>
  </si>
  <si>
    <t>Total bilateral commitments</t>
  </si>
  <si>
    <t>GDP (2021)</t>
  </si>
  <si>
    <t>GDP (EUR)</t>
  </si>
  <si>
    <t>Share in EU commitments</t>
  </si>
  <si>
    <t>Share in EPF commitments</t>
  </si>
  <si>
    <t>Share in EIB commitments</t>
  </si>
  <si>
    <t>Share in total EU commitments</t>
  </si>
  <si>
    <t>Total bilateral and EU assistance</t>
  </si>
  <si>
    <t>Specific weapons and equipment</t>
  </si>
  <si>
    <t>Financial commitments with military purpose</t>
  </si>
  <si>
    <t>Total tracked commitments over time</t>
  </si>
  <si>
    <t>Total untracked commitments over time</t>
  </si>
  <si>
    <t>€ billion</t>
  </si>
  <si>
    <t>US$ billion</t>
  </si>
  <si>
    <t>% GDP</t>
  </si>
  <si>
    <t>Total</t>
  </si>
  <si>
    <t>Numbers by donor group</t>
  </si>
  <si>
    <t>Country (group)</t>
  </si>
  <si>
    <t>EU members and institutions</t>
  </si>
  <si>
    <t>EU members</t>
  </si>
  <si>
    <t>EU institutions</t>
  </si>
  <si>
    <t>Anglosaxon countries</t>
  </si>
  <si>
    <t>Other donor countries</t>
  </si>
  <si>
    <t>Non bilateral donors</t>
  </si>
  <si>
    <t>Data transparency index</t>
  </si>
  <si>
    <t>For a detailed overview of the composition of our transparency index, please see the sheet "Quality and transparency index" at the end of this file.</t>
  </si>
  <si>
    <t>Higher index values indicate higher levels of transparency of the available data (5 = best, 0 = least transparent). The total index score is calculated as the sum of five subcomponents:</t>
  </si>
  <si>
    <r>
      <t xml:space="preserve">          1. </t>
    </r>
    <r>
      <rPr>
        <u/>
        <sz val="11"/>
        <rFont val="Times New Roman"/>
        <family val="1"/>
      </rPr>
      <t>Designated website</t>
    </r>
    <r>
      <rPr>
        <sz val="11"/>
        <rFont val="Times New Roman"/>
        <family val="1"/>
      </rPr>
      <t xml:space="preserve"> (1 = Yes)</t>
    </r>
  </si>
  <si>
    <t xml:space="preserve">                    Is there an official website on government aid to Ukraine? (1 = Yes, 0 = No)</t>
  </si>
  <si>
    <r>
      <t xml:space="preserve">          2. </t>
    </r>
    <r>
      <rPr>
        <u/>
        <sz val="11"/>
        <rFont val="Times New Roman"/>
        <family val="1"/>
      </rPr>
      <t>Total value of commitments given</t>
    </r>
    <r>
      <rPr>
        <sz val="11"/>
        <rFont val="Times New Roman"/>
        <family val="1"/>
      </rPr>
      <t xml:space="preserve"> (1 = Yes)</t>
    </r>
  </si>
  <si>
    <t xml:space="preserve">                    Is the total sum of Ukraine support provided by the government? (1 = Yes, 0 = No)</t>
  </si>
  <si>
    <r>
      <t xml:space="preserve">          3. </t>
    </r>
    <r>
      <rPr>
        <u/>
        <sz val="11"/>
        <rFont val="Times New Roman"/>
        <family val="1"/>
      </rPr>
      <t>Monetary value of individual items given by source</t>
    </r>
    <r>
      <rPr>
        <sz val="11"/>
        <rFont val="Times New Roman"/>
        <family val="1"/>
      </rPr>
      <t xml:space="preserve"> (share)</t>
    </r>
  </si>
  <si>
    <t xml:space="preserve">                    Share of committed individual items in our database for which we have a monetary value provided by a source. (Shares computed for each country)</t>
  </si>
  <si>
    <r>
      <t xml:space="preserve">          4. </t>
    </r>
    <r>
      <rPr>
        <u/>
        <sz val="11"/>
        <rFont val="Times New Roman"/>
        <family val="1"/>
      </rPr>
      <t>Government information on individual items</t>
    </r>
    <r>
      <rPr>
        <sz val="11"/>
        <rFont val="Times New Roman"/>
        <family val="1"/>
      </rPr>
      <t xml:space="preserve"> (share)</t>
    </r>
  </si>
  <si>
    <t xml:space="preserve">                    Share of committed individual items in our database for which we have an official source. (Shares computed for each country)</t>
  </si>
  <si>
    <r>
      <t xml:space="preserve">          5. </t>
    </r>
    <r>
      <rPr>
        <u/>
        <sz val="11"/>
        <rFont val="Times New Roman"/>
        <family val="1"/>
      </rPr>
      <t>Number of military items known</t>
    </r>
    <r>
      <rPr>
        <sz val="11"/>
        <rFont val="Times New Roman"/>
        <family val="1"/>
      </rPr>
      <t xml:space="preserve"> (share)</t>
    </r>
  </si>
  <si>
    <t xml:space="preserve">                    Share of committed and disclosed in-kind military items for which we have the exact number of units or weapons committed. (Shares computed for each country)</t>
  </si>
  <si>
    <t>Subindex 1: Designated Website</t>
  </si>
  <si>
    <t>Subindex 2: Total value of commitments given</t>
  </si>
  <si>
    <t>Subindex 3: Monetary value of individual items given by source (share)</t>
  </si>
  <si>
    <t>Subindex 4: Government information on individual items (share)</t>
  </si>
  <si>
    <t>Subindex 5: Number of military items known</t>
  </si>
  <si>
    <t>Total index score</t>
  </si>
  <si>
    <t>Average</t>
  </si>
  <si>
    <t>Total bilateral assistance to Ukraine in 2022 (€ billion)</t>
  </si>
  <si>
    <t>Figure 1. Aid over time,  January 2022 to November 2022, commitments (€ billion)</t>
  </si>
  <si>
    <t>Months</t>
  </si>
  <si>
    <t>Total new aid committed per month (€ billion)</t>
  </si>
  <si>
    <t xml:space="preserve"> </t>
  </si>
  <si>
    <t>Total Aid over time tracked</t>
  </si>
  <si>
    <t>Total Aid quantified in the Dataset</t>
  </si>
  <si>
    <t>Difference (=aid with no trackable commitment month attached)</t>
  </si>
  <si>
    <t>Total bilateral Aid to Ukraine in billion euros</t>
  </si>
  <si>
    <t>Figure 2. Overview: Government support to Ukraine, commitments between January 24 and November 20, 2022 (€ billion)</t>
  </si>
  <si>
    <t>Donor(s)</t>
  </si>
  <si>
    <t>Total aid (€ billion)</t>
  </si>
  <si>
    <t>Other donor countries*</t>
  </si>
  <si>
    <t>*Other donor countries include the Anglosaxon Countries (except the US), as well as China, Japan, South Korea, Taiwan, Turkey, Norway and Switzerland and India.</t>
  </si>
  <si>
    <t>Total bilateral commitments (€ billion)</t>
  </si>
  <si>
    <t>Figure 3. Government support to Ukraine - by type of assistance, € billion</t>
  </si>
  <si>
    <t>EU Institutions</t>
  </si>
  <si>
    <t>Note: This figure shows total bilateral (government to government) aid commitments to Ukraine across donor governments in billion Euros between January 24 and July 1, 2022. Each bar shows the type of assistance, meaning financial assistance (loans, grants, and swap lines), humanitarian aid (assistance directed to the civilian population including food and medical items), and military assistance (arms, equipment, and utilities provided to the Ukrainian military). Military aid includes direct financial assistance that is tied to military purposes. Please refer to the main text and our dataset for details on data collection and sources. </t>
  </si>
  <si>
    <t>Total bilateral commitments (percent of GDP)</t>
  </si>
  <si>
    <t>Figure 4. Government support to Ukraine - as percent of donor country GDP</t>
  </si>
  <si>
    <t>Total bilateral commitments plus EU share (percent of GDP)</t>
  </si>
  <si>
    <t>Figure 5. Government support to Ukraine including EU share - as percent of donor GDP</t>
  </si>
  <si>
    <t>Share in EU commitments (includes MFA, EPF and EIB)</t>
  </si>
  <si>
    <t>Total (bilateral and EU) assistance</t>
  </si>
  <si>
    <t>Military bilateral commitments (€ billion)</t>
  </si>
  <si>
    <t>Figure 6. Military aid (including financial) in € billion (top 20 donors)</t>
  </si>
  <si>
    <t>Financial commitments tied to military purpose (e.g. to finance future weapon purchase)</t>
  </si>
  <si>
    <t>Total commitments</t>
  </si>
  <si>
    <r>
      <t>Note:</t>
    </r>
    <r>
      <rPr>
        <sz val="12"/>
        <rFont val="Times New Roman"/>
        <family val="1"/>
      </rPr>
      <t xml:space="preserve"> This figure shows a ranking of the 15 Western governments (out of 31) that have offered military aid to Ukraine between January 24 and April 23, 2022. We exclude humanitarian and financial aid and do not consider EU (Commission and Council) contributions. </t>
    </r>
  </si>
  <si>
    <t>Financial bilateral commitments (€ billion)</t>
  </si>
  <si>
    <t>Figure 7. Financial aid in € billion (top 20 donors)</t>
  </si>
  <si>
    <t>Loans</t>
  </si>
  <si>
    <t>Grants</t>
  </si>
  <si>
    <t>Guarantees</t>
  </si>
  <si>
    <t>Central bank swap line</t>
  </si>
  <si>
    <t>Military aid gap (number of items)</t>
  </si>
  <si>
    <t>Figure 8. Military aid gap: weapon support to Ukraine in comparison with Ukrainian demands
and pre-war Russian stocks</t>
  </si>
  <si>
    <t>Howitzer(155mm)</t>
  </si>
  <si>
    <t>MLRS</t>
  </si>
  <si>
    <t xml:space="preserve">Tanks </t>
  </si>
  <si>
    <t>Armored vehicles</t>
  </si>
  <si>
    <t>Source</t>
  </si>
  <si>
    <t>Russian pre-war stock (2021)</t>
  </si>
  <si>
    <t>IISS Military Balance 2022</t>
  </si>
  <si>
    <t>Ukrainian pre-war stock (2021)</t>
  </si>
  <si>
    <t>Ukraine needs ("to end war")</t>
  </si>
  <si>
    <t>Podolyak</t>
  </si>
  <si>
    <t>Ukraine needs ("to counterattack")</t>
  </si>
  <si>
    <t>Reznikov</t>
  </si>
  <si>
    <t>Committed</t>
  </si>
  <si>
    <t>This data set</t>
  </si>
  <si>
    <t>Delivered</t>
  </si>
  <si>
    <t>To be delivered</t>
  </si>
  <si>
    <t>Type</t>
  </si>
  <si>
    <t>Ukraine needs (alternative source)</t>
  </si>
  <si>
    <t>Delivered to Ukraine</t>
  </si>
  <si>
    <t>Demanded by Ukraine</t>
  </si>
  <si>
    <t>Russian stock (pre-war)</t>
  </si>
  <si>
    <t>Howitzer (155mm)</t>
  </si>
  <si>
    <t>Budget support disbursements (€ billion)</t>
  </si>
  <si>
    <t>Figure 9. Foreign budgetary support: commitments vs. disbursements in € billion</t>
  </si>
  <si>
    <t>Commitments (committed Loans and Grants)</t>
  </si>
  <si>
    <t>Disbursements</t>
  </si>
  <si>
    <t>To be disbursed</t>
  </si>
  <si>
    <t>Disbursed share</t>
  </si>
  <si>
    <t>EU Institutions (MFA and EIB)</t>
  </si>
  <si>
    <t>Refugee cost estimates (€ billion)</t>
  </si>
  <si>
    <t>Figure 12. Rough cost estimates for hosting Ukrainian refugees (€ billion)</t>
  </si>
  <si>
    <t>Number of refugees</t>
  </si>
  <si>
    <t>Lower bound refugee cost estimate (€250 per refugee and month)</t>
  </si>
  <si>
    <t>Baseline refugee cost estimate (€500 per refugee and month)</t>
  </si>
  <si>
    <t>Upper bound refugee cost estimate (€750 per refugee and month)</t>
  </si>
  <si>
    <t>Total bilateral commitments plus refugee costs (€ billion)</t>
  </si>
  <si>
    <t>Figure 13. Adding bilateral aid and rough refugee cost estimate</t>
  </si>
  <si>
    <t>Refugee costs (baseline estimate)</t>
  </si>
  <si>
    <t>Total bilateral commitments plus refugee costs (percent of GDP)</t>
  </si>
  <si>
    <t>Figure 14. Government support including estimated refugee costs - percent of donor GDP</t>
  </si>
  <si>
    <t>Heavy weapons: NATO stocks vs units sent to Ukraine</t>
  </si>
  <si>
    <t>Figure 15: Heavy weapons: NATO stocks vs units sent to Ukraine</t>
  </si>
  <si>
    <t>Others (EU)</t>
  </si>
  <si>
    <t>Others (NATO)</t>
  </si>
  <si>
    <t>% committed</t>
  </si>
  <si>
    <t>TANKS</t>
  </si>
  <si>
    <t>NATO (excl. EU)</t>
  </si>
  <si>
    <t>EU</t>
  </si>
  <si>
    <t>To Ukraine</t>
  </si>
  <si>
    <t>HOWITZERS                   (155/152mm)</t>
  </si>
  <si>
    <t>MRLs</t>
  </si>
  <si>
    <t>Country code</t>
  </si>
  <si>
    <t>GR</t>
  </si>
  <si>
    <t>RO</t>
  </si>
  <si>
    <t>IT</t>
  </si>
  <si>
    <t>FR</t>
  </si>
  <si>
    <t>PL</t>
  </si>
  <si>
    <t>DE</t>
  </si>
  <si>
    <t>SL</t>
  </si>
  <si>
    <t>CZ</t>
  </si>
  <si>
    <t>OTR</t>
  </si>
  <si>
    <t>US</t>
  </si>
  <si>
    <t>TUR</t>
  </si>
  <si>
    <t>UK</t>
  </si>
  <si>
    <t>NW</t>
  </si>
  <si>
    <t>Country ranking of heavy weapon - share of own stocks committed to Ukraine</t>
  </si>
  <si>
    <t>Figure 16: Country ranking of heavy weapon - share of own stocks committed to Ukraine</t>
  </si>
  <si>
    <t>Average total with armoured vehicles</t>
  </si>
  <si>
    <t>Average total with IFW</t>
  </si>
  <si>
    <t>Average total (delivered)</t>
  </si>
  <si>
    <t>Average total (to be delivered)</t>
  </si>
  <si>
    <t>Average total (committed)</t>
  </si>
  <si>
    <t>Tanks</t>
  </si>
  <si>
    <t>155mm/152mm howitzers</t>
  </si>
  <si>
    <t>MRLS</t>
  </si>
  <si>
    <t>Anti-aircraft surface-to-air missile (SAM) system (long-range)</t>
  </si>
  <si>
    <t>Anti-aircraft surface-to-air missile (SAM) system (medium-range)</t>
  </si>
  <si>
    <t>Anti-aircraft surface-to-air missile (SAM) system (short-range)</t>
  </si>
  <si>
    <t>Anti-aircraft surface-to-air missile (SAM) system (point-defense)</t>
  </si>
  <si>
    <t>top-10 EU (number of categories)</t>
  </si>
  <si>
    <t>non-EU-NATO</t>
  </si>
  <si>
    <t>Average EU</t>
  </si>
  <si>
    <t>Average non-EU-NATO</t>
  </si>
  <si>
    <t xml:space="preserve">Belgium </t>
  </si>
  <si>
    <t>Total bilateral commitments plus share in EU commitments (€ billion)</t>
  </si>
  <si>
    <t>Figure A1. Government support to Ukraine including EU shares in € billion</t>
  </si>
  <si>
    <t>Share in EU commitments (including MFA, EPF, EIB)</t>
  </si>
  <si>
    <t>Bilateral commitments during "Stand up for Ukraine" (€ billion)</t>
  </si>
  <si>
    <t>Figure A2. Country pledges during the “Stand up for Ukraine” event</t>
  </si>
  <si>
    <t>To other countries</t>
  </si>
  <si>
    <t>European Commission</t>
  </si>
  <si>
    <t>EBRD</t>
  </si>
  <si>
    <t>Council of Europe Bank</t>
  </si>
  <si>
    <t>Qatar</t>
  </si>
  <si>
    <t>Weapon deliveries by category (number of units)</t>
  </si>
  <si>
    <t>Figure A3. Military deliveries of the top five donors by weapon category</t>
  </si>
  <si>
    <t>Weapon category</t>
  </si>
  <si>
    <t>Delivered units</t>
  </si>
  <si>
    <t>Howitzers (155mm)</t>
  </si>
  <si>
    <t>Total Financial Aid</t>
  </si>
  <si>
    <t>EU Budget Contributions by Member Country in 2020</t>
  </si>
  <si>
    <t xml:space="preserve">Source: </t>
  </si>
  <si>
    <t xml:space="preserve">https://ec.europa.eu/info/sites/default/files/about_the_european_commission/eu_budget/2021-06-09_spending_and_revenue.xlsx </t>
  </si>
  <si>
    <t>Contribution to EU Budget in billion EUR</t>
  </si>
  <si>
    <t>Country Share on total EU Budget</t>
  </si>
  <si>
    <t>Share of EU Aid in billion EUR</t>
  </si>
  <si>
    <t>27 Countries total</t>
  </si>
  <si>
    <t>Breakdown of the EPF contributions</t>
  </si>
  <si>
    <t>Source:</t>
  </si>
  <si>
    <t>https://eur-lex.europa.eu/legal-content/EN/TXT/HTML/?uri=CELEX:32021D0509&amp;from=EN#d1e1170-14-1  (Preamble, (19))</t>
  </si>
  <si>
    <t>GNI in current USD</t>
  </si>
  <si>
    <t>GNI in EUR</t>
  </si>
  <si>
    <t>GNI in billion EUR</t>
  </si>
  <si>
    <t>Share of GNI</t>
  </si>
  <si>
    <t>Share of EPF Aid (billion EUR)</t>
  </si>
  <si>
    <t>Breakdown of the EIB's capital as of 1 March 2020</t>
  </si>
  <si>
    <t>https://www.eib.org/en/about/governance-and-structure/shareholders/index.htm</t>
  </si>
  <si>
    <t>Subscribed capital in EUR</t>
  </si>
  <si>
    <t>Country Capital Share</t>
  </si>
  <si>
    <t>Share of EIB Aid in billion EUR</t>
  </si>
  <si>
    <t>Military Aid</t>
  </si>
  <si>
    <t>Arms and Equipment (unadjusted, billion EUR)</t>
  </si>
  <si>
    <t>Manual adjustment (billion EUR)</t>
  </si>
  <si>
    <t>Arms and Equipment (adjusted, billion EUR)</t>
  </si>
  <si>
    <t>Financial Aid with Military purpose (billion EUR)</t>
  </si>
  <si>
    <t>Explanation for manual adjustments</t>
  </si>
  <si>
    <t>"(ID: DEM1) Chancellor Scholz announced to provide 1.2 billion EUR in Ertüchtigungshilfe for Ukraine. However, according to "Source of Aid 2", the value of military aid committed to Ukraine amounts to 743.658.611 EUR, so we need to substract the remaining 457.773.932 EUR as being so far not specifically tied to weapon and equipment delivery commitments.</t>
  </si>
  <si>
    <t xml:space="preserve">(ID: UKM9, UKM10) The UK announced to provide 2.3 billion GBP (2.6 billion EUR) as weapons and equipment deliveries. However, the value of the weapons committed so far can be calculated to 395 million EUR.
Hence, we need to substract the remaining 2.23 billion EUR (as being so far not specifically tied to weapon and equipment delivery commitments). </t>
  </si>
  <si>
    <t xml:space="preserve">As part of the US military aid funding, the open budgets from USM9 and USM10 have only been partially used. Until November 20, 1.675 billion USD of USM9 remain unused and 2.6 billion of USM10 remain unused. </t>
  </si>
  <si>
    <t xml:space="preserve">Type of item </t>
  </si>
  <si>
    <t>Currency</t>
  </si>
  <si>
    <t>Source category</t>
  </si>
  <si>
    <t>Notes</t>
  </si>
  <si>
    <t>Relative importance(2=very imporant, 1=important, 0=less important)</t>
  </si>
  <si>
    <t>Count</t>
  </si>
  <si>
    <t>Undisclosed amount</t>
  </si>
  <si>
    <t>monetary value total</t>
  </si>
  <si>
    <t>in main dataset (1 if yes, 0 if no)</t>
  </si>
  <si>
    <t>in commercial aid (1 if yes, 0 it no)</t>
  </si>
  <si>
    <t>Armament</t>
  </si>
  <si>
    <t>Since the price depends heavily on the type of armament, no reliable source can be found.</t>
  </si>
  <si>
    <t>Jammers or disruptive systems</t>
  </si>
  <si>
    <t>Equipment for M109 artillery gun</t>
  </si>
  <si>
    <t>Ammunition for heavy weapon</t>
  </si>
  <si>
    <t>155mm howitzer ammunition</t>
  </si>
  <si>
    <t>High-resoultion satellity imagery</t>
  </si>
  <si>
    <t>Radar or imagery systems</t>
  </si>
  <si>
    <t>Heavy weapon</t>
  </si>
  <si>
    <t>overhaul/repair</t>
  </si>
  <si>
    <t>Medical equipment</t>
  </si>
  <si>
    <t>Small arm and ammunition</t>
  </si>
  <si>
    <t>Ammunition for light infantry</t>
  </si>
  <si>
    <t>Small Arms and Light Weapons (SALW) ammunition</t>
  </si>
  <si>
    <t>Spare part and equipment</t>
  </si>
  <si>
    <t>Spare parts</t>
  </si>
  <si>
    <t>Spare parts for M109 artillery gun</t>
  </si>
  <si>
    <t>Light armaments &amp; infantry</t>
  </si>
  <si>
    <t>Aviation and drones</t>
  </si>
  <si>
    <t>Calculated according with the E-Mail from the Ministry of Defence of the Republic of Latvia, since 24% of 220 million EUR went on helicopters and spare parts</t>
  </si>
  <si>
    <t>Mastiff 6x6</t>
  </si>
  <si>
    <t>Protected Patrol Vehicle (PPV)</t>
  </si>
  <si>
    <t>https://armstrade.sipri.org/armstrade/page/trade_register.php</t>
  </si>
  <si>
    <t>Contracts</t>
  </si>
  <si>
    <t>Average unit cost based on different contracts from SIPRI database and the source and adjusted to 2021$</t>
  </si>
  <si>
    <t>Tank</t>
  </si>
  <si>
    <t>Main Battle Tank (MBT)</t>
  </si>
  <si>
    <t>https://www.reuters.com/article/ozatp-ethiopia-tanks-ukraine-20110610-idAFJOE7590IR20110610</t>
  </si>
  <si>
    <t>Media reports (incl. social media)</t>
  </si>
  <si>
    <t xml:space="preserve">We report the retail market price of the T72 tank as proxy. In 2011, Ethopia signed a deal for 200 T-72 Tanks for 100 million USD, bringing the Unit price to 500000 UST in 2011. We convert this price to 2021 values to account for inflation. </t>
  </si>
  <si>
    <t>Reconnaissance drone</t>
  </si>
  <si>
    <t>Military media (incl. websites)</t>
  </si>
  <si>
    <t xml:space="preserve">Source reports a contract over 30 million Estonian Kroons (roughly 2 million USD) for 12 units (2 reconnaissanse, 10 combat). We divide 2 million USD by 12 for an approximate Unit price of 170000 USD. </t>
  </si>
  <si>
    <t>Field glass</t>
  </si>
  <si>
    <t>https://www.amazon.com/-/de/dp/B07SMXN8PR/ref=zg_bs_3413661_2/139-2167500-7694641?pd_rd_i=B09VBX2J8P&amp;th=1</t>
  </si>
  <si>
    <t>Online marketplaces and stores</t>
  </si>
  <si>
    <t>Average retail price is given with 11.99 USD</t>
  </si>
  <si>
    <t>Small Arms and Light Weapons (SALW)</t>
  </si>
  <si>
    <t>Source for the M240: Source for the M240: https://en.wikipedia.org/wiki/M240_machine_gun and Source for the M249: https://en.wikipedia.org/wiki/M249_light_machine_gun</t>
  </si>
  <si>
    <t>Miscellaneous</t>
  </si>
  <si>
    <t>The most common types of machine guns are M249 and M240. The average price over both M249 and M240 Machine gun is 5,300 per piece. The range is between 4,000 (M249) and 6,600 (M240)USD.</t>
  </si>
  <si>
    <t>ammunition</t>
  </si>
  <si>
    <t>radar or imagery systems</t>
  </si>
  <si>
    <t>claymore anti-personnel munitions</t>
  </si>
  <si>
    <t>Explosive</t>
  </si>
  <si>
    <t>https://en.wikipedia.org/wiki/Claymore_mine</t>
  </si>
  <si>
    <t>Price for a M19A1 Claymore mine as of 1993 is 119 USD. This corresponds to 223.15 USD in 2021 (according to https://www.in2013dollars.com/us/inflation/1993?amount=1#:~:text=Value%20of%20%241%20from%201993,cumulative%20price%20increase%20of%20102.28%25.).</t>
  </si>
  <si>
    <t>https://foreignpolicy.com/2009/12/31/observation-of-the-day-on-brewing-coffee-with-c4/</t>
  </si>
  <si>
    <t>Source lists a price of 90 USD per Block (Unit) of C-4.</t>
  </si>
  <si>
    <t>155mm Howitzer</t>
  </si>
  <si>
    <t>155mm howitzer</t>
  </si>
  <si>
    <t>M777 155 mm Lightweight Towed Howitzer | Military-Today.com</t>
  </si>
  <si>
    <t xml:space="preserve">We use the price of M777 howitzer which is used by USA. Source lists a unit price of 5170000 USD. </t>
  </si>
  <si>
    <t>Portable defence system</t>
  </si>
  <si>
    <t>MANPADS</t>
  </si>
  <si>
    <t>Calculated according with the E-Mail from the Ministry of Defence of the Republic of Latvia, since 56% of 220 million EUR went on stingers</t>
  </si>
  <si>
    <t>Minesweeper</t>
  </si>
  <si>
    <t>Mine Vessels</t>
  </si>
  <si>
    <t xml:space="preserve">https://stocktonhistoricalmaritimemuseum.org/about/uss-lucid/stats/ </t>
  </si>
  <si>
    <t>The source provides the information that a minesweeper cost 9 million USD in 1955. This corresponds to 86.94 million USD today (see https://www.in2013dollars.com/us/inflation/1955?endYear=2020&amp;amount=1).</t>
  </si>
  <si>
    <t>Calculated according with the E-Mail from the Ministry of Defence of the Republic of Latvia, since 13% of 220 million EUR went on armament</t>
  </si>
  <si>
    <t>Counter-unmanned aerial system</t>
  </si>
  <si>
    <t>Unknown drone</t>
  </si>
  <si>
    <t>https://www.airuniversity.af.edu/Portals/10/ASPJ/journals/Chronicles/ucav.pdf</t>
  </si>
  <si>
    <t xml:space="preserve">According to the source, the most popular version of an Unmanned Combat Aerial Vehicle costs 15 million USD at the most. We report 15 million USD to stay consistent with our Upper bound rule. </t>
  </si>
  <si>
    <t>Calculated according with the E-Mail from the Ministry of Defence of the Republic of Latvia, since 5% of 220 million EUR went on unmanned systems</t>
  </si>
  <si>
    <t>http://www.army-guide.com/eng/product179.html</t>
  </si>
  <si>
    <t>Based on the contract between Poland and Malaysia in June 2001. We also convert it to $2021.</t>
  </si>
  <si>
    <t>Anti-ship missile system</t>
  </si>
  <si>
    <t>Ammunition for portable defence system</t>
  </si>
  <si>
    <t>AShM</t>
  </si>
  <si>
    <t xml:space="preserve">https://www.thedrive.com/the-war-zone/32277/here-is-what-each-of-the-pentagons-air-launched-missiles-and-bombs-actually-cost </t>
  </si>
  <si>
    <t>According to the source, this is the unit cost for a AGM-158C LRASM (Long Range Anti Ship Missile).</t>
  </si>
  <si>
    <t xml:space="preserve">https://www.army-technology.com/projects/mistral-missile/ </t>
  </si>
  <si>
    <t>Price deducted from a contract Estonia made in 2007 for €60 million (USD 65 million) for 25 Launchers.</t>
  </si>
  <si>
    <t>Patrol and coastal combatants</t>
  </si>
  <si>
    <t>https://www.dsca.mil/sites/default/files/mas/jordan_15-02.pdf</t>
  </si>
  <si>
    <t>Government information</t>
  </si>
  <si>
    <t>The US sent 35 coastal patrol boats to Jordan, worth 80 million USD. This allows an approximation for the unit cost. We also convert this value to $2021.</t>
  </si>
  <si>
    <t xml:space="preserve">Average unit cost based on different contracts from SIPRI database and adjusted to 2021 value. </t>
  </si>
  <si>
    <t>https://www.defense.gov/News/Contracts/Contract/Article/2185990/</t>
  </si>
  <si>
    <t>The source lists a unit cost of one Harpoon Block II missile of 1,406,812 USD.</t>
  </si>
  <si>
    <t>http://www.military-today.com/artillery/fh_70.htm#:~:text=According%20to%20Forecast%20International%2C%20the,in%202002%20was%20US%24594%2C000.</t>
  </si>
  <si>
    <t>According to the source, the price of one unit in 2002 was 594,000 USD, which corresponds to 895,040 USD in 2021 using deflator for national defence  (according to https://apps.bea.gov/iTable/iTable.cfm?reqid=19&amp;step=3&amp;isuri=1&amp;1921=survey&amp;1903=13#reqid=19&amp;step=3&amp;isuri=1&amp;1921=survey&amp;1903=13)</t>
  </si>
  <si>
    <t>298mm MLRS ammunition</t>
  </si>
  <si>
    <t>https://www.dsca.mil/press-media/major-arms-sales/finland-guided-multiple-launch-rocket-system-gmlrs-m31a1-unitary-and</t>
  </si>
  <si>
    <t>The source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</si>
  <si>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Ammunition for HIMARS</t>
  </si>
  <si>
    <t>227mm MLRS ammunition</t>
  </si>
  <si>
    <t>https://gagadget.com/en/war/145017-ukrainian-military-launch-of-one-himars-missile-costs-150000-and-a-full-launch-costs-1000000/</t>
  </si>
  <si>
    <t xml:space="preserve">Source lists a price of 150000 USD per missile for the HIMARS  (High mobility artillery rocket) system. </t>
  </si>
  <si>
    <t>https://www.asafm.army.mil/Portals/72/Documents/BudgetMaterial/2021/Base%20Budget/Procurement/MSLS_FY_2021_PB_Missile_Procurement_Army.pdf</t>
  </si>
  <si>
    <t>As a proxy we take the Javelin command launch unit, with Price deducted from the 2021 annual Pentagon Budget. Page 66, Javelin Lightweight Command Launch Unit (CLU), FY 2021 Total. Total cost: $190,325,000, Units: 773</t>
  </si>
  <si>
    <t>Ammunition for Heavy Weapon</t>
  </si>
  <si>
    <t>https://en.wikipedia.org/wiki/AIM-120_AMRAAM</t>
  </si>
  <si>
    <t xml:space="preserve">AIM-120 AMRAAM missiles cost US$1,090,000 in 2019. </t>
  </si>
  <si>
    <t>https://en.wikipedia.org/wiki/AGM-88_HARM</t>
  </si>
  <si>
    <t>Source lists a price in  the range of USD 284,000 and USD 870,000. We take the average price of this range, which is USD 557,000.</t>
  </si>
  <si>
    <t>VAMPIRE Counter-unmanned aerial system</t>
  </si>
  <si>
    <t xml:space="preserve">According to the source, the most popular version of a UCAV costs 15 million USD at the most. We report 15 million USD to stay consistent with our Upper bound rule. </t>
  </si>
  <si>
    <t>Surface-to-air missile (SAM)</t>
  </si>
  <si>
    <t>Average unit costs based on different contracts from SIPRI database and the source and adjusted to $2021</t>
  </si>
  <si>
    <t>military equipment</t>
  </si>
  <si>
    <t>counter-artillery radar</t>
  </si>
  <si>
    <t>We use the price of ARTHUR artillery radar, a variant that was developed simultaneously with COBRA, as a proxy. Average unit costs based on different contracts from SIPRI database and the source and adjusted to $2021</t>
  </si>
  <si>
    <t>Anti-aircraft system ammunition</t>
  </si>
  <si>
    <t>Ammunition for Mars II</t>
  </si>
  <si>
    <t>127mm MLRS ammunition</t>
  </si>
  <si>
    <t>The Mars II System uses M30 and M31 guided rockets as Ammunition. We report the price of a source that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</si>
  <si>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Armoured Utility Vehicle (AUV)</t>
  </si>
  <si>
    <t>https://www.armyrecognition.com/defense_news_january_2021_global_security_army_industry/first_iveco_lmv_2_nec_armored_vehicles_enter_service_with_italian_army.html</t>
  </si>
  <si>
    <t xml:space="preserve">Since the Lince ("Lynx") is the italian designation of an armored scout car and the predecessor of the Iveco LMV, we report the Iveco LMV (Iveco M 40.12) price here. </t>
  </si>
  <si>
    <t>Infantry fighting vehicle (IFV)</t>
  </si>
  <si>
    <t>http://www.army-guide.com/eng/product1033.html</t>
  </si>
  <si>
    <t>The source provides the average unit costs based on a number of different contracts.</t>
  </si>
  <si>
    <t>Armoured Personnel Carrier (APC)</t>
  </si>
  <si>
    <t>http://www.army-guide.com/eng/product3249.html</t>
  </si>
  <si>
    <t>Average unit costs based on five different contracts (Lithunia has been omitted as they bought M577 second hand from Germany).</t>
  </si>
  <si>
    <t>https://www.globalsecurity.org/military/world/taiwan/cm21-variants.htm</t>
  </si>
  <si>
    <t xml:space="preserve">According to Source Italian M130 is a variant of M113, so we report price of M113 from the dataset, which is based on Military media and amounts to 300000 USD per Unit. </t>
  </si>
  <si>
    <t>300mm MLRS ammunition</t>
  </si>
  <si>
    <t>The source provides information about a contract over M31A1 ammunition, a 298mm guided rocket, which we use as a proxy for the 300mm guided rocket,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</si>
  <si>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https://mezha.media/en/2022/04/02/together-with-switchblades-drones-the-u-s-will-provide-ukraine-with-the-rq-20-puma-unmanned-aerial-vehicles/#:~:text=The%20cost%20of%20one%20RQ,NATO%20countries%20and%20their%20partners.</t>
  </si>
  <si>
    <t>Unit cost of one RQ-20 Puma system.</t>
  </si>
  <si>
    <t>Air-launched ammunition</t>
  </si>
  <si>
    <t>Air-to-surface missile (ASM)</t>
  </si>
  <si>
    <t>https://publications.parliament.uk/pa/cm201011/cmhansrd/cm110517/text/110517w0001.htm#11051744000014</t>
  </si>
  <si>
    <t xml:space="preserve">Source lists a unit price of 175000 GBP, which we convert to 2021 values of 220000 USD per piece. </t>
  </si>
  <si>
    <t>Mortar</t>
  </si>
  <si>
    <t>https://man.fas.org/dod-101/sys/land/m224.htm</t>
  </si>
  <si>
    <t>Source reports a price for the M224 60 mm Lightweight Company Mortar System, which is also 60mm Mortar, so we use it as proxy.</t>
  </si>
  <si>
    <t>https://www.thedrive.com/the-war-zone/ukraine-to-get-guided-rockets-but-not-ones-able-to-reach-far-into-russia</t>
  </si>
  <si>
    <t>Source lists the unit price as 168000 USD per piece, deducted from a Budget of 770 million USD for 4596 rockets.</t>
  </si>
  <si>
    <t>Light Anti-armor Weapon (LAW)</t>
  </si>
  <si>
    <t>https://www.defensenews.com/land/2016/12/21/poland-awards-220m-short-range-air-defense-deal/#:~:text=WARSAW%2C%20Poland%20%E2%80%94%20The%20Polish%20Ministry,systems%20for%20the%20country%27s%20military.</t>
  </si>
  <si>
    <t>The source says that 220 million USD correspons to the cost of 1300 Piorun missiles and 420 missile launchers (so air-defense systems). To disentangle the sum and to deduct the price for a Piorun air-defense system, we use as approximation for the MANPAD Piorun missile, another MANPAD missile, namely Stinger which amounts to 119000 USD. Hence, 1300*119000 is 154,7 million USD so that 65.3 million USD remains (220-154,7) leading to unit costs of 155,476 USD.</t>
  </si>
  <si>
    <t>Anti-aircraft Starstreak missile</t>
  </si>
  <si>
    <t>MANPADS ammunition</t>
  </si>
  <si>
    <t xml:space="preserve">Based on a contract over 96 missiles for 13 million EUR, giving a unit price of 135000 USD in 2003, amounting to 194000 USD in 2021. </t>
  </si>
  <si>
    <t>https://www.globalsecurity.org/military/world/europe/aspide.htm</t>
  </si>
  <si>
    <t>The source mentions that the target price for an Italian Aspide Mk1/Mk2 missile is 100000 USD. We use this as price estimator.</t>
  </si>
  <si>
    <t>D-30 howitzer</t>
  </si>
  <si>
    <t>122mm howitzer</t>
  </si>
  <si>
    <t>122mm howitzer ammunition</t>
  </si>
  <si>
    <t>https://books.google.de/books?id=QYrfAAAAMAAJ&amp;pg=RA1-SA1-PA44&amp;lpg=RA1-SA1-PA44&amp;dq=price+125mm+HE+round&amp;source=bl&amp;ots=fdolBJFyKm&amp;sig=ACfU3U01l_fXbBfPdno46XHbd5W7HMx4Hg&amp;hl=en&amp;sa=X&amp;ved=2ahUKEwibv-ulyrz5AhWVVfEDHQQSC4IQ6AF6BAgbEAM#v=onepage&amp;q&amp;f=false</t>
  </si>
  <si>
    <t xml:space="preserve">Source reports a base price of 40000 USD for 125mm rounds for the T-55 and T-62 tanks (page II-27). Book is from 1995, so we assume the price is. We convert the price to $2021, which is 71,120.78 USD (according to https://www.in2013dollars.com/us/inflation/1995?endYear=2021&amp;amount=40000) </t>
  </si>
  <si>
    <t>Non-standard machine gun</t>
  </si>
  <si>
    <t>Assume that a non-standard machine gun is similar to a standard one. The most common types of machine guns are M249 and M240. The average price over both M249 and M240 Machine gun is 5,300 per piece. The range is between 4,000 (M249) and 6,600 (M240)USD.</t>
  </si>
  <si>
    <t>https://www.jeep.com/wrangler.html</t>
  </si>
  <si>
    <t>Manufacturer price</t>
  </si>
  <si>
    <t xml:space="preserve">Source lists a starting price of 31195 USD for a basic unit. We add a mark up of around 3000 USD to account for costumization. </t>
  </si>
  <si>
    <t>Mortar ammunition</t>
  </si>
  <si>
    <t>https://www.todayonline.com/singapore/us-approves-s926-million-sale-precision-guided-mortar-rounds-singapore</t>
  </si>
  <si>
    <t xml:space="preserve">Source reports a contract over 2000 120mm guided mortar rounds, as are used by the M10 mortar, between the US and Singapoore for 66 million USD. This brings the unit cost to 33000 USD per round. </t>
  </si>
  <si>
    <t>Automatic fire arm</t>
  </si>
  <si>
    <t>Assume that automatic firearm is the same as a machine gun. The most common types of machine guns are M249 and M240. The average price over both M249 and M240 Machine gun is 5,300 per piece. The range is between 4,000 (M249) and 6,600 (M240)USD.</t>
  </si>
  <si>
    <t>https://www.defense.gov/News/Contracts/Contract/Article/1561988/</t>
  </si>
  <si>
    <t xml:space="preserve">Contract between US DoD and BAE Systems for 10,185 Advanced Precision Kill Weapon Systems II worth $224,331,310. Unit price is approximately 22,000 USD. </t>
  </si>
  <si>
    <t>Recoiless anti-tank gun</t>
  </si>
  <si>
    <t>Recoilless rifle (RR/RCL)</t>
  </si>
  <si>
    <t>https://www.strategypage.com/htmw/htweap/20141105.aspx</t>
  </si>
  <si>
    <t>Unit cost of a Carl-Gustaf Recoiless launcher.</t>
  </si>
  <si>
    <t>Loitering munition (suicide drone)</t>
  </si>
  <si>
    <t>https://tvpworld.com/37474331/polish-army-to-receive-100-drones-in-2018</t>
  </si>
  <si>
    <t>Unit cost for a Warmate drone.</t>
  </si>
  <si>
    <t>Anti-materiel rifle</t>
  </si>
  <si>
    <t>https://weaponsystems.net/system/475-Barrett+M82</t>
  </si>
  <si>
    <t>The source provides the price for a Barrett M82, which is equivalent to the AG90 rifle used in Sweden (AG90 being the Swedish designation for the M82 Barrett). The source quantifies the price to be 9,800 USD in 2007, which is equivlanent to 12,807.38 USD in 2021 (according to https://www.in2013dollars.com/us/inflation/2007?endYear=2021&amp;amount=9800)</t>
  </si>
  <si>
    <t>Heavy transport drone</t>
  </si>
  <si>
    <t>Cargo drone</t>
  </si>
  <si>
    <t>https://www.jouav.com/blog/heavy-lift-drone.html</t>
  </si>
  <si>
    <t>The prices range from 48,000 USD to 80,000 USD. Hence, we apply the average of 64,000 USD.</t>
  </si>
  <si>
    <t>Anti-drone weapon</t>
  </si>
  <si>
    <t>Anti-drone</t>
  </si>
  <si>
    <t>https://www.rferl.org/a/ukraine-anti-drone-gun-russia-war/31912255.html</t>
  </si>
  <si>
    <t>Source says Ukrainian company produces anti-drone rifles which are priced at 12,000 USD</t>
  </si>
  <si>
    <t>Light machine gun</t>
  </si>
  <si>
    <t>Thermal imaging camera</t>
  </si>
  <si>
    <t>radar and imagery systems</t>
  </si>
  <si>
    <t>https://getnightride.com/blogs/nightride-blog/best-thermal-imaging-camera-value</t>
  </si>
  <si>
    <t>The source mentions a rough estimate that most thermal imaging systems would cost thousands of dollars, and some even up to 5,000 USD. Hence, we use as price estimate this mentioned upper bound.</t>
  </si>
  <si>
    <t>152mm howitzer ammunition</t>
  </si>
  <si>
    <t xml:space="preserve">We report the cost of a round of ammunition of a 155mm howtitzer, given through  the source (98 million CAD for 20000 rounds, equals 3800 USD per round of 155mm shell), as a proxy for 152mm howitzer rounds. </t>
  </si>
  <si>
    <t>Round of ammunition for M777 howitzer</t>
  </si>
  <si>
    <t>https://www.canada.ca/en/department-national-defence/news/2022/05/defence-minister-anita-anand-announces-additional-military-aid-for-ukraine.html</t>
  </si>
  <si>
    <t>The M777 howitzer is a 155mm howitzer. We report the cost of a round of ammunition of a 155mm howtitzer, which is 4900 CAD (98 million CAD for 20,000 shells), so 3,800 USD per shell</t>
  </si>
  <si>
    <t>Ammunition for light anti-armor weapon</t>
  </si>
  <si>
    <t>Light Anti-armor Weapon (LAW) ammunition</t>
  </si>
  <si>
    <t>https://books.google.de/books?id=yLwfAAAAMAAJ&amp;pg=PA1058&amp;lpg=PA1058&amp;dq=66mm+rocket+cost&amp;source=bl&amp;ots=6R5N48jaub&amp;sig=ACfU3U0WpoNaDz-vvRYJb9J-bD1_tUAxXQ&amp;hl=en&amp;sa=X&amp;ved=2ahUKEwiRzq7f0c_4AhWPRPEDHTv_CPEQ6AF6BAgNEAM#v=onepage&amp;q=66mm%20rocket%20cost&amp;f=false</t>
  </si>
  <si>
    <t>A typical light anti-armor weapon is the M72 LAW. This weapon is reloaded with a M72 HEAT rocket, 66mm. The source informs about a US government request to the Congress in 1973 asking for 2,500 new 66mm rocket launchers with a total cost of 1.5 million USD. Hence, one rocket can be quantified with 600 USD in 1973. This corresponds to 3661.76 USD in 2021 (according to https://www.in2013dollars.com/us/inflation/1973?endYear=2021&amp;amount=600)</t>
  </si>
  <si>
    <t>https://nationalpost.com/news/canada/canadian-army-restricts-use-of-artillery-rounds-after-cracks-found-in-high-tech-shells-costing-150000-each#:~:text=Regular%20artillery%20shells%20are%20estimated,up%20to%2040%20kilometres%20away.</t>
  </si>
  <si>
    <t>Source lists the price of Ordinary high-explosive artillery rounds at 2000 USD, which we use as a proxy.</t>
  </si>
  <si>
    <t>howitzer ammunition</t>
  </si>
  <si>
    <t xml:space="preserve">Source lists the price of Ordinary high-explosive artillery rounds at 2000 USD. </t>
  </si>
  <si>
    <t>Single-use anti-tank granade launcher</t>
  </si>
  <si>
    <t>http://www.military-today.com/firearms/m72_law.htm#:~:text=The%20M72%20LAW%20is%20still,200%2C%20depending%20on%20the%20model.</t>
  </si>
  <si>
    <t xml:space="preserve">Main used single shot anti-tank weapon is the M72 LAW. Source lists a range between 750 and 2200 USD for a new unit of M72 LAW. We take the average. </t>
  </si>
  <si>
    <t>https://truegunvalue.com/rifle/heckler-koch/g3/price-historical-value-645</t>
  </si>
  <si>
    <t>The price reflects an average price for a used HECKLER KOCH G3 of 2462.43 USD.</t>
  </si>
  <si>
    <t>https://twitter.com/armorybazaar/status/1076159928287473665</t>
  </si>
  <si>
    <t xml:space="preserve">A twitter source reports a private sale in Syria of the AGS-17 for 1100 USD. </t>
  </si>
  <si>
    <t>https://web.archive.org/web/20110723004716/http://www.airtronic.net/documents/Delivery_Order.pdf</t>
  </si>
  <si>
    <t xml:space="preserve">Since no price is available and the GP-25 is a Russian designation of a similar underbarrel grenade launcher, the American M203, we report the price of the M203 as proxy. </t>
  </si>
  <si>
    <t>Rifle</t>
  </si>
  <si>
    <t>https://www.militarytimes.com/off-duty/gearscout/2012/04/21/u-s-army-places-order-for-24000-m4a1-carbines-with-remington/</t>
  </si>
  <si>
    <t>The most used Rifle in the U.S. Army is the M4 Carbine. We therefore took this model's unit price, which was $673.10 in 2012. This corresponds to approximately 800 USD in 2021 (according to https://www.in2013dollars.com/us/inflation/2012?endYear=2021&amp;amount=673.10)</t>
  </si>
  <si>
    <t>122mm MLRS ammunition</t>
  </si>
  <si>
    <t>https://www.jpost.com/opinion/op-ed-contributors/bankrupting-terrorism-one-interception-at-a-time</t>
  </si>
  <si>
    <t>Source lists the price of one GRAD rocket at 1000 USD.</t>
  </si>
  <si>
    <t>https://dronelife.com/2016/08/17/xtreem-affordable-hd-video-drones/#:~:text=Fly%20Eye%20%E2%80%93%20%24149.99&amp;text=Trim%2Fstabilization%20adjustment.,-Camera%20%E2%80%93%20Wi%2DFi</t>
  </si>
  <si>
    <t xml:space="preserve">Source lists a new price for the FlyEye drone of 149.99 USD, we approx. to 150 USD per Unit. </t>
  </si>
  <si>
    <t>Detonating cord</t>
  </si>
  <si>
    <t>https://sprengtechnik.de/zerstoerung-von-festplatten-durch-sprengung/#:~:text=Der%20Einsatz%20von%20Linearladungen%20%28Sprengschnur%29%20stellt%20hier%20eine,Kosten%20von%2018%20Cent%20f%C3%BCr%20jeden%20vernichteten%20Datentr%C3%A4ger.</t>
  </si>
  <si>
    <t>100 meter 12-g/m-detonating cord costs 90 EUR, hence 99.18 USD.</t>
  </si>
  <si>
    <t>We are using the same price as C-4 explosives as listed above.</t>
  </si>
  <si>
    <t>Gas mask</t>
  </si>
  <si>
    <t>https://www.ebay.com/b/Military-Gas-Mask/158440/bn_55190958</t>
  </si>
  <si>
    <t>The source provides two prices for a new gas mask (bestselling): 49 USD and 75 USD. We apply the average of 62 USD.</t>
  </si>
  <si>
    <t>Portable radio</t>
  </si>
  <si>
    <t>https://www.amazon.com/Radios-Portable-Audio-Video/b?ie=UTF8&amp;node=172681</t>
  </si>
  <si>
    <t>The prices vary from 20 USD up to 60 USD (one exemption up to 500 USD). So we report the median of 40 USD.</t>
  </si>
  <si>
    <t>Lifejacket</t>
  </si>
  <si>
    <t>https://www.amazon.de/-/en/gp/bestsellers/sports/243115011</t>
  </si>
  <si>
    <t>Taking an average over available retail prices in bestseller list</t>
  </si>
  <si>
    <t>Mine</t>
  </si>
  <si>
    <t>https://landminefree.org/facts-about-landmines/#:~:text=It%20is%20estimated%20that%20there,them%20is%20%24300%20to%20%241000.</t>
  </si>
  <si>
    <t>According to the Source, a mine costs between $3 and $30, so we take the average of $16.5.</t>
  </si>
  <si>
    <t>Liter of fuel M</t>
  </si>
  <si>
    <t>https://www.globalpetrolprices.com/gasoline_prices/</t>
  </si>
  <si>
    <t>Usage of global average current fuel price. (31 October 2022)</t>
  </si>
  <si>
    <t>Small-calibre ammunition</t>
  </si>
  <si>
    <t xml:space="preserve">https://www.frankonia.de/p/sellier-bellot/9-mm-luger-vollmantel-8-0g-124grs/65187 </t>
  </si>
  <si>
    <t>Price for a standard 9mm small-calibre ammunition is 20,9 EUR for 50 bullets. Hence, 0.418 EUR for one bullet.</t>
  </si>
  <si>
    <t>We use the price of M101 105mm howitzer as a proxy as no price is available for M50 105mm howitzer light field guns or similarly designated weapons. Average unit costs of M101 105mm based on different contracts from SIPRI database and the source and adjusted to $2021</t>
  </si>
  <si>
    <t>https://www.elindependiente.com/espana/2022/03/03/estas-son-las-armas-que-mandara-espana-a-la-resistencia-ucraniana-en-el-primer-envio/#:~:text=La%20Junta%20de%20Contrataci%C3%B3n%20del,unitario%20de%202.099%2C35%20euros.</t>
  </si>
  <si>
    <t xml:space="preserve">The source lists a price in 2022 of 2099 USD per Unit of anti-tank grenede launcher </t>
  </si>
  <si>
    <t>https://www.asafm.army.mil/Portals/72/Documents/BudgetMaterial/2023/Base%20Budget/Procurement/MSLS_ARMY.pdf</t>
  </si>
  <si>
    <t xml:space="preserve">Price deducted from the US Department of Defense 2023 Budget Estimates. </t>
  </si>
  <si>
    <t>heavy weapon</t>
  </si>
  <si>
    <t>https://en.wikipedia.org/wiki/Advanced_Precision_Kill_Weapon_System</t>
  </si>
  <si>
    <t>Source lists a price of 22000 USD per launcher.</t>
  </si>
  <si>
    <t>ammunition for heavy weapon</t>
  </si>
  <si>
    <t>https://www.economist.com/science-and-technology/2012/09/29/rockets-galore</t>
  </si>
  <si>
    <t>Source lists a price of 2799 USD per Hydra rocket, a type of precision guided 70mm rocket.</t>
  </si>
  <si>
    <t xml:space="preserve">We have no information regarding the type of this missile, but to appoximate it's price we assume it was HAWK, since Spain also sent them later.  Average unit costs based on different contracts from SIPRI database and the source and adjusted to $2021  </t>
  </si>
  <si>
    <t>Chemical, biological, radiological, nuclear protective equipment</t>
  </si>
  <si>
    <t>Field equipment</t>
  </si>
  <si>
    <t>Fuse</t>
  </si>
  <si>
    <t>Protective gear and equipment (including first aid)</t>
  </si>
  <si>
    <t>Small-to-large caliber nonstandard ammunition</t>
  </si>
  <si>
    <t>Tactical decoy</t>
  </si>
  <si>
    <t>Unmanned aerial system</t>
  </si>
  <si>
    <t>Unmanned ground system</t>
  </si>
  <si>
    <t>Weapon locating radar system</t>
  </si>
  <si>
    <t>Military ammunition</t>
  </si>
  <si>
    <t>cold weather gear</t>
  </si>
  <si>
    <t>Since the type of item is undisclosed we cannot estimate it's price</t>
  </si>
  <si>
    <t>fuel</t>
  </si>
  <si>
    <t>https://uklandpower.com/2018/01/11/a-guide-to-modern-mortar-systems/</t>
  </si>
  <si>
    <t xml:space="preserve">Since the source did not specify the exact model, we take the two most popular used by the Lithuanian army. Still, the prices for these mortars are unavailable, so we take the general price for 120mm mortar, which was 370000 EUR in 2018, according to the source. We convert it to current dollars and then to $2021. </t>
  </si>
  <si>
    <t>https://www.marketwatch.com/story/new-army-trucks-may-cost-350000-each-gao-2011-10-27</t>
  </si>
  <si>
    <t>We take the price of an Army truck as approximation. Source reports a price of 350000 USD for new Army Trucks, which we take as proxy for Military Trucks</t>
  </si>
  <si>
    <t>Pick-up</t>
  </si>
  <si>
    <t>https://www.classic.com/m/toyota/pickup-hilux/year-1990/</t>
  </si>
  <si>
    <t xml:space="preserve">According to the German embassy in Ukraine (https://twitter.com/GermanyinUA/status/1547876518327554054), there are a lot of different pickups among those delivered to Ukraine. Among all the cars, one can definitely identify the 1990 Toyota Pickup / Hilux and Mitsubishi L200. We base our estimates on the average price of those two cars, which is 15000 USD for Toyota and 35000 USD for Mitsubishi (https://suchen.mobile.de/auto/mitsubishi-l200.html). </t>
  </si>
  <si>
    <t>https://www.truckscout24.de/sattelzugmaschinen/neu</t>
  </si>
  <si>
    <t xml:space="preserve">Source lists prices for 6 different "Sattelschlepper". We report the average to arrive at 120000 USD per piece. </t>
  </si>
  <si>
    <t xml:space="preserve">https://www.wiwo.de/politik/deutschland/140-millionen-euro-teures-luftabwehrsystem-ukraine-erwartet-im-oktober-erste-iris-t-lieferung/28393480.html. https://mil.in.ua/en/news/iris-t-slm-medium-range-air-defense-system-germany-released-an-updated-list-of-weapons-for-ukraine/ </t>
  </si>
  <si>
    <t xml:space="preserve">Source 1 reports a unit price from the Russo-Ukrainian war of 140 million EUR per piece. </t>
  </si>
  <si>
    <t>Unit cost based on a contract for a Spanish Sandown class frigate, which is the Spanish designation for the British Hunt-class frigate. Contract in 2001 for 117 million USD for 2 Units, which brings the average unit price in 2021 to 87 million USD</t>
  </si>
  <si>
    <t>Air-surveillance radar US</t>
  </si>
  <si>
    <t>https://sofrep.com/news/an-introduction-to-the-an-mpq-64-sentinel-aerial-surveillance-radar-ukraine-is-getting-from-the-us/</t>
  </si>
  <si>
    <t>The US did not disclosed the type of air-surveillance radar that they have sent in USM5, therefore, assuming that this is a AN/MPQ-64 Sentinel air surveillance radar, we set the same price.</t>
  </si>
  <si>
    <t>The source reports the estimated unit cost of 70 million USD.</t>
  </si>
  <si>
    <t>Artillery radar</t>
  </si>
  <si>
    <t>Germany committed COBRA artillery radar. Still, we could not find a robust source for this type of radar price. Thus, we use the cost of ARTHUR artillery radar developed simultaneously by Norway and Sweden. Average unit costs based on different contracts from SIPRI database and the source and adjusted to $2021.</t>
  </si>
  <si>
    <t>https://www.deagel.com/Artillery%20Systems/NASAMS/a000380</t>
  </si>
  <si>
    <t>Source 1 reports a price of USD 50 Million.</t>
  </si>
  <si>
    <t>https://www.navalnews.com/naval-news/2021/01/u-s-navy-will-not-replace-the-patrol-coastals-with-a-new-boat-of-similar-size-and-type/#:~:text=A%20Patrol%20Coastal%20boat%20has,cost%20around%20%2415%20million%20each.</t>
  </si>
  <si>
    <t>Source 1 reports a price of 20 million USD in 1990. We convert it to $2021.</t>
  </si>
  <si>
    <t>Anti-ship missle system</t>
  </si>
  <si>
    <t>https://www.dsca.mil/press-media/major-arms-sales/egypt-harpoon-block-ii-anti-ship-cruise-missiles</t>
  </si>
  <si>
    <t>The source provides information about a contract between the US and Egypt for 20 Harpoon missiles, 4 Command Launcher Control Systems (representing the accompanying system) and further posts like logistic support with a total volume of 145 million USD. Since we have a price for the missiles (1,406,612 USD per missile), we can calculate the value for the 20 missiles and hence, derive by substracting it from the total value of 145 million USD an upper bound price for the Harpoon missile system, amounting to 29,215,940 USD per system. We also convert it to $2021.</t>
  </si>
  <si>
    <t>Combat aircraft</t>
  </si>
  <si>
    <t>https://www.outlookindia.com/website/story/india-news-iafs-mi-17v5-all-about-helicopter-that-crashed-carrying-india-first-cds-bipin-rawat/404303</t>
  </si>
  <si>
    <t xml:space="preserve">Source reports a price for the Mi-17 helicopter. </t>
  </si>
  <si>
    <t>Average unit cost based on a contract signed in July 2022, between Ukraine and a private german company (Krauss-Maffei Wegmann), over 100 Pzh2000 for a total of 1.7 billion EUR (1.717 billion USD), and on different contracts from SIPRI database adjusted to $2021</t>
  </si>
  <si>
    <t>227mm MLRS</t>
  </si>
  <si>
    <t>Average unit costs based on four different contracts from SIPRI database and the source adjusted to $2021</t>
  </si>
  <si>
    <t xml:space="preserve">Source lists a unit price of 1.5 million USD. </t>
  </si>
  <si>
    <t>https://www.defensenews.com/land/2016/12/15/poland-orders-howitzers-in-1-1b-artillery-deal/</t>
  </si>
  <si>
    <t>According to the source, the Polish government bought 96 AHS Krab self propelled howitzers for 1,1 billion USD from a local manufacturer. We divided the total price by the number of items to compute the price per unit. We also convert it to $2021.</t>
  </si>
  <si>
    <t>Mi-24 (deagel.com)</t>
  </si>
  <si>
    <t xml:space="preserve">Source reports a price for the Mi-24 helicopter. </t>
  </si>
  <si>
    <t>https://www.deagel.com/Tactical%20Vehicles/ANTPQ-36/a000601</t>
  </si>
  <si>
    <t xml:space="preserve">We find the price for an enhanced AN/TPQ-53 system as it was reported that the US ordered 180 items to a total price of 1.6 billion USD, which allows to calculate the unit cost. </t>
  </si>
  <si>
    <t>Average unit costs based on  different contracts from SIPRI database and the source adjusted to $2021</t>
  </si>
  <si>
    <t xml:space="preserve">https://www.crz.gov.sk/3819680/ </t>
  </si>
  <si>
    <t>Official government contract listing a purchase of 25 howitzers for roughly 172 million EUR. We convert the price to dollars and then adjust it to a constant $2021.</t>
  </si>
  <si>
    <t>Source lists a donation value of 5.3 million EUR to construct a field hospital. We therefore list the 5.3 million EUR as unit price. We convert it to USD.</t>
  </si>
  <si>
    <t>Combat drones</t>
  </si>
  <si>
    <t xml:space="preserve">Average Unit cost based on 3 contracts listed in the SIPRI arms trade database. </t>
  </si>
  <si>
    <t>122mm MLRS</t>
  </si>
  <si>
    <t>We use the price of the closest variant with the available price. In this case, it is a Chinese Type-90BM 122mm MLRS. Average unit costs of Type-90BM are based on different contracts from the SIPRI database and adjusted to $2021.</t>
  </si>
  <si>
    <t>https://www.tpsgc-pwgsc.gc.ca/app-acq/amd-dp/vbsc-acsv-eng.html</t>
  </si>
  <si>
    <t>Based on the contract for 360 ACSV issued by the Canadian government</t>
  </si>
  <si>
    <t>127mm MLRS</t>
  </si>
  <si>
    <t>As a proxy for the price of the Mars II, we report the average price of the closest variants, the M270 Multiple Rocket Launcher and HIMARS.</t>
  </si>
  <si>
    <t>Vehicle Launched Bridge (VLB)</t>
  </si>
  <si>
    <t>Average unit costs based on four different contracts for analogues(M-60 and M-48 AVLB) from SIPRI database and the source adjusted to $2021</t>
  </si>
  <si>
    <t>Price given by source as Average Unit Cost</t>
  </si>
  <si>
    <t>We estimate the price based on the contract between Netherlands and Finland to buy stored second-hand M270. The price is taken form the SIPRI database and adjusted to $2021.</t>
  </si>
  <si>
    <t>We use the price of 105mm LG1 MK-2 howitzers as a proxy as no price is available for M119 105mm light field guns or similarly designated weapons. Average unit costs of 105mm LG1 MK-2 based on different contracts from SIPRI database and the source and adjusted to $2021</t>
  </si>
  <si>
    <t>Average unit costs based on different contracts from SIPRI database and the source and adjusted to $2021.</t>
  </si>
  <si>
    <t xml:space="preserve">https://www.peterdutton.com.au/australia-to-provide-armoured-personnel-carriers-and-more-bushmasters-to-ukraine/ </t>
  </si>
  <si>
    <t xml:space="preserve">We report the Unit price of a Bushmaster protected mobility vehicle. According to the Australian Source, 20 Bushmaster Protected Mobility Vehicles amounts to 48 million AUD, brining the unit price to 1.65 million USD. </t>
  </si>
  <si>
    <t xml:space="preserve">According to the Australian Source, 20 Bushmaster Protected Mobility Vehicles amounts to 48 million AUD, brining the unit price to 1.65 million USD. </t>
  </si>
  <si>
    <t>We used the average unit price of modified T-72 tanks (T-72A/T-72M1/M1R) to estimate this item since, according to the IISS Military Balance study (2022), both Poland and the Czech Republic had those models in abundance. The source of unit cost is different contracts, mainly from the SIPRI database. We report unit costs in 2021$ using a correspondent national defence deflator for years when contracts were established.</t>
  </si>
  <si>
    <t>152mm howitzer</t>
  </si>
  <si>
    <t>https://military-today.com/artillery/dana.htm</t>
  </si>
  <si>
    <t xml:space="preserve">The source lists a unit price from a contract from 2020 of 1.55 million USD. </t>
  </si>
  <si>
    <t>Self-propelled anti-aircraft weapon</t>
  </si>
  <si>
    <t>https://www.globalsecurity.org/military/world/europe/gepard.htm</t>
  </si>
  <si>
    <t>The source states 37 Gepard Units being sold by Germany to Brazil in 2013 for a total of 37 million EUR. This indicates a EUR value of 1 million EUR per Gepard, translating to roughly 1.05 million USD. We also convert it to $2021.</t>
  </si>
  <si>
    <t>https://www.augsburger-allgemeine.de/politik/bewaffnete-drohnen-bundeswehr-deutschland-heron-tp-flugkoerper-id62284321.html#:~:text=Bewaffnete%20Drohnen%20f%C3%BCr%20Bundeswehr%3A%20Heron,Munition%20%22Special%20Payload%22%20zu.</t>
  </si>
  <si>
    <t>We report the price of a reconnaisance drone. Price per unit given by total price/ amount (152,61 million/140). Value is converted in USD.</t>
  </si>
  <si>
    <t>Price per unit given by total price/ amount (152,61 million/140). Value is converted in USD.</t>
  </si>
  <si>
    <t>Armoured Recovery Vehicle (ARV)</t>
  </si>
  <si>
    <t>Since we cannot find a price for the M114, we approximate it by taking the average cost of the closest analogues, which are FH70 and M198, for this we use SIPRI database.</t>
  </si>
  <si>
    <t>https://survivalfreedom.com/how-much-do-military-drones-cost-a-detailed-look/</t>
  </si>
  <si>
    <t xml:space="preserve">Source reports a price range between 700000 USD and 1 Million USD for less technical advanced drones. Since Skywatch drones are observation devices and have no payload or other weaponry, we take the average between the two values given, to arrive at 850000 USD per Skywatch Drone. </t>
  </si>
  <si>
    <t>Replacement barrels for M777 howitzer</t>
  </si>
  <si>
    <t xml:space="preserve">https://www.canada.ca/en/department-national-defence/news/2022/06/minister-anand-announces-further-military-aid-for-ukraine.html </t>
  </si>
  <si>
    <t>Source lists 9 replacement barrels being worth 10 million AUD, we convert the unit price based on the average conversion rate over the last month (May 9 until June 9, 2022)</t>
  </si>
  <si>
    <t>Price deducted from different contracts taken from the SIPRI database</t>
  </si>
  <si>
    <t>Transport aircraft</t>
  </si>
  <si>
    <t>https://www.globalplanesearch.com/europe/helicopters/mil/mi_2.htm</t>
  </si>
  <si>
    <t xml:space="preserve">The source reports prices between 70000 USD, 80000 USD and 1.8 million USD. We therefore report the average price. </t>
  </si>
  <si>
    <t>Average unit costs based on four different contracts from SIPRI database and the source adjusted to $2021.</t>
  </si>
  <si>
    <t>It is reported that the unit cost for an Iveco LMV 2 is to be estimated to be 500,000 EUR. We use this as a proxy for the Iveco M 40.12 WM/P 4x4. We convert it to dollars.</t>
  </si>
  <si>
    <t>unknown howitzer</t>
  </si>
  <si>
    <t>Estimation of the price is impossible.</t>
  </si>
  <si>
    <t xml:space="preserve">Source lists a unit price of 5.17 million USD. </t>
  </si>
  <si>
    <t>https://www.newdelhitimes.com/portuguese-army-acquires-vamtac/</t>
  </si>
  <si>
    <t>According to the source, 139 VAMTACs cost 60.8 million EUR, hence one VAMTAC cost 437,410 EUR, or converted in USD: 461,730</t>
  </si>
  <si>
    <t>https://www.defensenews.com/global/2017/10/02/taiwan-acquires-orbital-atk-cannons-for-local-vehicle-program/</t>
  </si>
  <si>
    <t xml:space="preserve">The source lists a taiwan contract fro 285 cannons for a total of 112 million USD, bringing the unit cost to 390000 USD. </t>
  </si>
  <si>
    <t>https://www.seaforces.org/wpnsys/SURFACE/DS30M-30mm-gun-UK.htm</t>
  </si>
  <si>
    <t xml:space="preserve">The source states the similarity between the MSI DSI 30 mm gun system and the MK44 30mm Bushmaster II cannon. We therefore report the price of the MK44 cannon here as a proxy, since no other price was available. </t>
  </si>
  <si>
    <t>Demining set</t>
  </si>
  <si>
    <t xml:space="preserve">According to SKM1, Slovakia has pledged 1,7 million EUR in the shipment of 5 demining sets and medical equipment. Since we could not find the price of the demining sets, we assumed that the sets costs 1,7 million EUR and divided them by 5. Also, we then converted in USD (2.06.2022, 18,33). </t>
  </si>
  <si>
    <t>New Army trucks may cost $350,000 each: GAO - MarketWatch</t>
  </si>
  <si>
    <t>Source reports a price of 350000 USD for new Army Trucks, which we take as proxy for Military Trucks</t>
  </si>
  <si>
    <t>https://www.businessinsider.com/armored-car-inkas-sentry-civilian-bulletproof-suv-military-price-2020-9</t>
  </si>
  <si>
    <t>Since Roshel does not provide detailed information regarding its individually designed and produced armored vehicles we relied on the price for an INKA Sentry Civilian, which is normally used by SWAT units from the police. INKA is also a Canadian-based armored vehicle company such as Roshel. We are using this price as an estimator for the Roshel Senator APC.</t>
  </si>
  <si>
    <t>Since these are "Tactical Vehicles to tow weapons" use the price for an Army Truck. Source reports a price of 350000 USD for new Army Trucks</t>
  </si>
  <si>
    <t xml:space="preserve">Source reports a price of 350000 USD for new Army Trucks, which we use as a proxy for Towing Vehicles. </t>
  </si>
  <si>
    <t>We report the unit price of an M577 Command post carrier as a proxy. Average unit costs based on five different contracts (Lithunia has been omitted as they bought M577 second hand from Germany).</t>
  </si>
  <si>
    <t>http://www.military-today.com/apc/m113a3.htm#:~:text=The%20unit%20cost%20of%20a,to%20A3%20costs%20%24160%20000.</t>
  </si>
  <si>
    <t>Unit cost of a new M113A3.</t>
  </si>
  <si>
    <t>Price extracted from the 2021 Pentagon Budget for a Launcher plus a missile.</t>
  </si>
  <si>
    <t>http://www.army-guide.com/eng/product4461.html</t>
  </si>
  <si>
    <t xml:space="preserve">Source lists one contract from 2006 and 2007 over 20 BVP-1 amounting to 5 million USD. This brings the unit cost to 250000 USD. </t>
  </si>
  <si>
    <t xml:space="preserve">Price deducted from the 2021 annual Pentagon Budget. </t>
  </si>
  <si>
    <t xml:space="preserve">Since the source reports a donation of up to 580 Phoenix Ghost unmanned aerial systems , amounting to 95 million USD, we compute the average cost per unit by diving the overall price by 580. </t>
  </si>
  <si>
    <t>Air defense launcher</t>
  </si>
  <si>
    <t xml:space="preserve">MANPADS </t>
  </si>
  <si>
    <t>https://en.wikipedia.org/wiki/FIM-92_Stinger</t>
  </si>
  <si>
    <t xml:space="preserve">We report the price for an FIM-92 Stinger, a popular type of MANPAD, as an approximation. </t>
  </si>
  <si>
    <t>Shoulder fired MANPAD</t>
  </si>
  <si>
    <t>We report the price of a FIM-92 Stinger, as it is a popular type of MANPAD.</t>
  </si>
  <si>
    <t xml:space="preserve">The source lists a price from 2020 just for the launcher. </t>
  </si>
  <si>
    <t>https://www.rferl.org/a/explainer-lrad-sound-cannon/24927845.html</t>
  </si>
  <si>
    <t xml:space="preserve">Source lists a price range between 5000 and 190000 USD. We take the average between those values. </t>
  </si>
  <si>
    <t>Ton of rifle + MG round</t>
  </si>
  <si>
    <t>https://www.luckygunner.com/rifle/5.56x45-ammo</t>
  </si>
  <si>
    <t xml:space="preserve">We estimate 100 rounds of MG ammunition per kg, which brings the total number of bullets per tonne to 100000. Using an average price of 0.85 USD per round from source 1, we arrive at a value estimate of 85000 USD per tonne of ammo. </t>
  </si>
  <si>
    <t>Anti-armor system</t>
  </si>
  <si>
    <t>https://www.thedefensepost.com/2022/05/03/lockheed-ramp-up-javelin-production/</t>
  </si>
  <si>
    <t>According to Source 1 the price for a Javelin, the most used Anti armor weapon system in this conflict, is reported to be 78000 USD per missile, extracted from the 2021 Pentagon budget.</t>
  </si>
  <si>
    <t xml:space="preserve">As approximation, we apply the unit cost of one Javeline missile, extracted from the 2021 Pentagon Budget. </t>
  </si>
  <si>
    <t>Source lists a price of 78000 USD for a Javelin missile, extracted from the 2021 Pentagon budget.</t>
  </si>
  <si>
    <t>Missile (including NLAWs and Javelin anti-tank weapons)</t>
  </si>
  <si>
    <t xml:space="preserve">Source lists a price of 78000 USD for a Javelin missile, extracted from the 2021 Pentagon budget, which we use as a proxy for missiles here. </t>
  </si>
  <si>
    <t xml:space="preserve">https://www.thetimes.co.uk/article/15m-army-drones-grounded-by-rain-rnbfsnq23 </t>
  </si>
  <si>
    <t>According to the official website of the British army (https://www.army.mod.uk/equipment/artillery-and-air-defence/) Desert hawk is the primary drone used right now, so we assume it was sent to Ukraine. Based on the information provided by the financial times, the UK Ministry of Defence spent £11.8m buying 221 Desert Hawks. Using the yearly average exchange rate for 2017 by the Bank of England and deflators from BAE, we calculate the price at $2021.</t>
  </si>
  <si>
    <t>https://www.thesoldiersproject.org/how-much-does-a-military-humvee-cost/</t>
  </si>
  <si>
    <t>The source lists the 2020 price for military humvees as 254717 USD</t>
  </si>
  <si>
    <t>https://www.army.mil/article/193339/army_to_rapidly_procure_reusable_shoulder_fired_weapon_system</t>
  </si>
  <si>
    <t xml:space="preserve">To approximate the price of the M2 Carl Gustaf rifle, we take the price of newer version, which is M3E1, since the price for M2 is unavailable. According to the Source, the US army bought 1111 M4 rifles for 40 million USD in 2017, which means that each rifle cost 36,000 USD in 2017. This corresponds to 39,796.53 USD in 2021. (according to https://www.in2013dollars.com/us/inflation/2017?endYear=2021&amp;amount=36000)  </t>
  </si>
  <si>
    <t>https://www.axios.com/2022/05/28/us-awards-replenish-stinger-stock-ukraine</t>
  </si>
  <si>
    <t>Contract between US Army and Raytheon Technologies a to produce 1300 Stinger anti-aircraft missiles for 624 million USD. This amounts to 480,000 USD per missile</t>
  </si>
  <si>
    <t>Anti-tank weapon</t>
  </si>
  <si>
    <t>https://www.jpost.com/international/article-699010</t>
  </si>
  <si>
    <t>The price for an NLAW, a popular type of anti-tank weapon. Source reports that each single-shot NLAW unit is over 40,000 USD</t>
  </si>
  <si>
    <t>Source reports that each single-shot NLAW unit is over 40,000 USD</t>
  </si>
  <si>
    <t>Strela man portable air defense system</t>
  </si>
  <si>
    <t>https://en.wikipedia.org/wiki/9K32_Strela-2</t>
  </si>
  <si>
    <t>https://www.theguardian.com/world/2022/mar/23/uk-doubles-number-of-missiles-sent-to-ukraine-ahead-of-nato-summit</t>
  </si>
  <si>
    <t>Deducted price by dividing the total amount given by donor (GBP 120 million) by the number of units donated (6000) (Donation ID UKM4, UKF1).</t>
  </si>
  <si>
    <t>Grenade launcher</t>
  </si>
  <si>
    <t>https://www.strategypage.com/htmw/htweap/articles/20110330.aspx</t>
  </si>
  <si>
    <t>We use the price of a variant of this SB-40 LAG, which is Mk 19. Source records the price of Mk19 as 20,000 USD</t>
  </si>
  <si>
    <t>https://www.militaryfactory.com/smallarms/detail.php?smallarms_id=18</t>
  </si>
  <si>
    <t xml:space="preserve">Standard price for M224 60mm mortar is 10,658 USD. We use M224 as a proxy   </t>
  </si>
  <si>
    <t>https://www.militarytimes.com/off-duty/gearscout/2022/05/12/panzerfaust-3-the-cold-war-weapon-wrecking-russian-tanks-in-ukraine/</t>
  </si>
  <si>
    <t xml:space="preserve">Source lists a price for the IT-600 version Panzerfaust 3 "Bunkerfaust" with 11108 USD per unit. </t>
  </si>
  <si>
    <t>https://www.defensie.nl/onderwerpen/materieel/bewapening/accuracy-antipersoneel-snipergeweer-7.62mm , https://www.guncritic.com/product/accuracy-international-ax308/ , https://www.guncritic.com/product/accuracy-international-ax338/</t>
  </si>
  <si>
    <t>According to the official defence ministry website Netherlands uses AX308 and AX338 rifles, so we average over the retail price for both AX308 (5699.99 USD) and AX338 (11,049.15 USD) to arrive at the item price of 8374.57 USD</t>
  </si>
  <si>
    <t>https://www.kyivpost.com/ukraine-politics/u-s-donates-2500-night-vision-devices-ukraines-armed-forces-video.html</t>
  </si>
  <si>
    <t xml:space="preserve">Media reports 2500 devices being donated for a total sum of 5,800,000 USD. This brings the unit price to 2320 USD. </t>
  </si>
  <si>
    <t>https://www.defenceweb.co.za/land/land-land/morocco-to-receive-laser-rangefinders/</t>
  </si>
  <si>
    <t>Source reports the price of 172 laser rangefinders as 8,841,488 USD, which equals 51,404 USD per unit</t>
  </si>
  <si>
    <t>https://engineerine.com/switchblade-will-turn-the-tide-in-ukraine/</t>
  </si>
  <si>
    <t xml:space="preserve">The Price is listed as 6000 USD in our source for Switchblade 300 Drones, one of the most commonly used types of drones in this conflict. </t>
  </si>
  <si>
    <t>https://www.dw.com/en/ukraine-warns-russia-is-trying-to-split-country-in-two-as-it-happened/a-61271087</t>
  </si>
  <si>
    <t>Ukraine bought 5,100 Matadors from the manufacturer for $27.4 million, so we calculate the price of one unit using this information.</t>
  </si>
  <si>
    <t>Machine gun</t>
  </si>
  <si>
    <t>https://www.rockislandauction.com/detail/1039/2976/czech-uk-vz-59-semiautomatic-rifle</t>
  </si>
  <si>
    <t>The website reports a realized price of 5175 USD which we prefer against the estimated price range that is also reported.</t>
  </si>
  <si>
    <t>https://nationalinterest.org/blog/buzz/czech-military-adopt-new-small-arms-including-fn-minimi-machine-guns-198826</t>
  </si>
  <si>
    <t xml:space="preserve">Source says that Czech government will buy 949 FN Herstal Minimi machine guns for 50 million USD. This leads to 52,687 USD per unit. </t>
  </si>
  <si>
    <t>The source states Canada has given Ukraine over 20000 units worth 98 million CAD, which is 4900 CAD per unit. We convert this to USD to arrive at the unit cost of approximately 3800 USD per round of 155mm NATO shells</t>
  </si>
  <si>
    <t>https://www.thefirearmblog.com/blog/2013/01/08/the-fn-fnc-affordable-select-fire-5-56/#:~:text=Anyways%2C%20you%20can%20buy%20a,on%20a%20great%20little%20rifle</t>
  </si>
  <si>
    <t>The source lists a unit price of 3000 USD for a semi automatic FNC</t>
  </si>
  <si>
    <t>https://www.ncbi.nlm.nih.gov/pmc/articles/PMC7305019/</t>
  </si>
  <si>
    <t xml:space="preserve">Source lists a range between 2000 USD and 37,000 USD for a new incandescent light system. We take the average. </t>
  </si>
  <si>
    <t>Round of 84 mm ammunition</t>
  </si>
  <si>
    <t>Recoilless rifle (RR/RCL) ammunition</t>
  </si>
  <si>
    <t>Source gives a range between 500 USD and 3000 USD for 84mm anti-tank rounds. We take the average, which is 1750 USD</t>
  </si>
  <si>
    <t>Anti-armor weapon</t>
  </si>
  <si>
    <t>https://inetres.com/gp/military/infantry/antiarmor/AT4.html#:~:text=The%20AT4-CS%20will%20continue%20to%20be%20the%20U.S.,Classification%20Date%3A%203rd%20Quarter%20FY04.%20Unit%20cost%3A%20%242%2C700</t>
  </si>
  <si>
    <t>We assume the US sent the same anti-armour weapon as before. The price for a M136 AT4-CS Anti-armor Weapon is 2700 USD in 2004. This corresponds to approximately 3873.05 USD in 2021 (according to https://www.in2013dollars.com/us/inflation/2004?endYear=2021&amp;amount=2700)</t>
  </si>
  <si>
    <t>https://en.wikipedia.org/wiki/RPG-7</t>
  </si>
  <si>
    <t>Unit cost for a related RPG-7 85 mm missile serves as an estimation.</t>
  </si>
  <si>
    <t>Grenade launcher (M320 or M203)</t>
  </si>
  <si>
    <t>Under-barrel grenade launcher</t>
  </si>
  <si>
    <t>https://www.thefirearmblog.com/blog/2008/12/05/40mm-m320-grenade-launcher-will-be-replace-m203-next-year/ ; https://web.archive.org/web/20110723004716/http://www.airtronic.net/documents/Delivery_Order.pdf</t>
  </si>
  <si>
    <t>Since we cannot determine which grenade launcher they sent, we take the average price of the two most commonly used in the US army. Average price of M320 is 3500 USD and average price of M203 is 1082 USD. The average of these is 2291 USD</t>
  </si>
  <si>
    <t>As the item comprises several different artillery ammunitions, we use "the regular artillery shell" cost (see the Source of Unit Price) of about 2,000 USD as estimation.</t>
  </si>
  <si>
    <t>Artillery round</t>
  </si>
  <si>
    <t>Light anti-armor weapon</t>
  </si>
  <si>
    <t xml:space="preserve">Source lists a range between 750 and 2200 USD for a new unit of M72 LAW (light anti-armor weapon). We take the average. </t>
  </si>
  <si>
    <t xml:space="preserve">Source lists a range between 750 and 2200 USD for a new unit of M72 LAW. We take the average. </t>
  </si>
  <si>
    <t>Single-shot anti-tank weapon</t>
  </si>
  <si>
    <t>Ton of fuel</t>
  </si>
  <si>
    <t>https://www.globalpetrolprices.com/gasoline_prices/ ; https://aviationbenefits.org/environmental-efficiency/climate-action/sustainable-aviation-fuel/conversions-for-saf/</t>
  </si>
  <si>
    <t>On October 31st 2022, the average price of 1 liter of fuel was 1.29 USD around the world. One ton of fuel corresponds to 1,250 liters. Hence, 1 ton of fuel has an average price of 1,612.5 USD.</t>
  </si>
  <si>
    <t>https://en.wikipedia.org/wiki/RK_62#Export_(Military/LE)</t>
  </si>
  <si>
    <t>As the source shows, the Finish main used Rifle is RK 62, an upgraded AK47. AK47 costs around 1,250 USD, so we estimated the value of the RK 62 to 1,500 USD</t>
  </si>
  <si>
    <t>https://man.fas.org/dod-101/sys/land/at4.htm</t>
  </si>
  <si>
    <t xml:space="preserve">Source reports a unit replacement cost of 1480 USD per M136 AT4 anti tank weapon. </t>
  </si>
  <si>
    <t>Combat helmet</t>
  </si>
  <si>
    <t>https://www.armytimes.com/news/your-army/2019/04/16/heres-the-new-helmet-that-socom-operators-will-take-into-battle/</t>
  </si>
  <si>
    <t>Standard price for individual modern combat helmet without optional accessories</t>
  </si>
  <si>
    <t>Helmet</t>
  </si>
  <si>
    <t>https://www.waffenschumacher.com/wp-content/uploads/2017/10/VISIER_CSA_Czech-Small-Arms-Sa-vz.58-11-2013.pdf</t>
  </si>
  <si>
    <t>This report lists five different prices in Euro, depending on the model, so that we take the average (1163 EUR) and report the converted value in USD.</t>
  </si>
  <si>
    <t>https://www.guncritic.com/product/cz-vz-61-scorpion-32acp-blue/</t>
  </si>
  <si>
    <t>The website reports this price for a new weapon,  705 USD MSRP</t>
  </si>
  <si>
    <t>Pistol</t>
  </si>
  <si>
    <t>https://truegunvalue.com/pistol/sig-p228/price-historical-value/new/2</t>
  </si>
  <si>
    <t xml:space="preserve">The average retail price for a SIG P228 is 1071.64 USD. </t>
  </si>
  <si>
    <t>https://truegunvalue.com/rifle/ak-47/price-historical-value</t>
  </si>
  <si>
    <t>According to the source, an AK 47 rifle is currently worth an average price of approximately 850 USD new</t>
  </si>
  <si>
    <t>https://www.221btactical.com/blogs/news/how-much-does-a-bulletproof-vest-cost</t>
  </si>
  <si>
    <t>400 to 600 USD for an external (overrt) soft body armor vest. Hence, the average price is 500 USD.</t>
  </si>
  <si>
    <t>105mm</t>
  </si>
  <si>
    <t>https://taskandpurpose.com/news/ac-130-gunship-105mm-cannon/</t>
  </si>
  <si>
    <t xml:space="preserve">The Source lists a price of 400 USD per high explosive (HE) round of 105mm guns, which we use here as a proxy. </t>
  </si>
  <si>
    <t>Ballistic vest Austria</t>
  </si>
  <si>
    <t>http://army-warehouse.com/10-servicecard-artikel/226-osterr-bundesheer-splitter-schutzweste-kampfweste-obh.html?msclkid=6fe95c5ecf7111ecbc7bf25f9bd8a5b5</t>
  </si>
  <si>
    <t>The source gives the price for an Austrian ballistic vest to 300 EUR, which is 316.68 USD.</t>
  </si>
  <si>
    <t>Missile for Czech-made RM-70 multiple rocket launcher</t>
  </si>
  <si>
    <t>Source lists the price of one GRAD rocket at 1000 USD. Czech RM-70 uses 122mm GRAD rockets (see https://www.armyrecognition.com/czech_army_artillery_vehicle_weapon_systems_uk/rm-70_m1972_122mm_mlrs_multiple_launch_rocket_system_technical_data_sheet_specifications_pictures.html)</t>
  </si>
  <si>
    <t>GEPARD ammunition round</t>
  </si>
  <si>
    <t>Anti-aircraft guns ammunition</t>
  </si>
  <si>
    <t>https://books.google.de/books?id=8J43AAAAIAAJ&amp;pg=PA4558&amp;lpg=PA4558&amp;dq=oerlikon+35+mm+ammunition+cost&amp;source=bl&amp;ots=AckNN2-QzT&amp;sig=ACfU3U3R0hGRH6Ksb8A4zR7RyTB_hML2MA&amp;hl=en&amp;sa=X&amp;ved=2ahUKEwjhucjeza35AhXvMuwKHbDKC1YQ6AF6BAg_EAM#v=onepage&amp;q=oerlikon%2035%20mm%20ammunition%20cost&amp;f=false</t>
  </si>
  <si>
    <t>Since GEPARD has Oerlikon 35 mm cannons, we report ammunition prices for this cannon type. The price of 35 mm round costed $53 in 1975. This corresponds to $266.94 in 2021 (according to https://www.in2013dollars.com/us/inflation/1975?endYear=2021&amp;amount=53)</t>
  </si>
  <si>
    <t>https://survivalfreedom.com/how-much-does-ammo-cost-detailed-price-analysis/</t>
  </si>
  <si>
    <t xml:space="preserve">Since no price is available for 23x152mm rounds or caliber 23 in general, we use the price for caliber 30mm, a more modern variant of anti-air ammunition, which the source reports a cost of around 100 USD. </t>
  </si>
  <si>
    <t>Hand grenade</t>
  </si>
  <si>
    <t>https://en.wikipedia.org/wiki/M67_grenade</t>
  </si>
  <si>
    <t>Average cost in 2021 is 45 USD.</t>
  </si>
  <si>
    <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t>
  </si>
  <si>
    <t>The price of 2 first aid boxes is 75.63 USD, hence the price is 37.82 per unit</t>
  </si>
  <si>
    <t>Food ration M</t>
  </si>
  <si>
    <t>https://www.bw-online-shop.com/outdoor/outdoorkueche/verpflegung/epa-einmannpackung-typ-2.html</t>
  </si>
  <si>
    <t>According to the Bundeswehr, they use the "Einmannpackung" (Epa) as a standard good. The price is, according to the bundeswehr shop, 20 EUR for different types of this Epa. This corresponds to 22 USD.</t>
  </si>
  <si>
    <t>Combat ration package</t>
  </si>
  <si>
    <t>Field ration</t>
  </si>
  <si>
    <t>Individual meal pack</t>
  </si>
  <si>
    <t>Detonator</t>
  </si>
  <si>
    <t>Outdoor Zündstein Fire Steel - Feuerstarter Anzünder Feuerstein Bundeswehr | eBay</t>
  </si>
  <si>
    <t xml:space="preserve">Item is representative of Bundeswehr lighers. Price is originally in EUR (8.99 EUR). Since we convert only the total sum in USD in the end, we report this single price, by converting. </t>
  </si>
  <si>
    <t xml:space="preserve">Price over multiple different ammunition types. </t>
  </si>
  <si>
    <t>The price is an average over the various rounds of ammuntion sent, including small arms rounds, grenades and mortar rounds (Donation ID USM1)</t>
  </si>
  <si>
    <t>Round of small arms ammunitions, grenade launchers and mortar rounds</t>
  </si>
  <si>
    <t>Hub NB 7,62-59 (TŽ, OKRAJ.)</t>
  </si>
  <si>
    <t>https://www.ammograb.com/762x51mm-nato/</t>
  </si>
  <si>
    <t>The price for 20 rounds of 7.62x51mm NATO ammunition which is used for the UK vz. 59 machine gun, is 19 USD. Hence, one round costs 0.95 USD.</t>
  </si>
  <si>
    <t>Hub NB 7,62-SV 59 (TŽ-SV)</t>
  </si>
  <si>
    <t>https://www.ammunitiondepot.com/304-762x39mm</t>
  </si>
  <si>
    <t>A variety of prices, ranging from 0.45 USD per round up to 0.71 USD per round, so we take the median of 0.58 USD per round as approximation.</t>
  </si>
  <si>
    <t>https://www.army.mil/article/194221/new_40_mm_grenades_to_enhance_training_readiness#:~:text=The%20tactical%20rounds%20cost%20%2450,which%20will%20cost%20around%20%247.</t>
  </si>
  <si>
    <t xml:space="preserve">Tactical 40mm rounds cost $50 or $60. We take the average. </t>
  </si>
  <si>
    <t>https://web.archive.org/web/20150518063830/http://defense-update.com/products/d/dingo-kmw.htm</t>
  </si>
  <si>
    <t xml:space="preserve">Source reports a prices of USD 500000. </t>
  </si>
  <si>
    <t>https://www.truckpaper.com/listings/trucks/for-sale/list/manufacturer/oshkosh/model/m1070</t>
  </si>
  <si>
    <t xml:space="preserve">Source reports 8 different prices for the M1070, we take the average to arrive at a unit price of 94550 USD. </t>
  </si>
  <si>
    <t>Price deducted from the 2021 annual Pentagon Budget. Page 43, Gross/Weapon System Unit Cost, FY 2021 Total</t>
  </si>
  <si>
    <t xml:space="preserve">Media reports 2500 devices being donated for 5800000 USD total. This brings the unit cost to 2320 USD. </t>
  </si>
  <si>
    <t>http://www.military-today.com/apc/kirpi.htm</t>
  </si>
  <si>
    <t>Contract</t>
  </si>
  <si>
    <t>Based on a contract between 2008 and 2018 valued at USD 157 million for 468 Kirpis. This brings the unit cost to USD 335,470</t>
  </si>
  <si>
    <t>Aviation and Drones</t>
  </si>
  <si>
    <t>https://en.wikipedia.org/wiki/Boeing_Insitu_ScanEagle</t>
  </si>
  <si>
    <t>ScanEagle system costs US$3.2 million in 2006</t>
  </si>
  <si>
    <t>Heavy Weapon</t>
  </si>
  <si>
    <t>http://www.army-guide.com/eng/product4033.html</t>
  </si>
  <si>
    <t>Based on a contract between 2017 and 2019 valued at USD 440 million for 1085 Vehicles. This brings the unit cost to USD 405,530</t>
  </si>
  <si>
    <t>Tube-Launched, Optically-Tracked, Wire-Guided (TOW) missiles</t>
  </si>
  <si>
    <t xml:space="preserve">Price extracted from the 2021 Pentagon Budget for TOW 2 missile. Page 77, Gross/Weapon System Unit Cost, FY 2021  
</t>
  </si>
  <si>
    <t xml:space="preserve">Price extracted from the 2021 Pentagon Budget for a Launcher plus a missile. Page 65, Gross/Weapon System Unit Cost, FY 2021 Total  </t>
  </si>
  <si>
    <t>Assumed to be a Javelin missile as the donation included Javelins. Source lists a price of 78000 USD for a Javelin missile, extracted from the 2021 Pentagon budget.</t>
  </si>
  <si>
    <t>Germany plans to supply Ukraine with COBRA counter-battery radars - Militarnyi</t>
  </si>
  <si>
    <t>Price of a German manufactured artillery radar (COBRA). We converted the price in USD dollar first</t>
  </si>
  <si>
    <t>https://www.airforce-technology.com/news/czech-republic-to-buy-iron-dome-from-israel/#:~:text=The%20Czech%20Republic%20yesterday%20signed,a%20cost%20of%20%24125m.&amp;text=The%20%24125m%20contract%20covers%20eight%20multi%2Dmission%20radars.</t>
  </si>
  <si>
    <t>Based on a contract between Czech Republic and Israel valued at USD 125 million for 8 MMR. This brings per unit cost to USD 15,625,000. Since the exact type of MMR is not given, we use ELM-2084 'Iron Dome' Multi-Mission Radars as proxy.</t>
  </si>
  <si>
    <t>https://en.wikipedia.org/wiki/M982_Excalibur</t>
  </si>
  <si>
    <t>We use the price of M982 Excalibur which is a 155 mm extended-range guided artillery shell developed by the US</t>
  </si>
  <si>
    <t>Main battle tank (MBT)</t>
  </si>
  <si>
    <t>https://www.rtvslo.si/news-in-english/the-ministry-of-defense-s-auction-of-old-m-55s-results-in-a-single-sale/453024</t>
  </si>
  <si>
    <t xml:space="preserve">The source reports an auction price of 820000 EUR that the Slovenian Ministry of Defence agreed upon in 2018. Since the tank is a heavily upgraded version of a soviet T-55 tank and the upgrades reportedly having been very expensive, we report this price instead of a unit price with singular upgrade costs added. </t>
  </si>
  <si>
    <t>See explanation of CZM21 in MAIN DATA</t>
  </si>
  <si>
    <t>We take a price of a Cortale NG. Average unit costs based on different contracts from SIPRI database and the source and adjusted to $2021</t>
  </si>
  <si>
    <t xml:space="preserve">According to official statements of the US and Netherlands total price to overhaul 90 T-72 tanks provided by the Czech republic is 90 USD million, meaning that on average, the overhaul of each unit costs 1 USD million. </t>
  </si>
  <si>
    <t>We take a price of a Chinese variant of Model 56 produced by NORINCO. Average unit costs based on different contracts from SIPRI database and the source and adjusted to $2021</t>
  </si>
  <si>
    <t>https://www.theguardian.com/world/2022/nov/03/a-joke-that-went-out-of-control-crowdfunding-weapons-for-ukraines-war</t>
  </si>
  <si>
    <t xml:space="preserve">In November 2022 50 Spartans were purchased for 5.5 USD million </t>
  </si>
  <si>
    <t>The source report the price for canadian winter military uniform, we convert it to current USD. We convert it to USD using the average exchange rate for 2022 (until 25 November).</t>
  </si>
  <si>
    <t>http://www.cgri.gr/435833_69-0/MITOS2.HTM</t>
  </si>
  <si>
    <t>Source mentions price between 1200 and 1400 USD per piece, we average at 1300.</t>
  </si>
  <si>
    <t>We use prices for a US naval drone boat. The US sent 35 coastal patrol boats to Jordan, worth 80 million USD. This allows an approximation for the unit cost. We also convert this value to $2021.</t>
  </si>
  <si>
    <t>https://www.military.africa/2022/10/nigerian-army-acquires-medium-girder-bridge-from-uk-to-boost-logistics/</t>
  </si>
  <si>
    <t>Source lists a contract between Nigeria and the UK for 2.268 million USD for 1 unit of a medium bridge system.</t>
  </si>
  <si>
    <t>https://www.gao.gov/assets/psad-76-153.pdf</t>
  </si>
  <si>
    <t>Source lists a price of 297900 USD in 1979 for armoured engineering vehicle, which translated to 2020 prices amounts to 1240159 USD per piece.</t>
  </si>
  <si>
    <t>As a proxy we use the price for a MaxxPro mine clearing vehicle. Based on a contract between 2017 and 2019 valued at USD 440 million for 1085 Vehicles. This brings the unit cost to USD 405,530</t>
  </si>
  <si>
    <t xml:space="preserve"> Average unit costs based on different contracts from SIPRI database and the source and adjusted to $2021</t>
  </si>
  <si>
    <t>We take the average price of winter uniforms pledged by Canada and Lithuania from our dataset</t>
  </si>
  <si>
    <t>https://tanks-encyclopedia.com/modern/south_africa/mamba_apc#:~:text=The%20Mamba%204%C3%974,had%20developed%20at%20the%20time.</t>
  </si>
  <si>
    <t>The source mentions the price of a Mamba 4x4 of 94462 USD in 2020, transferred from a corresponding value in 1993.</t>
  </si>
  <si>
    <t>Man-portable Anti-tank weapon</t>
  </si>
  <si>
    <t>Shotgun</t>
  </si>
  <si>
    <t>https://truegunvalue.com/shotgun/mossberg/500/price-historical-value-1217 | https://truegunvalue.com/shotgun/benelli-m4/price-historical-value</t>
  </si>
  <si>
    <t>The average retail price over all used Shotguns by the U.S. Military (Mossberg approximately 500 USD; Benelli M4 approximately 1,800 USD) is 1,100 USD.</t>
  </si>
  <si>
    <t>Round of ammunition for 60 mm LMP 2017 mortar</t>
  </si>
  <si>
    <t>60mm Mortar Ammunition And Fuzes (inetres.com)</t>
  </si>
  <si>
    <t>See under M722 WP of the source</t>
  </si>
  <si>
    <t>Rifle + MG Round</t>
  </si>
  <si>
    <t xml:space="preserve">The Spanish Army uses almost exlusively 5.56 mm rounds for Rifles and MGs. The price for 20 rounds of 5.56 mm rounds is 17 USD. Hence, one round costs 0.85 USD. </t>
  </si>
  <si>
    <t>Hub NB 7.65-Browning</t>
  </si>
  <si>
    <t>https://classic.ammoseek.com/ammo/32acp</t>
  </si>
  <si>
    <t xml:space="preserve">Source reports single cartridge price of 0.50 USD. </t>
  </si>
  <si>
    <t>https://www.armormax.com/blog/how-much-does-a-bulletproof-car-cost/#:~:text=Buying%20an%20armored%20car%20is,while%20others%20need%20special%20work.</t>
  </si>
  <si>
    <t>Price range for armored vehicle is reported from 30,000 to 90,000 USD, therefore we take the average price.</t>
  </si>
  <si>
    <t>We take the price of Spartan as a proxy, since it is a variant</t>
  </si>
  <si>
    <t>Off-road vehicle for demining operations</t>
  </si>
  <si>
    <t xml:space="preserve">https://www.caranddriver.com/jeep/wrangler </t>
  </si>
  <si>
    <t>As a proxy, we use the price of a 2023 Jeep Wrangler 4x4.</t>
  </si>
  <si>
    <t>https://a5250379796602ad.en.made-in-china.com/product/oSpQOGHuhFYR/China-Portable-Ground-Surveillance-Radar-for-Border-Surveillance.html</t>
  </si>
  <si>
    <t>The source quantifies typical costs of a portable ground surveillance radar to 20,000 to 30,000 USD. Hence, we use the average of 25,000 USD as estimate.</t>
  </si>
  <si>
    <t>https://bid.mod-sales.com/past-auctions/witham10068/lot-details/6d39eb58-c1df-41ce-8aa4-a9430101ac64</t>
  </si>
  <si>
    <t xml:space="preserve">Source 1 resports an Alvis Stormer Tracked Armoured Recon Vehicle being auctioned off from the UK Ministry of Defence for 13700 GBP, roughly 16000 USD. </t>
  </si>
  <si>
    <t>Anti-drone sensors</t>
  </si>
  <si>
    <t>https://www.made-in-china.com/products-search/hot-china-products/Uav_Drone_Jammer.html</t>
  </si>
  <si>
    <t xml:space="preserve">Source says that the price range for each Uav drone jammer is between 1589 USD and 20,000 USD. We take the average, which is 10,794.50 USD </t>
  </si>
  <si>
    <t>The source quantifies the price of a Barrett M82 to be 9,800 USD in 2007, which is equivlanent to 12,807.38 USD in 2021 (according to https://www.in2013dollars.com/us/inflation/2007?endYear=2021&amp;amount=9800)</t>
  </si>
  <si>
    <t>http://www.zvi.cz/en/products/sniper-rifle-falcon.html</t>
  </si>
  <si>
    <t>Price for a OVP Falcon 12.7mm Russian sniper rifle (Anti-Material Rifle)</t>
  </si>
  <si>
    <t>Drone</t>
  </si>
  <si>
    <t>unknown drone</t>
  </si>
  <si>
    <t>Anti-drone cannon</t>
  </si>
  <si>
    <t>http://www.military-today.com/firearms/mg3.htm</t>
  </si>
  <si>
    <t>Source lists a price for a new MG3 of around 3000 USD.</t>
  </si>
  <si>
    <t>https://truegunvalue.com/rifle/dragunov/price-historical-value</t>
  </si>
  <si>
    <t xml:space="preserve">The website reports the value of a new Dragunov rifle as 3832.65 USD. </t>
  </si>
  <si>
    <t>https://truegunvalue.com/pistol/805-bren/price-historical-value</t>
  </si>
  <si>
    <t>The price reflects an average price for a new 805 BREN pistol is 1818.28 USD.</t>
  </si>
  <si>
    <t>Fridge for medical material</t>
  </si>
  <si>
    <t>https://www.praxisdienst.de/Einrichtung/Ablegen+und+lagern/Medikamentenkuehlschraenke/Liebherr+MKUv+1610+Medikamentenkuehlschrank+mit+Fachboeden.html?speed=1&amp;gclid=Cj0KCQjwntCVBhDdARIsAMEwACmOKJaqbtWlmkE3PwceLhHIP9m3qGdulBKn1kImSy42c3gxKcXCRD4aAhIXEALw_wcB</t>
  </si>
  <si>
    <t xml:space="preserve">Source values a medicine refrigerator with shelves to be 1486.91 USD. </t>
  </si>
  <si>
    <t>Metal detector</t>
  </si>
  <si>
    <t>https://www.howmuchisit.org/metal-detector-cost/</t>
  </si>
  <si>
    <t>According to the source, an advanced metal detector costs between 900 USD and 1,500 USD. We use the average of 1,200 USD.</t>
  </si>
  <si>
    <t>https://www.blautanken.de/adblue-1000-liter-ibc-container-oem/?gclid=Cj0KCQjwntCVBhDdARIsAMEwACk5CvzjsjtbIjYyd1fpO0rAogqNfK3hzDAmmqo_rS87d6nKm3Th7ZsaAhrLEALw_wcB</t>
  </si>
  <si>
    <t>1000 liter = 1335 EUR (assume that 1000 liter = 1 ton). Value converted in USD.</t>
  </si>
  <si>
    <t>https://truegunvalue.com/pistol/cz-evo-3/price-historical-value</t>
  </si>
  <si>
    <t>Source lists average price of a new CZ EVO 3 as 992.40 EUR</t>
  </si>
  <si>
    <t>Drone camera</t>
  </si>
  <si>
    <t>https://www.dronerush.com/drone-price-how-much-do-drones-cost-21540/</t>
  </si>
  <si>
    <t>We report the minimum price for commercial-level camera drones, which start at 2000 USD</t>
  </si>
  <si>
    <t>https://truegunvalue.com/pistol/cz-82/price-historical-value</t>
  </si>
  <si>
    <t>The source reports the average price for a CZ 82 pistol.</t>
  </si>
  <si>
    <t>Missile for Panzerfaust 3</t>
  </si>
  <si>
    <t>https://military-history.fandom.com/wiki/Panzerfaust_3</t>
  </si>
  <si>
    <t>Average price for HE ammuntion for a Panzerfaust 3.</t>
  </si>
  <si>
    <t>Fragmentation vest</t>
  </si>
  <si>
    <t>https://www.sparks-military.com/en/body-armor/154-m-69-fragmentation-vest-flak-jacket.html</t>
  </si>
  <si>
    <t>Price of a M-69 standard fragmentation vest.</t>
  </si>
  <si>
    <t xml:space="preserve">https://www.wikiwand.com/en/RPG-22 </t>
  </si>
  <si>
    <t xml:space="preserve">Price range from 150 to 220 GBP for an advanced model, which is 185 GBP on average. We convert this to USD. </t>
  </si>
  <si>
    <t>https://www.indiamart.com/proddetail/radio-frequency-system-8336728762.html</t>
  </si>
  <si>
    <t>Initial price of 10.000 INR is converted in USD according to our Currency Converter Sheet.</t>
  </si>
  <si>
    <t>Stretcher</t>
  </si>
  <si>
    <t>https://www.militarysurplus.eu/product-eng-43337-Medical-Stretcher-Romanian-Army-Litter-Military-Surplus.html</t>
  </si>
  <si>
    <t>Source lists a price of 51 EUR for a Romanian army medical stretcher. We convert this to USD.</t>
  </si>
  <si>
    <t>Military tent</t>
  </si>
  <si>
    <t xml:space="preserve">https://www.ebay.com/itm/252996466305?hash=item3ae7c3b681:g:DGIAAOSwDrNZU34G </t>
  </si>
  <si>
    <t>Source lists a price of 70 USD for a Standard Two Man Military Tactical Double Shelter</t>
  </si>
  <si>
    <t>Tactical gloves</t>
  </si>
  <si>
    <t>10 Best Tactical Gloves For 2022 (Military-Grade Gear) (operationmilitarykids.org)</t>
  </si>
  <si>
    <t>We report the price of the Tactical's Hard Times 2 glove.</t>
  </si>
  <si>
    <t>Field telephone</t>
  </si>
  <si>
    <t>https://www.alibaba.com/product-detail/Dust-and-Water-Proof-Military-Radio_62087839225.html?spm=a2700.7724857.normal_offer.d_title.6a042a44heUWWl</t>
  </si>
  <si>
    <t>Source reports 69 USD per phone, designed and manufactured according to US Military Specifications</t>
  </si>
  <si>
    <t>Binoculars</t>
  </si>
  <si>
    <t>https://www.amazon.com/s?k=military+binoculars&amp;crid=3T1LN1ST9UR4L&amp;sprefix=military+binoculars%2Caps%2C161&amp;ref=nb_sb_noss_1</t>
  </si>
  <si>
    <t>Average retail price for military binoculars is $45 per piece</t>
  </si>
  <si>
    <t>Helmet Austria</t>
  </si>
  <si>
    <t>The Ministry of Defence says that the value of one helmet is 35 EUR, hence 36.95 USD.</t>
  </si>
  <si>
    <t>https://www.varusteleka.com/en/product/field-phone-cable-100-m-300-surplus/70446</t>
  </si>
  <si>
    <t xml:space="preserve"> Price reported in EUR (34.99 EUR). Since we convert only the total sum in USD in the end, we report this single price, by converting.</t>
  </si>
  <si>
    <t>Camouflage vest</t>
  </si>
  <si>
    <t>https://www.armynavyshop.com/SRCH.html</t>
  </si>
  <si>
    <t>Approximate Retail price over all available camouflage Ranger or Hunter vests</t>
  </si>
  <si>
    <t>Explosive charge</t>
  </si>
  <si>
    <t>https://www.globalsecurity.org/military/systems/munitions/m112-c4.htm</t>
  </si>
  <si>
    <t>Price for a M-112 C4 Demolition Block, "standard plastic explosive block in the US and several of its allies."</t>
  </si>
  <si>
    <t>Field glasses</t>
  </si>
  <si>
    <t>We have chosen the price of the "best seller" article in Amazon.</t>
  </si>
  <si>
    <t>Auto-injector device</t>
  </si>
  <si>
    <t>https://www.docmorris.de/fastjekt-300-g-autoinjektor-injlsgim/09738902</t>
  </si>
  <si>
    <t>Since we convert the total sum from USD to EUR in the main dataset, we report this single price  by converting it  (Conversion on the 1.07.2022)</t>
  </si>
  <si>
    <t>Hygiene kit</t>
  </si>
  <si>
    <t>https://www.amazon.com/-/de/dp/B08FXVMBX2/ref=sr_1_7?keywords=hygiene+kit&amp;qid=1654184235&amp;sr=8-7</t>
  </si>
  <si>
    <t>Standard hygiene kit, 48 kits costs $120, hence 1 kit costs $2.50</t>
  </si>
  <si>
    <t>Hub NB 7.62-SV 43</t>
  </si>
  <si>
    <t>https://www.theakforum.net/threads/for-sale-sv43-czech-incendiary-tracer-rounds-7-62x39.325660/</t>
  </si>
  <si>
    <t xml:space="preserve">Source reports a price of 650 USD for 400 units, bringing the Unit price to 1.625 USD. </t>
  </si>
  <si>
    <t>Protective mask with filter</t>
  </si>
  <si>
    <t>https://www.amazon.com/s?k=kn95+face+masks&amp;sprefix=k%2Caps%2C169&amp;ref=nb_sb_ss_pltr-ranker-10hours_1_1</t>
  </si>
  <si>
    <t>Average over retail prices available. Proxy KN95 masks for protective mask with filter</t>
  </si>
  <si>
    <t>Liter of diesel M</t>
  </si>
  <si>
    <t>https://www.globalpetrolprices.com/diesel_prices/</t>
  </si>
  <si>
    <t>Usage of global average current diesel price. (31 October 2022)</t>
  </si>
  <si>
    <t>Hub NB 7,62-PZ 59 (PZ EDGE)</t>
  </si>
  <si>
    <t>Round of ammunition for sniper rifles</t>
  </si>
  <si>
    <t>As the 7.62x51mm NATO caliber is one of the most popular calibers of sniper rifles (see https://en.wikipedia.org/wiki/Sniper_rifle), we apply the approximate price for one round of this caliber here.</t>
  </si>
  <si>
    <t>Wound bandage</t>
  </si>
  <si>
    <t>https://www.amazon.com/Band-Aid-First-Adhesive-Bandages-Large/dp/B000GCPW8C/ref=sr_1_7?crid=1PZ72906ULX4A&amp;keywords=wound+bandage&amp;qid=1667515401&amp;qu=eyJxc2MiOiI1Ljc2IiwicXNhIjoiNS4yNyIsInFzcCI6IjUuMTAifQ%3D%3D&amp;sprefix=wound+bandag%2Caps%2C155&amp;sr=8-7</t>
  </si>
  <si>
    <t xml:space="preserve">A package of 10 sterile wound bandages cost $3.78, so one bandage costs 0.38 USD. </t>
  </si>
  <si>
    <t>Bullet</t>
  </si>
  <si>
    <t>https://www.frankonia.de/p/sellier-bellot/9-mm-luger-vollmantel-8-0g-124grs/65187</t>
  </si>
  <si>
    <t>Price for a standard 9mm handgun ammunition is 20,9 EUR for 50 bullets. Hence, 0.418 EUR for one bullet.</t>
  </si>
  <si>
    <t>Cartridge for RK 62</t>
  </si>
  <si>
    <t>https://www.bulkammo.com/rifle/bulk-7.62x39mm-ammo</t>
  </si>
  <si>
    <t>RK 62 uses 7.62×39mm, 1,000 rounds cost around 400 USD</t>
  </si>
  <si>
    <t>Hub NB 7.62-43</t>
  </si>
  <si>
    <t xml:space="preserve">We report the single unit price of a 7.62x39 cartridge (0.30 USD) with a small mark up of 0.10 USD. </t>
  </si>
  <si>
    <t>.https://www.sip.net/2022-new-forklift-price-how-much-you-can-expect-to-pay/</t>
  </si>
  <si>
    <t>Source reports a price for a new Forklift between 20000 and 45000 USD. We report the average of 32500 USD per piece.</t>
  </si>
  <si>
    <t>Optics</t>
  </si>
  <si>
    <t>drones and robots</t>
  </si>
  <si>
    <t>https://www.dacis.com/budget/budget_pdf/FY18/PROC/A/M80400_131.pdf</t>
  </si>
  <si>
    <t>Source lists procurement prices for the M160 remote control mine clearing system. We take the average unit price of 2020, leading to a price of 72000 USD per piece.</t>
  </si>
  <si>
    <t>Blood bag</t>
  </si>
  <si>
    <t>Since the price depends heavily on the type of blood and the donor country, no reliable source can be found.</t>
  </si>
  <si>
    <t>Counter battery systems</t>
  </si>
  <si>
    <t>https://comptroller.defense.gov/Portals/45/Documents/defbudget/fy2021/fy2021_p1.pdf</t>
  </si>
  <si>
    <t xml:space="preserve">Since these generators are sent from BW stocks, we assume these are tactical military generators. We take the price from the US budget document. </t>
  </si>
  <si>
    <t>Diesel-powered generator</t>
  </si>
  <si>
    <t>Due to a lack of information, it is impossible to estimate this price. Please note that the absence of price will not significantly affect the results due to the number of items committed and their potential value.</t>
  </si>
  <si>
    <t>Gun sight for L119 Light Field gun</t>
  </si>
  <si>
    <t xml:space="preserve">The range of prices for gun sights is too high. If assumed that the gun sight is for the 105mm light field gun, there is no available price. </t>
  </si>
  <si>
    <t>Infusion pump and blood bag</t>
  </si>
  <si>
    <t>Since the type of Lorry is unknown and prices depend heavily on the type, there is no estimation</t>
  </si>
  <si>
    <t>Medical supplies</t>
  </si>
  <si>
    <t>Pack of anti-inflammatory</t>
  </si>
  <si>
    <t>https://www.forbes.com/advisor/home-improvement/generator-cost-guide/</t>
  </si>
  <si>
    <t xml:space="preserve">The price of a generator can vary substantially, ranging from 245 USD to up to 18'000 USD. No value could be assigned, since we no further information regarding the type of item has been disclosed. </t>
  </si>
  <si>
    <t>Radio transmitter</t>
  </si>
  <si>
    <t>Respiratory assistance device</t>
  </si>
  <si>
    <t>School</t>
  </si>
  <si>
    <t>Wire-guided detection robots for land and sea mine detection</t>
  </si>
  <si>
    <t>Trailer</t>
  </si>
  <si>
    <t>Mobile DNA-analysis laboratory</t>
  </si>
  <si>
    <t>Hospital</t>
  </si>
  <si>
    <t>https://www.freshbooks.com/hub/estimates/how-much-does-it-cost-to-build-a-hospital#:~:text=The%20average%20construction%20costs%20for,built%20in%20a%20larger%20city.</t>
  </si>
  <si>
    <t xml:space="preserve">Since the cost is estimated to be between 60 and 190 million USD, we took the average price equal to 125 million USD. </t>
  </si>
  <si>
    <t>Temporary bridge</t>
  </si>
  <si>
    <t>https://www.newcivilengineer.com/latest/hammersmith-bridge-tfl-took-six-months-to-provide-info-on-temporary-crossing-09-09-2020/</t>
  </si>
  <si>
    <t>Estimated cost of a temporary bridge in the UK (27 million GBP), converted to USD on June 1 using: https://sdw.ecb.europa.eu/curConverter.do?sourceAmount=27.0&amp;sourceCurrency=GBP&amp;targetCurrency=USD&amp;inputDate=01-06-2022&amp;submitConvert.x=39&amp;submitConvert.y=5</t>
  </si>
  <si>
    <t xml:space="preserve">https://es.wikipedia.org/wiki/RG-31_Nyala </t>
  </si>
  <si>
    <t xml:space="preserve">Source provides a unit price of 644000 USD. </t>
  </si>
  <si>
    <t>Fire-engine</t>
  </si>
  <si>
    <t>https://firefighterinsider.com/fire-truck-engine-apparatus-cost/</t>
  </si>
  <si>
    <t>Can cost between 250,000 and 550,000 USD, average is 400,000 USD</t>
  </si>
  <si>
    <t>We took the same unit cost as for a fire-engine since they are often the same.</t>
  </si>
  <si>
    <t>Ambulance H</t>
  </si>
  <si>
    <t>https://www.worldsdailynews.com/how-much-does-an-ambulance-vehicle-cost/</t>
  </si>
  <si>
    <t xml:space="preserve">An ambulance can cost between 35000 USD and 600000 USD, average is 317,500 USD. </t>
  </si>
  <si>
    <t>Ambulance Latvia</t>
  </si>
  <si>
    <t>According to the official source, the price for one ambulance from Latvia is 83693.93 EUR.</t>
  </si>
  <si>
    <t>Mobile house</t>
  </si>
  <si>
    <t>https://realestate.usnews.com/real-estate/articles/how-much-does-it-cost-to-buy-a-mobile-home#:~:text=Single%2DWide%20or%20Single%2DSection%20Home,-As%20the%20smaller&amp;text=The%20Census%20Bureau%20reports%20that,was%20%2476%2C400%20in%20November%202021.</t>
  </si>
  <si>
    <t>The average price of a new single-wide manufactured home is given with 76,400 USD according to the source.</t>
  </si>
  <si>
    <t>Ventilator</t>
  </si>
  <si>
    <t>https://hcpresources.medtronic.com/blog/high-acuity-ventilator-cost-guide</t>
  </si>
  <si>
    <t>The price can range from 5,000 USD to 50,000 USD. Hence, the mean price is 27,500 USD.</t>
  </si>
  <si>
    <t>Ton of health and emergency equipment</t>
  </si>
  <si>
    <t>https://www.aerzte-ohne-grenzen.de/sites/default/files/mediathek/entity/document/1998-01-bosnia-report-donation-practices.pdf</t>
  </si>
  <si>
    <t>Source 1, Annex 5B Value Estimation cites WHO, IDA, ICRC, World Vision estimates as comparison. Approximate average per ton of drugs and medical supplies donations is 10,000 USD</t>
  </si>
  <si>
    <t>Ton of necessity items</t>
  </si>
  <si>
    <t>Source for food: https://www.ers.usda.gov/publications/pub-details/?pubid=43836 and source for medical supplies: https://economictimes.indiatimes.com/news/politics-and-nation/india-provided-15-tonnes-of-medical-supplies-worth-rs-2-11-crore-to-coronavirus-hit-china-government/articleshow/74693578.cms?from=mdr</t>
  </si>
  <si>
    <t xml:space="preserve">Assume that 'necessity items' consists in food and medical supplies. Source 1 says 133 billion pounds of food is worth 161.6 billion USD, which equals 2430.08 USD per ton. Source 2 says 15 tons of medical equipment is worth 21,100,000 Indian rupees, which equals 17,264.62 USD per ton. We take the average of these two values, which is approximately 10,000 USD. </t>
  </si>
  <si>
    <t>Field kitchen</t>
  </si>
  <si>
    <t>https://colemans.com/u-s-g-i-modular-field-kitchen</t>
  </si>
  <si>
    <t>Price of a US GI MODULAR FIELD KITCHEN from a US military surpus supplier</t>
  </si>
  <si>
    <t>Patient monitor</t>
  </si>
  <si>
    <t xml:space="preserve">https://www.medicalpriceonline.com/medical-equipment/patient-monitor/ </t>
  </si>
  <si>
    <t>Source lists the average cost of Patient Monitor medical devices as currently 4173 USD</t>
  </si>
  <si>
    <t>Hospital bed</t>
  </si>
  <si>
    <t>https://www.excel-medical.com/why-are-hospital-beds-so-expensive/</t>
  </si>
  <si>
    <t>Source lists a range between 4500 USD and 7500 USD for a standard hospital bed frame. We take the average of 6000 USD</t>
  </si>
  <si>
    <t>Ton of food</t>
  </si>
  <si>
    <t xml:space="preserve">https://www.ers.usda.gov/publications/pub-details/?pubid=43836 </t>
  </si>
  <si>
    <t>Source says that the estimated waste of 133 billion pounds of food was worth $161.6 billion, based on retail prices. This equals approximately $1.21 per pound, or $2430 per ton (2000 pounds in a ton).</t>
  </si>
  <si>
    <t>Petrol generator</t>
  </si>
  <si>
    <t>https://www.forbes.com/home-improvement/electrical/generator-cost-guide/</t>
  </si>
  <si>
    <t>Typical retail prices for a gas-powered generator range between 500 USD and 2500 USD. We take the median value of 1500 USD as approximation.</t>
  </si>
  <si>
    <t>Laptop</t>
  </si>
  <si>
    <t>https://leaguefeed.net/how-much-should-you-spend-on-laptop/#:~:text=The%20Average%20Cost%20of%20a%20Laptop,-Let%27s%20leave%20the&amp;text=For%20example%2C%20on%20average%2C%20the,Ultrabooks%20that%20satisfy%20your%20needs.</t>
  </si>
  <si>
    <t>The average selling price of a laptop is given within 600 and 750 USD, hence the average here would be 675 USD.</t>
  </si>
  <si>
    <t>Desktop</t>
  </si>
  <si>
    <t>https://www.statista.com/statistics/722992/worldwide-personal-computers-average-selling-price/#:~:text=The%20average%20selling%20price%20of,U.S.%20dollars%20in%20constant%20currency.</t>
  </si>
  <si>
    <t>The average selling price of a desktop PC was 632 USD in 2019.</t>
  </si>
  <si>
    <t>Ton of coal</t>
  </si>
  <si>
    <t>Source gives USD price of 329 for one ton of coal leaving Newcastle Australia</t>
  </si>
  <si>
    <t>Antenna</t>
  </si>
  <si>
    <t>https://www.angi.com/articles/how-much-does-tv-antenna-installation-cost.htm</t>
  </si>
  <si>
    <t>According to the source, the average cost to purchase and install a TV antenna is 310 USD.</t>
  </si>
  <si>
    <t>Floor mat</t>
  </si>
  <si>
    <t>https://www.mymat.de/preise-und-formate-fussmatten</t>
  </si>
  <si>
    <t xml:space="preserve">The source lists average prices in EUR for twelve floor mats of different sizes. The average price is 187.57 EUR. We convert this to USD. </t>
  </si>
  <si>
    <t>Central monitor</t>
  </si>
  <si>
    <t>https://www.gadgetreview.com/computer-monitor-cost#:~:text=How%20much%20does%20a%20monitor,price%20is%20around%20%24200%20%2D%20%24300.</t>
  </si>
  <si>
    <t>The average price of a computer monitor is given with 200 to 300 USD, hence we apply an estimate of 250 USD.</t>
  </si>
  <si>
    <t>Bed</t>
  </si>
  <si>
    <t xml:space="preserve">https://www.amazon.de/Betten-Schlafzimmer-Wohnen-Lifestyle/b?ie=UTF8&amp;node=343465011 </t>
  </si>
  <si>
    <t>Average retail price over available models</t>
  </si>
  <si>
    <t>Coat</t>
  </si>
  <si>
    <t>https://www.newsy.com/stories/how-much-money-should-you-actually-be-investing-in-a-winter-coat/</t>
  </si>
  <si>
    <t>Average price for winter coat is between 100 USD and 300 USD, so the average is 200 USD.</t>
  </si>
  <si>
    <t>Family tent</t>
  </si>
  <si>
    <t>10 Best Family Tents (2022 Update) Buyer’s Guide – Best Survival</t>
  </si>
  <si>
    <t>Source reports 200 USD for a fine family tent</t>
  </si>
  <si>
    <t>https://www.vabusinesssystems.com/how-much-does-a-voip-phone-system-cost</t>
  </si>
  <si>
    <t>According to the source, the typical cost for a VoIP phone ranges between 100 and 200 USD, so we take the average of 150 USD.</t>
  </si>
  <si>
    <t>Hospital pediatric bed</t>
  </si>
  <si>
    <t xml:space="preserve">https://www.alibaba.com/product-detail/Medical-Children-Clinic-Bed-Manual-Children_62180451022.html?spm=a2700.7724857.normal_offer.d_title.30c23ac4FuVEM5 </t>
  </si>
  <si>
    <t xml:space="preserve">Source gives a range of prices from 100 USD to 500 USD. We take the average.  </t>
  </si>
  <si>
    <t>Shower tent</t>
  </si>
  <si>
    <t>https://www.amazon.com/camping-shower-tent-Sports-Outdoors/s?k=camping+shower+tent&amp;rh=n%3A3375251</t>
  </si>
  <si>
    <t>Prices range from 40 USD to 150 USD, so we take the average of 95 USD.</t>
  </si>
  <si>
    <t>Sleeping bag</t>
  </si>
  <si>
    <t xml:space="preserve">https://priceonomics.com/sleeping-bag-price-guide/ </t>
  </si>
  <si>
    <t>We report the price of a 3-season sleeping bag</t>
  </si>
  <si>
    <t>Pair of rubber boots</t>
  </si>
  <si>
    <t>https://www.amazon.com/Rubber-Boots/s?k=Rubber+Boots</t>
  </si>
  <si>
    <t>The source provides a variety of prices, ranging from 20 USD up to 150 USD. We take the median value of round about 50 USD.</t>
  </si>
  <si>
    <t>Blanket</t>
  </si>
  <si>
    <t>https://thecostguys.com/home/average-cost-of-a-weighted-blanket</t>
  </si>
  <si>
    <t>Average retail price of a five pound weighted blanket.</t>
  </si>
  <si>
    <t>Sleeping mat</t>
  </si>
  <si>
    <t xml:space="preserve">https://www.amazon.de/s?k=Sleeping+mat&amp;crid=AP6F6KPMMYLL&amp;sprefix=sleeping+mat%2Caps%2C112&amp;ref=nb_sb_noss_1 </t>
  </si>
  <si>
    <t xml:space="preserve">Approximate average over retail prices available. </t>
  </si>
  <si>
    <t>Stretcher Latvia</t>
  </si>
  <si>
    <t>According to the official source (Informatīvais ziņojums...), the price for 200 stretchers from Latvia is 29.88 EUR. We convert this to USD.</t>
  </si>
  <si>
    <t>https://www.extension.iastate.edu/agdm/crops/pdf/a1-20.pdf</t>
  </si>
  <si>
    <t xml:space="preserve">We consider corn as a proxy for field crops. According to the source (page 2), the price of 1000 kernels is $3.56, so 0.00356 per kernel. According to (https://www.measuringknowhow.com/how-many-bushels-of-corn-are-in-a-ton/) there are 10,564,400 kernels in a ton, hence each ton costs 37,609.26 USD </t>
  </si>
  <si>
    <t>Cable</t>
  </si>
  <si>
    <t>https://www.amazon.de/-/en/Viablue-X-25-SILVER-POWER-CABLE/dp/B07ZYQWPZ9</t>
  </si>
  <si>
    <t>Price for one meter of a Viablue X-25 silver power cable.</t>
  </si>
  <si>
    <t>General purpose tent</t>
  </si>
  <si>
    <t>https://www.usmilitarytents.com/Military-Tents.aspx</t>
  </si>
  <si>
    <t xml:space="preserve">General range of prices for general purpose military tents is $600 to $6000. Approximate average retail price is 3000 USD. </t>
  </si>
  <si>
    <t>Food ration H</t>
  </si>
  <si>
    <t>Pack of antibiotics</t>
  </si>
  <si>
    <t>https://www.drugs.com/price-guide/azithromycin-dose-pack</t>
  </si>
  <si>
    <t>Given price for a dose pack of oral tablets of Azithromycin.</t>
  </si>
  <si>
    <t>Pair of shoes</t>
  </si>
  <si>
    <t xml:space="preserve">https://www.alibaba.com/showroom/basics-shoes-online.html  </t>
  </si>
  <si>
    <t>Approx. 20 USD/pair of basic shoes</t>
  </si>
  <si>
    <t>Pair of latex gloves</t>
  </si>
  <si>
    <t>https://www.amazon.com/Disposable-Latex-Gloves-Powder-gloves/dp/B000XRY2FE</t>
  </si>
  <si>
    <t>The retail price for a 100 unit pack of latex gloves is 16 USD, so the price per pair is 0.32 USD</t>
  </si>
  <si>
    <t>Pair of nitrile gloves</t>
  </si>
  <si>
    <t>https://www.amazon.com/s?k=surgical+gloves&amp;crid=339VHKCNRBO5O&amp;sprefix=surgical+glove%2Caps%2C200&amp;ref=nb_sb_noss_1</t>
  </si>
  <si>
    <t>Average retail price for a single glove is around 0.13 per piece, hence 0.26 per pair</t>
  </si>
  <si>
    <t>Single-use protective suit</t>
  </si>
  <si>
    <t>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t>
  </si>
  <si>
    <t>Bestseller according to amazon.com</t>
  </si>
  <si>
    <t>Bio protection suit</t>
  </si>
  <si>
    <t>https://www.amazon.com/s?k=bio+protective+suit&amp;__mk_de_DE=%C3%85M%C3%85%C5%BD%C3%95%C3%91&amp;crid=2MJA43R80NRVA&amp;sprefix=bio+protective+suit%2Caps%2C215&amp;ref=nb_sb_noss_1</t>
  </si>
  <si>
    <t>The average retail price is 10.00 USD.</t>
  </si>
  <si>
    <t>Safety glasses</t>
  </si>
  <si>
    <t>https://www.amazon.com/Best-Sellers-Medical-Safety-Goggles/zgbs/industrial/11312320011</t>
  </si>
  <si>
    <t>10,00 USD is the average price for medical safety glasses on Amazon.com</t>
  </si>
  <si>
    <t>Pack of analgesics</t>
  </si>
  <si>
    <t>https://www.amazon.de/-/en/Paracetamol-ratiopharm-500-Tablets-Pack-20/dp/B00DIW2WMQ</t>
  </si>
  <si>
    <t>Price for a package of a typical analgesics, paracetamol.</t>
  </si>
  <si>
    <t>Liter of disinfectant</t>
  </si>
  <si>
    <t>https://www.amazon.de/disinfectant-spray/s?k=disinfectant+spray</t>
  </si>
  <si>
    <t>The average retail price for commonly used surface disinfectants, per liter</t>
  </si>
  <si>
    <t>Liter of hand disinfectant</t>
  </si>
  <si>
    <t xml:space="preserve">https://www.amazon.de/-/en/ADLER-Disinfectant-Litres-according-Formula/dp/B088FXV6XT?th=1 </t>
  </si>
  <si>
    <t>Disinfectant, according to WHO Formula. 10 liter bottle costs $62.31, hence 1 liter costs $6.231</t>
  </si>
  <si>
    <t>Liter of bottled water</t>
  </si>
  <si>
    <t>https://www.amazon.de/s?k=liter+of+water&amp;crid=FSFX4B7W5MIB&amp;sprefix=liter+of+wate%2Caps%2C76&amp;ref=nb_sb_noss_2</t>
  </si>
  <si>
    <t>Approximate average retail price is $1.50 per liter</t>
  </si>
  <si>
    <t>Liter of water</t>
  </si>
  <si>
    <t>In this case, we used the price of bottled water, since we could not find anything regarding water in containers (refer to identifier ATH1). Approximate average retail price is $1.50 per liter</t>
  </si>
  <si>
    <t>Liter of fuel H</t>
  </si>
  <si>
    <t>Usage of global average current fuel price. (31 October, 2022)</t>
  </si>
  <si>
    <t>Liter of diesel H</t>
  </si>
  <si>
    <t>Surgical mask</t>
  </si>
  <si>
    <t>https://www.amazon.com/s?k=surgical+mask&amp;crid=1ROTDHJDQISW0&amp;sprefix=surgical+mas%2Caps%2C175&amp;ref=nb_sb_noss_2</t>
  </si>
  <si>
    <t>The average retail price is around 0.24 USD per piece.</t>
  </si>
  <si>
    <t>Medical protective mask</t>
  </si>
  <si>
    <t>Mouth mask</t>
  </si>
  <si>
    <t>Average retail prices is around 0.24 USD per piece</t>
  </si>
  <si>
    <t>Gloves</t>
  </si>
  <si>
    <t>Average retail price is around 0.13 USD per piece.</t>
  </si>
  <si>
    <t>Disposable glove</t>
  </si>
  <si>
    <t>Average retail price is around 0.13 per piece</t>
  </si>
  <si>
    <t>Syringe</t>
  </si>
  <si>
    <t>https://www.paho.org/sites/default/files/RF-SyringePrices-2016-2017-e.pdf</t>
  </si>
  <si>
    <t>The source gives a price range for syringes in between 0.02 USD and 0.07 USD. We take the median of 0.045 USD as price estimator.</t>
  </si>
  <si>
    <t>Laser target designator</t>
  </si>
  <si>
    <t>https://comptroller.defense.gov/Portals/45/Documents/defbudget/fy2009/budget_justification/pdfs/02_Procurement/Vol_2_SOCOM_CBDP/SOCOM%20PDW%20PB09.pdf</t>
  </si>
  <si>
    <t>We use the price acquired from the US budget documents for FY 2009. It lists the price of 72 AN/PEQ-1C Laser Designators for 6 USD million. We, therefore, calculate the price of a singe item and convert it to 2021$.</t>
  </si>
  <si>
    <t>radar of imagery systems</t>
  </si>
  <si>
    <t>Unspecified type of equipment</t>
  </si>
  <si>
    <t>The price cannot be determined from the information given. Please note that the absence of price will not significantly affect the results due to the number of items committed and their potential value.</t>
  </si>
  <si>
    <t>https://www.fiercepharma.com/pharma/pfizer-eyes-higher-covid-19-vaccine-prices-after-pandemic-exec-analyst</t>
  </si>
  <si>
    <t>The source reports that recent price of Pfizer vaccine dose is 19.50</t>
  </si>
  <si>
    <t>The source reports that Spain sent 1000 tons of diesel to Ukraine and that Spain approximated it to be 2.5 EUR million.</t>
  </si>
  <si>
    <t>minehunter drone</t>
  </si>
  <si>
    <t>Winter Clothing (Lithuania)</t>
  </si>
  <si>
    <t>Based on the information from the Lithuanian Minister of Defense, 25000 winter suits are worth around 2 EUR million. It makes 80 EUR per unit. We also convert it to USD using the average exchange rate for 2022 (until 25 November)</t>
  </si>
  <si>
    <t xml:space="preserve">. </t>
  </si>
  <si>
    <t xml:space="preserve">Source 1, Annex 5B Value Estimation cites WHO, PSF, ICRC, World Vision estimates as comparision for tons of medical equipment which we take as a proxy for tons of medicine. We take the average of these four estimates. </t>
  </si>
  <si>
    <t>https://www.best-osmosis-systems.com/water-filtration-system-cost/</t>
  </si>
  <si>
    <t>Online marketplace and stores</t>
  </si>
  <si>
    <t>Price range for a reverse osmosis system is between 150 USD and 500 USD. We take the average</t>
  </si>
  <si>
    <t>https://bigtruckrental.com/rear-loader-garbage-truck-rental-service/how-much-does-a-new-rear-loader-garbage-truck-cost/</t>
  </si>
  <si>
    <t xml:space="preserve">According to the source, a new Garbage Truck will cost between 200000 and 400000 USD. We take the average to arrive at 300000 USD per new unit. </t>
  </si>
  <si>
    <t>https://www.frazerbilt.com/blog-ambulance-cost/</t>
  </si>
  <si>
    <t xml:space="preserve">An ambulance can cost between 120,000 and 325,000 USD, average is close to 220,000 USD. </t>
  </si>
  <si>
    <t>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t>
  </si>
  <si>
    <t>Average retail price is about 25 USD</t>
  </si>
  <si>
    <t>https://autoline.info/-/buses/IVECO/Crossway--c65tm2616m1238</t>
  </si>
  <si>
    <t>According to the source, an used Iveco bus Euro-6 version) can cost between 13900 and 134900 EUR, depending on the condition of the bus. We take the average to arrive at 74400 EUR per new unit. We also convert it to USD using the average exchange rate for 2022 (until 25 November)</t>
  </si>
  <si>
    <t>Since the item price can vary very much and it is not used for any calculations, we do not set any price here.</t>
  </si>
  <si>
    <t xml:space="preserve">We use a price of an ambulance as a proxy. An ambulance can cost between 35000 USD and 600000 USD, average is 317,500 USD. </t>
  </si>
  <si>
    <t>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t>
  </si>
  <si>
    <t>The price of 20m is approx. 25 EUR, so the price of 1km is 1250 EUR, which we then convert to USD using the average exchange rate for 2022 (until 25 November)</t>
  </si>
  <si>
    <t>https://www.ltt-versand.de/licht/spezialeffektgeraete/zubehoer-fuer-spezialeffekte/fluide/8540/eurolite-foam-konzentrat-5l?gclid=CjwKCAiApvebBhAvEiwAe7mHSJfGcV_-VQ6pAf5Cn7KZF-l9eRLIAy5NPA0_p3Rrtqdch1Lg5jjLghoCu1UQAvD_BwE</t>
  </si>
  <si>
    <t>The reported litre price is 9 EUR. We convert it to USD using the average exchange rate for 2022 (until 25 November)</t>
  </si>
  <si>
    <t>https://aerocorner.com/aircraft/kamov-ka-32a/</t>
  </si>
  <si>
    <t>Source lists the price between 5.2 and 6.5 USD million.</t>
  </si>
  <si>
    <t>Item designation too vague to deduct price.</t>
  </si>
  <si>
    <t>humanitarian</t>
  </si>
  <si>
    <t>Due to the lack of information, we use the price of anti-drone cannon from our price list as a proxy.</t>
  </si>
  <si>
    <t>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t>
  </si>
  <si>
    <t xml:space="preserve">Price for a military grade medical gauze. </t>
  </si>
  <si>
    <t>https://www.ojp.gov/pdffiles1/nij/189725.pdf</t>
  </si>
  <si>
    <t xml:space="preserve">The German Army uses the Kärcher Decocontain 3000, a mobile decontamination vehicle. The source lists the unit cost as 600000 USD. </t>
  </si>
  <si>
    <t>https://www.washingtonpost.com/politics/2022/04/08/us-quietly-paying-millions-send-starlink-terminals-ukraine-contrary-spacexs-claims/</t>
  </si>
  <si>
    <t xml:space="preserve">Based on the type of terminals USAID recently sent to Ukraine, we assume Poland also committed and delivered them. The price for each terminal is 1500 USD. </t>
  </si>
  <si>
    <t xml:space="preserve">Even thought, Germany sent HEP-70 to Ukraine, we cannot estimate it's price due to lack of information. Still, the German Army also uses the Kärcher Decocontain 3000, a mobile decontamination vehicle. The source lists the unit cost as 600000 USD. </t>
  </si>
  <si>
    <t>military</t>
  </si>
  <si>
    <t>See the note</t>
  </si>
  <si>
    <t xml:space="preserve">Since these vehicles are donated from the stocks of the Federal Armed Forces of Germany, we assume they've sent moderate models, which are: VW Transporter T5 (minibus), Iveco Eurocargo ML 140E (truck), and MAN KAT1 (all-terrain vehicle). For each category, we try to estimate a price of a second-hand vehicle. The cost of VW Transporter T5 and MAN KAT1 is taken from one retail store (https://suchen.mobile.de/) and averages around 25000 EUR and 35000 EUR, respectively. The cost of Iveco Eurocargo ML 140E is taken from the different retail stores (https://www.alle-lkw.de/lkw/iveco/eurocargo-140e?sortby=price) and averaged around 35000 EUR. We also assume that all vehicles are equally distributed, so the average price per item is about 31.666 EUR, which is about 31500 current USD.    </t>
  </si>
  <si>
    <t>1 EUR</t>
  </si>
  <si>
    <t>TWD</t>
  </si>
  <si>
    <r>
      <rPr>
        <i/>
        <sz val="12"/>
        <color rgb="FF000000"/>
        <rFont val="Times New Roman"/>
      </rPr>
      <t>Source:</t>
    </r>
    <r>
      <rPr>
        <sz val="12"/>
        <color rgb="FF000000"/>
        <rFont val="Times New Roman"/>
      </rPr>
      <t xml:space="preserve"> ECB (December 1, 2022). We use the average over the last month (October 20 until November 20, 2022). TWD latest available from the ECB (October 30, 2020).</t>
    </r>
  </si>
  <si>
    <t>Refugee Number and Cost estimation</t>
  </si>
  <si>
    <t>https://data.unhcr.org/en/situations/ukraine</t>
  </si>
  <si>
    <t>Number of Refugees (February - October)</t>
  </si>
  <si>
    <t>Refugee Costs in billion EUR (500 EUR per Refugee per Month for 8 Months)</t>
  </si>
  <si>
    <t>Refugee Costs in % of GDP (500 EUR per Refugee per Month for 8 Months)</t>
  </si>
  <si>
    <t>Moldova</t>
  </si>
  <si>
    <t>Not in the dataset</t>
  </si>
  <si>
    <t>Belarus</t>
  </si>
  <si>
    <t>Total Number</t>
  </si>
  <si>
    <t>Sub-type</t>
  </si>
  <si>
    <t>Not included</t>
  </si>
  <si>
    <t>AFV (Armoured fighting vehicle)</t>
  </si>
  <si>
    <t>APC (Armoured Personnel Carrier)</t>
  </si>
  <si>
    <t>IFV (Infantry Fighting 
Vehicle)</t>
  </si>
  <si>
    <t>PPV (Protected Patrol Vehicle)</t>
  </si>
  <si>
    <t>Stromer armoured vehicle</t>
  </si>
  <si>
    <t>Piranha III wheeled armored personnel carrier</t>
  </si>
  <si>
    <t>Various specifications</t>
  </si>
  <si>
    <t>Stormer armoured vehicle</t>
  </si>
  <si>
    <t>VAB armored personnel carrier</t>
  </si>
  <si>
    <t>155mm</t>
  </si>
  <si>
    <t>M109 155mm howitzer</t>
  </si>
  <si>
    <t>MBT</t>
  </si>
  <si>
    <t>Leopard 2A4</t>
  </si>
  <si>
    <t>Other MLRS</t>
  </si>
  <si>
    <t>HIMRAS and M270</t>
  </si>
  <si>
    <t>HIMRAS and M271</t>
  </si>
  <si>
    <t>T-55 tank</t>
  </si>
  <si>
    <t>Howitzer(155mm) comm</t>
  </si>
  <si>
    <t>Howitzer(155mm) del</t>
  </si>
  <si>
    <t>MLRS comm</t>
  </si>
  <si>
    <t>MLRS del</t>
  </si>
  <si>
    <t>Tanks comm</t>
  </si>
  <si>
    <t>Tanks del</t>
  </si>
  <si>
    <t>Armored vehicles comm</t>
  </si>
  <si>
    <t>Armored vehicles del</t>
  </si>
  <si>
    <t>NATO (not EU)</t>
  </si>
  <si>
    <t>Stocks &gt;&gt;&gt;</t>
  </si>
  <si>
    <t>Defence budget (2021) (bn)</t>
  </si>
  <si>
    <t>155mm/152mm</t>
  </si>
  <si>
    <t>Combat aircraft (FTR/FGA)</t>
  </si>
  <si>
    <t>Air defence(SAM)</t>
  </si>
  <si>
    <t>Important stocks&gt;&gt;&gt;</t>
  </si>
  <si>
    <t xml:space="preserve">Older leopards </t>
  </si>
  <si>
    <t>M270, HIMARS, MARS II</t>
  </si>
  <si>
    <t>IRIS-T</t>
  </si>
  <si>
    <t>NASAMS</t>
  </si>
  <si>
    <t>Comitted&gt;&gt;&gt;</t>
  </si>
  <si>
    <t>Combat aircraft (FTR)</t>
  </si>
  <si>
    <t>Delivered&gt;&gt;&gt;</t>
  </si>
  <si>
    <t>% Comitted&gt;&gt;&gt;</t>
  </si>
  <si>
    <t>% Delivered&gt;&gt;&gt;</t>
  </si>
  <si>
    <t>Relative importance(2=very imporant)</t>
  </si>
  <si>
    <t>Relative importance(1=important)</t>
  </si>
  <si>
    <t>Relative importance(0=less important)</t>
  </si>
  <si>
    <t>Relative importance(2=very imporant) %</t>
  </si>
  <si>
    <t>Relative importance(1=important) %</t>
  </si>
  <si>
    <t>anti-aircraft ( committed after October 2022)</t>
  </si>
  <si>
    <t>anti-aircraft ( delivered after October 2022)</t>
  </si>
  <si>
    <t>Serbia</t>
  </si>
  <si>
    <t>Albania</t>
  </si>
  <si>
    <t>Macedonia, North (not included)</t>
  </si>
  <si>
    <t>Bosnia-Herzegovina</t>
  </si>
  <si>
    <t>Delivered (before October 2022)</t>
  </si>
  <si>
    <t>To be delivered (before October 2022)</t>
  </si>
  <si>
    <t>Promised before but delivered after October 2022</t>
  </si>
  <si>
    <t>Promised after and delivered after October 2022</t>
  </si>
  <si>
    <t>To be delivered (after October 2022)</t>
  </si>
  <si>
    <t xml:space="preserve">Territory </t>
  </si>
  <si>
    <t>GDP</t>
  </si>
  <si>
    <t>Population</t>
  </si>
  <si>
    <t>Ongoing conflict</t>
  </si>
  <si>
    <t>Older Leopards</t>
  </si>
  <si>
    <t>Leopard 2A4M</t>
  </si>
  <si>
    <t>Leopard 2A5</t>
  </si>
  <si>
    <t>Leopard 2A6</t>
  </si>
  <si>
    <t>Leopard 2A6M</t>
  </si>
  <si>
    <t>Leopard 2A7V</t>
  </si>
  <si>
    <t>Leopard 1A4/5</t>
  </si>
  <si>
    <t>Leopard 1A4</t>
  </si>
  <si>
    <t>Leopard 1A3</t>
  </si>
  <si>
    <t>Leopard 1C2</t>
  </si>
  <si>
    <t>Leopard 2PL</t>
  </si>
  <si>
    <t>Leopard 2E</t>
  </si>
  <si>
    <t>PT-91</t>
  </si>
  <si>
    <t>M48A5</t>
  </si>
  <si>
    <t>M48A3</t>
  </si>
  <si>
    <t>M60A3</t>
  </si>
  <si>
    <t>C1 Ariete</t>
  </si>
  <si>
    <t>modified T-72(incl. variants)</t>
  </si>
  <si>
    <t>T-55</t>
  </si>
  <si>
    <t>T-80U</t>
  </si>
  <si>
    <t>AMX-30B2</t>
  </si>
  <si>
    <t>T-72M4CZ</t>
  </si>
  <si>
    <t>Leclerc</t>
  </si>
  <si>
    <t>TR-85</t>
  </si>
  <si>
    <t>TR-85 M1</t>
  </si>
  <si>
    <t>M-84</t>
  </si>
  <si>
    <t>T-72MS</t>
  </si>
  <si>
    <t>M60A1</t>
  </si>
  <si>
    <t>M60TM Firat</t>
  </si>
  <si>
    <t>ACV AIFV</t>
  </si>
  <si>
    <t xml:space="preserve">Challenger 2 </t>
  </si>
  <si>
    <t>AMX-10RC</t>
  </si>
  <si>
    <t>M1A1 Abrams</t>
  </si>
  <si>
    <t>M1A1 SA Abrams</t>
  </si>
  <si>
    <t>M1A2 SEPv2 Abrams</t>
  </si>
  <si>
    <t>M1A2 SEPv3 Abrams</t>
  </si>
  <si>
    <t>M1A1/ A2 Abrams</t>
  </si>
  <si>
    <t>K1/K1E1</t>
  </si>
  <si>
    <t>K1A1/K1A2</t>
  </si>
  <si>
    <t>K2</t>
  </si>
  <si>
    <t xml:space="preserve">BvS10 </t>
  </si>
  <si>
    <t>Bv-206S</t>
  </si>
  <si>
    <t>VBMR Griffon</t>
  </si>
  <si>
    <t>VAB</t>
  </si>
  <si>
    <t>VAB VOA (OP)</t>
  </si>
  <si>
    <t>Pandur</t>
  </si>
  <si>
    <t>Pandur EVO</t>
  </si>
  <si>
    <t>Pandur 6×6 (Valuk)</t>
  </si>
  <si>
    <t>Piranha III</t>
  </si>
  <si>
    <t>Piranha IIIH</t>
  </si>
  <si>
    <t>Piranha III-C</t>
  </si>
  <si>
    <t>Piranha III-PC</t>
  </si>
  <si>
    <t>Piranha V</t>
  </si>
  <si>
    <t>M113A2</t>
  </si>
  <si>
    <t>MT-LB</t>
  </si>
  <si>
    <t>BTR-80</t>
  </si>
  <si>
    <t>BTR-60</t>
  </si>
  <si>
    <t>BTR-50</t>
  </si>
  <si>
    <t>OT M-60</t>
  </si>
  <si>
    <t>BOV-VP</t>
  </si>
  <si>
    <t>Patria AMV</t>
  </si>
  <si>
    <t>Patria 6×6</t>
  </si>
  <si>
    <t>Patria 8×8 (Svarun)</t>
  </si>
  <si>
    <t>M113</t>
  </si>
  <si>
    <t>XA-180</t>
  </si>
  <si>
    <t>XA-186 Sisu/XA-200 Sisu/XA-203</t>
  </si>
  <si>
    <t>XA-188</t>
  </si>
  <si>
    <t>XA-202</t>
  </si>
  <si>
    <t>XA-203</t>
  </si>
  <si>
    <t>XA-360</t>
  </si>
  <si>
    <t>MT-Lbu</t>
  </si>
  <si>
    <t>MT-LBV</t>
  </si>
  <si>
    <t>Boxer</t>
  </si>
  <si>
    <t>TPz-1 Fuchs</t>
  </si>
  <si>
    <t>M577</t>
  </si>
  <si>
    <t>Leonidas Mk1/2</t>
  </si>
  <si>
    <t>Puma 6×6</t>
  </si>
  <si>
    <t>JLTV</t>
  </si>
  <si>
    <t>BvS-10</t>
  </si>
  <si>
    <t>WDSz</t>
  </si>
  <si>
    <t>Rosomak</t>
  </si>
  <si>
    <t>AWD RAK</t>
  </si>
  <si>
    <t>V-150 Commando</t>
  </si>
  <si>
    <t>V-200 Chaimite</t>
  </si>
  <si>
    <t>Pandur II</t>
  </si>
  <si>
    <t>MLVM</t>
  </si>
  <si>
    <t>B33 TAB Zimbru</t>
  </si>
  <si>
    <t>TAB-71</t>
  </si>
  <si>
    <t>TAB-77</t>
  </si>
  <si>
    <t>Lazar-3 APC</t>
  </si>
  <si>
    <t>OT-90</t>
  </si>
  <si>
    <t>OT-64</t>
  </si>
  <si>
    <t>Tatrapan (6×6)</t>
  </si>
  <si>
    <t>BMR-600/BMR-600M1</t>
  </si>
  <si>
    <t>Pbv 302</t>
  </si>
  <si>
    <t>Bastion APC</t>
  </si>
  <si>
    <t>ACV AAPC</t>
  </si>
  <si>
    <t>FV430 Bulldog</t>
  </si>
  <si>
    <t>LAV Bison</t>
  </si>
  <si>
    <t>AMPV</t>
  </si>
  <si>
    <t>M1126 Stryker ICV</t>
  </si>
  <si>
    <t>M1130 Stryker CV (CP)</t>
  </si>
  <si>
    <t>M1131 Stryker FSV (OP)</t>
  </si>
  <si>
    <t>M1133 Stryker MEV (Amb)</t>
  </si>
  <si>
    <t>M1251A1 Stryker FSV (OP)</t>
  </si>
  <si>
    <t>M1254A1 Stryker MEV (Amb)</t>
  </si>
  <si>
    <t>M1255A1 Stryker CV (CP)</t>
  </si>
  <si>
    <t>M1256A1 Stryker ICV</t>
  </si>
  <si>
    <t>LAV variants</t>
  </si>
  <si>
    <t>KIFV</t>
  </si>
  <si>
    <t>K806/K808</t>
  </si>
  <si>
    <t>Maxxpro</t>
  </si>
  <si>
    <t>RG-32M</t>
  </si>
  <si>
    <t>RG-33 HAGA</t>
  </si>
  <si>
    <t>Cougar 6×6 JERRV</t>
  </si>
  <si>
    <t>RG-31</t>
  </si>
  <si>
    <t>Edjer Yalcin 4×4</t>
  </si>
  <si>
    <t>Kirpi</t>
  </si>
  <si>
    <t>Kirpi-II</t>
  </si>
  <si>
    <t>Vuran</t>
  </si>
  <si>
    <t>Mastiff (6×6)</t>
  </si>
  <si>
    <t>Titus</t>
  </si>
  <si>
    <t>Aravis</t>
  </si>
  <si>
    <t>VTMM Orso</t>
  </si>
  <si>
    <t>IVECO LMV</t>
  </si>
  <si>
    <t>IVECO LMV2</t>
  </si>
  <si>
    <t>Cobra</t>
  </si>
  <si>
    <t>Cobra II</t>
  </si>
  <si>
    <t>Foxhound</t>
  </si>
  <si>
    <t>Spartan Mk2</t>
  </si>
  <si>
    <t>Panther CLV</t>
  </si>
  <si>
    <t>Ridgback</t>
  </si>
  <si>
    <t>Bushmaster IMV</t>
  </si>
  <si>
    <t>Dingo 2</t>
  </si>
  <si>
    <t>M1117 ASV</t>
  </si>
  <si>
    <t>Plasan SandCat</t>
  </si>
  <si>
    <t>M-ATV</t>
  </si>
  <si>
    <t>BOV M16 Milos</t>
  </si>
  <si>
    <t>Eagle IV</t>
  </si>
  <si>
    <t>Eagle V</t>
  </si>
  <si>
    <t>Eagle IV/V</t>
  </si>
  <si>
    <t>SISU GTP</t>
  </si>
  <si>
    <t>Wiesel 1 Mk20</t>
  </si>
  <si>
    <t>Cougar</t>
  </si>
  <si>
    <t>Fennek</t>
  </si>
  <si>
    <t>TABC-79</t>
  </si>
  <si>
    <t>Hawkei</t>
  </si>
  <si>
    <t>TAPV</t>
  </si>
  <si>
    <t>M1200 Armored Knight (OP)</t>
  </si>
  <si>
    <t>BMP-23</t>
  </si>
  <si>
    <t>M-80</t>
  </si>
  <si>
    <t>M80AB1</t>
  </si>
  <si>
    <t>BMP-3</t>
  </si>
  <si>
    <t>BMP-2</t>
  </si>
  <si>
    <t>Pandur II MK 30mm</t>
  </si>
  <si>
    <t>B1 Centauro</t>
  </si>
  <si>
    <t>VCC-80 Dardo</t>
  </si>
  <si>
    <t xml:space="preserve">VBM 8×8 Freccia </t>
  </si>
  <si>
    <t>CV9035 MkIII</t>
  </si>
  <si>
    <t xml:space="preserve">CV9035EE </t>
  </si>
  <si>
    <t>CV9030FIN</t>
  </si>
  <si>
    <t>CV9035NL</t>
  </si>
  <si>
    <t>CV9030N</t>
  </si>
  <si>
    <t>VBCI VCI</t>
  </si>
  <si>
    <t>VBCI VPC (CP)</t>
  </si>
  <si>
    <t>Marder 1A3/A4</t>
  </si>
  <si>
    <t>Marder 1A5</t>
  </si>
  <si>
    <t>Puma</t>
  </si>
  <si>
    <t>BTR-80A/AM</t>
  </si>
  <si>
    <t>Rosomak IFV</t>
  </si>
  <si>
    <t>MLI-84</t>
  </si>
  <si>
    <t>MLI-84M</t>
  </si>
  <si>
    <t>Piranha V IFV</t>
  </si>
  <si>
    <t>Lazar-3 IFV</t>
  </si>
  <si>
    <t>BVP-M</t>
  </si>
  <si>
    <t>Pizarro</t>
  </si>
  <si>
    <t>Pizarro (CP)</t>
  </si>
  <si>
    <t>CV9040</t>
  </si>
  <si>
    <t>Epbv 90 (OP)</t>
  </si>
  <si>
    <t>FV510 Warrior</t>
  </si>
  <si>
    <t>FV511 Warrior (CP)</t>
  </si>
  <si>
    <t>FV514 Warrior (OP)</t>
  </si>
  <si>
    <t>FV515 Warrior (CP)</t>
  </si>
  <si>
    <t>Ulan</t>
  </si>
  <si>
    <t>Piranha III-C DF90</t>
  </si>
  <si>
    <t>Piranha III-C DF30</t>
  </si>
  <si>
    <t>Boxer (Vilkas)</t>
  </si>
  <si>
    <t>ASLAV-25</t>
  </si>
  <si>
    <t>LAV 6.0</t>
  </si>
  <si>
    <t>LAV-25</t>
  </si>
  <si>
    <t>M2A2/A3 Bradley;</t>
  </si>
  <si>
    <t>M7A3/SA BFIST (OP)</t>
  </si>
  <si>
    <t>M1296 Stryker Dragoon</t>
  </si>
  <si>
    <t>M2 Bradley</t>
  </si>
  <si>
    <t>K21</t>
  </si>
  <si>
    <t>M109A5ÖE</t>
  </si>
  <si>
    <t>M109</t>
  </si>
  <si>
    <t>M114</t>
  </si>
  <si>
    <t>D-20(152mm)</t>
  </si>
  <si>
    <t>PzH 2000</t>
  </si>
  <si>
    <t>NORA B-52</t>
  </si>
  <si>
    <t>Mk F3</t>
  </si>
  <si>
    <t>Zuzana</t>
  </si>
  <si>
    <t>TR-F-1(towed)</t>
  </si>
  <si>
    <t>M-77 Dana(152mm)</t>
  </si>
  <si>
    <t>CAESAR 8×8</t>
  </si>
  <si>
    <t>K 83/GH-52 (K 98)</t>
  </si>
  <si>
    <t>AU-F-1</t>
  </si>
  <si>
    <t>FH-70</t>
  </si>
  <si>
    <t>K9 Thunder</t>
  </si>
  <si>
    <t>Krab</t>
  </si>
  <si>
    <t>M-84 NORA-A</t>
  </si>
  <si>
    <t>M-2000 Zuzana</t>
  </si>
  <si>
    <t>M-2000 Zuzana 2</t>
  </si>
  <si>
    <t>TN-90</t>
  </si>
  <si>
    <t>SBT 155/52 SIAC</t>
  </si>
  <si>
    <t>Archer</t>
  </si>
  <si>
    <t>M44T1</t>
  </si>
  <si>
    <t>M52T</t>
  </si>
  <si>
    <t>T-155 Firtina</t>
  </si>
  <si>
    <t>T-155 Firtina II</t>
  </si>
  <si>
    <t>M114 (A1/A2)</t>
  </si>
  <si>
    <t>Panter</t>
  </si>
  <si>
    <t>AS90</t>
  </si>
  <si>
    <t>M777</t>
  </si>
  <si>
    <t>KH-179</t>
  </si>
  <si>
    <t>D-20</t>
  </si>
  <si>
    <t>M-1981</t>
  </si>
  <si>
    <t>M-1985</t>
  </si>
  <si>
    <t>M-77 Dana</t>
  </si>
  <si>
    <t>M270</t>
  </si>
  <si>
    <t>M270B1</t>
  </si>
  <si>
    <t>RM-70</t>
  </si>
  <si>
    <t>RM-70/85 MODULAR</t>
  </si>
  <si>
    <t>Unknown MLRS</t>
  </si>
  <si>
    <t>WR-40</t>
  </si>
  <si>
    <t>M142 HIMARS</t>
  </si>
  <si>
    <t>MRL APR-40</t>
  </si>
  <si>
    <t>LAROM</t>
  </si>
  <si>
    <t>M-63 Plamen</t>
  </si>
  <si>
    <t>M-77 Organj</t>
  </si>
  <si>
    <t>M-87 Orkan</t>
  </si>
  <si>
    <t>TR-300 Kasirga (WS-1)</t>
  </si>
  <si>
    <t>T-122</t>
  </si>
  <si>
    <t>M91 Vulkan</t>
  </si>
  <si>
    <t>BM-21 Grad</t>
  </si>
  <si>
    <t>APRA-40</t>
  </si>
  <si>
    <t>K136 Kooryong</t>
  </si>
  <si>
    <t>K239 Cheonmu</t>
  </si>
  <si>
    <t>Aircraft(FTR not FGA)</t>
  </si>
  <si>
    <t>Eurofighter Typhoon</t>
  </si>
  <si>
    <t>F-16AM Fighting Falcon</t>
  </si>
  <si>
    <t>F-16BM Fighting Falcon</t>
  </si>
  <si>
    <t>F-16BM and F-16AM Fighting Falcon</t>
  </si>
  <si>
    <t>MiG-29 Fulcrum</t>
  </si>
  <si>
    <t>MiG-29UB Fulcrum</t>
  </si>
  <si>
    <t>MiG-29SE Fulcrum C</t>
  </si>
  <si>
    <t>MiG-29AS Fulcrum</t>
  </si>
  <si>
    <t>MiG-29UBS Fulcrum</t>
  </si>
  <si>
    <t>MiG-21bis</t>
  </si>
  <si>
    <t>MiG-21UMD</t>
  </si>
  <si>
    <t>F-5B Freedom Fighter</t>
  </si>
  <si>
    <t>NF-5A Freedom Fighter</t>
  </si>
  <si>
    <t>NF-5B Freedom Fighter</t>
  </si>
  <si>
    <t>Mirage 2000-5</t>
  </si>
  <si>
    <t>Mirage 2000C</t>
  </si>
  <si>
    <t>Mirage 2000B</t>
  </si>
  <si>
    <t>F-15C Eagle</t>
  </si>
  <si>
    <t>F-15D Eagle</t>
  </si>
  <si>
    <t>F-22A Raptor</t>
  </si>
  <si>
    <t>F-5E Tiger II</t>
  </si>
  <si>
    <t>F-5F Tiger II</t>
  </si>
  <si>
    <t>FGA</t>
  </si>
  <si>
    <t xml:space="preserve"> JAS 39C/D Gripen (FGA)</t>
  </si>
  <si>
    <t>F-4E Phantom</t>
  </si>
  <si>
    <t>F-16 (C and B) Fighting Falcon</t>
  </si>
  <si>
    <t>F-16A Fighting Falcon</t>
  </si>
  <si>
    <t>F-16B Fighting Falcon</t>
  </si>
  <si>
    <t>F-35A Lightning II</t>
  </si>
  <si>
    <t>F-35B Lightning II</t>
  </si>
  <si>
    <t>F-35C Lightning II</t>
  </si>
  <si>
    <t>Typhoon FGR4</t>
  </si>
  <si>
    <t>Typhoon T3</t>
  </si>
  <si>
    <t>MiG-21bis Fishbed</t>
  </si>
  <si>
    <t>MiG-21UM Mongol</t>
  </si>
  <si>
    <t>MiG-21 Lancer B</t>
  </si>
  <si>
    <t>MiG-21 Lancer C</t>
  </si>
  <si>
    <t>Gripen C</t>
  </si>
  <si>
    <t>Gripen D</t>
  </si>
  <si>
    <t>F/A-18A Hornet</t>
  </si>
  <si>
    <t>F/A-18B Hornet</t>
  </si>
  <si>
    <t>F/A-18C Hornet</t>
  </si>
  <si>
    <t>F/A-18D Hornet</t>
  </si>
  <si>
    <t>F/A-18F Super Hornet</t>
  </si>
  <si>
    <t>F/A-18E Super Hornet</t>
  </si>
  <si>
    <t>Rafale M F3-R</t>
  </si>
  <si>
    <t>Rafale B;</t>
  </si>
  <si>
    <t>Rafale C</t>
  </si>
  <si>
    <t>Mirage 2000D</t>
  </si>
  <si>
    <t>AMX Ghibli</t>
  </si>
  <si>
    <t>AMX-T Ghibli</t>
  </si>
  <si>
    <t>Su-22M4 Fitter</t>
  </si>
  <si>
    <t>Su-22UM3K Fitter</t>
  </si>
  <si>
    <t>J-22 Orao 1</t>
  </si>
  <si>
    <t>EF-18A MLU</t>
  </si>
  <si>
    <t>EF-18B MLU</t>
  </si>
  <si>
    <t>AV-8B Harrier II</t>
  </si>
  <si>
    <t>TAV-8B Harrier</t>
  </si>
  <si>
    <t>F-15E Strike Eagle</t>
  </si>
  <si>
    <t>F-15EX Eagle II</t>
  </si>
  <si>
    <t>F-16C Fighting Falcon</t>
  </si>
  <si>
    <t>F-16D Fighting Falcon</t>
  </si>
  <si>
    <t>F-15K Eagle</t>
  </si>
  <si>
    <t>FA-50 Fighting Eagle</t>
  </si>
  <si>
    <t>Air defence</t>
  </si>
  <si>
    <t>Long-range</t>
  </si>
  <si>
    <t>S-200</t>
  </si>
  <si>
    <t>SAMP/T</t>
  </si>
  <si>
    <t>S-300PMU</t>
  </si>
  <si>
    <t>M902 Patriot PAC-3</t>
  </si>
  <si>
    <t>M901 Patriot PAC-2</t>
  </si>
  <si>
    <t>M903 Patriot PAC-3 MSE</t>
  </si>
  <si>
    <t>MIM-14 Nike Hercules</t>
  </si>
  <si>
    <t>S-400</t>
  </si>
  <si>
    <t>MIM-104E/F Patriot</t>
  </si>
  <si>
    <t>Medium-range</t>
  </si>
  <si>
    <t>9K37M1 Buk M1-2</t>
  </si>
  <si>
    <t>MIM-23B</t>
  </si>
  <si>
    <t>S-75M3 Volkhov</t>
  </si>
  <si>
    <t>MIM-23 Hawk PIP III</t>
  </si>
  <si>
    <t>Chunggung (KM-SAM)</t>
  </si>
  <si>
    <t>Short-range</t>
  </si>
  <si>
    <t>2K12 Kub</t>
  </si>
  <si>
    <t>S-125 Newa SC</t>
  </si>
  <si>
    <t>Aspide</t>
  </si>
  <si>
    <t>9K331 Tor-M1</t>
  </si>
  <si>
    <t>Crotale NG (ITO 90)</t>
  </si>
  <si>
    <t>NASAMS (unknown vers)</t>
  </si>
  <si>
    <t>NASAMS II FIN (ITO 12)</t>
  </si>
  <si>
    <t>NASAMS III</t>
  </si>
  <si>
    <t>NASAMS II</t>
  </si>
  <si>
    <t>96K6 Pantsir-S1</t>
  </si>
  <si>
    <t>Skyguard/Aspide</t>
  </si>
  <si>
    <t>RBS-23 BAMSE</t>
  </si>
  <si>
    <t>HISAR-A/A+</t>
  </si>
  <si>
    <t>HISAR-O</t>
  </si>
  <si>
    <t>Land Ceptor</t>
  </si>
  <si>
    <t>Iron Dome</t>
  </si>
  <si>
    <t>SPADA</t>
  </si>
  <si>
    <t>Point-defence (MANPATS)</t>
  </si>
  <si>
    <t>9K34 Strela-3</t>
  </si>
  <si>
    <t>9K310 Igla-1</t>
  </si>
  <si>
    <t>9K35 Strela-10M3</t>
  </si>
  <si>
    <t>9K31M Strela-1M</t>
  </si>
  <si>
    <t>9K35M Strela-10M</t>
  </si>
  <si>
    <t>9K32 Strela</t>
  </si>
  <si>
    <t>9K338 Igla-S</t>
  </si>
  <si>
    <t>RBS-70</t>
  </si>
  <si>
    <t>FIM-92 Stinger</t>
  </si>
  <si>
    <t>GROM</t>
  </si>
  <si>
    <t>Piorun</t>
  </si>
  <si>
    <t>Chiron</t>
  </si>
  <si>
    <t>Point-defence (non-MANPATS)</t>
  </si>
  <si>
    <t>Point-defence (self-propelled-system)</t>
  </si>
  <si>
    <t>9K33 Osa</t>
  </si>
  <si>
    <t>ZSU-23-4MP Biala</t>
  </si>
  <si>
    <t>Poprad</t>
  </si>
  <si>
    <t>M48A2 Chaparral</t>
  </si>
  <si>
    <t>M48A3 Chaparral</t>
  </si>
  <si>
    <t>CA-95</t>
  </si>
  <si>
    <t>Altigan PMADS</t>
  </si>
  <si>
    <t>Zipkin PMADS</t>
  </si>
  <si>
    <t>FV4333 Stormer with Starstreak</t>
  </si>
  <si>
    <t>Fennek with FIM-92</t>
  </si>
  <si>
    <t>M-SHORAD</t>
  </si>
  <si>
    <t>M1097 Avenger</t>
  </si>
  <si>
    <t>Chun Ma</t>
  </si>
  <si>
    <t>Point-defence (stationary-system)</t>
  </si>
  <si>
    <t>ASRAD Ozelot (with FIM-92 Stinger)</t>
  </si>
  <si>
    <t>ZUR-23-2KG Jodek-G</t>
  </si>
  <si>
    <t>Pilica</t>
  </si>
  <si>
    <t>Rapier FSC</t>
  </si>
  <si>
    <t>Starstreak (LML)</t>
  </si>
  <si>
    <t>Mistral</t>
  </si>
  <si>
    <t>RIM-7M with Skygaurd</t>
  </si>
  <si>
    <t>Air defence(guns)</t>
  </si>
  <si>
    <t>GDF-005</t>
  </si>
  <si>
    <t>GDF-007</t>
  </si>
  <si>
    <t>L/60</t>
  </si>
  <si>
    <t>L/70</t>
  </si>
  <si>
    <t>L/60/L/70</t>
  </si>
  <si>
    <t>ZU-23-2</t>
  </si>
  <si>
    <t>S-60</t>
  </si>
  <si>
    <t>BOV-3 SP</t>
  </si>
  <si>
    <t>M-55</t>
  </si>
  <si>
    <t>GDF-003 (with Skyguard)</t>
  </si>
  <si>
    <t>C-RAM Mantis</t>
  </si>
  <si>
    <t>Rh 202</t>
  </si>
  <si>
    <t>Artemis-30</t>
  </si>
  <si>
    <t>ZPU-2</t>
  </si>
  <si>
    <t>GDF-003</t>
  </si>
  <si>
    <t>Phalanx (LPWS)</t>
  </si>
  <si>
    <t>M167 Vulcan</t>
  </si>
  <si>
    <t xml:space="preserve"> GAI-D01/Rh-202</t>
  </si>
  <si>
    <t>SP air defence guns</t>
  </si>
  <si>
    <t>Leopard 2 ITK Marksman</t>
  </si>
  <si>
    <t>Gepard</t>
  </si>
  <si>
    <t>Pasars-16</t>
  </si>
  <si>
    <t>KIFV Vulcan SPAAG</t>
  </si>
  <si>
    <t>K30 Biho</t>
  </si>
  <si>
    <t>ZSU-23-4</t>
  </si>
  <si>
    <t>Korkut</t>
  </si>
  <si>
    <t>Lvkv 90</t>
  </si>
  <si>
    <t>unknown</t>
  </si>
  <si>
    <t/>
  </si>
  <si>
    <t>"some"</t>
  </si>
  <si>
    <t xml:space="preserve">unkown </t>
  </si>
  <si>
    <t>some</t>
  </si>
  <si>
    <t>Transparency index of Ukraine support</t>
  </si>
  <si>
    <t>Subindex 1</t>
  </si>
  <si>
    <t>Subindex 2</t>
  </si>
  <si>
    <t>Subindex 3</t>
  </si>
  <si>
    <t>Subindex 4</t>
  </si>
  <si>
    <t>Subindex 5</t>
  </si>
  <si>
    <t>Composition of the transparency index of Ukraine support</t>
  </si>
  <si>
    <t>Designated Website (1=Yes)</t>
  </si>
  <si>
    <t>Total value of commitments given (1=Yes)</t>
  </si>
  <si>
    <t>Monetary value of individual items given by source (share)</t>
  </si>
  <si>
    <t>Government information on individual items (share)</t>
  </si>
  <si>
    <t>Numbers of military items known (share)</t>
  </si>
  <si>
    <t>Is there an official website on government aid to Ukraine? (1 = Yes, 0 = No)</t>
  </si>
  <si>
    <t>Is the total sum of Ukraine support provided by the government? (1 = Yes, 
0 = No)</t>
  </si>
  <si>
    <r>
      <rPr>
        <sz val="11"/>
        <color rgb="FF000000"/>
        <rFont val="Times New Roman"/>
      </rPr>
      <t>Share of committed individual items in our database for which we have a monetary value provided by a</t>
    </r>
    <r>
      <rPr>
        <i/>
        <sz val="11"/>
        <color rgb="FF000000"/>
        <rFont val="Times New Roman"/>
      </rPr>
      <t xml:space="preserve"> </t>
    </r>
    <r>
      <rPr>
        <sz val="11"/>
        <color rgb="FF000000"/>
        <rFont val="Times New Roman"/>
      </rPr>
      <t>source (shares computed by country)</t>
    </r>
  </si>
  <si>
    <r>
      <rPr>
        <sz val="11"/>
        <color rgb="FF000000"/>
        <rFont val="Times New Roman"/>
      </rPr>
      <t xml:space="preserve">Share of committed individual items in our database for which we have an </t>
    </r>
    <r>
      <rPr>
        <i/>
        <sz val="11"/>
        <color rgb="FF000000"/>
        <rFont val="Times New Roman"/>
      </rPr>
      <t>official</t>
    </r>
    <r>
      <rPr>
        <sz val="11"/>
        <color rgb="FF000000"/>
        <rFont val="Times New Roman"/>
      </rPr>
      <t xml:space="preserve"> source (shares computed by country)</t>
    </r>
  </si>
  <si>
    <t xml:space="preserve">Share of committed and disclosed in-kind military items for which we have the exact number of units or weapons committed (shares computed by country) </t>
  </si>
  <si>
    <t>5 = best, 0 = least good</t>
  </si>
  <si>
    <t>How many countries fulfill the measure?</t>
  </si>
  <si>
    <t xml:space="preserve">     As share (41 total donors)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</si>
</sst>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_-"/>
    <numFmt numFmtId="165" formatCode="_(* #,##0.00_);_(* \(#,##0.00\);_(* &quot;-&quot;??_);_(@_)"/>
    <numFmt numFmtId="166" formatCode="0.000000"/>
    <numFmt numFmtId="167" formatCode="0.0000"/>
    <numFmt numFmtId="168" formatCode="0.00000"/>
    <numFmt numFmtId="169" formatCode="#,##0.00\ _€"/>
    <numFmt numFmtId="170" formatCode="#,##0\ _€"/>
    <numFmt numFmtId="171" formatCode="0.0"/>
    <numFmt numFmtId="172" formatCode="#,##0.000"/>
    <numFmt numFmtId="173" formatCode="#,##0.00000"/>
    <numFmt numFmtId="174" formatCode="#,##0_ ;\-#,##0\ "/>
    <numFmt numFmtId="175" formatCode="0.0000000"/>
    <numFmt numFmtId="176" formatCode="0.000"/>
  </numFmts>
  <fonts count="8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8"/>
      <name val="Calibri"/>
      <family val="2"/>
      <scheme val="minor"/>
    </font>
    <font>
      <sz val="10"/>
      <name val="Arial"/>
      <family val="2"/>
    </font>
    <font>
      <sz val="11"/>
      <color theme="1"/>
      <name val="Calibri"/>
      <family val="2"/>
      <scheme val="minor"/>
    </font>
    <font>
      <sz val="11"/>
      <name val="Times New Roman"/>
      <family val="1"/>
    </font>
    <font>
      <sz val="12"/>
      <color theme="1"/>
      <name val="Times New Roman"/>
      <family val="1"/>
    </font>
    <font>
      <sz val="11"/>
      <color rgb="FF000000"/>
      <name val="Times New Roman"/>
      <family val="1"/>
    </font>
    <font>
      <sz val="11"/>
      <color theme="1"/>
      <name val="Times New Roman"/>
      <family val="1"/>
    </font>
    <font>
      <b/>
      <sz val="11"/>
      <name val="Times New Roman"/>
      <family val="1"/>
    </font>
    <font>
      <i/>
      <sz val="11"/>
      <name val="Times New Roman"/>
      <family val="1"/>
    </font>
    <font>
      <u/>
      <sz val="11"/>
      <name val="Times New Roman"/>
      <family val="1"/>
    </font>
    <font>
      <u/>
      <sz val="11"/>
      <color theme="1"/>
      <name val="Times New Roman"/>
      <family val="1"/>
    </font>
    <font>
      <i/>
      <sz val="11"/>
      <color theme="1"/>
      <name val="Times New Roman"/>
      <family val="1"/>
    </font>
    <font>
      <i/>
      <u/>
      <sz val="11"/>
      <color theme="1"/>
      <name val="Times New Roman"/>
      <family val="1"/>
    </font>
    <font>
      <b/>
      <sz val="13"/>
      <color theme="1"/>
      <name val="Times New Roman"/>
      <family val="1"/>
    </font>
    <font>
      <sz val="9"/>
      <color indexed="81"/>
      <name val="Tahoma"/>
      <family val="2"/>
    </font>
    <font>
      <b/>
      <sz val="9"/>
      <color indexed="81"/>
      <name val="Tahoma"/>
      <family val="2"/>
    </font>
    <font>
      <u/>
      <sz val="11"/>
      <color theme="10"/>
      <name val="Calibri"/>
      <family val="2"/>
      <scheme val="minor"/>
    </font>
    <font>
      <sz val="12"/>
      <color rgb="FF000000"/>
      <name val="Times New Roman"/>
      <family val="1"/>
    </font>
    <font>
      <u/>
      <sz val="11"/>
      <color rgb="FF000000"/>
      <name val="Times New Roman"/>
      <family val="1"/>
    </font>
    <font>
      <i/>
      <sz val="11"/>
      <color rgb="FF000000"/>
      <name val="Times New Roman"/>
      <family val="1"/>
    </font>
    <font>
      <i/>
      <sz val="12"/>
      <name val="Times New Roman"/>
      <family val="1"/>
    </font>
    <font>
      <b/>
      <sz val="16"/>
      <color rgb="FF000000"/>
      <name val="Times New Roman"/>
      <family val="1"/>
    </font>
    <font>
      <i/>
      <sz val="12"/>
      <color rgb="FF000000"/>
      <name val="Times New Roman"/>
      <family val="1"/>
    </font>
    <font>
      <b/>
      <u/>
      <sz val="12"/>
      <color theme="1"/>
      <name val="Times New Roman"/>
      <family val="1"/>
    </font>
    <font>
      <b/>
      <sz val="12"/>
      <color theme="1"/>
      <name val="Times New Roman"/>
      <family val="1"/>
    </font>
    <font>
      <b/>
      <sz val="12"/>
      <name val="Times New Roman"/>
      <family val="1"/>
    </font>
    <font>
      <i/>
      <sz val="12"/>
      <color theme="1"/>
      <name val="Times New Roman"/>
      <family val="1"/>
    </font>
    <font>
      <sz val="12"/>
      <color rgb="FFFF0000"/>
      <name val="Times New Roman"/>
      <family val="1"/>
    </font>
    <font>
      <b/>
      <u/>
      <sz val="11"/>
      <name val="Times New Roman"/>
      <family val="1"/>
    </font>
    <font>
      <b/>
      <u/>
      <sz val="11"/>
      <color rgb="FF000000"/>
      <name val="Times New Roman"/>
      <family val="1"/>
    </font>
    <font>
      <b/>
      <sz val="11"/>
      <color rgb="FF000000"/>
      <name val="Times New Roman"/>
      <family val="1"/>
    </font>
    <font>
      <sz val="10"/>
      <name val="Times New Roman"/>
      <family val="1"/>
    </font>
    <font>
      <b/>
      <sz val="12"/>
      <color rgb="FF000000"/>
      <name val="Times New Roman"/>
      <family val="1"/>
    </font>
    <font>
      <sz val="11"/>
      <color rgb="FF444444"/>
      <name val="Times New Roman"/>
      <family val="1"/>
    </font>
    <font>
      <u/>
      <sz val="12"/>
      <color theme="10"/>
      <name val="Times New Roman"/>
      <family val="1"/>
    </font>
    <font>
      <u/>
      <sz val="12"/>
      <color rgb="FF0563C1"/>
      <name val="Times New Roman"/>
      <family val="1"/>
    </font>
    <font>
      <sz val="12"/>
      <name val="Times New Roman"/>
      <family val="1"/>
    </font>
    <font>
      <sz val="12"/>
      <color rgb="FF333333"/>
      <name val="Times New Roman"/>
      <family val="1"/>
    </font>
    <font>
      <u/>
      <sz val="12"/>
      <color rgb="FF4472C4"/>
      <name val="Times New Roman"/>
      <family val="1"/>
    </font>
    <font>
      <sz val="12"/>
      <color rgb="FF4472C4"/>
      <name val="Times New Roman"/>
      <family val="1"/>
    </font>
    <font>
      <u/>
      <sz val="12"/>
      <color rgb="FF000000"/>
      <name val="Times New Roman"/>
      <family val="1"/>
    </font>
    <font>
      <u/>
      <sz val="11"/>
      <color theme="10"/>
      <name val="Times New Roman"/>
      <family val="1"/>
    </font>
    <font>
      <b/>
      <sz val="11"/>
      <color theme="1"/>
      <name val="Times New Roman"/>
      <family val="1"/>
    </font>
    <font>
      <b/>
      <sz val="22"/>
      <color theme="1"/>
      <name val="Times New Roman"/>
      <family val="1"/>
    </font>
    <font>
      <b/>
      <sz val="16"/>
      <color theme="1"/>
      <name val="Times New Roman"/>
      <family val="1"/>
    </font>
    <font>
      <b/>
      <sz val="12"/>
      <color rgb="FF202122"/>
      <name val="Times New Roman"/>
      <family val="1"/>
    </font>
    <font>
      <sz val="12"/>
      <color rgb="FF202122"/>
      <name val="Times New Roman"/>
      <family val="1"/>
    </font>
    <font>
      <sz val="12"/>
      <color theme="2" tint="-0.249977111117893"/>
      <name val="Times New Roman"/>
      <family val="1"/>
    </font>
    <font>
      <b/>
      <i/>
      <sz val="12"/>
      <color rgb="FF000000"/>
      <name val="Times New Roman"/>
      <family val="1"/>
    </font>
    <font>
      <sz val="1"/>
      <color theme="1"/>
      <name val="Times New Roman"/>
      <family val="1"/>
    </font>
    <font>
      <b/>
      <sz val="16"/>
      <name val="Times New Roman"/>
      <family val="1"/>
    </font>
    <font>
      <b/>
      <i/>
      <sz val="12"/>
      <color theme="1"/>
      <name val="Times New Roman"/>
      <family val="1"/>
    </font>
    <font>
      <sz val="11"/>
      <color rgb="FF333333"/>
      <name val="Times New Roman"/>
      <family val="1"/>
    </font>
    <font>
      <sz val="12"/>
      <color theme="1"/>
      <name val="Calibri"/>
      <family val="2"/>
      <scheme val="minor"/>
    </font>
    <font>
      <b/>
      <u/>
      <sz val="13"/>
      <color theme="1"/>
      <name val="Times New Roman"/>
      <family val="1"/>
    </font>
    <font>
      <b/>
      <i/>
      <sz val="11"/>
      <name val="Times New Roman"/>
      <family val="1"/>
    </font>
    <font>
      <b/>
      <sz val="9"/>
      <color rgb="FF000000"/>
      <name val="Tahoma"/>
      <family val="2"/>
    </font>
    <font>
      <sz val="9"/>
      <color rgb="FF000000"/>
      <name val="Tahoma"/>
      <family val="2"/>
    </font>
    <font>
      <b/>
      <i/>
      <u/>
      <sz val="13"/>
      <color theme="1"/>
      <name val="Times New Roman"/>
      <family val="1"/>
    </font>
    <font>
      <sz val="12"/>
      <color theme="3"/>
      <name val="Times New Roman"/>
      <family val="1"/>
    </font>
    <font>
      <b/>
      <i/>
      <sz val="12"/>
      <name val="Times New Roman"/>
      <family val="1"/>
    </font>
    <font>
      <i/>
      <u/>
      <sz val="12"/>
      <color theme="1"/>
      <name val="Times New Roman"/>
      <family val="1"/>
    </font>
    <font>
      <sz val="13"/>
      <color theme="1"/>
      <name val="Times New Roman"/>
      <family val="1"/>
    </font>
    <font>
      <b/>
      <sz val="9"/>
      <color indexed="81"/>
      <name val="Segoe UI"/>
      <family val="2"/>
    </font>
    <font>
      <sz val="9"/>
      <color indexed="81"/>
      <name val="Segoe UI"/>
      <family val="2"/>
    </font>
    <font>
      <sz val="12"/>
      <color rgb="FF000000"/>
      <name val="Times New Roman"/>
    </font>
    <font>
      <i/>
      <sz val="12"/>
      <color rgb="FF000000"/>
      <name val="Times New Roman"/>
    </font>
    <font>
      <sz val="11"/>
      <color rgb="FF000000"/>
      <name val="Times New Roman"/>
    </font>
    <font>
      <b/>
      <u/>
      <sz val="11"/>
      <color theme="1"/>
      <name val="Times New Roman"/>
      <family val="1"/>
    </font>
    <font>
      <i/>
      <sz val="11"/>
      <color rgb="FF000000"/>
      <name val="Times New Roman"/>
    </font>
    <font>
      <b/>
      <i/>
      <u/>
      <sz val="11"/>
      <color theme="1"/>
      <name val="Times New Roman"/>
      <family val="1"/>
    </font>
    <font>
      <b/>
      <i/>
      <u/>
      <sz val="11"/>
      <name val="Times New Roman"/>
      <family val="1"/>
    </font>
    <font>
      <b/>
      <u/>
      <sz val="13"/>
      <color rgb="FF000000"/>
      <name val="Times New Roman"/>
      <family val="1"/>
    </font>
  </fonts>
  <fills count="1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rgb="FF000000"/>
      </patternFill>
    </fill>
  </fills>
  <borders count="52">
    <border>
      <left/>
      <right/>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rgb="FFD0CECE"/>
      </left>
      <right style="thin">
        <color rgb="FFD0CECE"/>
      </right>
      <top style="thin">
        <color rgb="FFD0CECE"/>
      </top>
      <bottom style="thin">
        <color rgb="FFD0CECE"/>
      </bottom>
      <diagonal/>
    </border>
    <border>
      <left/>
      <right/>
      <top/>
      <bottom style="thin">
        <color rgb="FF000000"/>
      </bottom>
      <diagonal/>
    </border>
    <border>
      <left/>
      <right/>
      <top/>
      <bottom style="thin">
        <color indexed="64"/>
      </bottom>
      <diagonal/>
    </border>
    <border>
      <left/>
      <right style="thin">
        <color rgb="FFD0CECE"/>
      </right>
      <top style="thin">
        <color rgb="FFD0CECE"/>
      </top>
      <bottom style="thin">
        <color rgb="FFD0CECE"/>
      </bottom>
      <diagonal/>
    </border>
    <border>
      <left/>
      <right style="thin">
        <color theme="2" tint="-9.9948118533890809E-2"/>
      </right>
      <top style="thin">
        <color theme="2" tint="-9.9948118533890809E-2"/>
      </top>
      <bottom/>
      <diagonal/>
    </border>
    <border>
      <left/>
      <right style="thin">
        <color theme="2" tint="-9.9948118533890809E-2"/>
      </right>
      <top/>
      <bottom/>
      <diagonal/>
    </border>
    <border>
      <left/>
      <right/>
      <top style="thin">
        <color indexed="64"/>
      </top>
      <bottom style="thin">
        <color indexed="64"/>
      </bottom>
      <diagonal/>
    </border>
    <border>
      <left/>
      <right/>
      <top style="thin">
        <color indexed="64"/>
      </top>
      <bottom style="thin">
        <color rgb="FF000000"/>
      </bottom>
      <diagonal/>
    </border>
    <border>
      <left/>
      <right/>
      <top style="thin">
        <color indexed="64"/>
      </top>
      <bottom/>
      <diagonal/>
    </border>
    <border>
      <left style="thin">
        <color rgb="FFD0CECE"/>
      </left>
      <right style="thin">
        <color rgb="FFD0CECE"/>
      </right>
      <top style="thin">
        <color rgb="FFD0CECE"/>
      </top>
      <bottom/>
      <diagonal/>
    </border>
    <border>
      <left style="thin">
        <color rgb="FFD0CECE"/>
      </left>
      <right style="thin">
        <color rgb="FFD0CECE"/>
      </right>
      <top/>
      <bottom/>
      <diagonal/>
    </border>
    <border>
      <left style="thin">
        <color rgb="FFD0CECE"/>
      </left>
      <right style="thin">
        <color rgb="FFD0CECE"/>
      </right>
      <top/>
      <bottom style="thin">
        <color rgb="FFD0CECE"/>
      </bottom>
      <diagonal/>
    </border>
    <border>
      <left style="thin">
        <color theme="2" tint="-9.9948118533890809E-2"/>
      </left>
      <right/>
      <top style="thin">
        <color theme="2" tint="-9.9948118533890809E-2"/>
      </top>
      <bottom/>
      <diagonal/>
    </border>
    <border>
      <left/>
      <right style="thin">
        <color rgb="FFD0CECE"/>
      </right>
      <top/>
      <bottom style="thin">
        <color rgb="FFD0CECE"/>
      </bottom>
      <diagonal/>
    </border>
    <border>
      <left/>
      <right style="thin">
        <color rgb="FFD0CECE"/>
      </right>
      <top/>
      <bottom/>
      <diagonal/>
    </border>
    <border>
      <left/>
      <right style="thin">
        <color rgb="FFD0CECE"/>
      </right>
      <top style="thin">
        <color rgb="FFD0CECE"/>
      </top>
      <bottom/>
      <diagonal/>
    </border>
    <border>
      <left/>
      <right/>
      <top/>
      <bottom style="thin">
        <color rgb="FFD0CECE"/>
      </bottom>
      <diagonal/>
    </border>
    <border>
      <left style="thin">
        <color rgb="FFD0CECE"/>
      </left>
      <right/>
      <top/>
      <bottom/>
      <diagonal/>
    </border>
    <border>
      <left style="thin">
        <color rgb="FFD0CECE"/>
      </left>
      <right/>
      <top/>
      <bottom style="thin">
        <color rgb="FFD0CECE"/>
      </bottom>
      <diagonal/>
    </border>
    <border>
      <left/>
      <right/>
      <top style="thin">
        <color rgb="FF000000"/>
      </top>
      <bottom style="thin">
        <color rgb="FF000000"/>
      </bottom>
      <diagonal/>
    </border>
    <border>
      <left/>
      <right/>
      <top style="thin">
        <color rgb="FF000000"/>
      </top>
      <bottom/>
      <diagonal/>
    </border>
    <border>
      <left/>
      <right style="thin">
        <color theme="2" tint="-9.9948118533890809E-2"/>
      </right>
      <top style="thin">
        <color theme="2" tint="-9.9948118533890809E-2"/>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right style="thin">
        <color rgb="FF000000"/>
      </right>
      <top style="thin">
        <color theme="2" tint="-9.9948118533890809E-2"/>
      </top>
      <bottom style="thin">
        <color theme="2" tint="-9.9948118533890809E-2"/>
      </bottom>
      <diagonal/>
    </border>
    <border>
      <left style="thin">
        <color rgb="FFE7E6E6"/>
      </left>
      <right style="thin">
        <color rgb="FFE7E6E6"/>
      </right>
      <top style="thin">
        <color rgb="FFE7E6E6"/>
      </top>
      <bottom/>
      <diagonal/>
    </border>
    <border>
      <left style="thin">
        <color rgb="FFE7E6E6"/>
      </left>
      <right style="thin">
        <color rgb="FFE7E6E6"/>
      </right>
      <top/>
      <bottom/>
      <diagonal/>
    </border>
    <border>
      <left style="thin">
        <color rgb="FFE7E6E6"/>
      </left>
      <right style="thin">
        <color rgb="FFE7E6E6"/>
      </right>
      <top/>
      <bottom style="thin">
        <color rgb="FFE7E6E6"/>
      </bottom>
      <diagonal/>
    </border>
    <border>
      <left/>
      <right style="thin">
        <color rgb="FFE7E6E6"/>
      </right>
      <top style="thin">
        <color rgb="FFE7E6E6"/>
      </top>
      <bottom style="thin">
        <color rgb="FFE7E6E6"/>
      </bottom>
      <diagonal/>
    </border>
    <border>
      <left/>
      <right style="thin">
        <color rgb="FFE7E6E6"/>
      </right>
      <top/>
      <bottom style="thin">
        <color rgb="FFE7E6E6"/>
      </bottom>
      <diagonal/>
    </border>
    <border>
      <left style="thin">
        <color rgb="FF000000"/>
      </left>
      <right/>
      <top/>
      <bottom/>
      <diagonal/>
    </border>
    <border>
      <left/>
      <right/>
      <top style="thin">
        <color theme="2" tint="-9.9948118533890809E-2"/>
      </top>
      <bottom/>
      <diagonal/>
    </border>
    <border>
      <left style="thin">
        <color theme="2" tint="-9.9948118533890809E-2"/>
      </left>
      <right/>
      <top style="thin">
        <color rgb="FFD0CECE"/>
      </top>
      <bottom/>
      <diagonal/>
    </border>
    <border>
      <left style="thin">
        <color theme="2" tint="-9.9948118533890809E-2"/>
      </left>
      <right style="thin">
        <color theme="2" tint="-9.9948118533890809E-2"/>
      </right>
      <top/>
      <bottom/>
      <diagonal/>
    </border>
    <border>
      <left style="thin">
        <color theme="2" tint="-9.9948118533890809E-2"/>
      </left>
      <right/>
      <top/>
      <bottom/>
      <diagonal/>
    </border>
    <border>
      <left style="thin">
        <color theme="2" tint="-9.9948118533890809E-2"/>
      </left>
      <right style="thin">
        <color theme="2" tint="-9.9948118533890809E-2"/>
      </right>
      <top/>
      <bottom style="thin">
        <color rgb="FFD0CECE"/>
      </bottom>
      <diagonal/>
    </border>
    <border>
      <left/>
      <right style="thin">
        <color theme="2" tint="-9.9948118533890809E-2"/>
      </right>
      <top/>
      <bottom style="thin">
        <color rgb="FFD0CECE"/>
      </bottom>
      <diagonal/>
    </border>
    <border>
      <left/>
      <right/>
      <top style="thin">
        <color rgb="FF000000"/>
      </top>
      <bottom style="thin">
        <color indexed="64"/>
      </bottom>
      <diagonal/>
    </border>
    <border>
      <left style="double">
        <color indexed="64"/>
      </left>
      <right/>
      <top/>
      <bottom/>
      <diagonal/>
    </border>
    <border>
      <left/>
      <right style="double">
        <color indexed="64"/>
      </right>
      <top style="thin">
        <color indexed="64"/>
      </top>
      <bottom/>
      <diagonal/>
    </border>
    <border>
      <left/>
      <right style="double">
        <color indexed="64"/>
      </right>
      <top/>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rgb="FFD0CECE"/>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s>
  <cellStyleXfs count="21">
    <xf numFmtId="0" fontId="0" fillId="0" borderId="0"/>
    <xf numFmtId="0" fontId="14" fillId="0" borderId="0"/>
    <xf numFmtId="0" fontId="15" fillId="0" borderId="0"/>
    <xf numFmtId="0" fontId="14" fillId="0" borderId="0"/>
    <xf numFmtId="0" fontId="11" fillId="0" borderId="0"/>
    <xf numFmtId="0" fontId="10" fillId="0" borderId="0"/>
    <xf numFmtId="0" fontId="9" fillId="0" borderId="0"/>
    <xf numFmtId="0" fontId="29" fillId="0" borderId="0" applyNumberFormat="0" applyFill="0" applyBorder="0" applyAlignment="0" applyProtection="0"/>
    <xf numFmtId="0" fontId="9" fillId="0" borderId="0"/>
    <xf numFmtId="0" fontId="8" fillId="0" borderId="0"/>
    <xf numFmtId="165" fontId="8" fillId="0" borderId="0" applyFont="0" applyFill="0" applyBorder="0" applyAlignment="0" applyProtection="0"/>
    <xf numFmtId="165" fontId="66" fillId="0" borderId="0" applyFont="0" applyFill="0" applyBorder="0" applyAlignment="0" applyProtection="0"/>
    <xf numFmtId="0" fontId="7" fillId="0" borderId="0"/>
    <xf numFmtId="0" fontId="6" fillId="0" borderId="0"/>
    <xf numFmtId="9" fontId="66" fillId="0" borderId="0" applyFont="0" applyFill="0" applyBorder="0" applyAlignment="0" applyProtection="0"/>
    <xf numFmtId="0" fontId="5" fillId="0" borderId="0"/>
    <xf numFmtId="0" fontId="4" fillId="0" borderId="0"/>
    <xf numFmtId="0" fontId="3" fillId="0" borderId="0"/>
    <xf numFmtId="0" fontId="2" fillId="0" borderId="0"/>
    <xf numFmtId="0" fontId="12" fillId="0" borderId="0" applyNumberFormat="0" applyFill="0" applyBorder="0" applyAlignment="0" applyProtection="0"/>
    <xf numFmtId="0" fontId="1" fillId="0" borderId="0"/>
  </cellStyleXfs>
  <cellXfs count="907">
    <xf numFmtId="0" fontId="0" fillId="0" borderId="0" xfId="0"/>
    <xf numFmtId="0" fontId="18" fillId="0" borderId="0" xfId="0" applyFont="1"/>
    <xf numFmtId="0" fontId="19" fillId="2" borderId="0" xfId="0" applyFont="1" applyFill="1"/>
    <xf numFmtId="0" fontId="20" fillId="2" borderId="0" xfId="0" applyFont="1" applyFill="1"/>
    <xf numFmtId="0" fontId="21" fillId="2" borderId="0" xfId="0" applyFont="1" applyFill="1"/>
    <xf numFmtId="0" fontId="16" fillId="2" borderId="0" xfId="0" applyFont="1" applyFill="1"/>
    <xf numFmtId="0" fontId="25" fillId="2" borderId="0" xfId="0" applyFont="1" applyFill="1"/>
    <xf numFmtId="0" fontId="24" fillId="2" borderId="0" xfId="0" applyFont="1" applyFill="1"/>
    <xf numFmtId="0" fontId="17" fillId="2" borderId="0" xfId="0" applyFont="1" applyFill="1"/>
    <xf numFmtId="0" fontId="23" fillId="2" borderId="0" xfId="0" applyFont="1" applyFill="1"/>
    <xf numFmtId="0" fontId="26" fillId="2" borderId="0" xfId="0" applyFont="1" applyFill="1"/>
    <xf numFmtId="0" fontId="18" fillId="2" borderId="0" xfId="0" applyFont="1" applyFill="1"/>
    <xf numFmtId="0" fontId="16" fillId="0" borderId="0" xfId="0" applyFont="1" applyAlignment="1">
      <alignment wrapText="1"/>
    </xf>
    <xf numFmtId="0" fontId="18" fillId="0" borderId="0" xfId="0" applyFont="1" applyAlignment="1">
      <alignment vertical="center"/>
    </xf>
    <xf numFmtId="0" fontId="17" fillId="0" borderId="0" xfId="0" applyFont="1" applyAlignment="1">
      <alignment vertical="center"/>
    </xf>
    <xf numFmtId="0" fontId="18" fillId="0" borderId="0" xfId="0" applyFont="1" applyAlignment="1">
      <alignment horizontal="center" vertical="center" wrapText="1"/>
    </xf>
    <xf numFmtId="0" fontId="34" fillId="0" borderId="0" xfId="0" applyFont="1" applyAlignment="1">
      <alignment vertical="center"/>
    </xf>
    <xf numFmtId="0" fontId="17" fillId="0" borderId="0" xfId="0" applyFont="1" applyAlignment="1">
      <alignment horizontal="center" vertical="center" wrapText="1"/>
    </xf>
    <xf numFmtId="0" fontId="30" fillId="0" borderId="0" xfId="0" applyFont="1" applyAlignment="1">
      <alignment vertical="center"/>
    </xf>
    <xf numFmtId="0" fontId="36" fillId="0" borderId="0" xfId="0" applyFont="1" applyAlignment="1">
      <alignment vertical="center"/>
    </xf>
    <xf numFmtId="0" fontId="38" fillId="4" borderId="0" xfId="0" applyFont="1" applyFill="1" applyAlignment="1">
      <alignment vertical="center" wrapText="1"/>
    </xf>
    <xf numFmtId="0" fontId="33" fillId="0" borderId="0" xfId="0" applyFont="1" applyAlignment="1">
      <alignment vertical="center"/>
    </xf>
    <xf numFmtId="0" fontId="17" fillId="5" borderId="0" xfId="0" applyFont="1" applyFill="1" applyAlignment="1">
      <alignment vertical="center"/>
    </xf>
    <xf numFmtId="0" fontId="40" fillId="5" borderId="0" xfId="0" applyFont="1" applyFill="1" applyAlignment="1">
      <alignment vertical="center"/>
    </xf>
    <xf numFmtId="0" fontId="17" fillId="2" borderId="0" xfId="0" applyFont="1" applyFill="1" applyAlignment="1">
      <alignment vertical="center"/>
    </xf>
    <xf numFmtId="0" fontId="37" fillId="5" borderId="0" xfId="0" applyFont="1" applyFill="1" applyAlignment="1">
      <alignment vertical="center"/>
    </xf>
    <xf numFmtId="0" fontId="16" fillId="0" borderId="0" xfId="1" applyFont="1" applyAlignment="1">
      <alignment vertical="top" wrapText="1"/>
    </xf>
    <xf numFmtId="0" fontId="19" fillId="0" borderId="0" xfId="0" applyFont="1" applyAlignment="1">
      <alignment vertical="center"/>
    </xf>
    <xf numFmtId="0" fontId="41" fillId="0" borderId="0" xfId="0" applyFont="1"/>
    <xf numFmtId="0" fontId="16" fillId="0" borderId="0" xfId="0" applyFont="1"/>
    <xf numFmtId="0" fontId="42" fillId="0" borderId="0" xfId="0" applyFont="1"/>
    <xf numFmtId="0" fontId="43" fillId="0" borderId="0" xfId="0" applyFont="1"/>
    <xf numFmtId="0" fontId="20" fillId="4" borderId="0" xfId="0" applyFont="1" applyFill="1" applyAlignment="1">
      <alignment wrapText="1"/>
    </xf>
    <xf numFmtId="0" fontId="17" fillId="0" borderId="0" xfId="0" applyFont="1"/>
    <xf numFmtId="0" fontId="20" fillId="0" borderId="0" xfId="0" applyFont="1"/>
    <xf numFmtId="0" fontId="16" fillId="0" borderId="0" xfId="1" applyFont="1"/>
    <xf numFmtId="0" fontId="44" fillId="0" borderId="0" xfId="1" applyFont="1"/>
    <xf numFmtId="3" fontId="37" fillId="0" borderId="0" xfId="0" applyNumberFormat="1" applyFont="1" applyAlignment="1">
      <alignment horizontal="center" vertical="center"/>
    </xf>
    <xf numFmtId="3" fontId="17" fillId="0" borderId="0" xfId="0" applyNumberFormat="1" applyFont="1" applyAlignment="1">
      <alignment horizontal="left" vertical="center"/>
    </xf>
    <xf numFmtId="0" fontId="30" fillId="0" borderId="0" xfId="0" applyFont="1" applyAlignment="1">
      <alignment horizontal="center" vertical="center"/>
    </xf>
    <xf numFmtId="14" fontId="30" fillId="0" borderId="0" xfId="0" applyNumberFormat="1" applyFont="1" applyAlignment="1">
      <alignment horizontal="left" vertical="center"/>
    </xf>
    <xf numFmtId="0" fontId="30" fillId="0" borderId="0" xfId="0" applyFont="1" applyAlignment="1">
      <alignment horizontal="left" vertical="center"/>
    </xf>
    <xf numFmtId="0" fontId="47" fillId="0" borderId="0" xfId="19" applyFont="1" applyFill="1" applyBorder="1" applyAlignment="1">
      <alignment horizontal="left" vertical="top"/>
    </xf>
    <xf numFmtId="3" fontId="17" fillId="0" borderId="1" xfId="0" applyNumberFormat="1" applyFont="1" applyBorder="1" applyAlignment="1">
      <alignment horizontal="left" vertical="center"/>
    </xf>
    <xf numFmtId="0" fontId="17" fillId="0" borderId="1" xfId="0" applyFont="1" applyBorder="1" applyAlignment="1">
      <alignment horizontal="left" vertical="center"/>
    </xf>
    <xf numFmtId="0" fontId="37" fillId="0" borderId="0" xfId="0" applyFont="1" applyAlignment="1">
      <alignment horizontal="left" vertical="top"/>
    </xf>
    <xf numFmtId="0" fontId="30" fillId="0" borderId="0" xfId="0" applyFont="1"/>
    <xf numFmtId="0" fontId="30" fillId="0" borderId="0" xfId="19" applyFont="1" applyFill="1" applyBorder="1" applyAlignment="1">
      <alignment horizontal="center" vertical="center"/>
    </xf>
    <xf numFmtId="0" fontId="17" fillId="0" borderId="0" xfId="0" applyFont="1" applyAlignment="1">
      <alignment horizontal="left"/>
    </xf>
    <xf numFmtId="4" fontId="17" fillId="0" borderId="1" xfId="0" applyNumberFormat="1" applyFont="1" applyBorder="1" applyAlignment="1">
      <alignment horizontal="left" vertical="center"/>
    </xf>
    <xf numFmtId="0" fontId="47" fillId="0" borderId="17" xfId="19" applyFont="1" applyFill="1" applyBorder="1" applyAlignment="1">
      <alignment horizontal="left" vertical="top" wrapText="1"/>
    </xf>
    <xf numFmtId="0" fontId="17" fillId="0" borderId="1" xfId="0" applyFont="1" applyBorder="1" applyAlignment="1">
      <alignment horizontal="left" vertical="top" wrapText="1"/>
    </xf>
    <xf numFmtId="0" fontId="47" fillId="0" borderId="18" xfId="19" applyFont="1" applyFill="1" applyBorder="1" applyAlignment="1">
      <alignment horizontal="left" vertical="top" wrapText="1"/>
    </xf>
    <xf numFmtId="0" fontId="47" fillId="0" borderId="19" xfId="19" applyFont="1" applyFill="1" applyBorder="1" applyAlignment="1">
      <alignment horizontal="left" vertical="top" wrapText="1"/>
    </xf>
    <xf numFmtId="0" fontId="47" fillId="0" borderId="15" xfId="19" applyFont="1" applyFill="1" applyBorder="1" applyAlignment="1">
      <alignment horizontal="left" vertical="top" wrapText="1"/>
    </xf>
    <xf numFmtId="0" fontId="37" fillId="0" borderId="1" xfId="0" applyFont="1" applyBorder="1" applyAlignment="1">
      <alignment vertical="center" wrapText="1"/>
    </xf>
    <xf numFmtId="0" fontId="37" fillId="0" borderId="1" xfId="0" applyFont="1" applyBorder="1" applyAlignment="1">
      <alignment horizontal="center" vertical="center"/>
    </xf>
    <xf numFmtId="0" fontId="37" fillId="0" borderId="1" xfId="0" applyFont="1" applyBorder="1" applyAlignment="1">
      <alignment vertical="center"/>
    </xf>
    <xf numFmtId="0" fontId="37" fillId="0" borderId="1" xfId="0" applyFont="1" applyBorder="1" applyAlignment="1">
      <alignment horizontal="left" vertical="center" wrapText="1"/>
    </xf>
    <xf numFmtId="3" fontId="37" fillId="0" borderId="1" xfId="0" applyNumberFormat="1" applyFont="1" applyBorder="1" applyAlignment="1">
      <alignment horizontal="left" vertical="center" wrapText="1"/>
    </xf>
    <xf numFmtId="0" fontId="37" fillId="0" borderId="1" xfId="0" applyFont="1" applyBorder="1" applyAlignment="1">
      <alignment horizontal="center" vertical="center" wrapText="1"/>
    </xf>
    <xf numFmtId="171" fontId="37" fillId="0" borderId="1" xfId="0" applyNumberFormat="1" applyFont="1" applyBorder="1" applyAlignment="1">
      <alignment horizontal="left" vertical="center" wrapText="1"/>
    </xf>
    <xf numFmtId="4" fontId="37" fillId="0" borderId="1" xfId="0" applyNumberFormat="1" applyFont="1" applyBorder="1" applyAlignment="1">
      <alignment horizontal="center" vertical="center" wrapText="1"/>
    </xf>
    <xf numFmtId="4" fontId="37" fillId="0" borderId="1" xfId="0" applyNumberFormat="1" applyFont="1" applyBorder="1" applyAlignment="1">
      <alignment horizontal="center" vertical="center"/>
    </xf>
    <xf numFmtId="4" fontId="37" fillId="0" borderId="26" xfId="0" applyNumberFormat="1" applyFont="1" applyBorder="1" applyAlignment="1">
      <alignment horizontal="left" vertical="center" wrapText="1"/>
    </xf>
    <xf numFmtId="3" fontId="37" fillId="0" borderId="27" xfId="0" applyNumberFormat="1" applyFont="1" applyBorder="1" applyAlignment="1">
      <alignment horizontal="center" vertical="center"/>
    </xf>
    <xf numFmtId="3" fontId="37" fillId="0" borderId="25" xfId="0" applyNumberFormat="1" applyFont="1" applyBorder="1" applyAlignment="1">
      <alignment horizontal="center" vertical="center"/>
    </xf>
    <xf numFmtId="3" fontId="37" fillId="0" borderId="1" xfId="0" applyNumberFormat="1" applyFont="1" applyBorder="1" applyAlignment="1">
      <alignment horizontal="center" vertical="center" wrapText="1"/>
    </xf>
    <xf numFmtId="0" fontId="45" fillId="0" borderId="1" xfId="0" applyFont="1" applyBorder="1" applyAlignment="1">
      <alignment horizontal="center" vertical="center"/>
    </xf>
    <xf numFmtId="0" fontId="30" fillId="0" borderId="0" xfId="0" applyFont="1" applyAlignment="1">
      <alignment vertical="center" wrapText="1"/>
    </xf>
    <xf numFmtId="0" fontId="30" fillId="0" borderId="31" xfId="0" applyFont="1" applyBorder="1" applyAlignment="1">
      <alignment horizontal="left" vertical="center"/>
    </xf>
    <xf numFmtId="0" fontId="30" fillId="0" borderId="31" xfId="0" applyFont="1" applyBorder="1" applyAlignment="1">
      <alignment horizontal="center" vertical="center"/>
    </xf>
    <xf numFmtId="0" fontId="30" fillId="0" borderId="32" xfId="0" applyFont="1" applyBorder="1" applyAlignment="1">
      <alignment horizontal="left" vertical="center"/>
    </xf>
    <xf numFmtId="0" fontId="30" fillId="0" borderId="33" xfId="0" applyFont="1" applyBorder="1" applyAlignment="1">
      <alignment horizontal="center" vertical="center"/>
    </xf>
    <xf numFmtId="0" fontId="47" fillId="0" borderId="0" xfId="19" applyFont="1" applyFill="1" applyBorder="1" applyAlignment="1">
      <alignment vertical="center" wrapText="1"/>
    </xf>
    <xf numFmtId="0" fontId="47" fillId="0" borderId="0" xfId="19" applyFont="1" applyFill="1" applyBorder="1" applyAlignment="1">
      <alignment vertical="center"/>
    </xf>
    <xf numFmtId="0" fontId="30" fillId="0" borderId="29" xfId="0" applyFont="1" applyBorder="1" applyAlignment="1">
      <alignment horizontal="center" vertical="center"/>
    </xf>
    <xf numFmtId="0" fontId="17" fillId="0" borderId="1" xfId="0" applyFont="1" applyBorder="1" applyAlignment="1">
      <alignment vertical="center"/>
    </xf>
    <xf numFmtId="14" fontId="17" fillId="0" borderId="1" xfId="0" applyNumberFormat="1" applyFont="1" applyBorder="1" applyAlignment="1">
      <alignment horizontal="left" vertical="center"/>
    </xf>
    <xf numFmtId="3" fontId="17" fillId="0" borderId="1" xfId="0" applyNumberFormat="1" applyFont="1" applyBorder="1" applyAlignment="1">
      <alignment horizontal="left" vertical="center" wrapText="1"/>
    </xf>
    <xf numFmtId="0" fontId="17" fillId="0" borderId="1" xfId="0" applyFont="1" applyBorder="1" applyAlignment="1">
      <alignment horizontal="center" vertical="center"/>
    </xf>
    <xf numFmtId="3" fontId="17" fillId="0" borderId="27" xfId="0" applyNumberFormat="1" applyFont="1" applyBorder="1" applyAlignment="1">
      <alignment horizontal="left" vertical="center"/>
    </xf>
    <xf numFmtId="3" fontId="17" fillId="0" borderId="25" xfId="0" applyNumberFormat="1" applyFont="1" applyBorder="1" applyAlignment="1">
      <alignment horizontal="center" vertical="center"/>
    </xf>
    <xf numFmtId="3" fontId="17" fillId="0" borderId="1" xfId="0" applyNumberFormat="1" applyFont="1" applyBorder="1" applyAlignment="1">
      <alignment horizontal="right" vertical="center"/>
    </xf>
    <xf numFmtId="3" fontId="17" fillId="0" borderId="1" xfId="0" applyNumberFormat="1" applyFont="1" applyBorder="1" applyAlignment="1">
      <alignment horizontal="center" vertical="center"/>
    </xf>
    <xf numFmtId="0" fontId="47" fillId="0" borderId="1" xfId="19" applyFont="1" applyFill="1" applyBorder="1" applyAlignment="1">
      <alignment vertical="center" wrapText="1"/>
    </xf>
    <xf numFmtId="0" fontId="17" fillId="0" borderId="1" xfId="0" applyFont="1" applyBorder="1" applyAlignment="1">
      <alignment vertical="center" wrapText="1"/>
    </xf>
    <xf numFmtId="0" fontId="17" fillId="0" borderId="1" xfId="0" applyFont="1" applyBorder="1" applyAlignment="1">
      <alignment horizontal="left" vertical="center" wrapText="1"/>
    </xf>
    <xf numFmtId="0" fontId="30" fillId="0" borderId="1" xfId="0" applyFont="1" applyBorder="1" applyAlignment="1">
      <alignment horizontal="center" vertical="center"/>
    </xf>
    <xf numFmtId="3" fontId="17" fillId="0" borderId="1" xfId="0" applyNumberFormat="1" applyFont="1" applyBorder="1" applyAlignment="1">
      <alignment horizontal="center" vertical="top"/>
    </xf>
    <xf numFmtId="0" fontId="48" fillId="0" borderId="0" xfId="0" applyFont="1" applyAlignment="1">
      <alignment vertical="center"/>
    </xf>
    <xf numFmtId="0" fontId="30" fillId="0" borderId="28" xfId="0" applyFont="1" applyBorder="1" applyAlignment="1">
      <alignment horizontal="center" vertical="center"/>
    </xf>
    <xf numFmtId="0" fontId="30" fillId="0" borderId="30" xfId="0" applyFont="1" applyBorder="1" applyAlignment="1">
      <alignment horizontal="center" vertical="center"/>
    </xf>
    <xf numFmtId="171" fontId="17" fillId="0" borderId="1" xfId="0" applyNumberFormat="1" applyFont="1" applyBorder="1" applyAlignment="1">
      <alignment horizontal="left" vertical="center"/>
    </xf>
    <xf numFmtId="4" fontId="17" fillId="0" borderId="26" xfId="0" applyNumberFormat="1" applyFont="1" applyBorder="1" applyAlignment="1">
      <alignment horizontal="left" vertical="center" wrapText="1"/>
    </xf>
    <xf numFmtId="3" fontId="17" fillId="0" borderId="25" xfId="0" applyNumberFormat="1" applyFont="1" applyBorder="1" applyAlignment="1">
      <alignment horizontal="left" vertical="center"/>
    </xf>
    <xf numFmtId="3" fontId="17" fillId="0" borderId="1" xfId="0" applyNumberFormat="1" applyFont="1" applyBorder="1" applyAlignment="1">
      <alignment horizontal="left" vertical="top"/>
    </xf>
    <xf numFmtId="0" fontId="20" fillId="2" borderId="0" xfId="1" applyFont="1" applyFill="1" applyAlignment="1">
      <alignment horizontal="left"/>
    </xf>
    <xf numFmtId="0" fontId="20" fillId="2" borderId="0" xfId="1" applyFont="1" applyFill="1"/>
    <xf numFmtId="0" fontId="55" fillId="2" borderId="0" xfId="0" applyFont="1" applyFill="1"/>
    <xf numFmtId="0" fontId="16" fillId="2" borderId="0" xfId="1" applyFont="1" applyFill="1" applyAlignment="1">
      <alignment horizontal="left"/>
    </xf>
    <xf numFmtId="170" fontId="19" fillId="2" borderId="0" xfId="0" applyNumberFormat="1" applyFont="1" applyFill="1"/>
    <xf numFmtId="170" fontId="16" fillId="2" borderId="0" xfId="1" applyNumberFormat="1" applyFont="1" applyFill="1"/>
    <xf numFmtId="166" fontId="16" fillId="2" borderId="0" xfId="1" applyNumberFormat="1" applyFont="1" applyFill="1"/>
    <xf numFmtId="0" fontId="16" fillId="2" borderId="0" xfId="1" applyFont="1" applyFill="1"/>
    <xf numFmtId="168" fontId="16" fillId="0" borderId="0" xfId="1" applyNumberFormat="1" applyFont="1"/>
    <xf numFmtId="1" fontId="19" fillId="2" borderId="0" xfId="0" applyNumberFormat="1" applyFont="1" applyFill="1"/>
    <xf numFmtId="0" fontId="19" fillId="0" borderId="0" xfId="0" applyFont="1"/>
    <xf numFmtId="170" fontId="18" fillId="2" borderId="0" xfId="0" applyNumberFormat="1" applyFont="1" applyFill="1"/>
    <xf numFmtId="167" fontId="16" fillId="2" borderId="0" xfId="1" applyNumberFormat="1" applyFont="1" applyFill="1"/>
    <xf numFmtId="0" fontId="16" fillId="2" borderId="0" xfId="1" applyFont="1" applyFill="1" applyAlignment="1">
      <alignment wrapText="1"/>
    </xf>
    <xf numFmtId="170" fontId="19" fillId="2" borderId="0" xfId="1" applyNumberFormat="1" applyFont="1" applyFill="1"/>
    <xf numFmtId="3" fontId="18" fillId="2" borderId="0" xfId="0" applyNumberFormat="1" applyFont="1" applyFill="1" applyAlignment="1">
      <alignment horizontal="center" vertical="center"/>
    </xf>
    <xf numFmtId="1" fontId="19" fillId="2" borderId="4" xfId="0" applyNumberFormat="1" applyFont="1" applyFill="1" applyBorder="1"/>
    <xf numFmtId="0" fontId="38" fillId="2" borderId="0" xfId="1" applyFont="1" applyFill="1" applyAlignment="1">
      <alignment horizontal="left"/>
    </xf>
    <xf numFmtId="0" fontId="37" fillId="2" borderId="0" xfId="0" applyFont="1" applyFill="1"/>
    <xf numFmtId="0" fontId="38" fillId="2" borderId="0" xfId="1" applyFont="1" applyFill="1"/>
    <xf numFmtId="0" fontId="49" fillId="2" borderId="0" xfId="1" applyFont="1" applyFill="1" applyAlignment="1">
      <alignment horizontal="left"/>
    </xf>
    <xf numFmtId="0" fontId="49" fillId="2" borderId="0" xfId="1" applyFont="1" applyFill="1"/>
    <xf numFmtId="1" fontId="17" fillId="2" borderId="0" xfId="0" applyNumberFormat="1" applyFont="1" applyFill="1"/>
    <xf numFmtId="0" fontId="38" fillId="2" borderId="6" xfId="1" applyFont="1" applyFill="1" applyBorder="1"/>
    <xf numFmtId="166" fontId="38" fillId="2" borderId="0" xfId="1" applyNumberFormat="1" applyFont="1" applyFill="1"/>
    <xf numFmtId="166" fontId="49" fillId="2" borderId="0" xfId="1" applyNumberFormat="1" applyFont="1" applyFill="1"/>
    <xf numFmtId="3" fontId="30" fillId="2" borderId="0" xfId="0" applyNumberFormat="1" applyFont="1" applyFill="1" applyAlignment="1">
      <alignment horizontal="center" vertical="center"/>
    </xf>
    <xf numFmtId="1" fontId="17" fillId="2" borderId="4" xfId="0" applyNumberFormat="1" applyFont="1" applyFill="1" applyBorder="1"/>
    <xf numFmtId="0" fontId="30" fillId="4" borderId="0" xfId="0" applyFont="1" applyFill="1"/>
    <xf numFmtId="0" fontId="17" fillId="3" borderId="0" xfId="0" applyFont="1" applyFill="1"/>
    <xf numFmtId="0" fontId="45" fillId="4" borderId="11" xfId="0" applyFont="1" applyFill="1" applyBorder="1"/>
    <xf numFmtId="0" fontId="38" fillId="4" borderId="11" xfId="0" applyFont="1" applyFill="1" applyBorder="1" applyAlignment="1">
      <alignment horizontal="right"/>
    </xf>
    <xf numFmtId="0" fontId="30" fillId="3" borderId="0" xfId="0" applyFont="1" applyFill="1"/>
    <xf numFmtId="0" fontId="17" fillId="3" borderId="5" xfId="0" applyFont="1" applyFill="1" applyBorder="1"/>
    <xf numFmtId="0" fontId="37" fillId="0" borderId="0" xfId="0" applyFont="1"/>
    <xf numFmtId="3" fontId="47" fillId="0" borderId="0" xfId="19" applyNumberFormat="1" applyFont="1" applyFill="1" applyBorder="1" applyAlignment="1">
      <alignment horizontal="left" vertical="top"/>
    </xf>
    <xf numFmtId="0" fontId="17" fillId="2" borderId="0" xfId="4" applyFont="1" applyFill="1"/>
    <xf numFmtId="0" fontId="17" fillId="0" borderId="0" xfId="4" applyFont="1"/>
    <xf numFmtId="0" fontId="37" fillId="2" borderId="10" xfId="4" applyFont="1" applyFill="1" applyBorder="1"/>
    <xf numFmtId="0" fontId="49" fillId="0" borderId="0" xfId="1" applyFont="1"/>
    <xf numFmtId="0" fontId="17" fillId="2" borderId="5" xfId="4" applyFont="1" applyFill="1" applyBorder="1"/>
    <xf numFmtId="0" fontId="17" fillId="3" borderId="0" xfId="2" applyFont="1" applyFill="1"/>
    <xf numFmtId="0" fontId="17" fillId="2" borderId="0" xfId="2" applyFont="1" applyFill="1"/>
    <xf numFmtId="0" fontId="37" fillId="2" borderId="0" xfId="2" applyFont="1" applyFill="1"/>
    <xf numFmtId="0" fontId="37" fillId="0" borderId="0" xfId="2" applyFont="1"/>
    <xf numFmtId="0" fontId="17" fillId="0" borderId="0" xfId="2" applyFont="1"/>
    <xf numFmtId="0" fontId="37" fillId="3" borderId="11" xfId="2" applyFont="1" applyFill="1" applyBorder="1"/>
    <xf numFmtId="0" fontId="49" fillId="3" borderId="0" xfId="1" applyFont="1" applyFill="1"/>
    <xf numFmtId="0" fontId="33" fillId="0" borderId="0" xfId="0" applyFont="1" applyAlignment="1">
      <alignment vertical="center" wrapText="1"/>
    </xf>
    <xf numFmtId="0" fontId="17" fillId="2" borderId="5" xfId="2" applyFont="1" applyFill="1" applyBorder="1"/>
    <xf numFmtId="0" fontId="45" fillId="4" borderId="0" xfId="0" applyFont="1" applyFill="1"/>
    <xf numFmtId="0" fontId="49" fillId="4" borderId="0" xfId="0" applyFont="1" applyFill="1"/>
    <xf numFmtId="2" fontId="17" fillId="2" borderId="0" xfId="2" applyNumberFormat="1" applyFont="1" applyFill="1"/>
    <xf numFmtId="2" fontId="17" fillId="0" borderId="0" xfId="2" applyNumberFormat="1" applyFont="1"/>
    <xf numFmtId="0" fontId="37" fillId="2" borderId="10" xfId="2" applyFont="1" applyFill="1" applyBorder="1"/>
    <xf numFmtId="2" fontId="37" fillId="2" borderId="10" xfId="2" applyNumberFormat="1" applyFont="1" applyFill="1" applyBorder="1"/>
    <xf numFmtId="0" fontId="17" fillId="2" borderId="0" xfId="2" applyFont="1" applyFill="1" applyAlignment="1">
      <alignment vertical="top" wrapText="1"/>
    </xf>
    <xf numFmtId="2" fontId="17" fillId="2" borderId="5" xfId="2" applyNumberFormat="1" applyFont="1" applyFill="1" applyBorder="1"/>
    <xf numFmtId="2" fontId="37" fillId="2" borderId="23" xfId="2" applyNumberFormat="1" applyFont="1" applyFill="1" applyBorder="1"/>
    <xf numFmtId="2" fontId="17" fillId="2" borderId="0" xfId="2" applyNumberFormat="1" applyFont="1" applyFill="1" applyAlignment="1">
      <alignment horizontal="right"/>
    </xf>
    <xf numFmtId="2" fontId="17" fillId="2" borderId="5" xfId="2" applyNumberFormat="1" applyFont="1" applyFill="1" applyBorder="1" applyAlignment="1">
      <alignment horizontal="right"/>
    </xf>
    <xf numFmtId="0" fontId="17" fillId="3" borderId="0" xfId="4" applyFont="1" applyFill="1"/>
    <xf numFmtId="0" fontId="37" fillId="3" borderId="0" xfId="4" applyFont="1" applyFill="1"/>
    <xf numFmtId="0" fontId="45" fillId="4" borderId="12" xfId="0" applyFont="1" applyFill="1" applyBorder="1"/>
    <xf numFmtId="0" fontId="49" fillId="4" borderId="24" xfId="0" applyFont="1" applyFill="1" applyBorder="1"/>
    <xf numFmtId="0" fontId="33" fillId="0" borderId="0" xfId="0" applyFont="1" applyAlignment="1">
      <alignment vertical="top" wrapText="1"/>
    </xf>
    <xf numFmtId="0" fontId="17" fillId="3" borderId="0" xfId="4" applyFont="1" applyFill="1" applyAlignment="1">
      <alignment vertical="top" wrapText="1"/>
    </xf>
    <xf numFmtId="0" fontId="37" fillId="0" borderId="10" xfId="0" applyFont="1" applyBorder="1"/>
    <xf numFmtId="0" fontId="17" fillId="0" borderId="5" xfId="0" applyFont="1" applyBorder="1"/>
    <xf numFmtId="0" fontId="17" fillId="0" borderId="0" xfId="0" applyFont="1" applyAlignment="1">
      <alignment wrapText="1"/>
    </xf>
    <xf numFmtId="0" fontId="19" fillId="2" borderId="0" xfId="0" applyFont="1" applyFill="1" applyAlignment="1">
      <alignment vertical="center"/>
    </xf>
    <xf numFmtId="0" fontId="47" fillId="0" borderId="0" xfId="19" applyFont="1" applyFill="1" applyBorder="1"/>
    <xf numFmtId="0" fontId="38" fillId="0" borderId="0" xfId="0" applyFont="1"/>
    <xf numFmtId="0" fontId="49" fillId="4" borderId="0" xfId="0" applyFont="1" applyFill="1" applyAlignment="1">
      <alignment wrapText="1"/>
    </xf>
    <xf numFmtId="0" fontId="38" fillId="4" borderId="0" xfId="0" applyFont="1" applyFill="1" applyAlignment="1">
      <alignment wrapText="1"/>
    </xf>
    <xf numFmtId="0" fontId="38" fillId="4" borderId="10" xfId="0" applyFont="1" applyFill="1" applyBorder="1"/>
    <xf numFmtId="0" fontId="45" fillId="0" borderId="10" xfId="0" applyFont="1" applyBorder="1"/>
    <xf numFmtId="2" fontId="30" fillId="0" borderId="0" xfId="0" applyNumberFormat="1" applyFont="1"/>
    <xf numFmtId="0" fontId="49" fillId="4" borderId="6" xfId="0" applyFont="1" applyFill="1" applyBorder="1"/>
    <xf numFmtId="0" fontId="30" fillId="0" borderId="6" xfId="0" applyFont="1" applyBorder="1"/>
    <xf numFmtId="0" fontId="49" fillId="4" borderId="0" xfId="0" applyFont="1" applyFill="1" applyAlignment="1">
      <alignment vertical="top" wrapText="1"/>
    </xf>
    <xf numFmtId="0" fontId="30" fillId="4" borderId="4" xfId="0" applyFont="1" applyFill="1" applyBorder="1"/>
    <xf numFmtId="2" fontId="19" fillId="2" borderId="0" xfId="0" applyNumberFormat="1" applyFont="1" applyFill="1"/>
    <xf numFmtId="2" fontId="16" fillId="2" borderId="0" xfId="1" applyNumberFormat="1" applyFont="1" applyFill="1"/>
    <xf numFmtId="0" fontId="37" fillId="0" borderId="0" xfId="0" applyFont="1" applyAlignment="1">
      <alignment vertical="top"/>
    </xf>
    <xf numFmtId="0" fontId="47" fillId="0" borderId="0" xfId="19" applyFont="1"/>
    <xf numFmtId="0" fontId="58" fillId="0" borderId="0" xfId="0" applyFont="1"/>
    <xf numFmtId="0" fontId="38" fillId="2" borderId="10" xfId="1" applyFont="1" applyFill="1" applyBorder="1"/>
    <xf numFmtId="0" fontId="17" fillId="0" borderId="0" xfId="0" quotePrefix="1" applyFont="1"/>
    <xf numFmtId="0" fontId="17" fillId="0" borderId="0" xfId="0" applyFont="1" applyAlignment="1">
      <alignment vertical="top" wrapText="1"/>
    </xf>
    <xf numFmtId="0" fontId="37" fillId="3" borderId="11" xfId="4" applyFont="1" applyFill="1" applyBorder="1"/>
    <xf numFmtId="0" fontId="37" fillId="3" borderId="10" xfId="4" applyFont="1" applyFill="1" applyBorder="1" applyAlignment="1">
      <alignment horizontal="right"/>
    </xf>
    <xf numFmtId="0" fontId="37" fillId="3" borderId="23" xfId="4" applyFont="1" applyFill="1" applyBorder="1" applyAlignment="1">
      <alignment horizontal="left"/>
    </xf>
    <xf numFmtId="0" fontId="59" fillId="0" borderId="0" xfId="0" applyFont="1"/>
    <xf numFmtId="0" fontId="49" fillId="0" borderId="0" xfId="0" applyFont="1" applyAlignment="1">
      <alignment vertical="center" wrapText="1"/>
    </xf>
    <xf numFmtId="0" fontId="30" fillId="5" borderId="0" xfId="0" applyFont="1" applyFill="1"/>
    <xf numFmtId="0" fontId="50" fillId="0" borderId="0" xfId="0" applyFont="1"/>
    <xf numFmtId="3" fontId="30" fillId="0" borderId="0" xfId="0" applyNumberFormat="1" applyFont="1"/>
    <xf numFmtId="0" fontId="30" fillId="2" borderId="0" xfId="0" applyFont="1" applyFill="1"/>
    <xf numFmtId="3" fontId="17" fillId="0" borderId="0" xfId="0" applyNumberFormat="1" applyFont="1"/>
    <xf numFmtId="3" fontId="17" fillId="0" borderId="0" xfId="4" applyNumberFormat="1" applyFont="1"/>
    <xf numFmtId="2" fontId="17" fillId="2" borderId="0" xfId="4" applyNumberFormat="1" applyFont="1" applyFill="1"/>
    <xf numFmtId="2" fontId="37" fillId="2" borderId="10" xfId="4" applyNumberFormat="1" applyFont="1" applyFill="1" applyBorder="1"/>
    <xf numFmtId="0" fontId="17" fillId="2" borderId="0" xfId="4" applyFont="1" applyFill="1" applyAlignment="1">
      <alignment vertical="top" wrapText="1"/>
    </xf>
    <xf numFmtId="0" fontId="49" fillId="2" borderId="0" xfId="0" applyFont="1" applyFill="1" applyAlignment="1">
      <alignment vertical="top" wrapText="1"/>
    </xf>
    <xf numFmtId="2" fontId="17" fillId="2" borderId="5" xfId="4" applyNumberFormat="1" applyFont="1" applyFill="1" applyBorder="1"/>
    <xf numFmtId="2" fontId="17" fillId="2" borderId="0" xfId="4" applyNumberFormat="1" applyFont="1" applyFill="1" applyAlignment="1">
      <alignment vertical="top" wrapText="1"/>
    </xf>
    <xf numFmtId="2" fontId="58" fillId="2" borderId="0" xfId="0" applyNumberFormat="1" applyFont="1" applyFill="1"/>
    <xf numFmtId="2" fontId="30" fillId="5" borderId="0" xfId="0" applyNumberFormat="1" applyFont="1" applyFill="1"/>
    <xf numFmtId="2" fontId="30" fillId="2" borderId="0" xfId="0" applyNumberFormat="1" applyFont="1" applyFill="1"/>
    <xf numFmtId="0" fontId="30" fillId="2" borderId="0" xfId="2" applyFont="1" applyFill="1" applyAlignment="1">
      <alignment horizontal="left"/>
    </xf>
    <xf numFmtId="0" fontId="60" fillId="2" borderId="0" xfId="2" applyFont="1" applyFill="1"/>
    <xf numFmtId="0" fontId="61" fillId="0" borderId="0" xfId="2" applyFont="1" applyAlignment="1">
      <alignment horizontal="left"/>
    </xf>
    <xf numFmtId="0" fontId="45" fillId="2" borderId="0" xfId="2" applyFont="1" applyFill="1" applyAlignment="1">
      <alignment horizontal="left"/>
    </xf>
    <xf numFmtId="0" fontId="61" fillId="0" borderId="0" xfId="2" applyFont="1" applyAlignment="1">
      <alignment horizontal="left" vertical="center"/>
    </xf>
    <xf numFmtId="0" fontId="60" fillId="2" borderId="0" xfId="2" applyFont="1" applyFill="1" applyAlignment="1">
      <alignment horizontal="left"/>
    </xf>
    <xf numFmtId="0" fontId="30" fillId="0" borderId="0" xfId="2" applyFont="1" applyAlignment="1">
      <alignment horizontal="left"/>
    </xf>
    <xf numFmtId="0" fontId="45" fillId="0" borderId="0" xfId="2" applyFont="1" applyAlignment="1">
      <alignment horizontal="left" vertical="center" wrapText="1"/>
    </xf>
    <xf numFmtId="0" fontId="45" fillId="0" borderId="0" xfId="2" applyFont="1" applyAlignment="1">
      <alignment horizontal="left"/>
    </xf>
    <xf numFmtId="38" fontId="30" fillId="0" borderId="0" xfId="2" applyNumberFormat="1" applyFont="1" applyAlignment="1">
      <alignment horizontal="left" vertical="center" wrapText="1"/>
    </xf>
    <xf numFmtId="168" fontId="30" fillId="0" borderId="0" xfId="2" applyNumberFormat="1" applyFont="1" applyAlignment="1">
      <alignment horizontal="left"/>
    </xf>
    <xf numFmtId="168" fontId="30" fillId="2" borderId="0" xfId="2" applyNumberFormat="1" applyFont="1" applyFill="1" applyAlignment="1">
      <alignment horizontal="left"/>
    </xf>
    <xf numFmtId="167" fontId="30" fillId="2" borderId="0" xfId="2" applyNumberFormat="1" applyFont="1" applyFill="1" applyAlignment="1">
      <alignment horizontal="left"/>
    </xf>
    <xf numFmtId="38" fontId="45" fillId="0" borderId="0" xfId="2" applyNumberFormat="1" applyFont="1" applyAlignment="1">
      <alignment horizontal="left" vertical="center" wrapText="1"/>
    </xf>
    <xf numFmtId="168" fontId="45" fillId="0" borderId="0" xfId="2" applyNumberFormat="1" applyFont="1" applyAlignment="1">
      <alignment horizontal="left"/>
    </xf>
    <xf numFmtId="0" fontId="37" fillId="0" borderId="23" xfId="0" applyFont="1" applyBorder="1"/>
    <xf numFmtId="0" fontId="49" fillId="0" borderId="0" xfId="0" applyFont="1" applyAlignment="1">
      <alignment vertical="top" wrapText="1"/>
    </xf>
    <xf numFmtId="0" fontId="37" fillId="0" borderId="0" xfId="0" applyFont="1" applyAlignment="1">
      <alignment horizontal="right"/>
    </xf>
    <xf numFmtId="0" fontId="47" fillId="0" borderId="0" xfId="19" applyFont="1" applyBorder="1"/>
    <xf numFmtId="168" fontId="17" fillId="0" borderId="0" xfId="0" applyNumberFormat="1" applyFont="1"/>
    <xf numFmtId="168" fontId="38" fillId="2" borderId="0" xfId="1" applyNumberFormat="1" applyFont="1" applyFill="1"/>
    <xf numFmtId="168" fontId="49" fillId="2" borderId="0" xfId="1" applyNumberFormat="1" applyFont="1" applyFill="1"/>
    <xf numFmtId="168" fontId="47" fillId="2" borderId="0" xfId="19" applyNumberFormat="1" applyFont="1" applyFill="1" applyAlignment="1"/>
    <xf numFmtId="0" fontId="38" fillId="2" borderId="0" xfId="2" applyFont="1" applyFill="1" applyAlignment="1">
      <alignment wrapText="1"/>
    </xf>
    <xf numFmtId="168" fontId="45" fillId="0" borderId="0" xfId="2" applyNumberFormat="1" applyFont="1" applyAlignment="1">
      <alignment horizontal="left" vertical="center" wrapText="1"/>
    </xf>
    <xf numFmtId="0" fontId="45" fillId="0" borderId="0" xfId="2" applyFont="1" applyAlignment="1">
      <alignment horizontal="left" vertical="center"/>
    </xf>
    <xf numFmtId="168" fontId="45" fillId="2" borderId="0" xfId="2" applyNumberFormat="1" applyFont="1" applyFill="1" applyAlignment="1">
      <alignment horizontal="left"/>
    </xf>
    <xf numFmtId="0" fontId="49" fillId="2" borderId="0" xfId="1" applyFont="1" applyFill="1" applyAlignment="1">
      <alignment vertical="center"/>
    </xf>
    <xf numFmtId="168" fontId="17" fillId="0" borderId="0" xfId="0" applyNumberFormat="1" applyFont="1" applyAlignment="1">
      <alignment horizontal="left"/>
    </xf>
    <xf numFmtId="170" fontId="38" fillId="2" borderId="0" xfId="1" applyNumberFormat="1" applyFont="1" applyFill="1" applyAlignment="1">
      <alignment horizontal="left"/>
    </xf>
    <xf numFmtId="170" fontId="49" fillId="2" borderId="0" xfId="1" applyNumberFormat="1" applyFont="1" applyFill="1" applyAlignment="1">
      <alignment horizontal="left"/>
    </xf>
    <xf numFmtId="170" fontId="47" fillId="2" borderId="0" xfId="19" applyNumberFormat="1" applyFont="1" applyFill="1" applyAlignment="1">
      <alignment horizontal="left"/>
    </xf>
    <xf numFmtId="170" fontId="17" fillId="0" borderId="0" xfId="0" applyNumberFormat="1" applyFont="1" applyAlignment="1">
      <alignment horizontal="left"/>
    </xf>
    <xf numFmtId="170" fontId="30" fillId="2" borderId="0" xfId="2" applyNumberFormat="1" applyFont="1" applyFill="1" applyAlignment="1">
      <alignment horizontal="left"/>
    </xf>
    <xf numFmtId="170" fontId="45" fillId="2" borderId="0" xfId="2" applyNumberFormat="1" applyFont="1" applyFill="1" applyAlignment="1">
      <alignment horizontal="left"/>
    </xf>
    <xf numFmtId="0" fontId="49" fillId="2" borderId="0" xfId="2" applyFont="1" applyFill="1" applyAlignment="1">
      <alignment horizontal="left" wrapText="1"/>
    </xf>
    <xf numFmtId="0" fontId="45" fillId="0" borderId="0" xfId="2" applyFont="1" applyAlignment="1">
      <alignment horizontal="left" wrapText="1"/>
    </xf>
    <xf numFmtId="170" fontId="45" fillId="0" borderId="0" xfId="2" applyNumberFormat="1" applyFont="1" applyAlignment="1">
      <alignment horizontal="left" wrapText="1"/>
    </xf>
    <xf numFmtId="170" fontId="45" fillId="0" borderId="0" xfId="2" applyNumberFormat="1" applyFont="1" applyAlignment="1">
      <alignment horizontal="left"/>
    </xf>
    <xf numFmtId="0" fontId="38" fillId="2" borderId="0" xfId="2" applyFont="1" applyFill="1" applyAlignment="1">
      <alignment horizontal="left" wrapText="1"/>
    </xf>
    <xf numFmtId="0" fontId="38" fillId="2" borderId="0" xfId="2" applyFont="1" applyFill="1" applyAlignment="1">
      <alignment horizontal="left" vertical="top" wrapText="1"/>
    </xf>
    <xf numFmtId="170" fontId="30" fillId="0" borderId="0" xfId="2" applyNumberFormat="1" applyFont="1" applyAlignment="1">
      <alignment horizontal="left" wrapText="1"/>
    </xf>
    <xf numFmtId="170" fontId="30" fillId="0" borderId="0" xfId="2" applyNumberFormat="1" applyFont="1" applyAlignment="1">
      <alignment horizontal="left"/>
    </xf>
    <xf numFmtId="170" fontId="30" fillId="3" borderId="0" xfId="2" applyNumberFormat="1" applyFont="1" applyFill="1" applyAlignment="1">
      <alignment horizontal="left" wrapText="1"/>
    </xf>
    <xf numFmtId="0" fontId="47" fillId="2" borderId="0" xfId="19" applyFont="1" applyFill="1" applyAlignment="1">
      <alignment horizontal="left"/>
    </xf>
    <xf numFmtId="168" fontId="45" fillId="0" borderId="0" xfId="2" applyNumberFormat="1" applyFont="1" applyAlignment="1">
      <alignment horizontal="left" vertical="center"/>
    </xf>
    <xf numFmtId="0" fontId="49" fillId="2" borderId="0" xfId="3" applyFont="1" applyFill="1"/>
    <xf numFmtId="167" fontId="49" fillId="2" borderId="0" xfId="1" applyNumberFormat="1" applyFont="1" applyFill="1"/>
    <xf numFmtId="0" fontId="49" fillId="2" borderId="0" xfId="1" applyFont="1" applyFill="1" applyAlignment="1">
      <alignment wrapText="1"/>
    </xf>
    <xf numFmtId="0" fontId="49" fillId="2" borderId="0" xfId="3" applyFont="1" applyFill="1" applyAlignment="1">
      <alignment horizontal="right"/>
    </xf>
    <xf numFmtId="3" fontId="16" fillId="2" borderId="0" xfId="1" applyNumberFormat="1" applyFont="1" applyFill="1"/>
    <xf numFmtId="171" fontId="16" fillId="2" borderId="0" xfId="1" applyNumberFormat="1" applyFont="1" applyFill="1"/>
    <xf numFmtId="172" fontId="17" fillId="0" borderId="0" xfId="0" applyNumberFormat="1" applyFont="1"/>
    <xf numFmtId="173" fontId="16" fillId="2" borderId="0" xfId="1" applyNumberFormat="1" applyFont="1" applyFill="1"/>
    <xf numFmtId="0" fontId="19" fillId="0" borderId="0" xfId="0" applyFont="1" applyAlignment="1">
      <alignment horizontal="right" wrapText="1"/>
    </xf>
    <xf numFmtId="0" fontId="16" fillId="0" borderId="0" xfId="1" applyFont="1" applyAlignment="1">
      <alignment horizontal="left"/>
    </xf>
    <xf numFmtId="1" fontId="19" fillId="0" borderId="0" xfId="0" applyNumberFormat="1" applyFont="1"/>
    <xf numFmtId="0" fontId="46" fillId="0" borderId="0" xfId="0" quotePrefix="1" applyFont="1"/>
    <xf numFmtId="0" fontId="19" fillId="0" borderId="0" xfId="0" quotePrefix="1" applyFont="1"/>
    <xf numFmtId="0" fontId="64" fillId="0" borderId="0" xfId="0" applyFont="1"/>
    <xf numFmtId="169" fontId="58" fillId="0" borderId="0" xfId="0" applyNumberFormat="1" applyFont="1" applyAlignment="1">
      <alignment horizontal="right"/>
    </xf>
    <xf numFmtId="168" fontId="58" fillId="0" borderId="0" xfId="0" applyNumberFormat="1" applyFont="1"/>
    <xf numFmtId="169" fontId="30" fillId="0" borderId="0" xfId="0" applyNumberFormat="1" applyFont="1" applyAlignment="1">
      <alignment horizontal="right"/>
    </xf>
    <xf numFmtId="168" fontId="30" fillId="0" borderId="0" xfId="0" applyNumberFormat="1" applyFont="1"/>
    <xf numFmtId="3" fontId="47" fillId="0" borderId="0" xfId="19" applyNumberFormat="1" applyFont="1" applyFill="1"/>
    <xf numFmtId="169" fontId="17" fillId="0" borderId="0" xfId="0" applyNumberFormat="1" applyFont="1" applyAlignment="1">
      <alignment horizontal="right"/>
    </xf>
    <xf numFmtId="3" fontId="58" fillId="0" borderId="0" xfId="0" applyNumberFormat="1" applyFont="1"/>
    <xf numFmtId="168" fontId="45" fillId="0" borderId="0" xfId="0" applyNumberFormat="1" applyFont="1"/>
    <xf numFmtId="0" fontId="17" fillId="2" borderId="5" xfId="0" applyFont="1" applyFill="1" applyBorder="1"/>
    <xf numFmtId="171" fontId="30" fillId="0" borderId="0" xfId="0" applyNumberFormat="1" applyFont="1" applyAlignment="1">
      <alignment horizontal="left" vertical="center"/>
    </xf>
    <xf numFmtId="2" fontId="37" fillId="2" borderId="10" xfId="2" applyNumberFormat="1" applyFont="1" applyFill="1" applyBorder="1" applyAlignment="1">
      <alignment horizontal="right"/>
    </xf>
    <xf numFmtId="0" fontId="64" fillId="3" borderId="10" xfId="2" applyFont="1" applyFill="1" applyBorder="1"/>
    <xf numFmtId="2" fontId="30" fillId="4" borderId="0" xfId="0" applyNumberFormat="1" applyFont="1" applyFill="1"/>
    <xf numFmtId="0" fontId="64" fillId="3" borderId="40" xfId="4" applyFont="1" applyFill="1" applyBorder="1"/>
    <xf numFmtId="2" fontId="64" fillId="3" borderId="40" xfId="4" applyNumberFormat="1" applyFont="1" applyFill="1" applyBorder="1"/>
    <xf numFmtId="2" fontId="17" fillId="0" borderId="0" xfId="0" applyNumberFormat="1" applyFont="1"/>
    <xf numFmtId="0" fontId="37" fillId="0" borderId="10" xfId="0" applyFont="1" applyBorder="1" applyAlignment="1">
      <alignment horizontal="left"/>
    </xf>
    <xf numFmtId="0" fontId="19" fillId="2" borderId="0" xfId="9" applyFont="1" applyFill="1"/>
    <xf numFmtId="0" fontId="37" fillId="2" borderId="0" xfId="9" applyFont="1" applyFill="1"/>
    <xf numFmtId="3" fontId="19" fillId="2" borderId="0" xfId="9" applyNumberFormat="1" applyFont="1" applyFill="1"/>
    <xf numFmtId="0" fontId="47" fillId="2" borderId="0" xfId="19" applyFont="1" applyFill="1" applyBorder="1"/>
    <xf numFmtId="0" fontId="47" fillId="2" borderId="0" xfId="19" applyFont="1" applyFill="1" applyBorder="1" applyAlignment="1">
      <alignment vertical="center"/>
    </xf>
    <xf numFmtId="1" fontId="19" fillId="2" borderId="0" xfId="9" applyNumberFormat="1" applyFont="1" applyFill="1"/>
    <xf numFmtId="0" fontId="57" fillId="0" borderId="0" xfId="0" applyFont="1"/>
    <xf numFmtId="0" fontId="37" fillId="2" borderId="0" xfId="0" applyFont="1" applyFill="1" applyAlignment="1">
      <alignment vertical="center"/>
    </xf>
    <xf numFmtId="0" fontId="17" fillId="2" borderId="0" xfId="9" applyFont="1" applyFill="1"/>
    <xf numFmtId="174" fontId="17" fillId="2" borderId="0" xfId="10" applyNumberFormat="1" applyFont="1" applyFill="1" applyBorder="1"/>
    <xf numFmtId="0" fontId="19" fillId="2" borderId="0" xfId="9" applyFont="1" applyFill="1" applyAlignment="1">
      <alignment vertical="top" wrapText="1"/>
    </xf>
    <xf numFmtId="3" fontId="19" fillId="2" borderId="0" xfId="9" applyNumberFormat="1" applyFont="1" applyFill="1" applyAlignment="1">
      <alignment horizontal="right"/>
    </xf>
    <xf numFmtId="0" fontId="37" fillId="2" borderId="10" xfId="9" applyFont="1" applyFill="1" applyBorder="1"/>
    <xf numFmtId="0" fontId="19" fillId="2" borderId="6" xfId="9" applyFont="1" applyFill="1" applyBorder="1"/>
    <xf numFmtId="3" fontId="19" fillId="2" borderId="6" xfId="9" applyNumberFormat="1" applyFont="1" applyFill="1" applyBorder="1" applyAlignment="1">
      <alignment horizontal="right"/>
    </xf>
    <xf numFmtId="3" fontId="19" fillId="2" borderId="6" xfId="9" applyNumberFormat="1" applyFont="1" applyFill="1" applyBorder="1"/>
    <xf numFmtId="0" fontId="47" fillId="2" borderId="6" xfId="19" applyFont="1" applyFill="1" applyBorder="1"/>
    <xf numFmtId="1" fontId="19" fillId="2" borderId="6" xfId="9" applyNumberFormat="1" applyFont="1" applyFill="1" applyBorder="1"/>
    <xf numFmtId="0" fontId="37" fillId="2" borderId="10" xfId="9" applyFont="1" applyFill="1" applyBorder="1" applyAlignment="1">
      <alignment horizontal="right"/>
    </xf>
    <xf numFmtId="0" fontId="17" fillId="2" borderId="6" xfId="9" applyFont="1" applyFill="1" applyBorder="1"/>
    <xf numFmtId="3" fontId="17" fillId="2" borderId="0" xfId="9" applyNumberFormat="1" applyFont="1" applyFill="1" applyAlignment="1">
      <alignment horizontal="right"/>
    </xf>
    <xf numFmtId="3" fontId="17" fillId="2" borderId="0" xfId="10" applyNumberFormat="1" applyFont="1" applyFill="1" applyBorder="1" applyAlignment="1">
      <alignment horizontal="right"/>
    </xf>
    <xf numFmtId="3" fontId="17" fillId="2" borderId="6" xfId="10" applyNumberFormat="1" applyFont="1" applyFill="1" applyBorder="1" applyAlignment="1">
      <alignment horizontal="right"/>
    </xf>
    <xf numFmtId="3" fontId="17" fillId="2" borderId="6" xfId="9" applyNumberFormat="1" applyFont="1" applyFill="1" applyBorder="1" applyAlignment="1">
      <alignment horizontal="right"/>
    </xf>
    <xf numFmtId="2" fontId="49" fillId="0" borderId="0" xfId="0" applyNumberFormat="1" applyFont="1"/>
    <xf numFmtId="2" fontId="49" fillId="4" borderId="0" xfId="0" applyNumberFormat="1" applyFont="1" applyFill="1"/>
    <xf numFmtId="1" fontId="30" fillId="0" borderId="0" xfId="0" applyNumberFormat="1" applyFont="1"/>
    <xf numFmtId="0" fontId="64" fillId="0" borderId="10" xfId="0" applyFont="1" applyBorder="1"/>
    <xf numFmtId="3" fontId="64" fillId="0" borderId="10" xfId="0" applyNumberFormat="1" applyFont="1" applyBorder="1"/>
    <xf numFmtId="2" fontId="17" fillId="0" borderId="0" xfId="0" quotePrefix="1" applyNumberFormat="1" applyFont="1"/>
    <xf numFmtId="2" fontId="64" fillId="0" borderId="10" xfId="0" applyNumberFormat="1" applyFont="1" applyBorder="1"/>
    <xf numFmtId="2" fontId="64" fillId="0" borderId="10" xfId="0" applyNumberFormat="1" applyFont="1" applyBorder="1" applyAlignment="1">
      <alignment horizontal="right"/>
    </xf>
    <xf numFmtId="0" fontId="61" fillId="5" borderId="10" xfId="0" applyFont="1" applyFill="1" applyBorder="1"/>
    <xf numFmtId="2" fontId="17" fillId="3" borderId="0" xfId="4" applyNumberFormat="1" applyFont="1" applyFill="1"/>
    <xf numFmtId="0" fontId="37" fillId="3" borderId="11" xfId="4" applyFont="1" applyFill="1" applyBorder="1" applyAlignment="1">
      <alignment horizontal="center"/>
    </xf>
    <xf numFmtId="0" fontId="37" fillId="3" borderId="10" xfId="4" applyFont="1" applyFill="1" applyBorder="1" applyAlignment="1">
      <alignment horizontal="center"/>
    </xf>
    <xf numFmtId="2" fontId="61" fillId="0" borderId="10" xfId="0" applyNumberFormat="1" applyFont="1" applyBorder="1"/>
    <xf numFmtId="3" fontId="17" fillId="3" borderId="0" xfId="4" applyNumberFormat="1" applyFont="1" applyFill="1"/>
    <xf numFmtId="3" fontId="61" fillId="0" borderId="10" xfId="0" applyNumberFormat="1" applyFont="1" applyBorder="1"/>
    <xf numFmtId="2" fontId="64" fillId="3" borderId="10" xfId="4" applyNumberFormat="1" applyFont="1" applyFill="1" applyBorder="1"/>
    <xf numFmtId="2" fontId="17" fillId="2" borderId="6" xfId="4" applyNumberFormat="1" applyFont="1" applyFill="1" applyBorder="1"/>
    <xf numFmtId="0" fontId="16" fillId="2" borderId="6" xfId="1" applyFont="1" applyFill="1" applyBorder="1"/>
    <xf numFmtId="170" fontId="16" fillId="2" borderId="6" xfId="1" applyNumberFormat="1" applyFont="1" applyFill="1" applyBorder="1"/>
    <xf numFmtId="2" fontId="16" fillId="2" borderId="0" xfId="3" applyNumberFormat="1" applyFont="1" applyFill="1"/>
    <xf numFmtId="2" fontId="19" fillId="2" borderId="6" xfId="0" applyNumberFormat="1" applyFont="1" applyFill="1" applyBorder="1"/>
    <xf numFmtId="2" fontId="16" fillId="2" borderId="6" xfId="3" applyNumberFormat="1" applyFont="1" applyFill="1" applyBorder="1"/>
    <xf numFmtId="0" fontId="16" fillId="2" borderId="0" xfId="1" applyFont="1" applyFill="1" applyAlignment="1">
      <alignment horizontal="center"/>
    </xf>
    <xf numFmtId="0" fontId="16" fillId="2" borderId="6" xfId="1" applyFont="1" applyFill="1" applyBorder="1" applyAlignment="1">
      <alignment horizontal="center"/>
    </xf>
    <xf numFmtId="0" fontId="19" fillId="2" borderId="0" xfId="0" applyFont="1" applyFill="1" applyAlignment="1">
      <alignment horizontal="center"/>
    </xf>
    <xf numFmtId="0" fontId="16" fillId="2" borderId="0" xfId="1" applyFont="1" applyFill="1" applyAlignment="1">
      <alignment horizontal="center" wrapText="1"/>
    </xf>
    <xf numFmtId="0" fontId="20" fillId="2" borderId="0" xfId="1" applyFont="1" applyFill="1" applyAlignment="1">
      <alignment horizontal="center"/>
    </xf>
    <xf numFmtId="2" fontId="16" fillId="2" borderId="6" xfId="1" applyNumberFormat="1" applyFont="1" applyFill="1" applyBorder="1"/>
    <xf numFmtId="2" fontId="16" fillId="2" borderId="0" xfId="1" applyNumberFormat="1" applyFont="1" applyFill="1" applyAlignment="1">
      <alignment horizontal="right"/>
    </xf>
    <xf numFmtId="2" fontId="16" fillId="2" borderId="6" xfId="1" applyNumberFormat="1" applyFont="1" applyFill="1" applyBorder="1" applyAlignment="1">
      <alignment horizontal="right"/>
    </xf>
    <xf numFmtId="2" fontId="16" fillId="2" borderId="43" xfId="1" applyNumberFormat="1" applyFont="1" applyFill="1" applyBorder="1"/>
    <xf numFmtId="2" fontId="16" fillId="0" borderId="0" xfId="1" applyNumberFormat="1" applyFont="1"/>
    <xf numFmtId="2" fontId="16" fillId="0" borderId="6" xfId="1" applyNumberFormat="1" applyFont="1" applyBorder="1"/>
    <xf numFmtId="2" fontId="16" fillId="0" borderId="43" xfId="1" applyNumberFormat="1" applyFont="1" applyBorder="1"/>
    <xf numFmtId="2" fontId="16" fillId="2" borderId="41" xfId="1" applyNumberFormat="1" applyFont="1" applyFill="1" applyBorder="1"/>
    <xf numFmtId="2" fontId="16" fillId="2" borderId="45" xfId="1" applyNumberFormat="1" applyFont="1" applyFill="1" applyBorder="1"/>
    <xf numFmtId="0" fontId="68" fillId="2" borderId="10" xfId="1" applyFont="1" applyFill="1" applyBorder="1"/>
    <xf numFmtId="0" fontId="68" fillId="2" borderId="10" xfId="1" applyFont="1" applyFill="1" applyBorder="1" applyAlignment="1">
      <alignment horizontal="center"/>
    </xf>
    <xf numFmtId="2" fontId="68" fillId="2" borderId="10" xfId="1" applyNumberFormat="1" applyFont="1" applyFill="1" applyBorder="1"/>
    <xf numFmtId="0" fontId="33" fillId="2" borderId="0" xfId="1" applyFont="1" applyFill="1" applyAlignment="1">
      <alignment horizontal="left"/>
    </xf>
    <xf numFmtId="2" fontId="38" fillId="2" borderId="6" xfId="1" applyNumberFormat="1" applyFont="1" applyFill="1" applyBorder="1" applyAlignment="1">
      <alignment horizontal="right"/>
    </xf>
    <xf numFmtId="2" fontId="38" fillId="2" borderId="0" xfId="1" applyNumberFormat="1" applyFont="1" applyFill="1" applyAlignment="1">
      <alignment horizontal="right"/>
    </xf>
    <xf numFmtId="2" fontId="38" fillId="2" borderId="0" xfId="3" applyNumberFormat="1" applyFont="1" applyFill="1" applyAlignment="1">
      <alignment horizontal="right"/>
    </xf>
    <xf numFmtId="2" fontId="49" fillId="2" borderId="0" xfId="1" applyNumberFormat="1" applyFont="1" applyFill="1" applyAlignment="1">
      <alignment horizontal="right"/>
    </xf>
    <xf numFmtId="2" fontId="33" fillId="2" borderId="0" xfId="1" applyNumberFormat="1" applyFont="1" applyFill="1" applyAlignment="1">
      <alignment horizontal="right"/>
    </xf>
    <xf numFmtId="2" fontId="33" fillId="2" borderId="0" xfId="3" applyNumberFormat="1" applyFont="1" applyFill="1" applyAlignment="1">
      <alignment horizontal="right"/>
    </xf>
    <xf numFmtId="2" fontId="17" fillId="2" borderId="0" xfId="0" applyNumberFormat="1" applyFont="1" applyFill="1" applyAlignment="1">
      <alignment horizontal="right"/>
    </xf>
    <xf numFmtId="0" fontId="38" fillId="0" borderId="0" xfId="1" applyFont="1"/>
    <xf numFmtId="0" fontId="37" fillId="0" borderId="0" xfId="0" applyFont="1" applyAlignment="1">
      <alignment horizontal="left"/>
    </xf>
    <xf numFmtId="0" fontId="62" fillId="0" borderId="0" xfId="0" applyFont="1" applyAlignment="1">
      <alignment horizontal="left"/>
    </xf>
    <xf numFmtId="0" fontId="63" fillId="0" borderId="0" xfId="0" applyFont="1" applyAlignment="1">
      <alignment horizontal="left" vertical="center"/>
    </xf>
    <xf numFmtId="0" fontId="37" fillId="0" borderId="23" xfId="0" applyFont="1" applyBorder="1" applyAlignment="1">
      <alignment horizontal="right"/>
    </xf>
    <xf numFmtId="0" fontId="56" fillId="0" borderId="0" xfId="0" applyFont="1"/>
    <xf numFmtId="0" fontId="17" fillId="2" borderId="0" xfId="0" applyFont="1" applyFill="1" applyAlignment="1">
      <alignment vertical="top" wrapText="1"/>
    </xf>
    <xf numFmtId="0" fontId="17" fillId="2" borderId="6" xfId="0" applyFont="1" applyFill="1" applyBorder="1"/>
    <xf numFmtId="1" fontId="17" fillId="2" borderId="6" xfId="0" applyNumberFormat="1" applyFont="1" applyFill="1" applyBorder="1"/>
    <xf numFmtId="0" fontId="37" fillId="2" borderId="10" xfId="0" applyFont="1" applyFill="1" applyBorder="1"/>
    <xf numFmtId="0" fontId="17" fillId="2" borderId="12" xfId="0" applyFont="1" applyFill="1" applyBorder="1"/>
    <xf numFmtId="1" fontId="17" fillId="2" borderId="12" xfId="0" applyNumberFormat="1" applyFont="1" applyFill="1" applyBorder="1"/>
    <xf numFmtId="0" fontId="39" fillId="2" borderId="0" xfId="0" applyFont="1" applyFill="1"/>
    <xf numFmtId="0" fontId="37" fillId="2" borderId="10" xfId="0" applyFont="1" applyFill="1" applyBorder="1" applyAlignment="1">
      <alignment horizontal="left"/>
    </xf>
    <xf numFmtId="2" fontId="30" fillId="0" borderId="0" xfId="19" applyNumberFormat="1" applyFont="1" applyFill="1" applyBorder="1" applyAlignment="1"/>
    <xf numFmtId="2" fontId="30" fillId="4" borderId="0" xfId="19" applyNumberFormat="1" applyFont="1" applyFill="1" applyBorder="1" applyAlignment="1"/>
    <xf numFmtId="2" fontId="30" fillId="0" borderId="0" xfId="19" applyNumberFormat="1" applyFont="1" applyFill="1"/>
    <xf numFmtId="2" fontId="30" fillId="0" borderId="5" xfId="19" applyNumberFormat="1" applyFont="1" applyBorder="1"/>
    <xf numFmtId="0" fontId="64" fillId="2" borderId="40" xfId="2" applyFont="1" applyFill="1" applyBorder="1"/>
    <xf numFmtId="2" fontId="64" fillId="2" borderId="40" xfId="2" applyNumberFormat="1" applyFont="1" applyFill="1" applyBorder="1"/>
    <xf numFmtId="175" fontId="19" fillId="0" borderId="0" xfId="0" applyNumberFormat="1" applyFont="1"/>
    <xf numFmtId="0" fontId="47" fillId="0" borderId="0" xfId="19" applyFont="1" applyFill="1" applyBorder="1" applyAlignment="1">
      <alignment vertical="top"/>
    </xf>
    <xf numFmtId="3" fontId="47" fillId="0" borderId="0" xfId="19" applyNumberFormat="1" applyFont="1" applyFill="1" applyBorder="1" applyAlignment="1">
      <alignment vertical="top"/>
    </xf>
    <xf numFmtId="0" fontId="49" fillId="0" borderId="0" xfId="19" applyFont="1" applyFill="1" applyBorder="1" applyAlignment="1">
      <alignment horizontal="left" vertical="top"/>
    </xf>
    <xf numFmtId="0" fontId="49" fillId="0" borderId="0" xfId="19" applyFont="1" applyFill="1" applyBorder="1" applyAlignment="1">
      <alignment vertical="top"/>
    </xf>
    <xf numFmtId="14" fontId="47" fillId="0" borderId="0" xfId="19" applyNumberFormat="1" applyFont="1" applyFill="1" applyBorder="1" applyAlignment="1">
      <alignment vertical="top"/>
    </xf>
    <xf numFmtId="0" fontId="51" fillId="0" borderId="0" xfId="7" applyFont="1" applyFill="1" applyBorder="1" applyAlignment="1">
      <alignment vertical="top"/>
    </xf>
    <xf numFmtId="3" fontId="47" fillId="0" borderId="0" xfId="19" applyNumberFormat="1" applyFont="1" applyFill="1" applyAlignment="1">
      <alignment horizontal="left" vertical="top"/>
    </xf>
    <xf numFmtId="0" fontId="51" fillId="0" borderId="0" xfId="19" applyFont="1" applyFill="1" applyBorder="1" applyAlignment="1">
      <alignment vertical="top"/>
    </xf>
    <xf numFmtId="0" fontId="54" fillId="0" borderId="34" xfId="7" applyFont="1" applyFill="1" applyBorder="1" applyAlignment="1">
      <alignment vertical="top"/>
    </xf>
    <xf numFmtId="0" fontId="54" fillId="0" borderId="13" xfId="7" applyFont="1" applyFill="1" applyBorder="1" applyAlignment="1">
      <alignment vertical="top"/>
    </xf>
    <xf numFmtId="0" fontId="54" fillId="0" borderId="8" xfId="7" applyFont="1" applyFill="1" applyBorder="1" applyAlignment="1">
      <alignment vertical="top"/>
    </xf>
    <xf numFmtId="0" fontId="54" fillId="0" borderId="0" xfId="7" applyFont="1" applyFill="1" applyBorder="1" applyAlignment="1">
      <alignment vertical="top"/>
    </xf>
    <xf numFmtId="0" fontId="54" fillId="0" borderId="14" xfId="7" applyFont="1" applyFill="1" applyBorder="1" applyAlignment="1">
      <alignment vertical="top"/>
    </xf>
    <xf numFmtId="0" fontId="54" fillId="0" borderId="9" xfId="7" applyFont="1" applyFill="1" applyBorder="1" applyAlignment="1">
      <alignment vertical="top"/>
    </xf>
    <xf numFmtId="0" fontId="54" fillId="0" borderId="20" xfId="7" applyFont="1" applyFill="1" applyBorder="1" applyAlignment="1">
      <alignment vertical="top"/>
    </xf>
    <xf numFmtId="0" fontId="54" fillId="0" borderId="15" xfId="7" applyFont="1" applyFill="1" applyBorder="1" applyAlignment="1">
      <alignment vertical="top"/>
    </xf>
    <xf numFmtId="0" fontId="54" fillId="0" borderId="39" xfId="7" applyFont="1" applyFill="1" applyBorder="1" applyAlignment="1">
      <alignment vertical="top"/>
    </xf>
    <xf numFmtId="1" fontId="30" fillId="0" borderId="0" xfId="19" applyNumberFormat="1" applyFont="1" applyFill="1" applyBorder="1" applyAlignment="1">
      <alignment horizontal="right" vertical="center"/>
    </xf>
    <xf numFmtId="3" fontId="47" fillId="0" borderId="0" xfId="19" applyNumberFormat="1" applyFont="1" applyFill="1" applyBorder="1" applyAlignment="1">
      <alignment horizontal="left" vertical="center"/>
    </xf>
    <xf numFmtId="0" fontId="47" fillId="0" borderId="0" xfId="19" applyFont="1" applyFill="1" applyBorder="1" applyAlignment="1">
      <alignment horizontal="left" vertical="center"/>
    </xf>
    <xf numFmtId="0" fontId="51" fillId="0" borderId="0" xfId="7" applyFont="1" applyFill="1" applyBorder="1" applyAlignment="1">
      <alignment horizontal="left" vertical="center"/>
    </xf>
    <xf numFmtId="2" fontId="49" fillId="2" borderId="0" xfId="1" applyNumberFormat="1" applyFont="1" applyFill="1"/>
    <xf numFmtId="2" fontId="38" fillId="2" borderId="0" xfId="1" applyNumberFormat="1" applyFont="1" applyFill="1" applyAlignment="1">
      <alignment horizontal="center" vertical="top" wrapText="1"/>
    </xf>
    <xf numFmtId="2" fontId="49" fillId="3" borderId="0" xfId="1" applyNumberFormat="1" applyFont="1" applyFill="1" applyAlignment="1">
      <alignment horizontal="right"/>
    </xf>
    <xf numFmtId="2" fontId="38" fillId="3" borderId="0" xfId="1" applyNumberFormat="1" applyFont="1" applyFill="1" applyAlignment="1">
      <alignment horizontal="right"/>
    </xf>
    <xf numFmtId="0" fontId="30" fillId="0" borderId="0" xfId="19" applyFont="1" applyFill="1" applyBorder="1" applyAlignment="1">
      <alignment horizontal="left" vertical="top"/>
    </xf>
    <xf numFmtId="2" fontId="38" fillId="0" borderId="6" xfId="1" applyNumberFormat="1" applyFont="1" applyBorder="1" applyAlignment="1">
      <alignment horizontal="right"/>
    </xf>
    <xf numFmtId="2" fontId="38" fillId="0" borderId="0" xfId="1" applyNumberFormat="1" applyFont="1" applyAlignment="1">
      <alignment horizontal="right"/>
    </xf>
    <xf numFmtId="0" fontId="17" fillId="2" borderId="10" xfId="0" applyFont="1" applyFill="1" applyBorder="1"/>
    <xf numFmtId="0" fontId="37" fillId="2" borderId="10" xfId="0" applyFont="1" applyFill="1" applyBorder="1" applyAlignment="1">
      <alignment horizontal="center" vertical="center"/>
    </xf>
    <xf numFmtId="176" fontId="17" fillId="0" borderId="0" xfId="2" applyNumberFormat="1" applyFont="1"/>
    <xf numFmtId="176" fontId="37" fillId="3" borderId="11" xfId="2" applyNumberFormat="1" applyFont="1" applyFill="1" applyBorder="1" applyAlignment="1">
      <alignment horizontal="center"/>
    </xf>
    <xf numFmtId="176" fontId="17" fillId="3" borderId="0" xfId="2" applyNumberFormat="1" applyFont="1" applyFill="1"/>
    <xf numFmtId="176" fontId="64" fillId="3" borderId="10" xfId="2" applyNumberFormat="1" applyFont="1" applyFill="1" applyBorder="1"/>
    <xf numFmtId="176" fontId="45" fillId="4" borderId="0" xfId="0" applyNumberFormat="1" applyFont="1" applyFill="1"/>
    <xf numFmtId="176" fontId="30" fillId="4" borderId="0" xfId="0" applyNumberFormat="1" applyFont="1" applyFill="1"/>
    <xf numFmtId="0" fontId="71" fillId="2" borderId="0" xfId="0" applyFont="1" applyFill="1" applyAlignment="1">
      <alignment horizontal="left"/>
    </xf>
    <xf numFmtId="0" fontId="71" fillId="2" borderId="0" xfId="0" applyFont="1" applyFill="1"/>
    <xf numFmtId="0" fontId="17" fillId="2" borderId="0" xfId="16" applyFont="1" applyFill="1"/>
    <xf numFmtId="2" fontId="17" fillId="2" borderId="0" xfId="16" applyNumberFormat="1" applyFont="1" applyFill="1"/>
    <xf numFmtId="0" fontId="37" fillId="2" borderId="10" xfId="16" applyFont="1" applyFill="1" applyBorder="1"/>
    <xf numFmtId="9" fontId="17" fillId="2" borderId="6" xfId="14" applyFont="1" applyFill="1" applyBorder="1"/>
    <xf numFmtId="0" fontId="18" fillId="2" borderId="0" xfId="0" applyFont="1" applyFill="1" applyAlignment="1">
      <alignment horizontal="left"/>
    </xf>
    <xf numFmtId="0" fontId="38" fillId="4" borderId="6" xfId="0" applyFont="1" applyFill="1" applyBorder="1"/>
    <xf numFmtId="2" fontId="38" fillId="2" borderId="5" xfId="1" applyNumberFormat="1" applyFont="1" applyFill="1" applyBorder="1" applyAlignment="1">
      <alignment horizontal="right"/>
    </xf>
    <xf numFmtId="0" fontId="33" fillId="4" borderId="0" xfId="0" applyFont="1" applyFill="1"/>
    <xf numFmtId="2" fontId="38" fillId="2" borderId="5" xfId="1" applyNumberFormat="1" applyFont="1" applyFill="1" applyBorder="1"/>
    <xf numFmtId="0" fontId="49" fillId="0" borderId="0" xfId="0" applyFont="1" applyAlignment="1">
      <alignment horizontal="left" vertical="top"/>
    </xf>
    <xf numFmtId="0" fontId="30" fillId="0" borderId="1" xfId="0" applyFont="1" applyBorder="1" applyAlignment="1">
      <alignment horizontal="left" vertical="top"/>
    </xf>
    <xf numFmtId="0" fontId="49" fillId="0" borderId="1" xfId="0" applyFont="1" applyBorder="1" applyAlignment="1">
      <alignment horizontal="left" vertical="top"/>
    </xf>
    <xf numFmtId="0" fontId="49" fillId="0" borderId="0" xfId="0" applyFont="1"/>
    <xf numFmtId="0" fontId="49" fillId="0" borderId="1" xfId="0" applyFont="1" applyBorder="1" applyAlignment="1">
      <alignment vertical="top"/>
    </xf>
    <xf numFmtId="0" fontId="49" fillId="0" borderId="4" xfId="0" applyFont="1" applyBorder="1" applyAlignment="1">
      <alignment horizontal="left" vertical="top"/>
    </xf>
    <xf numFmtId="0" fontId="17" fillId="2" borderId="0" xfId="15" applyFont="1" applyFill="1"/>
    <xf numFmtId="0" fontId="17" fillId="0" borderId="0" xfId="15" applyFont="1"/>
    <xf numFmtId="0" fontId="56" fillId="0" borderId="0" xfId="15" applyFont="1"/>
    <xf numFmtId="0" fontId="37" fillId="2" borderId="6" xfId="15" applyFont="1" applyFill="1" applyBorder="1"/>
    <xf numFmtId="0" fontId="37" fillId="2" borderId="6" xfId="15" applyFont="1" applyFill="1" applyBorder="1" applyAlignment="1">
      <alignment horizontal="right"/>
    </xf>
    <xf numFmtId="0" fontId="37" fillId="2" borderId="0" xfId="15" applyFont="1" applyFill="1"/>
    <xf numFmtId="0" fontId="73" fillId="0" borderId="10" xfId="1" applyFont="1" applyBorder="1"/>
    <xf numFmtId="0" fontId="64" fillId="2" borderId="10" xfId="15" applyFont="1" applyFill="1" applyBorder="1"/>
    <xf numFmtId="0" fontId="72" fillId="2" borderId="0" xfId="15" applyFont="1" applyFill="1"/>
    <xf numFmtId="0" fontId="38" fillId="0" borderId="0" xfId="15" applyFont="1"/>
    <xf numFmtId="0" fontId="57" fillId="2" borderId="0" xfId="15" applyFont="1" applyFill="1"/>
    <xf numFmtId="0" fontId="57" fillId="0" borderId="0" xfId="2" applyFont="1"/>
    <xf numFmtId="0" fontId="57" fillId="2" borderId="0" xfId="2" applyFont="1" applyFill="1"/>
    <xf numFmtId="0" fontId="57" fillId="3" borderId="0" xfId="4" applyFont="1" applyFill="1"/>
    <xf numFmtId="0" fontId="57" fillId="2" borderId="0" xfId="4" applyFont="1" applyFill="1"/>
    <xf numFmtId="0" fontId="57" fillId="2" borderId="0" xfId="16" applyFont="1" applyFill="1"/>
    <xf numFmtId="0" fontId="57" fillId="0" borderId="0" xfId="0" applyFont="1" applyAlignment="1">
      <alignment horizontal="left"/>
    </xf>
    <xf numFmtId="0" fontId="57" fillId="2" borderId="0" xfId="0" applyFont="1" applyFill="1"/>
    <xf numFmtId="0" fontId="74" fillId="2" borderId="0" xfId="0" applyFont="1" applyFill="1"/>
    <xf numFmtId="0" fontId="46" fillId="0" borderId="0" xfId="0" applyFont="1"/>
    <xf numFmtId="0" fontId="75" fillId="2" borderId="0" xfId="0" applyFont="1" applyFill="1"/>
    <xf numFmtId="0" fontId="75" fillId="2" borderId="0" xfId="0" applyFont="1" applyFill="1" applyAlignment="1">
      <alignment horizontal="left"/>
    </xf>
    <xf numFmtId="0" fontId="19" fillId="2" borderId="0" xfId="0" applyFont="1" applyFill="1" applyAlignment="1">
      <alignment horizontal="left"/>
    </xf>
    <xf numFmtId="165" fontId="30" fillId="0" borderId="1" xfId="11" applyFont="1" applyFill="1" applyBorder="1" applyAlignment="1">
      <alignment horizontal="right" vertical="top"/>
    </xf>
    <xf numFmtId="167" fontId="19" fillId="0" borderId="0" xfId="0" applyNumberFormat="1" applyFont="1"/>
    <xf numFmtId="167" fontId="55" fillId="2" borderId="0" xfId="0" applyNumberFormat="1" applyFont="1" applyFill="1"/>
    <xf numFmtId="167" fontId="19" fillId="2" borderId="0" xfId="0" applyNumberFormat="1" applyFont="1" applyFill="1"/>
    <xf numFmtId="167" fontId="19" fillId="7" borderId="0" xfId="0" applyNumberFormat="1" applyFont="1" applyFill="1"/>
    <xf numFmtId="167" fontId="16" fillId="7" borderId="0" xfId="1" applyNumberFormat="1" applyFont="1" applyFill="1"/>
    <xf numFmtId="0" fontId="16" fillId="7" borderId="0" xfId="1" applyFont="1" applyFill="1"/>
    <xf numFmtId="167" fontId="18" fillId="2" borderId="0" xfId="0" applyNumberFormat="1" applyFont="1" applyFill="1" applyAlignment="1">
      <alignment horizontal="center" vertical="center"/>
    </xf>
    <xf numFmtId="167" fontId="19" fillId="2" borderId="4" xfId="0" applyNumberFormat="1" applyFont="1" applyFill="1" applyBorder="1"/>
    <xf numFmtId="0" fontId="20" fillId="2" borderId="0" xfId="2" applyFont="1" applyFill="1" applyAlignment="1">
      <alignment wrapText="1"/>
    </xf>
    <xf numFmtId="0" fontId="72" fillId="2" borderId="0" xfId="17" applyFont="1" applyFill="1"/>
    <xf numFmtId="0" fontId="38" fillId="0" borderId="0" xfId="17" applyFont="1"/>
    <xf numFmtId="0" fontId="57" fillId="2" borderId="0" xfId="17" applyFont="1" applyFill="1"/>
    <xf numFmtId="0" fontId="17" fillId="2" borderId="0" xfId="17" applyFont="1" applyFill="1"/>
    <xf numFmtId="0" fontId="17" fillId="0" borderId="0" xfId="17" applyFont="1"/>
    <xf numFmtId="2" fontId="17" fillId="2" borderId="0" xfId="17" applyNumberFormat="1" applyFont="1" applyFill="1"/>
    <xf numFmtId="0" fontId="56" fillId="0" borderId="0" xfId="17" applyFont="1"/>
    <xf numFmtId="0" fontId="37" fillId="2" borderId="0" xfId="17" applyFont="1" applyFill="1"/>
    <xf numFmtId="2" fontId="49" fillId="0" borderId="0" xfId="1" applyNumberFormat="1" applyFont="1" applyAlignment="1">
      <alignment vertical="top" wrapText="1"/>
    </xf>
    <xf numFmtId="2" fontId="64" fillId="2" borderId="10" xfId="17" applyNumberFormat="1" applyFont="1" applyFill="1" applyBorder="1"/>
    <xf numFmtId="0" fontId="64" fillId="2" borderId="0" xfId="17" applyFont="1" applyFill="1"/>
    <xf numFmtId="2" fontId="64" fillId="2" borderId="0" xfId="17" applyNumberFormat="1" applyFont="1" applyFill="1"/>
    <xf numFmtId="167" fontId="55" fillId="2" borderId="0" xfId="0" applyNumberFormat="1" applyFont="1" applyFill="1" applyAlignment="1">
      <alignment horizontal="center"/>
    </xf>
    <xf numFmtId="0" fontId="20" fillId="6" borderId="12" xfId="1" applyFont="1" applyFill="1" applyBorder="1" applyAlignment="1">
      <alignment horizontal="center" vertical="center"/>
    </xf>
    <xf numFmtId="170" fontId="55" fillId="6" borderId="12" xfId="1" applyNumberFormat="1" applyFont="1" applyFill="1" applyBorder="1" applyAlignment="1">
      <alignment horizontal="center" vertical="center"/>
    </xf>
    <xf numFmtId="170" fontId="20" fillId="6" borderId="12" xfId="1" applyNumberFormat="1" applyFont="1" applyFill="1" applyBorder="1" applyAlignment="1">
      <alignment horizontal="center" vertical="center"/>
    </xf>
    <xf numFmtId="166" fontId="20" fillId="6" borderId="42" xfId="1" applyNumberFormat="1" applyFont="1" applyFill="1" applyBorder="1" applyAlignment="1">
      <alignment horizontal="center" vertical="center"/>
    </xf>
    <xf numFmtId="0" fontId="20" fillId="6" borderId="44" xfId="0" applyFont="1" applyFill="1" applyBorder="1" applyAlignment="1">
      <alignment horizontal="center" vertical="center"/>
    </xf>
    <xf numFmtId="166" fontId="20" fillId="6" borderId="43" xfId="1" applyNumberFormat="1" applyFont="1" applyFill="1" applyBorder="1" applyAlignment="1">
      <alignment horizontal="center" vertical="center"/>
    </xf>
    <xf numFmtId="175" fontId="20" fillId="6" borderId="12" xfId="1" applyNumberFormat="1" applyFont="1" applyFill="1" applyBorder="1" applyAlignment="1">
      <alignment horizontal="center" vertical="center"/>
    </xf>
    <xf numFmtId="168" fontId="20" fillId="6" borderId="43" xfId="1" applyNumberFormat="1" applyFont="1" applyFill="1" applyBorder="1" applyAlignment="1">
      <alignment horizontal="center" vertical="center"/>
    </xf>
    <xf numFmtId="170" fontId="19" fillId="2" borderId="0" xfId="1" applyNumberFormat="1" applyFont="1" applyFill="1" applyAlignment="1">
      <alignment horizontal="center"/>
    </xf>
    <xf numFmtId="170" fontId="16" fillId="2" borderId="0" xfId="1" applyNumberFormat="1" applyFont="1" applyFill="1" applyAlignment="1">
      <alignment horizontal="center"/>
    </xf>
    <xf numFmtId="166" fontId="16" fillId="2" borderId="0" xfId="1" applyNumberFormat="1" applyFont="1" applyFill="1" applyAlignment="1">
      <alignment horizontal="center"/>
    </xf>
    <xf numFmtId="175" fontId="19" fillId="0" borderId="0" xfId="0" applyNumberFormat="1" applyFont="1" applyAlignment="1">
      <alignment horizontal="center"/>
    </xf>
    <xf numFmtId="0" fontId="16" fillId="0" borderId="0" xfId="1" applyFont="1" applyAlignment="1">
      <alignment horizontal="center"/>
    </xf>
    <xf numFmtId="168" fontId="16" fillId="0" borderId="0" xfId="1" applyNumberFormat="1" applyFont="1" applyAlignment="1">
      <alignment horizontal="center"/>
    </xf>
    <xf numFmtId="0" fontId="20" fillId="6" borderId="0" xfId="1" applyFont="1" applyFill="1" applyAlignment="1">
      <alignment horizontal="center" vertical="center"/>
    </xf>
    <xf numFmtId="170" fontId="55" fillId="6" borderId="0" xfId="1" applyNumberFormat="1" applyFont="1" applyFill="1" applyAlignment="1">
      <alignment horizontal="center" vertical="center"/>
    </xf>
    <xf numFmtId="170" fontId="20" fillId="6" borderId="0" xfId="1" applyNumberFormat="1" applyFont="1" applyFill="1" applyAlignment="1">
      <alignment horizontal="center" vertical="center"/>
    </xf>
    <xf numFmtId="175" fontId="20" fillId="6" borderId="0" xfId="1" applyNumberFormat="1" applyFont="1" applyFill="1" applyAlignment="1">
      <alignment horizontal="center" vertical="center"/>
    </xf>
    <xf numFmtId="0" fontId="20" fillId="6" borderId="0" xfId="0" applyFont="1" applyFill="1" applyAlignment="1">
      <alignment horizontal="center" vertical="center"/>
    </xf>
    <xf numFmtId="167" fontId="16" fillId="2" borderId="0" xfId="1" applyNumberFormat="1" applyFont="1" applyFill="1" applyAlignment="1">
      <alignment horizontal="center"/>
    </xf>
    <xf numFmtId="167" fontId="20" fillId="6" borderId="12" xfId="1" applyNumberFormat="1" applyFont="1" applyFill="1" applyBorder="1" applyAlignment="1">
      <alignment horizontal="center" vertical="center"/>
    </xf>
    <xf numFmtId="167" fontId="20" fillId="6" borderId="0" xfId="1" applyNumberFormat="1" applyFont="1" applyFill="1" applyAlignment="1">
      <alignment horizontal="center" vertical="center"/>
    </xf>
    <xf numFmtId="167" fontId="19" fillId="2" borderId="6" xfId="0" applyNumberFormat="1" applyFont="1" applyFill="1" applyBorder="1"/>
    <xf numFmtId="167" fontId="68" fillId="2" borderId="10" xfId="1" applyNumberFormat="1" applyFont="1" applyFill="1" applyBorder="1"/>
    <xf numFmtId="0" fontId="16" fillId="2" borderId="0" xfId="1" applyFont="1" applyFill="1" applyAlignment="1">
      <alignment horizontal="right"/>
    </xf>
    <xf numFmtId="2" fontId="19" fillId="2" borderId="0" xfId="1" applyNumberFormat="1" applyFont="1" applyFill="1" applyAlignment="1">
      <alignment horizontal="right"/>
    </xf>
    <xf numFmtId="0" fontId="17" fillId="0" borderId="0" xfId="0" applyFont="1" applyAlignment="1">
      <alignment horizontal="right"/>
    </xf>
    <xf numFmtId="2" fontId="19" fillId="2" borderId="0" xfId="0" applyNumberFormat="1" applyFont="1" applyFill="1" applyAlignment="1">
      <alignment horizontal="right"/>
    </xf>
    <xf numFmtId="2" fontId="17" fillId="0" borderId="0" xfId="0" applyNumberFormat="1" applyFont="1" applyAlignment="1">
      <alignment horizontal="right"/>
    </xf>
    <xf numFmtId="2" fontId="68" fillId="2" borderId="0" xfId="1" applyNumberFormat="1" applyFont="1" applyFill="1" applyAlignment="1">
      <alignment horizontal="right"/>
    </xf>
    <xf numFmtId="1" fontId="19" fillId="2" borderId="0" xfId="0" applyNumberFormat="1" applyFont="1" applyFill="1" applyAlignment="1">
      <alignment horizontal="right"/>
    </xf>
    <xf numFmtId="1" fontId="16" fillId="2" borderId="0" xfId="1" applyNumberFormat="1" applyFont="1" applyFill="1"/>
    <xf numFmtId="2" fontId="20" fillId="2" borderId="0" xfId="1" applyNumberFormat="1" applyFont="1" applyFill="1" applyAlignment="1">
      <alignment horizontal="right"/>
    </xf>
    <xf numFmtId="3" fontId="53" fillId="0" borderId="0" xfId="19" applyNumberFormat="1" applyFont="1" applyFill="1" applyBorder="1" applyAlignment="1">
      <alignment horizontal="left" vertical="center"/>
    </xf>
    <xf numFmtId="0" fontId="68" fillId="2" borderId="23" xfId="1" applyFont="1" applyFill="1" applyBorder="1"/>
    <xf numFmtId="2" fontId="68" fillId="2" borderId="23" xfId="1" applyNumberFormat="1" applyFont="1" applyFill="1" applyBorder="1" applyAlignment="1">
      <alignment horizontal="right"/>
    </xf>
    <xf numFmtId="14" fontId="30" fillId="0" borderId="0" xfId="0" applyNumberFormat="1" applyFont="1" applyAlignment="1">
      <alignment horizontal="right" vertical="center"/>
    </xf>
    <xf numFmtId="0" fontId="30" fillId="0" borderId="0" xfId="0" applyFont="1" applyAlignment="1">
      <alignment horizontal="left" vertical="top"/>
    </xf>
    <xf numFmtId="3" fontId="30" fillId="0" borderId="0" xfId="0" applyNumberFormat="1" applyFont="1" applyAlignment="1">
      <alignment horizontal="right" vertical="center"/>
    </xf>
    <xf numFmtId="3" fontId="30" fillId="0" borderId="0" xfId="0" applyNumberFormat="1" applyFont="1" applyAlignment="1">
      <alignment horizontal="center" vertical="center"/>
    </xf>
    <xf numFmtId="1" fontId="30" fillId="0" borderId="0" xfId="0" applyNumberFormat="1" applyFont="1" applyAlignment="1">
      <alignment horizontal="right" vertical="center"/>
    </xf>
    <xf numFmtId="1" fontId="18" fillId="0" borderId="0" xfId="0" quotePrefix="1" applyNumberFormat="1" applyFont="1" applyAlignment="1">
      <alignment horizontal="right" vertical="center"/>
    </xf>
    <xf numFmtId="0" fontId="17" fillId="0" borderId="0" xfId="0" applyFont="1" applyAlignment="1">
      <alignment horizontal="left" vertical="top"/>
    </xf>
    <xf numFmtId="0" fontId="17" fillId="0" borderId="0" xfId="0" applyFont="1" applyAlignment="1">
      <alignment horizontal="center" vertical="center"/>
    </xf>
    <xf numFmtId="3" fontId="17" fillId="0" borderId="47" xfId="0" applyNumberFormat="1" applyFont="1" applyBorder="1" applyAlignment="1">
      <alignment horizontal="center" vertical="center"/>
    </xf>
    <xf numFmtId="1" fontId="17" fillId="0" borderId="0" xfId="0" applyNumberFormat="1" applyFont="1" applyAlignment="1">
      <alignment horizontal="center" vertical="center"/>
    </xf>
    <xf numFmtId="0" fontId="17" fillId="0" borderId="0" xfId="0" applyFont="1" applyAlignment="1">
      <alignment horizontal="left" vertical="center"/>
    </xf>
    <xf numFmtId="1" fontId="30" fillId="0" borderId="0" xfId="0" applyNumberFormat="1" applyFont="1" applyAlignment="1">
      <alignment horizontal="center" vertical="center"/>
    </xf>
    <xf numFmtId="3" fontId="30" fillId="0" borderId="0" xfId="0" applyNumberFormat="1" applyFont="1" applyAlignment="1">
      <alignment horizontal="left" vertical="center"/>
    </xf>
    <xf numFmtId="0" fontId="30" fillId="0" borderId="0" xfId="0" applyFont="1" applyAlignment="1">
      <alignment horizontal="left"/>
    </xf>
    <xf numFmtId="0" fontId="49" fillId="0" borderId="0" xfId="0" applyFont="1" applyAlignment="1">
      <alignment vertical="top"/>
    </xf>
    <xf numFmtId="171" fontId="30" fillId="0" borderId="0" xfId="0" applyNumberFormat="1" applyFont="1" applyAlignment="1">
      <alignment horizontal="right" vertical="center"/>
    </xf>
    <xf numFmtId="0" fontId="30" fillId="0" borderId="0" xfId="0" applyFont="1" applyAlignment="1">
      <alignment horizontal="right" vertical="center"/>
    </xf>
    <xf numFmtId="0" fontId="30" fillId="0" borderId="0" xfId="0" applyFont="1" applyAlignment="1">
      <alignment vertical="top"/>
    </xf>
    <xf numFmtId="4" fontId="30" fillId="0" borderId="0" xfId="0" applyNumberFormat="1" applyFont="1" applyAlignment="1">
      <alignment horizontal="left" vertical="center"/>
    </xf>
    <xf numFmtId="0" fontId="17" fillId="0" borderId="0" xfId="0" applyFont="1" applyAlignment="1">
      <alignment vertical="top"/>
    </xf>
    <xf numFmtId="0" fontId="48" fillId="0" borderId="0" xfId="0" applyFont="1" applyAlignment="1">
      <alignment horizontal="left" vertical="top"/>
    </xf>
    <xf numFmtId="0" fontId="48" fillId="0" borderId="0" xfId="0" applyFont="1" applyAlignment="1">
      <alignment horizontal="left" vertical="center"/>
    </xf>
    <xf numFmtId="0" fontId="37" fillId="0" borderId="0" xfId="0" applyFont="1" applyAlignment="1">
      <alignment horizontal="left" vertical="center"/>
    </xf>
    <xf numFmtId="0" fontId="45" fillId="0" borderId="0" xfId="0" applyFont="1" applyAlignment="1">
      <alignment horizontal="left" vertical="center"/>
    </xf>
    <xf numFmtId="0" fontId="52" fillId="0" borderId="0" xfId="0" applyFont="1" applyAlignment="1">
      <alignment vertical="top"/>
    </xf>
    <xf numFmtId="3" fontId="30" fillId="0" borderId="0" xfId="0" applyNumberFormat="1" applyFont="1" applyAlignment="1">
      <alignment vertical="top"/>
    </xf>
    <xf numFmtId="0" fontId="30" fillId="0" borderId="25" xfId="0" applyFont="1" applyBorder="1" applyAlignment="1">
      <alignment horizontal="left" vertical="center"/>
    </xf>
    <xf numFmtId="0" fontId="30" fillId="0" borderId="9" xfId="0" applyFont="1" applyBorder="1" applyAlignment="1">
      <alignment horizontal="center" vertical="center"/>
    </xf>
    <xf numFmtId="3" fontId="30" fillId="0" borderId="25" xfId="0" applyNumberFormat="1" applyFont="1" applyBorder="1" applyAlignment="1">
      <alignment horizontal="left" vertical="center"/>
    </xf>
    <xf numFmtId="0" fontId="49" fillId="0" borderId="4" xfId="0" applyFont="1" applyBorder="1"/>
    <xf numFmtId="14" fontId="30" fillId="0" borderId="0" xfId="0" applyNumberFormat="1" applyFont="1" applyAlignment="1">
      <alignment vertical="center"/>
    </xf>
    <xf numFmtId="14" fontId="30" fillId="0" borderId="0" xfId="0" applyNumberFormat="1" applyFont="1" applyAlignment="1">
      <alignment horizontal="center" vertical="center"/>
    </xf>
    <xf numFmtId="3" fontId="17" fillId="0" borderId="0" xfId="0" applyNumberFormat="1" applyFont="1" applyAlignment="1">
      <alignment horizontal="left" vertical="top"/>
    </xf>
    <xf numFmtId="0" fontId="30" fillId="0" borderId="13" xfId="0" applyFont="1" applyBorder="1" applyAlignment="1">
      <alignment horizontal="left" vertical="top" wrapText="1"/>
    </xf>
    <xf numFmtId="0" fontId="30" fillId="0" borderId="17" xfId="0" applyFont="1" applyBorder="1" applyAlignment="1">
      <alignment horizontal="left" vertical="top" wrapText="1"/>
    </xf>
    <xf numFmtId="0" fontId="12" fillId="0" borderId="17" xfId="19" applyFill="1" applyBorder="1" applyAlignment="1">
      <alignment horizontal="left" vertical="top" wrapText="1"/>
    </xf>
    <xf numFmtId="0" fontId="30" fillId="0" borderId="15" xfId="0" applyFont="1" applyBorder="1" applyAlignment="1">
      <alignment horizontal="left" vertical="top" wrapText="1"/>
    </xf>
    <xf numFmtId="4" fontId="30" fillId="0" borderId="17" xfId="0" applyNumberFormat="1" applyFont="1" applyBorder="1" applyAlignment="1">
      <alignment horizontal="left" vertical="top" wrapText="1"/>
    </xf>
    <xf numFmtId="0" fontId="12" fillId="0" borderId="18" xfId="19" applyFill="1" applyBorder="1" applyAlignment="1">
      <alignment horizontal="left" vertical="top" wrapText="1"/>
    </xf>
    <xf numFmtId="14" fontId="30" fillId="0" borderId="0" xfId="0" applyNumberFormat="1" applyFont="1"/>
    <xf numFmtId="0" fontId="48" fillId="0" borderId="0" xfId="0" applyFont="1"/>
    <xf numFmtId="0" fontId="30" fillId="0" borderId="0" xfId="0" applyFont="1" applyAlignment="1">
      <alignment horizontal="center"/>
    </xf>
    <xf numFmtId="0" fontId="18" fillId="4" borderId="0" xfId="0" applyFont="1" applyFill="1"/>
    <xf numFmtId="0" fontId="47" fillId="0" borderId="0" xfId="7" applyFont="1" applyFill="1" applyBorder="1" applyAlignment="1">
      <alignment vertical="top"/>
    </xf>
    <xf numFmtId="0" fontId="47" fillId="0" borderId="0" xfId="7" applyFont="1" applyFill="1" applyBorder="1" applyAlignment="1">
      <alignment horizontal="left" vertical="top"/>
    </xf>
    <xf numFmtId="0" fontId="81" fillId="2" borderId="0" xfId="0" applyFont="1" applyFill="1" applyAlignment="1">
      <alignment horizontal="left"/>
    </xf>
    <xf numFmtId="2" fontId="38" fillId="4" borderId="10" xfId="0" applyNumberFormat="1" applyFont="1" applyFill="1" applyBorder="1"/>
    <xf numFmtId="2" fontId="78" fillId="0" borderId="0" xfId="0" quotePrefix="1" applyNumberFormat="1" applyFont="1"/>
    <xf numFmtId="2" fontId="16" fillId="2" borderId="0" xfId="1" applyNumberFormat="1" applyFont="1" applyFill="1" applyAlignment="1">
      <alignment horizontal="center"/>
    </xf>
    <xf numFmtId="2" fontId="20" fillId="6" borderId="12" xfId="1" applyNumberFormat="1" applyFont="1" applyFill="1" applyBorder="1" applyAlignment="1">
      <alignment horizontal="center" vertical="center"/>
    </xf>
    <xf numFmtId="2" fontId="20" fillId="6" borderId="0" xfId="1" applyNumberFormat="1" applyFont="1" applyFill="1" applyAlignment="1">
      <alignment horizontal="center" vertical="center"/>
    </xf>
    <xf numFmtId="2" fontId="16" fillId="2" borderId="0" xfId="3" applyNumberFormat="1" applyFont="1" applyFill="1" applyAlignment="1">
      <alignment horizontal="right"/>
    </xf>
    <xf numFmtId="3" fontId="30" fillId="0" borderId="0" xfId="0" applyNumberFormat="1" applyFont="1" applyAlignment="1">
      <alignment horizontal="right"/>
    </xf>
    <xf numFmtId="0" fontId="18" fillId="0" borderId="0" xfId="0" applyFont="1" applyAlignment="1">
      <alignment horizontal="left"/>
    </xf>
    <xf numFmtId="0" fontId="45" fillId="0" borderId="2" xfId="0" applyFont="1" applyBorder="1" applyAlignment="1">
      <alignment horizontal="center" vertical="center"/>
    </xf>
    <xf numFmtId="14" fontId="45" fillId="0" borderId="2" xfId="0" applyNumberFormat="1" applyFont="1" applyBorder="1" applyAlignment="1">
      <alignment horizontal="center" vertical="center"/>
    </xf>
    <xf numFmtId="3" fontId="45" fillId="0" borderId="2" xfId="0" applyNumberFormat="1" applyFont="1" applyBorder="1" applyAlignment="1">
      <alignment horizontal="right" vertical="center"/>
    </xf>
    <xf numFmtId="0" fontId="45" fillId="0" borderId="8" xfId="0" applyFont="1" applyBorder="1" applyAlignment="1">
      <alignment horizontal="center" vertical="center"/>
    </xf>
    <xf numFmtId="171" fontId="45" fillId="0" borderId="2" xfId="0" applyNumberFormat="1" applyFont="1" applyBorder="1" applyAlignment="1">
      <alignment horizontal="center" vertical="center"/>
    </xf>
    <xf numFmtId="171" fontId="45" fillId="0" borderId="0" xfId="0" applyNumberFormat="1" applyFont="1" applyAlignment="1">
      <alignment horizontal="center"/>
    </xf>
    <xf numFmtId="3" fontId="45" fillId="0" borderId="2" xfId="0" applyNumberFormat="1" applyFont="1" applyBorder="1" applyAlignment="1">
      <alignment horizontal="center" vertical="center"/>
    </xf>
    <xf numFmtId="1" fontId="45" fillId="0" borderId="2" xfId="0" applyNumberFormat="1" applyFont="1" applyBorder="1" applyAlignment="1">
      <alignment horizontal="center" vertical="center"/>
    </xf>
    <xf numFmtId="1" fontId="45" fillId="0" borderId="16" xfId="0" applyNumberFormat="1" applyFont="1" applyBorder="1" applyAlignment="1">
      <alignment horizontal="center" vertical="center"/>
    </xf>
    <xf numFmtId="3" fontId="45" fillId="0" borderId="0" xfId="0" applyNumberFormat="1" applyFont="1" applyAlignment="1">
      <alignment horizontal="center" vertical="center"/>
    </xf>
    <xf numFmtId="3" fontId="45" fillId="0" borderId="8" xfId="0" applyNumberFormat="1" applyFont="1" applyBorder="1" applyAlignment="1">
      <alignment horizontal="center" vertical="center"/>
    </xf>
    <xf numFmtId="0" fontId="37" fillId="0" borderId="2" xfId="0" applyFont="1" applyBorder="1" applyAlignment="1">
      <alignment horizontal="center" vertical="center"/>
    </xf>
    <xf numFmtId="0" fontId="37" fillId="0" borderId="16" xfId="0" applyFont="1" applyBorder="1" applyAlignment="1">
      <alignment horizontal="center" vertical="center"/>
    </xf>
    <xf numFmtId="0" fontId="37" fillId="0" borderId="46" xfId="0" applyFont="1" applyBorder="1" applyAlignment="1">
      <alignment horizontal="center" vertical="center"/>
    </xf>
    <xf numFmtId="1" fontId="37" fillId="0" borderId="2" xfId="0" applyNumberFormat="1" applyFont="1" applyBorder="1" applyAlignment="1">
      <alignment horizontal="center" vertical="center"/>
    </xf>
    <xf numFmtId="0" fontId="48" fillId="0" borderId="0" xfId="0" applyFont="1" applyAlignment="1">
      <alignment vertical="top"/>
    </xf>
    <xf numFmtId="0" fontId="37" fillId="0" borderId="0" xfId="0" applyFont="1" applyAlignment="1">
      <alignment vertical="center"/>
    </xf>
    <xf numFmtId="0" fontId="53" fillId="0" borderId="0" xfId="0" applyFont="1"/>
    <xf numFmtId="3" fontId="17" fillId="0" borderId="0" xfId="0" applyNumberFormat="1" applyFont="1" applyAlignment="1">
      <alignment vertical="top"/>
    </xf>
    <xf numFmtId="3" fontId="17" fillId="0" borderId="0" xfId="0" applyNumberFormat="1" applyFont="1" applyAlignment="1">
      <alignment horizontal="center" vertical="center"/>
    </xf>
    <xf numFmtId="0" fontId="30" fillId="0" borderId="7" xfId="0" applyFont="1" applyBorder="1" applyAlignment="1">
      <alignment horizontal="left" vertical="center"/>
    </xf>
    <xf numFmtId="14" fontId="17" fillId="0" borderId="0" xfId="0" applyNumberFormat="1" applyFont="1" applyAlignment="1">
      <alignment vertical="top"/>
    </xf>
    <xf numFmtId="3" fontId="30" fillId="0" borderId="0" xfId="0" applyNumberFormat="1" applyFont="1" applyAlignment="1">
      <alignment horizontal="left" vertical="top"/>
    </xf>
    <xf numFmtId="0" fontId="30" fillId="0" borderId="25" xfId="0" applyFont="1" applyBorder="1" applyAlignment="1">
      <alignment horizontal="left" vertical="top"/>
    </xf>
    <xf numFmtId="4" fontId="30" fillId="0" borderId="0" xfId="0" applyNumberFormat="1" applyFont="1" applyAlignment="1">
      <alignment horizontal="center" vertical="center"/>
    </xf>
    <xf numFmtId="1" fontId="30" fillId="0" borderId="34" xfId="0" applyNumberFormat="1" applyFont="1" applyBorder="1" applyAlignment="1">
      <alignment horizontal="center" vertical="center"/>
    </xf>
    <xf numFmtId="0" fontId="30" fillId="0" borderId="34" xfId="0" applyFont="1" applyBorder="1" applyAlignment="1">
      <alignment vertical="center"/>
    </xf>
    <xf numFmtId="0" fontId="48" fillId="0" borderId="0" xfId="0" applyFont="1" applyAlignment="1">
      <alignment vertical="top" wrapText="1"/>
    </xf>
    <xf numFmtId="0" fontId="30" fillId="0" borderId="2" xfId="0" applyFont="1" applyBorder="1" applyAlignment="1">
      <alignment vertical="center"/>
    </xf>
    <xf numFmtId="14" fontId="30" fillId="0" borderId="2" xfId="0" applyNumberFormat="1" applyFont="1" applyBorder="1" applyAlignment="1">
      <alignment horizontal="right" vertical="center"/>
    </xf>
    <xf numFmtId="0" fontId="30" fillId="0" borderId="2" xfId="0" applyFont="1" applyBorder="1" applyAlignment="1">
      <alignment horizontal="left" vertical="top"/>
    </xf>
    <xf numFmtId="0" fontId="30" fillId="0" borderId="2" xfId="0" applyFont="1" applyBorder="1" applyAlignment="1">
      <alignment horizontal="center" vertical="center"/>
    </xf>
    <xf numFmtId="3" fontId="30" fillId="0" borderId="2" xfId="0" applyNumberFormat="1" applyFont="1" applyBorder="1" applyAlignment="1">
      <alignment horizontal="right" vertical="center"/>
    </xf>
    <xf numFmtId="4" fontId="30" fillId="0" borderId="1" xfId="0" applyNumberFormat="1" applyFont="1" applyBorder="1" applyAlignment="1">
      <alignment horizontal="right" vertical="center"/>
    </xf>
    <xf numFmtId="0" fontId="30" fillId="0" borderId="35" xfId="0" applyFont="1" applyBorder="1" applyAlignment="1">
      <alignment vertical="top"/>
    </xf>
    <xf numFmtId="0" fontId="17" fillId="0" borderId="36" xfId="0" applyFont="1" applyBorder="1" applyAlignment="1">
      <alignment horizontal="center" vertical="center"/>
    </xf>
    <xf numFmtId="0" fontId="17" fillId="0" borderId="26" xfId="0" applyFont="1" applyBorder="1" applyAlignment="1">
      <alignment horizontal="left" vertical="center"/>
    </xf>
    <xf numFmtId="1" fontId="17" fillId="0" borderId="2" xfId="0" applyNumberFormat="1" applyFont="1" applyBorder="1" applyAlignment="1">
      <alignment horizontal="center" vertical="center"/>
    </xf>
    <xf numFmtId="0" fontId="30" fillId="0" borderId="36" xfId="0" applyFont="1" applyBorder="1" applyAlignment="1">
      <alignment vertical="center"/>
    </xf>
    <xf numFmtId="14" fontId="30" fillId="0" borderId="36" xfId="0" applyNumberFormat="1" applyFont="1" applyBorder="1" applyAlignment="1">
      <alignment horizontal="right" vertical="center"/>
    </xf>
    <xf numFmtId="0" fontId="30" fillId="0" borderId="36" xfId="0" applyFont="1" applyBorder="1" applyAlignment="1">
      <alignment horizontal="left" vertical="top"/>
    </xf>
    <xf numFmtId="0" fontId="30" fillId="0" borderId="36" xfId="0" applyFont="1" applyBorder="1" applyAlignment="1">
      <alignment horizontal="center" vertical="center"/>
    </xf>
    <xf numFmtId="3" fontId="30" fillId="0" borderId="36" xfId="0" applyNumberFormat="1" applyFont="1" applyBorder="1" applyAlignment="1">
      <alignment horizontal="right" vertical="center"/>
    </xf>
    <xf numFmtId="0" fontId="30" fillId="0" borderId="37" xfId="0" applyFont="1" applyBorder="1" applyAlignment="1">
      <alignment vertical="top"/>
    </xf>
    <xf numFmtId="1" fontId="17" fillId="0" borderId="36" xfId="0" applyNumberFormat="1" applyFont="1" applyBorder="1" applyAlignment="1">
      <alignment horizontal="center" vertical="center"/>
    </xf>
    <xf numFmtId="0" fontId="30" fillId="0" borderId="3" xfId="0" applyFont="1" applyBorder="1" applyAlignment="1">
      <alignment vertical="center"/>
    </xf>
    <xf numFmtId="14" fontId="30" fillId="0" borderId="3" xfId="0" applyNumberFormat="1" applyFont="1" applyBorder="1" applyAlignment="1">
      <alignment horizontal="right" vertical="center"/>
    </xf>
    <xf numFmtId="0" fontId="30" fillId="0" borderId="3" xfId="0" applyFont="1" applyBorder="1" applyAlignment="1">
      <alignment horizontal="left" vertical="top"/>
    </xf>
    <xf numFmtId="0" fontId="30" fillId="0" borderId="3" xfId="0" applyFont="1" applyBorder="1" applyAlignment="1">
      <alignment horizontal="center" vertical="center"/>
    </xf>
    <xf numFmtId="3" fontId="30" fillId="0" borderId="3" xfId="0" applyNumberFormat="1" applyFont="1" applyBorder="1" applyAlignment="1">
      <alignment horizontal="right" vertical="center"/>
    </xf>
    <xf numFmtId="0" fontId="30" fillId="0" borderId="38" xfId="0" applyFont="1" applyBorder="1" applyAlignment="1">
      <alignment horizontal="center" vertical="center"/>
    </xf>
    <xf numFmtId="1" fontId="17" fillId="0" borderId="3" xfId="0" applyNumberFormat="1" applyFont="1" applyBorder="1" applyAlignment="1">
      <alignment horizontal="center" vertical="center"/>
    </xf>
    <xf numFmtId="0" fontId="30" fillId="0" borderId="0" xfId="0" applyFont="1" applyAlignment="1">
      <alignment vertical="top" wrapText="1"/>
    </xf>
    <xf numFmtId="0" fontId="45" fillId="0" borderId="4" xfId="0" applyFont="1" applyBorder="1" applyAlignment="1">
      <alignment horizontal="left" vertical="top" wrapText="1"/>
    </xf>
    <xf numFmtId="0" fontId="45" fillId="0" borderId="7" xfId="0" applyFont="1" applyBorder="1" applyAlignment="1">
      <alignment horizontal="left" vertical="top" wrapText="1"/>
    </xf>
    <xf numFmtId="0" fontId="37" fillId="0" borderId="1" xfId="0" applyFont="1" applyBorder="1" applyAlignment="1">
      <alignment horizontal="left" vertical="top" wrapText="1"/>
    </xf>
    <xf numFmtId="3" fontId="17" fillId="0" borderId="1" xfId="0" applyNumberFormat="1" applyFont="1" applyBorder="1" applyAlignment="1">
      <alignment horizontal="left" vertical="top" wrapText="1"/>
    </xf>
    <xf numFmtId="0" fontId="30" fillId="0" borderId="18" xfId="0" applyFont="1" applyBorder="1" applyAlignment="1">
      <alignment horizontal="left" vertical="top" wrapText="1"/>
    </xf>
    <xf numFmtId="0" fontId="30" fillId="0" borderId="14" xfId="0" applyFont="1" applyBorder="1" applyAlignment="1">
      <alignment horizontal="left" vertical="top" wrapText="1"/>
    </xf>
    <xf numFmtId="0" fontId="30" fillId="0" borderId="19" xfId="0" applyFont="1" applyBorder="1" applyAlignment="1">
      <alignment horizontal="left" vertical="top" wrapText="1"/>
    </xf>
    <xf numFmtId="0" fontId="30" fillId="0" borderId="7" xfId="0" applyFont="1" applyBorder="1" applyAlignment="1">
      <alignment horizontal="left" vertical="top" wrapText="1"/>
    </xf>
    <xf numFmtId="3" fontId="30" fillId="0" borderId="13" xfId="0" applyNumberFormat="1" applyFont="1" applyBorder="1" applyAlignment="1">
      <alignment vertical="top" wrapText="1"/>
    </xf>
    <xf numFmtId="3" fontId="30" fillId="0" borderId="14" xfId="0" applyNumberFormat="1" applyFont="1" applyBorder="1" applyAlignment="1">
      <alignment vertical="top" wrapText="1"/>
    </xf>
    <xf numFmtId="0" fontId="17" fillId="0" borderId="0" xfId="0" applyFont="1" applyAlignment="1">
      <alignment horizontal="left" vertical="top" wrapText="1"/>
    </xf>
    <xf numFmtId="0" fontId="30" fillId="0" borderId="4" xfId="0" applyFont="1" applyBorder="1" applyAlignment="1">
      <alignment horizontal="left" vertical="top" wrapText="1"/>
    </xf>
    <xf numFmtId="3" fontId="30" fillId="0" borderId="7" xfId="0" applyNumberFormat="1" applyFont="1" applyBorder="1" applyAlignment="1">
      <alignment horizontal="left" vertical="top" wrapText="1"/>
    </xf>
    <xf numFmtId="3" fontId="30" fillId="0" borderId="15" xfId="0" applyNumberFormat="1" applyFont="1" applyBorder="1" applyAlignment="1">
      <alignment vertical="top" wrapText="1"/>
    </xf>
    <xf numFmtId="3" fontId="17" fillId="0" borderId="0" xfId="0" applyNumberFormat="1" applyFont="1" applyAlignment="1">
      <alignment horizontal="left" vertical="top" wrapText="1"/>
    </xf>
    <xf numFmtId="14" fontId="17" fillId="0" borderId="0" xfId="0" applyNumberFormat="1" applyFont="1" applyAlignment="1">
      <alignment horizontal="left" vertical="top" wrapText="1"/>
    </xf>
    <xf numFmtId="2" fontId="17" fillId="0" borderId="0" xfId="0" applyNumberFormat="1" applyFont="1" applyAlignment="1">
      <alignment horizontal="left" vertical="top" wrapText="1"/>
    </xf>
    <xf numFmtId="0" fontId="79" fillId="4" borderId="0" xfId="0" applyFont="1" applyFill="1"/>
    <xf numFmtId="0" fontId="55" fillId="2" borderId="0" xfId="0" applyFont="1" applyFill="1" applyAlignment="1">
      <alignment horizontal="left"/>
    </xf>
    <xf numFmtId="0" fontId="19" fillId="0" borderId="0" xfId="0" applyFont="1" applyAlignment="1">
      <alignment horizontal="left"/>
    </xf>
    <xf numFmtId="2" fontId="19" fillId="0" borderId="0" xfId="0" applyNumberFormat="1" applyFont="1"/>
    <xf numFmtId="2" fontId="18" fillId="0" borderId="0" xfId="0" applyNumberFormat="1" applyFont="1" applyAlignment="1">
      <alignment horizontal="right" vertical="center"/>
    </xf>
    <xf numFmtId="2" fontId="18" fillId="0" borderId="6" xfId="0" applyNumberFormat="1" applyFont="1" applyBorder="1" applyAlignment="1">
      <alignment horizontal="right" vertical="center"/>
    </xf>
    <xf numFmtId="169" fontId="45" fillId="0" borderId="0" xfId="0" applyNumberFormat="1" applyFont="1" applyAlignment="1">
      <alignment horizontal="left"/>
    </xf>
    <xf numFmtId="1" fontId="65" fillId="0" borderId="0" xfId="0" applyNumberFormat="1" applyFont="1"/>
    <xf numFmtId="1" fontId="50" fillId="0" borderId="0" xfId="0" applyNumberFormat="1" applyFont="1"/>
    <xf numFmtId="1" fontId="59" fillId="0" borderId="0" xfId="0" applyNumberFormat="1" applyFont="1"/>
    <xf numFmtId="1" fontId="17" fillId="0" borderId="0" xfId="0" applyNumberFormat="1" applyFont="1"/>
    <xf numFmtId="0" fontId="57" fillId="2" borderId="0" xfId="9" applyFont="1" applyFill="1"/>
    <xf numFmtId="2" fontId="19" fillId="2" borderId="6" xfId="0" applyNumberFormat="1" applyFont="1" applyFill="1" applyBorder="1" applyAlignment="1">
      <alignment horizontal="right"/>
    </xf>
    <xf numFmtId="2" fontId="17" fillId="0" borderId="6" xfId="0" applyNumberFormat="1" applyFont="1" applyBorder="1" applyAlignment="1">
      <alignment horizontal="right"/>
    </xf>
    <xf numFmtId="0" fontId="20" fillId="2" borderId="0" xfId="18" applyFont="1" applyFill="1" applyAlignment="1">
      <alignment wrapText="1"/>
    </xf>
    <xf numFmtId="165" fontId="45" fillId="0" borderId="1" xfId="11" applyFont="1" applyFill="1" applyBorder="1" applyAlignment="1">
      <alignment horizontal="center"/>
    </xf>
    <xf numFmtId="4" fontId="53" fillId="0" borderId="1" xfId="19" applyNumberFormat="1" applyFont="1" applyFill="1" applyBorder="1" applyAlignment="1">
      <alignment horizontal="left" vertical="top" wrapText="1"/>
    </xf>
    <xf numFmtId="4" fontId="53" fillId="0" borderId="1" xfId="19" applyNumberFormat="1" applyFont="1" applyFill="1" applyBorder="1" applyAlignment="1">
      <alignment horizontal="left" vertical="top"/>
    </xf>
    <xf numFmtId="0" fontId="53" fillId="0" borderId="1" xfId="19" applyFont="1" applyFill="1" applyBorder="1" applyAlignment="1">
      <alignment horizontal="left" vertical="top"/>
    </xf>
    <xf numFmtId="4" fontId="31" fillId="0" borderId="2" xfId="7" applyNumberFormat="1" applyFont="1" applyFill="1" applyBorder="1" applyAlignment="1">
      <alignment horizontal="left" vertical="top"/>
    </xf>
    <xf numFmtId="0" fontId="53" fillId="0" borderId="1" xfId="19" applyFont="1" applyFill="1" applyBorder="1" applyAlignment="1"/>
    <xf numFmtId="4" fontId="53" fillId="0" borderId="2" xfId="19" applyNumberFormat="1" applyFont="1" applyFill="1" applyBorder="1" applyAlignment="1">
      <alignment horizontal="left" vertical="top"/>
    </xf>
    <xf numFmtId="4" fontId="53" fillId="0" borderId="0" xfId="19" applyNumberFormat="1" applyFont="1" applyFill="1" applyBorder="1" applyAlignment="1">
      <alignment horizontal="left" vertical="top"/>
    </xf>
    <xf numFmtId="0" fontId="53" fillId="0" borderId="0" xfId="19" applyFont="1" applyFill="1" applyBorder="1" applyAlignment="1">
      <alignment horizontal="left" vertical="top"/>
    </xf>
    <xf numFmtId="4" fontId="31" fillId="0" borderId="7" xfId="7" applyNumberFormat="1" applyFont="1" applyFill="1" applyBorder="1" applyAlignment="1">
      <alignment horizontal="left" vertical="top"/>
    </xf>
    <xf numFmtId="0" fontId="53" fillId="0" borderId="7" xfId="19" applyFont="1" applyFill="1" applyBorder="1" applyAlignment="1">
      <alignment horizontal="left" vertical="top"/>
    </xf>
    <xf numFmtId="4" fontId="31" fillId="0" borderId="1" xfId="7" applyNumberFormat="1" applyFont="1" applyFill="1" applyBorder="1" applyAlignment="1">
      <alignment horizontal="left" vertical="top"/>
    </xf>
    <xf numFmtId="0" fontId="53" fillId="0" borderId="1" xfId="19" applyFont="1" applyFill="1" applyBorder="1" applyAlignment="1">
      <alignment horizontal="left" vertical="top" wrapText="1"/>
    </xf>
    <xf numFmtId="4" fontId="53" fillId="0" borderId="0" xfId="19" applyNumberFormat="1" applyFont="1" applyFill="1" applyBorder="1" applyAlignment="1">
      <alignment horizontal="left" vertical="top" wrapText="1"/>
    </xf>
    <xf numFmtId="4" fontId="31" fillId="0" borderId="0" xfId="7" applyNumberFormat="1" applyFont="1" applyFill="1" applyBorder="1" applyAlignment="1">
      <alignment horizontal="left" vertical="top"/>
    </xf>
    <xf numFmtId="4" fontId="53" fillId="0" borderId="4" xfId="19" applyNumberFormat="1" applyFont="1" applyFill="1" applyBorder="1" applyAlignment="1">
      <alignment horizontal="left" vertical="top" wrapText="1"/>
    </xf>
    <xf numFmtId="0" fontId="53" fillId="0" borderId="2" xfId="19" applyFont="1" applyFill="1" applyBorder="1" applyAlignment="1"/>
    <xf numFmtId="0" fontId="30" fillId="0" borderId="1" xfId="19" applyFont="1" applyFill="1" applyBorder="1" applyAlignment="1">
      <alignment horizontal="left" vertical="top"/>
    </xf>
    <xf numFmtId="3" fontId="53" fillId="0" borderId="1" xfId="19" applyNumberFormat="1" applyFont="1" applyFill="1" applyBorder="1" applyAlignment="1">
      <alignment horizontal="left" vertical="top"/>
    </xf>
    <xf numFmtId="3" fontId="53" fillId="0" borderId="7" xfId="19" applyNumberFormat="1" applyFont="1" applyFill="1" applyBorder="1" applyAlignment="1">
      <alignment horizontal="left" vertical="top"/>
    </xf>
    <xf numFmtId="0" fontId="53" fillId="0" borderId="17" xfId="19" applyFont="1" applyFill="1" applyBorder="1" applyAlignment="1">
      <alignment horizontal="left" vertical="top"/>
    </xf>
    <xf numFmtId="0" fontId="31" fillId="0" borderId="0" xfId="7" applyFont="1" applyFill="1" applyBorder="1" applyAlignment="1">
      <alignment horizontal="left" vertical="top"/>
    </xf>
    <xf numFmtId="0" fontId="53" fillId="0" borderId="0" xfId="19" applyFont="1" applyFill="1" applyBorder="1" applyAlignment="1"/>
    <xf numFmtId="0" fontId="53" fillId="0" borderId="4" xfId="19" applyFont="1" applyFill="1" applyBorder="1" applyAlignment="1">
      <alignment horizontal="left" vertical="top"/>
    </xf>
    <xf numFmtId="4" fontId="53" fillId="0" borderId="17" xfId="19" applyNumberFormat="1" applyFont="1" applyFill="1" applyBorder="1" applyAlignment="1">
      <alignment horizontal="left" vertical="top"/>
    </xf>
    <xf numFmtId="4" fontId="53" fillId="0" borderId="4" xfId="19" applyNumberFormat="1" applyFont="1" applyFill="1" applyBorder="1" applyAlignment="1">
      <alignment horizontal="left" vertical="top"/>
    </xf>
    <xf numFmtId="0" fontId="53" fillId="0" borderId="2" xfId="19" applyFont="1" applyFill="1" applyBorder="1" applyAlignment="1">
      <alignment horizontal="left" vertical="top"/>
    </xf>
    <xf numFmtId="165" fontId="30" fillId="0" borderId="0" xfId="11" applyFont="1" applyFill="1" applyBorder="1" applyAlignment="1">
      <alignment horizontal="right" vertical="top"/>
    </xf>
    <xf numFmtId="165" fontId="30" fillId="0" borderId="4" xfId="11" applyFont="1" applyFill="1" applyBorder="1" applyAlignment="1">
      <alignment horizontal="right" vertical="top"/>
    </xf>
    <xf numFmtId="0" fontId="45" fillId="0" borderId="1" xfId="0" applyFont="1" applyBorder="1" applyAlignment="1">
      <alignment horizontal="center"/>
    </xf>
    <xf numFmtId="171" fontId="45" fillId="0" borderId="0" xfId="0" applyNumberFormat="1" applyFont="1" applyAlignment="1">
      <alignment horizontal="center" vertical="center"/>
    </xf>
    <xf numFmtId="0" fontId="45" fillId="0" borderId="0" xfId="0" applyFont="1" applyAlignment="1">
      <alignment horizontal="center"/>
    </xf>
    <xf numFmtId="4" fontId="45" fillId="0" borderId="1" xfId="0" applyNumberFormat="1" applyFont="1" applyBorder="1" applyAlignment="1">
      <alignment horizontal="center"/>
    </xf>
    <xf numFmtId="0" fontId="45" fillId="0" borderId="0" xfId="0" applyFont="1" applyAlignment="1">
      <alignment horizontal="right"/>
    </xf>
    <xf numFmtId="171" fontId="30" fillId="0" borderId="0" xfId="0" applyNumberFormat="1" applyFont="1" applyAlignment="1">
      <alignment horizontal="center" vertical="center"/>
    </xf>
    <xf numFmtId="171" fontId="30" fillId="0" borderId="0" xfId="0" applyNumberFormat="1" applyFont="1" applyAlignment="1">
      <alignment horizontal="left"/>
    </xf>
    <xf numFmtId="0" fontId="18" fillId="0" borderId="0" xfId="0" applyFont="1" applyAlignment="1">
      <alignment horizontal="center"/>
    </xf>
    <xf numFmtId="4" fontId="30" fillId="0" borderId="1" xfId="0" applyNumberFormat="1" applyFont="1" applyBorder="1" applyAlignment="1">
      <alignment horizontal="center" vertical="center"/>
    </xf>
    <xf numFmtId="0" fontId="30" fillId="0" borderId="0" xfId="0" applyFont="1" applyAlignment="1">
      <alignment horizontal="right"/>
    </xf>
    <xf numFmtId="165" fontId="30" fillId="0" borderId="0" xfId="0" applyNumberFormat="1" applyFont="1"/>
    <xf numFmtId="2" fontId="30" fillId="0" borderId="1" xfId="0" applyNumberFormat="1" applyFont="1" applyBorder="1" applyAlignment="1">
      <alignment horizontal="left" vertical="top"/>
    </xf>
    <xf numFmtId="0" fontId="30" fillId="0" borderId="1" xfId="0" applyFont="1" applyBorder="1" applyAlignment="1">
      <alignment vertical="top"/>
    </xf>
    <xf numFmtId="4" fontId="30" fillId="0" borderId="1" xfId="0" applyNumberFormat="1" applyFont="1" applyBorder="1" applyAlignment="1">
      <alignment horizontal="left" vertical="top"/>
    </xf>
    <xf numFmtId="3" fontId="30" fillId="0" borderId="1" xfId="0" applyNumberFormat="1" applyFont="1" applyBorder="1" applyAlignment="1">
      <alignment horizontal="left" vertical="top"/>
    </xf>
    <xf numFmtId="4" fontId="30" fillId="0" borderId="4" xfId="0" applyNumberFormat="1" applyFont="1" applyBorder="1" applyAlignment="1">
      <alignment horizontal="left" vertical="top"/>
    </xf>
    <xf numFmtId="0" fontId="30" fillId="0" borderId="7" xfId="0" applyFont="1" applyBorder="1" applyAlignment="1">
      <alignment horizontal="left" vertical="top"/>
    </xf>
    <xf numFmtId="4" fontId="30" fillId="0" borderId="0" xfId="0" applyNumberFormat="1" applyFont="1" applyAlignment="1">
      <alignment horizontal="left" vertical="top"/>
    </xf>
    <xf numFmtId="0" fontId="30" fillId="0" borderId="1" xfId="0" applyFont="1" applyBorder="1" applyAlignment="1">
      <alignment horizontal="left" vertical="center"/>
    </xf>
    <xf numFmtId="0" fontId="30" fillId="0" borderId="1" xfId="0" applyFont="1" applyBorder="1" applyAlignment="1">
      <alignment horizontal="left" vertical="top" wrapText="1"/>
    </xf>
    <xf numFmtId="0" fontId="30" fillId="0" borderId="1" xfId="0" applyFont="1" applyBorder="1"/>
    <xf numFmtId="0" fontId="30" fillId="0" borderId="4" xfId="0" applyFont="1" applyBorder="1" applyAlignment="1">
      <alignment horizontal="left"/>
    </xf>
    <xf numFmtId="0" fontId="53" fillId="0" borderId="1" xfId="19" applyFont="1" applyFill="1" applyBorder="1"/>
    <xf numFmtId="0" fontId="53" fillId="0" borderId="2" xfId="19" applyFont="1" applyFill="1" applyBorder="1"/>
    <xf numFmtId="0" fontId="18" fillId="0" borderId="1" xfId="0" applyFont="1" applyBorder="1" applyAlignment="1">
      <alignment horizontal="left" vertical="top"/>
    </xf>
    <xf numFmtId="0" fontId="30" fillId="0" borderId="1" xfId="0" applyFont="1" applyBorder="1" applyAlignment="1">
      <alignment horizontal="left"/>
    </xf>
    <xf numFmtId="171" fontId="30" fillId="0" borderId="0" xfId="0" applyNumberFormat="1" applyFont="1" applyAlignment="1">
      <alignment horizontal="center"/>
    </xf>
    <xf numFmtId="0" fontId="30" fillId="0" borderId="3" xfId="0" applyFont="1" applyBorder="1" applyAlignment="1">
      <alignment vertical="top"/>
    </xf>
    <xf numFmtId="0" fontId="30" fillId="0" borderId="4" xfId="0" applyFont="1" applyBorder="1" applyAlignment="1">
      <alignment horizontal="left" vertical="top"/>
    </xf>
    <xf numFmtId="0" fontId="18" fillId="0" borderId="0" xfId="0" applyFont="1" applyAlignment="1">
      <alignment horizontal="center" vertical="center"/>
    </xf>
    <xf numFmtId="171" fontId="30" fillId="0" borderId="1" xfId="0" applyNumberFormat="1" applyFont="1" applyBorder="1" applyAlignment="1">
      <alignment horizontal="center" vertical="center"/>
    </xf>
    <xf numFmtId="171" fontId="30" fillId="0" borderId="1" xfId="0" applyNumberFormat="1" applyFont="1" applyBorder="1" applyAlignment="1">
      <alignment horizontal="left"/>
    </xf>
    <xf numFmtId="0" fontId="18" fillId="0" borderId="1" xfId="0" applyFont="1" applyBorder="1" applyAlignment="1">
      <alignment horizontal="center"/>
    </xf>
    <xf numFmtId="0" fontId="30" fillId="0" borderId="1" xfId="0" applyFont="1" applyBorder="1" applyAlignment="1">
      <alignment horizontal="center"/>
    </xf>
    <xf numFmtId="4" fontId="30" fillId="0" borderId="1" xfId="0" applyNumberFormat="1" applyFont="1" applyBorder="1"/>
    <xf numFmtId="4" fontId="30" fillId="0" borderId="1" xfId="0" applyNumberFormat="1" applyFont="1" applyBorder="1" applyAlignment="1">
      <alignment horizontal="left" vertical="top" wrapText="1"/>
    </xf>
    <xf numFmtId="171" fontId="30" fillId="0" borderId="0" xfId="0" applyNumberFormat="1" applyFont="1" applyAlignment="1">
      <alignment horizontal="center" wrapText="1"/>
    </xf>
    <xf numFmtId="0" fontId="18" fillId="0" borderId="1" xfId="0" applyFont="1" applyBorder="1" applyAlignment="1">
      <alignment vertical="top"/>
    </xf>
    <xf numFmtId="171" fontId="30" fillId="0" borderId="1" xfId="0" applyNumberFormat="1" applyFont="1" applyBorder="1" applyAlignment="1">
      <alignment horizontal="center"/>
    </xf>
    <xf numFmtId="0" fontId="18" fillId="0" borderId="4" xfId="0" applyFont="1" applyBorder="1" applyAlignment="1">
      <alignment vertical="top"/>
    </xf>
    <xf numFmtId="0" fontId="30" fillId="0" borderId="1" xfId="0" applyFont="1" applyBorder="1" applyAlignment="1">
      <alignment vertical="center"/>
    </xf>
    <xf numFmtId="0" fontId="30" fillId="0" borderId="7" xfId="0" applyFont="1" applyBorder="1"/>
    <xf numFmtId="0" fontId="30" fillId="0" borderId="2" xfId="0" applyFont="1" applyBorder="1"/>
    <xf numFmtId="0" fontId="30" fillId="0" borderId="17" xfId="0" applyFont="1" applyBorder="1" applyAlignment="1">
      <alignment horizontal="left" vertical="top"/>
    </xf>
    <xf numFmtId="0" fontId="30" fillId="0" borderId="17" xfId="0" applyFont="1" applyBorder="1" applyAlignment="1">
      <alignment vertical="top"/>
    </xf>
    <xf numFmtId="0" fontId="30" fillId="0" borderId="15" xfId="0" applyFont="1" applyBorder="1" applyAlignment="1">
      <alignment horizontal="left" vertical="top"/>
    </xf>
    <xf numFmtId="0" fontId="30" fillId="0" borderId="15" xfId="0" applyFont="1" applyBorder="1" applyAlignment="1">
      <alignment horizontal="left"/>
    </xf>
    <xf numFmtId="0" fontId="30" fillId="0" borderId="15" xfId="0" applyFont="1" applyBorder="1" applyAlignment="1">
      <alignment vertical="top"/>
    </xf>
    <xf numFmtId="0" fontId="30" fillId="0" borderId="15" xfId="0" applyFont="1" applyBorder="1"/>
    <xf numFmtId="4" fontId="30" fillId="0" borderId="17" xfId="0" applyNumberFormat="1" applyFont="1" applyBorder="1" applyAlignment="1">
      <alignment horizontal="left" vertical="top"/>
    </xf>
    <xf numFmtId="0" fontId="18" fillId="0" borderId="17" xfId="0" applyFont="1" applyBorder="1" applyAlignment="1">
      <alignment horizontal="left" vertical="top"/>
    </xf>
    <xf numFmtId="0" fontId="18" fillId="0" borderId="15" xfId="0" applyFont="1" applyBorder="1" applyAlignment="1">
      <alignment horizontal="left" vertical="top"/>
    </xf>
    <xf numFmtId="0" fontId="30" fillId="0" borderId="14" xfId="0" applyFont="1" applyBorder="1" applyAlignment="1">
      <alignment horizontal="left" vertical="top"/>
    </xf>
    <xf numFmtId="0" fontId="30" fillId="0" borderId="17" xfId="0" applyFont="1" applyBorder="1"/>
    <xf numFmtId="171" fontId="30" fillId="0" borderId="7" xfId="0" applyNumberFormat="1" applyFont="1" applyBorder="1" applyAlignment="1">
      <alignment horizontal="center" vertical="center"/>
    </xf>
    <xf numFmtId="171" fontId="30" fillId="0" borderId="17" xfId="0" applyNumberFormat="1" applyFont="1" applyBorder="1" applyAlignment="1">
      <alignment horizontal="center" vertical="center"/>
    </xf>
    <xf numFmtId="0" fontId="18" fillId="0" borderId="0" xfId="0" applyFont="1" applyAlignment="1">
      <alignment horizontal="left" vertical="top"/>
    </xf>
    <xf numFmtId="171" fontId="30" fillId="0" borderId="17" xfId="0" applyNumberFormat="1" applyFont="1" applyBorder="1" applyAlignment="1">
      <alignment horizontal="left"/>
    </xf>
    <xf numFmtId="0" fontId="18" fillId="0" borderId="7" xfId="0" applyFont="1" applyBorder="1" applyAlignment="1">
      <alignment horizontal="center"/>
    </xf>
    <xf numFmtId="0" fontId="18" fillId="0" borderId="17" xfId="0" applyFont="1" applyBorder="1" applyAlignment="1">
      <alignment horizontal="center"/>
    </xf>
    <xf numFmtId="0" fontId="18" fillId="0" borderId="7" xfId="0" applyFont="1" applyBorder="1" applyAlignment="1">
      <alignment horizontal="left" vertical="top"/>
    </xf>
    <xf numFmtId="0" fontId="30" fillId="0" borderId="4" xfId="0" applyFont="1" applyBorder="1" applyAlignment="1">
      <alignment vertical="top"/>
    </xf>
    <xf numFmtId="0" fontId="18" fillId="0" borderId="0" xfId="0" applyFont="1" applyAlignment="1">
      <alignment vertical="top"/>
    </xf>
    <xf numFmtId="3" fontId="30" fillId="0" borderId="4" xfId="0" applyNumberFormat="1" applyFont="1" applyBorder="1" applyAlignment="1">
      <alignment horizontal="left" vertical="top"/>
    </xf>
    <xf numFmtId="0" fontId="18" fillId="0" borderId="1" xfId="0" applyFont="1" applyBorder="1"/>
    <xf numFmtId="4" fontId="30" fillId="0" borderId="7" xfId="0" applyNumberFormat="1" applyFont="1" applyBorder="1" applyAlignment="1">
      <alignment horizontal="center" vertical="center"/>
    </xf>
    <xf numFmtId="4" fontId="30" fillId="0" borderId="7" xfId="0" applyNumberFormat="1" applyFont="1" applyBorder="1" applyAlignment="1">
      <alignment horizontal="left" vertical="top"/>
    </xf>
    <xf numFmtId="0" fontId="55" fillId="0" borderId="23" xfId="9" applyFont="1" applyBorder="1"/>
    <xf numFmtId="1" fontId="17" fillId="0" borderId="5" xfId="0" applyNumberFormat="1" applyFont="1" applyBorder="1"/>
    <xf numFmtId="0" fontId="16" fillId="2" borderId="0" xfId="1" applyFont="1" applyFill="1" applyAlignment="1">
      <alignment horizontal="center" vertical="center"/>
    </xf>
    <xf numFmtId="0" fontId="20" fillId="2" borderId="0" xfId="1" applyFont="1" applyFill="1" applyAlignment="1">
      <alignment horizontal="center" vertical="center"/>
    </xf>
    <xf numFmtId="2" fontId="20" fillId="8" borderId="12" xfId="1" applyNumberFormat="1" applyFont="1" applyFill="1" applyBorder="1" applyAlignment="1">
      <alignment horizontal="center" vertical="center" wrapText="1"/>
    </xf>
    <xf numFmtId="0" fontId="20" fillId="8" borderId="12" xfId="1" applyFont="1" applyFill="1" applyBorder="1" applyAlignment="1">
      <alignment horizontal="center" vertical="center" wrapText="1"/>
    </xf>
    <xf numFmtId="0" fontId="20" fillId="8" borderId="12" xfId="1" applyFont="1" applyFill="1" applyBorder="1" applyAlignment="1">
      <alignment horizontal="center" vertical="center"/>
    </xf>
    <xf numFmtId="2" fontId="20" fillId="8" borderId="0" xfId="1" applyNumberFormat="1" applyFont="1" applyFill="1" applyAlignment="1">
      <alignment horizontal="center" vertical="center" wrapText="1"/>
    </xf>
    <xf numFmtId="0" fontId="20" fillId="8" borderId="0" xfId="1" applyFont="1" applyFill="1" applyAlignment="1">
      <alignment horizontal="center" vertical="center" wrapText="1"/>
    </xf>
    <xf numFmtId="0" fontId="20" fillId="8" borderId="0" xfId="1" applyFont="1" applyFill="1" applyAlignment="1">
      <alignment horizontal="center" vertical="center"/>
    </xf>
    <xf numFmtId="2" fontId="16" fillId="8" borderId="6" xfId="1" applyNumberFormat="1" applyFont="1" applyFill="1" applyBorder="1" applyAlignment="1">
      <alignment horizontal="left" vertical="top" wrapText="1"/>
    </xf>
    <xf numFmtId="2" fontId="19" fillId="2" borderId="0" xfId="0" applyNumberFormat="1" applyFont="1" applyFill="1" applyAlignment="1">
      <alignment horizontal="center"/>
    </xf>
    <xf numFmtId="2" fontId="17" fillId="0" borderId="0" xfId="0" applyNumberFormat="1" applyFont="1" applyAlignment="1">
      <alignment horizontal="center"/>
    </xf>
    <xf numFmtId="0" fontId="21" fillId="2" borderId="6" xfId="1" applyFont="1" applyFill="1" applyBorder="1"/>
    <xf numFmtId="1" fontId="19" fillId="2" borderId="0" xfId="0" applyNumberFormat="1" applyFont="1" applyFill="1" applyAlignment="1">
      <alignment horizontal="center"/>
    </xf>
    <xf numFmtId="1" fontId="18" fillId="0" borderId="0" xfId="0" applyNumberFormat="1" applyFont="1" applyAlignment="1">
      <alignment horizontal="center" vertical="center"/>
    </xf>
    <xf numFmtId="1" fontId="16" fillId="2" borderId="0" xfId="1" applyNumberFormat="1" applyFont="1" applyFill="1" applyAlignment="1">
      <alignment horizontal="center"/>
    </xf>
    <xf numFmtId="1" fontId="18" fillId="2" borderId="0" xfId="0" applyNumberFormat="1" applyFont="1" applyFill="1" applyAlignment="1">
      <alignment horizontal="center"/>
    </xf>
    <xf numFmtId="2" fontId="68" fillId="2" borderId="23" xfId="1" applyNumberFormat="1" applyFont="1" applyFill="1" applyBorder="1" applyAlignment="1">
      <alignment horizontal="center"/>
    </xf>
    <xf numFmtId="1" fontId="24" fillId="2" borderId="0" xfId="0" applyNumberFormat="1" applyFont="1" applyFill="1"/>
    <xf numFmtId="1" fontId="24" fillId="2" borderId="0" xfId="0" applyNumberFormat="1" applyFont="1" applyFill="1" applyAlignment="1">
      <alignment horizontal="center"/>
    </xf>
    <xf numFmtId="2" fontId="21" fillId="2" borderId="6" xfId="1" applyNumberFormat="1" applyFont="1" applyFill="1" applyBorder="1" applyAlignment="1">
      <alignment horizontal="center"/>
    </xf>
    <xf numFmtId="0" fontId="64" fillId="2" borderId="6" xfId="17" applyFont="1" applyFill="1" applyBorder="1"/>
    <xf numFmtId="2" fontId="64" fillId="2" borderId="6" xfId="17" applyNumberFormat="1" applyFont="1" applyFill="1" applyBorder="1"/>
    <xf numFmtId="0" fontId="37" fillId="8" borderId="10" xfId="17" applyFont="1" applyFill="1" applyBorder="1"/>
    <xf numFmtId="0" fontId="37" fillId="8" borderId="10" xfId="17" applyFont="1" applyFill="1" applyBorder="1" applyAlignment="1">
      <alignment horizontal="left" vertical="center"/>
    </xf>
    <xf numFmtId="0" fontId="16" fillId="8" borderId="6" xfId="1" applyFont="1" applyFill="1" applyBorder="1" applyAlignment="1">
      <alignment horizontal="center" vertical="top"/>
    </xf>
    <xf numFmtId="0" fontId="20" fillId="8" borderId="10" xfId="1" applyFont="1" applyFill="1" applyBorder="1" applyAlignment="1">
      <alignment horizontal="right" vertical="center"/>
    </xf>
    <xf numFmtId="0" fontId="19" fillId="0" borderId="0" xfId="12" applyFont="1"/>
    <xf numFmtId="165" fontId="17" fillId="0" borderId="0" xfId="11" applyFont="1"/>
    <xf numFmtId="165" fontId="17" fillId="0" borderId="0" xfId="0" applyNumberFormat="1" applyFont="1"/>
    <xf numFmtId="0" fontId="16" fillId="6" borderId="0" xfId="1" applyFont="1" applyFill="1"/>
    <xf numFmtId="0" fontId="16" fillId="9" borderId="0" xfId="1" applyFont="1" applyFill="1"/>
    <xf numFmtId="0" fontId="16" fillId="10" borderId="0" xfId="1" applyFont="1" applyFill="1"/>
    <xf numFmtId="0" fontId="16" fillId="11" borderId="0" xfId="1" applyFont="1" applyFill="1"/>
    <xf numFmtId="0" fontId="20" fillId="8" borderId="10" xfId="1" applyFont="1" applyFill="1" applyBorder="1" applyAlignment="1">
      <alignment horizontal="left" vertical="center"/>
    </xf>
    <xf numFmtId="2" fontId="20" fillId="8" borderId="10" xfId="1" applyNumberFormat="1" applyFont="1" applyFill="1" applyBorder="1" applyAlignment="1">
      <alignment horizontal="center" vertical="center" wrapText="1"/>
    </xf>
    <xf numFmtId="0" fontId="20" fillId="8" borderId="10" xfId="1" applyFont="1" applyFill="1" applyBorder="1" applyAlignment="1">
      <alignment horizontal="center" vertical="center" wrapText="1"/>
    </xf>
    <xf numFmtId="0" fontId="20" fillId="2" borderId="0" xfId="18" applyFont="1" applyFill="1" applyAlignment="1">
      <alignment horizontal="left" wrapText="1"/>
    </xf>
    <xf numFmtId="0" fontId="20" fillId="8" borderId="12" xfId="1" applyFont="1" applyFill="1" applyBorder="1" applyAlignment="1">
      <alignment horizontal="left" vertical="center"/>
    </xf>
    <xf numFmtId="0" fontId="20" fillId="8" borderId="0" xfId="1" applyFont="1" applyFill="1" applyAlignment="1">
      <alignment vertical="center"/>
    </xf>
    <xf numFmtId="0" fontId="20" fillId="8" borderId="6" xfId="1" applyFont="1" applyFill="1" applyBorder="1" applyAlignment="1">
      <alignment vertical="center"/>
    </xf>
    <xf numFmtId="0" fontId="16" fillId="2" borderId="5" xfId="1" applyFont="1" applyFill="1" applyBorder="1"/>
    <xf numFmtId="1" fontId="18" fillId="2" borderId="5" xfId="0" applyNumberFormat="1" applyFont="1" applyFill="1" applyBorder="1" applyAlignment="1">
      <alignment horizontal="center"/>
    </xf>
    <xf numFmtId="1" fontId="18" fillId="0" borderId="5" xfId="0" applyNumberFormat="1" applyFont="1" applyBorder="1" applyAlignment="1">
      <alignment horizontal="center" vertical="center"/>
    </xf>
    <xf numFmtId="2" fontId="19" fillId="2" borderId="5" xfId="0" applyNumberFormat="1" applyFont="1" applyFill="1" applyBorder="1" applyAlignment="1">
      <alignment horizontal="center"/>
    </xf>
    <xf numFmtId="2" fontId="16" fillId="2" borderId="5" xfId="1" applyNumberFormat="1" applyFont="1" applyFill="1" applyBorder="1" applyAlignment="1">
      <alignment horizontal="center"/>
    </xf>
    <xf numFmtId="2" fontId="17" fillId="0" borderId="5" xfId="0" applyNumberFormat="1" applyFont="1" applyBorder="1" applyAlignment="1">
      <alignment horizontal="center"/>
    </xf>
    <xf numFmtId="0" fontId="19" fillId="8" borderId="6" xfId="1" applyFont="1" applyFill="1" applyBorder="1" applyAlignment="1">
      <alignment horizontal="left" vertical="top" wrapText="1"/>
    </xf>
    <xf numFmtId="2" fontId="80" fillId="8" borderId="6" xfId="1" applyNumberFormat="1" applyFont="1" applyFill="1" applyBorder="1" applyAlignment="1">
      <alignment horizontal="left" vertical="top" wrapText="1"/>
    </xf>
    <xf numFmtId="0" fontId="80" fillId="8" borderId="6" xfId="1" applyFont="1" applyFill="1" applyBorder="1" applyAlignment="1">
      <alignment horizontal="left" vertical="top" wrapText="1"/>
    </xf>
    <xf numFmtId="0" fontId="21" fillId="2" borderId="0" xfId="1" applyFont="1" applyFill="1"/>
    <xf numFmtId="0" fontId="17" fillId="0" borderId="46" xfId="0" applyFont="1" applyBorder="1" applyAlignment="1">
      <alignment horizontal="center"/>
    </xf>
    <xf numFmtId="0" fontId="17" fillId="0" borderId="47" xfId="0" applyFont="1" applyBorder="1" applyAlignment="1">
      <alignment horizontal="center"/>
    </xf>
    <xf numFmtId="166" fontId="17" fillId="0" borderId="0" xfId="0" applyNumberFormat="1" applyFont="1"/>
    <xf numFmtId="0" fontId="17" fillId="0" borderId="0" xfId="12" applyFont="1"/>
    <xf numFmtId="2" fontId="17" fillId="0" borderId="0" xfId="12" applyNumberFormat="1" applyFont="1"/>
    <xf numFmtId="0" fontId="17" fillId="0" borderId="0" xfId="13" applyFont="1"/>
    <xf numFmtId="2" fontId="17" fillId="0" borderId="0" xfId="13" applyNumberFormat="1" applyFont="1"/>
    <xf numFmtId="0" fontId="17" fillId="0" borderId="49" xfId="13" applyFont="1" applyBorder="1"/>
    <xf numFmtId="0" fontId="17" fillId="0" borderId="50" xfId="13" applyFont="1" applyBorder="1"/>
    <xf numFmtId="0" fontId="17" fillId="0" borderId="33" xfId="13" applyFont="1" applyBorder="1"/>
    <xf numFmtId="0" fontId="17" fillId="0" borderId="51" xfId="13" applyFont="1" applyBorder="1"/>
    <xf numFmtId="0" fontId="67" fillId="2" borderId="0" xfId="0" applyFont="1" applyFill="1" applyAlignment="1">
      <alignment horizontal="left"/>
    </xf>
    <xf numFmtId="0" fontId="83" fillId="2" borderId="0" xfId="0" applyFont="1" applyFill="1"/>
    <xf numFmtId="0" fontId="84" fillId="2" borderId="0" xfId="0" applyFont="1" applyFill="1"/>
    <xf numFmtId="0" fontId="85" fillId="2" borderId="0" xfId="0" applyFont="1" applyFill="1" applyAlignment="1">
      <alignment horizontal="left"/>
    </xf>
    <xf numFmtId="0" fontId="18" fillId="0" borderId="0" xfId="0" applyFont="1" applyAlignment="1">
      <alignment horizontal="left" vertical="top" wrapText="1"/>
    </xf>
    <xf numFmtId="0" fontId="18" fillId="0" borderId="0" xfId="0" applyFont="1" applyAlignment="1">
      <alignment wrapText="1"/>
    </xf>
    <xf numFmtId="0" fontId="33" fillId="0" borderId="0" xfId="0" applyFont="1" applyAlignment="1">
      <alignment horizontal="center" vertical="center" wrapText="1"/>
    </xf>
    <xf numFmtId="0" fontId="30" fillId="0" borderId="0" xfId="0" applyFont="1" applyAlignment="1">
      <alignment horizontal="left" vertical="top" wrapText="1"/>
    </xf>
    <xf numFmtId="3" fontId="30" fillId="0" borderId="0" xfId="0" applyNumberFormat="1" applyFont="1" applyAlignment="1">
      <alignment horizontal="left" vertical="top" wrapText="1"/>
    </xf>
    <xf numFmtId="14" fontId="30" fillId="0" borderId="0" xfId="0" applyNumberFormat="1" applyFont="1" applyAlignment="1">
      <alignment horizontal="left" vertical="top" wrapText="1"/>
    </xf>
    <xf numFmtId="3" fontId="30" fillId="0" borderId="15" xfId="0" applyNumberFormat="1" applyFont="1" applyBorder="1" applyAlignment="1">
      <alignment horizontal="left" vertical="top" wrapText="1"/>
    </xf>
    <xf numFmtId="0" fontId="47" fillId="0" borderId="0" xfId="19" applyFont="1" applyFill="1" applyBorder="1" applyAlignment="1">
      <alignment horizontal="left" vertical="top" wrapText="1"/>
    </xf>
    <xf numFmtId="3" fontId="30" fillId="0" borderId="17" xfId="0" applyNumberFormat="1" applyFont="1" applyBorder="1" applyAlignment="1">
      <alignment horizontal="left" vertical="top" wrapText="1"/>
    </xf>
    <xf numFmtId="14" fontId="30" fillId="0" borderId="17" xfId="0" applyNumberFormat="1" applyFont="1" applyBorder="1" applyAlignment="1">
      <alignment horizontal="left" vertical="top" wrapText="1"/>
    </xf>
    <xf numFmtId="0" fontId="55" fillId="6" borderId="12" xfId="0" applyFont="1" applyFill="1" applyBorder="1" applyAlignment="1">
      <alignment horizontal="center" vertical="center"/>
    </xf>
    <xf numFmtId="0" fontId="55" fillId="6" borderId="0" xfId="0" applyFont="1" applyFill="1" applyAlignment="1">
      <alignment horizontal="center" vertical="center"/>
    </xf>
    <xf numFmtId="0" fontId="47" fillId="0" borderId="0" xfId="19" applyFont="1" applyFill="1" applyAlignment="1">
      <alignment horizontal="left" vertical="top"/>
    </xf>
    <xf numFmtId="0" fontId="47" fillId="0" borderId="0" xfId="19" applyFont="1" applyFill="1" applyBorder="1" applyAlignment="1"/>
    <xf numFmtId="0" fontId="47" fillId="0" borderId="0" xfId="19" applyFont="1" applyFill="1"/>
    <xf numFmtId="0" fontId="54" fillId="0" borderId="0" xfId="7" applyFont="1" applyFill="1" applyBorder="1" applyAlignment="1">
      <alignment horizontal="left" vertical="top"/>
    </xf>
    <xf numFmtId="0" fontId="54" fillId="0" borderId="0" xfId="7" applyFont="1" applyFill="1"/>
    <xf numFmtId="0" fontId="47" fillId="0" borderId="0" xfId="19" applyFont="1" applyFill="1" applyAlignment="1">
      <alignment horizontal="left" vertical="center"/>
    </xf>
    <xf numFmtId="4" fontId="47" fillId="0" borderId="0" xfId="19" applyNumberFormat="1" applyFont="1" applyFill="1" applyAlignment="1">
      <alignment horizontal="left" vertical="top"/>
    </xf>
    <xf numFmtId="3" fontId="47" fillId="0" borderId="0" xfId="19" applyNumberFormat="1" applyFont="1" applyFill="1" applyAlignment="1">
      <alignment horizontal="left" vertical="center"/>
    </xf>
    <xf numFmtId="0" fontId="54" fillId="0" borderId="0" xfId="7" applyFont="1" applyFill="1" applyAlignment="1">
      <alignment horizontal="left" vertical="top"/>
    </xf>
    <xf numFmtId="3" fontId="54" fillId="0" borderId="0" xfId="7" applyNumberFormat="1" applyFont="1" applyFill="1" applyAlignment="1">
      <alignment horizontal="left" vertical="center"/>
    </xf>
    <xf numFmtId="0" fontId="47" fillId="0" borderId="0" xfId="19" applyFont="1" applyFill="1" applyAlignment="1">
      <alignment vertical="top"/>
    </xf>
    <xf numFmtId="3" fontId="47" fillId="0" borderId="0" xfId="19" applyNumberFormat="1" applyFont="1" applyFill="1" applyAlignment="1">
      <alignment vertical="top"/>
    </xf>
    <xf numFmtId="0" fontId="47" fillId="0" borderId="0" xfId="19" applyFont="1" applyFill="1" applyAlignment="1">
      <alignment vertical="top" wrapText="1"/>
    </xf>
    <xf numFmtId="164" fontId="30" fillId="0" borderId="1" xfId="0" applyNumberFormat="1" applyFont="1" applyBorder="1"/>
    <xf numFmtId="0" fontId="53" fillId="0" borderId="17" xfId="19" applyFont="1" applyFill="1" applyBorder="1"/>
    <xf numFmtId="0" fontId="53" fillId="0" borderId="17" xfId="19" applyFont="1" applyFill="1" applyBorder="1" applyAlignment="1"/>
    <xf numFmtId="4" fontId="53" fillId="0" borderId="17" xfId="19" applyNumberFormat="1" applyFont="1" applyFill="1" applyBorder="1" applyAlignment="1">
      <alignment horizontal="left" vertical="top" wrapText="1"/>
    </xf>
    <xf numFmtId="0" fontId="53" fillId="0" borderId="0" xfId="19" applyFont="1" applyFill="1" applyBorder="1"/>
    <xf numFmtId="0" fontId="53" fillId="0" borderId="0" xfId="19" applyFont="1" applyFill="1"/>
    <xf numFmtId="0" fontId="53" fillId="0" borderId="7" xfId="19" applyFont="1" applyFill="1" applyBorder="1" applyAlignment="1"/>
    <xf numFmtId="0" fontId="53" fillId="0" borderId="7" xfId="19" applyFont="1" applyFill="1" applyBorder="1"/>
    <xf numFmtId="0" fontId="18" fillId="0" borderId="0" xfId="0" applyFont="1" applyAlignment="1">
      <alignment horizontal="left" vertical="top" wrapText="1"/>
    </xf>
    <xf numFmtId="0" fontId="18" fillId="0" borderId="0" xfId="0" applyFont="1" applyAlignment="1">
      <alignment wrapText="1"/>
    </xf>
    <xf numFmtId="0" fontId="34" fillId="0" borderId="0" xfId="0" applyFont="1" applyAlignment="1">
      <alignment horizontal="center" vertical="center" wrapText="1"/>
    </xf>
    <xf numFmtId="0" fontId="33" fillId="0" borderId="0" xfId="0" applyFont="1" applyAlignment="1">
      <alignment horizontal="center" vertical="center" wrapText="1"/>
    </xf>
    <xf numFmtId="0" fontId="35" fillId="0" borderId="0" xfId="0" applyFont="1" applyAlignment="1">
      <alignment horizontal="center" vertical="center" wrapText="1"/>
    </xf>
    <xf numFmtId="0" fontId="16" fillId="0" borderId="0" xfId="0" applyFont="1" applyAlignment="1">
      <alignment horizontal="left" vertical="top" wrapText="1"/>
    </xf>
    <xf numFmtId="0" fontId="41" fillId="0" borderId="0" xfId="0" applyFont="1" applyAlignment="1">
      <alignment wrapText="1"/>
    </xf>
    <xf numFmtId="0" fontId="30" fillId="12" borderId="0" xfId="0" applyFont="1" applyFill="1" applyAlignment="1">
      <alignment horizontal="left" vertical="top" wrapText="1"/>
    </xf>
    <xf numFmtId="0" fontId="17" fillId="12" borderId="0" xfId="0" applyFont="1" applyFill="1" applyAlignment="1">
      <alignment horizontal="left" vertical="top" wrapText="1"/>
    </xf>
    <xf numFmtId="0" fontId="37" fillId="2" borderId="0" xfId="0" applyFont="1" applyFill="1" applyAlignment="1">
      <alignment horizontal="left"/>
    </xf>
    <xf numFmtId="0" fontId="30" fillId="0" borderId="0" xfId="0" applyFont="1" applyAlignment="1">
      <alignment horizontal="left" vertical="top" wrapText="1"/>
    </xf>
    <xf numFmtId="0" fontId="30" fillId="0" borderId="20" xfId="0" applyFont="1" applyBorder="1" applyAlignment="1">
      <alignment horizontal="left" vertical="top" wrapText="1"/>
    </xf>
    <xf numFmtId="14" fontId="30" fillId="0" borderId="19" xfId="0" applyNumberFormat="1" applyFont="1" applyBorder="1" applyAlignment="1">
      <alignment horizontal="left" vertical="top" wrapText="1"/>
    </xf>
    <xf numFmtId="14" fontId="30" fillId="0" borderId="18" xfId="0" applyNumberFormat="1" applyFont="1" applyBorder="1" applyAlignment="1">
      <alignment horizontal="left" vertical="top" wrapText="1"/>
    </xf>
    <xf numFmtId="14" fontId="30" fillId="0" borderId="17" xfId="0" applyNumberFormat="1" applyFont="1" applyBorder="1" applyAlignment="1">
      <alignment horizontal="left" vertical="top" wrapText="1"/>
    </xf>
    <xf numFmtId="0" fontId="47" fillId="0" borderId="0" xfId="19" applyFont="1" applyFill="1" applyBorder="1" applyAlignment="1">
      <alignment horizontal="left" vertical="top" wrapText="1"/>
    </xf>
    <xf numFmtId="0" fontId="47" fillId="0" borderId="20" xfId="19" applyFont="1" applyFill="1" applyBorder="1" applyAlignment="1">
      <alignment horizontal="left" vertical="top" wrapText="1"/>
    </xf>
    <xf numFmtId="3" fontId="30" fillId="0" borderId="13" xfId="0" applyNumberFormat="1" applyFont="1" applyBorder="1" applyAlignment="1">
      <alignment horizontal="left" vertical="top" wrapText="1"/>
    </xf>
    <xf numFmtId="3" fontId="30" fillId="0" borderId="14" xfId="0" applyNumberFormat="1" applyFont="1" applyBorder="1" applyAlignment="1">
      <alignment horizontal="left" vertical="top" wrapText="1"/>
    </xf>
    <xf numFmtId="3" fontId="30" fillId="0" borderId="15" xfId="0" applyNumberFormat="1" applyFont="1" applyBorder="1" applyAlignment="1">
      <alignment horizontal="left" vertical="top" wrapText="1"/>
    </xf>
    <xf numFmtId="0" fontId="30" fillId="0" borderId="21" xfId="0" applyFont="1" applyBorder="1" applyAlignment="1">
      <alignment horizontal="left" vertical="top" wrapText="1"/>
    </xf>
    <xf numFmtId="0" fontId="30" fillId="0" borderId="22" xfId="0" applyFont="1" applyBorder="1" applyAlignment="1">
      <alignment horizontal="left" vertical="top" wrapText="1"/>
    </xf>
    <xf numFmtId="14" fontId="30" fillId="0" borderId="0" xfId="0" applyNumberFormat="1" applyFont="1" applyAlignment="1">
      <alignment horizontal="left" vertical="top" wrapText="1"/>
    </xf>
    <xf numFmtId="14" fontId="30" fillId="0" borderId="20" xfId="0" applyNumberFormat="1" applyFont="1" applyBorder="1" applyAlignment="1">
      <alignment horizontal="left" vertical="top" wrapText="1"/>
    </xf>
    <xf numFmtId="3" fontId="30" fillId="0" borderId="18" xfId="0" applyNumberFormat="1" applyFont="1" applyBorder="1" applyAlignment="1">
      <alignment horizontal="left" vertical="top" wrapText="1"/>
    </xf>
    <xf numFmtId="3" fontId="30" fillId="0" borderId="17" xfId="0" applyNumberFormat="1" applyFont="1" applyBorder="1" applyAlignment="1">
      <alignment horizontal="left" vertical="top" wrapText="1"/>
    </xf>
    <xf numFmtId="3" fontId="30" fillId="0" borderId="0" xfId="0" applyNumberFormat="1" applyFont="1" applyAlignment="1">
      <alignment horizontal="left" vertical="top" wrapText="1"/>
    </xf>
    <xf numFmtId="3" fontId="30" fillId="0" borderId="20" xfId="0" applyNumberFormat="1" applyFont="1" applyBorder="1" applyAlignment="1">
      <alignment horizontal="left" vertical="top" wrapText="1"/>
    </xf>
    <xf numFmtId="0" fontId="30" fillId="0" borderId="9" xfId="0" applyFont="1" applyBorder="1" applyAlignment="1">
      <alignment horizontal="left" vertical="top" wrapText="1"/>
    </xf>
    <xf numFmtId="3" fontId="30" fillId="0" borderId="13" xfId="0" applyNumberFormat="1" applyFont="1" applyBorder="1" applyAlignment="1">
      <alignment horizontal="center" vertical="top" wrapText="1"/>
    </xf>
    <xf numFmtId="3" fontId="30" fillId="0" borderId="14" xfId="0" applyNumberFormat="1" applyFont="1" applyBorder="1" applyAlignment="1">
      <alignment horizontal="center" vertical="top" wrapText="1"/>
    </xf>
    <xf numFmtId="3" fontId="30" fillId="0" borderId="15" xfId="0" applyNumberFormat="1" applyFont="1" applyBorder="1" applyAlignment="1">
      <alignment horizontal="center" vertical="top" wrapText="1"/>
    </xf>
    <xf numFmtId="0" fontId="30" fillId="0" borderId="48" xfId="0" applyFont="1" applyBorder="1" applyAlignment="1">
      <alignment horizontal="left" vertical="top" wrapText="1"/>
    </xf>
    <xf numFmtId="0" fontId="47" fillId="0" borderId="0" xfId="19" applyFont="1" applyFill="1" applyAlignment="1">
      <alignment horizontal="left" vertical="top" wrapText="1"/>
    </xf>
    <xf numFmtId="3" fontId="30" fillId="0" borderId="48" xfId="0" applyNumberFormat="1" applyFont="1" applyBorder="1" applyAlignment="1">
      <alignment horizontal="left" vertical="top" wrapText="1"/>
    </xf>
    <xf numFmtId="0" fontId="17" fillId="0" borderId="0" xfId="0" applyFont="1" applyAlignment="1">
      <alignment horizontal="left" vertical="top" wrapText="1"/>
    </xf>
    <xf numFmtId="0" fontId="20" fillId="6" borderId="12" xfId="1" applyFont="1" applyFill="1" applyBorder="1" applyAlignment="1">
      <alignment horizontal="left" vertical="center"/>
    </xf>
    <xf numFmtId="0" fontId="20" fillId="6" borderId="0" xfId="1" applyFont="1" applyFill="1" applyAlignment="1">
      <alignment horizontal="left" vertical="center"/>
    </xf>
    <xf numFmtId="0" fontId="20" fillId="6" borderId="12" xfId="1" applyFont="1" applyFill="1" applyBorder="1" applyAlignment="1">
      <alignment horizontal="center" vertical="center"/>
    </xf>
    <xf numFmtId="0" fontId="20" fillId="6" borderId="0" xfId="1" applyFont="1" applyFill="1" applyAlignment="1">
      <alignment horizontal="center" vertical="center"/>
    </xf>
    <xf numFmtId="0" fontId="55" fillId="6" borderId="12" xfId="0" applyFont="1" applyFill="1" applyBorder="1" applyAlignment="1">
      <alignment horizontal="center" vertical="center"/>
    </xf>
    <xf numFmtId="0" fontId="55" fillId="6" borderId="0" xfId="0" applyFont="1" applyFill="1" applyAlignment="1">
      <alignment horizontal="center" vertical="center"/>
    </xf>
    <xf numFmtId="0" fontId="38" fillId="2" borderId="0" xfId="1" applyFont="1" applyFill="1" applyAlignment="1">
      <alignment horizontal="left" vertical="center" wrapText="1"/>
    </xf>
    <xf numFmtId="0" fontId="17" fillId="2" borderId="0" xfId="15" applyFont="1" applyFill="1" applyAlignment="1">
      <alignment horizontal="left" vertical="top" wrapText="1"/>
    </xf>
    <xf numFmtId="0" fontId="49" fillId="0" borderId="0" xfId="1" applyFont="1" applyAlignment="1">
      <alignment horizontal="left" vertical="top" wrapText="1"/>
    </xf>
    <xf numFmtId="0" fontId="17" fillId="3" borderId="0" xfId="2" applyFont="1" applyFill="1" applyAlignment="1">
      <alignment horizontal="left" vertical="top" wrapText="1"/>
    </xf>
    <xf numFmtId="0" fontId="49" fillId="0" borderId="0" xfId="0" applyFont="1" applyAlignment="1">
      <alignment horizontal="left" vertical="center" wrapText="1"/>
    </xf>
    <xf numFmtId="0" fontId="33" fillId="0" borderId="0" xfId="0" applyFont="1" applyAlignment="1">
      <alignment horizontal="left" vertical="top" wrapText="1"/>
    </xf>
    <xf numFmtId="0" fontId="57" fillId="0" borderId="0" xfId="0" applyFont="1" applyAlignment="1">
      <alignment horizontal="left" vertical="center"/>
    </xf>
    <xf numFmtId="0" fontId="57" fillId="0" borderId="0" xfId="0" applyFont="1" applyAlignment="1">
      <alignment horizontal="left" vertical="center" wrapText="1"/>
    </xf>
    <xf numFmtId="0" fontId="39" fillId="2" borderId="12" xfId="0" applyFont="1" applyFill="1" applyBorder="1" applyAlignment="1">
      <alignment horizontal="center" vertical="center"/>
    </xf>
    <xf numFmtId="0" fontId="39" fillId="2" borderId="0" xfId="0" applyFont="1" applyFill="1" applyAlignment="1">
      <alignment horizontal="center" vertical="center"/>
    </xf>
    <xf numFmtId="0" fontId="39" fillId="2" borderId="6" xfId="0" applyFont="1" applyFill="1" applyBorder="1" applyAlignment="1">
      <alignment horizontal="center" vertical="center"/>
    </xf>
    <xf numFmtId="0" fontId="39" fillId="2" borderId="12"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6" xfId="0" applyFont="1" applyFill="1" applyBorder="1" applyAlignment="1">
      <alignment horizontal="center" vertical="center" wrapText="1"/>
    </xf>
    <xf numFmtId="0" fontId="24" fillId="2" borderId="12" xfId="9" applyFont="1" applyFill="1" applyBorder="1" applyAlignment="1">
      <alignment horizontal="center" vertical="center"/>
    </xf>
    <xf numFmtId="0" fontId="24" fillId="2" borderId="0" xfId="9" applyFont="1" applyFill="1" applyAlignment="1">
      <alignment horizontal="center" vertical="center"/>
    </xf>
    <xf numFmtId="0" fontId="24" fillId="2" borderId="6" xfId="9" applyFont="1" applyFill="1" applyBorder="1" applyAlignment="1">
      <alignment horizontal="center" vertical="center"/>
    </xf>
    <xf numFmtId="0" fontId="38" fillId="2" borderId="0" xfId="8" applyFont="1" applyFill="1" applyAlignment="1">
      <alignment horizontal="left" wrapText="1"/>
    </xf>
    <xf numFmtId="0" fontId="20" fillId="2" borderId="0" xfId="2" applyFont="1" applyFill="1" applyAlignment="1">
      <alignment horizontal="left" wrapText="1"/>
    </xf>
  </cellXfs>
  <cellStyles count="21">
    <cellStyle name="Comma" xfId="11" builtinId="3"/>
    <cellStyle name="Comma 2" xfId="10" xr:uid="{00000000-0005-0000-0000-000000000000}"/>
    <cellStyle name="Hyperlink" xfId="19" xr:uid="{00000000-0005-0000-0000-000001000000}"/>
    <cellStyle name="Hyperlink 2" xfId="7" xr:uid="{00000000-0005-0000-0000-000002000000}"/>
    <cellStyle name="Normal" xfId="0" builtinId="0"/>
    <cellStyle name="Normal 2" xfId="2" xr:uid="{00000000-0005-0000-0000-000004000000}"/>
    <cellStyle name="Normal 2 2" xfId="4" xr:uid="{00000000-0005-0000-0000-000005000000}"/>
    <cellStyle name="Normal 2 2 2" xfId="15" xr:uid="{00000000-0005-0000-0000-000006000000}"/>
    <cellStyle name="Normal 2 2 2 2" xfId="17" xr:uid="{2AB30F01-1281-4EFC-879E-124FDA4A71DD}"/>
    <cellStyle name="Normal 2 2 3" xfId="16" xr:uid="{00000000-0005-0000-0000-000007000000}"/>
    <cellStyle name="Normal 2 3" xfId="8" xr:uid="{00000000-0005-0000-0000-000008000000}"/>
    <cellStyle name="Normal 2 4" xfId="18" xr:uid="{53A64F2C-8DC0-468A-A45A-7DF2F61A491B}"/>
    <cellStyle name="Normal 2 5" xfId="20" xr:uid="{EE2D807D-45FE-4807-B89A-6824412C9EBF}"/>
    <cellStyle name="Normal 3" xfId="5" xr:uid="{00000000-0005-0000-0000-000009000000}"/>
    <cellStyle name="Normal 4" xfId="6" xr:uid="{00000000-0005-0000-0000-00000A000000}"/>
    <cellStyle name="Normal 5" xfId="9" xr:uid="{00000000-0005-0000-0000-00000B000000}"/>
    <cellStyle name="Normal 6" xfId="12" xr:uid="{00000000-0005-0000-0000-00000C000000}"/>
    <cellStyle name="Normal 7" xfId="13" xr:uid="{00000000-0005-0000-0000-00000D000000}"/>
    <cellStyle name="Percent" xfId="14" builtinId="5"/>
    <cellStyle name="Standard 2 2" xfId="1" xr:uid="{00000000-0005-0000-0000-000010000000}"/>
    <cellStyle name="Standard 2 2 2" xfId="3" xr:uid="{00000000-0005-0000-0000-000011000000}"/>
  </cellStyles>
  <dxfs count="0"/>
  <tableStyles count="0" defaultTableStyle="TableStyleMedium2" defaultPivotStyle="PivotStyleLight16"/>
  <colors>
    <mruColors>
      <color rgb="FFFF9966"/>
      <color rgb="FFF4B9A4"/>
      <color rgb="FFC65911"/>
      <color rgb="FF8EA9DB"/>
      <color rgb="FFC55A11"/>
      <color rgb="FF2E75B6"/>
      <color rgb="FF00F2FF"/>
      <color rgb="FFFFFD78"/>
      <color rgb="FFBF9000"/>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'Data transparency index'!$C$26</c:f>
              <c:extLst xmlns:c15="http://schemas.microsoft.com/office/drawing/2012/chart"/>
            </c:strRef>
          </c:tx>
          <c:spPr>
            <a:solidFill>
              <a:schemeClr val="accent2"/>
            </a:solidFill>
            <a:ln>
              <a:noFill/>
            </a:ln>
            <a:effectLst/>
          </c:spPr>
          <c:invertIfNegative val="0"/>
          <c:cat>
            <c:strRef>
              <c:f>'Data transparency index'!$B$27:$B$67</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index'!$C$27:$C$67</c:f>
            </c:numRef>
          </c:val>
          <c:extLst xmlns:c15="http://schemas.microsoft.com/office/drawing/2012/chart">
            <c:ext xmlns:c16="http://schemas.microsoft.com/office/drawing/2014/chart" uri="{C3380CC4-5D6E-409C-BE32-E72D297353CC}">
              <c16:uniqueId val="{00000000-D3AB-4670-9B81-3D2A9CC91224}"/>
            </c:ext>
          </c:extLst>
        </c:ser>
        <c:ser>
          <c:idx val="1"/>
          <c:order val="1"/>
          <c:tx>
            <c:strRef>
              <c:f>'Data transparency index'!$D$26</c:f>
              <c:extLst xmlns:c15="http://schemas.microsoft.com/office/drawing/2012/chart"/>
            </c:strRef>
          </c:tx>
          <c:spPr>
            <a:solidFill>
              <a:schemeClr val="accent4"/>
            </a:solidFill>
            <a:ln>
              <a:noFill/>
            </a:ln>
            <a:effectLst/>
          </c:spPr>
          <c:invertIfNegative val="0"/>
          <c:cat>
            <c:strRef>
              <c:f>'Data transparency index'!$B$27:$B$67</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index'!$D$27:$D$67</c:f>
            </c:numRef>
          </c:val>
          <c:extLst xmlns:c15="http://schemas.microsoft.com/office/drawing/2012/chart">
            <c:ext xmlns:c16="http://schemas.microsoft.com/office/drawing/2014/chart" uri="{C3380CC4-5D6E-409C-BE32-E72D297353CC}">
              <c16:uniqueId val="{00000001-D3AB-4670-9B81-3D2A9CC91224}"/>
            </c:ext>
          </c:extLst>
        </c:ser>
        <c:ser>
          <c:idx val="2"/>
          <c:order val="2"/>
          <c:tx>
            <c:strRef>
              <c:f>'Data transparency index'!$E$26</c:f>
              <c:extLst xmlns:c15="http://schemas.microsoft.com/office/drawing/2012/chart"/>
            </c:strRef>
          </c:tx>
          <c:spPr>
            <a:solidFill>
              <a:schemeClr val="accent6"/>
            </a:solidFill>
            <a:ln>
              <a:noFill/>
            </a:ln>
            <a:effectLst/>
          </c:spPr>
          <c:invertIfNegative val="0"/>
          <c:cat>
            <c:strRef>
              <c:f>'Data transparency index'!$B$27:$B$67</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index'!$E$27:$E$67</c:f>
            </c:numRef>
          </c:val>
          <c:extLst xmlns:c15="http://schemas.microsoft.com/office/drawing/2012/chart">
            <c:ext xmlns:c16="http://schemas.microsoft.com/office/drawing/2014/chart" uri="{C3380CC4-5D6E-409C-BE32-E72D297353CC}">
              <c16:uniqueId val="{00000002-D3AB-4670-9B81-3D2A9CC91224}"/>
            </c:ext>
          </c:extLst>
        </c:ser>
        <c:ser>
          <c:idx val="3"/>
          <c:order val="3"/>
          <c:tx>
            <c:strRef>
              <c:f>'Data transparency index'!$F$26</c:f>
              <c:extLst xmlns:c15="http://schemas.microsoft.com/office/drawing/2012/chart"/>
            </c:strRef>
          </c:tx>
          <c:spPr>
            <a:solidFill>
              <a:schemeClr val="accent2">
                <a:lumMod val="60000"/>
              </a:schemeClr>
            </a:solidFill>
            <a:ln>
              <a:noFill/>
            </a:ln>
            <a:effectLst/>
          </c:spPr>
          <c:invertIfNegative val="0"/>
          <c:cat>
            <c:strRef>
              <c:f>'Data transparency index'!$B$27:$B$67</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index'!$F$27:$F$67</c:f>
            </c:numRef>
          </c:val>
          <c:extLst xmlns:c15="http://schemas.microsoft.com/office/drawing/2012/chart">
            <c:ext xmlns:c16="http://schemas.microsoft.com/office/drawing/2014/chart" uri="{C3380CC4-5D6E-409C-BE32-E72D297353CC}">
              <c16:uniqueId val="{00000003-D3AB-4670-9B81-3D2A9CC91224}"/>
            </c:ext>
          </c:extLst>
        </c:ser>
        <c:ser>
          <c:idx val="4"/>
          <c:order val="4"/>
          <c:tx>
            <c:strRef>
              <c:f>'Data transparency index'!$G$26</c:f>
              <c:extLst xmlns:c15="http://schemas.microsoft.com/office/drawing/2012/chart"/>
            </c:strRef>
          </c:tx>
          <c:spPr>
            <a:solidFill>
              <a:schemeClr val="accent4">
                <a:lumMod val="60000"/>
              </a:schemeClr>
            </a:solidFill>
            <a:ln>
              <a:noFill/>
            </a:ln>
            <a:effectLst/>
          </c:spPr>
          <c:invertIfNegative val="0"/>
          <c:cat>
            <c:strRef>
              <c:f>'Data transparency index'!$B$27:$B$67</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index'!$G$27:$G$67</c:f>
            </c:numRef>
          </c:val>
          <c:extLst xmlns:c15="http://schemas.microsoft.com/office/drawing/2012/chart">
            <c:ext xmlns:c16="http://schemas.microsoft.com/office/drawing/2014/chart" uri="{C3380CC4-5D6E-409C-BE32-E72D297353CC}">
              <c16:uniqueId val="{00000004-D3AB-4670-9B81-3D2A9CC91224}"/>
            </c:ext>
          </c:extLst>
        </c:ser>
        <c:ser>
          <c:idx val="5"/>
          <c:order val="5"/>
          <c:tx>
            <c:strRef>
              <c:f>'Data transparency index'!$H$26</c:f>
              <c:strCache>
                <c:ptCount val="1"/>
                <c:pt idx="0">
                  <c:v>Total index score</c:v>
                </c:pt>
              </c:strCache>
            </c:strRef>
          </c:tx>
          <c:spPr>
            <a:solidFill>
              <a:schemeClr val="accent2"/>
            </a:solidFill>
            <a:ln>
              <a:solidFill>
                <a:schemeClr val="tx1"/>
              </a:solidFill>
            </a:ln>
            <a:effectLst/>
          </c:spPr>
          <c:invertIfNegative val="0"/>
          <c:cat>
            <c:strRef>
              <c:f>'Data transparency index'!$B$27:$B$67</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index'!$H$27:$H$67</c:f>
              <c:numCache>
                <c:formatCode>0.00</c:formatCode>
                <c:ptCount val="41"/>
                <c:pt idx="0">
                  <c:v>5</c:v>
                </c:pt>
                <c:pt idx="1">
                  <c:v>4.6749999999999998</c:v>
                </c:pt>
                <c:pt idx="2">
                  <c:v>4.5881006864988558</c:v>
                </c:pt>
                <c:pt idx="3">
                  <c:v>4.583333333333333</c:v>
                </c:pt>
                <c:pt idx="4">
                  <c:v>4.4285714285714288</c:v>
                </c:pt>
                <c:pt idx="5">
                  <c:v>4.4173913043478263</c:v>
                </c:pt>
                <c:pt idx="6">
                  <c:v>4.4155844155844157</c:v>
                </c:pt>
                <c:pt idx="7">
                  <c:v>4.2948717948717947</c:v>
                </c:pt>
                <c:pt idx="8">
                  <c:v>4.0909090909090908</c:v>
                </c:pt>
                <c:pt idx="9">
                  <c:v>4.0111801242236025</c:v>
                </c:pt>
                <c:pt idx="10">
                  <c:v>4</c:v>
                </c:pt>
                <c:pt idx="11">
                  <c:v>3.9940609801720917</c:v>
                </c:pt>
                <c:pt idx="12">
                  <c:v>3.8283633841886271</c:v>
                </c:pt>
                <c:pt idx="13">
                  <c:v>3.8</c:v>
                </c:pt>
                <c:pt idx="14">
                  <c:v>3.6944444444444442</c:v>
                </c:pt>
                <c:pt idx="15">
                  <c:v>3.5475543478260869</c:v>
                </c:pt>
                <c:pt idx="16">
                  <c:v>3.3043478260869565</c:v>
                </c:pt>
                <c:pt idx="17">
                  <c:v>3.3026315789473686</c:v>
                </c:pt>
                <c:pt idx="18">
                  <c:v>3.1806921675774138</c:v>
                </c:pt>
                <c:pt idx="19">
                  <c:v>2.8333333333333335</c:v>
                </c:pt>
                <c:pt idx="20">
                  <c:v>2.8</c:v>
                </c:pt>
                <c:pt idx="21">
                  <c:v>2.8</c:v>
                </c:pt>
                <c:pt idx="22">
                  <c:v>2.8</c:v>
                </c:pt>
                <c:pt idx="23">
                  <c:v>2.666666666666667</c:v>
                </c:pt>
                <c:pt idx="24">
                  <c:v>2.25</c:v>
                </c:pt>
                <c:pt idx="25">
                  <c:v>2.2333333333333334</c:v>
                </c:pt>
                <c:pt idx="26">
                  <c:v>2.2199999999999998</c:v>
                </c:pt>
                <c:pt idx="27">
                  <c:v>2.1111111111111112</c:v>
                </c:pt>
                <c:pt idx="28">
                  <c:v>2.1111111111111112</c:v>
                </c:pt>
                <c:pt idx="29">
                  <c:v>2.0714285714285712</c:v>
                </c:pt>
                <c:pt idx="30">
                  <c:v>2.0574712643678161</c:v>
                </c:pt>
                <c:pt idx="31">
                  <c:v>2</c:v>
                </c:pt>
                <c:pt idx="32">
                  <c:v>2</c:v>
                </c:pt>
                <c:pt idx="33">
                  <c:v>2</c:v>
                </c:pt>
                <c:pt idx="34">
                  <c:v>1.7777777777777777</c:v>
                </c:pt>
                <c:pt idx="35">
                  <c:v>1.7000000000000002</c:v>
                </c:pt>
                <c:pt idx="36">
                  <c:v>1.6909090909090909</c:v>
                </c:pt>
                <c:pt idx="37">
                  <c:v>1.5333333333333332</c:v>
                </c:pt>
                <c:pt idx="38">
                  <c:v>1.378021978021978</c:v>
                </c:pt>
                <c:pt idx="39">
                  <c:v>1.3333333333333333</c:v>
                </c:pt>
                <c:pt idx="40">
                  <c:v>1.2740384615384617</c:v>
                </c:pt>
              </c:numCache>
            </c:numRef>
          </c:val>
          <c:extLst>
            <c:ext xmlns:c16="http://schemas.microsoft.com/office/drawing/2014/chart" uri="{C3380CC4-5D6E-409C-BE32-E72D297353CC}">
              <c16:uniqueId val="{00000005-D3AB-4670-9B81-3D2A9CC91224}"/>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inorUnit val="0.5"/>
      </c:valAx>
      <c:spPr>
        <a:noFill/>
        <a:ln>
          <a:noFill/>
        </a:ln>
        <a:effectLst/>
      </c:spPr>
    </c:plotArea>
    <c:legend>
      <c:legendPos val="r"/>
      <c:layout>
        <c:manualLayout>
          <c:xMode val="edge"/>
          <c:yMode val="edge"/>
          <c:x val="0.69656660502182999"/>
          <c:y val="0.63466649028257882"/>
          <c:w val="0.18643238451125813"/>
          <c:h val="4.4635603895020783E-2"/>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80743113720577"/>
          <c:y val="0.10302791298501268"/>
          <c:w val="0.7256359163665127"/>
          <c:h val="0.76919555578578591"/>
        </c:manualLayout>
      </c:layout>
      <c:barChart>
        <c:barDir val="bar"/>
        <c:grouping val="stacked"/>
        <c:varyColors val="0"/>
        <c:ser>
          <c:idx val="0"/>
          <c:order val="0"/>
          <c:tx>
            <c:strRef>
              <c:f>'[1]Figure military aid gap'!#REF!</c:f>
              <c:strCache>
                <c:ptCount val="1"/>
                <c:pt idx="0">
                  <c:v>#REF!</c:v>
                </c:pt>
              </c:strCache>
            </c:strRef>
          </c:tx>
          <c:spPr>
            <a:solidFill>
              <a:schemeClr val="accent1"/>
            </a:solidFill>
            <a:ln>
              <a:noFill/>
            </a:ln>
            <a:effectLst/>
          </c:spPr>
          <c:invertIfNegative val="0"/>
          <c:dLbls>
            <c:delete val="1"/>
          </c:dLbls>
          <c:cat>
            <c:strRef>
              <c:f>'Figure 8 Military gap'!$B$16:$C$18</c:f>
              <c:strCache>
                <c:ptCount val="6"/>
                <c:pt idx="0">
                  <c:v>MLRS</c:v>
                </c:pt>
                <c:pt idx="3">
                  <c:v>Delivered to Ukraine</c:v>
                </c:pt>
                <c:pt idx="4">
                  <c:v>Demanded by Ukraine</c:v>
                </c:pt>
                <c:pt idx="5">
                  <c:v>Russian stock (pre-war)</c:v>
                </c:pt>
              </c:strCache>
            </c:strRef>
          </c:cat>
          <c:val>
            <c:numRef>
              <c:f>'[1]Figure military aid gap'!#REF!</c:f>
              <c:numCache>
                <c:formatCode>General</c:formatCode>
                <c:ptCount val="1"/>
                <c:pt idx="0">
                  <c:v>1</c:v>
                </c:pt>
              </c:numCache>
            </c:numRef>
          </c:val>
          <c:extLst>
            <c:ext xmlns:c16="http://schemas.microsoft.com/office/drawing/2014/chart" uri="{C3380CC4-5D6E-409C-BE32-E72D297353CC}">
              <c16:uniqueId val="{00000000-60B7-4588-8E75-2BDE4F829414}"/>
            </c:ext>
          </c:extLst>
        </c:ser>
        <c:ser>
          <c:idx val="1"/>
          <c:order val="1"/>
          <c:tx>
            <c:strRef>
              <c:f>'Figure 8 Military gap'!$D$15</c:f>
              <c:strCache>
                <c:ptCount val="1"/>
                <c:pt idx="0">
                  <c:v>Ukraine needs (alternative source)</c:v>
                </c:pt>
              </c:strCache>
            </c:strRef>
          </c:tx>
          <c:spPr>
            <a:solidFill>
              <a:schemeClr val="accent4">
                <a:lumMod val="60000"/>
                <a:lumOff val="4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60CE-4959-A6B0-14A95C4FA34B}"/>
                </c:ext>
              </c:extLst>
            </c:dLbl>
            <c:dLbl>
              <c:idx val="1"/>
              <c:layout>
                <c:manualLayout>
                  <c:x val="0.41032994903763109"/>
                  <c:y val="0.11692580505960402"/>
                </c:manualLayout>
              </c:layout>
              <c:tx>
                <c:rich>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000" b="0" i="0" u="none" strike="noStrike" kern="1200" baseline="0">
                        <a:solidFill>
                          <a:sysClr val="windowText" lastClr="000000"/>
                        </a:solidFill>
                        <a:latin typeface="Times New Roman" panose="02020603050405020304" pitchFamily="18" charset="0"/>
                        <a:cs typeface="Times New Roman" panose="02020603050405020304" pitchFamily="18" charset="0"/>
                      </a:rPr>
                      <a:t>Lower-bound: 100 are needed (Reznikov)</a:t>
                    </a:r>
                    <a:br>
                      <a:rPr lang="en-US" sz="1000" b="0" i="0" u="none" strike="noStrike" kern="1200" baseline="0">
                        <a:solidFill>
                          <a:sysClr val="windowText" lastClr="000000"/>
                        </a:solidFill>
                        <a:latin typeface="Times New Roman" panose="02020603050405020304" pitchFamily="18" charset="0"/>
                        <a:cs typeface="Times New Roman" panose="02020603050405020304" pitchFamily="18" charset="0"/>
                      </a:rPr>
                    </a:br>
                    <a:r>
                      <a:rPr lang="en-US" sz="1000" b="0" i="0" u="none" strike="noStrike" kern="1200" baseline="0">
                        <a:solidFill>
                          <a:sysClr val="windowText" lastClr="000000"/>
                        </a:solidFill>
                        <a:latin typeface="Times New Roman" panose="02020603050405020304" pitchFamily="18" charset="0"/>
                        <a:cs typeface="Times New Roman" panose="02020603050405020304" pitchFamily="18" charset="0"/>
                      </a:rPr>
                      <a:t>Upper-bound: 300 are needed (Podolyak)</a:t>
                    </a:r>
                  </a:p>
                </c:rich>
              </c:tx>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8084603383983384"/>
                      <c:h val="0.45284025602554995"/>
                    </c:manualLayout>
                  </c15:layout>
                  <c15:showDataLabelsRange val="0"/>
                </c:ext>
                <c:ext xmlns:c16="http://schemas.microsoft.com/office/drawing/2014/chart" uri="{C3380CC4-5D6E-409C-BE32-E72D297353CC}">
                  <c16:uniqueId val="{00000001-60B7-4588-8E75-2BDE4F829414}"/>
                </c:ext>
              </c:extLst>
            </c:dLbl>
            <c:dLbl>
              <c:idx val="2"/>
              <c:delete val="1"/>
              <c:extLst>
                <c:ext xmlns:c15="http://schemas.microsoft.com/office/drawing/2012/chart" uri="{CE6537A1-D6FC-4f65-9D91-7224C49458BB}"/>
                <c:ext xmlns:c16="http://schemas.microsoft.com/office/drawing/2014/chart" uri="{C3380CC4-5D6E-409C-BE32-E72D297353CC}">
                  <c16:uniqueId val="{00000007-60CE-4959-A6B0-14A95C4FA34B}"/>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'Figure 8 Military gap'!$B$16:$C$18</c:f>
              <c:strCache>
                <c:ptCount val="6"/>
                <c:pt idx="0">
                  <c:v>MLRS</c:v>
                </c:pt>
                <c:pt idx="3">
                  <c:v>Delivered to Ukraine</c:v>
                </c:pt>
                <c:pt idx="4">
                  <c:v>Demanded by Ukraine</c:v>
                </c:pt>
                <c:pt idx="5">
                  <c:v>Russian stock (pre-war)</c:v>
                </c:pt>
              </c:strCache>
            </c:strRef>
          </c:cat>
          <c:val>
            <c:numRef>
              <c:f>'Figure 8 Military gap'!$D$16:$D$18</c:f>
              <c:numCache>
                <c:formatCode>#,##0</c:formatCode>
                <c:ptCount val="3"/>
                <c:pt idx="0">
                  <c:v>0</c:v>
                </c:pt>
                <c:pt idx="1">
                  <c:v>100</c:v>
                </c:pt>
                <c:pt idx="2">
                  <c:v>0</c:v>
                </c:pt>
              </c:numCache>
            </c:numRef>
          </c:val>
          <c:extLst>
            <c:ext xmlns:c16="http://schemas.microsoft.com/office/drawing/2014/chart" uri="{C3380CC4-5D6E-409C-BE32-E72D297353CC}">
              <c16:uniqueId val="{00000002-60B7-4588-8E75-2BDE4F829414}"/>
            </c:ext>
          </c:extLst>
        </c:ser>
        <c:ser>
          <c:idx val="2"/>
          <c:order val="2"/>
          <c:tx>
            <c:strRef>
              <c:f>'Figure 8 Military gap'!$E$15</c:f>
              <c:strCache>
                <c:ptCount val="1"/>
                <c:pt idx="0">
                  <c:v>Delivered</c:v>
                </c:pt>
              </c:strCache>
            </c:strRef>
          </c:tx>
          <c:spPr>
            <a:solidFill>
              <a:srgbClr val="A50021"/>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4-60B7-4588-8E75-2BDE4F829414}"/>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6-60B7-4588-8E75-2BDE4F829414}"/>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8-60B7-4588-8E75-2BDE4F829414}"/>
              </c:ext>
            </c:extLst>
          </c:dPt>
          <c:dLbls>
            <c:dLbl>
              <c:idx val="0"/>
              <c:layout>
                <c:manualLayout>
                  <c:x val="0.12156285223089699"/>
                  <c:y val="-6.1336799436023971E-2"/>
                </c:manualLayout>
              </c:layout>
              <c:tx>
                <c:rich>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61822888-4F68-4922-97E9-32DFF6D7124E}" type="CELLREF">
                      <a:rPr lang="en-US">
                        <a:solidFill>
                          <a:schemeClr val="tx1"/>
                        </a:solidFill>
                      </a:rPr>
                      <a:pPr>
                        <a:defRPr/>
                      </a:pPr>
                      <a:t>[]</a:t>
                    </a:fld>
                    <a:r>
                      <a:rPr lang="en-US" baseline="0">
                        <a:solidFill>
                          <a:schemeClr val="tx1"/>
                        </a:solidFill>
                      </a:rPr>
                      <a:t> delivered</a:t>
                    </a:r>
                  </a:p>
                </c:rich>
              </c:tx>
              <c:numFmt formatCode="#,##0_ ;\-#,##0\ " sourceLinked="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{61822888-4F68-4922-97E9-32DFF6D7124E}</c15:txfldGUID>
                      <c15:f>'Figure 8 Military gap'!$D$10</c15:f>
                      <c15:dlblFieldTableCache>
                        <c:ptCount val="1"/>
                        <c:pt idx="0">
                          <c:v>49</c:v>
                        </c:pt>
                      </c15:dlblFieldTableCache>
                    </c15:dlblFTEntry>
                  </c15:dlblFieldTable>
                  <c15:showDataLabelsRange val="0"/>
                </c:ext>
                <c:ext xmlns:c16="http://schemas.microsoft.com/office/drawing/2014/chart" uri="{C3380CC4-5D6E-409C-BE32-E72D297353CC}">
                  <c16:uniqueId val="{00000004-60B7-4588-8E75-2BDE4F82941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B7-4588-8E75-2BDE4F829414}"/>
                </c:ext>
              </c:extLst>
            </c:dLbl>
            <c:dLbl>
              <c:idx val="2"/>
              <c:layout>
                <c:manualLayout>
                  <c:x val="0.13015044704788895"/>
                  <c:y val="6.52271920652960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B7-4588-8E75-2BDE4F829414}"/>
                </c:ext>
              </c:extLst>
            </c:dLbl>
            <c:numFmt formatCode="#,##0_ ;\-#,##0\ "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8 Military gap'!$B$16:$C$18</c:f>
              <c:strCache>
                <c:ptCount val="6"/>
                <c:pt idx="0">
                  <c:v>MLRS</c:v>
                </c:pt>
                <c:pt idx="3">
                  <c:v>Delivered to Ukraine</c:v>
                </c:pt>
                <c:pt idx="4">
                  <c:v>Demanded by Ukraine</c:v>
                </c:pt>
                <c:pt idx="5">
                  <c:v>Russian stock (pre-war)</c:v>
                </c:pt>
              </c:strCache>
            </c:strRef>
          </c:cat>
          <c:val>
            <c:numRef>
              <c:f>'Figure 8 Military gap'!$E$16:$E$18</c:f>
              <c:numCache>
                <c:formatCode>#,##0</c:formatCode>
                <c:ptCount val="3"/>
                <c:pt idx="0">
                  <c:v>49</c:v>
                </c:pt>
                <c:pt idx="1">
                  <c:v>200</c:v>
                </c:pt>
                <c:pt idx="2">
                  <c:v>1056</c:v>
                </c:pt>
              </c:numCache>
            </c:numRef>
          </c:val>
          <c:extLst>
            <c:ext xmlns:c16="http://schemas.microsoft.com/office/drawing/2014/chart" uri="{C3380CC4-5D6E-409C-BE32-E72D297353CC}">
              <c16:uniqueId val="{00000009-60B7-4588-8E75-2BDE4F829414}"/>
            </c:ext>
          </c:extLst>
        </c:ser>
        <c:ser>
          <c:idx val="3"/>
          <c:order val="3"/>
          <c:tx>
            <c:strRef>
              <c:f>'[1]Figure military aid gap'!#REF!</c:f>
              <c:strCache>
                <c:ptCount val="1"/>
                <c:pt idx="0">
                  <c:v>#REF!</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60B7-4588-8E75-2BDE4F829414}"/>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8 Military gap'!$B$16:$C$18</c:f>
              <c:strCache>
                <c:ptCount val="6"/>
                <c:pt idx="0">
                  <c:v>MLRS</c:v>
                </c:pt>
                <c:pt idx="3">
                  <c:v>Delivered to Ukraine</c:v>
                </c:pt>
                <c:pt idx="4">
                  <c:v>Demanded by Ukraine</c:v>
                </c:pt>
                <c:pt idx="5">
                  <c:v>Russian stock (pre-war)</c:v>
                </c:pt>
              </c:strCache>
            </c:strRef>
          </c:cat>
          <c:val>
            <c:numRef>
              <c:f>'[1]Figure military aid gap'!#REF!</c:f>
              <c:numCache>
                <c:formatCode>General</c:formatCode>
                <c:ptCount val="1"/>
                <c:pt idx="0">
                  <c:v>1</c:v>
                </c:pt>
              </c:numCache>
            </c:numRef>
          </c:val>
          <c:extLst>
            <c:ext xmlns:c16="http://schemas.microsoft.com/office/drawing/2014/chart" uri="{C3380CC4-5D6E-409C-BE32-E72D297353CC}">
              <c16:uniqueId val="{0000000B-60B7-4588-8E75-2BDE4F829414}"/>
            </c:ext>
          </c:extLst>
        </c:ser>
        <c:ser>
          <c:idx val="4"/>
          <c:order val="4"/>
          <c:tx>
            <c:strRef>
              <c:f>'Figure 8 Military gap'!$F$15</c:f>
              <c:strCache>
                <c:ptCount val="1"/>
                <c:pt idx="0">
                  <c:v>To be delivered</c:v>
                </c:pt>
              </c:strCache>
            </c:strRef>
          </c:tx>
          <c:spPr>
            <a:solidFill>
              <a:schemeClr val="accent4">
                <a:lumMod val="40000"/>
                <a:lumOff val="60000"/>
              </a:schemeClr>
            </a:solidFill>
            <a:ln>
              <a:solidFill>
                <a:schemeClr val="tx1"/>
              </a:solidFill>
            </a:ln>
            <a:effectLst/>
          </c:spPr>
          <c:invertIfNegative val="0"/>
          <c:dLbls>
            <c:dLbl>
              <c:idx val="0"/>
              <c:layout>
                <c:manualLayout>
                  <c:x val="0.11596930223814685"/>
                  <c:y val="2.442570782082441E-2"/>
                </c:manualLayout>
              </c:layout>
              <c:tx>
                <c:rich>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03824980-CE04-4AC0-9125-9FCC14C801F0}" type="CELLREF">
                      <a:rPr lang="en-US"/>
                      <a:pPr>
                        <a:defRPr/>
                      </a:pPr>
                      <a:t>[]</a:t>
                    </a:fld>
                    <a:r>
                      <a:rPr lang="en-US"/>
                      <a:t> to be delivered</a:t>
                    </a:r>
                  </a:p>
                </c:rich>
              </c:tx>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{03824980-CE04-4AC0-9125-9FCC14C801F0}</c15:txfldGUID>
                      <c15:f>'Figure 8 Military gap'!$F$16</c15:f>
                      <c15:dlblFieldTableCache>
                        <c:ptCount val="1"/>
                        <c:pt idx="0">
                          <c:v>27</c:v>
                        </c:pt>
                      </c15:dlblFieldTableCache>
                    </c15:dlblFTEntry>
                  </c15:dlblFieldTable>
                  <c15:showDataLabelsRange val="0"/>
                </c:ext>
                <c:ext xmlns:c16="http://schemas.microsoft.com/office/drawing/2014/chart" uri="{C3380CC4-5D6E-409C-BE32-E72D297353CC}">
                  <c16:uniqueId val="{0000000C-60B7-4588-8E75-2BDE4F829414}"/>
                </c:ext>
              </c:extLst>
            </c:dLbl>
            <c:dLbl>
              <c:idx val="1"/>
              <c:delete val="1"/>
              <c:extLst>
                <c:ext xmlns:c15="http://schemas.microsoft.com/office/drawing/2012/chart" uri="{CE6537A1-D6FC-4f65-9D91-7224C49458BB}"/>
                <c:ext xmlns:c16="http://schemas.microsoft.com/office/drawing/2014/chart" uri="{C3380CC4-5D6E-409C-BE32-E72D297353CC}">
                  <c16:uniqueId val="{0000000D-60B7-4588-8E75-2BDE4F829414}"/>
                </c:ext>
              </c:extLst>
            </c:dLbl>
            <c:dLbl>
              <c:idx val="2"/>
              <c:delete val="1"/>
              <c:extLst>
                <c:ext xmlns:c15="http://schemas.microsoft.com/office/drawing/2012/chart" uri="{CE6537A1-D6FC-4f65-9D91-7224C49458BB}"/>
                <c:ext xmlns:c16="http://schemas.microsoft.com/office/drawing/2014/chart" uri="{C3380CC4-5D6E-409C-BE32-E72D297353CC}">
                  <c16:uniqueId val="{0000000E-60B7-4588-8E75-2BDE4F829414}"/>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8 Military gap'!$B$16:$C$18</c:f>
              <c:strCache>
                <c:ptCount val="6"/>
                <c:pt idx="0">
                  <c:v>MLRS</c:v>
                </c:pt>
                <c:pt idx="3">
                  <c:v>Delivered to Ukraine</c:v>
                </c:pt>
                <c:pt idx="4">
                  <c:v>Demanded by Ukraine</c:v>
                </c:pt>
                <c:pt idx="5">
                  <c:v>Russian stock (pre-war)</c:v>
                </c:pt>
              </c:strCache>
            </c:strRef>
          </c:cat>
          <c:val>
            <c:numRef>
              <c:f>'Figure 8 Military gap'!$F$16:$F$18</c:f>
              <c:numCache>
                <c:formatCode>#,##0</c:formatCode>
                <c:ptCount val="3"/>
                <c:pt idx="0">
                  <c:v>27</c:v>
                </c:pt>
                <c:pt idx="1">
                  <c:v>0</c:v>
                </c:pt>
                <c:pt idx="2">
                  <c:v>0</c:v>
                </c:pt>
              </c:numCache>
            </c:numRef>
          </c:val>
          <c:extLst>
            <c:ext xmlns:c16="http://schemas.microsoft.com/office/drawing/2014/chart" uri="{C3380CC4-5D6E-409C-BE32-E72D297353CC}">
              <c16:uniqueId val="{0000000F-60B7-4588-8E75-2BDE4F829414}"/>
            </c:ext>
          </c:extLst>
        </c:ser>
        <c:dLbls>
          <c:dLblPos val="inBase"/>
          <c:showLegendKey val="0"/>
          <c:showVal val="1"/>
          <c:showCatName val="0"/>
          <c:showSerName val="0"/>
          <c:showPercent val="0"/>
          <c:showBubbleSize val="0"/>
        </c:dLbls>
        <c:gapWidth val="60"/>
        <c:overlap val="100"/>
        <c:axId val="214395776"/>
        <c:axId val="214398272"/>
      </c:barChart>
      <c:catAx>
        <c:axId val="214395776"/>
        <c:scaling>
          <c:orientation val="minMax"/>
        </c:scaling>
        <c:delete val="0"/>
        <c:axPos val="l"/>
        <c:numFmt formatCode="General" sourceLinked="1"/>
        <c:majorTickMark val="none"/>
        <c:minorTickMark val="none"/>
        <c:tickLblPos val="nextTo"/>
        <c:spPr>
          <a:noFill/>
          <a:ln w="12700" cap="sq" cmpd="sng" algn="ctr">
            <a:solidFill>
              <a:schemeClr val="bg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4398272"/>
        <c:crosses val="autoZero"/>
        <c:auto val="1"/>
        <c:lblAlgn val="ctr"/>
        <c:lblOffset val="100"/>
        <c:noMultiLvlLbl val="0"/>
      </c:catAx>
      <c:valAx>
        <c:axId val="214398272"/>
        <c:scaling>
          <c:orientation val="minMax"/>
          <c:max val="1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a:solidFill>
              <a:schemeClr val="dk1"/>
            </a:solidFill>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439577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85108749373466"/>
          <c:y val="1.7897334296488612E-2"/>
          <c:w val="0.73669246881807715"/>
          <c:h val="0.93323783110852687"/>
        </c:manualLayout>
      </c:layout>
      <c:barChart>
        <c:barDir val="bar"/>
        <c:grouping val="clustered"/>
        <c:varyColors val="0"/>
        <c:ser>
          <c:idx val="0"/>
          <c:order val="0"/>
          <c:tx>
            <c:strRef>
              <c:f>'Figure 9 Budget support'!$C$4</c:f>
              <c:strCache>
                <c:ptCount val="1"/>
                <c:pt idx="0">
                  <c:v>Commitments (committed Loans and Grants)</c:v>
                </c:pt>
              </c:strCache>
            </c:strRef>
          </c:tx>
          <c:spPr>
            <a:solidFill>
              <a:srgbClr val="0070C0"/>
            </a:solidFill>
            <a:ln>
              <a:solidFill>
                <a:sysClr val="windowText" lastClr="000000"/>
              </a:solidFill>
            </a:ln>
            <a:effectLst/>
          </c:spPr>
          <c:invertIfNegative val="0"/>
          <c:cat>
            <c:strRef>
              <c:f>'Figure 9 Budget support'!$B$5:$B$21</c:f>
              <c:strCache>
                <c:ptCount val="17"/>
                <c:pt idx="0">
                  <c:v>United States</c:v>
                </c:pt>
                <c:pt idx="1">
                  <c:v>EU Institutions (MFA and EIB)</c:v>
                </c:pt>
                <c:pt idx="2">
                  <c:v>Canada</c:v>
                </c:pt>
                <c:pt idx="3">
                  <c:v>Germany</c:v>
                </c:pt>
                <c:pt idx="4">
                  <c:v>United Kingdom</c:v>
                </c:pt>
                <c:pt idx="5">
                  <c:v>Japan</c:v>
                </c:pt>
                <c:pt idx="6">
                  <c:v>France</c:v>
                </c:pt>
                <c:pt idx="7">
                  <c:v>Italy</c:v>
                </c:pt>
                <c:pt idx="8">
                  <c:v>Netherlands</c:v>
                </c:pt>
                <c:pt idx="9">
                  <c:v>Sweden</c:v>
                </c:pt>
                <c:pt idx="10">
                  <c:v>Denmark</c:v>
                </c:pt>
                <c:pt idx="11">
                  <c:v>Norway</c:v>
                </c:pt>
                <c:pt idx="12">
                  <c:v>Lithuania</c:v>
                </c:pt>
                <c:pt idx="13">
                  <c:v>Latvia</c:v>
                </c:pt>
                <c:pt idx="14">
                  <c:v>Austria</c:v>
                </c:pt>
                <c:pt idx="15">
                  <c:v>Portugal</c:v>
                </c:pt>
                <c:pt idx="16">
                  <c:v>Spain</c:v>
                </c:pt>
              </c:strCache>
            </c:strRef>
          </c:cat>
          <c:val>
            <c:numRef>
              <c:f>'Figure 9 Budget support'!$C$5:$C$21</c:f>
              <c:numCache>
                <c:formatCode>0.00</c:formatCode>
                <c:ptCount val="17"/>
                <c:pt idx="0">
                  <c:v>14.056801195814646</c:v>
                </c:pt>
                <c:pt idx="1">
                  <c:v>30.322500000000002</c:v>
                </c:pt>
                <c:pt idx="2">
                  <c:v>2.5074401473296506</c:v>
                </c:pt>
                <c:pt idx="3">
                  <c:v>1.3499999999999999</c:v>
                </c:pt>
                <c:pt idx="4">
                  <c:v>1.2325134849603154</c:v>
                </c:pt>
                <c:pt idx="5">
                  <c:v>0.59790732436472349</c:v>
                </c:pt>
                <c:pt idx="6">
                  <c:v>0.8</c:v>
                </c:pt>
                <c:pt idx="7">
                  <c:v>0.32700000000000001</c:v>
                </c:pt>
                <c:pt idx="8">
                  <c:v>0.26850000000000002</c:v>
                </c:pt>
                <c:pt idx="9">
                  <c:v>0.21596076274294096</c:v>
                </c:pt>
                <c:pt idx="10">
                  <c:v>5.7500000000000002E-2</c:v>
                </c:pt>
                <c:pt idx="11">
                  <c:v>0.61445864741685452</c:v>
                </c:pt>
                <c:pt idx="12">
                  <c:v>1.4999999999999999E-2</c:v>
                </c:pt>
                <c:pt idx="13">
                  <c:v>1.4999999999999999E-2</c:v>
                </c:pt>
                <c:pt idx="14">
                  <c:v>4.6899999999999997E-2</c:v>
                </c:pt>
                <c:pt idx="15">
                  <c:v>0.25</c:v>
                </c:pt>
                <c:pt idx="16">
                  <c:v>0.15</c:v>
                </c:pt>
              </c:numCache>
            </c:numRef>
          </c:val>
          <c:extLst>
            <c:ext xmlns:c16="http://schemas.microsoft.com/office/drawing/2014/chart" uri="{C3380CC4-5D6E-409C-BE32-E72D297353CC}">
              <c16:uniqueId val="{00000001-B9AC-42AA-B512-61996F98D584}"/>
            </c:ext>
          </c:extLst>
        </c:ser>
        <c:ser>
          <c:idx val="1"/>
          <c:order val="1"/>
          <c:tx>
            <c:strRef>
              <c:f>'Figure 9 Budget support'!$D$4</c:f>
              <c:strCache>
                <c:ptCount val="1"/>
                <c:pt idx="0">
                  <c:v>Disbursements</c:v>
                </c:pt>
              </c:strCache>
            </c:strRef>
          </c:tx>
          <c:spPr>
            <a:solidFill>
              <a:srgbClr val="002060"/>
            </a:solidFill>
            <a:ln>
              <a:solidFill>
                <a:sysClr val="windowText" lastClr="000000"/>
              </a:solidFill>
            </a:ln>
            <a:effectLst/>
          </c:spPr>
          <c:invertIfNegative val="0"/>
          <c:cat>
            <c:strRef>
              <c:f>'Figure 9 Budget support'!$B$5:$B$21</c:f>
              <c:strCache>
                <c:ptCount val="17"/>
                <c:pt idx="0">
                  <c:v>United States</c:v>
                </c:pt>
                <c:pt idx="1">
                  <c:v>EU Institutions (MFA and EIB)</c:v>
                </c:pt>
                <c:pt idx="2">
                  <c:v>Canada</c:v>
                </c:pt>
                <c:pt idx="3">
                  <c:v>Germany</c:v>
                </c:pt>
                <c:pt idx="4">
                  <c:v>United Kingdom</c:v>
                </c:pt>
                <c:pt idx="5">
                  <c:v>Japan</c:v>
                </c:pt>
                <c:pt idx="6">
                  <c:v>France</c:v>
                </c:pt>
                <c:pt idx="7">
                  <c:v>Italy</c:v>
                </c:pt>
                <c:pt idx="8">
                  <c:v>Netherlands</c:v>
                </c:pt>
                <c:pt idx="9">
                  <c:v>Sweden</c:v>
                </c:pt>
                <c:pt idx="10">
                  <c:v>Denmark</c:v>
                </c:pt>
                <c:pt idx="11">
                  <c:v>Norway</c:v>
                </c:pt>
                <c:pt idx="12">
                  <c:v>Lithuania</c:v>
                </c:pt>
                <c:pt idx="13">
                  <c:v>Latvia</c:v>
                </c:pt>
                <c:pt idx="14">
                  <c:v>Austria</c:v>
                </c:pt>
                <c:pt idx="15">
                  <c:v>Portugal</c:v>
                </c:pt>
                <c:pt idx="16">
                  <c:v>Spain</c:v>
                </c:pt>
              </c:strCache>
            </c:strRef>
          </c:cat>
          <c:val>
            <c:numRef>
              <c:f>'Figure 9 Budget support'!$D$5:$D$21</c:f>
              <c:numCache>
                <c:formatCode>0.00</c:formatCode>
                <c:ptCount val="17"/>
                <c:pt idx="0">
                  <c:v>8.49</c:v>
                </c:pt>
                <c:pt idx="1">
                  <c:v>8.0869999999999997</c:v>
                </c:pt>
                <c:pt idx="2">
                  <c:v>1.5209999999999999</c:v>
                </c:pt>
                <c:pt idx="3">
                  <c:v>1.35</c:v>
                </c:pt>
                <c:pt idx="4">
                  <c:v>1.0760000000000001</c:v>
                </c:pt>
                <c:pt idx="5">
                  <c:v>0.58099999999999996</c:v>
                </c:pt>
                <c:pt idx="6">
                  <c:v>0.33200000000000002</c:v>
                </c:pt>
                <c:pt idx="7">
                  <c:v>0.32700000000000001</c:v>
                </c:pt>
                <c:pt idx="8">
                  <c:v>0.106</c:v>
                </c:pt>
                <c:pt idx="9">
                  <c:v>4.9000000000000002E-2</c:v>
                </c:pt>
                <c:pt idx="10">
                  <c:v>2.3E-2</c:v>
                </c:pt>
                <c:pt idx="11">
                  <c:v>2.1999999999999999E-2</c:v>
                </c:pt>
                <c:pt idx="12">
                  <c:v>1.4999999999999999E-2</c:v>
                </c:pt>
                <c:pt idx="13">
                  <c:v>1.4999999999999999E-2</c:v>
                </c:pt>
                <c:pt idx="14">
                  <c:v>1.0999999999999999E-2</c:v>
                </c:pt>
                <c:pt idx="15">
                  <c:v>0</c:v>
                </c:pt>
                <c:pt idx="16">
                  <c:v>0</c:v>
                </c:pt>
              </c:numCache>
            </c:numRef>
          </c:val>
          <c:extLst>
            <c:ext xmlns:c16="http://schemas.microsoft.com/office/drawing/2014/chart" uri="{C3380CC4-5D6E-409C-BE32-E72D297353CC}">
              <c16:uniqueId val="{00000000-82AD-4251-AB7C-E6E83E1979DD}"/>
            </c:ext>
          </c:extLst>
        </c:ser>
        <c:dLbls>
          <c:showLegendKey val="0"/>
          <c:showVal val="0"/>
          <c:showCatName val="0"/>
          <c:showSerName val="0"/>
          <c:showPercent val="0"/>
          <c:showBubbleSize val="0"/>
        </c:dLbls>
        <c:gapWidth val="7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
      </c:valAx>
      <c:spPr>
        <a:noFill/>
        <a:ln>
          <a:noFill/>
        </a:ln>
        <a:effectLst/>
      </c:spPr>
    </c:plotArea>
    <c:legend>
      <c:legendPos val="r"/>
      <c:layout>
        <c:manualLayout>
          <c:xMode val="edge"/>
          <c:yMode val="edge"/>
          <c:x val="0.49742928159764216"/>
          <c:y val="0.26630359484929311"/>
          <c:w val="0.43259359008700182"/>
          <c:h val="0.23589193475157177"/>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7084875588791"/>
          <c:y val="1.7897313247991778E-2"/>
          <c:w val="0.80253373679388373"/>
          <c:h val="0.94124085444144956"/>
        </c:manualLayout>
      </c:layout>
      <c:barChart>
        <c:barDir val="bar"/>
        <c:grouping val="stacked"/>
        <c:varyColors val="0"/>
        <c:ser>
          <c:idx val="1"/>
          <c:order val="1"/>
          <c:tx>
            <c:strRef>
              <c:f>'Figure 12 Refugee costs'!$D$4</c:f>
              <c:strCache>
                <c:ptCount val="1"/>
                <c:pt idx="0">
                  <c:v>Lower bound refugee cost estimate (€250 per refugee and month)</c:v>
                </c:pt>
              </c:strCache>
            </c:strRef>
          </c:tx>
          <c:spPr>
            <a:solidFill>
              <a:schemeClr val="accent4">
                <a:lumMod val="60000"/>
                <a:lumOff val="40000"/>
              </a:schemeClr>
            </a:solidFill>
            <a:ln>
              <a:solidFill>
                <a:schemeClr val="tx1"/>
              </a:solidFill>
            </a:ln>
            <a:effectLst/>
          </c:spPr>
          <c:invertIfNegative val="0"/>
          <c:cat>
            <c:strRef>
              <c:f>'Figure 12 Refugee costs'!$B$5:$B$24</c:f>
              <c:strCache>
                <c:ptCount val="20"/>
                <c:pt idx="0">
                  <c:v>Poland</c:v>
                </c:pt>
                <c:pt idx="1">
                  <c:v>Germany</c:v>
                </c:pt>
                <c:pt idx="2">
                  <c:v>Czech Republic</c:v>
                </c:pt>
                <c:pt idx="3">
                  <c:v>Italy</c:v>
                </c:pt>
                <c:pt idx="4">
                  <c:v>Spain</c:v>
                </c:pt>
                <c:pt idx="5">
                  <c:v>Bulgaria</c:v>
                </c:pt>
                <c:pt idx="6">
                  <c:v>United Kingdom</c:v>
                </c:pt>
                <c:pt idx="7">
                  <c:v>Turkey</c:v>
                </c:pt>
                <c:pt idx="8">
                  <c:v>France</c:v>
                </c:pt>
                <c:pt idx="9">
                  <c:v>Slovakia</c:v>
                </c:pt>
                <c:pt idx="10">
                  <c:v>Romania</c:v>
                </c:pt>
                <c:pt idx="11">
                  <c:v>Austria</c:v>
                </c:pt>
                <c:pt idx="12">
                  <c:v>Netherlands</c:v>
                </c:pt>
                <c:pt idx="13">
                  <c:v>Lithuania</c:v>
                </c:pt>
                <c:pt idx="14">
                  <c:v>Switzerland</c:v>
                </c:pt>
                <c:pt idx="15">
                  <c:v>Ireland</c:v>
                </c:pt>
                <c:pt idx="16">
                  <c:v>Belgium</c:v>
                </c:pt>
                <c:pt idx="17">
                  <c:v>Portugal</c:v>
                </c:pt>
                <c:pt idx="18">
                  <c:v>Sweden</c:v>
                </c:pt>
                <c:pt idx="19">
                  <c:v>Finland</c:v>
                </c:pt>
              </c:strCache>
            </c:strRef>
          </c:cat>
          <c:val>
            <c:numRef>
              <c:f>'Figure 12 Refugee costs'!$D$5:$D$24</c:f>
              <c:numCache>
                <c:formatCode>0.00</c:formatCode>
                <c:ptCount val="20"/>
                <c:pt idx="0">
                  <c:v>3.04217</c:v>
                </c:pt>
                <c:pt idx="1">
                  <c:v>2.0433340000000002</c:v>
                </c:pt>
                <c:pt idx="2">
                  <c:v>0.92940199999999995</c:v>
                </c:pt>
                <c:pt idx="3">
                  <c:v>0.33080199999999998</c:v>
                </c:pt>
                <c:pt idx="4">
                  <c:v>0.310946</c:v>
                </c:pt>
                <c:pt idx="5">
                  <c:v>0.29331800000000002</c:v>
                </c:pt>
                <c:pt idx="6">
                  <c:v>0.29239999999999999</c:v>
                </c:pt>
                <c:pt idx="7">
                  <c:v>0.28999999999999998</c:v>
                </c:pt>
                <c:pt idx="8">
                  <c:v>0.23798800000000001</c:v>
                </c:pt>
                <c:pt idx="9">
                  <c:v>0.20455599999999999</c:v>
                </c:pt>
                <c:pt idx="10">
                  <c:v>0.180696</c:v>
                </c:pt>
                <c:pt idx="11">
                  <c:v>0.17749599999999999</c:v>
                </c:pt>
                <c:pt idx="12">
                  <c:v>0.1585</c:v>
                </c:pt>
                <c:pt idx="13">
                  <c:v>0.14133399999999999</c:v>
                </c:pt>
                <c:pt idx="14">
                  <c:v>0.139214</c:v>
                </c:pt>
                <c:pt idx="15">
                  <c:v>0.12855800000000001</c:v>
                </c:pt>
                <c:pt idx="16">
                  <c:v>0.122932</c:v>
                </c:pt>
                <c:pt idx="17">
                  <c:v>0.10575</c:v>
                </c:pt>
                <c:pt idx="18">
                  <c:v>9.672E-2</c:v>
                </c:pt>
                <c:pt idx="19">
                  <c:v>8.7613999999999997E-2</c:v>
                </c:pt>
              </c:numCache>
            </c:numRef>
          </c:val>
          <c:extLst>
            <c:ext xmlns:c16="http://schemas.microsoft.com/office/drawing/2014/chart" uri="{C3380CC4-5D6E-409C-BE32-E72D297353CC}">
              <c16:uniqueId val="{00000000-7230-467C-AF26-FCBA45809A7B}"/>
            </c:ext>
          </c:extLst>
        </c:ser>
        <c:ser>
          <c:idx val="2"/>
          <c:order val="2"/>
          <c:tx>
            <c:strRef>
              <c:f>'Figure 12 Refugee costs'!$E$4</c:f>
              <c:strCache>
                <c:ptCount val="1"/>
                <c:pt idx="0">
                  <c:v>Baseline refugee cost estimate (€500 per refugee and month)</c:v>
                </c:pt>
              </c:strCache>
            </c:strRef>
          </c:tx>
          <c:spPr>
            <a:solidFill>
              <a:schemeClr val="accent4">
                <a:lumMod val="40000"/>
                <a:lumOff val="60000"/>
              </a:schemeClr>
            </a:solidFill>
            <a:ln>
              <a:solidFill>
                <a:schemeClr val="tx1"/>
              </a:solidFill>
            </a:ln>
            <a:effectLst/>
          </c:spPr>
          <c:invertIfNegative val="0"/>
          <c:cat>
            <c:strRef>
              <c:f>'Figure 12 Refugee costs'!$B$5:$B$24</c:f>
              <c:strCache>
                <c:ptCount val="20"/>
                <c:pt idx="0">
                  <c:v>Poland</c:v>
                </c:pt>
                <c:pt idx="1">
                  <c:v>Germany</c:v>
                </c:pt>
                <c:pt idx="2">
                  <c:v>Czech Republic</c:v>
                </c:pt>
                <c:pt idx="3">
                  <c:v>Italy</c:v>
                </c:pt>
                <c:pt idx="4">
                  <c:v>Spain</c:v>
                </c:pt>
                <c:pt idx="5">
                  <c:v>Bulgaria</c:v>
                </c:pt>
                <c:pt idx="6">
                  <c:v>United Kingdom</c:v>
                </c:pt>
                <c:pt idx="7">
                  <c:v>Turkey</c:v>
                </c:pt>
                <c:pt idx="8">
                  <c:v>France</c:v>
                </c:pt>
                <c:pt idx="9">
                  <c:v>Slovakia</c:v>
                </c:pt>
                <c:pt idx="10">
                  <c:v>Romania</c:v>
                </c:pt>
                <c:pt idx="11">
                  <c:v>Austria</c:v>
                </c:pt>
                <c:pt idx="12">
                  <c:v>Netherlands</c:v>
                </c:pt>
                <c:pt idx="13">
                  <c:v>Lithuania</c:v>
                </c:pt>
                <c:pt idx="14">
                  <c:v>Switzerland</c:v>
                </c:pt>
                <c:pt idx="15">
                  <c:v>Ireland</c:v>
                </c:pt>
                <c:pt idx="16">
                  <c:v>Belgium</c:v>
                </c:pt>
                <c:pt idx="17">
                  <c:v>Portugal</c:v>
                </c:pt>
                <c:pt idx="18">
                  <c:v>Sweden</c:v>
                </c:pt>
                <c:pt idx="19">
                  <c:v>Finland</c:v>
                </c:pt>
              </c:strCache>
            </c:strRef>
          </c:cat>
          <c:val>
            <c:numRef>
              <c:f>'Figure 12 Refugee costs'!$E$5:$E$24</c:f>
              <c:numCache>
                <c:formatCode>0.00</c:formatCode>
                <c:ptCount val="20"/>
                <c:pt idx="0">
                  <c:v>6.0843400000000001</c:v>
                </c:pt>
                <c:pt idx="1">
                  <c:v>4.0866680000000004</c:v>
                </c:pt>
                <c:pt idx="2">
                  <c:v>1.8588039999999999</c:v>
                </c:pt>
                <c:pt idx="3">
                  <c:v>0.66160399999999997</c:v>
                </c:pt>
                <c:pt idx="4">
                  <c:v>0.621892</c:v>
                </c:pt>
                <c:pt idx="5">
                  <c:v>0.58663600000000005</c:v>
                </c:pt>
                <c:pt idx="6">
                  <c:v>0.58479999999999999</c:v>
                </c:pt>
                <c:pt idx="7">
                  <c:v>0.57999999999999996</c:v>
                </c:pt>
                <c:pt idx="8">
                  <c:v>0.47597600000000001</c:v>
                </c:pt>
                <c:pt idx="9">
                  <c:v>0.40911199999999998</c:v>
                </c:pt>
                <c:pt idx="10">
                  <c:v>0.36139199999999999</c:v>
                </c:pt>
                <c:pt idx="11">
                  <c:v>0.35499199999999997</c:v>
                </c:pt>
                <c:pt idx="12">
                  <c:v>0.317</c:v>
                </c:pt>
                <c:pt idx="13">
                  <c:v>0.28266799999999997</c:v>
                </c:pt>
                <c:pt idx="14">
                  <c:v>0.27842800000000001</c:v>
                </c:pt>
                <c:pt idx="15">
                  <c:v>0.25711600000000001</c:v>
                </c:pt>
                <c:pt idx="16">
                  <c:v>0.245864</c:v>
                </c:pt>
                <c:pt idx="17">
                  <c:v>0.21149999999999999</c:v>
                </c:pt>
                <c:pt idx="18">
                  <c:v>0.19344</c:v>
                </c:pt>
                <c:pt idx="19">
                  <c:v>0.17522799999999999</c:v>
                </c:pt>
              </c:numCache>
            </c:numRef>
          </c:val>
          <c:extLst>
            <c:ext xmlns:c16="http://schemas.microsoft.com/office/drawing/2014/chart" uri="{C3380CC4-5D6E-409C-BE32-E72D297353CC}">
              <c16:uniqueId val="{00000001-7230-467C-AF26-FCBA45809A7B}"/>
            </c:ext>
          </c:extLst>
        </c:ser>
        <c:ser>
          <c:idx val="3"/>
          <c:order val="3"/>
          <c:tx>
            <c:strRef>
              <c:f>'Figure 12 Refugee costs'!$F$4</c:f>
              <c:strCache>
                <c:ptCount val="1"/>
                <c:pt idx="0">
                  <c:v>Upper bound refugee cost estimate (€750 per refugee and month)</c:v>
                </c:pt>
              </c:strCache>
            </c:strRef>
          </c:tx>
          <c:spPr>
            <a:solidFill>
              <a:schemeClr val="accent4">
                <a:lumMod val="20000"/>
                <a:lumOff val="80000"/>
              </a:schemeClr>
            </a:solidFill>
            <a:ln>
              <a:solidFill>
                <a:schemeClr val="tx1"/>
              </a:solidFill>
            </a:ln>
            <a:effectLst/>
          </c:spPr>
          <c:invertIfNegative val="0"/>
          <c:cat>
            <c:strRef>
              <c:f>'Figure 12 Refugee costs'!$B$5:$B$24</c:f>
              <c:strCache>
                <c:ptCount val="20"/>
                <c:pt idx="0">
                  <c:v>Poland</c:v>
                </c:pt>
                <c:pt idx="1">
                  <c:v>Germany</c:v>
                </c:pt>
                <c:pt idx="2">
                  <c:v>Czech Republic</c:v>
                </c:pt>
                <c:pt idx="3">
                  <c:v>Italy</c:v>
                </c:pt>
                <c:pt idx="4">
                  <c:v>Spain</c:v>
                </c:pt>
                <c:pt idx="5">
                  <c:v>Bulgaria</c:v>
                </c:pt>
                <c:pt idx="6">
                  <c:v>United Kingdom</c:v>
                </c:pt>
                <c:pt idx="7">
                  <c:v>Turkey</c:v>
                </c:pt>
                <c:pt idx="8">
                  <c:v>France</c:v>
                </c:pt>
                <c:pt idx="9">
                  <c:v>Slovakia</c:v>
                </c:pt>
                <c:pt idx="10">
                  <c:v>Romania</c:v>
                </c:pt>
                <c:pt idx="11">
                  <c:v>Austria</c:v>
                </c:pt>
                <c:pt idx="12">
                  <c:v>Netherlands</c:v>
                </c:pt>
                <c:pt idx="13">
                  <c:v>Lithuania</c:v>
                </c:pt>
                <c:pt idx="14">
                  <c:v>Switzerland</c:v>
                </c:pt>
                <c:pt idx="15">
                  <c:v>Ireland</c:v>
                </c:pt>
                <c:pt idx="16">
                  <c:v>Belgium</c:v>
                </c:pt>
                <c:pt idx="17">
                  <c:v>Portugal</c:v>
                </c:pt>
                <c:pt idx="18">
                  <c:v>Sweden</c:v>
                </c:pt>
                <c:pt idx="19">
                  <c:v>Finland</c:v>
                </c:pt>
              </c:strCache>
            </c:strRef>
          </c:cat>
          <c:val>
            <c:numRef>
              <c:f>'Figure 12 Refugee costs'!$F$5:$F$24</c:f>
              <c:numCache>
                <c:formatCode>0.00</c:formatCode>
                <c:ptCount val="20"/>
                <c:pt idx="0">
                  <c:v>9.1265099999999997</c:v>
                </c:pt>
                <c:pt idx="1">
                  <c:v>6.1300020000000002</c:v>
                </c:pt>
                <c:pt idx="2">
                  <c:v>2.7882060000000002</c:v>
                </c:pt>
                <c:pt idx="3">
                  <c:v>0.99240600000000001</c:v>
                </c:pt>
                <c:pt idx="4">
                  <c:v>0.93283799999999995</c:v>
                </c:pt>
                <c:pt idx="5">
                  <c:v>0.87995400000000001</c:v>
                </c:pt>
                <c:pt idx="6">
                  <c:v>0.87719999999999998</c:v>
                </c:pt>
                <c:pt idx="7">
                  <c:v>0.87</c:v>
                </c:pt>
                <c:pt idx="8">
                  <c:v>0.71396400000000004</c:v>
                </c:pt>
                <c:pt idx="9">
                  <c:v>0.61366799999999999</c:v>
                </c:pt>
                <c:pt idx="10">
                  <c:v>0.54208800000000001</c:v>
                </c:pt>
                <c:pt idx="11">
                  <c:v>0.53248799999999996</c:v>
                </c:pt>
                <c:pt idx="12">
                  <c:v>0.47549999999999998</c:v>
                </c:pt>
                <c:pt idx="13">
                  <c:v>0.42400199999999999</c:v>
                </c:pt>
                <c:pt idx="14">
                  <c:v>0.41764200000000001</c:v>
                </c:pt>
                <c:pt idx="15">
                  <c:v>0.38567400000000002</c:v>
                </c:pt>
                <c:pt idx="16">
                  <c:v>0.36879600000000001</c:v>
                </c:pt>
                <c:pt idx="17">
                  <c:v>0.31724999999999998</c:v>
                </c:pt>
                <c:pt idx="18">
                  <c:v>0.29015999999999997</c:v>
                </c:pt>
                <c:pt idx="19">
                  <c:v>0.26284200000000002</c:v>
                </c:pt>
              </c:numCache>
            </c:numRef>
          </c:val>
          <c:extLst>
            <c:ext xmlns:c16="http://schemas.microsoft.com/office/drawing/2014/chart" uri="{C3380CC4-5D6E-409C-BE32-E72D297353CC}">
              <c16:uniqueId val="{00000002-7230-467C-AF26-FCBA45809A7B}"/>
            </c:ext>
          </c:extLst>
        </c:ser>
        <c:dLbls>
          <c:showLegendKey val="0"/>
          <c:showVal val="0"/>
          <c:showCatName val="0"/>
          <c:showSerName val="0"/>
          <c:showPercent val="0"/>
          <c:showBubbleSize val="0"/>
        </c:dLbls>
        <c:gapWidth val="70"/>
        <c:overlap val="100"/>
        <c:axId val="450490767"/>
        <c:axId val="450486607"/>
        <c:extLst>
          <c:ext xmlns:c15="http://schemas.microsoft.com/office/drawing/2012/chart" uri="{02D57815-91ED-43cb-92C2-25804820EDAC}">
            <c15:filteredBarSeries>
              <c15:ser>
                <c:idx val="0"/>
                <c:order val="0"/>
                <c:tx>
                  <c:strRef>
                    <c:extLst>
                      <c:ext uri="{02D57815-91ED-43cb-92C2-25804820EDAC}">
                        <c15:formulaRef>
                          <c15:sqref>'Figure 12 Refugee costs'!$C$4</c15:sqref>
                        </c15:formulaRef>
                      </c:ext>
                    </c:extLst>
                    <c:strCache>
                      <c:ptCount val="1"/>
                      <c:pt idx="0">
                        <c:v>Number of refugees</c:v>
                      </c:pt>
                    </c:strCache>
                  </c:strRef>
                </c:tx>
                <c:spPr>
                  <a:solidFill>
                    <a:schemeClr val="accent2"/>
                  </a:solidFill>
                  <a:ln>
                    <a:noFill/>
                  </a:ln>
                  <a:effectLst/>
                </c:spPr>
                <c:invertIfNegative val="0"/>
                <c:cat>
                  <c:strRef>
                    <c:extLst>
                      <c:ext uri="{02D57815-91ED-43cb-92C2-25804820EDAC}">
                        <c15:formulaRef>
                          <c15:sqref>'Figure 12 Refugee costs'!$B$5:$B$24</c15:sqref>
                        </c15:formulaRef>
                      </c:ext>
                    </c:extLst>
                    <c:strCache>
                      <c:ptCount val="20"/>
                      <c:pt idx="0">
                        <c:v>Poland</c:v>
                      </c:pt>
                      <c:pt idx="1">
                        <c:v>Germany</c:v>
                      </c:pt>
                      <c:pt idx="2">
                        <c:v>Czech Republic</c:v>
                      </c:pt>
                      <c:pt idx="3">
                        <c:v>Italy</c:v>
                      </c:pt>
                      <c:pt idx="4">
                        <c:v>Spain</c:v>
                      </c:pt>
                      <c:pt idx="5">
                        <c:v>Bulgaria</c:v>
                      </c:pt>
                      <c:pt idx="6">
                        <c:v>United Kingdom</c:v>
                      </c:pt>
                      <c:pt idx="7">
                        <c:v>Turkey</c:v>
                      </c:pt>
                      <c:pt idx="8">
                        <c:v>France</c:v>
                      </c:pt>
                      <c:pt idx="9">
                        <c:v>Slovakia</c:v>
                      </c:pt>
                      <c:pt idx="10">
                        <c:v>Romania</c:v>
                      </c:pt>
                      <c:pt idx="11">
                        <c:v>Austria</c:v>
                      </c:pt>
                      <c:pt idx="12">
                        <c:v>Netherlands</c:v>
                      </c:pt>
                      <c:pt idx="13">
                        <c:v>Lithuania</c:v>
                      </c:pt>
                      <c:pt idx="14">
                        <c:v>Switzerland</c:v>
                      </c:pt>
                      <c:pt idx="15">
                        <c:v>Ireland</c:v>
                      </c:pt>
                      <c:pt idx="16">
                        <c:v>Belgium</c:v>
                      </c:pt>
                      <c:pt idx="17">
                        <c:v>Portugal</c:v>
                      </c:pt>
                      <c:pt idx="18">
                        <c:v>Sweden</c:v>
                      </c:pt>
                      <c:pt idx="19">
                        <c:v>Finland</c:v>
                      </c:pt>
                    </c:strCache>
                  </c:strRef>
                </c:cat>
                <c:val>
                  <c:numRef>
                    <c:extLst>
                      <c:ext uri="{02D57815-91ED-43cb-92C2-25804820EDAC}">
                        <c15:formulaRef>
                          <c15:sqref>'Figure 12 Refugee costs'!$C$5:$C$24</c15:sqref>
                        </c15:formulaRef>
                      </c:ext>
                    </c:extLst>
                    <c:numCache>
                      <c:formatCode>#,##0</c:formatCode>
                      <c:ptCount val="20"/>
                      <c:pt idx="0">
                        <c:v>1521085</c:v>
                      </c:pt>
                      <c:pt idx="1">
                        <c:v>1021667</c:v>
                      </c:pt>
                      <c:pt idx="2">
                        <c:v>464701</c:v>
                      </c:pt>
                      <c:pt idx="3">
                        <c:v>165401</c:v>
                      </c:pt>
                      <c:pt idx="4">
                        <c:v>155473</c:v>
                      </c:pt>
                      <c:pt idx="5">
                        <c:v>146659</c:v>
                      </c:pt>
                      <c:pt idx="6">
                        <c:v>146200</c:v>
                      </c:pt>
                      <c:pt idx="7">
                        <c:v>145000</c:v>
                      </c:pt>
                      <c:pt idx="8">
                        <c:v>118994</c:v>
                      </c:pt>
                      <c:pt idx="9">
                        <c:v>102278</c:v>
                      </c:pt>
                      <c:pt idx="10">
                        <c:v>90348</c:v>
                      </c:pt>
                      <c:pt idx="11">
                        <c:v>88748</c:v>
                      </c:pt>
                      <c:pt idx="12">
                        <c:v>79250</c:v>
                      </c:pt>
                      <c:pt idx="13">
                        <c:v>70667</c:v>
                      </c:pt>
                      <c:pt idx="14">
                        <c:v>69607</c:v>
                      </c:pt>
                      <c:pt idx="15">
                        <c:v>64279</c:v>
                      </c:pt>
                      <c:pt idx="16">
                        <c:v>61466</c:v>
                      </c:pt>
                      <c:pt idx="17">
                        <c:v>52875</c:v>
                      </c:pt>
                      <c:pt idx="18">
                        <c:v>48360</c:v>
                      </c:pt>
                      <c:pt idx="19">
                        <c:v>43807</c:v>
                      </c:pt>
                    </c:numCache>
                  </c:numRef>
                </c:val>
                <c:extLst>
                  <c:ext xmlns:c16="http://schemas.microsoft.com/office/drawing/2014/chart" uri="{C3380CC4-5D6E-409C-BE32-E72D297353CC}">
                    <c16:uniqueId val="{00000003-7230-467C-AF26-FCBA45809A7B}"/>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
      </c:valAx>
      <c:spPr>
        <a:noFill/>
        <a:ln>
          <a:noFill/>
        </a:ln>
        <a:effectLst/>
      </c:spPr>
    </c:plotArea>
    <c:legend>
      <c:legendPos val="r"/>
      <c:layout>
        <c:manualLayout>
          <c:xMode val="edge"/>
          <c:yMode val="edge"/>
          <c:x val="0.3563845755521034"/>
          <c:y val="0.24707951534907757"/>
          <c:w val="0.55563019906169642"/>
          <c:h val="0.19883295330961376"/>
        </c:manualLayout>
      </c:layout>
      <c:overlay val="0"/>
      <c:spPr>
        <a:solidFill>
          <a:srgbClr val="FFFFFF"/>
        </a:solidFill>
        <a:ln>
          <a:noFill/>
        </a:ln>
        <a:effectLst/>
      </c:spPr>
      <c:txPr>
        <a:bodyPr rot="0" spcFirstLastPara="1" vertOverflow="ellipsis" vert="horz" wrap="square" anchor="ctr" anchorCtr="1"/>
        <a:lstStyle/>
        <a:p>
          <a:pPr>
            <a:defRPr sz="1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821886847479"/>
          <c:y val="1.7897313247991778E-2"/>
          <c:w val="0.83262631233595796"/>
          <c:h val="0.9440185914260717"/>
        </c:manualLayout>
      </c:layout>
      <c:barChart>
        <c:barDir val="bar"/>
        <c:grouping val="stacked"/>
        <c:varyColors val="0"/>
        <c:ser>
          <c:idx val="0"/>
          <c:order val="0"/>
          <c:tx>
            <c:strRef>
              <c:f>'Figure 13 Refugees (€ billion)'!$C$4</c:f>
              <c:strCache>
                <c:ptCount val="1"/>
                <c:pt idx="0">
                  <c:v>Financial</c:v>
                </c:pt>
              </c:strCache>
            </c:strRef>
          </c:tx>
          <c:spPr>
            <a:solidFill>
              <a:srgbClr val="0070C0"/>
            </a:solidFill>
            <a:ln>
              <a:solidFill>
                <a:schemeClr val="tx1"/>
              </a:solidFill>
            </a:ln>
            <a:effectLst/>
          </c:spPr>
          <c:invertIfNegative val="0"/>
          <c:cat>
            <c:strRef>
              <c:f>'Figure 13 Refugees (€ billion)'!$B$5:$B$24</c:f>
              <c:strCache>
                <c:ptCount val="20"/>
                <c:pt idx="0">
                  <c:v>United States</c:v>
                </c:pt>
                <c:pt idx="1">
                  <c:v>Germany</c:v>
                </c:pt>
                <c:pt idx="2">
                  <c:v>Poland</c:v>
                </c:pt>
                <c:pt idx="3">
                  <c:v>United Kingdom</c:v>
                </c:pt>
                <c:pt idx="4">
                  <c:v>Canada</c:v>
                </c:pt>
                <c:pt idx="5">
                  <c:v>Czech Republic</c:v>
                </c:pt>
                <c:pt idx="6">
                  <c:v>France</c:v>
                </c:pt>
                <c:pt idx="7">
                  <c:v>Norway</c:v>
                </c:pt>
                <c:pt idx="8">
                  <c:v>Italy</c:v>
                </c:pt>
                <c:pt idx="9">
                  <c:v>Netherlands</c:v>
                </c:pt>
                <c:pt idx="10">
                  <c:v>Spain</c:v>
                </c:pt>
                <c:pt idx="11">
                  <c:v>Sweden</c:v>
                </c:pt>
                <c:pt idx="12">
                  <c:v>Austria</c:v>
                </c:pt>
                <c:pt idx="13">
                  <c:v>Denmark</c:v>
                </c:pt>
                <c:pt idx="14">
                  <c:v>Turkey</c:v>
                </c:pt>
                <c:pt idx="15">
                  <c:v>Slovakia</c:v>
                </c:pt>
                <c:pt idx="16">
                  <c:v>Japan</c:v>
                </c:pt>
                <c:pt idx="17">
                  <c:v>Bulgaria</c:v>
                </c:pt>
                <c:pt idx="18">
                  <c:v>Portugal</c:v>
                </c:pt>
                <c:pt idx="19">
                  <c:v>Lithuania</c:v>
                </c:pt>
              </c:strCache>
            </c:strRef>
          </c:cat>
          <c:val>
            <c:numRef>
              <c:f>'Figure 13 Refugees (€ billion)'!$C$5:$C$24</c:f>
              <c:numCache>
                <c:formatCode>0.00</c:formatCode>
                <c:ptCount val="20"/>
                <c:pt idx="0">
                  <c:v>15.053313403089188</c:v>
                </c:pt>
                <c:pt idx="1">
                  <c:v>1.1499999999999999</c:v>
                </c:pt>
                <c:pt idx="2">
                  <c:v>1.0028667931673585</c:v>
                </c:pt>
                <c:pt idx="3">
                  <c:v>2.5548820828345602</c:v>
                </c:pt>
                <c:pt idx="4">
                  <c:v>2.1391160220994476</c:v>
                </c:pt>
                <c:pt idx="5">
                  <c:v>0</c:v>
                </c:pt>
                <c:pt idx="6">
                  <c:v>0.8</c:v>
                </c:pt>
                <c:pt idx="7">
                  <c:v>0.32416322344038784</c:v>
                </c:pt>
                <c:pt idx="8">
                  <c:v>0.31</c:v>
                </c:pt>
                <c:pt idx="9">
                  <c:v>0.34849999999999998</c:v>
                </c:pt>
                <c:pt idx="10">
                  <c:v>0.2</c:v>
                </c:pt>
                <c:pt idx="11">
                  <c:v>0.15249814428378561</c:v>
                </c:pt>
                <c:pt idx="12">
                  <c:v>0.01</c:v>
                </c:pt>
                <c:pt idx="13">
                  <c:v>5.7500000000000002E-2</c:v>
                </c:pt>
                <c:pt idx="14">
                  <c:v>0</c:v>
                </c:pt>
                <c:pt idx="15">
                  <c:v>0</c:v>
                </c:pt>
                <c:pt idx="16">
                  <c:v>0.59790732436472349</c:v>
                </c:pt>
                <c:pt idx="17">
                  <c:v>0</c:v>
                </c:pt>
                <c:pt idx="18">
                  <c:v>0.25</c:v>
                </c:pt>
                <c:pt idx="19">
                  <c:v>5.0000000000000001E-3</c:v>
                </c:pt>
              </c:numCache>
            </c:numRef>
          </c:val>
          <c:extLst>
            <c:ext xmlns:c16="http://schemas.microsoft.com/office/drawing/2014/chart" uri="{C3380CC4-5D6E-409C-BE32-E72D297353CC}">
              <c16:uniqueId val="{00000000-B7D5-41AA-83CC-9F02B8636453}"/>
            </c:ext>
          </c:extLst>
        </c:ser>
        <c:ser>
          <c:idx val="1"/>
          <c:order val="1"/>
          <c:tx>
            <c:strRef>
              <c:f>'Figure 13 Refugees (€ billion)'!$D$4</c:f>
              <c:strCache>
                <c:ptCount val="1"/>
                <c:pt idx="0">
                  <c:v>Humanitarian</c:v>
                </c:pt>
              </c:strCache>
            </c:strRef>
          </c:tx>
          <c:spPr>
            <a:solidFill>
              <a:srgbClr val="92D050"/>
            </a:solidFill>
            <a:ln>
              <a:solidFill>
                <a:schemeClr val="tx1"/>
              </a:solidFill>
            </a:ln>
            <a:effectLst/>
          </c:spPr>
          <c:invertIfNegative val="0"/>
          <c:cat>
            <c:strRef>
              <c:f>'Figure 13 Refugees (€ billion)'!$B$5:$B$24</c:f>
              <c:strCache>
                <c:ptCount val="20"/>
                <c:pt idx="0">
                  <c:v>United States</c:v>
                </c:pt>
                <c:pt idx="1">
                  <c:v>Germany</c:v>
                </c:pt>
                <c:pt idx="2">
                  <c:v>Poland</c:v>
                </c:pt>
                <c:pt idx="3">
                  <c:v>United Kingdom</c:v>
                </c:pt>
                <c:pt idx="4">
                  <c:v>Canada</c:v>
                </c:pt>
                <c:pt idx="5">
                  <c:v>Czech Republic</c:v>
                </c:pt>
                <c:pt idx="6">
                  <c:v>France</c:v>
                </c:pt>
                <c:pt idx="7">
                  <c:v>Norway</c:v>
                </c:pt>
                <c:pt idx="8">
                  <c:v>Italy</c:v>
                </c:pt>
                <c:pt idx="9">
                  <c:v>Netherlands</c:v>
                </c:pt>
                <c:pt idx="10">
                  <c:v>Spain</c:v>
                </c:pt>
                <c:pt idx="11">
                  <c:v>Sweden</c:v>
                </c:pt>
                <c:pt idx="12">
                  <c:v>Austria</c:v>
                </c:pt>
                <c:pt idx="13">
                  <c:v>Denmark</c:v>
                </c:pt>
                <c:pt idx="14">
                  <c:v>Turkey</c:v>
                </c:pt>
                <c:pt idx="15">
                  <c:v>Slovakia</c:v>
                </c:pt>
                <c:pt idx="16">
                  <c:v>Japan</c:v>
                </c:pt>
                <c:pt idx="17">
                  <c:v>Bulgaria</c:v>
                </c:pt>
                <c:pt idx="18">
                  <c:v>Portugal</c:v>
                </c:pt>
                <c:pt idx="19">
                  <c:v>Lithuania</c:v>
                </c:pt>
              </c:strCache>
            </c:strRef>
          </c:cat>
          <c:val>
            <c:numRef>
              <c:f>'Figure 13 Refugees (€ billion)'!$D$5:$D$24</c:f>
              <c:numCache>
                <c:formatCode>0.00</c:formatCode>
                <c:ptCount val="20"/>
                <c:pt idx="0">
                  <c:v>9.903936223218734</c:v>
                </c:pt>
                <c:pt idx="1">
                  <c:v>1.95</c:v>
                </c:pt>
                <c:pt idx="2">
                  <c:v>0.1753413054309915</c:v>
                </c:pt>
                <c:pt idx="3">
                  <c:v>0.39777831531548291</c:v>
                </c:pt>
                <c:pt idx="4">
                  <c:v>0.28780847145488037</c:v>
                </c:pt>
                <c:pt idx="5">
                  <c:v>0.1082203296569451</c:v>
                </c:pt>
                <c:pt idx="6">
                  <c:v>0.14250096271449927</c:v>
                </c:pt>
                <c:pt idx="7">
                  <c:v>0.32561470056027014</c:v>
                </c:pt>
                <c:pt idx="8">
                  <c:v>4.3375171898355755E-2</c:v>
                </c:pt>
                <c:pt idx="9">
                  <c:v>0.20888495266567014</c:v>
                </c:pt>
                <c:pt idx="10">
                  <c:v>0.10096943935924264</c:v>
                </c:pt>
                <c:pt idx="11">
                  <c:v>0.10780913666852486</c:v>
                </c:pt>
                <c:pt idx="12">
                  <c:v>0.56652379546586951</c:v>
                </c:pt>
                <c:pt idx="13">
                  <c:v>7.3583308466739258E-2</c:v>
                </c:pt>
                <c:pt idx="14">
                  <c:v>2.4716691579471843E-4</c:v>
                </c:pt>
                <c:pt idx="15">
                  <c:v>5.0000000000000001E-3</c:v>
                </c:pt>
                <c:pt idx="16">
                  <c:v>5.6003986048829089E-3</c:v>
                </c:pt>
                <c:pt idx="17">
                  <c:v>7.0600000000000003E-4</c:v>
                </c:pt>
                <c:pt idx="18">
                  <c:v>1.1999999999999999E-3</c:v>
                </c:pt>
                <c:pt idx="19">
                  <c:v>5.7000000000000002E-2</c:v>
                </c:pt>
              </c:numCache>
            </c:numRef>
          </c:val>
          <c:extLst>
            <c:ext xmlns:c16="http://schemas.microsoft.com/office/drawing/2014/chart" uri="{C3380CC4-5D6E-409C-BE32-E72D297353CC}">
              <c16:uniqueId val="{00000001-B7D5-41AA-83CC-9F02B8636453}"/>
            </c:ext>
          </c:extLst>
        </c:ser>
        <c:ser>
          <c:idx val="2"/>
          <c:order val="2"/>
          <c:tx>
            <c:strRef>
              <c:f>'Figure 13 Refugees (€ billion)'!$E$4</c:f>
              <c:strCache>
                <c:ptCount val="1"/>
                <c:pt idx="0">
                  <c:v>Military</c:v>
                </c:pt>
              </c:strCache>
            </c:strRef>
          </c:tx>
          <c:spPr>
            <a:solidFill>
              <a:srgbClr val="C00000"/>
            </a:solidFill>
            <a:ln>
              <a:solidFill>
                <a:schemeClr val="tx1"/>
              </a:solidFill>
            </a:ln>
            <a:effectLst/>
          </c:spPr>
          <c:invertIfNegative val="0"/>
          <c:cat>
            <c:strRef>
              <c:f>'Figure 13 Refugees (€ billion)'!$B$5:$B$24</c:f>
              <c:strCache>
                <c:ptCount val="20"/>
                <c:pt idx="0">
                  <c:v>United States</c:v>
                </c:pt>
                <c:pt idx="1">
                  <c:v>Germany</c:v>
                </c:pt>
                <c:pt idx="2">
                  <c:v>Poland</c:v>
                </c:pt>
                <c:pt idx="3">
                  <c:v>United Kingdom</c:v>
                </c:pt>
                <c:pt idx="4">
                  <c:v>Canada</c:v>
                </c:pt>
                <c:pt idx="5">
                  <c:v>Czech Republic</c:v>
                </c:pt>
                <c:pt idx="6">
                  <c:v>France</c:v>
                </c:pt>
                <c:pt idx="7">
                  <c:v>Norway</c:v>
                </c:pt>
                <c:pt idx="8">
                  <c:v>Italy</c:v>
                </c:pt>
                <c:pt idx="9">
                  <c:v>Netherlands</c:v>
                </c:pt>
                <c:pt idx="10">
                  <c:v>Spain</c:v>
                </c:pt>
                <c:pt idx="11">
                  <c:v>Sweden</c:v>
                </c:pt>
                <c:pt idx="12">
                  <c:v>Austria</c:v>
                </c:pt>
                <c:pt idx="13">
                  <c:v>Denmark</c:v>
                </c:pt>
                <c:pt idx="14">
                  <c:v>Turkey</c:v>
                </c:pt>
                <c:pt idx="15">
                  <c:v>Slovakia</c:v>
                </c:pt>
                <c:pt idx="16">
                  <c:v>Japan</c:v>
                </c:pt>
                <c:pt idx="17">
                  <c:v>Bulgaria</c:v>
                </c:pt>
                <c:pt idx="18">
                  <c:v>Portugal</c:v>
                </c:pt>
                <c:pt idx="19">
                  <c:v>Lithuania</c:v>
                </c:pt>
              </c:strCache>
            </c:strRef>
          </c:cat>
          <c:val>
            <c:numRef>
              <c:f>'Figure 13 Refugees (€ billion)'!$E$5:$E$24</c:f>
              <c:numCache>
                <c:formatCode>0.00</c:formatCode>
                <c:ptCount val="20"/>
                <c:pt idx="0">
                  <c:v>22.861983059292474</c:v>
                </c:pt>
                <c:pt idx="1">
                  <c:v>2.3448872384566926</c:v>
                </c:pt>
                <c:pt idx="2">
                  <c:v>1.8223833594419532</c:v>
                </c:pt>
                <c:pt idx="3">
                  <c:v>4.1291557278298399</c:v>
                </c:pt>
                <c:pt idx="4">
                  <c:v>1.3567179918845094</c:v>
                </c:pt>
                <c:pt idx="5">
                  <c:v>0.47848954751909611</c:v>
                </c:pt>
                <c:pt idx="6">
                  <c:v>0.47165789192610524</c:v>
                </c:pt>
                <c:pt idx="7">
                  <c:v>0.56014572529324125</c:v>
                </c:pt>
                <c:pt idx="8">
                  <c:v>0.31914838062565365</c:v>
                </c:pt>
                <c:pt idx="9">
                  <c:v>0.28984679372995431</c:v>
                </c:pt>
                <c:pt idx="10">
                  <c:v>8.1106233554433915E-2</c:v>
                </c:pt>
                <c:pt idx="11">
                  <c:v>0.54622043014465871</c:v>
                </c:pt>
                <c:pt idx="12">
                  <c:v>3.5748620328849025E-3</c:v>
                </c:pt>
                <c:pt idx="13">
                  <c:v>0.50996679973654857</c:v>
                </c:pt>
                <c:pt idx="14">
                  <c:v>6.4198804185351274E-2</c:v>
                </c:pt>
                <c:pt idx="15">
                  <c:v>0.21017157538614847</c:v>
                </c:pt>
                <c:pt idx="16">
                  <c:v>2.4434479322371699E-3</c:v>
                </c:pt>
                <c:pt idx="17">
                  <c:v>3.7867463876432484E-3</c:v>
                </c:pt>
                <c:pt idx="18">
                  <c:v>8.3582285780958554E-2</c:v>
                </c:pt>
                <c:pt idx="19">
                  <c:v>0.19868747583457896</c:v>
                </c:pt>
              </c:numCache>
            </c:numRef>
          </c:val>
          <c:extLst>
            <c:ext xmlns:c16="http://schemas.microsoft.com/office/drawing/2014/chart" uri="{C3380CC4-5D6E-409C-BE32-E72D297353CC}">
              <c16:uniqueId val="{00000002-B7D5-41AA-83CC-9F02B8636453}"/>
            </c:ext>
          </c:extLst>
        </c:ser>
        <c:ser>
          <c:idx val="4"/>
          <c:order val="3"/>
          <c:tx>
            <c:strRef>
              <c:f>'Figure 13 Refugees (€ billion)'!$F$4</c:f>
              <c:extLst xmlns:c15="http://schemas.microsoft.com/office/drawing/2012/chart"/>
            </c:strRef>
          </c:tx>
          <c:spPr>
            <a:solidFill>
              <a:schemeClr val="accent4">
                <a:lumMod val="60000"/>
              </a:schemeClr>
            </a:solidFill>
            <a:ln>
              <a:noFill/>
            </a:ln>
            <a:effectLst/>
          </c:spPr>
          <c:invertIfNegative val="0"/>
          <c:cat>
            <c:strRef>
              <c:f>'Figure 13 Refugees (€ billion)'!$B$5:$B$24</c:f>
              <c:strCache>
                <c:ptCount val="20"/>
                <c:pt idx="0">
                  <c:v>United States</c:v>
                </c:pt>
                <c:pt idx="1">
                  <c:v>Germany</c:v>
                </c:pt>
                <c:pt idx="2">
                  <c:v>Poland</c:v>
                </c:pt>
                <c:pt idx="3">
                  <c:v>United Kingdom</c:v>
                </c:pt>
                <c:pt idx="4">
                  <c:v>Canada</c:v>
                </c:pt>
                <c:pt idx="5">
                  <c:v>Czech Republic</c:v>
                </c:pt>
                <c:pt idx="6">
                  <c:v>France</c:v>
                </c:pt>
                <c:pt idx="7">
                  <c:v>Norway</c:v>
                </c:pt>
                <c:pt idx="8">
                  <c:v>Italy</c:v>
                </c:pt>
                <c:pt idx="9">
                  <c:v>Netherlands</c:v>
                </c:pt>
                <c:pt idx="10">
                  <c:v>Spain</c:v>
                </c:pt>
                <c:pt idx="11">
                  <c:v>Sweden</c:v>
                </c:pt>
                <c:pt idx="12">
                  <c:v>Austria</c:v>
                </c:pt>
                <c:pt idx="13">
                  <c:v>Denmark</c:v>
                </c:pt>
                <c:pt idx="14">
                  <c:v>Turkey</c:v>
                </c:pt>
                <c:pt idx="15">
                  <c:v>Slovakia</c:v>
                </c:pt>
                <c:pt idx="16">
                  <c:v>Japan</c:v>
                </c:pt>
                <c:pt idx="17">
                  <c:v>Bulgaria</c:v>
                </c:pt>
                <c:pt idx="18">
                  <c:v>Portugal</c:v>
                </c:pt>
                <c:pt idx="19">
                  <c:v>Lithuania</c:v>
                </c:pt>
              </c:strCache>
              <c:extLst xmlns:c15="http://schemas.microsoft.com/office/drawing/2012/chart"/>
            </c:strRef>
          </c:cat>
          <c:val>
            <c:numRef>
              <c:f>'Figure 13 Refugees (€ billion)'!$F$5:$F$24</c:f>
              <c:extLst xmlns:c15="http://schemas.microsoft.com/office/drawing/2012/chart"/>
            </c:numRef>
          </c:val>
          <c:extLst xmlns:c15="http://schemas.microsoft.com/office/drawing/2012/chart">
            <c:ext xmlns:c16="http://schemas.microsoft.com/office/drawing/2014/chart" uri="{C3380CC4-5D6E-409C-BE32-E72D297353CC}">
              <c16:uniqueId val="{00000000-1CF5-45F5-91AA-1830476D8225}"/>
            </c:ext>
          </c:extLst>
        </c:ser>
        <c:ser>
          <c:idx val="5"/>
          <c:order val="4"/>
          <c:tx>
            <c:strRef>
              <c:f>'Figure 13 Refugees (€ billion)'!$G$4</c:f>
              <c:strCache>
                <c:ptCount val="1"/>
                <c:pt idx="0">
                  <c:v>Refugee costs (baseline estimate)</c:v>
                </c:pt>
              </c:strCache>
            </c:strRef>
          </c:tx>
          <c:spPr>
            <a:solidFill>
              <a:schemeClr val="accent4"/>
            </a:solidFill>
            <a:ln>
              <a:solidFill>
                <a:schemeClr val="tx1"/>
              </a:solidFill>
            </a:ln>
            <a:effectLst/>
          </c:spPr>
          <c:invertIfNegative val="0"/>
          <c:cat>
            <c:strRef>
              <c:f>'Figure 13 Refugees (€ billion)'!$B$5:$B$24</c:f>
              <c:strCache>
                <c:ptCount val="20"/>
                <c:pt idx="0">
                  <c:v>United States</c:v>
                </c:pt>
                <c:pt idx="1">
                  <c:v>Germany</c:v>
                </c:pt>
                <c:pt idx="2">
                  <c:v>Poland</c:v>
                </c:pt>
                <c:pt idx="3">
                  <c:v>United Kingdom</c:v>
                </c:pt>
                <c:pt idx="4">
                  <c:v>Canada</c:v>
                </c:pt>
                <c:pt idx="5">
                  <c:v>Czech Republic</c:v>
                </c:pt>
                <c:pt idx="6">
                  <c:v>France</c:v>
                </c:pt>
                <c:pt idx="7">
                  <c:v>Norway</c:v>
                </c:pt>
                <c:pt idx="8">
                  <c:v>Italy</c:v>
                </c:pt>
                <c:pt idx="9">
                  <c:v>Netherlands</c:v>
                </c:pt>
                <c:pt idx="10">
                  <c:v>Spain</c:v>
                </c:pt>
                <c:pt idx="11">
                  <c:v>Sweden</c:v>
                </c:pt>
                <c:pt idx="12">
                  <c:v>Austria</c:v>
                </c:pt>
                <c:pt idx="13">
                  <c:v>Denmark</c:v>
                </c:pt>
                <c:pt idx="14">
                  <c:v>Turkey</c:v>
                </c:pt>
                <c:pt idx="15">
                  <c:v>Slovakia</c:v>
                </c:pt>
                <c:pt idx="16">
                  <c:v>Japan</c:v>
                </c:pt>
                <c:pt idx="17">
                  <c:v>Bulgaria</c:v>
                </c:pt>
                <c:pt idx="18">
                  <c:v>Portugal</c:v>
                </c:pt>
                <c:pt idx="19">
                  <c:v>Lithuania</c:v>
                </c:pt>
              </c:strCache>
            </c:strRef>
          </c:cat>
          <c:val>
            <c:numRef>
              <c:f>'Figure 13 Refugees (€ billion)'!$G$5:$G$24</c:f>
              <c:numCache>
                <c:formatCode>0.00</c:formatCode>
                <c:ptCount val="20"/>
                <c:pt idx="0">
                  <c:v>0</c:v>
                </c:pt>
                <c:pt idx="1">
                  <c:v>4.0866680000000004</c:v>
                </c:pt>
                <c:pt idx="2">
                  <c:v>6.0843400000000001</c:v>
                </c:pt>
                <c:pt idx="3">
                  <c:v>0.58479999999999999</c:v>
                </c:pt>
                <c:pt idx="4">
                  <c:v>0</c:v>
                </c:pt>
                <c:pt idx="5">
                  <c:v>1.8588039999999999</c:v>
                </c:pt>
                <c:pt idx="6">
                  <c:v>0.47597600000000001</c:v>
                </c:pt>
                <c:pt idx="7">
                  <c:v>0.12840799999999999</c:v>
                </c:pt>
                <c:pt idx="8">
                  <c:v>0.66160399999999997</c:v>
                </c:pt>
                <c:pt idx="9">
                  <c:v>0.317</c:v>
                </c:pt>
                <c:pt idx="10">
                  <c:v>0.621892</c:v>
                </c:pt>
                <c:pt idx="11">
                  <c:v>0.19344</c:v>
                </c:pt>
                <c:pt idx="12">
                  <c:v>0.35499199999999997</c:v>
                </c:pt>
                <c:pt idx="13">
                  <c:v>0.13977999999999999</c:v>
                </c:pt>
                <c:pt idx="14">
                  <c:v>0.57999999999999996</c:v>
                </c:pt>
                <c:pt idx="15">
                  <c:v>0.40911199999999998</c:v>
                </c:pt>
                <c:pt idx="16">
                  <c:v>0</c:v>
                </c:pt>
                <c:pt idx="17">
                  <c:v>0.58663600000000005</c:v>
                </c:pt>
                <c:pt idx="18">
                  <c:v>0.21149999999999999</c:v>
                </c:pt>
                <c:pt idx="19">
                  <c:v>0.28266799999999997</c:v>
                </c:pt>
              </c:numCache>
            </c:numRef>
          </c:val>
          <c:extLst>
            <c:ext xmlns:c16="http://schemas.microsoft.com/office/drawing/2014/chart" uri="{C3380CC4-5D6E-409C-BE32-E72D297353CC}">
              <c16:uniqueId val="{00000001-1CF5-45F5-91AA-1830476D8225}"/>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38662423865089113"/>
          <c:y val="0.22671337082311638"/>
          <c:w val="0.38085524341383237"/>
          <c:h val="0.27076249064319713"/>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6490471228034564"/>
          <c:y val="1.9085050156401683E-2"/>
          <c:w val="0.81214652946753241"/>
          <c:h val="0.93378313648293965"/>
        </c:manualLayout>
      </c:layout>
      <c:barChart>
        <c:barDir val="bar"/>
        <c:grouping val="stacked"/>
        <c:varyColors val="0"/>
        <c:ser>
          <c:idx val="0"/>
          <c:order val="0"/>
          <c:tx>
            <c:strRef>
              <c:f>'Figure 14 Refugees (% GDP)'!$C$4</c:f>
              <c:strCache>
                <c:ptCount val="1"/>
                <c:pt idx="0">
                  <c:v>Total bilateral commitments</c:v>
                </c:pt>
              </c:strCache>
            </c:strRef>
          </c:tx>
          <c:spPr>
            <a:solidFill>
              <a:schemeClr val="accent5">
                <a:lumMod val="75000"/>
              </a:schemeClr>
            </a:solidFill>
            <a:ln>
              <a:solidFill>
                <a:schemeClr val="tx1"/>
              </a:solidFill>
            </a:ln>
            <a:effectLst/>
          </c:spPr>
          <c:invertIfNegative val="0"/>
          <c:cat>
            <c:strRef>
              <c:f>'Figure 14 Refugees (% GDP)'!$B$5:$B$24</c:f>
              <c:strCache>
                <c:ptCount val="20"/>
                <c:pt idx="0">
                  <c:v>Estonia</c:v>
                </c:pt>
                <c:pt idx="1">
                  <c:v>Poland</c:v>
                </c:pt>
                <c:pt idx="2">
                  <c:v>Latvia</c:v>
                </c:pt>
                <c:pt idx="3">
                  <c:v>Czech Republic</c:v>
                </c:pt>
                <c:pt idx="4">
                  <c:v>Lithuania</c:v>
                </c:pt>
                <c:pt idx="5">
                  <c:v>Bulgaria</c:v>
                </c:pt>
                <c:pt idx="6">
                  <c:v>Slovakia</c:v>
                </c:pt>
                <c:pt idx="7">
                  <c:v>Norway</c:v>
                </c:pt>
                <c:pt idx="8">
                  <c:v>Cyprus</c:v>
                </c:pt>
                <c:pt idx="9">
                  <c:v>United Kingdom</c:v>
                </c:pt>
                <c:pt idx="10">
                  <c:v>Germany</c:v>
                </c:pt>
                <c:pt idx="11">
                  <c:v>Portugal</c:v>
                </c:pt>
                <c:pt idx="12">
                  <c:v>Canada</c:v>
                </c:pt>
                <c:pt idx="13">
                  <c:v>United States</c:v>
                </c:pt>
                <c:pt idx="14">
                  <c:v>Denmark</c:v>
                </c:pt>
                <c:pt idx="15">
                  <c:v>Austria</c:v>
                </c:pt>
                <c:pt idx="16">
                  <c:v>Sweden</c:v>
                </c:pt>
                <c:pt idx="17">
                  <c:v>Finland</c:v>
                </c:pt>
                <c:pt idx="18">
                  <c:v>Slovenia</c:v>
                </c:pt>
                <c:pt idx="19">
                  <c:v>Croatia</c:v>
                </c:pt>
              </c:strCache>
            </c:strRef>
          </c:cat>
          <c:val>
            <c:numRef>
              <c:f>'Figure 14 Refugees (% GDP)'!$C$5:$C$24</c:f>
              <c:numCache>
                <c:formatCode>0.00</c:formatCode>
                <c:ptCount val="20"/>
                <c:pt idx="0">
                  <c:v>1.0967029147130423</c:v>
                </c:pt>
                <c:pt idx="1">
                  <c:v>0.5046883315564662</c:v>
                </c:pt>
                <c:pt idx="2">
                  <c:v>0.93334096809499167</c:v>
                </c:pt>
                <c:pt idx="3">
                  <c:v>0.23997920991472438</c:v>
                </c:pt>
                <c:pt idx="4">
                  <c:v>0.46262413045723411</c:v>
                </c:pt>
                <c:pt idx="5">
                  <c:v>6.4508700761502875E-3</c:v>
                </c:pt>
                <c:pt idx="6">
                  <c:v>0.20530514413645537</c:v>
                </c:pt>
                <c:pt idx="7">
                  <c:v>0.33521922114706038</c:v>
                </c:pt>
                <c:pt idx="8">
                  <c:v>1.0192929245733395E-2</c:v>
                </c:pt>
                <c:pt idx="9">
                  <c:v>0.25750387809853476</c:v>
                </c:pt>
                <c:pt idx="10">
                  <c:v>0.14205294706259788</c:v>
                </c:pt>
                <c:pt idx="11">
                  <c:v>0.14700074113441991</c:v>
                </c:pt>
                <c:pt idx="12">
                  <c:v>0.23075429771221459</c:v>
                </c:pt>
                <c:pt idx="13">
                  <c:v>0.22901986013478723</c:v>
                </c:pt>
                <c:pt idx="14">
                  <c:v>0.18065743247726287</c:v>
                </c:pt>
                <c:pt idx="15">
                  <c:v>0.13436067454145792</c:v>
                </c:pt>
                <c:pt idx="16">
                  <c:v>0.14954186252553325</c:v>
                </c:pt>
                <c:pt idx="17">
                  <c:v>0.11375203300449048</c:v>
                </c:pt>
                <c:pt idx="18">
                  <c:v>0.11404669149459316</c:v>
                </c:pt>
                <c:pt idx="19">
                  <c:v>4.0159050650474405E-2</c:v>
                </c:pt>
              </c:numCache>
            </c:numRef>
          </c:val>
          <c:extLst>
            <c:ext xmlns:c16="http://schemas.microsoft.com/office/drawing/2014/chart" uri="{C3380CC4-5D6E-409C-BE32-E72D297353CC}">
              <c16:uniqueId val="{00000000-C87D-4FC8-BF56-3949AA19737F}"/>
            </c:ext>
          </c:extLst>
        </c:ser>
        <c:ser>
          <c:idx val="1"/>
          <c:order val="1"/>
          <c:tx>
            <c:strRef>
              <c:f>'Figure 14 Refugees (% GDP)'!$D$4</c:f>
              <c:strCache>
                <c:ptCount val="1"/>
                <c:pt idx="0">
                  <c:v>Refugee costs (baseline estimate)</c:v>
                </c:pt>
              </c:strCache>
            </c:strRef>
          </c:tx>
          <c:spPr>
            <a:solidFill>
              <a:schemeClr val="accent4"/>
            </a:solidFill>
            <a:ln>
              <a:solidFill>
                <a:schemeClr val="tx1"/>
              </a:solidFill>
            </a:ln>
            <a:effectLst/>
          </c:spPr>
          <c:invertIfNegative val="0"/>
          <c:cat>
            <c:strRef>
              <c:f>'Figure 14 Refugees (% GDP)'!$B$5:$B$24</c:f>
              <c:strCache>
                <c:ptCount val="20"/>
                <c:pt idx="0">
                  <c:v>Estonia</c:v>
                </c:pt>
                <c:pt idx="1">
                  <c:v>Poland</c:v>
                </c:pt>
                <c:pt idx="2">
                  <c:v>Latvia</c:v>
                </c:pt>
                <c:pt idx="3">
                  <c:v>Czech Republic</c:v>
                </c:pt>
                <c:pt idx="4">
                  <c:v>Lithuania</c:v>
                </c:pt>
                <c:pt idx="5">
                  <c:v>Bulgaria</c:v>
                </c:pt>
                <c:pt idx="6">
                  <c:v>Slovakia</c:v>
                </c:pt>
                <c:pt idx="7">
                  <c:v>Norway</c:v>
                </c:pt>
                <c:pt idx="8">
                  <c:v>Cyprus</c:v>
                </c:pt>
                <c:pt idx="9">
                  <c:v>United Kingdom</c:v>
                </c:pt>
                <c:pt idx="10">
                  <c:v>Germany</c:v>
                </c:pt>
                <c:pt idx="11">
                  <c:v>Portugal</c:v>
                </c:pt>
                <c:pt idx="12">
                  <c:v>Canada</c:v>
                </c:pt>
                <c:pt idx="13">
                  <c:v>United States</c:v>
                </c:pt>
                <c:pt idx="14">
                  <c:v>Denmark</c:v>
                </c:pt>
                <c:pt idx="15">
                  <c:v>Austria</c:v>
                </c:pt>
                <c:pt idx="16">
                  <c:v>Sweden</c:v>
                </c:pt>
                <c:pt idx="17">
                  <c:v>Finland</c:v>
                </c:pt>
                <c:pt idx="18">
                  <c:v>Slovenia</c:v>
                </c:pt>
                <c:pt idx="19">
                  <c:v>Croatia</c:v>
                </c:pt>
              </c:strCache>
            </c:strRef>
          </c:cat>
          <c:val>
            <c:numRef>
              <c:f>'Figure 14 Refugees (% GDP)'!$D$5:$D$24</c:f>
              <c:numCache>
                <c:formatCode>0.00</c:formatCode>
                <c:ptCount val="20"/>
                <c:pt idx="0">
                  <c:v>0.50719978832174195</c:v>
                </c:pt>
                <c:pt idx="1">
                  <c:v>1.0233633755752112</c:v>
                </c:pt>
                <c:pt idx="2">
                  <c:v>0.50970301999684342</c:v>
                </c:pt>
                <c:pt idx="3">
                  <c:v>0.76029794734900213</c:v>
                </c:pt>
                <c:pt idx="4">
                  <c:v>0.50163145463522707</c:v>
                </c:pt>
                <c:pt idx="5">
                  <c:v>0.84231610054838424</c:v>
                </c:pt>
                <c:pt idx="6">
                  <c:v>0.39035266613268704</c:v>
                </c:pt>
                <c:pt idx="7">
                  <c:v>3.557648432954616E-2</c:v>
                </c:pt>
                <c:pt idx="8">
                  <c:v>0.29823695538676254</c:v>
                </c:pt>
                <c:pt idx="9">
                  <c:v>2.1264074812615504E-2</c:v>
                </c:pt>
                <c:pt idx="10">
                  <c:v>0.10661804508387895</c:v>
                </c:pt>
                <c:pt idx="11">
                  <c:v>9.2868285062943312E-2</c:v>
                </c:pt>
                <c:pt idx="12">
                  <c:v>0</c:v>
                </c:pt>
                <c:pt idx="13">
                  <c:v>0</c:v>
                </c:pt>
                <c:pt idx="14">
                  <c:v>3.939207807397152E-2</c:v>
                </c:pt>
                <c:pt idx="15">
                  <c:v>8.2222159903763678E-2</c:v>
                </c:pt>
                <c:pt idx="16">
                  <c:v>3.5866564147677749E-2</c:v>
                </c:pt>
                <c:pt idx="17">
                  <c:v>6.5224284160048621E-2</c:v>
                </c:pt>
                <c:pt idx="18">
                  <c:v>6.1674784082991735E-2</c:v>
                </c:pt>
                <c:pt idx="19">
                  <c:v>0.13514076517321055</c:v>
                </c:pt>
              </c:numCache>
            </c:numRef>
          </c:val>
          <c:extLst>
            <c:ext xmlns:c16="http://schemas.microsoft.com/office/drawing/2014/chart" uri="{C3380CC4-5D6E-409C-BE32-E72D297353CC}">
              <c16:uniqueId val="{00000001-C87D-4FC8-BF56-3949AA19737F}"/>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56064744657625121"/>
          <c:y val="0.34862970253718284"/>
          <c:w val="0.35711862015361878"/>
          <c:h val="9.6148840769903765E-2"/>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4550381763470286"/>
          <c:y val="6.7125898120854829E-2"/>
          <c:w val="0.71855607419583578"/>
          <c:h val="0.82191641574935514"/>
        </c:manualLayout>
      </c:layout>
      <c:barChart>
        <c:barDir val="bar"/>
        <c:grouping val="stacked"/>
        <c:varyColors val="0"/>
        <c:ser>
          <c:idx val="8"/>
          <c:order val="0"/>
          <c:tx>
            <c:strRef>
              <c:f>'Figure 15 Aggreg. Heavy Weapons'!$L$4</c:f>
              <c:strCache>
                <c:ptCount val="1"/>
                <c:pt idx="0">
                  <c:v>Others (EU)</c:v>
                </c:pt>
              </c:strCache>
            </c:strRef>
          </c:tx>
          <c:spPr>
            <a:solidFill>
              <a:schemeClr val="accent2">
                <a:lumMod val="20000"/>
                <a:lumOff val="80000"/>
              </a:schemeClr>
            </a:solidFill>
            <a:ln>
              <a:solidFill>
                <a:schemeClr val="tx1"/>
              </a:solidFill>
            </a:ln>
            <a:effectLst/>
          </c:spPr>
          <c:invertIfNegative val="0"/>
          <c:dLbls>
            <c:dLbl>
              <c:idx val="1"/>
              <c:layout>
                <c:manualLayout>
                  <c:x val="0.25740719808628187"/>
                  <c:y val="-2.231607203153563E-4"/>
                </c:manualLayout>
              </c:layout>
              <c:tx>
                <c:rich>
                  <a:bodyPr/>
                  <a:lstStyle/>
                  <a:p>
                    <a:fld id="{80354279-EA7E-42A7-8120-CB859128E796}"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{80354279-EA7E-42A7-8120-CB859128E796}</c15:txfldGUID>
                      <c15:f>'Figure 15 Aggreg. Heavy Weapons'!$S$6</c15:f>
                      <c15:dlblFieldTableCache>
                        <c:ptCount val="1"/>
                        <c:pt idx="0">
                          <c:v>4717</c:v>
                        </c:pt>
                      </c15:dlblFieldTableCache>
                    </c15:dlblFTEntry>
                  </c15:dlblFieldTable>
                  <c15:showDataLabelsRange val="0"/>
                </c:ext>
                <c:ext xmlns:c16="http://schemas.microsoft.com/office/drawing/2014/chart" uri="{C3380CC4-5D6E-409C-BE32-E72D297353CC}">
                  <c16:uniqueId val="{00000000-09A0-46F6-A5E5-901199367421}"/>
                </c:ext>
              </c:extLst>
            </c:dLbl>
            <c:dLbl>
              <c:idx val="4"/>
              <c:layout>
                <c:manualLayout>
                  <c:x val="0.14925790730378366"/>
                  <c:y val="-2.2845229596536475E-3"/>
                </c:manualLayout>
              </c:layout>
              <c:tx>
                <c:rich>
                  <a:bodyPr/>
                  <a:lstStyle/>
                  <a:p>
                    <a:fld id="{90E981D5-A968-4269-AFD3-EC015D4D6181}"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{90E981D5-A968-4269-AFD3-EC015D4D6181}</c15:txfldGUID>
                      <c15:f>'Figure 15 Aggreg. Heavy Weapons'!$S$9</c15:f>
                      <c15:dlblFieldTableCache>
                        <c:ptCount val="1"/>
                        <c:pt idx="0">
                          <c:v>2470</c:v>
                        </c:pt>
                      </c15:dlblFieldTableCache>
                    </c15:dlblFTEntry>
                  </c15:dlblFieldTable>
                  <c15:showDataLabelsRange val="0"/>
                </c:ext>
                <c:ext xmlns:c16="http://schemas.microsoft.com/office/drawing/2014/chart" uri="{C3380CC4-5D6E-409C-BE32-E72D297353CC}">
                  <c16:uniqueId val="{00000001-09A0-46F6-A5E5-901199367421}"/>
                </c:ext>
              </c:extLst>
            </c:dLbl>
            <c:dLbl>
              <c:idx val="5"/>
              <c:layout>
                <c:manualLayout>
                  <c:x val="0.12022002366259214"/>
                  <c:y val="-6.8908106692151805E-3"/>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a:t>197 delivered, 50 to be</a:t>
                    </a:r>
                    <a:r>
                      <a:rPr lang="en-US" sz="1400" baseline="0"/>
                      <a:t>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(4% of NATO + EU stocks)</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0867871791588563"/>
                      <c:h val="7.8371479481392781E-2"/>
                    </c:manualLayout>
                  </c15:layout>
                  <c15:showDataLabelsRange val="0"/>
                </c:ext>
                <c:ext xmlns:c16="http://schemas.microsoft.com/office/drawing/2014/chart" uri="{C3380CC4-5D6E-409C-BE32-E72D297353CC}">
                  <c16:uniqueId val="{00000002-09A0-46F6-A5E5-901199367421}"/>
                </c:ext>
              </c:extLst>
            </c:dLbl>
            <c:dLbl>
              <c:idx val="8"/>
              <c:layout>
                <c:manualLayout>
                  <c:x val="9.5065221634154873E-2"/>
                  <c:y val="6.8177663849484154E-3"/>
                </c:manualLayout>
              </c:layout>
              <c:tx>
                <c:rich>
                  <a:bodyPr/>
                  <a:lstStyle/>
                  <a:p>
                    <a:r>
                      <a:rPr lang="en-US" sz="1400"/>
                      <a:t>38 delivered,</a:t>
                    </a:r>
                    <a:r>
                      <a:rPr lang="en-US" sz="1400" baseline="0"/>
                      <a:t> 26 to be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(5% of NATO + EU stocks)</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9A0-46F6-A5E5-90119936742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Weapons'!$L$5:$L$13</c:f>
              <c:numCache>
                <c:formatCode>General</c:formatCode>
                <c:ptCount val="9"/>
                <c:pt idx="1">
                  <c:v>1509</c:v>
                </c:pt>
                <c:pt idx="4">
                  <c:v>1031</c:v>
                </c:pt>
                <c:pt idx="5">
                  <c:v>52</c:v>
                </c:pt>
                <c:pt idx="8" formatCode="0">
                  <c:v>4</c:v>
                </c:pt>
              </c:numCache>
            </c:numRef>
          </c:val>
          <c:extLst>
            <c:ext xmlns:c16="http://schemas.microsoft.com/office/drawing/2014/chart" uri="{C3380CC4-5D6E-409C-BE32-E72D297353CC}">
              <c16:uniqueId val="{00000004-09A0-46F6-A5E5-901199367421}"/>
            </c:ext>
          </c:extLst>
        </c:ser>
        <c:ser>
          <c:idx val="2"/>
          <c:order val="1"/>
          <c:tx>
            <c:strRef>
              <c:f>'Figure 15 Aggreg. Heavy Weapons'!$F$4</c:f>
              <c:strCache>
                <c:ptCount val="1"/>
                <c:pt idx="0">
                  <c:v>Italy</c:v>
                </c:pt>
              </c:strCache>
            </c:strRef>
          </c:tx>
          <c:spPr>
            <a:solidFill>
              <a:schemeClr val="accent2">
                <a:shade val="58000"/>
              </a:schemeClr>
            </a:solidFill>
            <a:ln>
              <a:solidFill>
                <a:schemeClr val="tx1"/>
              </a:solidFill>
            </a:ln>
            <a:effectLst/>
          </c:spPr>
          <c:invertIfNegative val="0"/>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Weapons'!$F$5:$F$13</c:f>
              <c:numCache>
                <c:formatCode>General</c:formatCode>
                <c:ptCount val="9"/>
                <c:pt idx="4">
                  <c:v>233</c:v>
                </c:pt>
              </c:numCache>
            </c:numRef>
          </c:val>
          <c:extLst>
            <c:ext xmlns:c16="http://schemas.microsoft.com/office/drawing/2014/chart" uri="{C3380CC4-5D6E-409C-BE32-E72D297353CC}">
              <c16:uniqueId val="{00000005-09A0-46F6-A5E5-901199367421}"/>
            </c:ext>
          </c:extLst>
        </c:ser>
        <c:ser>
          <c:idx val="5"/>
          <c:order val="2"/>
          <c:tx>
            <c:strRef>
              <c:f>'Figure 15 Aggreg. Heavy Weapons'!$I$4</c:f>
              <c:strCache>
                <c:ptCount val="1"/>
                <c:pt idx="0">
                  <c:v>Germany</c:v>
                </c:pt>
              </c:strCache>
            </c:strRef>
          </c:tx>
          <c:spPr>
            <a:solidFill>
              <a:schemeClr val="accent2">
                <a:lumMod val="40000"/>
                <a:lumOff val="60000"/>
              </a:schemeClr>
            </a:solidFill>
            <a:ln>
              <a:solidFill>
                <a:schemeClr val="tx1"/>
              </a:solidFill>
            </a:ln>
            <a:effectLst/>
          </c:spPr>
          <c:invertIfNegative val="0"/>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Weapons'!$I$5:$I$13</c:f>
              <c:numCache>
                <c:formatCode>General</c:formatCode>
                <c:ptCount val="9"/>
                <c:pt idx="1">
                  <c:v>339</c:v>
                </c:pt>
                <c:pt idx="5">
                  <c:v>19</c:v>
                </c:pt>
                <c:pt idx="8">
                  <c:v>5</c:v>
                </c:pt>
              </c:numCache>
            </c:numRef>
          </c:val>
          <c:extLst>
            <c:ext xmlns:c16="http://schemas.microsoft.com/office/drawing/2014/chart" uri="{C3380CC4-5D6E-409C-BE32-E72D297353CC}">
              <c16:uniqueId val="{00000006-09A0-46F6-A5E5-901199367421}"/>
            </c:ext>
          </c:extLst>
        </c:ser>
        <c:ser>
          <c:idx val="1"/>
          <c:order val="3"/>
          <c:tx>
            <c:strRef>
              <c:f>'Figure 15 Aggreg. Heavy Weapons'!$E$4</c:f>
              <c:strCache>
                <c:ptCount val="1"/>
                <c:pt idx="0">
                  <c:v>Romania</c:v>
                </c:pt>
              </c:strCache>
            </c:strRef>
          </c:tx>
          <c:spPr>
            <a:solidFill>
              <a:schemeClr val="accent2">
                <a:lumMod val="60000"/>
                <a:lumOff val="40000"/>
              </a:schemeClr>
            </a:solidFill>
            <a:ln>
              <a:solidFill>
                <a:schemeClr val="tx1"/>
              </a:solidFill>
            </a:ln>
            <a:effectLst/>
          </c:spPr>
          <c:invertIfNegative val="0"/>
          <c:dLbls>
            <c:dLbl>
              <c:idx val="1"/>
              <c:tx>
                <c:rich>
                  <a:bodyPr/>
                  <a:lstStyle/>
                  <a:p>
                    <a:fld id="{29FE1B5C-9DEA-4BAA-94E1-E0FF50B98E82}" type="CELLREF">
                      <a:rPr lang="en-US" sz="1000"/>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{29FE1B5C-9DEA-4BAA-94E1-E0FF50B98E82}</c15:txfldGUID>
                      <c15:f>'Figure 15 Aggreg. Heavy Weapons'!$E$14</c15:f>
                      <c15:dlblFieldTableCache>
                        <c:ptCount val="1"/>
                        <c:pt idx="0">
                          <c:v>RO</c:v>
                        </c:pt>
                      </c15:dlblFieldTableCache>
                    </c15:dlblFTEntry>
                  </c15:dlblFieldTable>
                  <c15:showDataLabelsRange val="0"/>
                </c:ext>
                <c:ext xmlns:c16="http://schemas.microsoft.com/office/drawing/2014/chart" uri="{C3380CC4-5D6E-409C-BE32-E72D297353CC}">
                  <c16:uniqueId val="{00000007-09A0-46F6-A5E5-901199367421}"/>
                </c:ext>
              </c:extLst>
            </c:dLbl>
            <c:dLbl>
              <c:idx val="4"/>
              <c:tx>
                <c:rich>
                  <a:bodyPr/>
                  <a:lstStyle/>
                  <a:p>
                    <a:fld id="{92AECE46-2A9F-45B5-B690-65E460F10E59}" type="CELLREF">
                      <a:rPr lang="en-US" sz="1000"/>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{92AECE46-2A9F-45B5-B690-65E460F10E59}</c15:txfldGUID>
                      <c15:f>'Figure 15 Aggreg. Heavy Weapons'!$E$14</c15:f>
                      <c15:dlblFieldTableCache>
                        <c:ptCount val="1"/>
                        <c:pt idx="0">
                          <c:v>RO</c:v>
                        </c:pt>
                      </c15:dlblFieldTableCache>
                    </c15:dlblFTEntry>
                  </c15:dlblFieldTable>
                  <c15:showDataLabelsRange val="0"/>
                </c:ext>
                <c:ext xmlns:c16="http://schemas.microsoft.com/office/drawing/2014/chart" uri="{C3380CC4-5D6E-409C-BE32-E72D297353CC}">
                  <c16:uniqueId val="{00000008-09A0-46F6-A5E5-901199367421}"/>
                </c:ext>
              </c:extLst>
            </c:dLbl>
            <c:dLbl>
              <c:idx val="7"/>
              <c:delete val="1"/>
              <c:extLst>
                <c:ext xmlns:c15="http://schemas.microsoft.com/office/drawing/2012/chart" uri="{CE6537A1-D6FC-4f65-9D91-7224C49458BB}"/>
                <c:ext xmlns:c16="http://schemas.microsoft.com/office/drawing/2014/chart" uri="{C3380CC4-5D6E-409C-BE32-E72D297353CC}">
                  <c16:uniqueId val="{00000009-09A0-46F6-A5E5-90119936742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Weapons'!$E$5:$E$13</c:f>
              <c:numCache>
                <c:formatCode>General</c:formatCode>
                <c:ptCount val="9"/>
                <c:pt idx="1">
                  <c:v>377</c:v>
                </c:pt>
                <c:pt idx="4">
                  <c:v>351</c:v>
                </c:pt>
                <c:pt idx="7">
                  <c:v>188</c:v>
                </c:pt>
              </c:numCache>
            </c:numRef>
          </c:val>
          <c:extLst>
            <c:ext xmlns:c16="http://schemas.microsoft.com/office/drawing/2014/chart" uri="{C3380CC4-5D6E-409C-BE32-E72D297353CC}">
              <c16:uniqueId val="{0000000A-09A0-46F6-A5E5-901199367421}"/>
            </c:ext>
          </c:extLst>
        </c:ser>
        <c:ser>
          <c:idx val="3"/>
          <c:order val="4"/>
          <c:tx>
            <c:strRef>
              <c:f>'Figure 15 Aggreg. Heavy Weapons'!$G$4</c:f>
              <c:strCache>
                <c:ptCount val="1"/>
                <c:pt idx="0">
                  <c:v>Italy</c:v>
                </c:pt>
              </c:strCache>
            </c:strRef>
          </c:tx>
          <c:spPr>
            <a:solidFill>
              <a:schemeClr val="accent2">
                <a:shade val="67000"/>
              </a:schemeClr>
            </a:solidFill>
            <a:ln>
              <a:solidFill>
                <a:schemeClr val="tx1"/>
              </a:solidFill>
            </a:ln>
            <a:effectLst/>
          </c:spPr>
          <c:invertIfNegative val="0"/>
          <c:dLbls>
            <c:dLbl>
              <c:idx val="1"/>
              <c:tx>
                <c:rich>
                  <a:bodyPr/>
                  <a:lstStyle/>
                  <a:p>
                    <a:fld id="{CC7D0A02-4078-4782-A966-D1E5DD76DA28}"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{CC7D0A02-4078-4782-A966-D1E5DD76DA28}</c15:txfldGUID>
                      <c15:f>'Figure 15 Aggreg. Heavy Weapons'!$G$14</c15:f>
                      <c15:dlblFieldTableCache>
                        <c:ptCount val="1"/>
                        <c:pt idx="0">
                          <c:v>FR</c:v>
                        </c:pt>
                      </c15:dlblFieldTableCache>
                    </c15:dlblFTEntry>
                  </c15:dlblFieldTable>
                  <c15:showDataLabelsRange val="0"/>
                </c:ext>
                <c:ext xmlns:c16="http://schemas.microsoft.com/office/drawing/2014/chart" uri="{C3380CC4-5D6E-409C-BE32-E72D297353CC}">
                  <c16:uniqueId val="{0000000B-09A0-46F6-A5E5-90119936742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Weapons'!$G$5:$G$13</c:f>
              <c:numCache>
                <c:formatCode>General</c:formatCode>
                <c:ptCount val="9"/>
                <c:pt idx="1">
                  <c:v>467</c:v>
                </c:pt>
                <c:pt idx="5">
                  <c:v>36</c:v>
                </c:pt>
              </c:numCache>
            </c:numRef>
          </c:val>
          <c:extLst>
            <c:ext xmlns:c16="http://schemas.microsoft.com/office/drawing/2014/chart" uri="{C3380CC4-5D6E-409C-BE32-E72D297353CC}">
              <c16:uniqueId val="{0000000C-09A0-46F6-A5E5-901199367421}"/>
            </c:ext>
          </c:extLst>
        </c:ser>
        <c:ser>
          <c:idx val="4"/>
          <c:order val="5"/>
          <c:tx>
            <c:strRef>
              <c:f>'Figure 15 Aggreg. Heavy Weapons'!$H$4</c:f>
              <c:strCache>
                <c:ptCount val="1"/>
                <c:pt idx="0">
                  <c:v>France</c:v>
                </c:pt>
              </c:strCache>
            </c:strRef>
          </c:tx>
          <c:spPr>
            <a:solidFill>
              <a:schemeClr val="accent2">
                <a:lumMod val="75000"/>
              </a:schemeClr>
            </a:solidFill>
            <a:ln>
              <a:solidFill>
                <a:schemeClr val="tx1"/>
              </a:solidFill>
            </a:ln>
            <a:effectLst/>
          </c:spPr>
          <c:invertIfNegative val="0"/>
          <c:dLbls>
            <c:dLbl>
              <c:idx val="1"/>
              <c:tx>
                <c:rich>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fld id="{ED5D1C9D-7AF2-46E2-8F8E-9E6A15F5FAA3}" type="CELLREF">
                      <a:rPr lang="en-US" sz="1000"/>
                      <a:pPr>
                        <a:defRPr sz="1000">
                          <a:solidFill>
                            <a:schemeClr val="bg1"/>
                          </a:solidFill>
                        </a:defRPr>
                      </a:pPr>
                      <a:t>[]</a:t>
                    </a:fld>
                    <a:endParaRPr/>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{ED5D1C9D-7AF2-46E2-8F8E-9E6A15F5FAA3}</c15:txfldGUID>
                      <c15:f>'Figure 15 Aggreg. Heavy Weapons'!$H$14</c15:f>
                      <c15:dlblFieldTableCache>
                        <c:ptCount val="1"/>
                        <c:pt idx="0">
                          <c:v>PL</c:v>
                        </c:pt>
                      </c15:dlblFieldTableCache>
                    </c15:dlblFTEntry>
                  </c15:dlblFieldTable>
                  <c15:showDataLabelsRange val="0"/>
                </c:ext>
                <c:ext xmlns:c16="http://schemas.microsoft.com/office/drawing/2014/chart" uri="{C3380CC4-5D6E-409C-BE32-E72D297353CC}">
                  <c16:uniqueId val="{0000000D-09A0-46F6-A5E5-901199367421}"/>
                </c:ext>
              </c:extLst>
            </c:dLbl>
            <c:dLbl>
              <c:idx val="2"/>
              <c:delete val="1"/>
              <c:extLst>
                <c:ext xmlns:c15="http://schemas.microsoft.com/office/drawing/2012/chart" uri="{CE6537A1-D6FC-4f65-9D91-7224C49458BB}"/>
                <c:ext xmlns:c16="http://schemas.microsoft.com/office/drawing/2014/chart" uri="{C3380CC4-5D6E-409C-BE32-E72D297353CC}">
                  <c16:uniqueId val="{0000000E-09A0-46F6-A5E5-901199367421}"/>
                </c:ext>
              </c:extLst>
            </c:dLbl>
            <c:dLbl>
              <c:idx val="7"/>
              <c:layout>
                <c:manualLayout>
                  <c:x val="6.5462276668221783E-2"/>
                  <c:y val="1.7697122943328857E-7"/>
                </c:manualLayout>
              </c:layout>
              <c:tx>
                <c:rich>
                  <a:bodyPr/>
                  <a:lstStyle/>
                  <a:p>
                    <a:fld id="{D79FE503-9B92-40E9-89DE-C829BBD65C10}" type="CELLREF">
                      <a:rPr lang="en-US" sz="1400">
                        <a:solidFill>
                          <a:schemeClr val="tx1"/>
                        </a:solidFill>
                      </a:rPr>
                      <a:pPr/>
                      <a:t>[]</a:t>
                    </a:fld>
                    <a:r>
                      <a:rPr lang="en-US" sz="1400">
                        <a:solidFill>
                          <a:schemeClr val="tx1"/>
                        </a:solidFill>
                      </a:rPr>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{D79FE503-9B92-40E9-89DE-C829BBD65C10}</c15:txfldGUID>
                      <c15:f>'Figure 15 Aggreg. Heavy Weapons'!$S$12</c15:f>
                      <c15:dlblFieldTableCache>
                        <c:ptCount val="1"/>
                        <c:pt idx="0">
                          <c:v>512</c:v>
                        </c:pt>
                      </c15:dlblFieldTableCache>
                    </c15:dlblFTEntry>
                  </c15:dlblFieldTable>
                  <c15:showDataLabelsRange val="0"/>
                </c:ext>
                <c:ext xmlns:c16="http://schemas.microsoft.com/office/drawing/2014/chart" uri="{C3380CC4-5D6E-409C-BE32-E72D297353CC}">
                  <c16:uniqueId val="{0000000F-09A0-46F6-A5E5-90119936742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Weapons'!$H$5:$H$13</c:f>
              <c:numCache>
                <c:formatCode>General</c:formatCode>
                <c:ptCount val="9"/>
                <c:pt idx="1">
                  <c:v>797</c:v>
                </c:pt>
                <c:pt idx="2">
                  <c:v>240</c:v>
                </c:pt>
                <c:pt idx="4">
                  <c:v>183</c:v>
                </c:pt>
                <c:pt idx="5">
                  <c:v>24</c:v>
                </c:pt>
                <c:pt idx="7">
                  <c:v>179</c:v>
                </c:pt>
              </c:numCache>
            </c:numRef>
          </c:val>
          <c:extLst>
            <c:ext xmlns:c16="http://schemas.microsoft.com/office/drawing/2014/chart" uri="{C3380CC4-5D6E-409C-BE32-E72D297353CC}">
              <c16:uniqueId val="{00000010-09A0-46F6-A5E5-901199367421}"/>
            </c:ext>
          </c:extLst>
        </c:ser>
        <c:ser>
          <c:idx val="0"/>
          <c:order val="6"/>
          <c:tx>
            <c:strRef>
              <c:f>'Figure 15 Aggreg. Heavy Weapons'!$D$4</c:f>
              <c:strCache>
                <c:ptCount val="1"/>
                <c:pt idx="0">
                  <c:v>Greece</c:v>
                </c:pt>
              </c:strCache>
            </c:strRef>
          </c:tx>
          <c:spPr>
            <a:solidFill>
              <a:schemeClr val="accent2">
                <a:shade val="39000"/>
              </a:schemeClr>
            </a:solidFill>
            <a:ln>
              <a:solidFill>
                <a:schemeClr val="tx1"/>
              </a:solidFill>
            </a:ln>
            <a:effectLst/>
          </c:spPr>
          <c:invertIfNegative val="0"/>
          <c:dLbls>
            <c:dLbl>
              <c:idx val="1"/>
              <c:tx>
                <c:rich>
                  <a:bodyPr/>
                  <a:lstStyle/>
                  <a:p>
                    <a:fld id="{F41F69B4-5C47-48DE-AD9F-B46A42AF3AAB}"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{F41F69B4-5C47-48DE-AD9F-B46A42AF3AAB}</c15:txfldGUID>
                      <c15:f>'Figure 15 Aggreg. Heavy Weapons'!$D$14</c15:f>
                      <c15:dlblFieldTableCache>
                        <c:ptCount val="1"/>
                        <c:pt idx="0">
                          <c:v>GR</c:v>
                        </c:pt>
                      </c15:dlblFieldTableCache>
                    </c15:dlblFTEntry>
                  </c15:dlblFieldTable>
                  <c15:showDataLabelsRange val="0"/>
                </c:ext>
                <c:ext xmlns:c16="http://schemas.microsoft.com/office/drawing/2014/chart" uri="{C3380CC4-5D6E-409C-BE32-E72D297353CC}">
                  <c16:uniqueId val="{00000011-09A0-46F6-A5E5-901199367421}"/>
                </c:ext>
              </c:extLst>
            </c:dLbl>
            <c:dLbl>
              <c:idx val="4"/>
              <c:tx>
                <c:rich>
                  <a:bodyPr/>
                  <a:lstStyle/>
                  <a:p>
                    <a:fld id="{1A1DE76A-AF87-4FA6-80E5-772DD6C9D70B}"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{1A1DE76A-AF87-4FA6-80E5-772DD6C9D70B}</c15:txfldGUID>
                      <c15:f>'Figure 15 Aggreg. Heavy Weapons'!$D$14</c15:f>
                      <c15:dlblFieldTableCache>
                        <c:ptCount val="1"/>
                        <c:pt idx="0">
                          <c:v>GR</c:v>
                        </c:pt>
                      </c15:dlblFieldTableCache>
                    </c15:dlblFTEntry>
                  </c15:dlblFieldTable>
                  <c15:showDataLabelsRange val="0"/>
                </c:ext>
                <c:ext xmlns:c16="http://schemas.microsoft.com/office/drawing/2014/chart" uri="{C3380CC4-5D6E-409C-BE32-E72D297353CC}">
                  <c16:uniqueId val="{00000012-09A0-46F6-A5E5-901199367421}"/>
                </c:ext>
              </c:extLst>
            </c:dLbl>
            <c:dLbl>
              <c:idx val="7"/>
              <c:delete val="1"/>
              <c:extLst>
                <c:ext xmlns:c15="http://schemas.microsoft.com/office/drawing/2012/chart" uri="{CE6537A1-D6FC-4f65-9D91-7224C49458BB}"/>
                <c:ext xmlns:c16="http://schemas.microsoft.com/office/drawing/2014/chart" uri="{C3380CC4-5D6E-409C-BE32-E72D297353CC}">
                  <c16:uniqueId val="{00000013-09A0-46F6-A5E5-90119936742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Weapons'!$D$5:$D$13</c:f>
              <c:numCache>
                <c:formatCode>General</c:formatCode>
                <c:ptCount val="9"/>
                <c:pt idx="1">
                  <c:v>1228</c:v>
                </c:pt>
                <c:pt idx="4">
                  <c:v>672</c:v>
                </c:pt>
                <c:pt idx="7">
                  <c:v>145</c:v>
                </c:pt>
              </c:numCache>
            </c:numRef>
          </c:val>
          <c:extLst>
            <c:ext xmlns:c16="http://schemas.microsoft.com/office/drawing/2014/chart" uri="{C3380CC4-5D6E-409C-BE32-E72D297353CC}">
              <c16:uniqueId val="{00000014-09A0-46F6-A5E5-901199367421}"/>
            </c:ext>
          </c:extLst>
        </c:ser>
        <c:ser>
          <c:idx val="6"/>
          <c:order val="7"/>
          <c:tx>
            <c:strRef>
              <c:f>'Figure 15 Aggreg. Heavy Weapons'!$J$4</c:f>
              <c:strCache>
                <c:ptCount val="1"/>
                <c:pt idx="0">
                  <c:v>Czech Republic</c:v>
                </c:pt>
              </c:strCache>
            </c:strRef>
          </c:tx>
          <c:spPr>
            <a:solidFill>
              <a:schemeClr val="accent2">
                <a:shade val="95000"/>
              </a:schemeClr>
            </a:solidFill>
            <a:ln>
              <a:solidFill>
                <a:schemeClr val="tx1"/>
              </a:solidFill>
            </a:ln>
            <a:effectLst/>
          </c:spPr>
          <c:invertIfNegative val="0"/>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Weapons'!$J$5:$J$13</c:f>
              <c:numCache>
                <c:formatCode>General</c:formatCode>
                <c:ptCount val="9"/>
                <c:pt idx="2">
                  <c:v>130</c:v>
                </c:pt>
              </c:numCache>
            </c:numRef>
          </c:val>
          <c:extLst>
            <c:ext xmlns:c16="http://schemas.microsoft.com/office/drawing/2014/chart" uri="{C3380CC4-5D6E-409C-BE32-E72D297353CC}">
              <c16:uniqueId val="{00000015-09A0-46F6-A5E5-901199367421}"/>
            </c:ext>
          </c:extLst>
        </c:ser>
        <c:ser>
          <c:idx val="7"/>
          <c:order val="8"/>
          <c:tx>
            <c:strRef>
              <c:f>'Figure 15 Aggreg. Heavy Weapons'!$K$4</c:f>
              <c:strCache>
                <c:ptCount val="1"/>
                <c:pt idx="0">
                  <c:v>Slovenia</c:v>
                </c:pt>
              </c:strCache>
            </c:strRef>
          </c:tx>
          <c:spPr>
            <a:solidFill>
              <a:schemeClr val="accent2">
                <a:tint val="96000"/>
              </a:schemeClr>
            </a:solidFill>
            <a:ln>
              <a:solidFill>
                <a:schemeClr val="tx1"/>
              </a:solidFill>
            </a:ln>
            <a:effectLst/>
          </c:spPr>
          <c:invertIfNegative val="0"/>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Weapons'!$K$5:$K$13</c:f>
              <c:numCache>
                <c:formatCode>General</c:formatCode>
                <c:ptCount val="9"/>
                <c:pt idx="2">
                  <c:v>28</c:v>
                </c:pt>
                <c:pt idx="8">
                  <c:v>20</c:v>
                </c:pt>
              </c:numCache>
            </c:numRef>
          </c:val>
          <c:extLst>
            <c:ext xmlns:c16="http://schemas.microsoft.com/office/drawing/2014/chart" uri="{C3380CC4-5D6E-409C-BE32-E72D297353CC}">
              <c16:uniqueId val="{00000016-09A0-46F6-A5E5-901199367421}"/>
            </c:ext>
          </c:extLst>
        </c:ser>
        <c:ser>
          <c:idx val="13"/>
          <c:order val="9"/>
          <c:tx>
            <c:strRef>
              <c:f>'Figure 15 Aggreg. Heavy Weapons'!$Q$4</c:f>
              <c:strCache>
                <c:ptCount val="1"/>
                <c:pt idx="0">
                  <c:v>Others (NATO)</c:v>
                </c:pt>
              </c:strCache>
            </c:strRef>
          </c:tx>
          <c:spPr>
            <a:solidFill>
              <a:schemeClr val="accent1">
                <a:lumMod val="20000"/>
                <a:lumOff val="80000"/>
              </a:schemeClr>
            </a:solidFill>
            <a:ln>
              <a:solidFill>
                <a:schemeClr val="tx1"/>
              </a:solidFill>
            </a:ln>
            <a:effectLst/>
          </c:spPr>
          <c:invertIfNegative val="0"/>
          <c:dLbls>
            <c:dLbl>
              <c:idx val="0"/>
              <c:layout>
                <c:manualLayout>
                  <c:x val="0.6389379924346017"/>
                  <c:y val="5.3973609064112013E-7"/>
                </c:manualLayout>
              </c:layout>
              <c:tx>
                <c:rich>
                  <a:bodyPr/>
                  <a:lstStyle/>
                  <a:p>
                    <a:fld id="{46FFC7B8-3A8F-460A-969E-C89BCCD59BD2}"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{46FFC7B8-3A8F-460A-969E-C89BCCD59BD2}</c15:txfldGUID>
                      <c15:f>'Figure 15 Aggreg. Heavy Weapons'!$S$5</c15:f>
                      <c15:dlblFieldTableCache>
                        <c:ptCount val="1"/>
                        <c:pt idx="0">
                          <c:v>11531</c:v>
                        </c:pt>
                      </c15:dlblFieldTableCache>
                    </c15:dlblFTEntry>
                  </c15:dlblFieldTable>
                  <c15:showDataLabelsRange val="0"/>
                </c:ext>
                <c:ext xmlns:c16="http://schemas.microsoft.com/office/drawing/2014/chart" uri="{C3380CC4-5D6E-409C-BE32-E72D297353CC}">
                  <c16:uniqueId val="{00000017-09A0-46F6-A5E5-901199367421}"/>
                </c:ext>
              </c:extLst>
            </c:dLbl>
            <c:dLbl>
              <c:idx val="2"/>
              <c:layout>
                <c:manualLayout>
                  <c:x val="0.10918456608291952"/>
                  <c:y val="-4.2691325649410047E-3"/>
                </c:manualLayout>
              </c:layout>
              <c:tx>
                <c:rich>
                  <a:bodyPr/>
                  <a:lstStyle/>
                  <a:p>
                    <a:r>
                      <a:rPr lang="en-US" sz="1400"/>
                      <a:t>252 delivered, 36 to</a:t>
                    </a:r>
                    <a:r>
                      <a:rPr lang="en-US" sz="1400" baseline="0"/>
                      <a:t> be delivered</a:t>
                    </a:r>
                    <a:r>
                      <a:rPr lang="en-US" sz="1400"/>
                      <a:t> </a:t>
                    </a:r>
                    <a:br>
                      <a:rPr lang="en-US" sz="1400"/>
                    </a:br>
                    <a:r>
                      <a:rPr lang="en-US" sz="1400"/>
                      <a:t>(2% of NATO</a:t>
                    </a:r>
                    <a:r>
                      <a:rPr lang="en-US" sz="1400" baseline="0"/>
                      <a:t> + EU stocks)</a:t>
                    </a:r>
                    <a:r>
                      <a:rPr lang="en-US" sz="1400"/>
                      <a:t> </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09A0-46F6-A5E5-901199367421}"/>
                </c:ext>
              </c:extLst>
            </c:dLbl>
            <c:dLbl>
              <c:idx val="3"/>
              <c:layout>
                <c:manualLayout>
                  <c:x val="0.25903270662132899"/>
                  <c:y val="2.1735606398996916E-3"/>
                </c:manualLayout>
              </c:layout>
              <c:tx>
                <c:rich>
                  <a:bodyPr/>
                  <a:lstStyle/>
                  <a:p>
                    <a:fld id="{EBD2F0EA-51E7-430C-BF6D-D430148A326C}"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{EBD2F0EA-51E7-430C-BF6D-D430148A326C}</c15:txfldGUID>
                      <c15:f>'Figure 15 Aggreg. Heavy Weapons'!$S$8</c15:f>
                      <c15:dlblFieldTableCache>
                        <c:ptCount val="1"/>
                        <c:pt idx="0">
                          <c:v>4122</c:v>
                        </c:pt>
                      </c15:dlblFieldTableCache>
                    </c15:dlblFTEntry>
                  </c15:dlblFieldTable>
                  <c15:showDataLabelsRange val="0"/>
                </c:ext>
                <c:ext xmlns:c16="http://schemas.microsoft.com/office/drawing/2014/chart" uri="{C3380CC4-5D6E-409C-BE32-E72D297353CC}">
                  <c16:uniqueId val="{00000019-09A0-46F6-A5E5-901199367421}"/>
                </c:ext>
              </c:extLst>
            </c:dLbl>
            <c:dLbl>
              <c:idx val="5"/>
              <c:delete val="1"/>
              <c:extLst>
                <c:ext xmlns:c15="http://schemas.microsoft.com/office/drawing/2012/chart" uri="{CE6537A1-D6FC-4f65-9D91-7224C49458BB}"/>
                <c:ext xmlns:c16="http://schemas.microsoft.com/office/drawing/2014/chart" uri="{C3380CC4-5D6E-409C-BE32-E72D297353CC}">
                  <c16:uniqueId val="{0000001A-09A0-46F6-A5E5-901199367421}"/>
                </c:ext>
              </c:extLst>
            </c:dLbl>
            <c:dLbl>
              <c:idx val="6"/>
              <c:layout>
                <c:manualLayout>
                  <c:x val="9.378319331571866E-2"/>
                  <c:y val="5.3091368821745704E-7"/>
                </c:manualLayout>
              </c:layout>
              <c:tx>
                <c:rich>
                  <a:bodyPr/>
                  <a:lstStyle/>
                  <a:p>
                    <a:fld id="{F0DB05B6-125E-47C0-B805-A633386300CC}"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{F0DB05B6-125E-47C0-B805-A633386300CC}</c15:txfldGUID>
                      <c15:f>'Figure 15 Aggreg. Heavy Weapons'!$S$11</c15:f>
                      <c15:dlblFieldTableCache>
                        <c:ptCount val="1"/>
                        <c:pt idx="0">
                          <c:v>828</c:v>
                        </c:pt>
                      </c15:dlblFieldTableCache>
                    </c15:dlblFTEntry>
                  </c15:dlblFieldTable>
                  <c15:showDataLabelsRange val="0"/>
                </c:ext>
                <c:ext xmlns:c16="http://schemas.microsoft.com/office/drawing/2014/chart" uri="{C3380CC4-5D6E-409C-BE32-E72D297353CC}">
                  <c16:uniqueId val="{0000001B-09A0-46F6-A5E5-90119936742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Weapons'!$Q$5:$Q$13</c:f>
              <c:numCache>
                <c:formatCode>General</c:formatCode>
                <c:ptCount val="9"/>
                <c:pt idx="0">
                  <c:v>186</c:v>
                </c:pt>
                <c:pt idx="2">
                  <c:v>0</c:v>
                </c:pt>
                <c:pt idx="3">
                  <c:v>90</c:v>
                </c:pt>
                <c:pt idx="5">
                  <c:v>0</c:v>
                </c:pt>
                <c:pt idx="6">
                  <c:v>12</c:v>
                </c:pt>
              </c:numCache>
            </c:numRef>
          </c:val>
          <c:extLst>
            <c:ext xmlns:c16="http://schemas.microsoft.com/office/drawing/2014/chart" uri="{C3380CC4-5D6E-409C-BE32-E72D297353CC}">
              <c16:uniqueId val="{0000001C-09A0-46F6-A5E5-901199367421}"/>
            </c:ext>
          </c:extLst>
        </c:ser>
        <c:ser>
          <c:idx val="12"/>
          <c:order val="10"/>
          <c:tx>
            <c:strRef>
              <c:f>'Figure 15 Aggreg. Heavy Weapons'!$P$4</c:f>
              <c:strCache>
                <c:ptCount val="1"/>
                <c:pt idx="0">
                  <c:v>Norway</c:v>
                </c:pt>
              </c:strCache>
            </c:strRef>
          </c:tx>
          <c:spPr>
            <a:solidFill>
              <a:schemeClr val="accent1">
                <a:lumMod val="20000"/>
                <a:lumOff val="80000"/>
              </a:schemeClr>
            </a:solidFill>
            <a:ln>
              <a:solidFill>
                <a:schemeClr val="tx1"/>
              </a:solidFill>
            </a:ln>
            <a:effectLst/>
          </c:spPr>
          <c:invertIfNegative val="0"/>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Weapons'!$P$5:$P$13</c:f>
              <c:numCache>
                <c:formatCode>General</c:formatCode>
                <c:ptCount val="9"/>
                <c:pt idx="5">
                  <c:v>27</c:v>
                </c:pt>
                <c:pt idx="6">
                  <c:v>0</c:v>
                </c:pt>
              </c:numCache>
            </c:numRef>
          </c:val>
          <c:extLst>
            <c:ext xmlns:c16="http://schemas.microsoft.com/office/drawing/2014/chart" uri="{C3380CC4-5D6E-409C-BE32-E72D297353CC}">
              <c16:uniqueId val="{0000001D-09A0-46F6-A5E5-901199367421}"/>
            </c:ext>
          </c:extLst>
        </c:ser>
        <c:ser>
          <c:idx val="11"/>
          <c:order val="11"/>
          <c:tx>
            <c:strRef>
              <c:f>'Figure 15 Aggreg. Heavy Weapons'!$O$4</c:f>
              <c:strCache>
                <c:ptCount val="1"/>
                <c:pt idx="0">
                  <c:v>United Kingdom</c:v>
                </c:pt>
              </c:strCache>
            </c:strRef>
          </c:tx>
          <c:spPr>
            <a:solidFill>
              <a:schemeClr val="accent1">
                <a:lumMod val="60000"/>
                <a:lumOff val="40000"/>
              </a:schemeClr>
            </a:solidFill>
            <a:ln>
              <a:solidFill>
                <a:schemeClr val="tx1"/>
              </a:solidFill>
            </a:ln>
            <a:effectLst/>
          </c:spPr>
          <c:invertIfNegative val="0"/>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Weapons'!$O$5:$O$13</c:f>
              <c:numCache>
                <c:formatCode>General</c:formatCode>
                <c:ptCount val="9"/>
                <c:pt idx="0">
                  <c:v>227</c:v>
                </c:pt>
                <c:pt idx="2">
                  <c:v>0</c:v>
                </c:pt>
                <c:pt idx="3">
                  <c:v>109</c:v>
                </c:pt>
                <c:pt idx="5">
                  <c:v>28</c:v>
                </c:pt>
                <c:pt idx="6">
                  <c:v>35</c:v>
                </c:pt>
                <c:pt idx="8">
                  <c:v>3</c:v>
                </c:pt>
              </c:numCache>
            </c:numRef>
          </c:val>
          <c:extLst>
            <c:ext xmlns:c16="http://schemas.microsoft.com/office/drawing/2014/chart" uri="{C3380CC4-5D6E-409C-BE32-E72D297353CC}">
              <c16:uniqueId val="{0000001E-09A0-46F6-A5E5-901199367421}"/>
            </c:ext>
          </c:extLst>
        </c:ser>
        <c:ser>
          <c:idx val="10"/>
          <c:order val="12"/>
          <c:tx>
            <c:strRef>
              <c:f>'Figure 15 Aggreg. Heavy Weapons'!$N$4</c:f>
              <c:strCache>
                <c:ptCount val="1"/>
                <c:pt idx="0">
                  <c:v>Turkey</c:v>
                </c:pt>
              </c:strCache>
            </c:strRef>
          </c:tx>
          <c:spPr>
            <a:solidFill>
              <a:schemeClr val="accent1">
                <a:lumMod val="75000"/>
              </a:schemeClr>
            </a:solidFill>
            <a:ln w="9525">
              <a:solidFill>
                <a:schemeClr val="tx1"/>
              </a:solidFill>
            </a:ln>
            <a:effectLst/>
          </c:spPr>
          <c:invertIfNegative val="0"/>
          <c:dLbls>
            <c:dLbl>
              <c:idx val="0"/>
              <c:tx>
                <c:rich>
                  <a:bodyPr/>
                  <a:lstStyle/>
                  <a:p>
                    <a:fld id="{841FA7C6-6CFD-492F-A87C-6460CAE11EDA}"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{841FA7C6-6CFD-492F-A87C-6460CAE11EDA}</c15:txfldGUID>
                      <c15:f>'Figure 15 Aggreg. Heavy Weapons'!$N$14</c15:f>
                      <c15:dlblFieldTableCache>
                        <c:ptCount val="1"/>
                        <c:pt idx="0">
                          <c:v>TUR</c:v>
                        </c:pt>
                      </c15:dlblFieldTableCache>
                    </c15:dlblFTEntry>
                  </c15:dlblFieldTable>
                  <c15:showDataLabelsRange val="0"/>
                </c:ext>
                <c:ext xmlns:c16="http://schemas.microsoft.com/office/drawing/2014/chart" uri="{C3380CC4-5D6E-409C-BE32-E72D297353CC}">
                  <c16:uniqueId val="{0000001F-09A0-46F6-A5E5-901199367421}"/>
                </c:ext>
              </c:extLst>
            </c:dLbl>
            <c:dLbl>
              <c:idx val="2"/>
              <c:delete val="1"/>
              <c:extLst>
                <c:ext xmlns:c15="http://schemas.microsoft.com/office/drawing/2012/chart" uri="{CE6537A1-D6FC-4f65-9D91-7224C49458BB}"/>
                <c:ext xmlns:c16="http://schemas.microsoft.com/office/drawing/2014/chart" uri="{C3380CC4-5D6E-409C-BE32-E72D297353CC}">
                  <c16:uniqueId val="{00000020-09A0-46F6-A5E5-901199367421}"/>
                </c:ext>
              </c:extLst>
            </c:dLbl>
            <c:dLbl>
              <c:idx val="3"/>
              <c:tx>
                <c:rich>
                  <a:bodyPr/>
                  <a:lstStyle/>
                  <a:p>
                    <a:fld id="{2B69E580-46CE-49CC-8F5C-E3606F7061CF}"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{2B69E580-46CE-49CC-8F5C-E3606F7061CF}</c15:txfldGUID>
                      <c15:f>'Figure 15 Aggreg. Heavy Weapons'!$N$14</c15:f>
                      <c15:dlblFieldTableCache>
                        <c:ptCount val="1"/>
                        <c:pt idx="0">
                          <c:v>TUR</c:v>
                        </c:pt>
                      </c15:dlblFieldTableCache>
                    </c15:dlblFTEntry>
                  </c15:dlblFieldTable>
                  <c15:showDataLabelsRange val="0"/>
                </c:ext>
                <c:ext xmlns:c16="http://schemas.microsoft.com/office/drawing/2014/chart" uri="{C3380CC4-5D6E-409C-BE32-E72D297353CC}">
                  <c16:uniqueId val="{00000021-09A0-46F6-A5E5-901199367421}"/>
                </c:ext>
              </c:extLst>
            </c:dLbl>
            <c:dLbl>
              <c:idx val="6"/>
              <c:delete val="1"/>
              <c:extLst>
                <c:ext xmlns:c15="http://schemas.microsoft.com/office/drawing/2012/chart" uri="{CE6537A1-D6FC-4f65-9D91-7224C49458BB}"/>
                <c:ext xmlns:c16="http://schemas.microsoft.com/office/drawing/2014/chart" uri="{C3380CC4-5D6E-409C-BE32-E72D297353CC}">
                  <c16:uniqueId val="{00000022-09A0-46F6-A5E5-901199367421}"/>
                </c:ext>
              </c:extLst>
            </c:dLbl>
            <c:dLbl>
              <c:idx val="8"/>
              <c:delete val="1"/>
              <c:extLst>
                <c:ext xmlns:c15="http://schemas.microsoft.com/office/drawing/2012/chart" uri="{CE6537A1-D6FC-4f65-9D91-7224C49458BB}"/>
                <c:ext xmlns:c16="http://schemas.microsoft.com/office/drawing/2014/chart" uri="{C3380CC4-5D6E-409C-BE32-E72D297353CC}">
                  <c16:uniqueId val="{00000023-09A0-46F6-A5E5-90119936742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Weapons'!$N$5:$N$13</c:f>
              <c:numCache>
                <c:formatCode>General</c:formatCode>
                <c:ptCount val="9"/>
                <c:pt idx="0">
                  <c:v>5023</c:v>
                </c:pt>
                <c:pt idx="2">
                  <c:v>0</c:v>
                </c:pt>
                <c:pt idx="3">
                  <c:v>1385</c:v>
                </c:pt>
                <c:pt idx="6">
                  <c:v>146</c:v>
                </c:pt>
                <c:pt idx="8">
                  <c:v>6</c:v>
                </c:pt>
              </c:numCache>
            </c:numRef>
          </c:val>
          <c:extLst>
            <c:ext xmlns:c16="http://schemas.microsoft.com/office/drawing/2014/chart" uri="{C3380CC4-5D6E-409C-BE32-E72D297353CC}">
              <c16:uniqueId val="{00000024-09A0-46F6-A5E5-901199367421}"/>
            </c:ext>
          </c:extLst>
        </c:ser>
        <c:ser>
          <c:idx val="9"/>
          <c:order val="13"/>
          <c:tx>
            <c:strRef>
              <c:f>'Figure 15 Aggreg. Heavy Weapons'!$M$4</c:f>
              <c:strCache>
                <c:ptCount val="1"/>
                <c:pt idx="0">
                  <c:v>United States</c:v>
                </c:pt>
              </c:strCache>
            </c:strRef>
          </c:tx>
          <c:spPr>
            <a:solidFill>
              <a:schemeClr val="accent1">
                <a:lumMod val="50000"/>
              </a:schemeClr>
            </a:solidFill>
            <a:ln>
              <a:solidFill>
                <a:schemeClr val="tx1"/>
              </a:solidFill>
            </a:ln>
            <a:effectLst/>
          </c:spPr>
          <c:invertIfNegative val="0"/>
          <c:dLbls>
            <c:dLbl>
              <c:idx val="0"/>
              <c:tx>
                <c:rich>
                  <a:bodyPr/>
                  <a:lstStyle/>
                  <a:p>
                    <a:fld id="{87EA653D-E90C-43C8-BF1B-C459DBEFC21D}" type="CELLREF">
                      <a:rPr lang="en-US"/>
                      <a:pPr/>
                      <a:t>[]</a:t>
                    </a:fld>
                    <a:endParaRPr/>
                  </a:p>
                </c:rich>
              </c:tx>
              <c:showLegendKey val="0"/>
              <c:showVal val="0"/>
              <c:showCatName val="0"/>
              <c:showSerName val="1"/>
              <c:showPercent val="0"/>
              <c:showBubbleSize val="0"/>
              <c:extLst>
                <c:ext xmlns:c15="http://schemas.microsoft.com/office/drawing/2012/chart" uri="{CE6537A1-D6FC-4f65-9D91-7224C49458BB}">
                  <c15:dlblFieldTable>
                    <c15:dlblFTEntry>
                      <c15:txfldGUID>{87EA653D-E90C-43C8-BF1B-C459DBEFC21D}</c15:txfldGUID>
                      <c15:f>'Figure 15 Aggreg. Heavy Weapons'!$M$14</c15:f>
                      <c15:dlblFieldTableCache>
                        <c:ptCount val="1"/>
                        <c:pt idx="0">
                          <c:v>US</c:v>
                        </c:pt>
                      </c15:dlblFieldTableCache>
                    </c15:dlblFTEntry>
                  </c15:dlblFieldTable>
                  <c15:showDataLabelsRange val="0"/>
                </c:ext>
                <c:ext xmlns:c16="http://schemas.microsoft.com/office/drawing/2014/chart" uri="{C3380CC4-5D6E-409C-BE32-E72D297353CC}">
                  <c16:uniqueId val="{00000025-09A0-46F6-A5E5-901199367421}"/>
                </c:ext>
              </c:extLst>
            </c:dLbl>
            <c:dLbl>
              <c:idx val="2"/>
              <c:delete val="1"/>
              <c:extLst>
                <c:ext xmlns:c15="http://schemas.microsoft.com/office/drawing/2012/chart" uri="{CE6537A1-D6FC-4f65-9D91-7224C49458BB}"/>
                <c:ext xmlns:c16="http://schemas.microsoft.com/office/drawing/2014/chart" uri="{C3380CC4-5D6E-409C-BE32-E72D297353CC}">
                  <c16:uniqueId val="{00000026-09A0-46F6-A5E5-901199367421}"/>
                </c:ext>
              </c:extLst>
            </c:dLbl>
            <c:dLbl>
              <c:idx val="3"/>
              <c:tx>
                <c:rich>
                  <a:bodyPr/>
                  <a:lstStyle/>
                  <a:p>
                    <a:fld id="{2F6135A3-5966-43E2-A5F5-F1B136BE8D6F}"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{2F6135A3-5966-43E2-A5F5-F1B136BE8D6F}</c15:txfldGUID>
                      <c15:f>'Figure 15 Aggreg. Heavy Weapons'!$M$14</c15:f>
                      <c15:dlblFieldTableCache>
                        <c:ptCount val="1"/>
                        <c:pt idx="0">
                          <c:v>US</c:v>
                        </c:pt>
                      </c15:dlblFieldTableCache>
                    </c15:dlblFTEntry>
                  </c15:dlblFieldTable>
                  <c15:showDataLabelsRange val="0"/>
                </c:ext>
                <c:ext xmlns:c16="http://schemas.microsoft.com/office/drawing/2014/chart" uri="{C3380CC4-5D6E-409C-BE32-E72D297353CC}">
                  <c16:uniqueId val="{00000027-09A0-46F6-A5E5-901199367421}"/>
                </c:ext>
              </c:extLst>
            </c:dLbl>
            <c:dLbl>
              <c:idx val="5"/>
              <c:delete val="1"/>
              <c:extLst>
                <c:ext xmlns:c15="http://schemas.microsoft.com/office/drawing/2012/chart" uri="{CE6537A1-D6FC-4f65-9D91-7224C49458BB}"/>
                <c:ext xmlns:c16="http://schemas.microsoft.com/office/drawing/2014/chart" uri="{C3380CC4-5D6E-409C-BE32-E72D297353CC}">
                  <c16:uniqueId val="{00000028-09A0-46F6-A5E5-901199367421}"/>
                </c:ext>
              </c:extLst>
            </c:dLbl>
            <c:dLbl>
              <c:idx val="6"/>
              <c:tx>
                <c:rich>
                  <a:bodyPr/>
                  <a:lstStyle/>
                  <a:p>
                    <a:fld id="{64229069-88EF-4D55-96CD-268D3ACBE5B6}"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{64229069-88EF-4D55-96CD-268D3ACBE5B6}</c15:txfldGUID>
                      <c15:f>'Figure 15 Aggreg. Heavy Weapons'!$M$14</c15:f>
                      <c15:dlblFieldTableCache>
                        <c:ptCount val="1"/>
                        <c:pt idx="0">
                          <c:v>US</c:v>
                        </c:pt>
                      </c15:dlblFieldTableCache>
                    </c15:dlblFTEntry>
                  </c15:dlblFieldTable>
                  <c15:showDataLabelsRange val="0"/>
                </c:ext>
                <c:ext xmlns:c16="http://schemas.microsoft.com/office/drawing/2014/chart" uri="{C3380CC4-5D6E-409C-BE32-E72D297353CC}">
                  <c16:uniqueId val="{00000029-09A0-46F6-A5E5-901199367421}"/>
                </c:ext>
              </c:extLst>
            </c:dLbl>
            <c:dLbl>
              <c:idx val="8"/>
              <c:delete val="1"/>
              <c:extLst>
                <c:ext xmlns:c15="http://schemas.microsoft.com/office/drawing/2012/chart" uri="{CE6537A1-D6FC-4f65-9D91-7224C49458BB}"/>
                <c:ext xmlns:c16="http://schemas.microsoft.com/office/drawing/2014/chart" uri="{C3380CC4-5D6E-409C-BE32-E72D297353CC}">
                  <c16:uniqueId val="{0000002A-09A0-46F6-A5E5-90119936742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15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15 Aggreg. Heavy Weapons'!$M$5:$M$13</c:f>
              <c:numCache>
                <c:formatCode>General</c:formatCode>
                <c:ptCount val="9"/>
                <c:pt idx="0">
                  <c:v>6095</c:v>
                </c:pt>
                <c:pt idx="2">
                  <c:v>45</c:v>
                </c:pt>
                <c:pt idx="3">
                  <c:v>2538</c:v>
                </c:pt>
                <c:pt idx="5">
                  <c:v>126</c:v>
                </c:pt>
                <c:pt idx="6">
                  <c:v>635</c:v>
                </c:pt>
                <c:pt idx="8">
                  <c:v>38</c:v>
                </c:pt>
              </c:numCache>
            </c:numRef>
          </c:val>
          <c:extLst>
            <c:ext xmlns:c16="http://schemas.microsoft.com/office/drawing/2014/chart" uri="{C3380CC4-5D6E-409C-BE32-E72D297353CC}">
              <c16:uniqueId val="{0000002B-09A0-46F6-A5E5-901199367421}"/>
            </c:ext>
          </c:extLst>
        </c:ser>
        <c:dLbls>
          <c:showLegendKey val="0"/>
          <c:showVal val="0"/>
          <c:showCatName val="0"/>
          <c:showSerName val="0"/>
          <c:showPercent val="0"/>
          <c:showBubbleSize val="0"/>
        </c:dLbls>
        <c:gapWidth val="65"/>
        <c:overlap val="100"/>
        <c:axId val="768358160"/>
        <c:axId val="768358576"/>
      </c:barChart>
      <c:catAx>
        <c:axId val="768358160"/>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8358576"/>
        <c:crosses val="autoZero"/>
        <c:auto val="1"/>
        <c:lblAlgn val="ctr"/>
        <c:lblOffset val="100"/>
        <c:noMultiLvlLbl val="0"/>
      </c:catAx>
      <c:valAx>
        <c:axId val="768358576"/>
        <c:scaling>
          <c:orientation val="minMax"/>
          <c:max val="140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GB" sz="1800" b="0" i="0" baseline="0">
                    <a:effectLst/>
                  </a:rPr>
                  <a:t>Number of units (on stock vs to Ukraine)</a:t>
                </a:r>
                <a:endParaRPr lang="en-GB">
                  <a:effectLst/>
                </a:endParaRPr>
              </a:p>
            </c:rich>
          </c:tx>
          <c:layout>
            <c:manualLayout>
              <c:xMode val="edge"/>
              <c:yMode val="edge"/>
              <c:x val="0.68618341503267977"/>
              <c:y val="0.8361902116402116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8358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stacked"/>
        <c:varyColors val="0"/>
        <c:ser>
          <c:idx val="0"/>
          <c:order val="0"/>
          <c:tx>
            <c:strRef>
              <c:f>'Figure 16 Heavy Weapons Ranking'!$E$4</c:f>
              <c:strCache>
                <c:ptCount val="1"/>
                <c:pt idx="0">
                  <c:v>Average total (delivered)</c:v>
                </c:pt>
              </c:strCache>
            </c:strRef>
          </c:tx>
          <c:spPr>
            <a:solidFill>
              <a:srgbClr val="C65911"/>
            </a:solidFill>
            <a:ln>
              <a:solidFill>
                <a:schemeClr val="tx1"/>
              </a:solidFill>
            </a:ln>
            <a:effectLst/>
          </c:spPr>
          <c:invertIfNegative val="0"/>
          <c:dPt>
            <c:idx val="8"/>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1-B56F-47CA-B4DD-E2C4E0979E6E}"/>
              </c:ext>
            </c:extLst>
          </c:dPt>
          <c:dPt>
            <c:idx val="12"/>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3-A6F8-434D-82BB-22A128C6654C}"/>
              </c:ext>
            </c:extLst>
          </c:dPt>
          <c:dLbls>
            <c:dLbl>
              <c:idx val="0"/>
              <c:layout>
                <c:manualLayout>
                  <c:x val="0.29157198336526641"/>
                  <c:y val="-9.8234511577040162E-2"/>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600">
                        <a:solidFill>
                          <a:schemeClr val="bg1"/>
                        </a:solidFill>
                      </a:rPr>
                      <a:t>Delivered</a:t>
                    </a:r>
                  </a:p>
                </c:rich>
              </c:tx>
              <c:spPr>
                <a:solidFill>
                  <a:schemeClr val="accent2">
                    <a:lumMod val="75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6F-47CA-B4DD-E2C4E0979E6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16 Heavy Weapons Ranking'!$B$5:$B$22</c:f>
              <c:strCache>
                <c:ptCount val="18"/>
                <c:pt idx="0">
                  <c:v>Czech Republic</c:v>
                </c:pt>
                <c:pt idx="1">
                  <c:v>Slovakia</c:v>
                </c:pt>
                <c:pt idx="2">
                  <c:v>Germany</c:v>
                </c:pt>
                <c:pt idx="3">
                  <c:v>Norway</c:v>
                </c:pt>
                <c:pt idx="4">
                  <c:v>United Kingdom</c:v>
                </c:pt>
                <c:pt idx="5">
                  <c:v>France</c:v>
                </c:pt>
                <c:pt idx="6">
                  <c:v>Poland</c:v>
                </c:pt>
                <c:pt idx="7">
                  <c:v>Slovenia</c:v>
                </c:pt>
                <c:pt idx="8">
                  <c:v>Average EU</c:v>
                </c:pt>
                <c:pt idx="9">
                  <c:v>Denmark</c:v>
                </c:pt>
                <c:pt idx="10">
                  <c:v>Italy</c:v>
                </c:pt>
                <c:pt idx="11">
                  <c:v>United States</c:v>
                </c:pt>
                <c:pt idx="12">
                  <c:v>Average non-EU-NATO</c:v>
                </c:pt>
                <c:pt idx="13">
                  <c:v>Spain</c:v>
                </c:pt>
                <c:pt idx="14">
                  <c:v>Netherlands</c:v>
                </c:pt>
                <c:pt idx="15">
                  <c:v>Latvia</c:v>
                </c:pt>
                <c:pt idx="16">
                  <c:v>Canada</c:v>
                </c:pt>
                <c:pt idx="17">
                  <c:v>Portugal</c:v>
                </c:pt>
              </c:strCache>
            </c:strRef>
          </c:cat>
          <c:val>
            <c:numRef>
              <c:f>'Figure 16 Heavy Weapons Ranking'!$E$5:$E$22</c:f>
              <c:numCache>
                <c:formatCode>General</c:formatCode>
                <c:ptCount val="18"/>
                <c:pt idx="0">
                  <c:v>9.5638255302120861E-2</c:v>
                </c:pt>
                <c:pt idx="1">
                  <c:v>0.14285714285714285</c:v>
                </c:pt>
                <c:pt idx="2">
                  <c:v>5.3702781925778438E-2</c:v>
                </c:pt>
                <c:pt idx="3">
                  <c:v>9.5013477088948792E-2</c:v>
                </c:pt>
                <c:pt idx="4">
                  <c:v>6.0525157248617283E-2</c:v>
                </c:pt>
                <c:pt idx="5">
                  <c:v>2.1428571428571429E-2</c:v>
                </c:pt>
                <c:pt idx="6">
                  <c:v>5.7069984338223842E-2</c:v>
                </c:pt>
                <c:pt idx="7">
                  <c:v>0</c:v>
                </c:pt>
                <c:pt idx="8">
                  <c:v>2.5951033172793122E-2</c:v>
                </c:pt>
                <c:pt idx="9">
                  <c:v>0</c:v>
                </c:pt>
                <c:pt idx="10">
                  <c:v>3.5059361239618753E-2</c:v>
                </c:pt>
                <c:pt idx="11">
                  <c:v>2.3787924854546845E-2</c:v>
                </c:pt>
                <c:pt idx="12">
                  <c:v>2.019636418856505E-2</c:v>
                </c:pt>
                <c:pt idx="13">
                  <c:v>1.5037593984962405E-2</c:v>
                </c:pt>
                <c:pt idx="14">
                  <c:v>1.2755102040816327E-2</c:v>
                </c:pt>
                <c:pt idx="15">
                  <c:v>1.82370820668693E-2</c:v>
                </c:pt>
                <c:pt idx="16">
                  <c:v>1.5444015444015444E-2</c:v>
                </c:pt>
                <c:pt idx="17">
                  <c:v>0</c:v>
                </c:pt>
              </c:numCache>
            </c:numRef>
          </c:val>
          <c:extLst>
            <c:ext xmlns:c16="http://schemas.microsoft.com/office/drawing/2014/chart" uri="{C3380CC4-5D6E-409C-BE32-E72D297353CC}">
              <c16:uniqueId val="{00000006-6780-42D7-A7B7-F96A15CFDA54}"/>
            </c:ext>
          </c:extLst>
        </c:ser>
        <c:ser>
          <c:idx val="1"/>
          <c:order val="1"/>
          <c:tx>
            <c:strRef>
              <c:f>'Figure 16 Heavy Weapons Ranking'!$F$4</c:f>
              <c:strCache>
                <c:ptCount val="1"/>
                <c:pt idx="0">
                  <c:v>Average total (to be delivered)</c:v>
                </c:pt>
              </c:strCache>
            </c:strRef>
          </c:tx>
          <c:spPr>
            <a:solidFill>
              <a:srgbClr val="FCE4D6"/>
            </a:solidFill>
            <a:ln>
              <a:solidFill>
                <a:srgbClr val="000000"/>
              </a:solidFill>
              <a:prstDash val="solid"/>
            </a:ln>
            <a:effectLst/>
          </c:spPr>
          <c:invertIfNegative val="0"/>
          <c:dPt>
            <c:idx val="8"/>
            <c:invertIfNegative val="0"/>
            <c:bubble3D val="0"/>
            <c:spPr>
              <a:solidFill>
                <a:schemeClr val="accent1">
                  <a:lumMod val="20000"/>
                  <a:lumOff val="80000"/>
                </a:schemeClr>
              </a:solidFill>
              <a:ln>
                <a:solidFill>
                  <a:srgbClr val="000000"/>
                </a:solidFill>
                <a:prstDash val="solid"/>
              </a:ln>
              <a:effectLst/>
            </c:spPr>
            <c:extLst>
              <c:ext xmlns:c16="http://schemas.microsoft.com/office/drawing/2014/chart" uri="{C3380CC4-5D6E-409C-BE32-E72D297353CC}">
                <c16:uniqueId val="{00000006-B56F-47CA-B4DD-E2C4E0979E6E}"/>
              </c:ext>
            </c:extLst>
          </c:dPt>
          <c:dPt>
            <c:idx val="12"/>
            <c:invertIfNegative val="0"/>
            <c:bubble3D val="0"/>
            <c:spPr>
              <a:solidFill>
                <a:schemeClr val="accent1">
                  <a:lumMod val="20000"/>
                  <a:lumOff val="80000"/>
                </a:schemeClr>
              </a:solidFill>
              <a:ln>
                <a:solidFill>
                  <a:srgbClr val="000000"/>
                </a:solidFill>
                <a:prstDash val="solid"/>
              </a:ln>
              <a:effectLst/>
            </c:spPr>
            <c:extLst>
              <c:ext xmlns:c16="http://schemas.microsoft.com/office/drawing/2014/chart" uri="{C3380CC4-5D6E-409C-BE32-E72D297353CC}">
                <c16:uniqueId val="{00000007-A6F8-434D-82BB-22A128C6654C}"/>
              </c:ext>
            </c:extLst>
          </c:dPt>
          <c:dLbls>
            <c:dLbl>
              <c:idx val="0"/>
              <c:layout>
                <c:manualLayout>
                  <c:x val="0.16753955074130447"/>
                  <c:y val="-4.0682788283398739E-2"/>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To be delivered</a:t>
                    </a:r>
                  </a:p>
                </c:rich>
              </c:tx>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56F-47CA-B4DD-E2C4E0979E6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olidFill>
                      <a:round/>
                      <a:headEnd type="triangle" w="med" len="med"/>
                    </a:ln>
                    <a:effectLst/>
                  </c:spPr>
                </c15:leaderLines>
              </c:ext>
            </c:extLst>
          </c:dLbls>
          <c:cat>
            <c:strRef>
              <c:f>'Figure 16 Heavy Weapons Ranking'!$B$5:$B$22</c:f>
              <c:strCache>
                <c:ptCount val="18"/>
                <c:pt idx="0">
                  <c:v>Czech Republic</c:v>
                </c:pt>
                <c:pt idx="1">
                  <c:v>Slovakia</c:v>
                </c:pt>
                <c:pt idx="2">
                  <c:v>Germany</c:v>
                </c:pt>
                <c:pt idx="3">
                  <c:v>Norway</c:v>
                </c:pt>
                <c:pt idx="4">
                  <c:v>United Kingdom</c:v>
                </c:pt>
                <c:pt idx="5">
                  <c:v>France</c:v>
                </c:pt>
                <c:pt idx="6">
                  <c:v>Poland</c:v>
                </c:pt>
                <c:pt idx="7">
                  <c:v>Slovenia</c:v>
                </c:pt>
                <c:pt idx="8">
                  <c:v>Average EU</c:v>
                </c:pt>
                <c:pt idx="9">
                  <c:v>Denmark</c:v>
                </c:pt>
                <c:pt idx="10">
                  <c:v>Italy</c:v>
                </c:pt>
                <c:pt idx="11">
                  <c:v>United States</c:v>
                </c:pt>
                <c:pt idx="12">
                  <c:v>Average non-EU-NATO</c:v>
                </c:pt>
                <c:pt idx="13">
                  <c:v>Spain</c:v>
                </c:pt>
                <c:pt idx="14">
                  <c:v>Netherlands</c:v>
                </c:pt>
                <c:pt idx="15">
                  <c:v>Latvia</c:v>
                </c:pt>
                <c:pt idx="16">
                  <c:v>Canada</c:v>
                </c:pt>
                <c:pt idx="17">
                  <c:v>Portugal</c:v>
                </c:pt>
              </c:strCache>
            </c:strRef>
          </c:cat>
          <c:val>
            <c:numRef>
              <c:f>'Figure 16 Heavy Weapons Ranking'!$F$5:$F$22</c:f>
              <c:numCache>
                <c:formatCode>General</c:formatCode>
                <c:ptCount val="18"/>
                <c:pt idx="0">
                  <c:v>0.10804321728691474</c:v>
                </c:pt>
                <c:pt idx="1">
                  <c:v>0</c:v>
                </c:pt>
                <c:pt idx="2">
                  <c:v>6.6893424036281179E-2</c:v>
                </c:pt>
                <c:pt idx="3">
                  <c:v>1.3477088948787061E-2</c:v>
                </c:pt>
                <c:pt idx="4">
                  <c:v>1.2244897959183675E-2</c:v>
                </c:pt>
                <c:pt idx="5">
                  <c:v>4.1025641025641026E-2</c:v>
                </c:pt>
                <c:pt idx="6">
                  <c:v>0</c:v>
                </c:pt>
                <c:pt idx="7">
                  <c:v>5.2631578947368418E-2</c:v>
                </c:pt>
                <c:pt idx="8">
                  <c:v>1.2759479654668244E-2</c:v>
                </c:pt>
                <c:pt idx="9">
                  <c:v>3.5714285714285712E-2</c:v>
                </c:pt>
                <c:pt idx="10">
                  <c:v>0</c:v>
                </c:pt>
                <c:pt idx="11">
                  <c:v>8.2676720007195947E-3</c:v>
                </c:pt>
                <c:pt idx="12">
                  <c:v>6.5095131672432589E-3</c:v>
                </c:pt>
                <c:pt idx="13">
                  <c:v>7.5187969924812026E-3</c:v>
                </c:pt>
                <c:pt idx="14">
                  <c:v>7.653061224489794E-3</c:v>
                </c:pt>
                <c:pt idx="15">
                  <c:v>0</c:v>
                </c:pt>
                <c:pt idx="16">
                  <c:v>0</c:v>
                </c:pt>
                <c:pt idx="17">
                  <c:v>1.4880952380952382E-2</c:v>
                </c:pt>
              </c:numCache>
            </c:numRef>
          </c:val>
          <c:extLst>
            <c:ext xmlns:c16="http://schemas.microsoft.com/office/drawing/2014/chart" uri="{C3380CC4-5D6E-409C-BE32-E72D297353CC}">
              <c16:uniqueId val="{00000008-6780-42D7-A7B7-F96A15CFDA54}"/>
            </c:ext>
          </c:extLst>
        </c:ser>
        <c:dLbls>
          <c:showLegendKey val="0"/>
          <c:showVal val="0"/>
          <c:showCatName val="0"/>
          <c:showSerName val="0"/>
          <c:showPercent val="0"/>
          <c:showBubbleSize val="0"/>
        </c:dLbls>
        <c:gapWidth val="182"/>
        <c:overlap val="100"/>
        <c:axId val="1908086544"/>
        <c:axId val="1924747856"/>
        <c:extLst/>
      </c:barChart>
      <c:catAx>
        <c:axId val="1908086544"/>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4747856"/>
        <c:crosses val="autoZero"/>
        <c:auto val="1"/>
        <c:lblAlgn val="ctr"/>
        <c:lblOffset val="100"/>
        <c:noMultiLvlLbl val="0"/>
      </c:catAx>
      <c:valAx>
        <c:axId val="1924747856"/>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de-DE" sz="1600">
                    <a:effectLst/>
                  </a:rPr>
                  <a:t>Share of stocks donated to Ukraine</a:t>
                </a:r>
                <a:endParaRPr lang="en-GB" sz="1600">
                  <a:effectLst/>
                </a:endParaRPr>
              </a:p>
            </c:rich>
          </c:tx>
          <c:layout>
            <c:manualLayout>
              <c:xMode val="edge"/>
              <c:yMode val="edge"/>
              <c:x val="0.62534442227893139"/>
              <c:y val="0.8734740722996277"/>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08086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24154164309848"/>
          <c:y val="1.9685692273540438E-2"/>
          <c:w val="0.77969204248556734"/>
          <c:h val="0.94149057860304775"/>
        </c:manualLayout>
      </c:layout>
      <c:barChart>
        <c:barDir val="bar"/>
        <c:grouping val="stacked"/>
        <c:varyColors val="0"/>
        <c:ser>
          <c:idx val="0"/>
          <c:order val="0"/>
          <c:tx>
            <c:strRef>
              <c:f>'Figure A1 Incl. EU (€ billion)'!$C$4</c:f>
              <c:strCache>
                <c:ptCount val="1"/>
                <c:pt idx="0">
                  <c:v>Total bilateral commitments</c:v>
                </c:pt>
              </c:strCache>
            </c:strRef>
          </c:tx>
          <c:spPr>
            <a:solidFill>
              <a:schemeClr val="accent5">
                <a:lumMod val="75000"/>
              </a:schemeClr>
            </a:solidFill>
            <a:ln>
              <a:solidFill>
                <a:schemeClr val="tx1"/>
              </a:solidFill>
            </a:ln>
            <a:effectLst/>
          </c:spPr>
          <c:invertIfNegative val="0"/>
          <c:cat>
            <c:strRef>
              <c:f>'Figure A1 Incl. EU (€ billion)'!$B$5:$B$44</c:f>
              <c:strCache>
                <c:ptCount val="40"/>
                <c:pt idx="0">
                  <c:v>United States</c:v>
                </c:pt>
                <c:pt idx="1">
                  <c:v>Germany</c:v>
                </c:pt>
                <c:pt idx="2">
                  <c:v>France</c:v>
                </c:pt>
                <c:pt idx="3">
                  <c:v>United Kingdom</c:v>
                </c:pt>
                <c:pt idx="4">
                  <c:v>Italy</c:v>
                </c:pt>
                <c:pt idx="5">
                  <c:v>Poland</c:v>
                </c:pt>
                <c:pt idx="6">
                  <c:v>Spain</c:v>
                </c:pt>
                <c:pt idx="7">
                  <c:v>Canada</c:v>
                </c:pt>
                <c:pt idx="8">
                  <c:v>Netherlands</c:v>
                </c:pt>
                <c:pt idx="9">
                  <c:v>Sweden</c:v>
                </c:pt>
                <c:pt idx="10">
                  <c:v>Austria</c:v>
                </c:pt>
                <c:pt idx="11">
                  <c:v>Denmark</c:v>
                </c:pt>
                <c:pt idx="12">
                  <c:v>Belgium</c:v>
                </c:pt>
                <c:pt idx="13">
                  <c:v>Norway</c:v>
                </c:pt>
                <c:pt idx="14">
                  <c:v>Czech Republic</c:v>
                </c:pt>
                <c:pt idx="15">
                  <c:v>Finland</c:v>
                </c:pt>
                <c:pt idx="16">
                  <c:v>Portugal</c:v>
                </c:pt>
                <c:pt idx="17">
                  <c:v>Ireland</c:v>
                </c:pt>
                <c:pt idx="18">
                  <c:v>Greece</c:v>
                </c:pt>
                <c:pt idx="19">
                  <c:v>Japan</c:v>
                </c:pt>
                <c:pt idx="20">
                  <c:v>Romania</c:v>
                </c:pt>
                <c:pt idx="21">
                  <c:v>Slovakia</c:v>
                </c:pt>
                <c:pt idx="22">
                  <c:v>Hungary</c:v>
                </c:pt>
                <c:pt idx="23">
                  <c:v>Estonia</c:v>
                </c:pt>
                <c:pt idx="24">
                  <c:v>Latvia</c:v>
                </c:pt>
                <c:pt idx="25">
                  <c:v>Lithuania</c:v>
                </c:pt>
                <c:pt idx="26">
                  <c:v>Australia</c:v>
                </c:pt>
                <c:pt idx="27">
                  <c:v>Bulgaria</c:v>
                </c:pt>
                <c:pt idx="28">
                  <c:v>Switzerland</c:v>
                </c:pt>
                <c:pt idx="29">
                  <c:v>Slovenia</c:v>
                </c:pt>
                <c:pt idx="30">
                  <c:v>Luxembourg</c:v>
                </c:pt>
                <c:pt idx="31">
                  <c:v>Croatia</c:v>
                </c:pt>
                <c:pt idx="32">
                  <c:v>South Korea</c:v>
                </c:pt>
                <c:pt idx="33">
                  <c:v>Taiwan</c:v>
                </c:pt>
                <c:pt idx="34">
                  <c:v>Turkey</c:v>
                </c:pt>
                <c:pt idx="35">
                  <c:v>Cyprus</c:v>
                </c:pt>
                <c:pt idx="36">
                  <c:v>Malta</c:v>
                </c:pt>
                <c:pt idx="37">
                  <c:v>New Zealand</c:v>
                </c:pt>
                <c:pt idx="38">
                  <c:v>China</c:v>
                </c:pt>
                <c:pt idx="39">
                  <c:v>India</c:v>
                </c:pt>
              </c:strCache>
            </c:strRef>
          </c:cat>
          <c:val>
            <c:numRef>
              <c:f>'Figure A1 Incl. EU (€ billion)'!$C$5:$C$44</c:f>
              <c:numCache>
                <c:formatCode>0.00</c:formatCode>
                <c:ptCount val="40"/>
                <c:pt idx="0">
                  <c:v>47.819232685600397</c:v>
                </c:pt>
                <c:pt idx="1">
                  <c:v>5.4448872384566922</c:v>
                </c:pt>
                <c:pt idx="2">
                  <c:v>1.4141588546406045</c:v>
                </c:pt>
                <c:pt idx="3">
                  <c:v>7.0818161259798824</c:v>
                </c:pt>
                <c:pt idx="4">
                  <c:v>0.67252355252400942</c:v>
                </c:pt>
                <c:pt idx="5">
                  <c:v>3.0005914580403035</c:v>
                </c:pt>
                <c:pt idx="6">
                  <c:v>0.38207567291367656</c:v>
                </c:pt>
                <c:pt idx="7">
                  <c:v>3.7836424854388375</c:v>
                </c:pt>
                <c:pt idx="8">
                  <c:v>0.84723174639562449</c:v>
                </c:pt>
                <c:pt idx="9">
                  <c:v>0.80652771109696919</c:v>
                </c:pt>
                <c:pt idx="10">
                  <c:v>0.58009865749875444</c:v>
                </c:pt>
                <c:pt idx="11">
                  <c:v>0.64105010820328778</c:v>
                </c:pt>
                <c:pt idx="12">
                  <c:v>0.21816000000000002</c:v>
                </c:pt>
                <c:pt idx="13">
                  <c:v>1.2099236492938994</c:v>
                </c:pt>
                <c:pt idx="14">
                  <c:v>0.58670987717604117</c:v>
                </c:pt>
                <c:pt idx="15">
                  <c:v>0.30559999999999998</c:v>
                </c:pt>
                <c:pt idx="16">
                  <c:v>0.33478228578095853</c:v>
                </c:pt>
                <c:pt idx="17">
                  <c:v>6.8687030891878428E-2</c:v>
                </c:pt>
                <c:pt idx="18">
                  <c:v>0.19116831928251124</c:v>
                </c:pt>
                <c:pt idx="19">
                  <c:v>0.60595117090184358</c:v>
                </c:pt>
                <c:pt idx="20">
                  <c:v>1.0845078474608021E-2</c:v>
                </c:pt>
                <c:pt idx="21">
                  <c:v>0.21517157538614848</c:v>
                </c:pt>
                <c:pt idx="22">
                  <c:v>4.6688822031581839E-2</c:v>
                </c:pt>
                <c:pt idx="23">
                  <c:v>0.33497022800000004</c:v>
                </c:pt>
                <c:pt idx="24">
                  <c:v>0.31350695247322052</c:v>
                </c:pt>
                <c:pt idx="25">
                  <c:v>0.26068747583457896</c:v>
                </c:pt>
                <c:pt idx="26">
                  <c:v>0.32044412884900914</c:v>
                </c:pt>
                <c:pt idx="27">
                  <c:v>4.4927463876432479E-3</c:v>
                </c:pt>
                <c:pt idx="28">
                  <c:v>0.202757502027575</c:v>
                </c:pt>
                <c:pt idx="29">
                  <c:v>6.0904012667663182E-2</c:v>
                </c:pt>
                <c:pt idx="30">
                  <c:v>7.5999999999999998E-2</c:v>
                </c:pt>
                <c:pt idx="31">
                  <c:v>2.2892371683294416E-2</c:v>
                </c:pt>
                <c:pt idx="32">
                  <c:v>9.4449427005480799E-2</c:v>
                </c:pt>
                <c:pt idx="33">
                  <c:v>6.8261086198305926E-2</c:v>
                </c:pt>
                <c:pt idx="34">
                  <c:v>6.4445971101145999E-2</c:v>
                </c:pt>
                <c:pt idx="35">
                  <c:v>2.5000000000000001E-3</c:v>
                </c:pt>
                <c:pt idx="36">
                  <c:v>1.15E-3</c:v>
                </c:pt>
                <c:pt idx="37">
                  <c:v>1.7042638225112997E-2</c:v>
                </c:pt>
                <c:pt idx="38">
                  <c:v>2.0740003318400532E-3</c:v>
                </c:pt>
                <c:pt idx="39">
                  <c:v>1.9404583956153462E-3</c:v>
                </c:pt>
              </c:numCache>
            </c:numRef>
          </c:val>
          <c:extLst>
            <c:ext xmlns:c16="http://schemas.microsoft.com/office/drawing/2014/chart" uri="{C3380CC4-5D6E-409C-BE32-E72D297353CC}">
              <c16:uniqueId val="{00000001-2093-46D4-A034-48A3B2AA5057}"/>
            </c:ext>
          </c:extLst>
        </c:ser>
        <c:ser>
          <c:idx val="1"/>
          <c:order val="1"/>
          <c:tx>
            <c:strRef>
              <c:f>'Figure A1 Incl. EU (€ billion)'!$D$4</c:f>
              <c:strCache>
                <c:ptCount val="1"/>
                <c:pt idx="0">
                  <c:v>Share in EU commitments (including MFA, EPF, EIB)</c:v>
                </c:pt>
              </c:strCache>
            </c:strRef>
          </c:tx>
          <c:spPr>
            <a:solidFill>
              <a:schemeClr val="accent2"/>
            </a:solidFill>
            <a:ln>
              <a:solidFill>
                <a:srgbClr val="000000"/>
              </a:solidFill>
              <a:prstDash val="solid"/>
            </a:ln>
            <a:effectLst/>
          </c:spPr>
          <c:invertIfNegative val="0"/>
          <c:cat>
            <c:strRef>
              <c:f>'Figure A1 Incl. EU (€ billion)'!$B$5:$B$44</c:f>
              <c:strCache>
                <c:ptCount val="40"/>
                <c:pt idx="0">
                  <c:v>United States</c:v>
                </c:pt>
                <c:pt idx="1">
                  <c:v>Germany</c:v>
                </c:pt>
                <c:pt idx="2">
                  <c:v>France</c:v>
                </c:pt>
                <c:pt idx="3">
                  <c:v>United Kingdom</c:v>
                </c:pt>
                <c:pt idx="4">
                  <c:v>Italy</c:v>
                </c:pt>
                <c:pt idx="5">
                  <c:v>Poland</c:v>
                </c:pt>
                <c:pt idx="6">
                  <c:v>Spain</c:v>
                </c:pt>
                <c:pt idx="7">
                  <c:v>Canada</c:v>
                </c:pt>
                <c:pt idx="8">
                  <c:v>Netherlands</c:v>
                </c:pt>
                <c:pt idx="9">
                  <c:v>Sweden</c:v>
                </c:pt>
                <c:pt idx="10">
                  <c:v>Austria</c:v>
                </c:pt>
                <c:pt idx="11">
                  <c:v>Denmark</c:v>
                </c:pt>
                <c:pt idx="12">
                  <c:v>Belgium</c:v>
                </c:pt>
                <c:pt idx="13">
                  <c:v>Norway</c:v>
                </c:pt>
                <c:pt idx="14">
                  <c:v>Czech Republic</c:v>
                </c:pt>
                <c:pt idx="15">
                  <c:v>Finland</c:v>
                </c:pt>
                <c:pt idx="16">
                  <c:v>Portugal</c:v>
                </c:pt>
                <c:pt idx="17">
                  <c:v>Ireland</c:v>
                </c:pt>
                <c:pt idx="18">
                  <c:v>Greece</c:v>
                </c:pt>
                <c:pt idx="19">
                  <c:v>Japan</c:v>
                </c:pt>
                <c:pt idx="20">
                  <c:v>Romania</c:v>
                </c:pt>
                <c:pt idx="21">
                  <c:v>Slovakia</c:v>
                </c:pt>
                <c:pt idx="22">
                  <c:v>Hungary</c:v>
                </c:pt>
                <c:pt idx="23">
                  <c:v>Estonia</c:v>
                </c:pt>
                <c:pt idx="24">
                  <c:v>Latvia</c:v>
                </c:pt>
                <c:pt idx="25">
                  <c:v>Lithuania</c:v>
                </c:pt>
                <c:pt idx="26">
                  <c:v>Australia</c:v>
                </c:pt>
                <c:pt idx="27">
                  <c:v>Bulgaria</c:v>
                </c:pt>
                <c:pt idx="28">
                  <c:v>Switzerland</c:v>
                </c:pt>
                <c:pt idx="29">
                  <c:v>Slovenia</c:v>
                </c:pt>
                <c:pt idx="30">
                  <c:v>Luxembourg</c:v>
                </c:pt>
                <c:pt idx="31">
                  <c:v>Croatia</c:v>
                </c:pt>
                <c:pt idx="32">
                  <c:v>South Korea</c:v>
                </c:pt>
                <c:pt idx="33">
                  <c:v>Taiwan</c:v>
                </c:pt>
                <c:pt idx="34">
                  <c:v>Turkey</c:v>
                </c:pt>
                <c:pt idx="35">
                  <c:v>Cyprus</c:v>
                </c:pt>
                <c:pt idx="36">
                  <c:v>Malta</c:v>
                </c:pt>
                <c:pt idx="37">
                  <c:v>New Zealand</c:v>
                </c:pt>
                <c:pt idx="38">
                  <c:v>China</c:v>
                </c:pt>
                <c:pt idx="39">
                  <c:v>India</c:v>
                </c:pt>
              </c:strCache>
            </c:strRef>
          </c:cat>
          <c:val>
            <c:numRef>
              <c:f>'Figure A1 Incl. EU (€ billion)'!$D$5:$D$44</c:f>
              <c:numCache>
                <c:formatCode>0.00</c:formatCode>
                <c:ptCount val="40"/>
                <c:pt idx="0">
                  <c:v>0</c:v>
                </c:pt>
                <c:pt idx="1">
                  <c:v>7.1738746152874056</c:v>
                </c:pt>
                <c:pt idx="2">
                  <c:v>5.9777687385919371</c:v>
                </c:pt>
                <c:pt idx="3">
                  <c:v>0</c:v>
                </c:pt>
                <c:pt idx="4">
                  <c:v>4.4148700567684394</c:v>
                </c:pt>
                <c:pt idx="5">
                  <c:v>1.4579938810353561</c:v>
                </c:pt>
                <c:pt idx="6">
                  <c:v>4.035389671899078</c:v>
                </c:pt>
                <c:pt idx="7">
                  <c:v>0</c:v>
                </c:pt>
                <c:pt idx="8">
                  <c:v>2.644222211842032</c:v>
                </c:pt>
                <c:pt idx="9">
                  <c:v>1.1800512369939129</c:v>
                </c:pt>
                <c:pt idx="10">
                  <c:v>1.0147495026893154</c:v>
                </c:pt>
                <c:pt idx="11">
                  <c:v>0.88590554202072613</c:v>
                </c:pt>
                <c:pt idx="12">
                  <c:v>1.2544723390382404</c:v>
                </c:pt>
                <c:pt idx="13">
                  <c:v>0</c:v>
                </c:pt>
                <c:pt idx="14">
                  <c:v>0.50418971479373276</c:v>
                </c:pt>
                <c:pt idx="15">
                  <c:v>0.59418058814164842</c:v>
                </c:pt>
                <c:pt idx="16">
                  <c:v>0.49627811750761119</c:v>
                </c:pt>
                <c:pt idx="17">
                  <c:v>0.68214285642523476</c:v>
                </c:pt>
                <c:pt idx="18">
                  <c:v>0.4965860004450674</c:v>
                </c:pt>
                <c:pt idx="19">
                  <c:v>0</c:v>
                </c:pt>
                <c:pt idx="20">
                  <c:v>0.55780620266010483</c:v>
                </c:pt>
                <c:pt idx="21">
                  <c:v>0.30448554080060175</c:v>
                </c:pt>
                <c:pt idx="22">
                  <c:v>0.40178050416249345</c:v>
                </c:pt>
                <c:pt idx="23">
                  <c:v>6.7390524440686078E-2</c:v>
                </c:pt>
                <c:pt idx="24">
                  <c:v>6.9966039188944798E-2</c:v>
                </c:pt>
                <c:pt idx="25">
                  <c:v>0.11218695754359347</c:v>
                </c:pt>
                <c:pt idx="26">
                  <c:v>0</c:v>
                </c:pt>
                <c:pt idx="27">
                  <c:v>0.20515513766435853</c:v>
                </c:pt>
                <c:pt idx="28">
                  <c:v>0</c:v>
                </c:pt>
                <c:pt idx="29">
                  <c:v>0.12394359945546657</c:v>
                </c:pt>
                <c:pt idx="30">
                  <c:v>0.10863142573612726</c:v>
                </c:pt>
                <c:pt idx="31">
                  <c:v>0.14565455261858695</c:v>
                </c:pt>
                <c:pt idx="32">
                  <c:v>0</c:v>
                </c:pt>
                <c:pt idx="33">
                  <c:v>0</c:v>
                </c:pt>
                <c:pt idx="34">
                  <c:v>0</c:v>
                </c:pt>
                <c:pt idx="35">
                  <c:v>5.424307262486551E-2</c:v>
                </c:pt>
                <c:pt idx="36">
                  <c:v>2.8581369624430121E-2</c:v>
                </c:pt>
                <c:pt idx="37">
                  <c:v>0</c:v>
                </c:pt>
                <c:pt idx="38">
                  <c:v>0</c:v>
                </c:pt>
                <c:pt idx="39">
                  <c:v>0</c:v>
                </c:pt>
              </c:numCache>
            </c:numRef>
          </c:val>
          <c:extLst>
            <c:ext xmlns:c16="http://schemas.microsoft.com/office/drawing/2014/chart" uri="{C3380CC4-5D6E-409C-BE32-E72D297353CC}">
              <c16:uniqueId val="{00000003-2093-46D4-A034-48A3B2AA5057}"/>
            </c:ext>
          </c:extLst>
        </c:ser>
        <c:dLbls>
          <c:showLegendKey val="0"/>
          <c:showVal val="0"/>
          <c:showCatName val="0"/>
          <c:showSerName val="0"/>
          <c:showPercent val="0"/>
          <c:showBubbleSize val="0"/>
        </c:dLbls>
        <c:gapWidth val="11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tickLblSkip val="1"/>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28951749781277342"/>
          <c:y val="0.22796959755030621"/>
          <c:w val="0.60124475065616811"/>
          <c:h val="0.11182097550306212"/>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69359385632353"/>
          <c:y val="4.1244489600090313E-2"/>
          <c:w val="0.70304440340019236"/>
          <c:h val="0.85002432760421076"/>
        </c:manualLayout>
      </c:layout>
      <c:barChart>
        <c:barDir val="bar"/>
        <c:grouping val="stacked"/>
        <c:varyColors val="0"/>
        <c:ser>
          <c:idx val="0"/>
          <c:order val="0"/>
          <c:tx>
            <c:strRef>
              <c:f>'Figure A2 Stand up for Ukraine'!$C$4</c:f>
              <c:strCache>
                <c:ptCount val="1"/>
                <c:pt idx="0">
                  <c:v>To Ukraine</c:v>
                </c:pt>
              </c:strCache>
            </c:strRef>
          </c:tx>
          <c:spPr>
            <a:solidFill>
              <a:schemeClr val="accent2"/>
            </a:solidFill>
            <a:ln>
              <a:solidFill>
                <a:schemeClr val="tx1"/>
              </a:solidFill>
            </a:ln>
            <a:effectLst/>
          </c:spPr>
          <c:invertIfNegative val="0"/>
          <c:cat>
            <c:strRef>
              <c:f>'Figure A2 Stand up for Ukraine'!$B$5:$B$21</c:f>
              <c:strCache>
                <c:ptCount val="17"/>
                <c:pt idx="0">
                  <c:v>European Investment Bank</c:v>
                </c:pt>
                <c:pt idx="1">
                  <c:v>European Commission</c:v>
                </c:pt>
                <c:pt idx="2">
                  <c:v>EBRD</c:v>
                </c:pt>
                <c:pt idx="3">
                  <c:v>Council of Europe Bank</c:v>
                </c:pt>
                <c:pt idx="4">
                  <c:v>Belgium</c:v>
                </c:pt>
                <c:pt idx="5">
                  <c:v>Finland</c:v>
                </c:pt>
                <c:pt idx="6">
                  <c:v>Slovakia</c:v>
                </c:pt>
                <c:pt idx="7">
                  <c:v>Italy</c:v>
                </c:pt>
                <c:pt idx="8">
                  <c:v>Sweden</c:v>
                </c:pt>
                <c:pt idx="9">
                  <c:v>Czech Republic</c:v>
                </c:pt>
                <c:pt idx="10">
                  <c:v>Croatia</c:v>
                </c:pt>
                <c:pt idx="11">
                  <c:v>Canada</c:v>
                </c:pt>
                <c:pt idx="12">
                  <c:v>Germany</c:v>
                </c:pt>
                <c:pt idx="13">
                  <c:v>Ireland</c:v>
                </c:pt>
                <c:pt idx="14">
                  <c:v>Qatar</c:v>
                </c:pt>
                <c:pt idx="15">
                  <c:v>Estonia</c:v>
                </c:pt>
                <c:pt idx="16">
                  <c:v>Malta</c:v>
                </c:pt>
              </c:strCache>
            </c:strRef>
          </c:cat>
          <c:val>
            <c:numRef>
              <c:f>'Figure A2 Stand up for Ukraine'!$C$5:$C$21</c:f>
              <c:numCache>
                <c:formatCode>0.00</c:formatCode>
                <c:ptCount val="17"/>
                <c:pt idx="0">
                  <c:v>0</c:v>
                </c:pt>
                <c:pt idx="1">
                  <c:v>0.6</c:v>
                </c:pt>
                <c:pt idx="2">
                  <c:v>0</c:v>
                </c:pt>
                <c:pt idx="3">
                  <c:v>0</c:v>
                </c:pt>
                <c:pt idx="4">
                  <c:v>8.3000000000000004E-2</c:v>
                </c:pt>
                <c:pt idx="5">
                  <c:v>0</c:v>
                </c:pt>
                <c:pt idx="6">
                  <c:v>0</c:v>
                </c:pt>
                <c:pt idx="7">
                  <c:v>0</c:v>
                </c:pt>
                <c:pt idx="8">
                  <c:v>0</c:v>
                </c:pt>
                <c:pt idx="9">
                  <c:v>0</c:v>
                </c:pt>
                <c:pt idx="10">
                  <c:v>0</c:v>
                </c:pt>
                <c:pt idx="11">
                  <c:v>0</c:v>
                </c:pt>
                <c:pt idx="12">
                  <c:v>7.0000000000000007E-2</c:v>
                </c:pt>
                <c:pt idx="13">
                  <c:v>5.2999999999999999E-2</c:v>
                </c:pt>
                <c:pt idx="14">
                  <c:v>0</c:v>
                </c:pt>
                <c:pt idx="15">
                  <c:v>0</c:v>
                </c:pt>
                <c:pt idx="16">
                  <c:v>0</c:v>
                </c:pt>
              </c:numCache>
            </c:numRef>
          </c:val>
          <c:extLst>
            <c:ext xmlns:c16="http://schemas.microsoft.com/office/drawing/2014/chart" uri="{C3380CC4-5D6E-409C-BE32-E72D297353CC}">
              <c16:uniqueId val="{00000000-B1C2-4406-9B15-4181AFC32BCF}"/>
            </c:ext>
          </c:extLst>
        </c:ser>
        <c:ser>
          <c:idx val="1"/>
          <c:order val="1"/>
          <c:tx>
            <c:strRef>
              <c:f>'Figure A2 Stand up for Ukraine'!$D$4</c:f>
              <c:strCache>
                <c:ptCount val="1"/>
                <c:pt idx="0">
                  <c:v>To other countries</c:v>
                </c:pt>
              </c:strCache>
            </c:strRef>
          </c:tx>
          <c:spPr>
            <a:solidFill>
              <a:schemeClr val="accent6"/>
            </a:solidFill>
            <a:ln>
              <a:solidFill>
                <a:schemeClr val="tx1"/>
              </a:solidFill>
            </a:ln>
            <a:effectLst/>
          </c:spPr>
          <c:invertIfNegative val="0"/>
          <c:cat>
            <c:strRef>
              <c:f>'Figure A2 Stand up for Ukraine'!$B$5:$B$21</c:f>
              <c:strCache>
                <c:ptCount val="17"/>
                <c:pt idx="0">
                  <c:v>European Investment Bank</c:v>
                </c:pt>
                <c:pt idx="1">
                  <c:v>European Commission</c:v>
                </c:pt>
                <c:pt idx="2">
                  <c:v>EBRD</c:v>
                </c:pt>
                <c:pt idx="3">
                  <c:v>Council of Europe Bank</c:v>
                </c:pt>
                <c:pt idx="4">
                  <c:v>Belgium</c:v>
                </c:pt>
                <c:pt idx="5">
                  <c:v>Finland</c:v>
                </c:pt>
                <c:pt idx="6">
                  <c:v>Slovakia</c:v>
                </c:pt>
                <c:pt idx="7">
                  <c:v>Italy</c:v>
                </c:pt>
                <c:pt idx="8">
                  <c:v>Sweden</c:v>
                </c:pt>
                <c:pt idx="9">
                  <c:v>Czech Republic</c:v>
                </c:pt>
                <c:pt idx="10">
                  <c:v>Croatia</c:v>
                </c:pt>
                <c:pt idx="11">
                  <c:v>Canada</c:v>
                </c:pt>
                <c:pt idx="12">
                  <c:v>Germany</c:v>
                </c:pt>
                <c:pt idx="13">
                  <c:v>Ireland</c:v>
                </c:pt>
                <c:pt idx="14">
                  <c:v>Qatar</c:v>
                </c:pt>
                <c:pt idx="15">
                  <c:v>Estonia</c:v>
                </c:pt>
                <c:pt idx="16">
                  <c:v>Malta</c:v>
                </c:pt>
              </c:strCache>
            </c:strRef>
          </c:cat>
          <c:val>
            <c:numRef>
              <c:f>'Figure A2 Stand up for Ukraine'!$D$5:$D$21</c:f>
              <c:numCache>
                <c:formatCode>0.00</c:formatCode>
                <c:ptCount val="17"/>
                <c:pt idx="0">
                  <c:v>4</c:v>
                </c:pt>
                <c:pt idx="1">
                  <c:v>0.4</c:v>
                </c:pt>
                <c:pt idx="2">
                  <c:v>1</c:v>
                </c:pt>
                <c:pt idx="3">
                  <c:v>1</c:v>
                </c:pt>
                <c:pt idx="4">
                  <c:v>0.73</c:v>
                </c:pt>
                <c:pt idx="5">
                  <c:v>0.7</c:v>
                </c:pt>
                <c:pt idx="6">
                  <c:v>0.53</c:v>
                </c:pt>
                <c:pt idx="7">
                  <c:v>0.36</c:v>
                </c:pt>
                <c:pt idx="8">
                  <c:v>0.3</c:v>
                </c:pt>
                <c:pt idx="9">
                  <c:v>0.2</c:v>
                </c:pt>
                <c:pt idx="10">
                  <c:v>0.1</c:v>
                </c:pt>
                <c:pt idx="11">
                  <c:v>7.5786282682834397E-2</c:v>
                </c:pt>
                <c:pt idx="12">
                  <c:v>0</c:v>
                </c:pt>
                <c:pt idx="13">
                  <c:v>0</c:v>
                </c:pt>
                <c:pt idx="14">
                  <c:v>4.7366426676771498E-3</c:v>
                </c:pt>
                <c:pt idx="15">
                  <c:v>1E-4</c:v>
                </c:pt>
                <c:pt idx="16">
                  <c:v>5.0000000000000002E-5</c:v>
                </c:pt>
              </c:numCache>
            </c:numRef>
          </c:val>
          <c:extLst>
            <c:ext xmlns:c16="http://schemas.microsoft.com/office/drawing/2014/chart" uri="{C3380CC4-5D6E-409C-BE32-E72D297353CC}">
              <c16:uniqueId val="{00000001-B1C2-4406-9B15-4181AFC32BCF}"/>
            </c:ext>
          </c:extLst>
        </c:ser>
        <c:dLbls>
          <c:showLegendKey val="0"/>
          <c:showVal val="0"/>
          <c:showCatName val="0"/>
          <c:showSerName val="0"/>
          <c:showPercent val="0"/>
          <c:showBubbleSize val="0"/>
        </c:dLbls>
        <c:gapWidth val="11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
      </c:valAx>
      <c:spPr>
        <a:noFill/>
        <a:ln>
          <a:noFill/>
        </a:ln>
        <a:effectLst/>
      </c:spPr>
    </c:plotArea>
    <c:legend>
      <c:legendPos val="r"/>
      <c:layout>
        <c:manualLayout>
          <c:xMode val="edge"/>
          <c:yMode val="edge"/>
          <c:x val="0.59574468314917428"/>
          <c:y val="0.42426714178975805"/>
          <c:w val="0.17807977706490391"/>
          <c:h val="0.13110178745904938"/>
        </c:manualLayout>
      </c:layout>
      <c:overlay val="0"/>
      <c:spPr>
        <a:solidFill>
          <a:srgbClr val="FFFFFF"/>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91637995202329"/>
          <c:y val="8.5176456191394231E-2"/>
          <c:w val="0.63080073297401995"/>
          <c:h val="0.84599208304621454"/>
        </c:manualLayout>
      </c:layout>
      <c:barChart>
        <c:barDir val="bar"/>
        <c:grouping val="clustered"/>
        <c:varyColors val="0"/>
        <c:ser>
          <c:idx val="0"/>
          <c:order val="0"/>
          <c:tx>
            <c:strRef>
              <c:f>'Figure A3 Weapon deliveries'!$D$1</c:f>
              <c:strCache>
                <c:ptCount val="1"/>
              </c:strCache>
            </c:strRef>
          </c:tx>
          <c:spPr>
            <a:solidFill>
              <a:schemeClr val="accent1"/>
            </a:solidFill>
            <a:ln>
              <a:solidFill>
                <a:schemeClr val="tx1"/>
              </a:solidFill>
            </a:ln>
            <a:effectLst/>
          </c:spPr>
          <c:invertIfNegative val="0"/>
          <c:dPt>
            <c:idx val="0"/>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1-5DB8-419E-BC11-C1A8A8AC8675}"/>
              </c:ext>
            </c:extLst>
          </c:dPt>
          <c:dPt>
            <c:idx val="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3-5DB8-419E-BC11-C1A8A8AC8675}"/>
              </c:ext>
            </c:extLst>
          </c:dPt>
          <c:dPt>
            <c:idx val="2"/>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5-5DB8-419E-BC11-C1A8A8AC8675}"/>
              </c:ext>
            </c:extLst>
          </c:dPt>
          <c:dPt>
            <c:idx val="3"/>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7-5DB8-419E-BC11-C1A8A8AC8675}"/>
              </c:ext>
            </c:extLst>
          </c:dPt>
          <c:dPt>
            <c:idx val="4"/>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9-5DB8-419E-BC11-C1A8A8AC8675}"/>
              </c:ext>
            </c:extLst>
          </c:dPt>
          <c:dPt>
            <c:idx val="5"/>
            <c:invertIfNegative val="0"/>
            <c:bubble3D val="0"/>
            <c:spPr>
              <a:solidFill>
                <a:srgbClr val="2E75B6"/>
              </a:solidFill>
              <a:ln>
                <a:solidFill>
                  <a:schemeClr val="tx1"/>
                </a:solidFill>
              </a:ln>
              <a:effectLst/>
            </c:spPr>
            <c:extLst>
              <c:ext xmlns:c16="http://schemas.microsoft.com/office/drawing/2014/chart" uri="{C3380CC4-5D6E-409C-BE32-E72D297353CC}">
                <c16:uniqueId val="{0000000B-5DB8-419E-BC11-C1A8A8AC8675}"/>
              </c:ext>
            </c:extLst>
          </c:dPt>
          <c:dPt>
            <c:idx val="6"/>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0D-5DB8-419E-BC11-C1A8A8AC8675}"/>
              </c:ext>
            </c:extLst>
          </c:dPt>
          <c:dPt>
            <c:idx val="7"/>
            <c:invertIfNegative val="0"/>
            <c:bubble3D val="0"/>
            <c:spPr>
              <a:solidFill>
                <a:srgbClr val="C55A11"/>
              </a:solidFill>
              <a:ln>
                <a:solidFill>
                  <a:schemeClr val="tx1"/>
                </a:solidFill>
              </a:ln>
              <a:effectLst/>
            </c:spPr>
            <c:extLst>
              <c:ext xmlns:c16="http://schemas.microsoft.com/office/drawing/2014/chart" uri="{C3380CC4-5D6E-409C-BE32-E72D297353CC}">
                <c16:uniqueId val="{0000000F-5DB8-419E-BC11-C1A8A8AC8675}"/>
              </c:ext>
            </c:extLst>
          </c:dPt>
          <c:dPt>
            <c:idx val="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1-5DB8-419E-BC11-C1A8A8AC8675}"/>
              </c:ext>
            </c:extLst>
          </c:dPt>
          <c:dPt>
            <c:idx val="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3-5DB8-419E-BC11-C1A8A8AC8675}"/>
              </c:ext>
            </c:extLst>
          </c:dPt>
          <c:dPt>
            <c:idx val="10"/>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5-5DB8-419E-BC11-C1A8A8AC8675}"/>
              </c:ext>
            </c:extLst>
          </c:dPt>
          <c:dPt>
            <c:idx val="11"/>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7-5DB8-419E-BC11-C1A8A8AC8675}"/>
              </c:ext>
            </c:extLst>
          </c:dPt>
          <c:dPt>
            <c:idx val="12"/>
            <c:invertIfNegative val="0"/>
            <c:bubble3D val="0"/>
            <c:spPr>
              <a:solidFill>
                <a:srgbClr val="BF9000"/>
              </a:solidFill>
              <a:ln>
                <a:solidFill>
                  <a:schemeClr val="tx1"/>
                </a:solidFill>
              </a:ln>
              <a:effectLst/>
            </c:spPr>
            <c:extLst>
              <c:ext xmlns:c16="http://schemas.microsoft.com/office/drawing/2014/chart" uri="{C3380CC4-5D6E-409C-BE32-E72D297353CC}">
                <c16:uniqueId val="{00000019-5DB8-419E-BC11-C1A8A8AC8675}"/>
              </c:ext>
            </c:extLst>
          </c:dPt>
          <c:dPt>
            <c:idx val="13"/>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B-5DB8-419E-BC11-C1A8A8AC8675}"/>
              </c:ext>
            </c:extLst>
          </c:dPt>
          <c:dPt>
            <c:idx val="1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E-A928-4E6C-8114-9F335A89AE50}"/>
              </c:ext>
            </c:extLst>
          </c:dPt>
          <c:dPt>
            <c:idx val="15"/>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F-A928-4E6C-8114-9F335A89AE50}"/>
              </c:ext>
            </c:extLst>
          </c:dPt>
          <c:dPt>
            <c:idx val="16"/>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21-5DB8-419E-BC11-C1A8A8AC8675}"/>
              </c:ext>
            </c:extLst>
          </c:dPt>
          <c:cat>
            <c:multiLvlStrRef>
              <c:f>'Figure A3 Weapon deliveries'!$B$6:$C$27</c:f>
              <c:multiLvlStrCache>
                <c:ptCount val="17"/>
                <c:lvl>
                  <c:pt idx="0">
                    <c:v>United States</c:v>
                  </c:pt>
                  <c:pt idx="1">
                    <c:v>Germany</c:v>
                  </c:pt>
                  <c:pt idx="2">
                    <c:v>United Kingdom</c:v>
                  </c:pt>
                  <c:pt idx="3">
                    <c:v>Lithuania</c:v>
                  </c:pt>
                  <c:pt idx="4">
                    <c:v>Australia</c:v>
                  </c:pt>
                  <c:pt idx="5">
                    <c:v>Poland</c:v>
                  </c:pt>
                  <c:pt idx="6">
                    <c:v>Czech Republic</c:v>
                  </c:pt>
                  <c:pt idx="7">
                    <c:v>United States</c:v>
                  </c:pt>
                  <c:pt idx="8">
                    <c:v>Norway</c:v>
                  </c:pt>
                  <c:pt idx="9">
                    <c:v>France</c:v>
                  </c:pt>
                  <c:pt idx="10">
                    <c:v>Poland</c:v>
                  </c:pt>
                  <c:pt idx="11">
                    <c:v>Germany</c:v>
                  </c:pt>
                  <c:pt idx="12">
                    <c:v>Czech Republic</c:v>
                  </c:pt>
                  <c:pt idx="13">
                    <c:v>United States</c:v>
                  </c:pt>
                  <c:pt idx="14">
                    <c:v>Germany</c:v>
                  </c:pt>
                  <c:pt idx="15">
                    <c:v>United Kingdom</c:v>
                  </c:pt>
                  <c:pt idx="16">
                    <c:v>Norway</c:v>
                  </c:pt>
                </c:lvl>
                <c:lvl>
                  <c:pt idx="0">
                    <c:v>Armored vehicles</c:v>
                  </c:pt>
                  <c:pt idx="5">
                    <c:v>Tanks </c:v>
                  </c:pt>
                  <c:pt idx="7">
                    <c:v>Howitzers (155mm)</c:v>
                  </c:pt>
                  <c:pt idx="12">
                    <c:v>MLRS</c:v>
                  </c:pt>
                </c:lvl>
              </c:multiLvlStrCache>
            </c:multiLvlStrRef>
          </c:cat>
          <c:val>
            <c:numRef>
              <c:f>'Figure A3 Weapon deliveries'!$D$6:$D$27</c:f>
              <c:numCache>
                <c:formatCode>0</c:formatCode>
                <c:ptCount val="17"/>
                <c:pt idx="0">
                  <c:v>300</c:v>
                </c:pt>
                <c:pt idx="1">
                  <c:v>80</c:v>
                </c:pt>
                <c:pt idx="2">
                  <c:v>120</c:v>
                </c:pt>
                <c:pt idx="3">
                  <c:v>89</c:v>
                </c:pt>
                <c:pt idx="4">
                  <c:v>88</c:v>
                </c:pt>
                <c:pt idx="5">
                  <c:v>240</c:v>
                </c:pt>
                <c:pt idx="6">
                  <c:v>40</c:v>
                </c:pt>
                <c:pt idx="7">
                  <c:v>108</c:v>
                </c:pt>
                <c:pt idx="8">
                  <c:v>22</c:v>
                </c:pt>
                <c:pt idx="9">
                  <c:v>18</c:v>
                </c:pt>
                <c:pt idx="10">
                  <c:v>18</c:v>
                </c:pt>
                <c:pt idx="11">
                  <c:v>14</c:v>
                </c:pt>
                <c:pt idx="12">
                  <c:v>20</c:v>
                </c:pt>
                <c:pt idx="13">
                  <c:v>16</c:v>
                </c:pt>
                <c:pt idx="14">
                  <c:v>5</c:v>
                </c:pt>
                <c:pt idx="15">
                  <c:v>3</c:v>
                </c:pt>
                <c:pt idx="16">
                  <c:v>3</c:v>
                </c:pt>
              </c:numCache>
            </c:numRef>
          </c:val>
          <c:extLst>
            <c:ext xmlns:c16="http://schemas.microsoft.com/office/drawing/2014/chart" uri="{C3380CC4-5D6E-409C-BE32-E72D297353CC}">
              <c16:uniqueId val="{0000001E-671C-4D34-9262-311EF9803FD3}"/>
            </c:ext>
          </c:extLst>
        </c:ser>
        <c:dLbls>
          <c:showLegendKey val="0"/>
          <c:showVal val="0"/>
          <c:showCatName val="0"/>
          <c:showSerName val="0"/>
          <c:showPercent val="0"/>
          <c:showBubbleSize val="0"/>
        </c:dLbls>
        <c:gapWidth val="110"/>
        <c:axId val="825191296"/>
        <c:axId val="825182560"/>
        <c:extLst>
          <c:ext xmlns:c15="http://schemas.microsoft.com/office/drawing/2012/chart" uri="{02D57815-91ED-43cb-92C2-25804820EDAC}">
            <c15:filteredBarSeries>
              <c15:ser>
                <c:idx val="1"/>
                <c:order val="1"/>
                <c:tx>
                  <c:strRef>
                    <c:extLst>
                      <c:ext uri="{02D57815-91ED-43cb-92C2-25804820EDAC}">
                        <c15:formulaRef>
                          <c15:sqref>'Figure A3 Weapon deliveries'!$E$1</c15:sqref>
                        </c15:formulaRef>
                      </c:ext>
                    </c:extLst>
                    <c:strCache>
                      <c:ptCount val="1"/>
                    </c:strCache>
                  </c:strRef>
                </c:tx>
                <c:spPr>
                  <a:solidFill>
                    <a:schemeClr val="accent2"/>
                  </a:solidFill>
                  <a:ln>
                    <a:noFill/>
                  </a:ln>
                  <a:effectLst/>
                </c:spPr>
                <c:invertIfNegative val="0"/>
                <c:cat>
                  <c:multiLvlStrRef>
                    <c:extLst>
                      <c:ext uri="{02D57815-91ED-43cb-92C2-25804820EDAC}">
                        <c15:formulaRef>
                          <c15:sqref>'Figure A3 Weapon deliveries'!$B$6:$C$27</c15:sqref>
                        </c15:formulaRef>
                      </c:ext>
                    </c:extLst>
                    <c:multiLvlStrCache>
                      <c:ptCount val="17"/>
                      <c:lvl>
                        <c:pt idx="0">
                          <c:v>United States</c:v>
                        </c:pt>
                        <c:pt idx="1">
                          <c:v>Germany</c:v>
                        </c:pt>
                        <c:pt idx="2">
                          <c:v>United Kingdom</c:v>
                        </c:pt>
                        <c:pt idx="3">
                          <c:v>Lithuania</c:v>
                        </c:pt>
                        <c:pt idx="4">
                          <c:v>Australia</c:v>
                        </c:pt>
                        <c:pt idx="5">
                          <c:v>Poland</c:v>
                        </c:pt>
                        <c:pt idx="6">
                          <c:v>Czech Republic</c:v>
                        </c:pt>
                        <c:pt idx="7">
                          <c:v>United States</c:v>
                        </c:pt>
                        <c:pt idx="8">
                          <c:v>Norway</c:v>
                        </c:pt>
                        <c:pt idx="9">
                          <c:v>France</c:v>
                        </c:pt>
                        <c:pt idx="10">
                          <c:v>Poland</c:v>
                        </c:pt>
                        <c:pt idx="11">
                          <c:v>Germany</c:v>
                        </c:pt>
                        <c:pt idx="12">
                          <c:v>Czech Republic</c:v>
                        </c:pt>
                        <c:pt idx="13">
                          <c:v>United States</c:v>
                        </c:pt>
                        <c:pt idx="14">
                          <c:v>Germany</c:v>
                        </c:pt>
                        <c:pt idx="15">
                          <c:v>United Kingdom</c:v>
                        </c:pt>
                        <c:pt idx="16">
                          <c:v>Norway</c:v>
                        </c:pt>
                      </c:lvl>
                      <c:lvl>
                        <c:pt idx="0">
                          <c:v>Armored vehicles</c:v>
                        </c:pt>
                        <c:pt idx="5">
                          <c:v>Tanks </c:v>
                        </c:pt>
                        <c:pt idx="7">
                          <c:v>Howitzers (155mm)</c:v>
                        </c:pt>
                        <c:pt idx="12">
                          <c:v>MLRS</c:v>
                        </c:pt>
                      </c:lvl>
                    </c:multiLvlStrCache>
                  </c:multiLvlStrRef>
                </c:cat>
                <c:val>
                  <c:numRef>
                    <c:extLst>
                      <c:ext uri="{02D57815-91ED-43cb-92C2-25804820EDAC}">
                        <c15:formulaRef>
                          <c15:sqref>'Figure A3 Weapon deliveries'!$E$6:$E$27</c15:sqref>
                        </c15:formulaRef>
                      </c:ext>
                    </c:extLst>
                    <c:numCache>
                      <c:formatCode>General</c:formatCode>
                      <c:ptCount val="17"/>
                    </c:numCache>
                  </c:numRef>
                </c:val>
                <c:extLst>
                  <c:ext xmlns:c16="http://schemas.microsoft.com/office/drawing/2014/chart" uri="{C3380CC4-5D6E-409C-BE32-E72D297353CC}">
                    <c16:uniqueId val="{0000003D-671C-4D34-9262-311EF9803FD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'Figure A3 Weapon deliveries'!$F$1</c15:sqref>
                        </c15:formulaRef>
                      </c:ext>
                    </c:extLst>
                    <c:strCache>
                      <c:ptCount val="1"/>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'Figure A3 Weapon deliveries'!$B$6:$C$27</c15:sqref>
                        </c15:formulaRef>
                      </c:ext>
                    </c:extLst>
                    <c:multiLvlStrCache>
                      <c:ptCount val="17"/>
                      <c:lvl>
                        <c:pt idx="0">
                          <c:v>United States</c:v>
                        </c:pt>
                        <c:pt idx="1">
                          <c:v>Germany</c:v>
                        </c:pt>
                        <c:pt idx="2">
                          <c:v>United Kingdom</c:v>
                        </c:pt>
                        <c:pt idx="3">
                          <c:v>Lithuania</c:v>
                        </c:pt>
                        <c:pt idx="4">
                          <c:v>Australia</c:v>
                        </c:pt>
                        <c:pt idx="5">
                          <c:v>Poland</c:v>
                        </c:pt>
                        <c:pt idx="6">
                          <c:v>Czech Republic</c:v>
                        </c:pt>
                        <c:pt idx="7">
                          <c:v>United States</c:v>
                        </c:pt>
                        <c:pt idx="8">
                          <c:v>Norway</c:v>
                        </c:pt>
                        <c:pt idx="9">
                          <c:v>France</c:v>
                        </c:pt>
                        <c:pt idx="10">
                          <c:v>Poland</c:v>
                        </c:pt>
                        <c:pt idx="11">
                          <c:v>Germany</c:v>
                        </c:pt>
                        <c:pt idx="12">
                          <c:v>Czech Republic</c:v>
                        </c:pt>
                        <c:pt idx="13">
                          <c:v>United States</c:v>
                        </c:pt>
                        <c:pt idx="14">
                          <c:v>Germany</c:v>
                        </c:pt>
                        <c:pt idx="15">
                          <c:v>United Kingdom</c:v>
                        </c:pt>
                        <c:pt idx="16">
                          <c:v>Norway</c:v>
                        </c:pt>
                      </c:lvl>
                      <c:lvl>
                        <c:pt idx="0">
                          <c:v>Armored vehicles</c:v>
                        </c:pt>
                        <c:pt idx="5">
                          <c:v>Tanks </c:v>
                        </c:pt>
                        <c:pt idx="7">
                          <c:v>Howitzers (155mm)</c:v>
                        </c:pt>
                        <c:pt idx="12">
                          <c:v>MLRS</c:v>
                        </c:pt>
                      </c:lvl>
                    </c:multiLvlStrCache>
                  </c:multiLvlStrRef>
                </c:cat>
                <c:val>
                  <c:numRef>
                    <c:extLst xmlns:c15="http://schemas.microsoft.com/office/drawing/2012/chart">
                      <c:ext xmlns:c15="http://schemas.microsoft.com/office/drawing/2012/chart" uri="{02D57815-91ED-43cb-92C2-25804820EDAC}">
                        <c15:formulaRef>
                          <c15:sqref>'Figure A3 Weapon deliveries'!$F$6:$F$27</c15:sqref>
                        </c15:formulaRef>
                      </c:ext>
                    </c:extLst>
                    <c:numCache>
                      <c:formatCode>General</c:formatCode>
                      <c:ptCount val="17"/>
                    </c:numCache>
                  </c:numRef>
                </c:val>
                <c:extLst xmlns:c15="http://schemas.microsoft.com/office/drawing/2012/chart">
                  <c:ext xmlns:c16="http://schemas.microsoft.com/office/drawing/2014/chart" uri="{C3380CC4-5D6E-409C-BE32-E72D297353CC}">
                    <c16:uniqueId val="{0000003E-671C-4D34-9262-311EF9803FD3}"/>
                  </c:ext>
                </c:extLst>
              </c15:ser>
            </c15:filteredBarSeries>
          </c:ext>
        </c:extLst>
      </c:barChart>
      <c:catAx>
        <c:axId val="825191296"/>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82560"/>
        <c:crosses val="autoZero"/>
        <c:auto val="1"/>
        <c:lblAlgn val="ctr"/>
        <c:lblOffset val="100"/>
        <c:noMultiLvlLbl val="0"/>
      </c:catAx>
      <c:valAx>
        <c:axId val="8251825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91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77049407020098E-2"/>
          <c:y val="2.3803600126414605E-4"/>
          <c:w val="0.81872661409478553"/>
          <c:h val="0.91344901164828285"/>
        </c:manualLayout>
      </c:layout>
      <c:lineChart>
        <c:grouping val="standard"/>
        <c:varyColors val="0"/>
        <c:ser>
          <c:idx val="0"/>
          <c:order val="0"/>
          <c:tx>
            <c:strRef>
              <c:f>'Figure 1 Aid over Time'!$C$4</c:f>
              <c:strCache>
                <c:ptCount val="1"/>
                <c:pt idx="0">
                  <c:v>Total new aid committed per month (€ billion)</c:v>
                </c:pt>
              </c:strCache>
            </c:strRef>
          </c:tx>
          <c:spPr>
            <a:ln w="31750" cap="rnd" cmpd="dbl">
              <a:solidFill>
                <a:schemeClr val="accent1">
                  <a:lumMod val="75000"/>
                </a:schemeClr>
              </a:solidFill>
              <a:round/>
            </a:ln>
            <a:effectLst/>
          </c:spPr>
          <c:marker>
            <c:symbol val="square"/>
            <c:size val="6"/>
            <c:spPr>
              <a:solidFill>
                <a:schemeClr val="accent1">
                  <a:lumMod val="75000"/>
                </a:schemeClr>
              </a:solidFill>
              <a:ln w="9525">
                <a:noFill/>
              </a:ln>
              <a:effectLst/>
            </c:spPr>
          </c:marker>
          <c:cat>
            <c:strRef>
              <c:f>'Figure 1 Aid over Time'!$B$5:$B$15</c:f>
              <c:strCache>
                <c:ptCount val="11"/>
                <c:pt idx="0">
                  <c:v>January</c:v>
                </c:pt>
                <c:pt idx="1">
                  <c:v>February</c:v>
                </c:pt>
                <c:pt idx="2">
                  <c:v>March</c:v>
                </c:pt>
                <c:pt idx="3">
                  <c:v>April</c:v>
                </c:pt>
                <c:pt idx="4">
                  <c:v>May</c:v>
                </c:pt>
                <c:pt idx="5">
                  <c:v>June</c:v>
                </c:pt>
                <c:pt idx="6">
                  <c:v>July</c:v>
                </c:pt>
                <c:pt idx="7">
                  <c:v>August</c:v>
                </c:pt>
                <c:pt idx="8">
                  <c:v>September</c:v>
                </c:pt>
                <c:pt idx="9">
                  <c:v>October</c:v>
                </c:pt>
                <c:pt idx="10">
                  <c:v>November</c:v>
                </c:pt>
              </c:strCache>
            </c:strRef>
          </c:cat>
          <c:val>
            <c:numRef>
              <c:f>'Figure 1 Aid over Time'!$C$5:$C$15</c:f>
              <c:numCache>
                <c:formatCode>0.00</c:formatCode>
                <c:ptCount val="11"/>
                <c:pt idx="0">
                  <c:v>0.28729281767955805</c:v>
                </c:pt>
                <c:pt idx="1">
                  <c:v>6.1709456746220344</c:v>
                </c:pt>
                <c:pt idx="2">
                  <c:v>13.421188774620736</c:v>
                </c:pt>
                <c:pt idx="3">
                  <c:v>11.329384324908142</c:v>
                </c:pt>
                <c:pt idx="4">
                  <c:v>40.889923305036149</c:v>
                </c:pt>
                <c:pt idx="5">
                  <c:v>2.9439524964658497</c:v>
                </c:pt>
                <c:pt idx="6">
                  <c:v>1.0359736112205324</c:v>
                </c:pt>
                <c:pt idx="7">
                  <c:v>0.77140981551233689</c:v>
                </c:pt>
                <c:pt idx="8">
                  <c:v>13.389751124390541</c:v>
                </c:pt>
                <c:pt idx="9">
                  <c:v>1.9221973318003081</c:v>
                </c:pt>
                <c:pt idx="10">
                  <c:v>20.251829203766878</c:v>
                </c:pt>
              </c:numCache>
            </c:numRef>
          </c:val>
          <c:smooth val="0"/>
          <c:extLst xmlns:c15="http://schemas.microsoft.com/office/drawing/2012/chart">
            <c:ext xmlns:c16="http://schemas.microsoft.com/office/drawing/2014/chart" uri="{C3380CC4-5D6E-409C-BE32-E72D297353CC}">
              <c16:uniqueId val="{00000000-8128-4807-8C6A-87E1716C700D}"/>
            </c:ext>
          </c:extLst>
        </c:ser>
        <c:dLbls>
          <c:showLegendKey val="0"/>
          <c:showVal val="0"/>
          <c:showCatName val="0"/>
          <c:showSerName val="0"/>
          <c:showPercent val="0"/>
          <c:showBubbleSize val="0"/>
        </c:dLbls>
        <c:marker val="1"/>
        <c:smooth val="0"/>
        <c:axId val="450490767"/>
        <c:axId val="450486607"/>
      </c:line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majorUnit val="5"/>
      </c:valAx>
      <c:spPr>
        <a:noFill/>
        <a:ln>
          <a:noFill/>
        </a:ln>
        <a:effectLst/>
      </c:spPr>
    </c:plotArea>
    <c:legend>
      <c:legendPos val="r"/>
      <c:layout>
        <c:manualLayout>
          <c:xMode val="edge"/>
          <c:yMode val="edge"/>
          <c:x val="0.44101296849880256"/>
          <c:y val="0.31670792030300782"/>
          <c:w val="0.44760363982471507"/>
          <c:h val="7.1997579384071128E-2"/>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05123578302713"/>
          <c:y val="1.4074447230952877E-2"/>
          <c:w val="0.74722440944881896"/>
          <c:h val="0.94124085444144956"/>
        </c:manualLayout>
      </c:layout>
      <c:barChart>
        <c:barDir val="bar"/>
        <c:grouping val="stacked"/>
        <c:varyColors val="0"/>
        <c:ser>
          <c:idx val="0"/>
          <c:order val="0"/>
          <c:tx>
            <c:strRef>
              <c:f>'Data transparency indices'!$C$5</c:f>
              <c:strCache>
                <c:ptCount val="1"/>
                <c:pt idx="0">
                  <c:v>Designated Website (1=Yes)</c:v>
                </c:pt>
              </c:strCache>
            </c:strRef>
          </c:tx>
          <c:spPr>
            <a:solidFill>
              <a:schemeClr val="tx2">
                <a:lumMod val="75000"/>
              </a:schemeClr>
            </a:solidFill>
            <a:ln>
              <a:solidFill>
                <a:schemeClr val="tx1"/>
              </a:solidFill>
            </a:ln>
            <a:effectLst/>
          </c:spPr>
          <c:invertIfNegative val="0"/>
          <c:cat>
            <c:strRef>
              <c:f>'Data transparency indices'!$B$8:$B$48</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indices'!$C$8:$C$48</c:f>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0</c:v>
                </c:pt>
                <c:pt idx="20">
                  <c:v>0</c:v>
                </c:pt>
                <c:pt idx="21">
                  <c:v>0</c:v>
                </c:pt>
                <c:pt idx="22">
                  <c:v>1</c:v>
                </c:pt>
                <c:pt idx="23">
                  <c:v>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DFFC-C14D-8B46-820556A630F5}"/>
            </c:ext>
          </c:extLst>
        </c:ser>
        <c:ser>
          <c:idx val="1"/>
          <c:order val="1"/>
          <c:tx>
            <c:strRef>
              <c:f>'Data transparency indices'!$D$5</c:f>
              <c:strCache>
                <c:ptCount val="1"/>
                <c:pt idx="0">
                  <c:v>Total value of commitments given (1=Yes)</c:v>
                </c:pt>
              </c:strCache>
            </c:strRef>
          </c:tx>
          <c:spPr>
            <a:solidFill>
              <a:schemeClr val="accent6">
                <a:lumMod val="75000"/>
              </a:schemeClr>
            </a:solidFill>
            <a:ln>
              <a:solidFill>
                <a:schemeClr val="tx1"/>
              </a:solidFill>
            </a:ln>
            <a:effectLst/>
          </c:spPr>
          <c:invertIfNegative val="0"/>
          <c:cat>
            <c:strRef>
              <c:f>'Data transparency indices'!$B$8:$B$48</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indices'!$D$8:$D$48</c:f>
              <c:numCache>
                <c:formatCode>0</c:formatCode>
                <c:ptCount val="41"/>
                <c:pt idx="0">
                  <c:v>1</c:v>
                </c:pt>
                <c:pt idx="1">
                  <c:v>1</c:v>
                </c:pt>
                <c:pt idx="2">
                  <c:v>1</c:v>
                </c:pt>
                <c:pt idx="3">
                  <c:v>1</c:v>
                </c:pt>
                <c:pt idx="4">
                  <c:v>1</c:v>
                </c:pt>
                <c:pt idx="5">
                  <c:v>1</c:v>
                </c:pt>
                <c:pt idx="6">
                  <c:v>1</c:v>
                </c:pt>
                <c:pt idx="7">
                  <c:v>1</c:v>
                </c:pt>
                <c:pt idx="8">
                  <c:v>1</c:v>
                </c:pt>
                <c:pt idx="9">
                  <c:v>1</c:v>
                </c:pt>
                <c:pt idx="10">
                  <c:v>0</c:v>
                </c:pt>
                <c:pt idx="11">
                  <c:v>1</c:v>
                </c:pt>
                <c:pt idx="12">
                  <c:v>0</c:v>
                </c:pt>
                <c:pt idx="13">
                  <c:v>0</c:v>
                </c:pt>
                <c:pt idx="14">
                  <c:v>1</c:v>
                </c:pt>
                <c:pt idx="15">
                  <c:v>1</c:v>
                </c:pt>
                <c:pt idx="16">
                  <c:v>0</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DFFC-C14D-8B46-820556A630F5}"/>
            </c:ext>
          </c:extLst>
        </c:ser>
        <c:ser>
          <c:idx val="2"/>
          <c:order val="2"/>
          <c:tx>
            <c:strRef>
              <c:f>'Data transparency indices'!$E$5</c:f>
              <c:strCache>
                <c:ptCount val="1"/>
                <c:pt idx="0">
                  <c:v>Monetary value of individual items given by source (share)</c:v>
                </c:pt>
              </c:strCache>
            </c:strRef>
          </c:tx>
          <c:spPr>
            <a:solidFill>
              <a:schemeClr val="accent1">
                <a:lumMod val="75000"/>
              </a:schemeClr>
            </a:solidFill>
            <a:ln>
              <a:solidFill>
                <a:schemeClr val="tx1"/>
              </a:solidFill>
            </a:ln>
            <a:effectLst/>
          </c:spPr>
          <c:invertIfNegative val="0"/>
          <c:cat>
            <c:strRef>
              <c:f>'Data transparency indices'!$B$8:$B$48</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indices'!$E$8:$E$48</c:f>
              <c:numCache>
                <c:formatCode>0.00</c:formatCode>
                <c:ptCount val="41"/>
                <c:pt idx="0">
                  <c:v>1</c:v>
                </c:pt>
                <c:pt idx="1">
                  <c:v>0.875</c:v>
                </c:pt>
                <c:pt idx="2">
                  <c:v>0.95652173913043481</c:v>
                </c:pt>
                <c:pt idx="3">
                  <c:v>1</c:v>
                </c:pt>
                <c:pt idx="4">
                  <c:v>0.48571428571428571</c:v>
                </c:pt>
                <c:pt idx="5">
                  <c:v>0.78260869565217395</c:v>
                </c:pt>
                <c:pt idx="6">
                  <c:v>0.75757575757575757</c:v>
                </c:pt>
                <c:pt idx="7">
                  <c:v>0.53846153846153844</c:v>
                </c:pt>
                <c:pt idx="8">
                  <c:v>0.36363636363636365</c:v>
                </c:pt>
                <c:pt idx="9">
                  <c:v>0.25714285714285712</c:v>
                </c:pt>
                <c:pt idx="10">
                  <c:v>1</c:v>
                </c:pt>
                <c:pt idx="11">
                  <c:v>0.31818181818181818</c:v>
                </c:pt>
                <c:pt idx="12">
                  <c:v>0.9910714285714286</c:v>
                </c:pt>
                <c:pt idx="13">
                  <c:v>0.9</c:v>
                </c:pt>
                <c:pt idx="14">
                  <c:v>0.72222222222222221</c:v>
                </c:pt>
                <c:pt idx="15">
                  <c:v>0.53125</c:v>
                </c:pt>
                <c:pt idx="16">
                  <c:v>0.30434782608695654</c:v>
                </c:pt>
                <c:pt idx="17">
                  <c:v>0.31578947368421051</c:v>
                </c:pt>
                <c:pt idx="18">
                  <c:v>0.70491803278688525</c:v>
                </c:pt>
                <c:pt idx="19">
                  <c:v>1</c:v>
                </c:pt>
                <c:pt idx="20">
                  <c:v>1</c:v>
                </c:pt>
                <c:pt idx="21">
                  <c:v>1</c:v>
                </c:pt>
                <c:pt idx="22">
                  <c:v>1</c:v>
                </c:pt>
                <c:pt idx="23">
                  <c:v>0.21739130434782608</c:v>
                </c:pt>
                <c:pt idx="24">
                  <c:v>0.58333333333333337</c:v>
                </c:pt>
                <c:pt idx="25">
                  <c:v>0.8</c:v>
                </c:pt>
                <c:pt idx="26">
                  <c:v>0.8</c:v>
                </c:pt>
                <c:pt idx="27">
                  <c:v>0.33333333333333331</c:v>
                </c:pt>
                <c:pt idx="28">
                  <c:v>1</c:v>
                </c:pt>
                <c:pt idx="29">
                  <c:v>0.8</c:v>
                </c:pt>
                <c:pt idx="30">
                  <c:v>0.39655172413793105</c:v>
                </c:pt>
                <c:pt idx="31">
                  <c:v>1</c:v>
                </c:pt>
                <c:pt idx="32">
                  <c:v>0.35714285714285715</c:v>
                </c:pt>
                <c:pt idx="33">
                  <c:v>0</c:v>
                </c:pt>
                <c:pt idx="34">
                  <c:v>0</c:v>
                </c:pt>
                <c:pt idx="35">
                  <c:v>0.8</c:v>
                </c:pt>
                <c:pt idx="36">
                  <c:v>0.68181818181818177</c:v>
                </c:pt>
                <c:pt idx="37">
                  <c:v>0</c:v>
                </c:pt>
                <c:pt idx="38">
                  <c:v>0.17142857142857143</c:v>
                </c:pt>
                <c:pt idx="39">
                  <c:v>0.16666666666666666</c:v>
                </c:pt>
                <c:pt idx="40">
                  <c:v>0.1875</c:v>
                </c:pt>
              </c:numCache>
            </c:numRef>
          </c:val>
          <c:extLst>
            <c:ext xmlns:c16="http://schemas.microsoft.com/office/drawing/2014/chart" uri="{C3380CC4-5D6E-409C-BE32-E72D297353CC}">
              <c16:uniqueId val="{00000002-DFFC-C14D-8B46-820556A630F5}"/>
            </c:ext>
          </c:extLst>
        </c:ser>
        <c:ser>
          <c:idx val="3"/>
          <c:order val="3"/>
          <c:tx>
            <c:strRef>
              <c:f>'Data transparency indices'!$F$5</c:f>
              <c:strCache>
                <c:ptCount val="1"/>
                <c:pt idx="0">
                  <c:v>Government information on individual items (share)</c:v>
                </c:pt>
              </c:strCache>
            </c:strRef>
          </c:tx>
          <c:spPr>
            <a:solidFill>
              <a:schemeClr val="tx2">
                <a:lumMod val="60000"/>
                <a:lumOff val="40000"/>
              </a:schemeClr>
            </a:solidFill>
            <a:ln>
              <a:solidFill>
                <a:schemeClr val="tx1"/>
              </a:solidFill>
            </a:ln>
            <a:effectLst/>
          </c:spPr>
          <c:invertIfNegative val="0"/>
          <c:cat>
            <c:strRef>
              <c:f>'Data transparency indices'!$B$8:$B$48</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indices'!$F$8:$F$48</c:f>
              <c:numCache>
                <c:formatCode>0.00</c:formatCode>
                <c:ptCount val="41"/>
                <c:pt idx="0">
                  <c:v>1</c:v>
                </c:pt>
                <c:pt idx="1">
                  <c:v>1</c:v>
                </c:pt>
                <c:pt idx="2">
                  <c:v>1</c:v>
                </c:pt>
                <c:pt idx="3">
                  <c:v>1</c:v>
                </c:pt>
                <c:pt idx="4">
                  <c:v>0.94285714285714284</c:v>
                </c:pt>
                <c:pt idx="5">
                  <c:v>0.93478260869565222</c:v>
                </c:pt>
                <c:pt idx="6">
                  <c:v>0.84848484848484851</c:v>
                </c:pt>
                <c:pt idx="7">
                  <c:v>0.92307692307692313</c:v>
                </c:pt>
                <c:pt idx="8">
                  <c:v>0.72727272727272729</c:v>
                </c:pt>
                <c:pt idx="9">
                  <c:v>0.97142857142857142</c:v>
                </c:pt>
                <c:pt idx="10">
                  <c:v>1</c:v>
                </c:pt>
                <c:pt idx="11">
                  <c:v>0.98863636363636365</c:v>
                </c:pt>
                <c:pt idx="12">
                  <c:v>0.9732142857142857</c:v>
                </c:pt>
                <c:pt idx="13">
                  <c:v>0.9</c:v>
                </c:pt>
                <c:pt idx="14">
                  <c:v>0.80555555555555558</c:v>
                </c:pt>
                <c:pt idx="15">
                  <c:v>0.625</c:v>
                </c:pt>
                <c:pt idx="16">
                  <c:v>1</c:v>
                </c:pt>
                <c:pt idx="17">
                  <c:v>0.73684210526315785</c:v>
                </c:pt>
                <c:pt idx="18">
                  <c:v>0.78688524590163933</c:v>
                </c:pt>
                <c:pt idx="19">
                  <c:v>0.83333333333333337</c:v>
                </c:pt>
                <c:pt idx="20">
                  <c:v>0.8</c:v>
                </c:pt>
                <c:pt idx="21">
                  <c:v>0.8</c:v>
                </c:pt>
                <c:pt idx="22">
                  <c:v>0.3</c:v>
                </c:pt>
                <c:pt idx="23">
                  <c:v>0.78260869565217395</c:v>
                </c:pt>
                <c:pt idx="24">
                  <c:v>0.66666666666666663</c:v>
                </c:pt>
                <c:pt idx="25">
                  <c:v>0.93333333333333335</c:v>
                </c:pt>
                <c:pt idx="26">
                  <c:v>0.42</c:v>
                </c:pt>
                <c:pt idx="27">
                  <c:v>0.77777777777777779</c:v>
                </c:pt>
                <c:pt idx="28">
                  <c:v>0.1111111111111111</c:v>
                </c:pt>
                <c:pt idx="29">
                  <c:v>0.7</c:v>
                </c:pt>
                <c:pt idx="30">
                  <c:v>0.82758620689655171</c:v>
                </c:pt>
                <c:pt idx="31">
                  <c:v>0</c:v>
                </c:pt>
                <c:pt idx="32">
                  <c:v>0.6428571428571429</c:v>
                </c:pt>
                <c:pt idx="33">
                  <c:v>1</c:v>
                </c:pt>
                <c:pt idx="34">
                  <c:v>0.77777777777777779</c:v>
                </c:pt>
                <c:pt idx="35">
                  <c:v>0.5</c:v>
                </c:pt>
                <c:pt idx="36">
                  <c:v>0.40909090909090912</c:v>
                </c:pt>
                <c:pt idx="37">
                  <c:v>0.53333333333333333</c:v>
                </c:pt>
                <c:pt idx="38">
                  <c:v>0.51428571428571423</c:v>
                </c:pt>
                <c:pt idx="39">
                  <c:v>0.16666666666666666</c:v>
                </c:pt>
                <c:pt idx="40">
                  <c:v>0.625</c:v>
                </c:pt>
              </c:numCache>
            </c:numRef>
          </c:val>
          <c:extLst>
            <c:ext xmlns:c16="http://schemas.microsoft.com/office/drawing/2014/chart" uri="{C3380CC4-5D6E-409C-BE32-E72D297353CC}">
              <c16:uniqueId val="{00000003-DFFC-C14D-8B46-820556A630F5}"/>
            </c:ext>
          </c:extLst>
        </c:ser>
        <c:ser>
          <c:idx val="4"/>
          <c:order val="4"/>
          <c:tx>
            <c:strRef>
              <c:f>'Data transparency indices'!$G$5</c:f>
              <c:strCache>
                <c:ptCount val="1"/>
                <c:pt idx="0">
                  <c:v>Numbers of military items known (share)</c:v>
                </c:pt>
              </c:strCache>
            </c:strRef>
          </c:tx>
          <c:spPr>
            <a:solidFill>
              <a:srgbClr val="C00000"/>
            </a:solidFill>
            <a:ln>
              <a:solidFill>
                <a:srgbClr val="000000"/>
              </a:solidFill>
              <a:prstDash val="solid"/>
            </a:ln>
            <a:effectLst/>
          </c:spPr>
          <c:invertIfNegative val="0"/>
          <c:cat>
            <c:strRef>
              <c:f>'Data transparency indices'!$B$8:$B$48</c:f>
              <c:strCache>
                <c:ptCount val="41"/>
                <c:pt idx="0">
                  <c:v>Switzerland</c:v>
                </c:pt>
                <c:pt idx="1">
                  <c:v>Sweden</c:v>
                </c:pt>
                <c:pt idx="2">
                  <c:v>Australia</c:v>
                </c:pt>
                <c:pt idx="3">
                  <c:v>Denmark</c:v>
                </c:pt>
                <c:pt idx="4">
                  <c:v>Finland</c:v>
                </c:pt>
                <c:pt idx="5">
                  <c:v>Canada</c:v>
                </c:pt>
                <c:pt idx="6">
                  <c:v>Netherlands</c:v>
                </c:pt>
                <c:pt idx="7">
                  <c:v>New Zealand</c:v>
                </c:pt>
                <c:pt idx="8">
                  <c:v>Ireland</c:v>
                </c:pt>
                <c:pt idx="9">
                  <c:v>Norway</c:v>
                </c:pt>
                <c:pt idx="10">
                  <c:v>Malta</c:v>
                </c:pt>
                <c:pt idx="11">
                  <c:v>United States</c:v>
                </c:pt>
                <c:pt idx="12">
                  <c:v>Germany</c:v>
                </c:pt>
                <c:pt idx="13">
                  <c:v>EU (Commission and Council)</c:v>
                </c:pt>
                <c:pt idx="14">
                  <c:v>Estonia</c:v>
                </c:pt>
                <c:pt idx="15">
                  <c:v>Lithuania</c:v>
                </c:pt>
                <c:pt idx="16">
                  <c:v>Austria</c:v>
                </c:pt>
                <c:pt idx="17">
                  <c:v>Japan</c:v>
                </c:pt>
                <c:pt idx="18">
                  <c:v>United Kingdom</c:v>
                </c:pt>
                <c:pt idx="19">
                  <c:v>Cyprus</c:v>
                </c:pt>
                <c:pt idx="20">
                  <c:v>Belgium</c:v>
                </c:pt>
                <c:pt idx="21">
                  <c:v>Croatia</c:v>
                </c:pt>
                <c:pt idx="22">
                  <c:v>South Korea</c:v>
                </c:pt>
                <c:pt idx="23">
                  <c:v>Italy</c:v>
                </c:pt>
                <c:pt idx="24">
                  <c:v>Slovakia</c:v>
                </c:pt>
                <c:pt idx="25">
                  <c:v>Latvia</c:v>
                </c:pt>
                <c:pt idx="26">
                  <c:v>Czech Republic</c:v>
                </c:pt>
                <c:pt idx="27">
                  <c:v>Romania</c:v>
                </c:pt>
                <c:pt idx="28">
                  <c:v>Taiwan</c:v>
                </c:pt>
                <c:pt idx="29">
                  <c:v>Luxembourg</c:v>
                </c:pt>
                <c:pt idx="30">
                  <c:v>France</c:v>
                </c:pt>
                <c:pt idx="31">
                  <c:v>China</c:v>
                </c:pt>
                <c:pt idx="32">
                  <c:v>Hungary</c:v>
                </c:pt>
                <c:pt idx="33">
                  <c:v>India</c:v>
                </c:pt>
                <c:pt idx="34">
                  <c:v>Turkey</c:v>
                </c:pt>
                <c:pt idx="35">
                  <c:v>Slovenia</c:v>
                </c:pt>
                <c:pt idx="36">
                  <c:v>Poland</c:v>
                </c:pt>
                <c:pt idx="37">
                  <c:v>Greece</c:v>
                </c:pt>
                <c:pt idx="38">
                  <c:v>Spain</c:v>
                </c:pt>
                <c:pt idx="39">
                  <c:v>Bulgaria</c:v>
                </c:pt>
                <c:pt idx="40">
                  <c:v>Portugal</c:v>
                </c:pt>
              </c:strCache>
            </c:strRef>
          </c:cat>
          <c:val>
            <c:numRef>
              <c:f>'Data transparency indices'!$G$8:$G$48</c:f>
              <c:numCache>
                <c:formatCode>0.00</c:formatCode>
                <c:ptCount val="41"/>
                <c:pt idx="0">
                  <c:v>1</c:v>
                </c:pt>
                <c:pt idx="1">
                  <c:v>0.8</c:v>
                </c:pt>
                <c:pt idx="2">
                  <c:v>0.63157894736842102</c:v>
                </c:pt>
                <c:pt idx="3">
                  <c:v>0.58333333333333326</c:v>
                </c:pt>
                <c:pt idx="4">
                  <c:v>1</c:v>
                </c:pt>
                <c:pt idx="5">
                  <c:v>0.7</c:v>
                </c:pt>
                <c:pt idx="6">
                  <c:v>0.80952380952380953</c:v>
                </c:pt>
                <c:pt idx="7">
                  <c:v>0.83333333333333337</c:v>
                </c:pt>
                <c:pt idx="8">
                  <c:v>1</c:v>
                </c:pt>
                <c:pt idx="9">
                  <c:v>0.78260869565217395</c:v>
                </c:pt>
                <c:pt idx="10">
                  <c:v>1</c:v>
                </c:pt>
                <c:pt idx="11">
                  <c:v>0.68724279835390945</c:v>
                </c:pt>
                <c:pt idx="12">
                  <c:v>0.86407766990291268</c:v>
                </c:pt>
                <c:pt idx="13">
                  <c:v>1</c:v>
                </c:pt>
                <c:pt idx="14">
                  <c:v>0.16666666666666663</c:v>
                </c:pt>
                <c:pt idx="15">
                  <c:v>0.39130434782608692</c:v>
                </c:pt>
                <c:pt idx="16">
                  <c:v>1</c:v>
                </c:pt>
                <c:pt idx="17">
                  <c:v>0.25</c:v>
                </c:pt>
                <c:pt idx="18">
                  <c:v>0.68888888888888888</c:v>
                </c:pt>
                <c:pt idx="19">
                  <c:v>1</c:v>
                </c:pt>
                <c:pt idx="20">
                  <c:v>1</c:v>
                </c:pt>
                <c:pt idx="21">
                  <c:v>1</c:v>
                </c:pt>
                <c:pt idx="22">
                  <c:v>0.5</c:v>
                </c:pt>
                <c:pt idx="23">
                  <c:v>0.66666666666666674</c:v>
                </c:pt>
                <c:pt idx="24">
                  <c:v>1</c:v>
                </c:pt>
                <c:pt idx="25">
                  <c:v>0.5</c:v>
                </c:pt>
                <c:pt idx="26">
                  <c:v>1</c:v>
                </c:pt>
                <c:pt idx="27">
                  <c:v>1</c:v>
                </c:pt>
                <c:pt idx="28">
                  <c:v>1</c:v>
                </c:pt>
                <c:pt idx="29">
                  <c:v>0.5714285714285714</c:v>
                </c:pt>
                <c:pt idx="30">
                  <c:v>0.83333333333333337</c:v>
                </c:pt>
                <c:pt idx="31">
                  <c:v>1</c:v>
                </c:pt>
                <c:pt idx="32">
                  <c:v>1</c:v>
                </c:pt>
                <c:pt idx="33">
                  <c:v>1</c:v>
                </c:pt>
                <c:pt idx="34">
                  <c:v>1</c:v>
                </c:pt>
                <c:pt idx="35">
                  <c:v>0.4</c:v>
                </c:pt>
                <c:pt idx="36">
                  <c:v>0.6</c:v>
                </c:pt>
                <c:pt idx="37">
                  <c:v>1</c:v>
                </c:pt>
                <c:pt idx="38">
                  <c:v>0.69230769230769229</c:v>
                </c:pt>
                <c:pt idx="39">
                  <c:v>1</c:v>
                </c:pt>
                <c:pt idx="40">
                  <c:v>0.46153846153846156</c:v>
                </c:pt>
              </c:numCache>
            </c:numRef>
          </c:val>
          <c:extLst>
            <c:ext xmlns:c16="http://schemas.microsoft.com/office/drawing/2014/chart" uri="{C3380CC4-5D6E-409C-BE32-E72D297353CC}">
              <c16:uniqueId val="{00000004-DFFC-C14D-8B46-820556A630F5}"/>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inorUnit val="0.5"/>
      </c:valAx>
      <c:spPr>
        <a:noFill/>
        <a:ln>
          <a:noFill/>
        </a:ln>
        <a:effectLst/>
      </c:spPr>
    </c:plotArea>
    <c:legend>
      <c:legendPos val="r"/>
      <c:layout>
        <c:manualLayout>
          <c:xMode val="edge"/>
          <c:yMode val="edge"/>
          <c:x val="0.57355432160575304"/>
          <c:y val="0.57602342761743064"/>
          <c:w val="0.41133166446679714"/>
          <c:h val="0.21282166781282832"/>
        </c:manualLayout>
      </c:layout>
      <c:overlay val="0"/>
      <c:spPr>
        <a:solidFill>
          <a:srgbClr val="FFFFFF"/>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1870678819247"/>
          <c:y val="2.3803600126414605E-4"/>
          <c:w val="0.67921664153225758"/>
          <c:h val="0.91344901164828285"/>
        </c:manualLayout>
      </c:layout>
      <c:barChart>
        <c:barDir val="bar"/>
        <c:grouping val="stacked"/>
        <c:varyColors val="0"/>
        <c:ser>
          <c:idx val="0"/>
          <c:order val="0"/>
          <c:tx>
            <c:strRef>
              <c:f>'Figure 2 US vs Europe'!$C$4</c:f>
              <c:strCache>
                <c:ptCount val="1"/>
                <c:pt idx="0">
                  <c:v>Total aid (€ billion)</c:v>
                </c:pt>
              </c:strCache>
            </c:strRef>
          </c:tx>
          <c:spPr>
            <a:solidFill>
              <a:schemeClr val="accent1">
                <a:lumMod val="75000"/>
              </a:schemeClr>
            </a:solidFill>
            <a:ln>
              <a:solidFill>
                <a:schemeClr val="tx1"/>
              </a:solidFill>
            </a:ln>
            <a:effectLst/>
          </c:spPr>
          <c:invertIfNegative val="0"/>
          <c:cat>
            <c:strRef>
              <c:f>'Figure 2 US vs Europe'!$B$5:$B$7</c:f>
              <c:strCache>
                <c:ptCount val="3"/>
                <c:pt idx="0">
                  <c:v>EU members and institutions</c:v>
                </c:pt>
                <c:pt idx="1">
                  <c:v>United States</c:v>
                </c:pt>
                <c:pt idx="2">
                  <c:v>Other donor countries*</c:v>
                </c:pt>
              </c:strCache>
            </c:strRef>
          </c:cat>
          <c:val>
            <c:numRef>
              <c:f>'Figure 2 US vs Europe'!$C$5:$C$7</c:f>
              <c:numCache>
                <c:formatCode>General</c:formatCode>
                <c:ptCount val="3"/>
                <c:pt idx="0">
                  <c:v>51.836561775840053</c:v>
                </c:pt>
                <c:pt idx="1">
                  <c:v>47.819232685600397</c:v>
                </c:pt>
                <c:pt idx="2">
                  <c:v>13.452748643748549</c:v>
                </c:pt>
              </c:numCache>
            </c:numRef>
          </c:val>
          <c:extLst xmlns:c15="http://schemas.microsoft.com/office/drawing/2012/chart">
            <c:ext xmlns:c16="http://schemas.microsoft.com/office/drawing/2014/chart" uri="{C3380CC4-5D6E-409C-BE32-E72D297353CC}">
              <c16:uniqueId val="{00000006-E4D0-42F5-9EFF-85D449D03968}"/>
            </c:ext>
          </c:extLst>
        </c:ser>
        <c:dLbls>
          <c:showLegendKey val="0"/>
          <c:showVal val="0"/>
          <c:showCatName val="0"/>
          <c:showSerName val="0"/>
          <c:showPercent val="0"/>
          <c:showBubbleSize val="0"/>
        </c:dLbls>
        <c:gapWidth val="10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5"/>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5"/>
      </c:valAx>
      <c:spPr>
        <a:noFill/>
        <a:ln>
          <a:noFill/>
        </a:ln>
        <a:effectLst/>
      </c:spPr>
    </c:plotArea>
    <c:legend>
      <c:legendPos val="r"/>
      <c:layout>
        <c:manualLayout>
          <c:xMode val="edge"/>
          <c:yMode val="edge"/>
          <c:x val="0.6527957509379072"/>
          <c:y val="0.58950428498127494"/>
          <c:w val="0.21553719773996313"/>
          <c:h val="7.1329797430117498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67346864404641"/>
          <c:y val="2.664341982752582E-2"/>
          <c:w val="0.82578770458537387"/>
          <c:h val="0.94156885161080517"/>
        </c:manualLayout>
      </c:layout>
      <c:barChart>
        <c:barDir val="bar"/>
        <c:grouping val="stacked"/>
        <c:varyColors val="0"/>
        <c:ser>
          <c:idx val="0"/>
          <c:order val="0"/>
          <c:tx>
            <c:strRef>
              <c:f>'Figure 3 Ranking (€ billion)'!$C$4</c:f>
              <c:strCache>
                <c:ptCount val="1"/>
                <c:pt idx="0">
                  <c:v>Financial</c:v>
                </c:pt>
              </c:strCache>
            </c:strRef>
          </c:tx>
          <c:spPr>
            <a:solidFill>
              <a:srgbClr val="0070C0"/>
            </a:solidFill>
            <a:ln>
              <a:solidFill>
                <a:schemeClr val="tx1"/>
              </a:solidFill>
            </a:ln>
            <a:effectLst/>
          </c:spPr>
          <c:invertIfNegative val="0"/>
          <c:cat>
            <c:strRef>
              <c:f>'Figure 3 Ranking (€ billion)'!$B$5:$B$45</c:f>
              <c:strCache>
                <c:ptCount val="41"/>
                <c:pt idx="0">
                  <c:v>United States</c:v>
                </c:pt>
                <c:pt idx="1">
                  <c:v>EU Institutions</c:v>
                </c:pt>
                <c:pt idx="2">
                  <c:v>United Kingdom</c:v>
                </c:pt>
                <c:pt idx="3">
                  <c:v>Germany</c:v>
                </c:pt>
                <c:pt idx="4">
                  <c:v>Canada</c:v>
                </c:pt>
                <c:pt idx="5">
                  <c:v>Poland</c:v>
                </c:pt>
                <c:pt idx="6">
                  <c:v>France</c:v>
                </c:pt>
                <c:pt idx="7">
                  <c:v>Norway</c:v>
                </c:pt>
                <c:pt idx="8">
                  <c:v>Netherlands</c:v>
                </c:pt>
                <c:pt idx="9">
                  <c:v>Sweden</c:v>
                </c:pt>
                <c:pt idx="10">
                  <c:v>Italy</c:v>
                </c:pt>
                <c:pt idx="11">
                  <c:v>Denmark</c:v>
                </c:pt>
                <c:pt idx="12">
                  <c:v>Japan</c:v>
                </c:pt>
                <c:pt idx="13">
                  <c:v>Czech Republic</c:v>
                </c:pt>
                <c:pt idx="14">
                  <c:v>Austria</c:v>
                </c:pt>
                <c:pt idx="15">
                  <c:v>Spain</c:v>
                </c:pt>
                <c:pt idx="16">
                  <c:v>Estonia</c:v>
                </c:pt>
                <c:pt idx="17">
                  <c:v>Portugal</c:v>
                </c:pt>
                <c:pt idx="18">
                  <c:v>Australia</c:v>
                </c:pt>
                <c:pt idx="19">
                  <c:v>Latvia</c:v>
                </c:pt>
                <c:pt idx="20">
                  <c:v>Finland</c:v>
                </c:pt>
                <c:pt idx="21">
                  <c:v>Lithuania</c:v>
                </c:pt>
                <c:pt idx="22">
                  <c:v>Belgium</c:v>
                </c:pt>
                <c:pt idx="23">
                  <c:v>Slovakia</c:v>
                </c:pt>
                <c:pt idx="24">
                  <c:v>Switzerland</c:v>
                </c:pt>
                <c:pt idx="25">
                  <c:v>Greece</c:v>
                </c:pt>
                <c:pt idx="26">
                  <c:v>South Korea</c:v>
                </c:pt>
                <c:pt idx="27">
                  <c:v>Luxembourg</c:v>
                </c:pt>
                <c:pt idx="28">
                  <c:v>Ireland</c:v>
                </c:pt>
                <c:pt idx="29">
                  <c:v>Taiwan</c:v>
                </c:pt>
                <c:pt idx="30">
                  <c:v>Turkey</c:v>
                </c:pt>
                <c:pt idx="31">
                  <c:v>Slovenia</c:v>
                </c:pt>
                <c:pt idx="32">
                  <c:v>Hungary</c:v>
                </c:pt>
                <c:pt idx="33">
                  <c:v>Croatia</c:v>
                </c:pt>
                <c:pt idx="34">
                  <c:v>New Zealand</c:v>
                </c:pt>
                <c:pt idx="35">
                  <c:v>Romania</c:v>
                </c:pt>
                <c:pt idx="36">
                  <c:v>Bulgaria</c:v>
                </c:pt>
                <c:pt idx="37">
                  <c:v>Cyprus</c:v>
                </c:pt>
                <c:pt idx="38">
                  <c:v>China</c:v>
                </c:pt>
                <c:pt idx="39">
                  <c:v>India</c:v>
                </c:pt>
                <c:pt idx="40">
                  <c:v>Malta</c:v>
                </c:pt>
              </c:strCache>
            </c:strRef>
          </c:cat>
          <c:val>
            <c:numRef>
              <c:f>'Figure 3 Ranking (€ billion)'!$C$5:$C$45</c:f>
              <c:numCache>
                <c:formatCode>0.000</c:formatCode>
                <c:ptCount val="41"/>
                <c:pt idx="0">
                  <c:v>15.053313403089188</c:v>
                </c:pt>
                <c:pt idx="1">
                  <c:v>30.322500000000002</c:v>
                </c:pt>
                <c:pt idx="2">
                  <c:v>2.5548820828345602</c:v>
                </c:pt>
                <c:pt idx="3">
                  <c:v>1.1499999999999999</c:v>
                </c:pt>
                <c:pt idx="4">
                  <c:v>2.1391160220994476</c:v>
                </c:pt>
                <c:pt idx="5">
                  <c:v>1.0028667931673585</c:v>
                </c:pt>
                <c:pt idx="6">
                  <c:v>0.8</c:v>
                </c:pt>
                <c:pt idx="7">
                  <c:v>0.32416322344038784</c:v>
                </c:pt>
                <c:pt idx="8">
                  <c:v>0.34849999999999998</c:v>
                </c:pt>
                <c:pt idx="9">
                  <c:v>0.15249814428378561</c:v>
                </c:pt>
                <c:pt idx="10">
                  <c:v>0.31</c:v>
                </c:pt>
                <c:pt idx="11">
                  <c:v>5.7500000000000002E-2</c:v>
                </c:pt>
                <c:pt idx="12">
                  <c:v>0.59790732436472349</c:v>
                </c:pt>
                <c:pt idx="13">
                  <c:v>0</c:v>
                </c:pt>
                <c:pt idx="14">
                  <c:v>0.01</c:v>
                </c:pt>
                <c:pt idx="15">
                  <c:v>0.2</c:v>
                </c:pt>
                <c:pt idx="16">
                  <c:v>0</c:v>
                </c:pt>
                <c:pt idx="17">
                  <c:v>0.25</c:v>
                </c:pt>
                <c:pt idx="18">
                  <c:v>0</c:v>
                </c:pt>
                <c:pt idx="19">
                  <c:v>1.4999999999999999E-2</c:v>
                </c:pt>
                <c:pt idx="20">
                  <c:v>8.1500000000000003E-2</c:v>
                </c:pt>
                <c:pt idx="21">
                  <c:v>5.0000000000000001E-3</c:v>
                </c:pt>
                <c:pt idx="22">
                  <c:v>4.96E-3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567E-4641-BA75-DBEB8C073A6A}"/>
            </c:ext>
          </c:extLst>
        </c:ser>
        <c:ser>
          <c:idx val="1"/>
          <c:order val="1"/>
          <c:tx>
            <c:strRef>
              <c:f>'Figure 3 Ranking (€ billion)'!$D$4</c:f>
              <c:strCache>
                <c:ptCount val="1"/>
                <c:pt idx="0">
                  <c:v>Humanitarian</c:v>
                </c:pt>
              </c:strCache>
            </c:strRef>
          </c:tx>
          <c:spPr>
            <a:solidFill>
              <a:srgbClr val="92D050"/>
            </a:solidFill>
            <a:ln>
              <a:solidFill>
                <a:schemeClr val="tx1"/>
              </a:solidFill>
            </a:ln>
            <a:effectLst/>
          </c:spPr>
          <c:invertIfNegative val="0"/>
          <c:cat>
            <c:strRef>
              <c:f>'Figure 3 Ranking (€ billion)'!$B$5:$B$45</c:f>
              <c:strCache>
                <c:ptCount val="41"/>
                <c:pt idx="0">
                  <c:v>United States</c:v>
                </c:pt>
                <c:pt idx="1">
                  <c:v>EU Institutions</c:v>
                </c:pt>
                <c:pt idx="2">
                  <c:v>United Kingdom</c:v>
                </c:pt>
                <c:pt idx="3">
                  <c:v>Germany</c:v>
                </c:pt>
                <c:pt idx="4">
                  <c:v>Canada</c:v>
                </c:pt>
                <c:pt idx="5">
                  <c:v>Poland</c:v>
                </c:pt>
                <c:pt idx="6">
                  <c:v>France</c:v>
                </c:pt>
                <c:pt idx="7">
                  <c:v>Norway</c:v>
                </c:pt>
                <c:pt idx="8">
                  <c:v>Netherlands</c:v>
                </c:pt>
                <c:pt idx="9">
                  <c:v>Sweden</c:v>
                </c:pt>
                <c:pt idx="10">
                  <c:v>Italy</c:v>
                </c:pt>
                <c:pt idx="11">
                  <c:v>Denmark</c:v>
                </c:pt>
                <c:pt idx="12">
                  <c:v>Japan</c:v>
                </c:pt>
                <c:pt idx="13">
                  <c:v>Czech Republic</c:v>
                </c:pt>
                <c:pt idx="14">
                  <c:v>Austria</c:v>
                </c:pt>
                <c:pt idx="15">
                  <c:v>Spain</c:v>
                </c:pt>
                <c:pt idx="16">
                  <c:v>Estonia</c:v>
                </c:pt>
                <c:pt idx="17">
                  <c:v>Portugal</c:v>
                </c:pt>
                <c:pt idx="18">
                  <c:v>Australia</c:v>
                </c:pt>
                <c:pt idx="19">
                  <c:v>Latvia</c:v>
                </c:pt>
                <c:pt idx="20">
                  <c:v>Finland</c:v>
                </c:pt>
                <c:pt idx="21">
                  <c:v>Lithuania</c:v>
                </c:pt>
                <c:pt idx="22">
                  <c:v>Belgium</c:v>
                </c:pt>
                <c:pt idx="23">
                  <c:v>Slovakia</c:v>
                </c:pt>
                <c:pt idx="24">
                  <c:v>Switzerland</c:v>
                </c:pt>
                <c:pt idx="25">
                  <c:v>Greece</c:v>
                </c:pt>
                <c:pt idx="26">
                  <c:v>South Korea</c:v>
                </c:pt>
                <c:pt idx="27">
                  <c:v>Luxembourg</c:v>
                </c:pt>
                <c:pt idx="28">
                  <c:v>Ireland</c:v>
                </c:pt>
                <c:pt idx="29">
                  <c:v>Taiwan</c:v>
                </c:pt>
                <c:pt idx="30">
                  <c:v>Turkey</c:v>
                </c:pt>
                <c:pt idx="31">
                  <c:v>Slovenia</c:v>
                </c:pt>
                <c:pt idx="32">
                  <c:v>Hungary</c:v>
                </c:pt>
                <c:pt idx="33">
                  <c:v>Croatia</c:v>
                </c:pt>
                <c:pt idx="34">
                  <c:v>New Zealand</c:v>
                </c:pt>
                <c:pt idx="35">
                  <c:v>Romania</c:v>
                </c:pt>
                <c:pt idx="36">
                  <c:v>Bulgaria</c:v>
                </c:pt>
                <c:pt idx="37">
                  <c:v>Cyprus</c:v>
                </c:pt>
                <c:pt idx="38">
                  <c:v>China</c:v>
                </c:pt>
                <c:pt idx="39">
                  <c:v>India</c:v>
                </c:pt>
                <c:pt idx="40">
                  <c:v>Malta</c:v>
                </c:pt>
              </c:strCache>
            </c:strRef>
          </c:cat>
          <c:val>
            <c:numRef>
              <c:f>'Figure 3 Ranking (€ billion)'!$D$5:$D$45</c:f>
              <c:numCache>
                <c:formatCode>0.000</c:formatCode>
                <c:ptCount val="41"/>
                <c:pt idx="0">
                  <c:v>9.903936223218734</c:v>
                </c:pt>
                <c:pt idx="1">
                  <c:v>1.57</c:v>
                </c:pt>
                <c:pt idx="2">
                  <c:v>0.39777831531548291</c:v>
                </c:pt>
                <c:pt idx="3">
                  <c:v>1.95</c:v>
                </c:pt>
                <c:pt idx="4">
                  <c:v>0.28780847145488037</c:v>
                </c:pt>
                <c:pt idx="5">
                  <c:v>0.1753413054309915</c:v>
                </c:pt>
                <c:pt idx="6">
                  <c:v>0.14250096271449927</c:v>
                </c:pt>
                <c:pt idx="7">
                  <c:v>0.32561470056027014</c:v>
                </c:pt>
                <c:pt idx="8">
                  <c:v>0.20888495266567014</c:v>
                </c:pt>
                <c:pt idx="9">
                  <c:v>0.10780913666852486</c:v>
                </c:pt>
                <c:pt idx="10">
                  <c:v>4.3375171898355755E-2</c:v>
                </c:pt>
                <c:pt idx="11">
                  <c:v>7.3583308466739258E-2</c:v>
                </c:pt>
                <c:pt idx="12">
                  <c:v>5.6003986048829089E-3</c:v>
                </c:pt>
                <c:pt idx="13">
                  <c:v>0.1082203296569451</c:v>
                </c:pt>
                <c:pt idx="14">
                  <c:v>0.56652379546586951</c:v>
                </c:pt>
                <c:pt idx="15">
                  <c:v>0.10096943935924264</c:v>
                </c:pt>
                <c:pt idx="16">
                  <c:v>4.9702280000000001E-3</c:v>
                </c:pt>
                <c:pt idx="17">
                  <c:v>1.1999999999999999E-3</c:v>
                </c:pt>
                <c:pt idx="18">
                  <c:v>5.1384674972564721E-2</c:v>
                </c:pt>
                <c:pt idx="19">
                  <c:v>1.3674169999999999E-3</c:v>
                </c:pt>
                <c:pt idx="20">
                  <c:v>4.6199999999999998E-2</c:v>
                </c:pt>
                <c:pt idx="21">
                  <c:v>5.7000000000000002E-2</c:v>
                </c:pt>
                <c:pt idx="22">
                  <c:v>0.1172</c:v>
                </c:pt>
                <c:pt idx="23">
                  <c:v>5.0000000000000001E-3</c:v>
                </c:pt>
                <c:pt idx="24">
                  <c:v>0.202757502027575</c:v>
                </c:pt>
                <c:pt idx="25">
                  <c:v>0</c:v>
                </c:pt>
                <c:pt idx="26">
                  <c:v>9.088191330343795E-2</c:v>
                </c:pt>
                <c:pt idx="27">
                  <c:v>4.0000000000000001E-3</c:v>
                </c:pt>
                <c:pt idx="28">
                  <c:v>6.8687030891878428E-2</c:v>
                </c:pt>
                <c:pt idx="29">
                  <c:v>6.8261086198305926E-2</c:v>
                </c:pt>
                <c:pt idx="30">
                  <c:v>2.4716691579471843E-4</c:v>
                </c:pt>
                <c:pt idx="31">
                  <c:v>2.0830000000000002E-3</c:v>
                </c:pt>
                <c:pt idx="32">
                  <c:v>4.6688822031581839E-2</c:v>
                </c:pt>
                <c:pt idx="33">
                  <c:v>6.4415119932073866E-3</c:v>
                </c:pt>
                <c:pt idx="34">
                  <c:v>2.3485204321277591E-3</c:v>
                </c:pt>
                <c:pt idx="35">
                  <c:v>7.8450784746080197E-3</c:v>
                </c:pt>
                <c:pt idx="36">
                  <c:v>7.0600000000000003E-4</c:v>
                </c:pt>
                <c:pt idx="37">
                  <c:v>2.5000000000000001E-3</c:v>
                </c:pt>
                <c:pt idx="38">
                  <c:v>2.0740003318400532E-3</c:v>
                </c:pt>
                <c:pt idx="39">
                  <c:v>1.9404583956153462E-3</c:v>
                </c:pt>
                <c:pt idx="40">
                  <c:v>1.15E-3</c:v>
                </c:pt>
              </c:numCache>
            </c:numRef>
          </c:val>
          <c:extLst>
            <c:ext xmlns:c16="http://schemas.microsoft.com/office/drawing/2014/chart" uri="{C3380CC4-5D6E-409C-BE32-E72D297353CC}">
              <c16:uniqueId val="{00000003-567E-4641-BA75-DBEB8C073A6A}"/>
            </c:ext>
          </c:extLst>
        </c:ser>
        <c:ser>
          <c:idx val="2"/>
          <c:order val="2"/>
          <c:tx>
            <c:strRef>
              <c:f>'Figure 3 Ranking (€ billion)'!$E$4</c:f>
              <c:strCache>
                <c:ptCount val="1"/>
                <c:pt idx="0">
                  <c:v>Military</c:v>
                </c:pt>
              </c:strCache>
            </c:strRef>
          </c:tx>
          <c:spPr>
            <a:solidFill>
              <a:srgbClr val="C00000"/>
            </a:solidFill>
            <a:ln>
              <a:solidFill>
                <a:schemeClr val="tx1"/>
              </a:solidFill>
            </a:ln>
            <a:effectLst/>
          </c:spPr>
          <c:invertIfNegative val="0"/>
          <c:cat>
            <c:strRef>
              <c:f>'Figure 3 Ranking (€ billion)'!$B$5:$B$45</c:f>
              <c:strCache>
                <c:ptCount val="41"/>
                <c:pt idx="0">
                  <c:v>United States</c:v>
                </c:pt>
                <c:pt idx="1">
                  <c:v>EU Institutions</c:v>
                </c:pt>
                <c:pt idx="2">
                  <c:v>United Kingdom</c:v>
                </c:pt>
                <c:pt idx="3">
                  <c:v>Germany</c:v>
                </c:pt>
                <c:pt idx="4">
                  <c:v>Canada</c:v>
                </c:pt>
                <c:pt idx="5">
                  <c:v>Poland</c:v>
                </c:pt>
                <c:pt idx="6">
                  <c:v>France</c:v>
                </c:pt>
                <c:pt idx="7">
                  <c:v>Norway</c:v>
                </c:pt>
                <c:pt idx="8">
                  <c:v>Netherlands</c:v>
                </c:pt>
                <c:pt idx="9">
                  <c:v>Sweden</c:v>
                </c:pt>
                <c:pt idx="10">
                  <c:v>Italy</c:v>
                </c:pt>
                <c:pt idx="11">
                  <c:v>Denmark</c:v>
                </c:pt>
                <c:pt idx="12">
                  <c:v>Japan</c:v>
                </c:pt>
                <c:pt idx="13">
                  <c:v>Czech Republic</c:v>
                </c:pt>
                <c:pt idx="14">
                  <c:v>Austria</c:v>
                </c:pt>
                <c:pt idx="15">
                  <c:v>Spain</c:v>
                </c:pt>
                <c:pt idx="16">
                  <c:v>Estonia</c:v>
                </c:pt>
                <c:pt idx="17">
                  <c:v>Portugal</c:v>
                </c:pt>
                <c:pt idx="18">
                  <c:v>Australia</c:v>
                </c:pt>
                <c:pt idx="19">
                  <c:v>Latvia</c:v>
                </c:pt>
                <c:pt idx="20">
                  <c:v>Finland</c:v>
                </c:pt>
                <c:pt idx="21">
                  <c:v>Lithuania</c:v>
                </c:pt>
                <c:pt idx="22">
                  <c:v>Belgium</c:v>
                </c:pt>
                <c:pt idx="23">
                  <c:v>Slovakia</c:v>
                </c:pt>
                <c:pt idx="24">
                  <c:v>Switzerland</c:v>
                </c:pt>
                <c:pt idx="25">
                  <c:v>Greece</c:v>
                </c:pt>
                <c:pt idx="26">
                  <c:v>South Korea</c:v>
                </c:pt>
                <c:pt idx="27">
                  <c:v>Luxembourg</c:v>
                </c:pt>
                <c:pt idx="28">
                  <c:v>Ireland</c:v>
                </c:pt>
                <c:pt idx="29">
                  <c:v>Taiwan</c:v>
                </c:pt>
                <c:pt idx="30">
                  <c:v>Turkey</c:v>
                </c:pt>
                <c:pt idx="31">
                  <c:v>Slovenia</c:v>
                </c:pt>
                <c:pt idx="32">
                  <c:v>Hungary</c:v>
                </c:pt>
                <c:pt idx="33">
                  <c:v>Croatia</c:v>
                </c:pt>
                <c:pt idx="34">
                  <c:v>New Zealand</c:v>
                </c:pt>
                <c:pt idx="35">
                  <c:v>Romania</c:v>
                </c:pt>
                <c:pt idx="36">
                  <c:v>Bulgaria</c:v>
                </c:pt>
                <c:pt idx="37">
                  <c:v>Cyprus</c:v>
                </c:pt>
                <c:pt idx="38">
                  <c:v>China</c:v>
                </c:pt>
                <c:pt idx="39">
                  <c:v>India</c:v>
                </c:pt>
                <c:pt idx="40">
                  <c:v>Malta</c:v>
                </c:pt>
              </c:strCache>
            </c:strRef>
          </c:cat>
          <c:val>
            <c:numRef>
              <c:f>'Figure 3 Ranking (€ billion)'!$E$5:$E$45</c:f>
              <c:numCache>
                <c:formatCode>0.000</c:formatCode>
                <c:ptCount val="41"/>
                <c:pt idx="0">
                  <c:v>22.861983059292474</c:v>
                </c:pt>
                <c:pt idx="1">
                  <c:v>3.1</c:v>
                </c:pt>
                <c:pt idx="2">
                  <c:v>4.1291557278298399</c:v>
                </c:pt>
                <c:pt idx="3">
                  <c:v>2.3448872384566926</c:v>
                </c:pt>
                <c:pt idx="4">
                  <c:v>1.3567179918845094</c:v>
                </c:pt>
                <c:pt idx="5">
                  <c:v>1.8223833594419532</c:v>
                </c:pt>
                <c:pt idx="6">
                  <c:v>0.47165789192610524</c:v>
                </c:pt>
                <c:pt idx="7">
                  <c:v>0.56014572529324125</c:v>
                </c:pt>
                <c:pt idx="8">
                  <c:v>0.28984679372995431</c:v>
                </c:pt>
                <c:pt idx="9">
                  <c:v>0.54622043014465871</c:v>
                </c:pt>
                <c:pt idx="10">
                  <c:v>0.31914838062565365</c:v>
                </c:pt>
                <c:pt idx="11">
                  <c:v>0.50996679973654857</c:v>
                </c:pt>
                <c:pt idx="12">
                  <c:v>2.4434479322371699E-3</c:v>
                </c:pt>
                <c:pt idx="13">
                  <c:v>0.47848954751909611</c:v>
                </c:pt>
                <c:pt idx="14">
                  <c:v>3.5748620328849025E-3</c:v>
                </c:pt>
                <c:pt idx="15">
                  <c:v>8.1106233554433915E-2</c:v>
                </c:pt>
                <c:pt idx="16">
                  <c:v>0.33</c:v>
                </c:pt>
                <c:pt idx="17">
                  <c:v>8.3582285780958554E-2</c:v>
                </c:pt>
                <c:pt idx="18">
                  <c:v>0.26905945387644442</c:v>
                </c:pt>
                <c:pt idx="19">
                  <c:v>0.29713953547322053</c:v>
                </c:pt>
                <c:pt idx="20">
                  <c:v>0.1779</c:v>
                </c:pt>
                <c:pt idx="21">
                  <c:v>0.19868747583457896</c:v>
                </c:pt>
                <c:pt idx="22">
                  <c:v>9.6000000000000002E-2</c:v>
                </c:pt>
                <c:pt idx="23">
                  <c:v>0.21017157538614847</c:v>
                </c:pt>
                <c:pt idx="24">
                  <c:v>0</c:v>
                </c:pt>
                <c:pt idx="25">
                  <c:v>0.19116831928251124</c:v>
                </c:pt>
                <c:pt idx="26">
                  <c:v>3.5675137020428497E-3</c:v>
                </c:pt>
                <c:pt idx="27">
                  <c:v>7.1999999999999995E-2</c:v>
                </c:pt>
                <c:pt idx="28">
                  <c:v>0</c:v>
                </c:pt>
                <c:pt idx="29">
                  <c:v>0</c:v>
                </c:pt>
                <c:pt idx="30">
                  <c:v>6.4198804185351274E-2</c:v>
                </c:pt>
                <c:pt idx="31">
                  <c:v>5.8821012667663181E-2</c:v>
                </c:pt>
                <c:pt idx="32">
                  <c:v>0</c:v>
                </c:pt>
                <c:pt idx="33">
                  <c:v>1.6450859690087031E-2</c:v>
                </c:pt>
                <c:pt idx="34">
                  <c:v>1.4694117792985236E-2</c:v>
                </c:pt>
                <c:pt idx="35">
                  <c:v>3.0000000000000001E-3</c:v>
                </c:pt>
                <c:pt idx="36">
                  <c:v>3.7867463876432484E-3</c:v>
                </c:pt>
                <c:pt idx="37">
                  <c:v>0</c:v>
                </c:pt>
                <c:pt idx="38">
                  <c:v>0</c:v>
                </c:pt>
                <c:pt idx="39">
                  <c:v>0</c:v>
                </c:pt>
                <c:pt idx="40">
                  <c:v>0</c:v>
                </c:pt>
              </c:numCache>
            </c:numRef>
          </c:val>
          <c:extLst>
            <c:ext xmlns:c16="http://schemas.microsoft.com/office/drawing/2014/chart" uri="{C3380CC4-5D6E-409C-BE32-E72D297353CC}">
              <c16:uniqueId val="{00000005-567E-4641-BA75-DBEB8C073A6A}"/>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896749119725659"/>
          <c:y val="0.21136960900133561"/>
          <c:w val="0.22441000045299089"/>
          <c:h val="0.14485265239849607"/>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584218619057877"/>
          <c:y val="3.0176255643321336E-2"/>
          <c:w val="0.83140962142435038"/>
          <c:h val="0.9253293984008456"/>
        </c:manualLayout>
      </c:layout>
      <c:barChart>
        <c:barDir val="bar"/>
        <c:grouping val="stacked"/>
        <c:varyColors val="0"/>
        <c:ser>
          <c:idx val="0"/>
          <c:order val="0"/>
          <c:tx>
            <c:strRef>
              <c:f>'Figure 4 Ranking (% GDP)'!$C$4</c:f>
              <c:strCache>
                <c:ptCount val="1"/>
                <c:pt idx="0">
                  <c:v>Total bilateral commitments</c:v>
                </c:pt>
              </c:strCache>
            </c:strRef>
          </c:tx>
          <c:spPr>
            <a:solidFill>
              <a:schemeClr val="accent5">
                <a:lumMod val="75000"/>
              </a:schemeClr>
            </a:solidFill>
            <a:ln>
              <a:solidFill>
                <a:schemeClr val="tx1"/>
              </a:solidFill>
            </a:ln>
            <a:effectLst/>
          </c:spPr>
          <c:invertIfNegative val="0"/>
          <c:cat>
            <c:strRef>
              <c:f>'Figure 4 Ranking (% GDP)'!$B$5:$B$44</c:f>
              <c:strCache>
                <c:ptCount val="40"/>
                <c:pt idx="0">
                  <c:v>Estonia</c:v>
                </c:pt>
                <c:pt idx="1">
                  <c:v>Latvia</c:v>
                </c:pt>
                <c:pt idx="2">
                  <c:v>Poland</c:v>
                </c:pt>
                <c:pt idx="3">
                  <c:v>Lithuania</c:v>
                </c:pt>
                <c:pt idx="4">
                  <c:v>Norway</c:v>
                </c:pt>
                <c:pt idx="5">
                  <c:v>United Kingdom</c:v>
                </c:pt>
                <c:pt idx="6">
                  <c:v>Czech Republic</c:v>
                </c:pt>
                <c:pt idx="7">
                  <c:v>Canada</c:v>
                </c:pt>
                <c:pt idx="8">
                  <c:v>United States</c:v>
                </c:pt>
                <c:pt idx="9">
                  <c:v>Slovakia</c:v>
                </c:pt>
                <c:pt idx="10">
                  <c:v>Denmark</c:v>
                </c:pt>
                <c:pt idx="11">
                  <c:v>Sweden</c:v>
                </c:pt>
                <c:pt idx="12">
                  <c:v>Portugal</c:v>
                </c:pt>
                <c:pt idx="13">
                  <c:v>Germany</c:v>
                </c:pt>
                <c:pt idx="14">
                  <c:v>Austria</c:v>
                </c:pt>
                <c:pt idx="15">
                  <c:v>Slovenia</c:v>
                </c:pt>
                <c:pt idx="16">
                  <c:v>Finland</c:v>
                </c:pt>
                <c:pt idx="17">
                  <c:v>Luxembourg</c:v>
                </c:pt>
                <c:pt idx="18">
                  <c:v>Greece</c:v>
                </c:pt>
                <c:pt idx="19">
                  <c:v>Netherlands</c:v>
                </c:pt>
                <c:pt idx="20">
                  <c:v>France</c:v>
                </c:pt>
                <c:pt idx="21">
                  <c:v>Belgium</c:v>
                </c:pt>
                <c:pt idx="22">
                  <c:v>Croatia</c:v>
                </c:pt>
                <c:pt idx="23">
                  <c:v>Italy</c:v>
                </c:pt>
                <c:pt idx="24">
                  <c:v>Hungary</c:v>
                </c:pt>
                <c:pt idx="25">
                  <c:v>Spain</c:v>
                </c:pt>
                <c:pt idx="26">
                  <c:v>Switzerland</c:v>
                </c:pt>
                <c:pt idx="27">
                  <c:v>Australia</c:v>
                </c:pt>
                <c:pt idx="28">
                  <c:v>Ireland</c:v>
                </c:pt>
                <c:pt idx="29">
                  <c:v>Japan</c:v>
                </c:pt>
                <c:pt idx="30">
                  <c:v>Taiwan</c:v>
                </c:pt>
                <c:pt idx="31">
                  <c:v>Cyprus</c:v>
                </c:pt>
                <c:pt idx="32">
                  <c:v>Turkey</c:v>
                </c:pt>
                <c:pt idx="33">
                  <c:v>New Zealand</c:v>
                </c:pt>
                <c:pt idx="34">
                  <c:v>Malta</c:v>
                </c:pt>
                <c:pt idx="35">
                  <c:v>Bulgaria</c:v>
                </c:pt>
                <c:pt idx="36">
                  <c:v>South Korea</c:v>
                </c:pt>
                <c:pt idx="37">
                  <c:v>Romania</c:v>
                </c:pt>
                <c:pt idx="38">
                  <c:v>India</c:v>
                </c:pt>
                <c:pt idx="39">
                  <c:v>China</c:v>
                </c:pt>
              </c:strCache>
            </c:strRef>
          </c:cat>
          <c:val>
            <c:numRef>
              <c:f>'Figure 4 Ranking (% GDP)'!$C$5:$C$44</c:f>
              <c:numCache>
                <c:formatCode>0.00</c:formatCode>
                <c:ptCount val="40"/>
                <c:pt idx="0">
                  <c:v>1.0967029147130423</c:v>
                </c:pt>
                <c:pt idx="1">
                  <c:v>0.93334096809499167</c:v>
                </c:pt>
                <c:pt idx="2">
                  <c:v>0.5046883315564662</c:v>
                </c:pt>
                <c:pt idx="3">
                  <c:v>0.46262413045723411</c:v>
                </c:pt>
                <c:pt idx="4">
                  <c:v>0.33521922114706038</c:v>
                </c:pt>
                <c:pt idx="5">
                  <c:v>0.25750387809853476</c:v>
                </c:pt>
                <c:pt idx="6">
                  <c:v>0.23997920991472438</c:v>
                </c:pt>
                <c:pt idx="7">
                  <c:v>0.23075429771221459</c:v>
                </c:pt>
                <c:pt idx="8">
                  <c:v>0.22901986013478723</c:v>
                </c:pt>
                <c:pt idx="9">
                  <c:v>0.20530514413645537</c:v>
                </c:pt>
                <c:pt idx="10">
                  <c:v>0.18065743247726287</c:v>
                </c:pt>
                <c:pt idx="11">
                  <c:v>0.14954186252553325</c:v>
                </c:pt>
                <c:pt idx="12">
                  <c:v>0.14700074113441991</c:v>
                </c:pt>
                <c:pt idx="13">
                  <c:v>0.14205294706259788</c:v>
                </c:pt>
                <c:pt idx="14">
                  <c:v>0.13436067454145792</c:v>
                </c:pt>
                <c:pt idx="15">
                  <c:v>0.11404669149459316</c:v>
                </c:pt>
                <c:pt idx="16">
                  <c:v>0.11375203300449048</c:v>
                </c:pt>
                <c:pt idx="17">
                  <c:v>0.10397102345871267</c:v>
                </c:pt>
                <c:pt idx="18">
                  <c:v>0.10158985634034336</c:v>
                </c:pt>
                <c:pt idx="19">
                  <c:v>9.3033072212604734E-2</c:v>
                </c:pt>
                <c:pt idx="20">
                  <c:v>5.3951976768671459E-2</c:v>
                </c:pt>
                <c:pt idx="21">
                  <c:v>4.1950526738628195E-2</c:v>
                </c:pt>
                <c:pt idx="22">
                  <c:v>4.0159050650474405E-2</c:v>
                </c:pt>
                <c:pt idx="23">
                  <c:v>3.5732197375888765E-2</c:v>
                </c:pt>
                <c:pt idx="24">
                  <c:v>3.0070407552179063E-2</c:v>
                </c:pt>
                <c:pt idx="25">
                  <c:v>2.9919432960887813E-2</c:v>
                </c:pt>
                <c:pt idx="26">
                  <c:v>2.7047880607943921E-2</c:v>
                </c:pt>
                <c:pt idx="27">
                  <c:v>2.4217270948509912E-2</c:v>
                </c:pt>
                <c:pt idx="28">
                  <c:v>1.6184366231576774E-2</c:v>
                </c:pt>
                <c:pt idx="29">
                  <c:v>1.2022557911696131E-2</c:v>
                </c:pt>
                <c:pt idx="30">
                  <c:v>1.1189738764522157E-2</c:v>
                </c:pt>
                <c:pt idx="31">
                  <c:v>1.0192929245733395E-2</c:v>
                </c:pt>
                <c:pt idx="32">
                  <c:v>8.9827208669556458E-3</c:v>
                </c:pt>
                <c:pt idx="33">
                  <c:v>8.1168574033848011E-3</c:v>
                </c:pt>
                <c:pt idx="34">
                  <c:v>7.8787127800330169E-3</c:v>
                </c:pt>
                <c:pt idx="35">
                  <c:v>6.4508700761502875E-3</c:v>
                </c:pt>
                <c:pt idx="36">
                  <c:v>5.7866928920865075E-3</c:v>
                </c:pt>
                <c:pt idx="37">
                  <c:v>4.3756959503614265E-3</c:v>
                </c:pt>
                <c:pt idx="38">
                  <c:v>7.3198138435895518E-5</c:v>
                </c:pt>
                <c:pt idx="39">
                  <c:v>1.4136367605363934E-5</c:v>
                </c:pt>
              </c:numCache>
            </c:numRef>
          </c:val>
          <c:extLst>
            <c:ext xmlns:c16="http://schemas.microsoft.com/office/drawing/2014/chart" uri="{C3380CC4-5D6E-409C-BE32-E72D297353CC}">
              <c16:uniqueId val="{00000001-2317-4DDD-BF28-F18A2360D8DB}"/>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7472876543031162"/>
          <c:y val="0.27491150354333288"/>
          <c:w val="0.30389470569303689"/>
          <c:h val="3.6337931803534E-2"/>
        </c:manualLayout>
      </c:layout>
      <c:overlay val="0"/>
      <c:spPr>
        <a:solidFill>
          <a:schemeClr val="bg1"/>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1662195003402349"/>
          <c:y val="2.0056069633631563E-2"/>
          <c:w val="0.76151971744272706"/>
          <c:h val="0.9388705608879182"/>
        </c:manualLayout>
      </c:layout>
      <c:barChart>
        <c:barDir val="bar"/>
        <c:grouping val="stacked"/>
        <c:varyColors val="0"/>
        <c:ser>
          <c:idx val="0"/>
          <c:order val="0"/>
          <c:tx>
            <c:strRef>
              <c:f>'Figure 5 Ranking (% GDP + EU)'!$C$4</c:f>
              <c:strCache>
                <c:ptCount val="1"/>
                <c:pt idx="0">
                  <c:v>Total bilateral commitments</c:v>
                </c:pt>
              </c:strCache>
            </c:strRef>
          </c:tx>
          <c:spPr>
            <a:solidFill>
              <a:schemeClr val="accent5">
                <a:lumMod val="75000"/>
              </a:schemeClr>
            </a:solidFill>
            <a:ln>
              <a:solidFill>
                <a:schemeClr val="tx1"/>
              </a:solidFill>
            </a:ln>
            <a:effectLst/>
          </c:spPr>
          <c:invertIfNegative val="0"/>
          <c:cat>
            <c:strRef>
              <c:f>'Figure 5 Ranking (% GDP + EU)'!$B$5:$B$44</c:f>
              <c:strCache>
                <c:ptCount val="40"/>
                <c:pt idx="0">
                  <c:v>Estonia</c:v>
                </c:pt>
                <c:pt idx="1">
                  <c:v>Latvia</c:v>
                </c:pt>
                <c:pt idx="2">
                  <c:v>Poland</c:v>
                </c:pt>
                <c:pt idx="3">
                  <c:v>Lithuania</c:v>
                </c:pt>
                <c:pt idx="4">
                  <c:v>Slovakia</c:v>
                </c:pt>
                <c:pt idx="5">
                  <c:v>Czech Republic</c:v>
                </c:pt>
                <c:pt idx="6">
                  <c:v>Denmark</c:v>
                </c:pt>
                <c:pt idx="7">
                  <c:v>Netherlands</c:v>
                </c:pt>
                <c:pt idx="8">
                  <c:v>Austria</c:v>
                </c:pt>
                <c:pt idx="9">
                  <c:v>Sweden</c:v>
                </c:pt>
                <c:pt idx="10">
                  <c:v>Greece</c:v>
                </c:pt>
                <c:pt idx="11">
                  <c:v>Portugal</c:v>
                </c:pt>
                <c:pt idx="12">
                  <c:v>Slovenia</c:v>
                </c:pt>
                <c:pt idx="13">
                  <c:v>Spain</c:v>
                </c:pt>
                <c:pt idx="14">
                  <c:v>Norway</c:v>
                </c:pt>
                <c:pt idx="15">
                  <c:v>Finland</c:v>
                </c:pt>
                <c:pt idx="16">
                  <c:v>Germany</c:v>
                </c:pt>
                <c:pt idx="17">
                  <c:v>Bulgaria</c:v>
                </c:pt>
                <c:pt idx="18">
                  <c:v>Croatia</c:v>
                </c:pt>
                <c:pt idx="19">
                  <c:v>Hungary</c:v>
                </c:pt>
                <c:pt idx="20">
                  <c:v>Belgium</c:v>
                </c:pt>
                <c:pt idx="21">
                  <c:v>France</c:v>
                </c:pt>
                <c:pt idx="22">
                  <c:v>Italy</c:v>
                </c:pt>
                <c:pt idx="23">
                  <c:v>United Kingdom</c:v>
                </c:pt>
                <c:pt idx="24">
                  <c:v>Luxembourg</c:v>
                </c:pt>
                <c:pt idx="25">
                  <c:v>Cyprus</c:v>
                </c:pt>
                <c:pt idx="26">
                  <c:v>Canada</c:v>
                </c:pt>
                <c:pt idx="27">
                  <c:v>Romania</c:v>
                </c:pt>
                <c:pt idx="28">
                  <c:v>United States</c:v>
                </c:pt>
                <c:pt idx="29">
                  <c:v>Malta</c:v>
                </c:pt>
                <c:pt idx="30">
                  <c:v>Ireland</c:v>
                </c:pt>
                <c:pt idx="31">
                  <c:v>Switzerland</c:v>
                </c:pt>
                <c:pt idx="32">
                  <c:v>Australia</c:v>
                </c:pt>
                <c:pt idx="33">
                  <c:v>Japan</c:v>
                </c:pt>
                <c:pt idx="34">
                  <c:v>Taiwan</c:v>
                </c:pt>
                <c:pt idx="35">
                  <c:v>Turkey</c:v>
                </c:pt>
                <c:pt idx="36">
                  <c:v>New Zealand</c:v>
                </c:pt>
                <c:pt idx="37">
                  <c:v>South Korea</c:v>
                </c:pt>
                <c:pt idx="38">
                  <c:v>India</c:v>
                </c:pt>
                <c:pt idx="39">
                  <c:v>China</c:v>
                </c:pt>
              </c:strCache>
            </c:strRef>
          </c:cat>
          <c:val>
            <c:numRef>
              <c:f>'Figure 5 Ranking (% GDP + EU)'!$C$5:$C$44</c:f>
              <c:numCache>
                <c:formatCode>0.00</c:formatCode>
                <c:ptCount val="40"/>
                <c:pt idx="0">
                  <c:v>1.0967029147130423</c:v>
                </c:pt>
                <c:pt idx="1">
                  <c:v>0.93334096809499167</c:v>
                </c:pt>
                <c:pt idx="2">
                  <c:v>0.5046883315564662</c:v>
                </c:pt>
                <c:pt idx="3">
                  <c:v>0.46262413045723411</c:v>
                </c:pt>
                <c:pt idx="4">
                  <c:v>0.20530514413645537</c:v>
                </c:pt>
                <c:pt idx="5">
                  <c:v>0.23997920991472438</c:v>
                </c:pt>
                <c:pt idx="6">
                  <c:v>0.18065743247726287</c:v>
                </c:pt>
                <c:pt idx="7">
                  <c:v>9.3033072212604734E-2</c:v>
                </c:pt>
                <c:pt idx="8">
                  <c:v>0.13436067454145792</c:v>
                </c:pt>
                <c:pt idx="9">
                  <c:v>0.14954186252553325</c:v>
                </c:pt>
                <c:pt idx="10">
                  <c:v>0.10158985634034336</c:v>
                </c:pt>
                <c:pt idx="11">
                  <c:v>0.14700074113441991</c:v>
                </c:pt>
                <c:pt idx="12">
                  <c:v>0.11404669149459316</c:v>
                </c:pt>
                <c:pt idx="13">
                  <c:v>2.9919432960887813E-2</c:v>
                </c:pt>
                <c:pt idx="14">
                  <c:v>0.33521922114706038</c:v>
                </c:pt>
                <c:pt idx="15">
                  <c:v>0.11375203300449048</c:v>
                </c:pt>
                <c:pt idx="16">
                  <c:v>0.14205294706259788</c:v>
                </c:pt>
                <c:pt idx="17">
                  <c:v>6.4508700761502875E-3</c:v>
                </c:pt>
                <c:pt idx="18">
                  <c:v>4.0159050650474405E-2</c:v>
                </c:pt>
                <c:pt idx="19">
                  <c:v>3.0070407552179063E-2</c:v>
                </c:pt>
                <c:pt idx="20">
                  <c:v>4.1950526738628195E-2</c:v>
                </c:pt>
                <c:pt idx="21">
                  <c:v>5.3951976768671459E-2</c:v>
                </c:pt>
                <c:pt idx="22">
                  <c:v>3.5732197375888765E-2</c:v>
                </c:pt>
                <c:pt idx="23">
                  <c:v>0.25750387809853476</c:v>
                </c:pt>
                <c:pt idx="24">
                  <c:v>0.10397102345871267</c:v>
                </c:pt>
                <c:pt idx="25">
                  <c:v>1.0192929245733395E-2</c:v>
                </c:pt>
                <c:pt idx="26">
                  <c:v>0.23075429771221459</c:v>
                </c:pt>
                <c:pt idx="27">
                  <c:v>4.3756959503614265E-3</c:v>
                </c:pt>
                <c:pt idx="28">
                  <c:v>0.22901986013478723</c:v>
                </c:pt>
                <c:pt idx="29">
                  <c:v>7.8787127800330169E-3</c:v>
                </c:pt>
                <c:pt idx="30">
                  <c:v>1.6184366231576774E-2</c:v>
                </c:pt>
                <c:pt idx="31">
                  <c:v>2.7047880607943921E-2</c:v>
                </c:pt>
                <c:pt idx="32">
                  <c:v>2.4217270948509912E-2</c:v>
                </c:pt>
                <c:pt idx="33">
                  <c:v>1.2022557911696131E-2</c:v>
                </c:pt>
                <c:pt idx="34">
                  <c:v>1.1189738764522157E-2</c:v>
                </c:pt>
                <c:pt idx="35">
                  <c:v>8.9827208669556458E-3</c:v>
                </c:pt>
                <c:pt idx="36">
                  <c:v>8.1168574033848011E-3</c:v>
                </c:pt>
                <c:pt idx="37">
                  <c:v>5.7866928920865075E-3</c:v>
                </c:pt>
                <c:pt idx="38">
                  <c:v>7.3198138435895518E-5</c:v>
                </c:pt>
                <c:pt idx="39">
                  <c:v>1.4136367605363934E-5</c:v>
                </c:pt>
              </c:numCache>
            </c:numRef>
          </c:val>
          <c:extLst>
            <c:ext xmlns:c16="http://schemas.microsoft.com/office/drawing/2014/chart" uri="{C3380CC4-5D6E-409C-BE32-E72D297353CC}">
              <c16:uniqueId val="{00000001-D943-4AE8-8D06-4F0FEAED122E}"/>
            </c:ext>
          </c:extLst>
        </c:ser>
        <c:ser>
          <c:idx val="1"/>
          <c:order val="1"/>
          <c:tx>
            <c:strRef>
              <c:f>'Figure 5 Ranking (% GDP + EU)'!$D$4</c:f>
              <c:strCache>
                <c:ptCount val="1"/>
                <c:pt idx="0">
                  <c:v>Share in EU commitments (includes MFA, EPF and EIB)</c:v>
                </c:pt>
              </c:strCache>
            </c:strRef>
          </c:tx>
          <c:spPr>
            <a:solidFill>
              <a:schemeClr val="accent2"/>
            </a:solidFill>
            <a:ln>
              <a:solidFill>
                <a:schemeClr val="tx1"/>
              </a:solidFill>
            </a:ln>
            <a:effectLst/>
          </c:spPr>
          <c:invertIfNegative val="0"/>
          <c:cat>
            <c:strRef>
              <c:f>'Figure 5 Ranking (% GDP + EU)'!$B$5:$B$44</c:f>
              <c:strCache>
                <c:ptCount val="40"/>
                <c:pt idx="0">
                  <c:v>Estonia</c:v>
                </c:pt>
                <c:pt idx="1">
                  <c:v>Latvia</c:v>
                </c:pt>
                <c:pt idx="2">
                  <c:v>Poland</c:v>
                </c:pt>
                <c:pt idx="3">
                  <c:v>Lithuania</c:v>
                </c:pt>
                <c:pt idx="4">
                  <c:v>Slovakia</c:v>
                </c:pt>
                <c:pt idx="5">
                  <c:v>Czech Republic</c:v>
                </c:pt>
                <c:pt idx="6">
                  <c:v>Denmark</c:v>
                </c:pt>
                <c:pt idx="7">
                  <c:v>Netherlands</c:v>
                </c:pt>
                <c:pt idx="8">
                  <c:v>Austria</c:v>
                </c:pt>
                <c:pt idx="9">
                  <c:v>Sweden</c:v>
                </c:pt>
                <c:pt idx="10">
                  <c:v>Greece</c:v>
                </c:pt>
                <c:pt idx="11">
                  <c:v>Portugal</c:v>
                </c:pt>
                <c:pt idx="12">
                  <c:v>Slovenia</c:v>
                </c:pt>
                <c:pt idx="13">
                  <c:v>Spain</c:v>
                </c:pt>
                <c:pt idx="14">
                  <c:v>Norway</c:v>
                </c:pt>
                <c:pt idx="15">
                  <c:v>Finland</c:v>
                </c:pt>
                <c:pt idx="16">
                  <c:v>Germany</c:v>
                </c:pt>
                <c:pt idx="17">
                  <c:v>Bulgaria</c:v>
                </c:pt>
                <c:pt idx="18">
                  <c:v>Croatia</c:v>
                </c:pt>
                <c:pt idx="19">
                  <c:v>Hungary</c:v>
                </c:pt>
                <c:pt idx="20">
                  <c:v>Belgium</c:v>
                </c:pt>
                <c:pt idx="21">
                  <c:v>France</c:v>
                </c:pt>
                <c:pt idx="22">
                  <c:v>Italy</c:v>
                </c:pt>
                <c:pt idx="23">
                  <c:v>United Kingdom</c:v>
                </c:pt>
                <c:pt idx="24">
                  <c:v>Luxembourg</c:v>
                </c:pt>
                <c:pt idx="25">
                  <c:v>Cyprus</c:v>
                </c:pt>
                <c:pt idx="26">
                  <c:v>Canada</c:v>
                </c:pt>
                <c:pt idx="27">
                  <c:v>Romania</c:v>
                </c:pt>
                <c:pt idx="28">
                  <c:v>United States</c:v>
                </c:pt>
                <c:pt idx="29">
                  <c:v>Malta</c:v>
                </c:pt>
                <c:pt idx="30">
                  <c:v>Ireland</c:v>
                </c:pt>
                <c:pt idx="31">
                  <c:v>Switzerland</c:v>
                </c:pt>
                <c:pt idx="32">
                  <c:v>Australia</c:v>
                </c:pt>
                <c:pt idx="33">
                  <c:v>Japan</c:v>
                </c:pt>
                <c:pt idx="34">
                  <c:v>Taiwan</c:v>
                </c:pt>
                <c:pt idx="35">
                  <c:v>Turkey</c:v>
                </c:pt>
                <c:pt idx="36">
                  <c:v>New Zealand</c:v>
                </c:pt>
                <c:pt idx="37">
                  <c:v>South Korea</c:v>
                </c:pt>
                <c:pt idx="38">
                  <c:v>India</c:v>
                </c:pt>
                <c:pt idx="39">
                  <c:v>China</c:v>
                </c:pt>
              </c:strCache>
            </c:strRef>
          </c:cat>
          <c:val>
            <c:numRef>
              <c:f>'Figure 5 Ranking (% GDP + EU)'!$D$5:$D$44</c:f>
              <c:numCache>
                <c:formatCode>0.00</c:formatCode>
                <c:ptCount val="40"/>
                <c:pt idx="0">
                  <c:v>0.22063866696278725</c:v>
                </c:pt>
                <c:pt idx="1">
                  <c:v>0.20829576580430037</c:v>
                </c:pt>
                <c:pt idx="2">
                  <c:v>0.24522915216183597</c:v>
                </c:pt>
                <c:pt idx="3">
                  <c:v>0.19909047611931049</c:v>
                </c:pt>
                <c:pt idx="4">
                  <c:v>0.29052372614435157</c:v>
                </c:pt>
                <c:pt idx="5">
                  <c:v>0.2062263720285484</c:v>
                </c:pt>
                <c:pt idx="6">
                  <c:v>0.24966132692405568</c:v>
                </c:pt>
                <c:pt idx="7">
                  <c:v>0.29035752853576458</c:v>
                </c:pt>
                <c:pt idx="8">
                  <c:v>0.23503317221905162</c:v>
                </c:pt>
                <c:pt idx="9">
                  <c:v>0.21879850800862621</c:v>
                </c:pt>
                <c:pt idx="10">
                  <c:v>0.26389362335339239</c:v>
                </c:pt>
                <c:pt idx="11">
                  <c:v>0.21791251861559205</c:v>
                </c:pt>
                <c:pt idx="12">
                  <c:v>0.23209238325494025</c:v>
                </c:pt>
                <c:pt idx="13">
                  <c:v>0.31600172248266084</c:v>
                </c:pt>
                <c:pt idx="14">
                  <c:v>0</c:v>
                </c:pt>
                <c:pt idx="15">
                  <c:v>0.22116901136425507</c:v>
                </c:pt>
                <c:pt idx="16">
                  <c:v>0.18716090643008126</c:v>
                </c:pt>
                <c:pt idx="17">
                  <c:v>0.29457018588172124</c:v>
                </c:pt>
                <c:pt idx="18">
                  <c:v>0.25551518370420978</c:v>
                </c:pt>
                <c:pt idx="19">
                  <c:v>0.25877079311432827</c:v>
                </c:pt>
                <c:pt idx="20">
                  <c:v>0.24122559315040867</c:v>
                </c:pt>
                <c:pt idx="21">
                  <c:v>0.22805955572435763</c:v>
                </c:pt>
                <c:pt idx="22">
                  <c:v>0.23456874880485212</c:v>
                </c:pt>
                <c:pt idx="23">
                  <c:v>0</c:v>
                </c:pt>
                <c:pt idx="24">
                  <c:v>0.14861211202058278</c:v>
                </c:pt>
                <c:pt idx="25">
                  <c:v>0.22115832053457282</c:v>
                </c:pt>
                <c:pt idx="26">
                  <c:v>0</c:v>
                </c:pt>
                <c:pt idx="27">
                  <c:v>0.22505972158532719</c:v>
                </c:pt>
                <c:pt idx="28">
                  <c:v>0</c:v>
                </c:pt>
                <c:pt idx="29">
                  <c:v>0.19581252359203918</c:v>
                </c:pt>
                <c:pt idx="30">
                  <c:v>0.16072975738343165</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3-D943-4AE8-8D06-4F0FEAED122E}"/>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166607745460389"/>
          <c:y val="0.33857948325644771"/>
          <c:w val="0.43519958352313398"/>
          <c:h val="0.11744878244386119"/>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'Figure 6 Military commitments'!$C$4</c:f>
              <c:strCache>
                <c:ptCount val="1"/>
                <c:pt idx="0">
                  <c:v>Specific weapons and equipment</c:v>
                </c:pt>
              </c:strCache>
            </c:strRef>
          </c:tx>
          <c:spPr>
            <a:solidFill>
              <a:schemeClr val="accent2"/>
            </a:solidFill>
            <a:ln>
              <a:solidFill>
                <a:schemeClr val="tx1"/>
              </a:solidFill>
            </a:ln>
            <a:effectLst/>
          </c:spPr>
          <c:invertIfNegative val="0"/>
          <c:cat>
            <c:strRef>
              <c:f>'Figure 6 Military commitments'!$B$5:$B$24</c:f>
              <c:strCache>
                <c:ptCount val="20"/>
                <c:pt idx="0">
                  <c:v>United States</c:v>
                </c:pt>
                <c:pt idx="1">
                  <c:v>United Kingdom</c:v>
                </c:pt>
                <c:pt idx="2">
                  <c:v>Germany</c:v>
                </c:pt>
                <c:pt idx="3">
                  <c:v>Poland</c:v>
                </c:pt>
                <c:pt idx="4">
                  <c:v>Canada</c:v>
                </c:pt>
                <c:pt idx="5">
                  <c:v>Norway</c:v>
                </c:pt>
                <c:pt idx="6">
                  <c:v>Sweden</c:v>
                </c:pt>
                <c:pt idx="7">
                  <c:v>Denmark</c:v>
                </c:pt>
                <c:pt idx="8">
                  <c:v>Czech Republic</c:v>
                </c:pt>
                <c:pt idx="9">
                  <c:v>France</c:v>
                </c:pt>
                <c:pt idx="10">
                  <c:v>Estonia</c:v>
                </c:pt>
                <c:pt idx="11">
                  <c:v>Italy</c:v>
                </c:pt>
                <c:pt idx="12">
                  <c:v>Latvia</c:v>
                </c:pt>
                <c:pt idx="13">
                  <c:v>Netherlands</c:v>
                </c:pt>
                <c:pt idx="14">
                  <c:v>Australia</c:v>
                </c:pt>
                <c:pt idx="15">
                  <c:v>Slovakia</c:v>
                </c:pt>
                <c:pt idx="16">
                  <c:v>Lithuania</c:v>
                </c:pt>
                <c:pt idx="17">
                  <c:v>Greece</c:v>
                </c:pt>
                <c:pt idx="18">
                  <c:v>Finland</c:v>
                </c:pt>
                <c:pt idx="19">
                  <c:v>Belgium</c:v>
                </c:pt>
              </c:strCache>
            </c:strRef>
          </c:cat>
          <c:val>
            <c:numRef>
              <c:f>'Figure 6 Military commitments'!$C$5:$C$24</c:f>
              <c:numCache>
                <c:formatCode>0.00</c:formatCode>
                <c:ptCount val="20"/>
                <c:pt idx="0">
                  <c:v>18.507245201088665</c:v>
                </c:pt>
                <c:pt idx="1">
                  <c:v>1.8979460118298399</c:v>
                </c:pt>
                <c:pt idx="2">
                  <c:v>2.3448872384566926</c:v>
                </c:pt>
                <c:pt idx="3">
                  <c:v>1.8223833594419532</c:v>
                </c:pt>
                <c:pt idx="4">
                  <c:v>0.98839386665430684</c:v>
                </c:pt>
                <c:pt idx="5">
                  <c:v>0.20047757878657899</c:v>
                </c:pt>
                <c:pt idx="6">
                  <c:v>0.38893220132177642</c:v>
                </c:pt>
                <c:pt idx="7">
                  <c:v>0.26882804414156486</c:v>
                </c:pt>
                <c:pt idx="8">
                  <c:v>0.43703463969647527</c:v>
                </c:pt>
                <c:pt idx="9">
                  <c:v>0.4716578919261053</c:v>
                </c:pt>
                <c:pt idx="10">
                  <c:v>0.33</c:v>
                </c:pt>
                <c:pt idx="11">
                  <c:v>0.31914838062565365</c:v>
                </c:pt>
                <c:pt idx="12">
                  <c:v>0.29713953547322058</c:v>
                </c:pt>
                <c:pt idx="13">
                  <c:v>0.2798467937299543</c:v>
                </c:pt>
                <c:pt idx="14">
                  <c:v>0.26344328965205605</c:v>
                </c:pt>
                <c:pt idx="15">
                  <c:v>0.21017157538614847</c:v>
                </c:pt>
                <c:pt idx="16">
                  <c:v>0.19868747583457899</c:v>
                </c:pt>
                <c:pt idx="17">
                  <c:v>0.19116831928251124</c:v>
                </c:pt>
                <c:pt idx="18">
                  <c:v>0.1479</c:v>
                </c:pt>
                <c:pt idx="19">
                  <c:v>9.6000000000000002E-2</c:v>
                </c:pt>
              </c:numCache>
            </c:numRef>
          </c:val>
          <c:extLst>
            <c:ext xmlns:c16="http://schemas.microsoft.com/office/drawing/2014/chart" uri="{C3380CC4-5D6E-409C-BE32-E72D297353CC}">
              <c16:uniqueId val="{00000001-6BDE-4AC9-9143-833479749912}"/>
            </c:ext>
          </c:extLst>
        </c:ser>
        <c:ser>
          <c:idx val="1"/>
          <c:order val="1"/>
          <c:tx>
            <c:strRef>
              <c:f>'Figure 6 Military commitments'!$D$4</c:f>
              <c:strCache>
                <c:ptCount val="1"/>
                <c:pt idx="0">
                  <c:v>Financial commitments tied to military purpose (e.g. to finance future weapon purchase)</c:v>
                </c:pt>
              </c:strCache>
            </c:strRef>
          </c:tx>
          <c:spPr>
            <a:solidFill>
              <a:schemeClr val="accent1">
                <a:lumMod val="75000"/>
              </a:schemeClr>
            </a:solidFill>
            <a:ln>
              <a:solidFill>
                <a:schemeClr val="tx1"/>
              </a:solidFill>
            </a:ln>
            <a:effectLst/>
          </c:spPr>
          <c:invertIfNegative val="0"/>
          <c:cat>
            <c:strRef>
              <c:f>'Figure 6 Military commitments'!$B$5:$B$24</c:f>
              <c:strCache>
                <c:ptCount val="20"/>
                <c:pt idx="0">
                  <c:v>United States</c:v>
                </c:pt>
                <c:pt idx="1">
                  <c:v>United Kingdom</c:v>
                </c:pt>
                <c:pt idx="2">
                  <c:v>Germany</c:v>
                </c:pt>
                <c:pt idx="3">
                  <c:v>Poland</c:v>
                </c:pt>
                <c:pt idx="4">
                  <c:v>Canada</c:v>
                </c:pt>
                <c:pt idx="5">
                  <c:v>Norway</c:v>
                </c:pt>
                <c:pt idx="6">
                  <c:v>Sweden</c:v>
                </c:pt>
                <c:pt idx="7">
                  <c:v>Denmark</c:v>
                </c:pt>
                <c:pt idx="8">
                  <c:v>Czech Republic</c:v>
                </c:pt>
                <c:pt idx="9">
                  <c:v>France</c:v>
                </c:pt>
                <c:pt idx="10">
                  <c:v>Estonia</c:v>
                </c:pt>
                <c:pt idx="11">
                  <c:v>Italy</c:v>
                </c:pt>
                <c:pt idx="12">
                  <c:v>Latvia</c:v>
                </c:pt>
                <c:pt idx="13">
                  <c:v>Netherlands</c:v>
                </c:pt>
                <c:pt idx="14">
                  <c:v>Australia</c:v>
                </c:pt>
                <c:pt idx="15">
                  <c:v>Slovakia</c:v>
                </c:pt>
                <c:pt idx="16">
                  <c:v>Lithuania</c:v>
                </c:pt>
                <c:pt idx="17">
                  <c:v>Greece</c:v>
                </c:pt>
                <c:pt idx="18">
                  <c:v>Finland</c:v>
                </c:pt>
                <c:pt idx="19">
                  <c:v>Belgium</c:v>
                </c:pt>
              </c:strCache>
            </c:strRef>
          </c:cat>
          <c:val>
            <c:numRef>
              <c:f>'Figure 6 Military commitments'!$D$5:$D$24</c:f>
              <c:numCache>
                <c:formatCode>0.00</c:formatCode>
                <c:ptCount val="20"/>
                <c:pt idx="0">
                  <c:v>4.3547378582038085</c:v>
                </c:pt>
                <c:pt idx="1">
                  <c:v>2.231209716</c:v>
                </c:pt>
                <c:pt idx="2">
                  <c:v>0</c:v>
                </c:pt>
                <c:pt idx="3">
                  <c:v>0</c:v>
                </c:pt>
                <c:pt idx="4">
                  <c:v>0.36832412523020253</c:v>
                </c:pt>
                <c:pt idx="5">
                  <c:v>0.35966814650666223</c:v>
                </c:pt>
                <c:pt idx="6">
                  <c:v>0.15728822882288229</c:v>
                </c:pt>
                <c:pt idx="7">
                  <c:v>0.24113875559498371</c:v>
                </c:pt>
                <c:pt idx="8">
                  <c:v>4.1454907822620846E-2</c:v>
                </c:pt>
                <c:pt idx="9">
                  <c:v>0</c:v>
                </c:pt>
                <c:pt idx="10">
                  <c:v>0</c:v>
                </c:pt>
                <c:pt idx="11">
                  <c:v>0</c:v>
                </c:pt>
                <c:pt idx="12">
                  <c:v>0</c:v>
                </c:pt>
                <c:pt idx="13">
                  <c:v>1.0000000000000009E-2</c:v>
                </c:pt>
                <c:pt idx="14">
                  <c:v>5.6161642243883758E-3</c:v>
                </c:pt>
                <c:pt idx="15">
                  <c:v>0</c:v>
                </c:pt>
                <c:pt idx="16">
                  <c:v>0</c:v>
                </c:pt>
                <c:pt idx="17">
                  <c:v>0</c:v>
                </c:pt>
                <c:pt idx="18">
                  <c:v>0.03</c:v>
                </c:pt>
                <c:pt idx="19">
                  <c:v>0</c:v>
                </c:pt>
              </c:numCache>
            </c:numRef>
          </c:val>
          <c:extLst>
            <c:ext xmlns:c16="http://schemas.microsoft.com/office/drawing/2014/chart" uri="{C3380CC4-5D6E-409C-BE32-E72D297353CC}">
              <c16:uniqueId val="{00000003-6BDE-4AC9-9143-833479749912}"/>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32570100612423447"/>
          <c:y val="0.3962431102362205"/>
          <c:w val="0.46321592613423312"/>
          <c:h val="0.15932228783902014"/>
        </c:manualLayout>
      </c:layout>
      <c:overlay val="0"/>
      <c:spPr>
        <a:solidFill>
          <a:srgbClr val="FFFFFF"/>
        </a:solid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97743202395139"/>
          <c:y val="1.7897272369283346E-2"/>
          <c:w val="0.79200258724674177"/>
          <c:h val="0.94156885161080517"/>
        </c:manualLayout>
      </c:layout>
      <c:barChart>
        <c:barDir val="bar"/>
        <c:grouping val="stacked"/>
        <c:varyColors val="0"/>
        <c:ser>
          <c:idx val="0"/>
          <c:order val="0"/>
          <c:tx>
            <c:strRef>
              <c:f>'Figure 7 Financial commitments'!$C$4</c:f>
              <c:strCache>
                <c:ptCount val="1"/>
                <c:pt idx="0">
                  <c:v>Loans</c:v>
                </c:pt>
              </c:strCache>
            </c:strRef>
          </c:tx>
          <c:spPr>
            <a:solidFill>
              <a:srgbClr val="0070C0"/>
            </a:solidFill>
            <a:ln>
              <a:solidFill>
                <a:schemeClr val="tx1"/>
              </a:solidFill>
            </a:ln>
            <a:effectLst/>
          </c:spPr>
          <c:invertIfNegative val="0"/>
          <c:cat>
            <c:strRef>
              <c:f>'Figure 7 Financial commitments'!$B$5:$B$23</c:f>
              <c:strCache>
                <c:ptCount val="19"/>
                <c:pt idx="0">
                  <c:v>EU Institutions</c:v>
                </c:pt>
                <c:pt idx="1">
                  <c:v>United States</c:v>
                </c:pt>
                <c:pt idx="2">
                  <c:v>United Kingdom</c:v>
                </c:pt>
                <c:pt idx="3">
                  <c:v>Canada</c:v>
                </c:pt>
                <c:pt idx="4">
                  <c:v>Germany</c:v>
                </c:pt>
                <c:pt idx="5">
                  <c:v>Poland</c:v>
                </c:pt>
                <c:pt idx="6">
                  <c:v>France</c:v>
                </c:pt>
                <c:pt idx="7">
                  <c:v>Norway</c:v>
                </c:pt>
                <c:pt idx="8">
                  <c:v>Japan</c:v>
                </c:pt>
                <c:pt idx="9">
                  <c:v>Austria</c:v>
                </c:pt>
                <c:pt idx="10">
                  <c:v>Netherlands</c:v>
                </c:pt>
                <c:pt idx="11">
                  <c:v>Italy</c:v>
                </c:pt>
                <c:pt idx="12">
                  <c:v>Sweden</c:v>
                </c:pt>
                <c:pt idx="13">
                  <c:v>Portugal</c:v>
                </c:pt>
                <c:pt idx="14">
                  <c:v>Spain</c:v>
                </c:pt>
                <c:pt idx="15">
                  <c:v>Finland</c:v>
                </c:pt>
                <c:pt idx="16">
                  <c:v>Denmark</c:v>
                </c:pt>
                <c:pt idx="17">
                  <c:v>Latvia</c:v>
                </c:pt>
                <c:pt idx="18">
                  <c:v>Lithuania</c:v>
                </c:pt>
              </c:strCache>
            </c:strRef>
          </c:cat>
          <c:val>
            <c:numRef>
              <c:f>'Figure 7 Financial commitments'!$C$5:$C$23</c:f>
              <c:numCache>
                <c:formatCode>0.00</c:formatCode>
                <c:ptCount val="19"/>
                <c:pt idx="0">
                  <c:v>30.2</c:v>
                </c:pt>
                <c:pt idx="1">
                  <c:v>0.49825610363726958</c:v>
                </c:pt>
                <c:pt idx="2">
                  <c:v>0.5763024435223606</c:v>
                </c:pt>
                <c:pt idx="3">
                  <c:v>1.7679558011049725</c:v>
                </c:pt>
                <c:pt idx="4">
                  <c:v>0.15</c:v>
                </c:pt>
                <c:pt idx="5">
                  <c:v>0</c:v>
                </c:pt>
                <c:pt idx="6">
                  <c:v>0.8</c:v>
                </c:pt>
                <c:pt idx="7">
                  <c:v>0</c:v>
                </c:pt>
                <c:pt idx="8">
                  <c:v>0.59790732436472349</c:v>
                </c:pt>
                <c:pt idx="9">
                  <c:v>0</c:v>
                </c:pt>
                <c:pt idx="10">
                  <c:v>0.2</c:v>
                </c:pt>
                <c:pt idx="11">
                  <c:v>0.2</c:v>
                </c:pt>
                <c:pt idx="12">
                  <c:v>0</c:v>
                </c:pt>
                <c:pt idx="13">
                  <c:v>0</c:v>
                </c:pt>
                <c:pt idx="14">
                  <c:v>0</c:v>
                </c:pt>
                <c:pt idx="15">
                  <c:v>0</c:v>
                </c:pt>
                <c:pt idx="16">
                  <c:v>0</c:v>
                </c:pt>
                <c:pt idx="17">
                  <c:v>0.01</c:v>
                </c:pt>
                <c:pt idx="18">
                  <c:v>0</c:v>
                </c:pt>
              </c:numCache>
            </c:numRef>
          </c:val>
          <c:extLst>
            <c:ext xmlns:c16="http://schemas.microsoft.com/office/drawing/2014/chart" uri="{C3380CC4-5D6E-409C-BE32-E72D297353CC}">
              <c16:uniqueId val="{00000001-9082-4ED4-9BAD-CAF3B51EE262}"/>
            </c:ext>
          </c:extLst>
        </c:ser>
        <c:ser>
          <c:idx val="1"/>
          <c:order val="1"/>
          <c:tx>
            <c:strRef>
              <c:f>'Figure 7 Financial commitments'!$D$4</c:f>
              <c:strCache>
                <c:ptCount val="1"/>
                <c:pt idx="0">
                  <c:v>Grants</c:v>
                </c:pt>
              </c:strCache>
            </c:strRef>
          </c:tx>
          <c:spPr>
            <a:solidFill>
              <a:srgbClr val="92D050"/>
            </a:solidFill>
            <a:ln>
              <a:solidFill>
                <a:schemeClr val="tx1"/>
              </a:solidFill>
            </a:ln>
            <a:effectLst/>
          </c:spPr>
          <c:invertIfNegative val="0"/>
          <c:cat>
            <c:strRef>
              <c:f>'Figure 7 Financial commitments'!$B$5:$B$23</c:f>
              <c:strCache>
                <c:ptCount val="19"/>
                <c:pt idx="0">
                  <c:v>EU Institutions</c:v>
                </c:pt>
                <c:pt idx="1">
                  <c:v>United States</c:v>
                </c:pt>
                <c:pt idx="2">
                  <c:v>United Kingdom</c:v>
                </c:pt>
                <c:pt idx="3">
                  <c:v>Canada</c:v>
                </c:pt>
                <c:pt idx="4">
                  <c:v>Germany</c:v>
                </c:pt>
                <c:pt idx="5">
                  <c:v>Poland</c:v>
                </c:pt>
                <c:pt idx="6">
                  <c:v>France</c:v>
                </c:pt>
                <c:pt idx="7">
                  <c:v>Norway</c:v>
                </c:pt>
                <c:pt idx="8">
                  <c:v>Japan</c:v>
                </c:pt>
                <c:pt idx="9">
                  <c:v>Austria</c:v>
                </c:pt>
                <c:pt idx="10">
                  <c:v>Netherlands</c:v>
                </c:pt>
                <c:pt idx="11">
                  <c:v>Italy</c:v>
                </c:pt>
                <c:pt idx="12">
                  <c:v>Sweden</c:v>
                </c:pt>
                <c:pt idx="13">
                  <c:v>Portugal</c:v>
                </c:pt>
                <c:pt idx="14">
                  <c:v>Spain</c:v>
                </c:pt>
                <c:pt idx="15">
                  <c:v>Finland</c:v>
                </c:pt>
                <c:pt idx="16">
                  <c:v>Denmark</c:v>
                </c:pt>
                <c:pt idx="17">
                  <c:v>Latvia</c:v>
                </c:pt>
                <c:pt idx="18">
                  <c:v>Lithuania</c:v>
                </c:pt>
              </c:strCache>
            </c:strRef>
          </c:cat>
          <c:val>
            <c:numRef>
              <c:f>'Figure 7 Financial commitments'!$D$5:$D$23</c:f>
              <c:numCache>
                <c:formatCode>0.00</c:formatCode>
                <c:ptCount val="19"/>
                <c:pt idx="0">
                  <c:v>0.1225</c:v>
                </c:pt>
                <c:pt idx="1">
                  <c:v>13.558545092177377</c:v>
                </c:pt>
                <c:pt idx="2">
                  <c:v>0.65621104143795483</c:v>
                </c:pt>
                <c:pt idx="3">
                  <c:v>0.73948434622467785</c:v>
                </c:pt>
                <c:pt idx="4">
                  <c:v>1.2</c:v>
                </c:pt>
                <c:pt idx="5">
                  <c:v>6.3545858928193179E-3</c:v>
                </c:pt>
                <c:pt idx="6">
                  <c:v>0</c:v>
                </c:pt>
                <c:pt idx="7">
                  <c:v>0.61445864741685452</c:v>
                </c:pt>
                <c:pt idx="8">
                  <c:v>0</c:v>
                </c:pt>
                <c:pt idx="9">
                  <c:v>4.6899999999999997E-2</c:v>
                </c:pt>
                <c:pt idx="10">
                  <c:v>6.8500000000000005E-2</c:v>
                </c:pt>
                <c:pt idx="11">
                  <c:v>0.127</c:v>
                </c:pt>
                <c:pt idx="12">
                  <c:v>0.21596076274294096</c:v>
                </c:pt>
                <c:pt idx="13">
                  <c:v>0.25</c:v>
                </c:pt>
                <c:pt idx="14">
                  <c:v>0.15</c:v>
                </c:pt>
                <c:pt idx="15">
                  <c:v>8.1500000000000003E-2</c:v>
                </c:pt>
                <c:pt idx="16">
                  <c:v>5.7500000000000002E-2</c:v>
                </c:pt>
                <c:pt idx="17">
                  <c:v>5.0000000000000001E-3</c:v>
                </c:pt>
                <c:pt idx="18">
                  <c:v>1.4999999999999999E-2</c:v>
                </c:pt>
              </c:numCache>
            </c:numRef>
          </c:val>
          <c:extLst>
            <c:ext xmlns:c16="http://schemas.microsoft.com/office/drawing/2014/chart" uri="{C3380CC4-5D6E-409C-BE32-E72D297353CC}">
              <c16:uniqueId val="{00000003-9082-4ED4-9BAD-CAF3B51EE262}"/>
            </c:ext>
          </c:extLst>
        </c:ser>
        <c:ser>
          <c:idx val="2"/>
          <c:order val="2"/>
          <c:tx>
            <c:strRef>
              <c:f>'Figure 7 Financial commitments'!$E$4</c:f>
              <c:strCache>
                <c:ptCount val="1"/>
                <c:pt idx="0">
                  <c:v>Guarantees</c:v>
                </c:pt>
              </c:strCache>
            </c:strRef>
          </c:tx>
          <c:spPr>
            <a:solidFill>
              <a:schemeClr val="accent3">
                <a:lumMod val="60000"/>
                <a:lumOff val="40000"/>
              </a:schemeClr>
            </a:solidFill>
            <a:ln>
              <a:solidFill>
                <a:schemeClr val="tx1"/>
              </a:solidFill>
            </a:ln>
            <a:effectLst/>
          </c:spPr>
          <c:invertIfNegative val="0"/>
          <c:cat>
            <c:strRef>
              <c:f>'Figure 7 Financial commitments'!$B$5:$B$23</c:f>
              <c:strCache>
                <c:ptCount val="19"/>
                <c:pt idx="0">
                  <c:v>EU Institutions</c:v>
                </c:pt>
                <c:pt idx="1">
                  <c:v>United States</c:v>
                </c:pt>
                <c:pt idx="2">
                  <c:v>United Kingdom</c:v>
                </c:pt>
                <c:pt idx="3">
                  <c:v>Canada</c:v>
                </c:pt>
                <c:pt idx="4">
                  <c:v>Germany</c:v>
                </c:pt>
                <c:pt idx="5">
                  <c:v>Poland</c:v>
                </c:pt>
                <c:pt idx="6">
                  <c:v>France</c:v>
                </c:pt>
                <c:pt idx="7">
                  <c:v>Norway</c:v>
                </c:pt>
                <c:pt idx="8">
                  <c:v>Japan</c:v>
                </c:pt>
                <c:pt idx="9">
                  <c:v>Austria</c:v>
                </c:pt>
                <c:pt idx="10">
                  <c:v>Netherlands</c:v>
                </c:pt>
                <c:pt idx="11">
                  <c:v>Italy</c:v>
                </c:pt>
                <c:pt idx="12">
                  <c:v>Sweden</c:v>
                </c:pt>
                <c:pt idx="13">
                  <c:v>Portugal</c:v>
                </c:pt>
                <c:pt idx="14">
                  <c:v>Spain</c:v>
                </c:pt>
                <c:pt idx="15">
                  <c:v>Finland</c:v>
                </c:pt>
                <c:pt idx="16">
                  <c:v>Denmark</c:v>
                </c:pt>
                <c:pt idx="17">
                  <c:v>Latvia</c:v>
                </c:pt>
                <c:pt idx="18">
                  <c:v>Lithuania</c:v>
                </c:pt>
              </c:strCache>
            </c:strRef>
          </c:cat>
          <c:val>
            <c:numRef>
              <c:f>'Figure 7 Financial commitments'!$E$5:$E$23</c:f>
              <c:numCache>
                <c:formatCode>0.00</c:formatCode>
                <c:ptCount val="19"/>
                <c:pt idx="0">
                  <c:v>0</c:v>
                </c:pt>
                <c:pt idx="1">
                  <c:v>0.99651220727453915</c:v>
                </c:pt>
                <c:pt idx="2">
                  <c:v>1.339657671179916</c:v>
                </c:pt>
                <c:pt idx="3">
                  <c:v>0</c:v>
                </c:pt>
                <c:pt idx="4">
                  <c:v>0</c:v>
                </c:pt>
                <c:pt idx="5">
                  <c:v>0</c:v>
                </c:pt>
                <c:pt idx="6">
                  <c:v>0</c:v>
                </c:pt>
                <c:pt idx="7">
                  <c:v>0</c:v>
                </c:pt>
                <c:pt idx="8">
                  <c:v>0</c:v>
                </c:pt>
                <c:pt idx="9">
                  <c:v>0.5</c:v>
                </c:pt>
                <c:pt idx="10">
                  <c:v>0.08</c:v>
                </c:pt>
                <c:pt idx="11">
                  <c:v>0</c:v>
                </c:pt>
                <c:pt idx="12">
                  <c:v>9.3825610363726941E-2</c:v>
                </c:pt>
                <c:pt idx="13">
                  <c:v>0</c:v>
                </c:pt>
                <c:pt idx="14">
                  <c:v>0.1</c:v>
                </c:pt>
                <c:pt idx="15">
                  <c:v>0</c:v>
                </c:pt>
                <c:pt idx="16">
                  <c:v>0</c:v>
                </c:pt>
                <c:pt idx="17">
                  <c:v>0</c:v>
                </c:pt>
                <c:pt idx="18">
                  <c:v>0</c:v>
                </c:pt>
              </c:numCache>
            </c:numRef>
          </c:val>
          <c:extLst>
            <c:ext xmlns:c16="http://schemas.microsoft.com/office/drawing/2014/chart" uri="{C3380CC4-5D6E-409C-BE32-E72D297353CC}">
              <c16:uniqueId val="{00000000-08E0-BA4D-91A7-02F4E6DBECC7}"/>
            </c:ext>
          </c:extLst>
        </c:ser>
        <c:ser>
          <c:idx val="3"/>
          <c:order val="3"/>
          <c:tx>
            <c:strRef>
              <c:f>'Figure 7 Financial commitments'!$F$4</c:f>
              <c:strCache>
                <c:ptCount val="1"/>
                <c:pt idx="0">
                  <c:v>Central bank swap line</c:v>
                </c:pt>
              </c:strCache>
            </c:strRef>
          </c:tx>
          <c:spPr>
            <a:solidFill>
              <a:srgbClr val="C00000"/>
            </a:solidFill>
            <a:ln>
              <a:solidFill>
                <a:schemeClr val="tx1"/>
              </a:solidFill>
            </a:ln>
            <a:effectLst/>
          </c:spPr>
          <c:invertIfNegative val="0"/>
          <c:cat>
            <c:strRef>
              <c:f>'Figure 7 Financial commitments'!$B$5:$B$23</c:f>
              <c:strCache>
                <c:ptCount val="19"/>
                <c:pt idx="0">
                  <c:v>EU Institutions</c:v>
                </c:pt>
                <c:pt idx="1">
                  <c:v>United States</c:v>
                </c:pt>
                <c:pt idx="2">
                  <c:v>United Kingdom</c:v>
                </c:pt>
                <c:pt idx="3">
                  <c:v>Canada</c:v>
                </c:pt>
                <c:pt idx="4">
                  <c:v>Germany</c:v>
                </c:pt>
                <c:pt idx="5">
                  <c:v>Poland</c:v>
                </c:pt>
                <c:pt idx="6">
                  <c:v>France</c:v>
                </c:pt>
                <c:pt idx="7">
                  <c:v>Norway</c:v>
                </c:pt>
                <c:pt idx="8">
                  <c:v>Japan</c:v>
                </c:pt>
                <c:pt idx="9">
                  <c:v>Austria</c:v>
                </c:pt>
                <c:pt idx="10">
                  <c:v>Netherlands</c:v>
                </c:pt>
                <c:pt idx="11">
                  <c:v>Italy</c:v>
                </c:pt>
                <c:pt idx="12">
                  <c:v>Sweden</c:v>
                </c:pt>
                <c:pt idx="13">
                  <c:v>Portugal</c:v>
                </c:pt>
                <c:pt idx="14">
                  <c:v>Spain</c:v>
                </c:pt>
                <c:pt idx="15">
                  <c:v>Finland</c:v>
                </c:pt>
                <c:pt idx="16">
                  <c:v>Denmark</c:v>
                </c:pt>
                <c:pt idx="17">
                  <c:v>Latvia</c:v>
                </c:pt>
                <c:pt idx="18">
                  <c:v>Lithuania</c:v>
                </c:pt>
              </c:strCache>
            </c:strRef>
          </c:cat>
          <c:val>
            <c:numRef>
              <c:f>'Figure 7 Financial commitments'!$F$5:$F$23</c:f>
              <c:numCache>
                <c:formatCode>0.00</c:formatCode>
                <c:ptCount val="19"/>
                <c:pt idx="0">
                  <c:v>0</c:v>
                </c:pt>
                <c:pt idx="1">
                  <c:v>0</c:v>
                </c:pt>
                <c:pt idx="2">
                  <c:v>0</c:v>
                </c:pt>
                <c:pt idx="3">
                  <c:v>0</c:v>
                </c:pt>
                <c:pt idx="4">
                  <c:v>0</c:v>
                </c:pt>
                <c:pt idx="5">
                  <c:v>0.99651220727453915</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08E0-BA4D-91A7-02F4E6DBECC7}"/>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240879534094478"/>
          <c:y val="0.23450525530730851"/>
          <c:w val="0.2640240397091615"/>
          <c:h val="0.24091740048485591"/>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1"/>
      </a:solid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3329248687894"/>
          <c:y val="3.2926295893460127E-2"/>
          <c:w val="0.63827156902670301"/>
          <c:h val="0.84140682361915431"/>
        </c:manualLayout>
      </c:layout>
      <c:barChart>
        <c:barDir val="bar"/>
        <c:grouping val="stacked"/>
        <c:varyColors val="0"/>
        <c:ser>
          <c:idx val="0"/>
          <c:order val="0"/>
          <c:tx>
            <c:strRef>
              <c:f>'[1]Figure military aid gap'!#REF!</c:f>
              <c:strCache>
                <c:ptCount val="1"/>
                <c:pt idx="0">
                  <c:v>#REF!</c:v>
                </c:pt>
              </c:strCache>
            </c:strRef>
          </c:tx>
          <c:spPr>
            <a:solidFill>
              <a:schemeClr val="accent1"/>
            </a:solidFill>
            <a:ln>
              <a:noFill/>
            </a:ln>
            <a:effectLst/>
          </c:spPr>
          <c:invertIfNegative val="0"/>
          <c:dLbls>
            <c:delete val="1"/>
          </c:dLbls>
          <c:cat>
            <c:strRef>
              <c:f>'Figure 8 Military gap'!$B$16:$C$27</c:f>
              <c:strCache>
                <c:ptCount val="24"/>
                <c:pt idx="0">
                  <c:v>MLRS</c:v>
                </c:pt>
                <c:pt idx="3">
                  <c:v>Howitzer (155mm)</c:v>
                </c:pt>
                <c:pt idx="6">
                  <c:v>Tanks </c:v>
                </c:pt>
                <c:pt idx="9">
                  <c:v>Armored vehicles</c:v>
                </c:pt>
                <c:pt idx="12">
                  <c:v>Delivered to Ukraine</c:v>
                </c:pt>
                <c:pt idx="13">
                  <c:v>Demanded by Ukraine</c:v>
                </c:pt>
                <c:pt idx="14">
                  <c:v>Russian stock (pre-war)</c:v>
                </c:pt>
                <c:pt idx="15">
                  <c:v>Delivered to Ukraine</c:v>
                </c:pt>
                <c:pt idx="16">
                  <c:v>Demanded by Ukraine</c:v>
                </c:pt>
                <c:pt idx="17">
                  <c:v>Russian stock (pre-war)</c:v>
                </c:pt>
                <c:pt idx="18">
                  <c:v>Delivered to Ukraine</c:v>
                </c:pt>
                <c:pt idx="19">
                  <c:v>Demanded by Ukraine</c:v>
                </c:pt>
                <c:pt idx="20">
                  <c:v>Russian stock (pre-war)</c:v>
                </c:pt>
                <c:pt idx="21">
                  <c:v>Delivered to Ukraine</c:v>
                </c:pt>
                <c:pt idx="22">
                  <c:v>Demanded by Ukraine</c:v>
                </c:pt>
                <c:pt idx="23">
                  <c:v>Russian stock (pre-war)</c:v>
                </c:pt>
              </c:strCache>
            </c:strRef>
          </c:cat>
          <c:val>
            <c:numRef>
              <c:f>'[1]Figure military aid gap'!#REF!</c:f>
              <c:numCache>
                <c:formatCode>General</c:formatCode>
                <c:ptCount val="1"/>
                <c:pt idx="0">
                  <c:v>1</c:v>
                </c:pt>
              </c:numCache>
            </c:numRef>
          </c:val>
          <c:extLst>
            <c:ext xmlns:c16="http://schemas.microsoft.com/office/drawing/2014/chart" uri="{C3380CC4-5D6E-409C-BE32-E72D297353CC}">
              <c16:uniqueId val="{00000000-4312-48CA-B501-E381E0F287DB}"/>
            </c:ext>
          </c:extLst>
        </c:ser>
        <c:ser>
          <c:idx val="1"/>
          <c:order val="1"/>
          <c:tx>
            <c:strRef>
              <c:f>'Figure 8 Military gap'!$D$15</c:f>
              <c:strCache>
                <c:ptCount val="1"/>
                <c:pt idx="0">
                  <c:v>Ukraine needs (alternative source)</c:v>
                </c:pt>
              </c:strCache>
            </c:strRef>
          </c:tx>
          <c:spPr>
            <a:solidFill>
              <a:schemeClr val="accent4">
                <a:lumMod val="60000"/>
                <a:lumOff val="40000"/>
              </a:schemeClr>
            </a:solidFill>
            <a:ln>
              <a:solidFill>
                <a:schemeClr val="tx1"/>
              </a:solidFill>
            </a:ln>
            <a:effectLst/>
          </c:spPr>
          <c:invertIfNegative val="0"/>
          <c:dLbls>
            <c:delete val="1"/>
          </c:dLbls>
          <c:cat>
            <c:strRef>
              <c:f>'Figure 8 Military gap'!$B$16:$C$27</c:f>
              <c:strCache>
                <c:ptCount val="24"/>
                <c:pt idx="0">
                  <c:v>MLRS</c:v>
                </c:pt>
                <c:pt idx="3">
                  <c:v>Howitzer (155mm)</c:v>
                </c:pt>
                <c:pt idx="6">
                  <c:v>Tanks </c:v>
                </c:pt>
                <c:pt idx="9">
                  <c:v>Armored vehicles</c:v>
                </c:pt>
                <c:pt idx="12">
                  <c:v>Delivered to Ukraine</c:v>
                </c:pt>
                <c:pt idx="13">
                  <c:v>Demanded by Ukraine</c:v>
                </c:pt>
                <c:pt idx="14">
                  <c:v>Russian stock (pre-war)</c:v>
                </c:pt>
                <c:pt idx="15">
                  <c:v>Delivered to Ukraine</c:v>
                </c:pt>
                <c:pt idx="16">
                  <c:v>Demanded by Ukraine</c:v>
                </c:pt>
                <c:pt idx="17">
                  <c:v>Russian stock (pre-war)</c:v>
                </c:pt>
                <c:pt idx="18">
                  <c:v>Delivered to Ukraine</c:v>
                </c:pt>
                <c:pt idx="19">
                  <c:v>Demanded by Ukraine</c:v>
                </c:pt>
                <c:pt idx="20">
                  <c:v>Russian stock (pre-war)</c:v>
                </c:pt>
                <c:pt idx="21">
                  <c:v>Delivered to Ukraine</c:v>
                </c:pt>
                <c:pt idx="22">
                  <c:v>Demanded by Ukraine</c:v>
                </c:pt>
                <c:pt idx="23">
                  <c:v>Russian stock (pre-war)</c:v>
                </c:pt>
              </c:strCache>
            </c:strRef>
          </c:cat>
          <c:val>
            <c:numRef>
              <c:f>'Figure 8 Military gap'!$D$16:$D$27</c:f>
              <c:numCache>
                <c:formatCode>#,##0</c:formatCode>
                <c:ptCount val="12"/>
                <c:pt idx="0">
                  <c:v>0</c:v>
                </c:pt>
                <c:pt idx="1">
                  <c:v>100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312-48CA-B501-E381E0F287DB}"/>
            </c:ext>
          </c:extLst>
        </c:ser>
        <c:ser>
          <c:idx val="2"/>
          <c:order val="2"/>
          <c:tx>
            <c:strRef>
              <c:f>'Figure 8 Military gap'!$E$15</c:f>
              <c:strCache>
                <c:ptCount val="1"/>
                <c:pt idx="0">
                  <c:v>Delivered</c:v>
                </c:pt>
              </c:strCache>
            </c:strRef>
          </c:tx>
          <c:spPr>
            <a:solidFill>
              <a:srgbClr val="A50021"/>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3-4312-48CA-B501-E381E0F287DB}"/>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5-4312-48CA-B501-E381E0F287DB}"/>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7-4312-48CA-B501-E381E0F287DB}"/>
              </c:ext>
            </c:extLst>
          </c:dPt>
          <c:dPt>
            <c:idx val="3"/>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9-4312-48CA-B501-E381E0F287DB}"/>
              </c:ext>
            </c:extLst>
          </c:dPt>
          <c:dPt>
            <c:idx val="4"/>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B-4312-48CA-B501-E381E0F287DB}"/>
              </c:ext>
            </c:extLst>
          </c:dPt>
          <c:dPt>
            <c:idx val="5"/>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4312-48CA-B501-E381E0F287DB}"/>
              </c:ext>
            </c:extLst>
          </c:dPt>
          <c:dPt>
            <c:idx val="6"/>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0F-4312-48CA-B501-E381E0F287DB}"/>
              </c:ext>
            </c:extLst>
          </c:dPt>
          <c:dPt>
            <c:idx val="7"/>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1-4312-48CA-B501-E381E0F287DB}"/>
              </c:ext>
            </c:extLst>
          </c:dPt>
          <c:dPt>
            <c:idx val="8"/>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3-4312-48CA-B501-E381E0F287DB}"/>
              </c:ext>
            </c:extLst>
          </c:dPt>
          <c:dPt>
            <c:idx val="9"/>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5-4312-48CA-B501-E381E0F287DB}"/>
              </c:ext>
            </c:extLst>
          </c:dPt>
          <c:dPt>
            <c:idx val="10"/>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7-4312-48CA-B501-E381E0F287DB}"/>
              </c:ext>
            </c:extLst>
          </c:dPt>
          <c:dPt>
            <c:idx val="1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9-4312-48CA-B501-E381E0F287DB}"/>
              </c:ext>
            </c:extLst>
          </c:dPt>
          <c:dLbls>
            <c:dLbl>
              <c:idx val="0"/>
              <c:layout>
                <c:manualLayout>
                  <c:x val="4.9653138812569449E-2"/>
                  <c:y val="-1.7033536921290754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8AF22093-9CD0-4021-BB64-B080A5864365}" type="VALUE">
                      <a:rPr lang="en-US"/>
                      <a:pPr>
                        <a:defRPr sz="1200"/>
                      </a:pPr>
                      <a:t>[]</a:t>
                    </a:fld>
                    <a:r>
                      <a:rPr lang="en-US"/>
                      <a:t>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312-48CA-B501-E381E0F287DB}"/>
                </c:ext>
              </c:extLst>
            </c:dLbl>
            <c:dLbl>
              <c:idx val="1"/>
              <c:delete val="1"/>
              <c:extLst>
                <c:ext xmlns:c15="http://schemas.microsoft.com/office/drawing/2012/chart" uri="{CE6537A1-D6FC-4f65-9D91-7224C49458BB}"/>
                <c:ext xmlns:c16="http://schemas.microsoft.com/office/drawing/2014/chart" uri="{C3380CC4-5D6E-409C-BE32-E72D297353CC}">
                  <c16:uniqueId val="{00000005-4312-48CA-B501-E381E0F287DB}"/>
                </c:ext>
              </c:extLst>
            </c:dLbl>
            <c:dLbl>
              <c:idx val="2"/>
              <c:numFmt formatCode="#,##0_ ;\-#,##0\ "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7-4312-48CA-B501-E381E0F287DB}"/>
                </c:ext>
              </c:extLst>
            </c:dLbl>
            <c:dLbl>
              <c:idx val="3"/>
              <c:layout>
                <c:manualLayout>
                  <c:x val="6.1514476933827771E-2"/>
                  <c:y val="-1.4404454348429159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C485DAC0-FF3A-4812-8A7B-30494FDE0261}" type="VALUE">
                      <a:rPr lang="en-US"/>
                      <a:pPr>
                        <a:defRPr sz="1200"/>
                      </a:pPr>
                      <a:t>[]</a:t>
                    </a:fld>
                    <a:r>
                      <a:rPr lang="en-US"/>
                      <a:t>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4312-48CA-B501-E381E0F287DB}"/>
                </c:ext>
              </c:extLst>
            </c:dLbl>
            <c:dLbl>
              <c:idx val="4"/>
              <c:numFmt formatCode="#,##0_ ;\-#,##0\ "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B-4312-48CA-B501-E381E0F287DB}"/>
                </c:ext>
              </c:extLst>
            </c:dLbl>
            <c:dLbl>
              <c:idx val="5"/>
              <c:numFmt formatCode="#,##0_ ;\-#,##0\ "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D-4312-48CA-B501-E381E0F287DB}"/>
                </c:ext>
              </c:extLst>
            </c:dLbl>
            <c:dLbl>
              <c:idx val="6"/>
              <c:layout>
                <c:manualLayout>
                  <c:x val="6.0402152563508074E-2"/>
                  <c:y val="-1.0875451727689315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A47FA1D6-E8A5-409D-BEF5-52836AB158E9}" type="VALUE">
                      <a:rPr lang="en-US" sz="1200"/>
                      <a:pPr>
                        <a:defRPr sz="1200"/>
                      </a:pPr>
                      <a:t>[]</a:t>
                    </a:fld>
                    <a:r>
                      <a:rPr lang="en-US" sz="1200"/>
                      <a:t>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312-48CA-B501-E381E0F287DB}"/>
                </c:ext>
              </c:extLst>
            </c:dLbl>
            <c:dLbl>
              <c:idx val="7"/>
              <c:delete val="1"/>
              <c:extLst>
                <c:ext xmlns:c15="http://schemas.microsoft.com/office/drawing/2012/chart" uri="{CE6537A1-D6FC-4f65-9D91-7224C49458BB}"/>
                <c:ext xmlns:c16="http://schemas.microsoft.com/office/drawing/2014/chart" uri="{C3380CC4-5D6E-409C-BE32-E72D297353CC}">
                  <c16:uniqueId val="{00000011-4312-48CA-B501-E381E0F287DB}"/>
                </c:ext>
              </c:extLst>
            </c:dLbl>
            <c:dLbl>
              <c:idx val="8"/>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13-4312-48CA-B501-E381E0F287DB}"/>
                </c:ext>
              </c:extLst>
            </c:dLbl>
            <c:dLbl>
              <c:idx val="9"/>
              <c:layout>
                <c:manualLayout>
                  <c:x val="8.075401356263627E-2"/>
                  <c:y val="-8.4632478406189773E-3"/>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2A760BA6-77D2-4620-80E8-77F6261EFFE3}" type="VALUE">
                      <a:rPr lang="en-US"/>
                      <a:pPr>
                        <a:defRPr sz="1200"/>
                      </a:pPr>
                      <a:t>[]</a:t>
                    </a:fld>
                    <a:r>
                      <a:rPr lang="en-US"/>
                      <a:t>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4312-48CA-B501-E381E0F287DB}"/>
                </c:ext>
              </c:extLst>
            </c:dLbl>
            <c:dLbl>
              <c:idx val="1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17-4312-48CA-B501-E381E0F287DB}"/>
                </c:ext>
              </c:extLst>
            </c:dLbl>
            <c:dLbl>
              <c:idx val="11"/>
              <c:layout>
                <c:manualLayout>
                  <c:x val="0.21212104031403031"/>
                  <c:y val="0"/>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12-48CA-B501-E381E0F287D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8 Military gap'!$B$16:$C$27</c:f>
              <c:strCache>
                <c:ptCount val="24"/>
                <c:pt idx="0">
                  <c:v>MLRS</c:v>
                </c:pt>
                <c:pt idx="3">
                  <c:v>Howitzer (155mm)</c:v>
                </c:pt>
                <c:pt idx="6">
                  <c:v>Tanks </c:v>
                </c:pt>
                <c:pt idx="9">
                  <c:v>Armored vehicles</c:v>
                </c:pt>
                <c:pt idx="12">
                  <c:v>Delivered to Ukraine</c:v>
                </c:pt>
                <c:pt idx="13">
                  <c:v>Demanded by Ukraine</c:v>
                </c:pt>
                <c:pt idx="14">
                  <c:v>Russian stock (pre-war)</c:v>
                </c:pt>
                <c:pt idx="15">
                  <c:v>Delivered to Ukraine</c:v>
                </c:pt>
                <c:pt idx="16">
                  <c:v>Demanded by Ukraine</c:v>
                </c:pt>
                <c:pt idx="17">
                  <c:v>Russian stock (pre-war)</c:v>
                </c:pt>
                <c:pt idx="18">
                  <c:v>Delivered to Ukraine</c:v>
                </c:pt>
                <c:pt idx="19">
                  <c:v>Demanded by Ukraine</c:v>
                </c:pt>
                <c:pt idx="20">
                  <c:v>Russian stock (pre-war)</c:v>
                </c:pt>
                <c:pt idx="21">
                  <c:v>Delivered to Ukraine</c:v>
                </c:pt>
                <c:pt idx="22">
                  <c:v>Demanded by Ukraine</c:v>
                </c:pt>
                <c:pt idx="23">
                  <c:v>Russian stock (pre-war)</c:v>
                </c:pt>
              </c:strCache>
            </c:strRef>
          </c:cat>
          <c:val>
            <c:numRef>
              <c:f>'Figure 8 Military gap'!$E$16:$E$27</c:f>
              <c:numCache>
                <c:formatCode>#,##0</c:formatCode>
                <c:ptCount val="12"/>
                <c:pt idx="0">
                  <c:v>49</c:v>
                </c:pt>
                <c:pt idx="1">
                  <c:v>200</c:v>
                </c:pt>
                <c:pt idx="2">
                  <c:v>1056</c:v>
                </c:pt>
                <c:pt idx="3">
                  <c:v>265</c:v>
                </c:pt>
                <c:pt idx="4">
                  <c:v>1000</c:v>
                </c:pt>
                <c:pt idx="5">
                  <c:v>2304</c:v>
                </c:pt>
                <c:pt idx="6">
                  <c:v>280</c:v>
                </c:pt>
                <c:pt idx="7">
                  <c:v>500</c:v>
                </c:pt>
                <c:pt idx="8">
                  <c:v>3417</c:v>
                </c:pt>
                <c:pt idx="9">
                  <c:v>979</c:v>
                </c:pt>
                <c:pt idx="10">
                  <c:v>2000</c:v>
                </c:pt>
                <c:pt idx="11">
                  <c:v>15602</c:v>
                </c:pt>
              </c:numCache>
            </c:numRef>
          </c:val>
          <c:extLst>
            <c:ext xmlns:c16="http://schemas.microsoft.com/office/drawing/2014/chart" uri="{C3380CC4-5D6E-409C-BE32-E72D297353CC}">
              <c16:uniqueId val="{0000001A-4312-48CA-B501-E381E0F287DB}"/>
            </c:ext>
          </c:extLst>
        </c:ser>
        <c:ser>
          <c:idx val="3"/>
          <c:order val="3"/>
          <c:tx>
            <c:strRef>
              <c:f>'[1]Figure military aid gap'!#REF!</c:f>
              <c:strCache>
                <c:ptCount val="1"/>
                <c:pt idx="0">
                  <c:v>#REF!</c:v>
                </c:pt>
              </c:strCache>
            </c:strRef>
          </c:tx>
          <c:spPr>
            <a:solidFill>
              <a:schemeClr val="accent4"/>
            </a:solidFill>
            <a:ln>
              <a:noFill/>
            </a:ln>
            <a:effectLst/>
          </c:spPr>
          <c:invertIfNegative val="0"/>
          <c:dLbls>
            <c:delete val="1"/>
          </c:dLbls>
          <c:cat>
            <c:strRef>
              <c:f>'Figure 8 Military gap'!$B$16:$C$27</c:f>
              <c:strCache>
                <c:ptCount val="24"/>
                <c:pt idx="0">
                  <c:v>MLRS</c:v>
                </c:pt>
                <c:pt idx="3">
                  <c:v>Howitzer (155mm)</c:v>
                </c:pt>
                <c:pt idx="6">
                  <c:v>Tanks </c:v>
                </c:pt>
                <c:pt idx="9">
                  <c:v>Armored vehicles</c:v>
                </c:pt>
                <c:pt idx="12">
                  <c:v>Delivered to Ukraine</c:v>
                </c:pt>
                <c:pt idx="13">
                  <c:v>Demanded by Ukraine</c:v>
                </c:pt>
                <c:pt idx="14">
                  <c:v>Russian stock (pre-war)</c:v>
                </c:pt>
                <c:pt idx="15">
                  <c:v>Delivered to Ukraine</c:v>
                </c:pt>
                <c:pt idx="16">
                  <c:v>Demanded by Ukraine</c:v>
                </c:pt>
                <c:pt idx="17">
                  <c:v>Russian stock (pre-war)</c:v>
                </c:pt>
                <c:pt idx="18">
                  <c:v>Delivered to Ukraine</c:v>
                </c:pt>
                <c:pt idx="19">
                  <c:v>Demanded by Ukraine</c:v>
                </c:pt>
                <c:pt idx="20">
                  <c:v>Russian stock (pre-war)</c:v>
                </c:pt>
                <c:pt idx="21">
                  <c:v>Delivered to Ukraine</c:v>
                </c:pt>
                <c:pt idx="22">
                  <c:v>Demanded by Ukraine</c:v>
                </c:pt>
                <c:pt idx="23">
                  <c:v>Russian stock (pre-war)</c:v>
                </c:pt>
              </c:strCache>
            </c:strRef>
          </c:cat>
          <c:val>
            <c:numRef>
              <c:f>'[1]Figure military aid gap'!#REF!</c:f>
              <c:numCache>
                <c:formatCode>General</c:formatCode>
                <c:ptCount val="1"/>
                <c:pt idx="0">
                  <c:v>1</c:v>
                </c:pt>
              </c:numCache>
            </c:numRef>
          </c:val>
          <c:extLst>
            <c:ext xmlns:c16="http://schemas.microsoft.com/office/drawing/2014/chart" uri="{C3380CC4-5D6E-409C-BE32-E72D297353CC}">
              <c16:uniqueId val="{0000001B-4312-48CA-B501-E381E0F287DB}"/>
            </c:ext>
          </c:extLst>
        </c:ser>
        <c:ser>
          <c:idx val="4"/>
          <c:order val="4"/>
          <c:tx>
            <c:strRef>
              <c:f>'Figure 8 Military gap'!$F$15</c:f>
              <c:strCache>
                <c:ptCount val="1"/>
                <c:pt idx="0">
                  <c:v>To be delivered</c:v>
                </c:pt>
              </c:strCache>
            </c:strRef>
          </c:tx>
          <c:spPr>
            <a:solidFill>
              <a:schemeClr val="accent5">
                <a:lumMod val="40000"/>
                <a:lumOff val="60000"/>
              </a:schemeClr>
            </a:solidFill>
            <a:ln>
              <a:solidFill>
                <a:schemeClr val="tx1"/>
              </a:solidFill>
            </a:ln>
            <a:effectLst/>
          </c:spPr>
          <c:invertIfNegative val="0"/>
          <c:dPt>
            <c:idx val="3"/>
            <c:invertIfNegative val="0"/>
            <c:bubble3D val="0"/>
            <c:spPr>
              <a:solidFill>
                <a:schemeClr val="accent2">
                  <a:lumMod val="40000"/>
                  <a:lumOff val="60000"/>
                </a:schemeClr>
              </a:solidFill>
              <a:ln>
                <a:solidFill>
                  <a:schemeClr val="tx1"/>
                </a:solidFill>
              </a:ln>
              <a:effectLst/>
            </c:spPr>
            <c:extLst>
              <c:ext xmlns:c16="http://schemas.microsoft.com/office/drawing/2014/chart" uri="{C3380CC4-5D6E-409C-BE32-E72D297353CC}">
                <c16:uniqueId val="{0000001D-4312-48CA-B501-E381E0F287DB}"/>
              </c:ext>
            </c:extLst>
          </c:dPt>
          <c:dPt>
            <c:idx val="9"/>
            <c:invertIfNegative val="0"/>
            <c:bubble3D val="0"/>
            <c:spPr>
              <a:solidFill>
                <a:schemeClr val="accent6">
                  <a:lumMod val="40000"/>
                  <a:lumOff val="60000"/>
                </a:schemeClr>
              </a:solidFill>
              <a:ln>
                <a:solidFill>
                  <a:schemeClr val="tx1"/>
                </a:solidFill>
              </a:ln>
              <a:effectLst/>
            </c:spPr>
            <c:extLst>
              <c:ext xmlns:c16="http://schemas.microsoft.com/office/drawing/2014/chart" uri="{C3380CC4-5D6E-409C-BE32-E72D297353CC}">
                <c16:uniqueId val="{0000001F-4312-48CA-B501-E381E0F287DB}"/>
              </c:ext>
            </c:extLst>
          </c:dPt>
          <c:dLbls>
            <c:dLbl>
              <c:idx val="0"/>
              <c:layout>
                <c:manualLayout>
                  <c:x val="4.9651608598882825E-2"/>
                  <c:y val="8.4851200613006161E-3"/>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B70E7E38-CFD1-46E7-A7BF-906913A05262}" type="VALUE">
                      <a:rPr lang="en-US"/>
                      <a:pPr>
                        <a:defRPr sz="1200"/>
                      </a:pPr>
                      <a:t>[]</a:t>
                    </a:fld>
                    <a:r>
                      <a:rPr lang="en-US"/>
                      <a:t> to</a:t>
                    </a:r>
                    <a:r>
                      <a:rPr lang="en-US" baseline="0"/>
                      <a:t> be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4312-48CA-B501-E381E0F287DB}"/>
                </c:ext>
              </c:extLst>
            </c:dLbl>
            <c:dLbl>
              <c:idx val="3"/>
              <c:layout>
                <c:manualLayout>
                  <c:x val="5.8007302579416838E-2"/>
                  <c:y val="1.6980921413431587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3D3C3175-461E-42B7-B8CE-E447B98D9BBD}" type="VALUE">
                      <a:rPr lang="en-US"/>
                      <a:pPr>
                        <a:defRPr sz="1200"/>
                      </a:pPr>
                      <a:t>[]</a:t>
                    </a:fld>
                    <a:r>
                      <a:rPr lang="en-US"/>
                      <a:t> to be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4312-48CA-B501-E381E0F287DB}"/>
                </c:ext>
              </c:extLst>
            </c:dLbl>
            <c:dLbl>
              <c:idx val="6"/>
              <c:layout>
                <c:manualLayout>
                  <c:x val="5.650166912951754E-2"/>
                  <c:y val="1.9104375089719457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641F5540-61D3-499A-9F6F-FD089FCFB2BB}" type="VALUE">
                      <a:rPr lang="en-US" sz="1200"/>
                      <a:pPr>
                        <a:defRPr sz="1200"/>
                      </a:pPr>
                      <a:t>[]</a:t>
                    </a:fld>
                    <a:r>
                      <a:rPr lang="en-US" sz="1200"/>
                      <a:t> to be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4312-48CA-B501-E381E0F287DB}"/>
                </c:ext>
              </c:extLst>
            </c:dLbl>
            <c:dLbl>
              <c:idx val="9"/>
              <c:layout>
                <c:manualLayout>
                  <c:x val="6.5109111730208669E-2"/>
                  <c:y val="1.4613957630809202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1E9B2F46-8D9E-4B40-A2B0-ACBFDAF7DB90}" type="VALUE">
                      <a:rPr lang="en-US"/>
                      <a:pPr>
                        <a:defRPr sz="1200"/>
                      </a:pPr>
                      <a:t>[]</a:t>
                    </a:fld>
                    <a:r>
                      <a:rPr lang="en-US"/>
                      <a:t> to be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4312-48CA-B501-E381E0F287D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8 Military gap'!$B$16:$C$27</c:f>
              <c:strCache>
                <c:ptCount val="24"/>
                <c:pt idx="0">
                  <c:v>MLRS</c:v>
                </c:pt>
                <c:pt idx="3">
                  <c:v>Howitzer (155mm)</c:v>
                </c:pt>
                <c:pt idx="6">
                  <c:v>Tanks </c:v>
                </c:pt>
                <c:pt idx="9">
                  <c:v>Armored vehicles</c:v>
                </c:pt>
                <c:pt idx="12">
                  <c:v>Delivered to Ukraine</c:v>
                </c:pt>
                <c:pt idx="13">
                  <c:v>Demanded by Ukraine</c:v>
                </c:pt>
                <c:pt idx="14">
                  <c:v>Russian stock (pre-war)</c:v>
                </c:pt>
                <c:pt idx="15">
                  <c:v>Delivered to Ukraine</c:v>
                </c:pt>
                <c:pt idx="16">
                  <c:v>Demanded by Ukraine</c:v>
                </c:pt>
                <c:pt idx="17">
                  <c:v>Russian stock (pre-war)</c:v>
                </c:pt>
                <c:pt idx="18">
                  <c:v>Delivered to Ukraine</c:v>
                </c:pt>
                <c:pt idx="19">
                  <c:v>Demanded by Ukraine</c:v>
                </c:pt>
                <c:pt idx="20">
                  <c:v>Russian stock (pre-war)</c:v>
                </c:pt>
                <c:pt idx="21">
                  <c:v>Delivered to Ukraine</c:v>
                </c:pt>
                <c:pt idx="22">
                  <c:v>Demanded by Ukraine</c:v>
                </c:pt>
                <c:pt idx="23">
                  <c:v>Russian stock (pre-war)</c:v>
                </c:pt>
              </c:strCache>
            </c:strRef>
          </c:cat>
          <c:val>
            <c:numRef>
              <c:f>'Figure 8 Military gap'!$F$16:$F$27</c:f>
              <c:numCache>
                <c:formatCode>#,##0</c:formatCode>
                <c:ptCount val="12"/>
                <c:pt idx="0">
                  <c:v>27</c:v>
                </c:pt>
                <c:pt idx="1">
                  <c:v>0</c:v>
                </c:pt>
                <c:pt idx="2">
                  <c:v>0</c:v>
                </c:pt>
                <c:pt idx="3">
                  <c:v>47</c:v>
                </c:pt>
                <c:pt idx="4">
                  <c:v>0</c:v>
                </c:pt>
                <c:pt idx="5">
                  <c:v>0</c:v>
                </c:pt>
                <c:pt idx="6">
                  <c:v>163</c:v>
                </c:pt>
                <c:pt idx="7">
                  <c:v>0</c:v>
                </c:pt>
                <c:pt idx="8">
                  <c:v>0</c:v>
                </c:pt>
                <c:pt idx="9">
                  <c:v>970</c:v>
                </c:pt>
                <c:pt idx="10">
                  <c:v>0</c:v>
                </c:pt>
                <c:pt idx="11">
                  <c:v>0</c:v>
                </c:pt>
              </c:numCache>
            </c:numRef>
          </c:val>
          <c:extLst>
            <c:ext xmlns:c16="http://schemas.microsoft.com/office/drawing/2014/chart" uri="{C3380CC4-5D6E-409C-BE32-E72D297353CC}">
              <c16:uniqueId val="{00000022-4312-48CA-B501-E381E0F287DB}"/>
            </c:ext>
          </c:extLst>
        </c:ser>
        <c:dLbls>
          <c:dLblPos val="ctr"/>
          <c:showLegendKey val="0"/>
          <c:showVal val="1"/>
          <c:showCatName val="0"/>
          <c:showSerName val="0"/>
          <c:showPercent val="0"/>
          <c:showBubbleSize val="0"/>
        </c:dLbls>
        <c:gapWidth val="60"/>
        <c:overlap val="100"/>
        <c:axId val="214395776"/>
        <c:axId val="214398272"/>
      </c:barChart>
      <c:catAx>
        <c:axId val="214395776"/>
        <c:scaling>
          <c:orientation val="minMax"/>
        </c:scaling>
        <c:delete val="0"/>
        <c:axPos val="l"/>
        <c:numFmt formatCode="General" sourceLinked="1"/>
        <c:majorTickMark val="none"/>
        <c:minorTickMark val="none"/>
        <c:tickLblPos val="nextTo"/>
        <c:spPr>
          <a:noFill/>
          <a:ln w="12700" cap="sq" cmpd="sng" algn="ctr">
            <a:solidFill>
              <a:schemeClr val="tx1"/>
            </a:solidFill>
            <a:round/>
            <a:headEnd type="none"/>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4398272"/>
        <c:crosses val="autoZero"/>
        <c:auto val="1"/>
        <c:lblAlgn val="ctr"/>
        <c:lblOffset val="100"/>
        <c:noMultiLvlLbl val="0"/>
      </c:catAx>
      <c:valAx>
        <c:axId val="214398272"/>
        <c:scaling>
          <c:orientation val="minMax"/>
          <c:max val="18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400" baseline="0"/>
                  <a:t>number of items</a:t>
                </a:r>
                <a:endParaRPr lang="en-GB" sz="1400"/>
              </a:p>
            </c:rich>
          </c:tx>
          <c:layout>
            <c:manualLayout>
              <c:xMode val="edge"/>
              <c:yMode val="edge"/>
              <c:x val="0.85174707571018471"/>
              <c:y val="0.82345726762356208"/>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12700">
            <a:solidFill>
              <a:schemeClr val="dk1"/>
            </a:solid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4395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Reversed" id="22">
  <a:schemeClr val="accent2"/>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8</xdr:col>
      <xdr:colOff>520700</xdr:colOff>
      <xdr:row>26</xdr:row>
      <xdr:rowOff>107950</xdr:rowOff>
    </xdr:from>
    <xdr:to>
      <xdr:col>22</xdr:col>
      <xdr:colOff>498475</xdr:colOff>
      <xdr:row>70</xdr:row>
      <xdr:rowOff>190500</xdr:rowOff>
    </xdr:to>
    <xdr:graphicFrame macro="">
      <xdr:nvGraphicFramePr>
        <xdr:cNvPr id="2" name="Diagramm 1">
          <a:extLst>
            <a:ext uri="{FF2B5EF4-FFF2-40B4-BE49-F238E27FC236}">
              <a16:creationId xmlns:a16="http://schemas.microsoft.com/office/drawing/2014/main" id="{A3068876-6388-49C8-8587-D7B79EE98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0.80522</cdr:x>
      <cdr:y>0.90887</cdr:y>
    </cdr:from>
    <cdr:to>
      <cdr:x>0.93656</cdr:x>
      <cdr:y>0.94287</cdr:y>
    </cdr:to>
    <cdr:sp macro="" textlink="">
      <cdr:nvSpPr>
        <cdr:cNvPr id="2" name="Textfeld 1"/>
        <cdr:cNvSpPr txBox="1"/>
      </cdr:nvSpPr>
      <cdr:spPr>
        <a:xfrm xmlns:a="http://schemas.openxmlformats.org/drawingml/2006/main">
          <a:off x="8835544" y="8310697"/>
          <a:ext cx="1441168" cy="31089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baseline="0">
              <a:latin typeface="Times New Roman" panose="02020603050405020304" pitchFamily="18" charset="0"/>
              <a:cs typeface="Times New Roman" panose="02020603050405020304" pitchFamily="18" charset="0"/>
            </a:rPr>
            <a:t>Percent of GDP</a:t>
          </a:r>
          <a:endParaRPr lang="de-DE" sz="14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0.24194</cdr:x>
      <cdr:y>0.44036</cdr:y>
    </cdr:from>
    <cdr:to>
      <cdr:x>0.94058</cdr:x>
      <cdr:y>0.6391</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451913" y="3905820"/>
          <a:ext cx="7080358" cy="176273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donations,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Commitments by EU Institutions include Commission and Council, MFA, EPF and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EIB funds and can also be added to individual EU countries. </a:t>
          </a:r>
          <a:br>
            <a:rPr lang="de-DE" sz="1600" b="0" baseline="0">
              <a:effectLst/>
              <a:latin typeface="Times New Roman" panose="02020603050405020304" pitchFamily="18" charset="0"/>
              <a:ea typeface="+mn-ea"/>
              <a:cs typeface="Times New Roman" panose="02020603050405020304" pitchFamily="18" charset="0"/>
            </a:rPr>
          </a:br>
          <a:r>
            <a:rPr lang="en-US" sz="1600" b="0" baseline="0">
              <a:effectLst/>
              <a:latin typeface="Times New Roman" panose="02020603050405020304" pitchFamily="18" charset="0"/>
              <a:ea typeface="+mn-ea"/>
              <a:cs typeface="Times New Roman" panose="02020603050405020304" pitchFamily="18" charset="0"/>
            </a:rPr>
            <a:t>Financial commitments that are made explicitly for military and weapons purchases </a:t>
          </a:r>
          <a:br>
            <a:rPr lang="en-US" sz="1600" b="0" baseline="0">
              <a:effectLst/>
              <a:latin typeface="Times New Roman" panose="02020603050405020304" pitchFamily="18" charset="0"/>
              <a:ea typeface="+mn-ea"/>
              <a:cs typeface="Times New Roman" panose="02020603050405020304" pitchFamily="18" charset="0"/>
            </a:rPr>
          </a:br>
          <a:r>
            <a:rPr lang="en-US" sz="1600" b="0" baseline="0">
              <a:effectLst/>
              <a:latin typeface="Times New Roman" panose="02020603050405020304" pitchFamily="18" charset="0"/>
              <a:ea typeface="+mn-ea"/>
              <a:cs typeface="Times New Roman" panose="02020603050405020304" pitchFamily="18" charset="0"/>
            </a:rPr>
            <a:t>are counted as military aid.</a:t>
          </a:r>
          <a:r>
            <a:rPr lang="de-DE" sz="1600" b="0" baseline="0">
              <a:effectLst/>
              <a:latin typeface="Times New Roman" panose="02020603050405020304" pitchFamily="18" charset="0"/>
              <a:ea typeface="+mn-ea"/>
              <a:cs typeface="Times New Roman" panose="02020603050405020304" pitchFamily="18" charset="0"/>
            </a:rPr>
            <a:t> For information on data quality and transparency please see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our data transparency index.</a:t>
          </a:r>
          <a:endParaRPr lang="de-DE" sz="1600">
            <a:effectLst/>
            <a:latin typeface="Times New Roman" panose="02020603050405020304" pitchFamily="18" charset="0"/>
            <a:cs typeface="Times New Roman" panose="02020603050405020304" pitchFamily="18"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5</xdr:col>
      <xdr:colOff>504825</xdr:colOff>
      <xdr:row>2</xdr:row>
      <xdr:rowOff>56696</xdr:rowOff>
    </xdr:from>
    <xdr:to>
      <xdr:col>18</xdr:col>
      <xdr:colOff>65768</xdr:colOff>
      <xdr:row>57</xdr:row>
      <xdr:rowOff>110217</xdr:rowOff>
    </xdr:to>
    <xdr:graphicFrame macro="">
      <xdr:nvGraphicFramePr>
        <xdr:cNvPr id="2" name="Diagramm 1">
          <a:extLst>
            <a:ext uri="{FF2B5EF4-FFF2-40B4-BE49-F238E27FC236}">
              <a16:creationId xmlns:a16="http://schemas.microsoft.com/office/drawing/2014/main" id="{91CF7D32-F917-4560-8E4A-25866AA57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153334</xdr:colOff>
      <xdr:row>33</xdr:row>
      <xdr:rowOff>99695</xdr:rowOff>
    </xdr:from>
    <xdr:to>
      <xdr:col>27</xdr:col>
      <xdr:colOff>415947</xdr:colOff>
      <xdr:row>36</xdr:row>
      <xdr:rowOff>247</xdr:rowOff>
    </xdr:to>
    <xdr:sp macro="" textlink="">
      <xdr:nvSpPr>
        <xdr:cNvPr id="9" name="Textfeld 48">
          <a:extLst>
            <a:ext uri="{FF2B5EF4-FFF2-40B4-BE49-F238E27FC236}">
              <a16:creationId xmlns:a16="http://schemas.microsoft.com/office/drawing/2014/main" id="{7967525E-D9EB-4DEA-9B6F-A7CD71D4CE67}"/>
            </a:ext>
          </a:extLst>
        </xdr:cNvPr>
        <xdr:cNvSpPr txBox="1"/>
      </xdr:nvSpPr>
      <xdr:spPr>
        <a:xfrm>
          <a:off x="27375784" y="7033895"/>
          <a:ext cx="5520413"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0.8371</cdr:x>
      <cdr:y>0.91932</cdr:y>
    </cdr:from>
    <cdr:to>
      <cdr:x>0.95322</cdr:x>
      <cdr:y>0.94464</cdr:y>
    </cdr:to>
    <cdr:sp macro="" textlink="">
      <cdr:nvSpPr>
        <cdr:cNvPr id="2" name="Textfeld 1"/>
        <cdr:cNvSpPr txBox="1"/>
      </cdr:nvSpPr>
      <cdr:spPr>
        <a:xfrm xmlns:a="http://schemas.openxmlformats.org/drawingml/2006/main">
          <a:off x="9185355" y="10087495"/>
          <a:ext cx="1274153" cy="27782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baseline="0">
              <a:latin typeface="Times New Roman" panose="02020603050405020304" pitchFamily="18" charset="0"/>
              <a:cs typeface="Times New Roman" panose="02020603050405020304" pitchFamily="18" charset="0"/>
            </a:rPr>
            <a:t>Percent of GDP</a:t>
          </a:r>
          <a:endParaRPr lang="de-DE" sz="14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0.38203</cdr:x>
      <cdr:y>0.52574</cdr:y>
    </cdr:from>
    <cdr:to>
      <cdr:x>0.99634</cdr:x>
      <cdr:y>0.62335</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4213400" y="5693536"/>
          <a:ext cx="6775275" cy="105696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171450</xdr:colOff>
      <xdr:row>4</xdr:row>
      <xdr:rowOff>38099</xdr:rowOff>
    </xdr:from>
    <xdr:to>
      <xdr:col>15</xdr:col>
      <xdr:colOff>200478</xdr:colOff>
      <xdr:row>49</xdr:row>
      <xdr:rowOff>165099</xdr:rowOff>
    </xdr:to>
    <xdr:graphicFrame macro="">
      <xdr:nvGraphicFramePr>
        <xdr:cNvPr id="10" name="Diagramm 1">
          <a:extLst>
            <a:ext uri="{FF2B5EF4-FFF2-40B4-BE49-F238E27FC236}">
              <a16:creationId xmlns:a16="http://schemas.microsoft.com/office/drawing/2014/main" id="{DC102B4F-9F21-4966-BA45-228BD2C01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0.84738</cdr:x>
      <cdr:y>0.90757</cdr:y>
    </cdr:from>
    <cdr:to>
      <cdr:x>0.93837</cdr:x>
      <cdr:y>0.95137</cdr:y>
    </cdr:to>
    <cdr:sp macro="" textlink="">
      <cdr:nvSpPr>
        <cdr:cNvPr id="2" name="Textfeld 1"/>
        <cdr:cNvSpPr txBox="1"/>
      </cdr:nvSpPr>
      <cdr:spPr>
        <a:xfrm xmlns:a="http://schemas.openxmlformats.org/drawingml/2006/main">
          <a:off x="11622646" y="9958562"/>
          <a:ext cx="1248019" cy="48060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0.24199</cdr:x>
      <cdr:y>0.61245</cdr:y>
    </cdr:from>
    <cdr:to>
      <cdr:x>0.7711</cdr:x>
      <cdr:y>0.73016</cdr:y>
    </cdr:to>
    <cdr:sp macro="" textlink="">
      <cdr:nvSpPr>
        <cdr:cNvPr id="3" name="Textfeld 1">
          <a:extLst xmlns:a="http://schemas.openxmlformats.org/drawingml/2006/main">
            <a:ext uri="{FF2B5EF4-FFF2-40B4-BE49-F238E27FC236}">
              <a16:creationId xmlns:a16="http://schemas.microsoft.com/office/drawing/2014/main" id="{8908946A-70BF-46D9-8B67-C503A115E53F}"/>
            </a:ext>
          </a:extLst>
        </cdr:cNvPr>
        <cdr:cNvSpPr txBox="1"/>
      </cdr:nvSpPr>
      <cdr:spPr>
        <a:xfrm xmlns:a="http://schemas.openxmlformats.org/drawingml/2006/main">
          <a:off x="3098800" y="5499100"/>
          <a:ext cx="6775275" cy="105696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7</xdr:col>
      <xdr:colOff>371475</xdr:colOff>
      <xdr:row>3</xdr:row>
      <xdr:rowOff>0</xdr:rowOff>
    </xdr:from>
    <xdr:to>
      <xdr:col>26</xdr:col>
      <xdr:colOff>303741</xdr:colOff>
      <xdr:row>46</xdr:row>
      <xdr:rowOff>42333</xdr:rowOff>
    </xdr:to>
    <xdr:graphicFrame macro="">
      <xdr:nvGraphicFramePr>
        <xdr:cNvPr id="2" name="Diagramm 1">
          <a:extLst>
            <a:ext uri="{FF2B5EF4-FFF2-40B4-BE49-F238E27FC236}">
              <a16:creationId xmlns:a16="http://schemas.microsoft.com/office/drawing/2014/main" id="{A1ED06B8-3F2A-421D-9A97-485D0CBC1B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0.84327</cdr:x>
      <cdr:y>0.89049</cdr:y>
    </cdr:from>
    <cdr:to>
      <cdr:x>0.96037</cdr:x>
      <cdr:y>0.93429</cdr:y>
    </cdr:to>
    <cdr:sp macro="" textlink="">
      <cdr:nvSpPr>
        <cdr:cNvPr id="2" name="Textfeld 1"/>
        <cdr:cNvSpPr txBox="1"/>
      </cdr:nvSpPr>
      <cdr:spPr>
        <a:xfrm xmlns:a="http://schemas.openxmlformats.org/drawingml/2006/main">
          <a:off x="11230300" y="7220417"/>
          <a:ext cx="1559494" cy="35514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0.31698</cdr:x>
      <cdr:y>0.61034</cdr:y>
    </cdr:from>
    <cdr:to>
      <cdr:x>0.91047</cdr:x>
      <cdr:y>0.77727</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4221440" y="4948858"/>
          <a:ext cx="7903885" cy="135351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b="0">
              <a:latin typeface="Times New Roman" panose="02020603050405020304" pitchFamily="18" charset="0"/>
              <a:cs typeface="Times New Roman" panose="02020603050405020304" pitchFamily="18" charset="0"/>
            </a:rPr>
            <a:t>Includes</a:t>
          </a:r>
          <a:r>
            <a:rPr lang="de-DE" sz="1800" b="0" baseline="0">
              <a:latin typeface="Times New Roman" panose="02020603050405020304" pitchFamily="18" charset="0"/>
              <a:cs typeface="Times New Roman" panose="02020603050405020304" pitchFamily="18" charset="0"/>
            </a:rPr>
            <a:t> bilateral commitments to Ukraine. Does not include private donations, </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support for refugees outside of Ukraine, and aid by international organisations.</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EU Institutions includes commitments by EU (Commission and Council), MFA, </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and the European Investment Bank. For information on data quality and trans-</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parency please see our data transparency index.</a:t>
          </a:r>
          <a:endParaRPr lang="de-DE" sz="1800" b="0">
            <a:latin typeface="Times New Roman" panose="02020603050405020304" pitchFamily="18" charset="0"/>
            <a:cs typeface="Times New Roman" panose="02020603050405020304" pitchFamily="18"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7</xdr:col>
      <xdr:colOff>273955</xdr:colOff>
      <xdr:row>2</xdr:row>
      <xdr:rowOff>154668</xdr:rowOff>
    </xdr:from>
    <xdr:to>
      <xdr:col>26</xdr:col>
      <xdr:colOff>207240</xdr:colOff>
      <xdr:row>41</xdr:row>
      <xdr:rowOff>176441</xdr:rowOff>
    </xdr:to>
    <xdr:grpSp>
      <xdr:nvGrpSpPr>
        <xdr:cNvPr id="10" name="Group 9">
          <a:extLst>
            <a:ext uri="{FF2B5EF4-FFF2-40B4-BE49-F238E27FC236}">
              <a16:creationId xmlns:a16="http://schemas.microsoft.com/office/drawing/2014/main" id="{405C92BB-78A3-0318-7258-BE4CD6535BF6}"/>
            </a:ext>
          </a:extLst>
        </xdr:cNvPr>
        <xdr:cNvGrpSpPr/>
      </xdr:nvGrpSpPr>
      <xdr:grpSpPr>
        <a:xfrm>
          <a:off x="9646555" y="526143"/>
          <a:ext cx="11706185" cy="7155998"/>
          <a:chOff x="8293127" y="1968630"/>
          <a:chExt cx="10908806" cy="6573290"/>
        </a:xfrm>
      </xdr:grpSpPr>
      <xdr:graphicFrame macro="">
        <xdr:nvGraphicFramePr>
          <xdr:cNvPr id="4" name="Chart 3">
            <a:extLst>
              <a:ext uri="{FF2B5EF4-FFF2-40B4-BE49-F238E27FC236}">
                <a16:creationId xmlns:a16="http://schemas.microsoft.com/office/drawing/2014/main" id="{79C29883-006B-42B4-902B-E4CF8B534EC9}"/>
              </a:ext>
            </a:extLst>
          </xdr:cNvPr>
          <xdr:cNvGraphicFramePr>
            <a:graphicFrameLocks/>
          </xdr:cNvGraphicFramePr>
        </xdr:nvGraphicFramePr>
        <xdr:xfrm>
          <a:off x="8293127" y="1968630"/>
          <a:ext cx="10908806" cy="657329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Chart 5">
            <a:extLst>
              <a:ext uri="{FF2B5EF4-FFF2-40B4-BE49-F238E27FC236}">
                <a16:creationId xmlns:a16="http://schemas.microsoft.com/office/drawing/2014/main" id="{E8106F5D-0DB8-4A6C-9F31-BF525B14A26A}"/>
              </a:ext>
            </a:extLst>
          </xdr:cNvPr>
          <xdr:cNvGraphicFramePr>
            <a:graphicFrameLocks/>
          </xdr:cNvGraphicFramePr>
        </xdr:nvGraphicFramePr>
        <xdr:xfrm>
          <a:off x="13247794" y="5313310"/>
          <a:ext cx="5447760" cy="177939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Callout: Line 7">
            <a:extLst>
              <a:ext uri="{FF2B5EF4-FFF2-40B4-BE49-F238E27FC236}">
                <a16:creationId xmlns:a16="http://schemas.microsoft.com/office/drawing/2014/main" id="{42A491DC-2BF8-42C2-B72E-BA7A7E706B19}"/>
              </a:ext>
            </a:extLst>
          </xdr:cNvPr>
          <xdr:cNvSpPr/>
        </xdr:nvSpPr>
        <xdr:spPr>
          <a:xfrm>
            <a:off x="13419100" y="5448864"/>
            <a:ext cx="5281731" cy="1607352"/>
          </a:xfrm>
          <a:prstGeom prst="borderCallout1">
            <a:avLst>
              <a:gd name="adj1" fmla="val 52500"/>
              <a:gd name="adj2" fmla="val -4757"/>
              <a:gd name="adj3" fmla="val 92165"/>
              <a:gd name="adj4" fmla="val -23181"/>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GB"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571499</xdr:colOff>
      <xdr:row>2</xdr:row>
      <xdr:rowOff>55789</xdr:rowOff>
    </xdr:from>
    <xdr:to>
      <xdr:col>21</xdr:col>
      <xdr:colOff>13388</xdr:colOff>
      <xdr:row>36</xdr:row>
      <xdr:rowOff>36178</xdr:rowOff>
    </xdr:to>
    <xdr:graphicFrame macro="">
      <xdr:nvGraphicFramePr>
        <xdr:cNvPr id="2" name="Diagramm 1">
          <a:extLst>
            <a:ext uri="{FF2B5EF4-FFF2-40B4-BE49-F238E27FC236}">
              <a16:creationId xmlns:a16="http://schemas.microsoft.com/office/drawing/2014/main" id="{86C94C51-66FB-4315-93A1-3BD551F8F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0.30811</cdr:x>
      <cdr:y>0.5738</cdr:y>
    </cdr:from>
    <cdr:to>
      <cdr:x>0.98083</cdr:x>
      <cdr:y>0.78904</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541475" y="3829133"/>
          <a:ext cx="7732370" cy="14363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b="0">
              <a:latin typeface="Times New Roman" panose="02020603050405020304" pitchFamily="18" charset="0"/>
              <a:cs typeface="Times New Roman" panose="02020603050405020304" pitchFamily="18" charset="0"/>
            </a:rPr>
            <a:t>The figure differs from</a:t>
          </a:r>
          <a:r>
            <a:rPr lang="de-DE" sz="1800" b="0" baseline="0">
              <a:latin typeface="Times New Roman" panose="02020603050405020304" pitchFamily="18" charset="0"/>
              <a:cs typeface="Times New Roman" panose="02020603050405020304" pitchFamily="18" charset="0"/>
            </a:rPr>
            <a:t> Financial commitments</a:t>
          </a:r>
          <a:r>
            <a:rPr lang="de-DE" sz="1800" b="0">
              <a:latin typeface="Times New Roman" panose="02020603050405020304" pitchFamily="18" charset="0"/>
              <a:cs typeface="Times New Roman" panose="02020603050405020304" pitchFamily="18" charset="0"/>
            </a:rPr>
            <a:t> in that we only count </a:t>
          </a:r>
          <a:br>
            <a:rPr lang="de-DE" sz="1800" b="0">
              <a:latin typeface="Times New Roman" panose="02020603050405020304" pitchFamily="18" charset="0"/>
              <a:cs typeface="Times New Roman" panose="02020603050405020304" pitchFamily="18" charset="0"/>
            </a:rPr>
          </a:br>
          <a:r>
            <a:rPr lang="de-DE" sz="1800" b="0">
              <a:latin typeface="Times New Roman" panose="02020603050405020304" pitchFamily="18" charset="0"/>
              <a:cs typeface="Times New Roman" panose="02020603050405020304" pitchFamily="18" charset="0"/>
            </a:rPr>
            <a:t>budgetary support rather than all types of financial aid. Information on</a:t>
          </a:r>
          <a:r>
            <a:rPr lang="de-DE" sz="1800" b="0" baseline="0">
              <a:latin typeface="Times New Roman" panose="02020603050405020304" pitchFamily="18" charset="0"/>
              <a:cs typeface="Times New Roman" panose="02020603050405020304" pitchFamily="18" charset="0"/>
            </a:rPr>
            <a:t> </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disbursement are disclosed by the Ukrainian government. Does not contain</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financial aid by international organisation, private donations, or aid for refugees</a:t>
          </a:r>
          <a:r>
            <a:rPr lang="de-DE" sz="1600" b="0" baseline="0">
              <a:latin typeface="Times New Roman" panose="02020603050405020304" pitchFamily="18" charset="0"/>
              <a:cs typeface="Times New Roman" panose="02020603050405020304" pitchFamily="18" charset="0"/>
            </a:rPr>
            <a:t>.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0.83785</cdr:x>
      <cdr:y>0.90352</cdr:y>
    </cdr:from>
    <cdr:to>
      <cdr:x>0.95495</cdr:x>
      <cdr:y>0.94732</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9793514" y="7358874"/>
          <a:ext cx="1368765" cy="35673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billion</a:t>
          </a:r>
          <a:r>
            <a:rPr lang="de-DE" sz="1800" baseline="0">
              <a:latin typeface="Times New Roman" panose="02020603050405020304" pitchFamily="18" charset="0"/>
              <a:cs typeface="Times New Roman" panose="02020603050405020304" pitchFamily="18" charset="0"/>
            </a:rPr>
            <a:t> Euros</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xml><?xml version="1.0" encoding="utf-8"?>
<c:userShapes xmlns:c="http://schemas.openxmlformats.org/drawingml/2006/chart">
  <cdr:relSizeAnchor xmlns:cdr="http://schemas.openxmlformats.org/drawingml/2006/chartDrawing">
    <cdr:from>
      <cdr:x>0.83399</cdr:x>
      <cdr:y>0.90333</cdr:y>
    </cdr:from>
    <cdr:to>
      <cdr:x>0.95369</cdr:x>
      <cdr:y>0.94302</cdr:y>
    </cdr:to>
    <cdr:sp macro="" textlink="">
      <cdr:nvSpPr>
        <cdr:cNvPr id="2" name="Textfeld 1"/>
        <cdr:cNvSpPr txBox="1"/>
      </cdr:nvSpPr>
      <cdr:spPr>
        <a:xfrm xmlns:a="http://schemas.openxmlformats.org/drawingml/2006/main">
          <a:off x="8748717" y="7852806"/>
          <a:ext cx="1255708" cy="34504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Index points</a:t>
          </a:r>
        </a:p>
      </cdr:txBody>
    </cdr:sp>
  </cdr:relSizeAnchor>
  <cdr:relSizeAnchor xmlns:cdr="http://schemas.openxmlformats.org/drawingml/2006/chartDrawing">
    <cdr:from>
      <cdr:x>0.57142</cdr:x>
      <cdr:y>0.75305</cdr:y>
    </cdr:from>
    <cdr:to>
      <cdr:x>0.94304</cdr:x>
      <cdr:y>0.79663</cdr:y>
    </cdr:to>
    <cdr:sp macro="" textlink="">
      <cdr:nvSpPr>
        <cdr:cNvPr id="3" name="Textfeld 1">
          <a:extLst xmlns:a="http://schemas.openxmlformats.org/drawingml/2006/main">
            <a:ext uri="{FF2B5EF4-FFF2-40B4-BE49-F238E27FC236}">
              <a16:creationId xmlns:a16="http://schemas.microsoft.com/office/drawing/2014/main" id="{7F8E77FB-D2DA-41A6-821B-AE2A3704C49F}"/>
            </a:ext>
          </a:extLst>
        </cdr:cNvPr>
        <cdr:cNvSpPr txBox="1"/>
      </cdr:nvSpPr>
      <cdr:spPr>
        <a:xfrm xmlns:a="http://schemas.openxmlformats.org/drawingml/2006/main">
          <a:off x="6083199" y="6570295"/>
          <a:ext cx="3956152" cy="38023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b="1">
              <a:effectLst/>
              <a:latin typeface="Times New Roman" panose="02020603050405020304" pitchFamily="18" charset="0"/>
              <a:ea typeface="+mn-ea"/>
              <a:cs typeface="Times New Roman" panose="02020603050405020304" pitchFamily="18" charset="0"/>
            </a:rPr>
            <a:t>Note</a:t>
          </a:r>
          <a:r>
            <a:rPr lang="de-DE" sz="1100" b="0">
              <a:effectLst/>
              <a:latin typeface="Times New Roman" panose="02020603050405020304" pitchFamily="18" charset="0"/>
              <a:ea typeface="+mn-ea"/>
              <a:cs typeface="Times New Roman" panose="02020603050405020304" pitchFamily="18" charset="0"/>
            </a:rPr>
            <a:t>: For</a:t>
          </a:r>
          <a:r>
            <a:rPr lang="de-DE" sz="1100" b="0" baseline="0">
              <a:effectLst/>
              <a:latin typeface="Times New Roman" panose="02020603050405020304" pitchFamily="18" charset="0"/>
              <a:ea typeface="+mn-ea"/>
              <a:cs typeface="Times New Roman" panose="02020603050405020304" pitchFamily="18" charset="0"/>
            </a:rPr>
            <a:t> countries with no military in-kind commitment we set the</a:t>
          </a:r>
          <a:br>
            <a:rPr lang="de-DE" sz="1100" b="0" baseline="0">
              <a:effectLst/>
              <a:latin typeface="Times New Roman" panose="02020603050405020304" pitchFamily="18" charset="0"/>
              <a:ea typeface="+mn-ea"/>
              <a:cs typeface="Times New Roman" panose="02020603050405020304" pitchFamily="18" charset="0"/>
            </a:rPr>
          </a:br>
          <a:r>
            <a:rPr lang="de-DE" sz="1100" b="0" baseline="0">
              <a:effectLst/>
              <a:latin typeface="Times New Roman" panose="02020603050405020304" pitchFamily="18" charset="0"/>
              <a:ea typeface="+mn-ea"/>
              <a:cs typeface="Times New Roman" panose="02020603050405020304" pitchFamily="18" charset="0"/>
            </a:rPr>
            <a:t>value of "Subindex 5: Number of military items known" to 1. </a:t>
          </a:r>
          <a:endParaRPr lang="de-DE" sz="1600" b="0" baseline="0">
            <a:latin typeface="Times New Roman" panose="02020603050405020304" pitchFamily="18" charset="0"/>
            <a:ea typeface="+mn-ea"/>
            <a:cs typeface="Times New Roman" panose="02020603050405020304" pitchFamily="18" charset="0"/>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7</xdr:col>
      <xdr:colOff>133350</xdr:colOff>
      <xdr:row>4</xdr:row>
      <xdr:rowOff>104774</xdr:rowOff>
    </xdr:from>
    <xdr:to>
      <xdr:col>17</xdr:col>
      <xdr:colOff>409575</xdr:colOff>
      <xdr:row>48</xdr:row>
      <xdr:rowOff>174624</xdr:rowOff>
    </xdr:to>
    <xdr:graphicFrame macro="">
      <xdr:nvGraphicFramePr>
        <xdr:cNvPr id="2" name="Diagramm 1">
          <a:extLst>
            <a:ext uri="{FF2B5EF4-FFF2-40B4-BE49-F238E27FC236}">
              <a16:creationId xmlns:a16="http://schemas.microsoft.com/office/drawing/2014/main" id="{6A277777-2D02-47EE-982E-B3016B08B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0.79106</cdr:x>
      <cdr:y>0.89838</cdr:y>
    </cdr:from>
    <cdr:to>
      <cdr:x>0.95751</cdr:x>
      <cdr:y>0.94218</cdr:y>
    </cdr:to>
    <cdr:sp macro="" textlink="">
      <cdr:nvSpPr>
        <cdr:cNvPr id="2" name="Textfeld 1"/>
        <cdr:cNvSpPr txBox="1"/>
      </cdr:nvSpPr>
      <cdr:spPr>
        <a:xfrm xmlns:a="http://schemas.openxmlformats.org/drawingml/2006/main">
          <a:off x="8368975" y="7070296"/>
          <a:ext cx="1760954" cy="34471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billion</a:t>
          </a:r>
          <a:r>
            <a:rPr lang="de-DE" sz="1800" baseline="0">
              <a:latin typeface="Times New Roman" panose="02020603050405020304" pitchFamily="18" charset="0"/>
              <a:cs typeface="Times New Roman" panose="02020603050405020304" pitchFamily="18" charset="0"/>
            </a:rPr>
            <a:t> Euros</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0.22527</cdr:x>
      <cdr:y>0.70152</cdr:y>
    </cdr:from>
    <cdr:to>
      <cdr:x>0.97573</cdr:x>
      <cdr:y>0.77173</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534039" y="6176402"/>
          <a:ext cx="8441936" cy="6180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Estimates of total refugee costs between</a:t>
          </a:r>
          <a:r>
            <a:rPr lang="de-DE" sz="1600" b="0" baseline="0">
              <a:latin typeface="Times New Roman" panose="02020603050405020304" pitchFamily="18" charset="0"/>
              <a:cs typeface="Times New Roman" panose="02020603050405020304" pitchFamily="18" charset="0"/>
            </a:rPr>
            <a:t> end of February and end of October (8 months)</a:t>
          </a:r>
          <a:r>
            <a:rPr lang="de-DE" sz="1600" b="0">
              <a:latin typeface="Times New Roman" panose="02020603050405020304" pitchFamily="18" charset="0"/>
              <a:cs typeface="Times New Roman" panose="02020603050405020304" pitchFamily="18" charset="0"/>
            </a:rPr>
            <a:t>.</a:t>
          </a:r>
          <a:r>
            <a:rPr lang="de-DE" sz="1600" b="0" baseline="0">
              <a:latin typeface="Times New Roman" panose="02020603050405020304" pitchFamily="18" charset="0"/>
              <a:cs typeface="Times New Roman" panose="02020603050405020304" pitchFamily="18" charset="0"/>
            </a:rPr>
            <a:t>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Based  on </a:t>
          </a:r>
          <a:r>
            <a:rPr lang="de-DE" sz="1600" b="0">
              <a:latin typeface="Times New Roman" panose="02020603050405020304" pitchFamily="18" charset="0"/>
              <a:cs typeface="Times New Roman" panose="02020603050405020304" pitchFamily="18" charset="0"/>
            </a:rPr>
            <a:t>refugee</a:t>
          </a:r>
          <a:r>
            <a:rPr lang="de-DE" sz="1600" b="0" baseline="0">
              <a:latin typeface="Times New Roman" panose="02020603050405020304" pitchFamily="18" charset="0"/>
              <a:cs typeface="Times New Roman" panose="02020603050405020304" pitchFamily="18" charset="0"/>
            </a:rPr>
            <a:t> number estimates as of November 20, 2022.</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8</xdr:col>
      <xdr:colOff>909915</xdr:colOff>
      <xdr:row>2</xdr:row>
      <xdr:rowOff>130041</xdr:rowOff>
    </xdr:from>
    <xdr:to>
      <xdr:col>16</xdr:col>
      <xdr:colOff>373340</xdr:colOff>
      <xdr:row>47</xdr:row>
      <xdr:rowOff>18916</xdr:rowOff>
    </xdr:to>
    <xdr:graphicFrame macro="">
      <xdr:nvGraphicFramePr>
        <xdr:cNvPr id="2" name="Diagramm 1">
          <a:extLst>
            <a:ext uri="{FF2B5EF4-FFF2-40B4-BE49-F238E27FC236}">
              <a16:creationId xmlns:a16="http://schemas.microsoft.com/office/drawing/2014/main" id="{EFDE9552-45BA-4CDA-9813-338772ED7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50800</xdr:colOff>
      <xdr:row>29</xdr:row>
      <xdr:rowOff>116728</xdr:rowOff>
    </xdr:from>
    <xdr:to>
      <xdr:col>23</xdr:col>
      <xdr:colOff>340307</xdr:colOff>
      <xdr:row>32</xdr:row>
      <xdr:rowOff>17280</xdr:rowOff>
    </xdr:to>
    <xdr:sp macro="" textlink="">
      <xdr:nvSpPr>
        <xdr:cNvPr id="4" name="Textfeld 48">
          <a:extLst>
            <a:ext uri="{FF2B5EF4-FFF2-40B4-BE49-F238E27FC236}">
              <a16:creationId xmlns:a16="http://schemas.microsoft.com/office/drawing/2014/main" id="{E6395B73-D376-4684-AC13-8C8572CF0C42}"/>
            </a:ext>
          </a:extLst>
        </xdr:cNvPr>
        <xdr:cNvSpPr txBox="1"/>
      </xdr:nvSpPr>
      <xdr:spPr>
        <a:xfrm>
          <a:off x="21101050" y="6317503"/>
          <a:ext cx="5547307"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0.815</cdr:x>
      <cdr:y>0.89513</cdr:y>
    </cdr:from>
    <cdr:to>
      <cdr:x>0.95022</cdr:x>
      <cdr:y>0.93893</cdr:y>
    </cdr:to>
    <cdr:sp macro="" textlink="">
      <cdr:nvSpPr>
        <cdr:cNvPr id="2" name="Textfeld 1"/>
        <cdr:cNvSpPr txBox="1"/>
      </cdr:nvSpPr>
      <cdr:spPr>
        <a:xfrm xmlns:a="http://schemas.openxmlformats.org/drawingml/2006/main">
          <a:off x="8622228" y="7054810"/>
          <a:ext cx="1430570" cy="34520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billion</a:t>
          </a:r>
          <a:r>
            <a:rPr lang="de-DE" sz="1800" baseline="0">
              <a:latin typeface="Times New Roman" panose="02020603050405020304" pitchFamily="18" charset="0"/>
              <a:cs typeface="Times New Roman" panose="02020603050405020304" pitchFamily="18" charset="0"/>
            </a:rPr>
            <a:t> Euros</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0.26242</cdr:x>
      <cdr:y>0.60606</cdr:y>
    </cdr:from>
    <cdr:to>
      <cdr:x>0.94481</cdr:x>
      <cdr:y>0.76208</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881982" y="5305131"/>
          <a:ext cx="7494228" cy="13656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and (rough) estimates on the cost for refugees.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Does not include private donations and aid by international organizations. </a:t>
          </a:r>
          <a:r>
            <a:rPr lang="en-US" sz="1600">
              <a:effectLst/>
              <a:latin typeface="Times New Roman" panose="02020603050405020304" pitchFamily="18" charset="0"/>
              <a:ea typeface="+mn-ea"/>
              <a:cs typeface="Times New Roman" panose="02020603050405020304" pitchFamily="18" charset="0"/>
            </a:rPr>
            <a:t>Financial</a:t>
          </a:r>
          <a:br>
            <a:rPr lang="en-US" sz="1600">
              <a:effectLst/>
              <a:latin typeface="Times New Roman" panose="02020603050405020304" pitchFamily="18" charset="0"/>
              <a:ea typeface="+mn-ea"/>
              <a:cs typeface="Times New Roman" panose="02020603050405020304" pitchFamily="18" charset="0"/>
            </a:rPr>
          </a:br>
          <a:r>
            <a:rPr lang="en-US" sz="1600">
              <a:effectLst/>
              <a:latin typeface="Times New Roman" panose="02020603050405020304" pitchFamily="18" charset="0"/>
              <a:ea typeface="+mn-ea"/>
              <a:cs typeface="Times New Roman" panose="02020603050405020304" pitchFamily="18" charset="0"/>
            </a:rPr>
            <a:t>commitments that are made explicitly for military and weapons purchases </a:t>
          </a:r>
          <a:br>
            <a:rPr lang="en-US" sz="1600">
              <a:effectLst/>
              <a:latin typeface="Times New Roman" panose="02020603050405020304" pitchFamily="18" charset="0"/>
              <a:ea typeface="+mn-ea"/>
              <a:cs typeface="Times New Roman" panose="02020603050405020304" pitchFamily="18" charset="0"/>
            </a:rPr>
          </a:br>
          <a:r>
            <a:rPr lang="en-US" sz="1600">
              <a:effectLst/>
              <a:latin typeface="Times New Roman" panose="02020603050405020304" pitchFamily="18" charset="0"/>
              <a:ea typeface="+mn-ea"/>
              <a:cs typeface="Times New Roman" panose="02020603050405020304" pitchFamily="18" charset="0"/>
            </a:rPr>
            <a:t>are counted as military aid.</a:t>
          </a:r>
          <a:r>
            <a:rPr lang="de-DE" sz="1600" b="0" baseline="0">
              <a:latin typeface="Times New Roman" panose="02020603050405020304" pitchFamily="18" charset="0"/>
              <a:cs typeface="Times New Roman" panose="02020603050405020304" pitchFamily="18" charset="0"/>
            </a:rPr>
            <a:t> For information on data quality and transparency please see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5</xdr:col>
      <xdr:colOff>424544</xdr:colOff>
      <xdr:row>2</xdr:row>
      <xdr:rowOff>46717</xdr:rowOff>
    </xdr:from>
    <xdr:to>
      <xdr:col>17</xdr:col>
      <xdr:colOff>46719</xdr:colOff>
      <xdr:row>46</xdr:row>
      <xdr:rowOff>173717</xdr:rowOff>
    </xdr:to>
    <xdr:graphicFrame macro="">
      <xdr:nvGraphicFramePr>
        <xdr:cNvPr id="2" name="Diagramm 1">
          <a:extLst>
            <a:ext uri="{FF2B5EF4-FFF2-40B4-BE49-F238E27FC236}">
              <a16:creationId xmlns:a16="http://schemas.microsoft.com/office/drawing/2014/main" id="{1F8C9F8E-60DA-4CC0-AF5E-EAB020141C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50800</xdr:colOff>
      <xdr:row>32</xdr:row>
      <xdr:rowOff>9525</xdr:rowOff>
    </xdr:from>
    <xdr:to>
      <xdr:col>22</xdr:col>
      <xdr:colOff>323685</xdr:colOff>
      <xdr:row>34</xdr:row>
      <xdr:rowOff>100577</xdr:rowOff>
    </xdr:to>
    <xdr:sp macro="" textlink="">
      <xdr:nvSpPr>
        <xdr:cNvPr id="3" name="Textfeld 48">
          <a:extLst>
            <a:ext uri="{FF2B5EF4-FFF2-40B4-BE49-F238E27FC236}">
              <a16:creationId xmlns:a16="http://schemas.microsoft.com/office/drawing/2014/main" id="{7A486203-B921-415D-9AE1-97F6BC719BA5}"/>
            </a:ext>
          </a:extLst>
        </xdr:cNvPr>
        <xdr:cNvSpPr txBox="1"/>
      </xdr:nvSpPr>
      <xdr:spPr>
        <a:xfrm>
          <a:off x="21215350" y="6724650"/>
          <a:ext cx="5530685"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twoCellAnchor editAs="oneCell">
    <xdr:from>
      <xdr:col>26</xdr:col>
      <xdr:colOff>0</xdr:colOff>
      <xdr:row>39</xdr:row>
      <xdr:rowOff>0</xdr:rowOff>
    </xdr:from>
    <xdr:to>
      <xdr:col>26</xdr:col>
      <xdr:colOff>304800</xdr:colOff>
      <xdr:row>40</xdr:row>
      <xdr:rowOff>95251</xdr:rowOff>
    </xdr:to>
    <xdr:sp macro="" textlink="">
      <xdr:nvSpPr>
        <xdr:cNvPr id="30721" name="AutoShape 1" descr="data:image/png;charset=utf-8;base64,iVBORw0KGgoAAAANSUhEUgAAAocAAAAyCAYAAAAujHENAAAAAXNSR0IArs4c6QAAAARnQU1BAACxjwv8YQUAAAAJcEhZcwAADsMAAA7DAcdvqGQAABF6SURBVHhe7Z3tdea2EYXXhaSLVLCO00E6SAWpQAXkaP1fFWwHbsAlbAVbgStIZsAhCYAXGAAEqfeV7nPOPbbFAQkMBoPhh+QvhBBCCCGEEEIIIYQQQgghhBBCCCGEEEIIIYQQQgghhBBCCCGEEEIIIYQQQgghhBBCCCGEEEIIIYQQQgghhBBCCCGEEEIIIYQQQgghhBBCCCGEEEIIIYQQQgghhBBCCCGEEEIIIYQQQgghhBBCCCGEEEIIIYQQQgghhBBCCCHkk/D193/98uu3/5X1+qdZltFzfP32XWx/gPY/9RxBX7+9WosPg47pOOZIE8e8+BFcw6TzYKbvwsP378a5moH06SXr33c7dB8z8sMH5tFj/mH4x+vfQ/zSH8M8W/4iz87J5C82b8c2Jb3+sGYfhjsX7MMXXywOp/LL19c/4v59+fXbf+zQfZzMDx+dR4/5d+ef//2b+GHbIz69P07wbPmLPDsnkr8cT59seHqPJx8Xc+eCZXF4jmdLrlIc/hX3T5++2KH7OJEfPgMsDgtoUajrLY/hz+qPCTxb/iLPzonkL8d+4jZFvVjTD8OdC/bhiy8Wh/P4+vtvaf9ef9qRezmRHz4Djx7zt1MoCj+tPybyVPmLfABGk/9h8/L1ERPDnQv24YsvFofTkP68//eGymh++CSwOEyhP67jmfIX+cx4m4bcOSaJQF+JyV2l/deHgQt2h8XhPB7ie0PFW+efvDgkKSwOr4N7DXkK3ED99dubmX5ouGB3WBzO4yG+N1RYHJIOWBxeB/ca8hQwUBfohx0Wh5N4lO8NFRaHpAMWh9fBvYbcS0fyd4Ozoi9fX/9d+kg5qPZNlf6NLNTGVH3l5nwbefZ13dCCDX/eAf1NyEyZT6YlXn29L+PW88NzhnmSn+v11T+NnwNM618vS3y8Ha8vPtYx2HV1LtLjmVqT60X+W5FzuN8bJseBzOwAso1lZjsd+SFm8Q2yj/X6I/aN+h/bLTIzs4vXz+tPfQ1fXMs6hqWNzFVt3YXjOp9vmq+sdRWzB+dahGK+2iaOQfGN/ExiQezj3Kn/ruMdXU+aE3d/gF8qVB/pNaUvYmutiiznyc/RqjR+ln4hu0Vm9lAxANH9bs1JcN/r87Hi+SacKyfEUG28JpBjDix59kX9jM+5/k3jPt8dzxNpHVOIWblu4ku71nu9VfnwdCR/NzgrssVZ2TDKT0fkeP1P5mhSKCDHq217N+4c1ydgwVpQY/tVsCCot1Mfm2mR0F+YrCpa7N88X83oXy+u/1eFhOb8TU4wVzlX+m/F+rq1RxtefBzJzA4g21hmttORH1ba5iQtDBWvndnUis70ryGEvnf/RYVIkpOcmB2J+WqbNQa9m+lN4v/WHBZulBtyz0EyVxU/jJ1zVX9x+GgxECNttHjqyw9B4gcv1rx1tcZORNPceIWhxJfj84KC392/UHJsF0nHtBSG2KfyczsNmU5YPMDpm+YVh3Y3BY+rSncA0gf3zqeUIPONNpG3KBpwfZItWL0mtItV6Je30KvJJdz1NdxBVhUSZfEu91T/BmjyZY9Act24wX8rahe3Q+siPo5kZgeQbSwz2+nIDwF9ogrtYh0LQ0X9j+1NzvHknE39aFPxaZSg40dtVqGYr7bRGOzuezYHALGr32C3CX5H7vmgrr7i8BFjIBAKqMpe06hqrDX4xkwD8t/De82Grv+hYjeWzHFhf1Zwm01vzvU/xe82vA8dyd8NzorWJCnnK97FwYWhiw7Y5iotqlpgnXptYPQsWPlvP0FXFquXhNFGFNDC5vQCN+mdWqHAGe7fAGdisagsuW7c5L9AKELjNviJempzlJkdQLaxzGynIz/ouLBNLFwYKv5aqsxBvG7cPndK56zU54GYr7cZuwFB11mR4x3/FytHID95Pqirtzh8vBhY9qizN467ynvZfXtNwHmY06fKuof2ptp8i9CNM5lFR/J3g7OiNXnJv5cTFQpWWSjQNhd6tVzbrHSxT6B5wbaMw1msXhIubRAzE9ciWeiA0f51cyigJilKrjF3+S+Qx0khJhIbIDM7gGxjmdlOa37QteYk8jDu0gYruGupIr2+nUbOc/4JDhB8PTYS816bIaH8p0zd4BflN9XnxtNZHFb0bjFwwbVQ0eP6ZuJeM/WGeFfhyTO09VWKeTKJ1uQvnFy4S5KsPl04PiXpWXj5xiM/q909TXkc3bRgWzZOb7EKXhLefBzjJgrxudhsvtN/hjb173RCm4yh/g0g52p5EvKyjUnH05Lo1uQac6P/FI2DJrvIBsnMDiDbWGa205IfZMzyT6eArheGiruWioqK7dAXZBNJN5U8Fv15nnZD5LUZUuFmV65VjcOQd6KiSv89j8Gj0jx9bjyzisN3igF3faikXVxQhz3Q8RnYD1zfzNxr/Bj4MxlTKCalf861YdEL7FqU36SQ2bQkf0BToBbQxQLbiJLgaVnkkfKNtLYAdRGZ2Ska/PB9xmJVvISic2mmG9KmvDnohlLasN07x2OiHOnfCNUxqVDstTxBAe3u9J+SXw8lUyW2QTKzA8g2lpntNOQHHQs+tkrGWvJThLuWdu2Fv24QeVzpMf2ZzrmeM2x0oZ/Lb7QWWGzg9YLMLMFtg9dktU2Q9nOd+6WYcJ9eB9sYr9hB68SQ49UbsNLGPOKPmGeLAT0XsttViH35WegLbLMoX/uub2btNZq7UNtNuCYIqL9hm02HhzLABkgLbNuzl/65v+hCziIL6DgRsa4oDstP9JICz72Ty5QtemgThL/jGsH1g6dagZGhcwHPYTokyLCpYFtT9empl/jyfnf3b4SQVPH5V5X8qQkG2W/KY/Zm/x2TcjlOU7ujzOwAso1lZjtufvDVOu9Na6mSV4bQOdA8427y2KcjMe+10eNmuuNu2Mf+dcdfzGDsj/gj5tliANnEqo53uaYUc+KzUNjJuHT/0zZgbpp8U1PjXiO21e8VSzcGK8uYcFsZK3iogOwideyRZCYSiHBCNs0vDnWiYRtVdGdTXqzlO64tiOrjSu46vISWy5oFTi9YVc1XEV4/80QkP/M/Sj6h4/XObQxN+PEKn8gpvTErP7vVf4ebocpdfmIHZGYHkG0sM9tx/d2iypOGiJa1lD9N6WYZz4v6VmMlP39NdoaEkZh322iBAJB29SdN2bXqm/RZFfaFkzngqWLAK6C1qJlIi29cZTkOUd5358gus4FsElXyILmSZaHgSQm6oDgUigG4LqhKAbm8KsCJb02stf7lycVLaLmsWcD1Q4t0zA0JrzfxTulbRfkmdnZjaGIwXpXemL3df2GzKh+Pie2QzOwAso1lZjuuv9vkPW1QfH+XC/8iy2uuN217PF+f7IwJIzE/uk562yGbecJPtUfHtvJUMeCujbabolam5KOGvcabw7M67r/YblVL7iBXMBjgbqDKcTPFyMYH24mkT7/Zgj4et+JRzp9spNHx8Gq5HODH8fQuBmsWmLJgVQ13R14/D5vDrL6VlM1xb/+GOJGQXX/k47nff03fGyqxHZKZHUC2scxsx/V3q/xPOfz5KX8rdiDkj/qTtl7ZmRNGYn6kjdLbDtnMlF0mYXRsK08VA+7aeMDiUOXsNd4cnlVvnIr9lN8PIL0MBri/iJ3iUNBCD7bdHvmDY2tgl4pHUfWpI3ga07sYrFnA9UOH3MTZmXhn9g0qm+Pe/g0xGK+K6498PHf6TwrB9Fj9lVRiC2RmB5BtLDPbcf3docy/Ob3zU0JsW36b3SQxq+cN43TiFzAS86PrpLcdspkpu0zC6NhWnioGgj22W/SgxaGoNg+eD86qN07NjNzOYIDPWMRiU3z6Vyoc40fMxeKydF4R+rC1dzFYs0DfgvVea9STiddPsOjq38w1zFEPvf0bwv1Q/sZvDmf6L3+S7jwhSWyBUJz7vktjO+Dmh1hOfGvBi/pl9M4PpKW/eoMJYtGNX8BIzI+uk952xfxoMrOpjI5t5aliwL2O87R8e4ih1xQtY38J/QJPy1zfJBrfazT34DaLkN/OgK4Ry8zI7fgBfllx6F/7KGsZ0AWObIrShABYFiewL8iaBZoXrF1brlX/qLz6nVln4j1RSI3Q3T+hxX9muoFsYpUKEB0vst+Ux+yN/tP4yM5f/VMNme1B8Al5w3ox053mNSq+0M3Ou0ZhDSrqf9hmVUNOaRhj0a8yhvraBAzF/EAbpbedv8nP/5ZrdGwrzxYDyCZW9fu+yqdVpuQ3wl3frLI15o6lsNfIMe8X8ap/paEXcP5EZkZux03+FxaHghfAifKnKZVXy0iXJMOWBRtviG5CkLvNcnEzshHVE0QpWW/91GuKdJw6p2pfaDPUvwb/memGt+mFfubItaFtLNDuLv/l1xGb6nc2Xr/0qdF2naVoa9pYgn1Mi9+sMAz2+etxoNLY3D6C+clZ/A3ampDvFTnm/ma6mSaMXG+8j53t/FyDnx5pvIQbKY2xELvpn1mpfgs7NraVZ4uBxU/YdlHFx96T3WyduL5RzdhrvDVceQOg11/GpXGjbwBDn4tPQ5XD+TOZGbkdmTQ0IbuuLg7bvw0JySnDW2CbNKAvwPfD8fWgLkpou6rgu7DgkL0JJb2G/v0Vrpdu7g1zcoyLS/onMtMdN+mJ4jGpfUucAL/f4r88GTfEqufrUdnpd/z8cNhgxB/Ok5vrcorvFylk401KbzC9mw2TtUjwrgdjfqCN0t1O5sWPe5mLuF244Xbyk6jYR3+9/LHFi56jtwB6tBhoyUVDPgb5tcW3Ge51Cv7U60P7TbLu4/1Y/Om3EYHrQbtIZkZuR4IWTciu6xJ5wLtLiZRvQopcx31VZpr6KHxlyA8NCUX9YtYb3uJLElCEtHPubjulxcuk/rn+E5lpglzL3cC6VYjZy/2XxwNI8jli5z7lGJGdfmckPzSs6WRjMYbWUkbrJj8iu0TCUMyPr+P+dqEQwfYnVMylcqwvLrM5/YgxMCKZy8NTtiHfDO41YQ27Nxa9wp/hYNtdZkZuZyT5CzMW8YoGDTxHrNKG2Zj80GKbwagfZMzOHR28CxzaVHTsMxd66Toj/XP9JzLTlCs2vVLMXuw/uW5+g+P/r6EaCjAoZxx29p3x/OA9PURPHM/nFLe/47IrJAzF/OA6Hm7XfgPdIDzfG+EJEmpXVN93dQ8YA+EJ7cQbSHTjpIz6RvrWvdcEGgrLZukNMXi4o0D7SGZGbsddSNcXh013N4UFo/gbt2xEFzHsh5YxZ8le5wLZrSptDoEZBY4ucCnK7IwHRvrn+k9kpgekbeemp/2rJPFazF7oP43P2E6vZYeqtPgukfrLaWOn3hnMD03Fa+Zvdzy1+YkI40Ttq9JXjfUbDhi/IzE/uI5H2yljPsmkRURhg4/x+pkqjZ9njIHApAKxvs8N+mZgr9loaOsre42fgdvsMjNyOxIUaEJ23VAchoUFzhGplpQaEoH/JGaQM34Q3zqvRtPH8DoX2G5RbXMIqJ9HNwlpB18/RIz0z/WfyEwhLe1N4QlFtY9ezF7hv7yI0gKyA2njf9+4FLVhDXj+CieNGcwPiusrHWvkE69vetxMXdxrx9K5sfxivsJ2II8MxfzgOh5ttxEKn5HPMbLvyzxCPm8tlK4pDpW7YiAm9L/eviDxg3NTeMY3/rzjV74BvTF2Yg9K/aB9Mr+WgG0jmRm5ncHkfyZQERJIle9EyhtQwLvbc4qaM5zyQ8sdXZSUvQXqbg4rS0Hysvi8lMTlWsucvLT6b6R/rv9EZlpmGY8USflYQn/ekgKk1sfWmJ3pvzwGpI0daUfXcNgI8w0gjDW5vudvM9sZzA+BxU+gTSTdlA03FlrnZyVsaiAuwuat8yPny+ZG+5PYJjq+gTAfA9tFMOYH2iij7Q4s+VL9ojEKChmNo3CtN7W1Vn2EAlG/PyxeY1kf2Zw+YwxAYh+jwiy+vlMUrpzyTedeA1Ffhj64Y/oezuUUhSuH82QyM0IIIYQQQmbw5cv/Ac2/kbuWGPJNAAAAAElFTkSuQmCC">
          <a:extLst>
            <a:ext uri="{FF2B5EF4-FFF2-40B4-BE49-F238E27FC236}">
              <a16:creationId xmlns:a16="http://schemas.microsoft.com/office/drawing/2014/main" id="{7A6E68FE-4FAE-41BE-B2FB-87CE005D931D}"/>
            </a:ext>
          </a:extLst>
        </xdr:cNvPr>
        <xdr:cNvSpPr>
          <a:spLocks noChangeAspect="1" noChangeArrowheads="1"/>
        </xdr:cNvSpPr>
      </xdr:nvSpPr>
      <xdr:spPr bwMode="auto">
        <a:xfrm>
          <a:off x="28003500" y="804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5.xml><?xml version="1.0" encoding="utf-8"?>
<c:userShapes xmlns:c="http://schemas.openxmlformats.org/drawingml/2006/chart">
  <cdr:relSizeAnchor xmlns:cdr="http://schemas.openxmlformats.org/drawingml/2006/chartDrawing">
    <cdr:from>
      <cdr:x>0.80403</cdr:x>
      <cdr:y>0.90624</cdr:y>
    </cdr:from>
    <cdr:to>
      <cdr:x>0.93187</cdr:x>
      <cdr:y>0.94072</cdr:y>
    </cdr:to>
    <cdr:sp macro="" textlink="">
      <cdr:nvSpPr>
        <cdr:cNvPr id="2" name="Textfeld 1"/>
        <cdr:cNvSpPr txBox="1"/>
      </cdr:nvSpPr>
      <cdr:spPr>
        <a:xfrm xmlns:a="http://schemas.openxmlformats.org/drawingml/2006/main">
          <a:off x="8120482" y="8286699"/>
          <a:ext cx="1291124" cy="31528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baseline="0">
              <a:latin typeface="Times New Roman" panose="02020603050405020304" pitchFamily="18" charset="0"/>
              <a:cs typeface="Times New Roman" panose="02020603050405020304" pitchFamily="18" charset="0"/>
            </a:rPr>
            <a:t>Percent of GDP</a:t>
          </a:r>
          <a:endParaRPr lang="de-DE" sz="14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0.34088</cdr:x>
      <cdr:y>0.62391</cdr:y>
    </cdr:from>
    <cdr:to>
      <cdr:x>0.90201</cdr:x>
      <cdr:y>0.71156</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442778" y="5705033"/>
          <a:ext cx="5667204" cy="80145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and rough estimates on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cost for refugees. Does not include private donations,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organisations.</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24</xdr:col>
      <xdr:colOff>217713</xdr:colOff>
      <xdr:row>17</xdr:row>
      <xdr:rowOff>41729</xdr:rowOff>
    </xdr:from>
    <xdr:to>
      <xdr:col>25</xdr:col>
      <xdr:colOff>63500</xdr:colOff>
      <xdr:row>18</xdr:row>
      <xdr:rowOff>57151</xdr:rowOff>
    </xdr:to>
    <xdr:sp macro="" textlink="">
      <xdr:nvSpPr>
        <xdr:cNvPr id="3" name="TextBox 2">
          <a:extLst>
            <a:ext uri="{FF2B5EF4-FFF2-40B4-BE49-F238E27FC236}">
              <a16:creationId xmlns:a16="http://schemas.microsoft.com/office/drawing/2014/main" id="{AD605262-E839-BA64-18FC-F93DD88C7913}"/>
            </a:ext>
          </a:extLst>
        </xdr:cNvPr>
        <xdr:cNvSpPr txBox="1"/>
      </xdr:nvSpPr>
      <xdr:spPr>
        <a:xfrm>
          <a:off x="14048013" y="338817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24</xdr:col>
      <xdr:colOff>344713</xdr:colOff>
      <xdr:row>9</xdr:row>
      <xdr:rowOff>92529</xdr:rowOff>
    </xdr:from>
    <xdr:to>
      <xdr:col>25</xdr:col>
      <xdr:colOff>190500</xdr:colOff>
      <xdr:row>10</xdr:row>
      <xdr:rowOff>107951</xdr:rowOff>
    </xdr:to>
    <xdr:sp macro="" textlink="">
      <xdr:nvSpPr>
        <xdr:cNvPr id="4" name="TextBox 3">
          <a:extLst>
            <a:ext uri="{FF2B5EF4-FFF2-40B4-BE49-F238E27FC236}">
              <a16:creationId xmlns:a16="http://schemas.microsoft.com/office/drawing/2014/main" id="{AD9F1E37-6DB5-E165-C292-AB3460F3CE47}"/>
            </a:ext>
          </a:extLst>
        </xdr:cNvPr>
        <xdr:cNvSpPr txBox="1"/>
      </xdr:nvSpPr>
      <xdr:spPr>
        <a:xfrm>
          <a:off x="14175013" y="186417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21</xdr:col>
      <xdr:colOff>242197</xdr:colOff>
      <xdr:row>2</xdr:row>
      <xdr:rowOff>118746</xdr:rowOff>
    </xdr:from>
    <xdr:to>
      <xdr:col>40</xdr:col>
      <xdr:colOff>598920</xdr:colOff>
      <xdr:row>41</xdr:row>
      <xdr:rowOff>24109</xdr:rowOff>
    </xdr:to>
    <xdr:grpSp>
      <xdr:nvGrpSpPr>
        <xdr:cNvPr id="11" name="Group 10">
          <a:extLst>
            <a:ext uri="{FF2B5EF4-FFF2-40B4-BE49-F238E27FC236}">
              <a16:creationId xmlns:a16="http://schemas.microsoft.com/office/drawing/2014/main" id="{E7793A68-51F0-D2BB-D010-2CDEFD71B54F}"/>
            </a:ext>
          </a:extLst>
        </xdr:cNvPr>
        <xdr:cNvGrpSpPr/>
      </xdr:nvGrpSpPr>
      <xdr:grpSpPr>
        <a:xfrm>
          <a:off x="11710297" y="509271"/>
          <a:ext cx="12663023" cy="7334863"/>
          <a:chOff x="12170095" y="501766"/>
          <a:chExt cx="12860450" cy="7560000"/>
        </a:xfrm>
      </xdr:grpSpPr>
      <xdr:grpSp>
        <xdr:nvGrpSpPr>
          <xdr:cNvPr id="7" name="Group 6">
            <a:extLst>
              <a:ext uri="{FF2B5EF4-FFF2-40B4-BE49-F238E27FC236}">
                <a16:creationId xmlns:a16="http://schemas.microsoft.com/office/drawing/2014/main" id="{AA9EB243-3D3B-95F3-4A70-185B54F7FF12}"/>
              </a:ext>
            </a:extLst>
          </xdr:cNvPr>
          <xdr:cNvGrpSpPr/>
        </xdr:nvGrpSpPr>
        <xdr:grpSpPr>
          <a:xfrm>
            <a:off x="12170095" y="501766"/>
            <a:ext cx="12860450" cy="7560000"/>
            <a:chOff x="11656323" y="820422"/>
            <a:chExt cx="9724159" cy="5396636"/>
          </a:xfrm>
        </xdr:grpSpPr>
        <xdr:graphicFrame macro="">
          <xdr:nvGraphicFramePr>
            <xdr:cNvPr id="2" name="Chart 1">
              <a:extLst>
                <a:ext uri="{FF2B5EF4-FFF2-40B4-BE49-F238E27FC236}">
                  <a16:creationId xmlns:a16="http://schemas.microsoft.com/office/drawing/2014/main" id="{BAEBCF43-1874-4197-B7DB-4D8653069523}"/>
                </a:ext>
              </a:extLst>
            </xdr:cNvPr>
            <xdr:cNvGraphicFramePr>
              <a:graphicFrameLocks/>
            </xdr:cNvGraphicFramePr>
          </xdr:nvGraphicFramePr>
          <xdr:xfrm>
            <a:off x="11656323" y="820422"/>
            <a:ext cx="9724159" cy="539663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6" name="Straight Connector 5">
              <a:extLst>
                <a:ext uri="{FF2B5EF4-FFF2-40B4-BE49-F238E27FC236}">
                  <a16:creationId xmlns:a16="http://schemas.microsoft.com/office/drawing/2014/main" id="{A8376CE1-8452-59D1-FECB-C494452F7FF4}"/>
                </a:ext>
              </a:extLst>
            </xdr:cNvPr>
            <xdr:cNvCxnSpPr/>
          </xdr:nvCxnSpPr>
          <xdr:spPr>
            <a:xfrm>
              <a:off x="13826338" y="5616148"/>
              <a:ext cx="7541059" cy="0"/>
            </a:xfrm>
            <a:prstGeom prst="line">
              <a:avLst/>
            </a:prstGeom>
            <a:ln w="9525"/>
          </xdr:spPr>
          <xdr:style>
            <a:lnRef idx="1">
              <a:schemeClr val="dk1"/>
            </a:lnRef>
            <a:fillRef idx="0">
              <a:schemeClr val="dk1"/>
            </a:fillRef>
            <a:effectRef idx="0">
              <a:schemeClr val="dk1"/>
            </a:effectRef>
            <a:fontRef idx="minor">
              <a:schemeClr val="tx1"/>
            </a:fontRef>
          </xdr:style>
        </xdr:cxnSp>
      </xdr:grpSp>
      <xdr:sp macro="" textlink="">
        <xdr:nvSpPr>
          <xdr:cNvPr id="5" name="Textfeld 13">
            <a:extLst>
              <a:ext uri="{FF2B5EF4-FFF2-40B4-BE49-F238E27FC236}">
                <a16:creationId xmlns:a16="http://schemas.microsoft.com/office/drawing/2014/main" id="{2739FFB3-779E-400B-8C59-AB22C420A637}"/>
              </a:ext>
            </a:extLst>
          </xdr:cNvPr>
          <xdr:cNvSpPr txBox="1"/>
        </xdr:nvSpPr>
        <xdr:spPr>
          <a:xfrm>
            <a:off x="18502988" y="5973329"/>
            <a:ext cx="2999949" cy="350996"/>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800">
                <a:latin typeface="Times New Roman" panose="02020603050405020304" pitchFamily="18" charset="0"/>
                <a:cs typeface="Times New Roman" panose="02020603050405020304" pitchFamily="18" charset="0"/>
              </a:rPr>
              <a:t>Multiple</a:t>
            </a:r>
            <a:r>
              <a:rPr lang="de-DE" sz="1800" baseline="0">
                <a:latin typeface="Times New Roman" panose="02020603050405020304" pitchFamily="18" charset="0"/>
                <a:cs typeface="Times New Roman" panose="02020603050405020304" pitchFamily="18" charset="0"/>
              </a:rPr>
              <a:t> Rocket Launchers</a:t>
            </a:r>
            <a:endParaRPr lang="de-DE" sz="1800">
              <a:latin typeface="Times New Roman" panose="02020603050405020304" pitchFamily="18" charset="0"/>
              <a:cs typeface="Times New Roman" panose="02020603050405020304" pitchFamily="18" charset="0"/>
            </a:endParaRPr>
          </a:p>
        </xdr:txBody>
      </xdr:sp>
      <xdr:sp macro="" textlink="">
        <xdr:nvSpPr>
          <xdr:cNvPr id="8" name="Textfeld 12">
            <a:extLst>
              <a:ext uri="{FF2B5EF4-FFF2-40B4-BE49-F238E27FC236}">
                <a16:creationId xmlns:a16="http://schemas.microsoft.com/office/drawing/2014/main" id="{2AA905DF-20B0-441F-BDB1-A640819D97FD}"/>
              </a:ext>
            </a:extLst>
          </xdr:cNvPr>
          <xdr:cNvSpPr txBox="1"/>
        </xdr:nvSpPr>
        <xdr:spPr>
          <a:xfrm>
            <a:off x="18902359" y="3769957"/>
            <a:ext cx="2700000" cy="623248"/>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800">
                <a:latin typeface="Times New Roman" panose="02020603050405020304" pitchFamily="18" charset="0"/>
                <a:cs typeface="Times New Roman" panose="02020603050405020304" pitchFamily="18" charset="0"/>
              </a:rPr>
              <a:t>Howitzers</a:t>
            </a:r>
            <a:br>
              <a:rPr lang="de-DE" sz="1800">
                <a:latin typeface="Times New Roman" panose="02020603050405020304" pitchFamily="18" charset="0"/>
                <a:cs typeface="Times New Roman" panose="02020603050405020304" pitchFamily="18" charset="0"/>
              </a:rPr>
            </a:br>
            <a:r>
              <a:rPr lang="de-DE" sz="1800">
                <a:latin typeface="Times New Roman" panose="02020603050405020304" pitchFamily="18" charset="0"/>
                <a:cs typeface="Times New Roman" panose="02020603050405020304" pitchFamily="18" charset="0"/>
              </a:rPr>
              <a:t>(155/152 mm)</a:t>
            </a:r>
          </a:p>
        </xdr:txBody>
      </xdr:sp>
      <xdr:sp macro="" textlink="">
        <xdr:nvSpPr>
          <xdr:cNvPr id="9" name="Textfeld 12">
            <a:extLst>
              <a:ext uri="{FF2B5EF4-FFF2-40B4-BE49-F238E27FC236}">
                <a16:creationId xmlns:a16="http://schemas.microsoft.com/office/drawing/2014/main" id="{36C165F5-3628-B92C-DED0-1C40C9943F55}"/>
              </a:ext>
            </a:extLst>
          </xdr:cNvPr>
          <xdr:cNvSpPr txBox="1"/>
        </xdr:nvSpPr>
        <xdr:spPr>
          <a:xfrm>
            <a:off x="20084106" y="1867497"/>
            <a:ext cx="2710800" cy="357790"/>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800">
                <a:latin typeface="Times New Roman" panose="02020603050405020304" pitchFamily="18" charset="0"/>
                <a:cs typeface="Times New Roman" panose="02020603050405020304" pitchFamily="18" charset="0"/>
              </a:rPr>
              <a:t>Tanks</a:t>
            </a:r>
          </a:p>
        </xdr:txBody>
      </xdr:sp>
    </xdr:grpSp>
    <xdr:clientData/>
  </xdr:twoCellAnchor>
  <xdr:twoCellAnchor>
    <xdr:from>
      <xdr:col>36</xdr:col>
      <xdr:colOff>262659</xdr:colOff>
      <xdr:row>16</xdr:row>
      <xdr:rowOff>54840</xdr:rowOff>
    </xdr:from>
    <xdr:to>
      <xdr:col>41</xdr:col>
      <xdr:colOff>127000</xdr:colOff>
      <xdr:row>31</xdr:row>
      <xdr:rowOff>114299</xdr:rowOff>
    </xdr:to>
    <xdr:sp macro="" textlink="">
      <xdr:nvSpPr>
        <xdr:cNvPr id="10" name="Textfeld 8">
          <a:extLst>
            <a:ext uri="{FF2B5EF4-FFF2-40B4-BE49-F238E27FC236}">
              <a16:creationId xmlns:a16="http://schemas.microsoft.com/office/drawing/2014/main" id="{DE389D95-710C-49ED-B8C4-5D78C8067936}"/>
            </a:ext>
          </a:extLst>
        </xdr:cNvPr>
        <xdr:cNvSpPr txBox="1"/>
      </xdr:nvSpPr>
      <xdr:spPr>
        <a:xfrm>
          <a:off x="21903459" y="3261590"/>
          <a:ext cx="3166341" cy="30122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latin typeface="Times New Roman" panose="02020603050405020304" pitchFamily="18" charset="0"/>
              <a:cs typeface="Times New Roman" panose="02020603050405020304" pitchFamily="18" charset="0"/>
            </a:rPr>
            <a:t>Note: Weapon stock estimates of tanks, howitzers, and MRLS compared with donations to Ukraine. The data on stock comes from IISS, Military Balance (2022) and considers only weapons ready to use. Commitments and deliveries data are from our Ukraine Tracker database. For information on data quality and transparency please see Figure 0 Data transparency.</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419100</xdr:colOff>
      <xdr:row>2</xdr:row>
      <xdr:rowOff>95250</xdr:rowOff>
    </xdr:from>
    <xdr:to>
      <xdr:col>29</xdr:col>
      <xdr:colOff>600075</xdr:colOff>
      <xdr:row>35</xdr:row>
      <xdr:rowOff>85725</xdr:rowOff>
    </xdr:to>
    <xdr:grpSp>
      <xdr:nvGrpSpPr>
        <xdr:cNvPr id="13" name="Group 12">
          <a:extLst>
            <a:ext uri="{FF2B5EF4-FFF2-40B4-BE49-F238E27FC236}">
              <a16:creationId xmlns:a16="http://schemas.microsoft.com/office/drawing/2014/main" id="{751033F7-196D-86B2-E35C-8F9BEE877757}"/>
            </a:ext>
          </a:extLst>
        </xdr:cNvPr>
        <xdr:cNvGrpSpPr/>
      </xdr:nvGrpSpPr>
      <xdr:grpSpPr>
        <a:xfrm>
          <a:off x="11430000" y="485775"/>
          <a:ext cx="7953375" cy="6286500"/>
          <a:chOff x="9751057" y="844689"/>
          <a:chExt cx="8648973" cy="6385043"/>
        </a:xfrm>
      </xdr:grpSpPr>
      <xdr:graphicFrame macro="">
        <xdr:nvGraphicFramePr>
          <xdr:cNvPr id="2" name="Chart 1">
            <a:extLst>
              <a:ext uri="{FF2B5EF4-FFF2-40B4-BE49-F238E27FC236}">
                <a16:creationId xmlns:a16="http://schemas.microsoft.com/office/drawing/2014/main" id="{C749597A-0B5E-4C6D-9B37-9DA03A8F3A70}"/>
              </a:ext>
            </a:extLst>
          </xdr:cNvPr>
          <xdr:cNvGraphicFramePr>
            <a:graphicFrameLocks/>
          </xdr:cNvGraphicFramePr>
        </xdr:nvGraphicFramePr>
        <xdr:xfrm>
          <a:off x="9751057" y="844689"/>
          <a:ext cx="8648973" cy="638504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a:extLst>
              <a:ext uri="{FF2B5EF4-FFF2-40B4-BE49-F238E27FC236}">
                <a16:creationId xmlns:a16="http://schemas.microsoft.com/office/drawing/2014/main" id="{C2880525-6EB0-49F2-A363-C8D738E90D03}"/>
              </a:ext>
            </a:extLst>
          </xdr:cNvPr>
          <xdr:cNvCxnSpPr/>
        </xdr:nvCxnSpPr>
        <xdr:spPr>
          <a:xfrm>
            <a:off x="12011423" y="6764761"/>
            <a:ext cx="6211619" cy="0"/>
          </a:xfrm>
          <a:prstGeom prst="line">
            <a:avLst/>
          </a:prstGeom>
          <a:ln w="9525"/>
        </xdr:spPr>
        <xdr:style>
          <a:lnRef idx="1">
            <a:schemeClr val="dk1"/>
          </a:lnRef>
          <a:fillRef idx="0">
            <a:schemeClr val="dk1"/>
          </a:fillRef>
          <a:effectRef idx="0">
            <a:schemeClr val="dk1"/>
          </a:effectRef>
          <a:fontRef idx="minor">
            <a:schemeClr val="tx1"/>
          </a:fontRef>
        </xdr:style>
      </xdr:cxnSp>
      <xdr:sp macro="" textlink="">
        <xdr:nvSpPr>
          <xdr:cNvPr id="10" name="Textfeld 4">
            <a:extLst>
              <a:ext uri="{FF2B5EF4-FFF2-40B4-BE49-F238E27FC236}">
                <a16:creationId xmlns:a16="http://schemas.microsoft.com/office/drawing/2014/main" id="{06EB81CD-159B-4BD5-BA83-10C189D3CB4D}"/>
              </a:ext>
            </a:extLst>
          </xdr:cNvPr>
          <xdr:cNvSpPr txBox="1"/>
        </xdr:nvSpPr>
        <xdr:spPr>
          <a:xfrm>
            <a:off x="14294153" y="2258104"/>
            <a:ext cx="4054052" cy="4191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i="1">
                <a:latin typeface="Times New Roman" panose="02020603050405020304" pitchFamily="18" charset="0"/>
                <a:cs typeface="Times New Roman" panose="02020603050405020304" pitchFamily="18" charset="0"/>
              </a:rPr>
              <a:t>Note: </a:t>
            </a:r>
            <a:r>
              <a:rPr lang="de-DE" sz="1400" i="0">
                <a:latin typeface="Times New Roman" panose="02020603050405020304" pitchFamily="18" charset="0"/>
                <a:cs typeface="Times New Roman" panose="02020603050405020304" pitchFamily="18" charset="0"/>
              </a:rPr>
              <a:t>Average share of heavy weapon stocks sent to Ukraine by country (average of tanks, howitzers (155, 152 mm), anti-aircraft systems, and MRLS shares sent). For stocks, we use IISS (2022) estimates. Here we only consider weapons that are ready to use and do NOT differentiate by quality/cost/age of weapons. Commitments and deliveries data are from our Ukraine Tracker database. We only rank countries that actually sent heavy weapons, most countries in our database did not (zeros are not shown). For information on data quality and transparency please see Figure 0 Data trans-</a:t>
            </a:r>
            <a:br>
              <a:rPr lang="de-DE" sz="1400" i="0">
                <a:latin typeface="Times New Roman" panose="02020603050405020304" pitchFamily="18" charset="0"/>
                <a:cs typeface="Times New Roman" panose="02020603050405020304" pitchFamily="18" charset="0"/>
              </a:rPr>
            </a:br>
            <a:r>
              <a:rPr lang="de-DE" sz="1400" i="0">
                <a:latin typeface="Times New Roman" panose="02020603050405020304" pitchFamily="18" charset="0"/>
                <a:cs typeface="Times New Roman" panose="02020603050405020304" pitchFamily="18" charset="0"/>
              </a:rPr>
              <a:t>parency.</a:t>
            </a:r>
          </a:p>
          <a:p>
            <a:br>
              <a:rPr lang="de-DE" sz="1400" i="0">
                <a:latin typeface="Times New Roman" panose="02020603050405020304" pitchFamily="18" charset="0"/>
                <a:cs typeface="Times New Roman" panose="02020603050405020304" pitchFamily="18" charset="0"/>
              </a:rPr>
            </a:br>
            <a:endParaRPr lang="de-DE" sz="1400" i="0">
              <a:latin typeface="Times New Roman" panose="02020603050405020304" pitchFamily="18" charset="0"/>
              <a:cs typeface="Times New Roman" panose="02020603050405020304" pitchFamily="18" charset="0"/>
            </a:endParaRPr>
          </a:p>
          <a:p>
            <a:r>
              <a:rPr lang="de-DE" sz="1400" i="0">
                <a:latin typeface="Times New Roman" panose="02020603050405020304" pitchFamily="18" charset="0"/>
                <a:cs typeface="Times New Roman" panose="02020603050405020304" pitchFamily="18" charset="0"/>
              </a:rPr>
              <a:t>Please note, in the case of Germany, we take IRIS-T delivered to Egypt in 2021 as a proxy of its stock's capacity. </a:t>
            </a:r>
          </a:p>
        </xdr:txBody>
      </xdr:sp>
    </xdr:grpSp>
    <xdr:clientData/>
  </xdr:twoCellAnchor>
</xdr:wsDr>
</file>

<file path=xl/drawings/drawing28.xml><?xml version="1.0" encoding="utf-8"?>
<c:userShapes xmlns:c="http://schemas.openxmlformats.org/drawingml/2006/chart">
  <cdr:relSizeAnchor xmlns:cdr="http://schemas.openxmlformats.org/drawingml/2006/chartDrawing">
    <cdr:from>
      <cdr:x>0.58059</cdr:x>
      <cdr:y>0.15384</cdr:y>
    </cdr:from>
    <cdr:to>
      <cdr:x>0.65441</cdr:x>
      <cdr:y>0.18774</cdr:y>
    </cdr:to>
    <cdr:cxnSp macro="">
      <cdr:nvCxnSpPr>
        <cdr:cNvPr id="3" name="Straight Arrow Connector 2">
          <a:extLst xmlns:a="http://schemas.openxmlformats.org/drawingml/2006/main">
            <a:ext uri="{FF2B5EF4-FFF2-40B4-BE49-F238E27FC236}">
              <a16:creationId xmlns:a16="http://schemas.microsoft.com/office/drawing/2014/main" id="{B175491A-C59E-55AE-3F51-6E5A93EFB05E}"/>
            </a:ext>
          </a:extLst>
        </cdr:cNvPr>
        <cdr:cNvCxnSpPr/>
      </cdr:nvCxnSpPr>
      <cdr:spPr>
        <a:xfrm xmlns:a="http://schemas.openxmlformats.org/drawingml/2006/main" flipH="1" flipV="1">
          <a:off x="5070775" y="969933"/>
          <a:ext cx="644729" cy="21372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twoCellAnchor>
    <xdr:from>
      <xdr:col>6</xdr:col>
      <xdr:colOff>333374</xdr:colOff>
      <xdr:row>2</xdr:row>
      <xdr:rowOff>161925</xdr:rowOff>
    </xdr:from>
    <xdr:to>
      <xdr:col>16</xdr:col>
      <xdr:colOff>746124</xdr:colOff>
      <xdr:row>47</xdr:row>
      <xdr:rowOff>50800</xdr:rowOff>
    </xdr:to>
    <xdr:graphicFrame macro="">
      <xdr:nvGraphicFramePr>
        <xdr:cNvPr id="2" name="Diagramm 1">
          <a:extLst>
            <a:ext uri="{FF2B5EF4-FFF2-40B4-BE49-F238E27FC236}">
              <a16:creationId xmlns:a16="http://schemas.microsoft.com/office/drawing/2014/main" id="{8D2313FD-1C90-094C-A12C-57AB26562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830169</xdr:colOff>
      <xdr:row>3</xdr:row>
      <xdr:rowOff>34561</xdr:rowOff>
    </xdr:from>
    <xdr:to>
      <xdr:col>5</xdr:col>
      <xdr:colOff>3213100</xdr:colOff>
      <xdr:row>27</xdr:row>
      <xdr:rowOff>86472</xdr:rowOff>
    </xdr:to>
    <xdr:graphicFrame macro="">
      <xdr:nvGraphicFramePr>
        <xdr:cNvPr id="2" name="Diagramm 1">
          <a:extLst>
            <a:ext uri="{FF2B5EF4-FFF2-40B4-BE49-F238E27FC236}">
              <a16:creationId xmlns:a16="http://schemas.microsoft.com/office/drawing/2014/main" id="{4DB65EE2-B1AA-4971-A526-9E5CE8C77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0.81336</cdr:x>
      <cdr:y>0.91092</cdr:y>
    </cdr:from>
    <cdr:to>
      <cdr:x>0.93543</cdr:x>
      <cdr:y>0.95472</cdr:y>
    </cdr:to>
    <cdr:sp macro="" textlink="">
      <cdr:nvSpPr>
        <cdr:cNvPr id="2" name="Textfeld 1"/>
        <cdr:cNvSpPr txBox="1"/>
      </cdr:nvSpPr>
      <cdr:spPr>
        <a:xfrm xmlns:a="http://schemas.openxmlformats.org/drawingml/2006/main">
          <a:off x="6794329" y="6975932"/>
          <a:ext cx="1019703" cy="3354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0.2672</cdr:x>
      <cdr:y>0.50663</cdr:y>
    </cdr:from>
    <cdr:to>
      <cdr:x>0.95751</cdr:x>
      <cdr:y>0.63313</cdr:y>
    </cdr:to>
    <cdr:sp macro="" textlink="">
      <cdr:nvSpPr>
        <cdr:cNvPr id="4" name="Textfeld 1">
          <a:extLst xmlns:a="http://schemas.openxmlformats.org/drawingml/2006/main">
            <a:ext uri="{FF2B5EF4-FFF2-40B4-BE49-F238E27FC236}">
              <a16:creationId xmlns:a16="http://schemas.microsoft.com/office/drawing/2014/main" id="{14EEFC85-6355-4ED2-89E3-513C8C2583B8}"/>
            </a:ext>
          </a:extLst>
        </cdr:cNvPr>
        <cdr:cNvSpPr txBox="1"/>
      </cdr:nvSpPr>
      <cdr:spPr>
        <a:xfrm xmlns:a="http://schemas.openxmlformats.org/drawingml/2006/main">
          <a:off x="2451760" y="4428339"/>
          <a:ext cx="6334112" cy="110568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donations, support for refugees outside of Ukraine,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organisations. For information on data quality and transparency</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5</xdr:col>
      <xdr:colOff>250826</xdr:colOff>
      <xdr:row>2</xdr:row>
      <xdr:rowOff>79375</xdr:rowOff>
    </xdr:from>
    <xdr:to>
      <xdr:col>18</xdr:col>
      <xdr:colOff>593726</xdr:colOff>
      <xdr:row>23</xdr:row>
      <xdr:rowOff>158750</xdr:rowOff>
    </xdr:to>
    <xdr:graphicFrame macro="">
      <xdr:nvGraphicFramePr>
        <xdr:cNvPr id="8" name="Diagramm 1">
          <a:extLst>
            <a:ext uri="{FF2B5EF4-FFF2-40B4-BE49-F238E27FC236}">
              <a16:creationId xmlns:a16="http://schemas.microsoft.com/office/drawing/2014/main" id="{117E0494-2F84-426C-950C-C98C71AA5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0.84278</cdr:x>
      <cdr:y>0.8064</cdr:y>
    </cdr:from>
    <cdr:to>
      <cdr:x>0.96485</cdr:x>
      <cdr:y>0.86667</cdr:y>
    </cdr:to>
    <cdr:sp macro="" textlink="">
      <cdr:nvSpPr>
        <cdr:cNvPr id="2" name="Textfeld 1"/>
        <cdr:cNvSpPr txBox="1"/>
      </cdr:nvSpPr>
      <cdr:spPr>
        <a:xfrm xmlns:a="http://schemas.openxmlformats.org/drawingml/2006/main">
          <a:off x="7802754" y="3571635"/>
          <a:ext cx="1130161" cy="26693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a:latin typeface="Times New Roman" panose="02020603050405020304" pitchFamily="18" charset="0"/>
              <a:cs typeface="Times New Roman" panose="02020603050405020304" pitchFamily="18" charset="0"/>
            </a:rPr>
            <a:t>billion Euros</a:t>
          </a:r>
        </a:p>
      </cdr:txBody>
    </cdr:sp>
  </cdr:relSizeAnchor>
</c:userShapes>
</file>

<file path=xl/drawings/drawing33.xml><?xml version="1.0" encoding="utf-8"?>
<xdr:wsDr xmlns:xdr="http://schemas.openxmlformats.org/drawingml/2006/spreadsheetDrawing" xmlns:a="http://schemas.openxmlformats.org/drawingml/2006/main">
  <xdr:twoCellAnchor>
    <xdr:from>
      <xdr:col>5</xdr:col>
      <xdr:colOff>390813</xdr:colOff>
      <xdr:row>4</xdr:row>
      <xdr:rowOff>112280</xdr:rowOff>
    </xdr:from>
    <xdr:to>
      <xdr:col>20</xdr:col>
      <xdr:colOff>174047</xdr:colOff>
      <xdr:row>40</xdr:row>
      <xdr:rowOff>164234</xdr:rowOff>
    </xdr:to>
    <xdr:graphicFrame macro="">
      <xdr:nvGraphicFramePr>
        <xdr:cNvPr id="6" name="Chart 5">
          <a:extLst>
            <a:ext uri="{FF2B5EF4-FFF2-40B4-BE49-F238E27FC236}">
              <a16:creationId xmlns:a16="http://schemas.microsoft.com/office/drawing/2014/main" id="{D8322125-AE96-425C-9411-0719CBBA8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0.79956</cdr:x>
      <cdr:y>0.86365</cdr:y>
    </cdr:from>
    <cdr:to>
      <cdr:x>0.93471</cdr:x>
      <cdr:y>0.91815</cdr:y>
    </cdr:to>
    <cdr:sp macro="" textlink="">
      <cdr:nvSpPr>
        <cdr:cNvPr id="2" name="Textfeld 1">
          <a:extLst xmlns:a="http://schemas.openxmlformats.org/drawingml/2006/main">
            <a:ext uri="{FF2B5EF4-FFF2-40B4-BE49-F238E27FC236}">
              <a16:creationId xmlns:a16="http://schemas.microsoft.com/office/drawing/2014/main" id="{F8F0429B-4BB4-486F-55E0-E2E4B189B823}"/>
            </a:ext>
          </a:extLst>
        </cdr:cNvPr>
        <cdr:cNvSpPr txBox="1"/>
      </cdr:nvSpPr>
      <cdr:spPr>
        <a:xfrm xmlns:a="http://schemas.openxmlformats.org/drawingml/2006/main">
          <a:off x="8018725" y="5611288"/>
          <a:ext cx="1355414" cy="3540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Number</a:t>
          </a:r>
          <a:r>
            <a:rPr lang="de-DE" sz="1800" baseline="0">
              <a:latin typeface="Times New Roman" panose="02020603050405020304" pitchFamily="18" charset="0"/>
              <a:cs typeface="Times New Roman" panose="02020603050405020304" pitchFamily="18" charset="0"/>
            </a:rPr>
            <a:t> of units</a:t>
          </a:r>
          <a:endParaRPr lang="de-DE" sz="1800">
            <a:latin typeface="Times New Roman" panose="02020603050405020304" pitchFamily="18" charset="0"/>
            <a:cs typeface="Times New Roman" panose="02020603050405020304" pitchFamily="18"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8</xdr:col>
      <xdr:colOff>1018117</xdr:colOff>
      <xdr:row>4</xdr:row>
      <xdr:rowOff>87488</xdr:rowOff>
    </xdr:from>
    <xdr:to>
      <xdr:col>23</xdr:col>
      <xdr:colOff>474839</xdr:colOff>
      <xdr:row>48</xdr:row>
      <xdr:rowOff>160513</xdr:rowOff>
    </xdr:to>
    <xdr:graphicFrame macro="">
      <xdr:nvGraphicFramePr>
        <xdr:cNvPr id="3" name="Diagramm 1">
          <a:extLst>
            <a:ext uri="{FF2B5EF4-FFF2-40B4-BE49-F238E27FC236}">
              <a16:creationId xmlns:a16="http://schemas.microsoft.com/office/drawing/2014/main" id="{3B27F38C-5683-2842-AFC6-114B5B9B8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0.84173</cdr:x>
      <cdr:y>0.90949</cdr:y>
    </cdr:from>
    <cdr:to>
      <cdr:x>0.95806</cdr:x>
      <cdr:y>0.94542</cdr:y>
    </cdr:to>
    <cdr:sp macro="" textlink="">
      <cdr:nvSpPr>
        <cdr:cNvPr id="2" name="Textfeld 1"/>
        <cdr:cNvSpPr txBox="1"/>
      </cdr:nvSpPr>
      <cdr:spPr>
        <a:xfrm xmlns:a="http://schemas.openxmlformats.org/drawingml/2006/main">
          <a:off x="9246855" y="8318664"/>
          <a:ext cx="1277916" cy="32862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Index</a:t>
          </a:r>
          <a:r>
            <a:rPr lang="de-DE" sz="1800" baseline="0">
              <a:latin typeface="Times New Roman" panose="02020603050405020304" pitchFamily="18" charset="0"/>
              <a:cs typeface="Times New Roman" panose="02020603050405020304" pitchFamily="18" charset="0"/>
            </a:rPr>
            <a:t> points</a:t>
          </a:r>
        </a:p>
      </cdr:txBody>
    </cdr:sp>
  </cdr:relSizeAnchor>
  <cdr:relSizeAnchor xmlns:cdr="http://schemas.openxmlformats.org/drawingml/2006/chartDrawing">
    <cdr:from>
      <cdr:x>0.57461</cdr:x>
      <cdr:y>0.80307</cdr:y>
    </cdr:from>
    <cdr:to>
      <cdr:x>0.9766</cdr:x>
      <cdr:y>0.84327</cdr:y>
    </cdr:to>
    <cdr:sp macro="" textlink="">
      <cdr:nvSpPr>
        <cdr:cNvPr id="3" name="Textfeld 1">
          <a:extLst xmlns:a="http://schemas.openxmlformats.org/drawingml/2006/main">
            <a:ext uri="{FF2B5EF4-FFF2-40B4-BE49-F238E27FC236}">
              <a16:creationId xmlns:a16="http://schemas.microsoft.com/office/drawing/2014/main" id="{0C348A66-2D66-47E4-B1F2-07B396A68057}"/>
            </a:ext>
          </a:extLst>
        </cdr:cNvPr>
        <cdr:cNvSpPr txBox="1"/>
      </cdr:nvSpPr>
      <cdr:spPr>
        <a:xfrm xmlns:a="http://schemas.openxmlformats.org/drawingml/2006/main">
          <a:off x="6312368" y="7345296"/>
          <a:ext cx="4416062" cy="36768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b="1">
              <a:effectLst/>
              <a:latin typeface="Times New Roman" panose="02020603050405020304" pitchFamily="18" charset="0"/>
              <a:ea typeface="+mn-ea"/>
              <a:cs typeface="Times New Roman" panose="02020603050405020304" pitchFamily="18" charset="0"/>
            </a:rPr>
            <a:t>Note</a:t>
          </a:r>
          <a:r>
            <a:rPr lang="de-DE" sz="1100" b="0">
              <a:effectLst/>
              <a:latin typeface="Times New Roman" panose="02020603050405020304" pitchFamily="18" charset="0"/>
              <a:ea typeface="+mn-ea"/>
              <a:cs typeface="Times New Roman" panose="02020603050405020304" pitchFamily="18" charset="0"/>
            </a:rPr>
            <a:t>: For</a:t>
          </a:r>
          <a:r>
            <a:rPr lang="de-DE" sz="1100" b="0" baseline="0">
              <a:effectLst/>
              <a:latin typeface="Times New Roman" panose="02020603050405020304" pitchFamily="18" charset="0"/>
              <a:ea typeface="+mn-ea"/>
              <a:cs typeface="Times New Roman" panose="02020603050405020304" pitchFamily="18" charset="0"/>
            </a:rPr>
            <a:t> countries with no military in-kind commitment we set the</a:t>
          </a:r>
          <a:br>
            <a:rPr lang="de-DE" sz="1100" b="0" baseline="0">
              <a:effectLst/>
              <a:latin typeface="Times New Roman" panose="02020603050405020304" pitchFamily="18" charset="0"/>
              <a:ea typeface="+mn-ea"/>
              <a:cs typeface="Times New Roman" panose="02020603050405020304" pitchFamily="18" charset="0"/>
            </a:rPr>
          </a:br>
          <a:r>
            <a:rPr lang="de-DE" sz="1100" b="0" baseline="0">
              <a:effectLst/>
              <a:latin typeface="Times New Roman" panose="02020603050405020304" pitchFamily="18" charset="0"/>
              <a:ea typeface="+mn-ea"/>
              <a:cs typeface="Times New Roman" panose="02020603050405020304" pitchFamily="18" charset="0"/>
            </a:rPr>
            <a:t>value of "Subindex 5: Number of military items known" to 1. </a:t>
          </a:r>
          <a:endParaRPr lang="de-DE" sz="1600" b="0" baseline="0">
            <a:latin typeface="Times New Roman" panose="02020603050405020304" pitchFamily="18" charset="0"/>
            <a:ea typeface="+mn-ea"/>
            <a:cs typeface="Times New Roman" panose="02020603050405020304" pitchFamily="18"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0.06754</cdr:x>
      <cdr:y>0.03936</cdr:y>
    </cdr:from>
    <cdr:to>
      <cdr:x>0.19159</cdr:x>
      <cdr:y>0.09244</cdr:y>
    </cdr:to>
    <cdr:sp macro="" textlink="">
      <cdr:nvSpPr>
        <cdr:cNvPr id="2" name="Textfeld 1"/>
        <cdr:cNvSpPr txBox="1"/>
      </cdr:nvSpPr>
      <cdr:spPr>
        <a:xfrm xmlns:a="http://schemas.openxmlformats.org/drawingml/2006/main">
          <a:off x="658438" y="194979"/>
          <a:ext cx="1209355" cy="26296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0.43348</cdr:x>
      <cdr:y>0.06886</cdr:y>
    </cdr:from>
    <cdr:to>
      <cdr:x>0.95245</cdr:x>
      <cdr:y>0.28337</cdr:y>
    </cdr:to>
    <cdr:sp macro="" textlink="">
      <cdr:nvSpPr>
        <cdr:cNvPr id="3" name="Textfeld 1">
          <a:extLst xmlns:a="http://schemas.openxmlformats.org/drawingml/2006/main">
            <a:ext uri="{FF2B5EF4-FFF2-40B4-BE49-F238E27FC236}">
              <a16:creationId xmlns:a16="http://schemas.microsoft.com/office/drawing/2014/main" id="{489DBD5C-B2C2-4CE5-A4B6-DBD4D46BF3C6}"/>
            </a:ext>
          </a:extLst>
        </cdr:cNvPr>
        <cdr:cNvSpPr txBox="1"/>
      </cdr:nvSpPr>
      <cdr:spPr>
        <a:xfrm xmlns:a="http://schemas.openxmlformats.org/drawingml/2006/main">
          <a:off x="4225967" y="331083"/>
          <a:ext cx="5059414" cy="103135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b="0">
              <a:effectLst/>
              <a:latin typeface="Times New Roman" panose="02020603050405020304" pitchFamily="18" charset="0"/>
              <a:ea typeface="+mn-ea"/>
              <a:cs typeface="Times New Roman" panose="02020603050405020304" pitchFamily="18" charset="0"/>
            </a:rPr>
            <a:t>Includes</a:t>
          </a:r>
          <a:r>
            <a:rPr lang="de-DE" sz="1100" b="0" baseline="0">
              <a:effectLst/>
              <a:latin typeface="Times New Roman" panose="02020603050405020304" pitchFamily="18" charset="0"/>
              <a:ea typeface="+mn-ea"/>
              <a:cs typeface="Times New Roman" panose="02020603050405020304" pitchFamily="18" charset="0"/>
            </a:rPr>
            <a:t> bilateral commitments to Ukraine. Does not include private donations, </a:t>
          </a:r>
          <a:br>
            <a:rPr lang="de-DE" sz="1100" b="0" baseline="0">
              <a:effectLst/>
              <a:latin typeface="Times New Roman" panose="02020603050405020304" pitchFamily="18" charset="0"/>
              <a:ea typeface="+mn-ea"/>
              <a:cs typeface="Times New Roman" panose="02020603050405020304" pitchFamily="18" charset="0"/>
            </a:rPr>
          </a:br>
          <a:r>
            <a:rPr lang="de-DE" sz="1100" b="0" baseline="0">
              <a:effectLst/>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100" b="0" baseline="0">
              <a:effectLst/>
              <a:latin typeface="Times New Roman" panose="02020603050405020304" pitchFamily="18" charset="0"/>
              <a:ea typeface="+mn-ea"/>
              <a:cs typeface="Times New Roman" panose="02020603050405020304" pitchFamily="18" charset="0"/>
            </a:rPr>
          </a:br>
          <a:r>
            <a:rPr lang="de-DE" sz="1100" b="0" baseline="0">
              <a:effectLst/>
              <a:latin typeface="Times New Roman" panose="02020603050405020304" pitchFamily="18" charset="0"/>
              <a:ea typeface="+mn-ea"/>
              <a:cs typeface="Times New Roman" panose="02020603050405020304" pitchFamily="18" charset="0"/>
            </a:rPr>
            <a:t>Commitments by EU Institutions include Commission and Council, MFA, EPF</a:t>
          </a:r>
        </a:p>
        <a:p xmlns:a="http://schemas.openxmlformats.org/drawingml/2006/main">
          <a:r>
            <a:rPr lang="de-DE" sz="1100" b="0" baseline="0">
              <a:effectLst/>
              <a:latin typeface="Times New Roman" panose="02020603050405020304" pitchFamily="18" charset="0"/>
              <a:ea typeface="+mn-ea"/>
              <a:cs typeface="Times New Roman" panose="02020603050405020304" pitchFamily="18" charset="0"/>
            </a:rPr>
            <a:t>and EIB funds. Includes only commitments with trackable commitment months. </a:t>
          </a:r>
          <a:br>
            <a:rPr lang="de-DE" sz="1100" b="0" baseline="0">
              <a:effectLst/>
              <a:latin typeface="Times New Roman" panose="02020603050405020304" pitchFamily="18" charset="0"/>
              <a:ea typeface="+mn-ea"/>
              <a:cs typeface="Times New Roman" panose="02020603050405020304" pitchFamily="18" charset="0"/>
            </a:rPr>
          </a:br>
          <a:r>
            <a:rPr lang="de-DE" sz="1100" b="0" baseline="0">
              <a:effectLst/>
              <a:latin typeface="Times New Roman" panose="02020603050405020304" pitchFamily="18" charset="0"/>
              <a:ea typeface="+mn-ea"/>
              <a:cs typeface="Times New Roman" panose="02020603050405020304" pitchFamily="18" charset="0"/>
            </a:rPr>
            <a:t>For information on data quality and transparency please see our Data trans-</a:t>
          </a:r>
          <a:br>
            <a:rPr lang="de-DE" sz="1100" b="0" baseline="0">
              <a:effectLst/>
              <a:latin typeface="Times New Roman" panose="02020603050405020304" pitchFamily="18" charset="0"/>
              <a:ea typeface="+mn-ea"/>
              <a:cs typeface="Times New Roman" panose="02020603050405020304" pitchFamily="18" charset="0"/>
            </a:rPr>
          </a:br>
          <a:r>
            <a:rPr lang="de-DE" sz="1100" b="0" baseline="0">
              <a:effectLst/>
              <a:latin typeface="Times New Roman" panose="02020603050405020304" pitchFamily="18" charset="0"/>
              <a:ea typeface="+mn-ea"/>
              <a:cs typeface="Times New Roman" panose="02020603050405020304" pitchFamily="18" charset="0"/>
            </a:rPr>
            <a:t>parency index.</a:t>
          </a:r>
          <a:endParaRPr lang="de-DE" sz="1600" b="0" baseline="0">
            <a:latin typeface="Times New Roman" panose="02020603050405020304" pitchFamily="18" charset="0"/>
            <a:ea typeface="+mn-ea"/>
            <a:cs typeface="Times New Roman" panose="02020603050405020304" pitchFamily="18"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4</xdr:col>
      <xdr:colOff>142874</xdr:colOff>
      <xdr:row>3</xdr:row>
      <xdr:rowOff>67058</xdr:rowOff>
    </xdr:from>
    <xdr:to>
      <xdr:col>6</xdr:col>
      <xdr:colOff>2616200</xdr:colOff>
      <xdr:row>27</xdr:row>
      <xdr:rowOff>123825</xdr:rowOff>
    </xdr:to>
    <xdr:graphicFrame macro="">
      <xdr:nvGraphicFramePr>
        <xdr:cNvPr id="2" name="Diagramm 1">
          <a:extLst>
            <a:ext uri="{FF2B5EF4-FFF2-40B4-BE49-F238E27FC236}">
              <a16:creationId xmlns:a16="http://schemas.microsoft.com/office/drawing/2014/main" id="{E24D520D-0A61-4A0D-B04A-7015DED76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645318</xdr:colOff>
      <xdr:row>34</xdr:row>
      <xdr:rowOff>99378</xdr:rowOff>
    </xdr:from>
    <xdr:to>
      <xdr:col>47</xdr:col>
      <xdr:colOff>40315</xdr:colOff>
      <xdr:row>36</xdr:row>
      <xdr:rowOff>190430</xdr:rowOff>
    </xdr:to>
    <xdr:sp macro="" textlink="">
      <xdr:nvSpPr>
        <xdr:cNvPr id="3" name="Textfeld 48">
          <a:extLst>
            <a:ext uri="{FF2B5EF4-FFF2-40B4-BE49-F238E27FC236}">
              <a16:creationId xmlns:a16="http://schemas.microsoft.com/office/drawing/2014/main" id="{0B794794-4789-421F-995E-D45945DBAA2E}"/>
            </a:ext>
          </a:extLst>
        </xdr:cNvPr>
        <xdr:cNvSpPr txBox="1"/>
      </xdr:nvSpPr>
      <xdr:spPr>
        <a:xfrm>
          <a:off x="55795068" y="7052628"/>
          <a:ext cx="5529097" cy="49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0.76022</cdr:x>
      <cdr:y>0.83393</cdr:y>
    </cdr:from>
    <cdr:to>
      <cdr:x>0.82908</cdr:x>
      <cdr:y>0.89213</cdr:y>
    </cdr:to>
    <cdr:sp macro="" textlink="">
      <cdr:nvSpPr>
        <cdr:cNvPr id="2" name="Textfeld 1"/>
        <cdr:cNvSpPr txBox="1"/>
      </cdr:nvSpPr>
      <cdr:spPr>
        <a:xfrm xmlns:a="http://schemas.openxmlformats.org/drawingml/2006/main">
          <a:off x="9828142" y="5120454"/>
          <a:ext cx="890224" cy="35735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0.37949</cdr:x>
      <cdr:y>0.69472</cdr:y>
    </cdr:from>
    <cdr:to>
      <cdr:x>0.9942</cdr:x>
      <cdr:y>0.81727</cdr:y>
    </cdr:to>
    <cdr:sp macro="" textlink="">
      <cdr:nvSpPr>
        <cdr:cNvPr id="4" name="Textfeld 1">
          <a:extLst xmlns:a="http://schemas.openxmlformats.org/drawingml/2006/main">
            <a:ext uri="{FF2B5EF4-FFF2-40B4-BE49-F238E27FC236}">
              <a16:creationId xmlns:a16="http://schemas.microsoft.com/office/drawing/2014/main" id="{5FCC7446-2CD7-07B2-67E7-BB03395A5ED6}"/>
            </a:ext>
          </a:extLst>
        </cdr:cNvPr>
        <cdr:cNvSpPr txBox="1"/>
      </cdr:nvSpPr>
      <cdr:spPr>
        <a:xfrm xmlns:a="http://schemas.openxmlformats.org/drawingml/2006/main">
          <a:off x="4153224" y="3343630"/>
          <a:ext cx="6727502" cy="58981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ea typeface="+mn-ea"/>
              <a:cs typeface="Times New Roman" panose="02020603050405020304" pitchFamily="18" charset="0"/>
            </a:rPr>
            <a:t>*Other donor countries include the Anglosaxon Countries (except the US), China,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Japan, South Korea, Taiwan, Turkey, Norway and Switzerland and India.</a:t>
          </a:r>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733425</xdr:colOff>
      <xdr:row>2</xdr:row>
      <xdr:rowOff>38100</xdr:rowOff>
    </xdr:from>
    <xdr:to>
      <xdr:col>14</xdr:col>
      <xdr:colOff>203654</xdr:colOff>
      <xdr:row>56</xdr:row>
      <xdr:rowOff>88900</xdr:rowOff>
    </xdr:to>
    <xdr:graphicFrame macro="">
      <xdr:nvGraphicFramePr>
        <xdr:cNvPr id="2" name="Diagramm 1">
          <a:extLst>
            <a:ext uri="{FF2B5EF4-FFF2-40B4-BE49-F238E27FC236}">
              <a16:creationId xmlns:a16="http://schemas.microsoft.com/office/drawing/2014/main" id="{AE743395-AF7F-B345-BCD8-A21F152C9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49306</xdr:colOff>
      <xdr:row>32</xdr:row>
      <xdr:rowOff>34552</xdr:rowOff>
    </xdr:from>
    <xdr:to>
      <xdr:col>36</xdr:col>
      <xdr:colOff>338813</xdr:colOff>
      <xdr:row>34</xdr:row>
      <xdr:rowOff>125604</xdr:rowOff>
    </xdr:to>
    <xdr:sp macro="" textlink="">
      <xdr:nvSpPr>
        <xdr:cNvPr id="21" name="Textfeld 48">
          <a:extLst>
            <a:ext uri="{FF2B5EF4-FFF2-40B4-BE49-F238E27FC236}">
              <a16:creationId xmlns:a16="http://schemas.microsoft.com/office/drawing/2014/main" id="{C7C7599A-F4CB-446B-A19C-CD1401F91BB6}"/>
            </a:ext>
          </a:extLst>
        </xdr:cNvPr>
        <xdr:cNvSpPr txBox="1"/>
      </xdr:nvSpPr>
      <xdr:spPr>
        <a:xfrm>
          <a:off x="31403365" y="6791699"/>
          <a:ext cx="5533860"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Quelle: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8.xml><?xml version="1.0" encoding="utf-8"?>
<c:userShapes xmlns:c="http://schemas.openxmlformats.org/drawingml/2006/chart">
  <cdr:relSizeAnchor xmlns:cdr="http://schemas.openxmlformats.org/drawingml/2006/chartDrawing">
    <cdr:from>
      <cdr:x>0.84588</cdr:x>
      <cdr:y>0.9249</cdr:y>
    </cdr:from>
    <cdr:to>
      <cdr:x>0.9579</cdr:x>
      <cdr:y>0.95613</cdr:y>
    </cdr:to>
    <cdr:sp macro="" textlink="">
      <cdr:nvSpPr>
        <cdr:cNvPr id="2" name="Textfeld 1"/>
        <cdr:cNvSpPr txBox="1"/>
      </cdr:nvSpPr>
      <cdr:spPr>
        <a:xfrm xmlns:a="http://schemas.openxmlformats.org/drawingml/2006/main">
          <a:off x="9281707" y="9964194"/>
          <a:ext cx="1229173" cy="33641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a:latin typeface="Times New Roman" panose="02020603050405020304" pitchFamily="18" charset="0"/>
              <a:cs typeface="Times New Roman" panose="02020603050405020304" pitchFamily="18" charset="0"/>
            </a:rPr>
            <a:t>billion</a:t>
          </a:r>
          <a:r>
            <a:rPr lang="de-DE" sz="1400" baseline="0">
              <a:latin typeface="Times New Roman" panose="02020603050405020304" pitchFamily="18" charset="0"/>
              <a:cs typeface="Times New Roman" panose="02020603050405020304" pitchFamily="18" charset="0"/>
            </a:rPr>
            <a:t> Euros</a:t>
          </a:r>
          <a:endParaRPr lang="de-DE" sz="14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0.26757</cdr:x>
      <cdr:y>0.5413</cdr:y>
    </cdr:from>
    <cdr:to>
      <cdr:x>0.90808</cdr:x>
      <cdr:y>0.70576</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940361" y="5753965"/>
          <a:ext cx="7038664" cy="174819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Commitments by EU Institutions include Commission and Council, MFA, EPF and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EIB funds and can also be added to individual EU countries. </a:t>
          </a:r>
          <a:br>
            <a:rPr lang="de-DE" sz="1600" b="0" baseline="0">
              <a:latin typeface="Times New Roman" panose="02020603050405020304" pitchFamily="18" charset="0"/>
              <a:ea typeface="+mn-ea"/>
              <a:cs typeface="Times New Roman" panose="02020603050405020304" pitchFamily="18" charset="0"/>
            </a:rPr>
          </a:br>
          <a:r>
            <a:rPr lang="en-US" sz="1600" b="0" baseline="0">
              <a:latin typeface="Times New Roman" panose="02020603050405020304" pitchFamily="18" charset="0"/>
              <a:ea typeface="+mn-ea"/>
              <a:cs typeface="Times New Roman" panose="02020603050405020304" pitchFamily="18" charset="0"/>
            </a:rPr>
            <a:t>Financial commitments that are made explicitly for military and weapons purchases </a:t>
          </a:r>
          <a:br>
            <a:rPr lang="en-US" sz="1600" b="0" baseline="0">
              <a:latin typeface="Times New Roman" panose="02020603050405020304" pitchFamily="18" charset="0"/>
              <a:ea typeface="+mn-ea"/>
              <a:cs typeface="Times New Roman" panose="02020603050405020304" pitchFamily="18" charset="0"/>
            </a:rPr>
          </a:br>
          <a:r>
            <a:rPr lang="en-US" sz="1600" b="0" baseline="0">
              <a:latin typeface="Times New Roman" panose="02020603050405020304" pitchFamily="18" charset="0"/>
              <a:ea typeface="+mn-ea"/>
              <a:cs typeface="Times New Roman" panose="02020603050405020304" pitchFamily="18" charset="0"/>
            </a:rPr>
            <a:t>are counted as military aid.</a:t>
          </a:r>
          <a:r>
            <a:rPr lang="de-DE" sz="1600" b="0" baseline="0">
              <a:latin typeface="Times New Roman" panose="02020603050405020304" pitchFamily="18" charset="0"/>
              <a:ea typeface="+mn-ea"/>
              <a:cs typeface="Times New Roman" panose="02020603050405020304" pitchFamily="18" charset="0"/>
            </a:rPr>
            <a:t> For information on data quality and transparency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please see our data transparency index.</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138040</xdr:colOff>
      <xdr:row>3</xdr:row>
      <xdr:rowOff>9526</xdr:rowOff>
    </xdr:from>
    <xdr:to>
      <xdr:col>16</xdr:col>
      <xdr:colOff>633340</xdr:colOff>
      <xdr:row>56</xdr:row>
      <xdr:rowOff>32032</xdr:rowOff>
    </xdr:to>
    <xdr:graphicFrame macro="">
      <xdr:nvGraphicFramePr>
        <xdr:cNvPr id="2" name="Diagramm 1">
          <a:extLst>
            <a:ext uri="{FF2B5EF4-FFF2-40B4-BE49-F238E27FC236}">
              <a16:creationId xmlns:a16="http://schemas.microsoft.com/office/drawing/2014/main" id="{24639F4D-E208-E849-92B3-5E49F5BE4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military aid gap"/>
    </sheetNames>
    <sheetDataSet>
      <sheetData sheetId="0"/>
    </sheetDataSet>
  </externalBook>
</externalLink>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twitter.com/Podolyak_M/status/1536244944637202432" TargetMode="External"/><Relationship Id="rId1" Type="http://schemas.openxmlformats.org/officeDocument/2006/relationships/hyperlink" Target="https://www.atlanticcouncil.org/event/a-conversation-with-oleksii-reznikov/" TargetMode="External"/><Relationship Id="rId4"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ec.europa.eu/info/sites/default/files/about_the_european_commission/eu_budget/2021-06-09_spending_and_revenue.xlsx"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4.bin"/><Relationship Id="rId1" Type="http://schemas.openxmlformats.org/officeDocument/2006/relationships/hyperlink" Target="https://eur-lex.europa.eu/legal-content/EN/TXT/HTML/?uri=CELEX:32021D0509&amp;from=EN" TargetMode="External"/><Relationship Id="rId4"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1" Type="http://schemas.openxmlformats.org/officeDocument/2006/relationships/hyperlink" Target="https://www.eib.org/en/about/governance-and-structure/shareholders/index.htm"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s://www.gov.ie/en/press-release/b80b7-government-ministers-announce-irish-support-for-ukrainian-health-service/?msclkid=07ab0901b05a11ec8239ca04bfcdbb9d" TargetMode="External"/><Relationship Id="rId170" Type="http://schemas.openxmlformats.org/officeDocument/2006/relationships/hyperlink" Target="https://twitter.com/eduardheger/status/1512777474828079109" TargetMode="External"/><Relationship Id="rId268" Type="http://schemas.openxmlformats.org/officeDocument/2006/relationships/hyperlink" Target="https://twitter.com/PremierRP_en/status/1510971075936542726" TargetMode="External"/><Relationship Id="rId475" Type="http://schemas.openxmlformats.org/officeDocument/2006/relationships/hyperlink" Target="https://www.france24.com/en/live-news/20220601-arms-for-ukraine-who-has-sent-what" TargetMode="External"/><Relationship Id="rId682" Type="http://schemas.openxmlformats.org/officeDocument/2006/relationships/hyperlink" Target="https://www.peterdutton.com.au/joint-media-release-australia-to-provide-additional-support-to-ukraine/" TargetMode="External"/><Relationship Id="rId128" Type="http://schemas.openxmlformats.org/officeDocument/2006/relationships/hyperlink" Target="https://www.romania-insider.com/ro-aid-ukraine-sanctions-feb-28-2022" TargetMode="External"/><Relationship Id="rId335" Type="http://schemas.openxmlformats.org/officeDocument/2006/relationships/hyperlink" Target="https://twitter.com/KyivIndependent/status/1516621305608552451?ref_src=twsrc%5Etfw" TargetMode="External"/><Relationship Id="rId542" Type="http://schemas.openxmlformats.org/officeDocument/2006/relationships/hyperlink" Target="https://www.faz.net/aktuell/politik/inland/spanien-erwaegt-lieferung-deutscher-kampfpanzer-an-die-ukraine-18084152.html" TargetMode="External"/><Relationship Id="rId987" Type="http://schemas.openxmlformats.org/officeDocument/2006/relationships/hyperlink" Target="https://www.defense.gov/News/Releases/Release/Article/3138105/nearly-3-billion-in-additional-security-assistance-for-ukraine/" TargetMode="External"/><Relationship Id="rId1172"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402" Type="http://schemas.openxmlformats.org/officeDocument/2006/relationships/hyperlink" Target="https://www.lamoncloa.gob.es/lang/en/gobierno/news/Paginas/2022/20220411_health-shipment.aspx" TargetMode="External"/><Relationship Id="rId847" Type="http://schemas.openxmlformats.org/officeDocument/2006/relationships/hyperlink" Target="https://twitter.com/SecDef/status/1554197040904785921" TargetMode="External"/><Relationship Id="rId1032" Type="http://schemas.openxmlformats.org/officeDocument/2006/relationships/hyperlink" Target="https://twitter.com/a_anusauskas/status/1549776944295809028" TargetMode="External"/><Relationship Id="rId1477" Type="http://schemas.openxmlformats.org/officeDocument/2006/relationships/hyperlink" Target="https://www.lemonde.fr/en/international/article/2022/10/12/macron-promises-air-defense-systems-for-ukraine-calls-for-putin-to-discuss-peace_6000130_4.html" TargetMode="External"/><Relationship Id="rId707" Type="http://schemas.openxmlformats.org/officeDocument/2006/relationships/hyperlink" Target="https://www.ukrinform.net/rubric-society/3477447-india-donates-total-of-187-tonnes-of-humanitarian-aid-to-ukrainian-hospitals.html" TargetMode="External"/><Relationship Id="rId914" Type="http://schemas.openxmlformats.org/officeDocument/2006/relationships/hyperlink" Target="https://www.regjeringen.no/en/aktuelt/donerer-hellfire-missiler-og-nattoptikk-til-ukraina/id2926713/" TargetMode="External"/><Relationship Id="rId1337" Type="http://schemas.openxmlformats.org/officeDocument/2006/relationships/hyperlink" Target="https://breakingdefense.com/2022/11/uk-delays-defense-spending-increase-raising-fears-3-gdp-target-will-be-axed/" TargetMode="External"/><Relationship Id="rId43" Type="http://schemas.openxmlformats.org/officeDocument/2006/relationships/hyperlink" Target="https://www.mofa.go.jp/press/kaiken/kaiken24e_000113.html" TargetMode="External"/><Relationship Id="rId1404" Type="http://schemas.openxmlformats.org/officeDocument/2006/relationships/hyperlink" Target="https://www.tagesschau.de/inland/scholz-ukraine-militaerhilfe-101.html" TargetMode="External"/><Relationship Id="rId192" Type="http://schemas.openxmlformats.org/officeDocument/2006/relationships/hyperlink" Target="https://www.defense.gov/News/Releases/Release/Article/3007664/fact-sheet-on-us-security-assistance-for-ukraine-roll-up-as-of-april-21-2022/" TargetMode="External"/><Relationship Id="rId497" Type="http://schemas.openxmlformats.org/officeDocument/2006/relationships/hyperlink" Target="https://ec.europa.eu/info/strategy/priorities-2019-2024/stronger-europe-world/eu-solidarity-ukraine/eu-assistance-ukraine_en" TargetMode="External"/><Relationship Id="rId357" Type="http://schemas.openxmlformats.org/officeDocument/2006/relationships/hyperlink" Target="https://www.gov.ie/en/press-release/b80b7-government-ministers-announce-irish-support-for-ukrainian-health-service/?msclkid=07ab0901b05a11ec8239ca04bfcdbb9d" TargetMode="External"/><Relationship Id="rId1194" Type="http://schemas.openxmlformats.org/officeDocument/2006/relationships/hyperlink" Target="https://valtioneuvosto.fi/en/-/finland-to-send-arms-assistance-to-ukraine" TargetMode="External"/><Relationship Id="rId217" Type="http://schemas.openxmlformats.org/officeDocument/2006/relationships/hyperlink" Target="https://www.worldbank.org/en/news/press-release/2022/03/07/world-bank-mobilizes-an-emergency-financing-package-of-over-700-million-for-ukraine" TargetMode="External"/><Relationship Id="rId564" Type="http://schemas.openxmlformats.org/officeDocument/2006/relationships/hyperlink" Target="https://www.rferl.org/a/czech-republic-poland-new-military-aid-ukraine/31873938.html" TargetMode="External"/><Relationship Id="rId771" Type="http://schemas.openxmlformats.org/officeDocument/2006/relationships/hyperlink" Target="https://focustaiwan.tw/politics/202206030014" TargetMode="External"/><Relationship Id="rId869" Type="http://schemas.openxmlformats.org/officeDocument/2006/relationships/hyperlink" Target="https://thediplomatinspain.com/en/2022/07/spain-announces-250-million-euros-for-agriculture-and-renewables-in-ukraine/" TargetMode="External"/><Relationship Id="rId1499" Type="http://schemas.openxmlformats.org/officeDocument/2006/relationships/hyperlink" Target="https://www.state.gov/100-million-in-new-u-s-civilian-security-assistance-for-ukraine/" TargetMode="External"/><Relationship Id="rId424" Type="http://schemas.openxmlformats.org/officeDocument/2006/relationships/hyperlink" Target="https://www.sueddeutsche.de/politik/g7-deutschland-gibt-ukraine-rund-eine-milliarde-euro-dpa.urn-newsml-dpa-com-20090101-220519-99-355600" TargetMode="External"/><Relationship Id="rId631" Type="http://schemas.openxmlformats.org/officeDocument/2006/relationships/hyperlink" Target="https://www.vlada.cz/cz/media-centrum/aktualne/informace-v-souvislosti-s-invazi-ruska-na-ukrajinu-194507/" TargetMode="External"/><Relationship Id="rId729" Type="http://schemas.openxmlformats.org/officeDocument/2006/relationships/hyperlink" Target="https://pm.gc.ca/en/news/backgrounders/2022/06/28/additional-canadian-support-ukraine-announced-2022-g7-summit" TargetMode="External"/><Relationship Id="rId1054" Type="http://schemas.openxmlformats.org/officeDocument/2006/relationships/hyperlink" Target="https://www.euronews.com/2022/09/29/cargo-ship-with-1000-tonnes-of-ukraine-aid-sets-sail-from-marseille" TargetMode="External"/><Relationship Id="rId1261" Type="http://schemas.openxmlformats.org/officeDocument/2006/relationships/hyperlink" Target="https://www.ukrinform.net/rubric-ato/3618371-france-gives-ukraine-two-batteries-of-crotale-air-defense-systems-two-mlrs.html" TargetMode="External"/><Relationship Id="rId1359" Type="http://schemas.openxmlformats.org/officeDocument/2006/relationships/hyperlink" Target="https://crsreports.congress.gov/product/pdf/IF/IF12040" TargetMode="External"/><Relationship Id="rId936" Type="http://schemas.openxmlformats.org/officeDocument/2006/relationships/hyperlink" Target="https://www.kmu.gov.ua/en/news/minfin-ukraina-otrymala-200-mln-ievro-vid-italii" TargetMode="External"/><Relationship Id="rId1121" Type="http://schemas.openxmlformats.org/officeDocument/2006/relationships/hyperlink" Target="https://www.army-technology.com/news/germany-norway-denmark-zuzana2-ukraine/" TargetMode="External"/><Relationship Id="rId1219" Type="http://schemas.openxmlformats.org/officeDocument/2006/relationships/hyperlink" Target="https://mil.in.ua/en/news/the-ministry-of-defense-of-japan-will-hand-over-vans-and-drones-to-ukraine/" TargetMode="External"/><Relationship Id="rId65" Type="http://schemas.openxmlformats.org/officeDocument/2006/relationships/hyperlink" Target="https://www.globalcitizen.org/en/content/stand-up-for-ukraine-impact-report/" TargetMode="External"/><Relationship Id="rId1426" Type="http://schemas.openxmlformats.org/officeDocument/2006/relationships/hyperlink" Target="https://www.defensa.gob.es/gabinete/notasPrensa/2022/11/DGC-221110-sesion-ucrania.html" TargetMode="External"/><Relationship Id="rId281" Type="http://schemas.openxmlformats.org/officeDocument/2006/relationships/hyperlink" Target="https://appropriations.house.gov/sites/democrats.appropriations.house.gov/files/Ukraine%20Supplemental%20Summary.pdf" TargetMode="External"/><Relationship Id="rId141" Type="http://schemas.openxmlformats.org/officeDocument/2006/relationships/hyperlink" Target="https://www.thelocal.es/20220311/spain-to-send-more-weapons-to-ukraine/" TargetMode="External"/><Relationship Id="rId379" Type="http://schemas.openxmlformats.org/officeDocument/2006/relationships/hyperlink" Target="https://www.maritime-executive.com/article/denmark-pledges-to-provide-ukraine-with-harpoon-anti-ship-missiles" TargetMode="External"/><Relationship Id="rId586" Type="http://schemas.openxmlformats.org/officeDocument/2006/relationships/hyperlink" Target="https://www.portugal.gov.pt/en/gc22/communication/announcement?i=assistance-to-ukraine" TargetMode="External"/><Relationship Id="rId793" Type="http://schemas.openxmlformats.org/officeDocument/2006/relationships/hyperlink" Target="https://www.kyivpost.com/ukraine-politics/after-all-the-foreign-artillery-deliveries-why-is-ukraine-demanding-more-and-better-guns.html" TargetMode="External"/><Relationship Id="rId7" Type="http://schemas.openxmlformats.org/officeDocument/2006/relationships/hyperlink" Target="https://www.independent.com.mt/articles/2022-02-25/local-news/Malta-to-send-humanitarian-aid-to-Ukrainian-people-6736240942" TargetMode="External"/><Relationship Id="rId239" Type="http://schemas.openxmlformats.org/officeDocument/2006/relationships/hyperlink" Target="https://www.bmi.gv.at/news.aspx?id=69543149763057644C4C633D" TargetMode="External"/><Relationship Id="rId446" Type="http://schemas.openxmlformats.org/officeDocument/2006/relationships/hyperlink" Target="https://www.whitehouse.gov/briefing-room/speeches-remarks/2022/04/21/remarks-by-president-biden-providing-an-update-on-russia-and-ukraine-3/" TargetMode="External"/><Relationship Id="rId653" Type="http://schemas.openxmlformats.org/officeDocument/2006/relationships/hyperlink" Target="https://ec.europa.eu/echo/news-stories/news/ukraine-eu-delivers-additional-assistance-rescue-vehicles-and-emergency-equipment-2022-03-25_de" TargetMode="External"/><Relationship Id="rId1076" Type="http://schemas.openxmlformats.org/officeDocument/2006/relationships/hyperlink" Target="https://www.vm.ee/en/news/estonia-donates-12-buses-zhytomyr-oblast-ukraine-help-restore-transport-links" TargetMode="External"/><Relationship Id="rId1283" Type="http://schemas.openxmlformats.org/officeDocument/2006/relationships/hyperlink" Target="https://www.facebook.com/ukremb.at/posts/2254397241403945" TargetMode="External"/><Relationship Id="rId1490" Type="http://schemas.openxmlformats.org/officeDocument/2006/relationships/hyperlink" Target="https://www.defmin.fi/ajankohtaista/tiedotteet_ja_uutiset/suomi_toimittaa_lisaa_puolustustarvikeapua_ukrainaan.13184.news" TargetMode="External"/><Relationship Id="rId306" Type="http://schemas.openxmlformats.org/officeDocument/2006/relationships/hyperlink" Target="https://www.regjeringen.no/en/aktuelt/norway-to-provide-weapons-to-ukraine/id2902587/" TargetMode="External"/><Relationship Id="rId860" Type="http://schemas.openxmlformats.org/officeDocument/2006/relationships/hyperlink" Target="https://www.pm.gov.au/media/visit-kyiv-and-further-australian-support-ukraine" TargetMode="External"/><Relationship Id="rId958" Type="http://schemas.openxmlformats.org/officeDocument/2006/relationships/hyperlink" Target="https://www.defense.gov/News/Releases/Release/Article/3152071/675-million-in-additional-security-assistance-for-ukraine/" TargetMode="External"/><Relationship Id="rId1143" Type="http://schemas.openxmlformats.org/officeDocument/2006/relationships/hyperlink" Target="https://www.state.gov/u-s-security-cooperation-with-ukraine/" TargetMode="External"/><Relationship Id="rId87" Type="http://schemas.openxmlformats.org/officeDocument/2006/relationships/hyperlink" Target="https://www.canada.ca/en/department-national-defence/news/2022/03/defence-minister-anand-announces-additional-military-support-to-ukraine.html" TargetMode="External"/><Relationship Id="rId513" Type="http://schemas.openxmlformats.org/officeDocument/2006/relationships/hyperlink" Target="https://ec.europa.eu/info/strategy/priorities-2019-2024/stronger-europe-world/eu-solidarity-ukraine/eu-assistance-ukraine_en?msclkid=23e9b3c1d14011ecaaeca792ec66a4ed" TargetMode="External"/><Relationship Id="rId720" Type="http://schemas.openxmlformats.org/officeDocument/2006/relationships/hyperlink" Target="https://gagadget.com/en/129425-they-will-pour-armed-forces-of-ukraine-have-already-received-czech-multiple-launch-rocket-systems-rm-70/" TargetMode="External"/><Relationship Id="rId818" Type="http://schemas.openxmlformats.org/officeDocument/2006/relationships/hyperlink" Target="https://www.ukrinform.ua/rubric-world/3523885-egils-levits-prezident-latvii.html" TargetMode="External"/><Relationship Id="rId1350" Type="http://schemas.openxmlformats.org/officeDocument/2006/relationships/hyperlink" Target="https://appropriations.house.gov/sites/democrats.appropriations.house.gov/files/Ukraine%20Supplemental%20Summary.pdf" TargetMode="External"/><Relationship Id="rId1448" Type="http://schemas.openxmlformats.org/officeDocument/2006/relationships/hyperlink" Target="https://www.republicworld.com/world-news/russia-ukraine-crisis/estonia-confirms-relief-package-to-aid-war-torn-ukraine-articleshow.html" TargetMode="External"/><Relationship Id="rId1003" Type="http://schemas.openxmlformats.org/officeDocument/2006/relationships/hyperlink" Target="https://www.minister.defence.gov.au/minister/rmarles/media-releases/australia-increases-support-ukraine" TargetMode="External"/><Relationship Id="rId1210" Type="http://schemas.openxmlformats.org/officeDocument/2006/relationships/hyperlink" Target="https://yle.fi/a/3-12678466" TargetMode="External"/><Relationship Id="rId1308" Type="http://schemas.openxmlformats.org/officeDocument/2006/relationships/hyperlink" Target="https://twitter.com/LSchreinemacher/status/1580222344538169346?ref_src=twsrc%5Etfw%7Ctwcamp%5Etweetembed%7Ctwterm%5E1580222344538169346%7Ctwgr%5Eda5480de56b54594938272c57ded09082863f933%7Ctwcon%5Es1_&amp;ref_url=https%3A%2F%2Fwww.eurointegration.com.ua%2Fnews%2F2022%2F10%2F13%2F7148653%2F" TargetMode="External"/><Relationship Id="rId14" Type="http://schemas.openxmlformats.org/officeDocument/2006/relationships/hyperlink" Target="https://www.politico.com/news/2022/03/22/ukraine-weapons-military-aid-00019104?msclkid=cf80c503ab8311eca021beb4b2336415" TargetMode="External"/><Relationship Id="rId163" Type="http://schemas.openxmlformats.org/officeDocument/2006/relationships/hyperlink" Target="https://www.exteriores.gob.es/Embajadas/washington/en/Comunicacion/Noticias/Paginas/Articulos/20220317_NEWS01.aspx" TargetMode="External"/><Relationship Id="rId370" Type="http://schemas.openxmlformats.org/officeDocument/2006/relationships/hyperlink" Target="https://english.news.cn/northamerica/20220521/316cc7dea3444c36b011aa19617629ac/c.html" TargetMode="External"/><Relationship Id="rId230" Type="http://schemas.openxmlformats.org/officeDocument/2006/relationships/hyperlink" Target="https://www.forbes.com/sites/sebastienroblin/2022/04/21/the-dutch-are-sending-huge-german-armored-howitzers-to-ukraine/?sh=6c70196f9380" TargetMode="External"/><Relationship Id="rId468" Type="http://schemas.openxmlformats.org/officeDocument/2006/relationships/hyperlink" Target="https://www.cbc.ca/news/politics/canada-ukraine-artillery-1.6426132" TargetMode="External"/><Relationship Id="rId675" Type="http://schemas.openxmlformats.org/officeDocument/2006/relationships/hyperlink" Target="https://intermin.fi/en/ukraine/civilian-assistance-to-ukraine" TargetMode="External"/><Relationship Id="rId882" Type="http://schemas.openxmlformats.org/officeDocument/2006/relationships/hyperlink" Target="https://www.mod.gov.lv/en/news/latvia-delivers-stinger-anti-aircraft-missile-system-ukraine" TargetMode="External"/><Relationship Id="rId1098" Type="http://schemas.openxmlformats.org/officeDocument/2006/relationships/hyperlink" Target="https://www.gov.uk/government/news/uk-and-allies-agree-expanded-international-fund-for-ukraine-support" TargetMode="External"/><Relationship Id="rId328" Type="http://schemas.openxmlformats.org/officeDocument/2006/relationships/hyperlink" Target="https://www.aa.com.tr/en/russia-ukraine-war/new-zealand-announces-13m-additional-aid-for-ukraine/2560551" TargetMode="External"/><Relationship Id="rId535" Type="http://schemas.openxmlformats.org/officeDocument/2006/relationships/hyperlink" Target="https://twitter.com/visegrad24/status/1504145180647170060?cxt=HHwWmIC58dGE5t8pAAAA" TargetMode="External"/><Relationship Id="rId742" Type="http://schemas.openxmlformats.org/officeDocument/2006/relationships/hyperlink" Target="https://www.rp.pl/biznes/art35754421-polska-bron-dla-ukrainy-pierwsze-transporty-dotarly-kolejne-w-drodze" TargetMode="External"/><Relationship Id="rId1165" Type="http://schemas.openxmlformats.org/officeDocument/2006/relationships/hyperlink" Target="https://echo24.cz/a/SrjYb/cesko-poslalo-na-ukrajinu-desitky-tanku-t-72-a-bvp" TargetMode="External"/><Relationship Id="rId1372" Type="http://schemas.openxmlformats.org/officeDocument/2006/relationships/hyperlink" Target="https://www.whitehouse.gov/briefing-room/press-briefings/2022/10/04/press-briefing-by-press-secretary-karine-jean-pierre-october-4-2022/" TargetMode="External"/><Relationship Id="rId602" Type="http://schemas.openxmlformats.org/officeDocument/2006/relationships/hyperlink" Target="https://mil.in.ua/en/news/us-demonstrates-mi-17-helicopters-designated-for-ukraine/" TargetMode="External"/><Relationship Id="rId1025" Type="http://schemas.openxmlformats.org/officeDocument/2006/relationships/hyperlink" Target="https://www.lecho.be/dossiers/conflit-ukraine-russie/ludivine-dedonder-la-belgique-va-octroyer-une-nouvelle-aide-militaire-a-l-ukraine/10414118.html" TargetMode="External"/><Relationship Id="rId1232" Type="http://schemas.openxmlformats.org/officeDocument/2006/relationships/hyperlink" Target="https://mil.in.ua/en/news/czech-republic-to-transfer-heavy-equipment-and-weapons-to-ukraine/" TargetMode="External"/><Relationship Id="rId907" Type="http://schemas.openxmlformats.org/officeDocument/2006/relationships/hyperlink" Target="https://minagro.gov.ua/news/kanada-nadaye-40-miljoniv-dolariv-ssha-dlya-zabezpechennya-24-miljona-tonn-shovishch?fbclid=IwAR0tOKhcjlcnwj5Wvpqe3fr0kwd_90iCZAxzUMMeqqvk45emy4e0lakzOQ0" TargetMode="External"/><Relationship Id="rId36" Type="http://schemas.openxmlformats.org/officeDocument/2006/relationships/hyperlink" Target="https://www.irishtimes.com/news/health/thousands-of-blood-bags-and-protective-suits-among-irish-aid-sent-to-ukraine-1.4824403" TargetMode="External"/><Relationship Id="rId185" Type="http://schemas.openxmlformats.org/officeDocument/2006/relationships/hyperlink" Target="https://www.gov.uk/government/news/uk-to-bolster-defensive-aid-to-ukraine-with-new-100m-package" TargetMode="External"/><Relationship Id="rId392" Type="http://schemas.openxmlformats.org/officeDocument/2006/relationships/hyperlink" Target="https://www.lrt.lt/en/news-in-english/19/1702086/lithuania-to-hand-over-eur15-5-million-worth-of-armoured-vehicles-trucks-suvs-to-ukraine" TargetMode="External"/><Relationship Id="rId697" Type="http://schemas.openxmlformats.org/officeDocument/2006/relationships/hyperlink" Target="https://nltimes.nl/2022/03/31/netherlands-already-supplied-50-million-euros-worth-weapons-ukraine" TargetMode="External"/><Relationship Id="rId252" Type="http://schemas.openxmlformats.org/officeDocument/2006/relationships/hyperlink" Target="https://www.aa.com.tr/en/europe/france-to-offer-300m-worth-of-aid-military-equipment-to-ukraine/2515343" TargetMode="External"/><Relationship Id="rId1187" Type="http://schemas.openxmlformats.org/officeDocument/2006/relationships/hyperlink" Target="https://um.dk/en/foreign-policy/danish-support-for-ukraine" TargetMode="External"/><Relationship Id="rId112" Type="http://schemas.openxmlformats.org/officeDocument/2006/relationships/hyperlink" Target="https://gov.ro/ro/stiri/declaratii-de-presa-sustinute-de-purtatorul-de-cuvant-al-guvernului-dan-carbunaru-privind-masurile-luate-de-executiv-in-cadrul-edintei-task-force-pentru-gestionarea-situatiei-generate-de-agresiunea-militara-rusa-din-ucraina&amp;page=2" TargetMode="External"/><Relationship Id="rId557" Type="http://schemas.openxmlformats.org/officeDocument/2006/relationships/hyperlink" Target="https://abouthungary.hu/news-in-brief/government-donates-huf-66-million-to-help-berehove-water-supply" TargetMode="External"/><Relationship Id="rId764" Type="http://schemas.openxmlformats.org/officeDocument/2006/relationships/hyperlink" Target="https://n1info.si/novice/svet/slovenija-ukrajini-ze-poslala-puske-streliva-in-celade/" TargetMode="External"/><Relationship Id="rId971" Type="http://schemas.openxmlformats.org/officeDocument/2006/relationships/hyperlink" Target="https://www.defense.gov/News/Releases/Release/Article/3160503/600-million-in-additional-security-assistance-for-ukraine/" TargetMode="External"/><Relationship Id="rId1394" Type="http://schemas.openxmlformats.org/officeDocument/2006/relationships/hyperlink" Target="https://www.tagesschau.de/inland/scholz-ukraine-militaerhilfe-101.html" TargetMode="External"/><Relationship Id="rId417" Type="http://schemas.openxmlformats.org/officeDocument/2006/relationships/hyperlink" Target="https://vm.ee/en/humanitarian-aid-ukraine" TargetMode="External"/><Relationship Id="rId624" Type="http://schemas.openxmlformats.org/officeDocument/2006/relationships/hyperlink" Target="https://mil.in.ua/en/news/the-netherlands-italy-and-belgium-have-agreed-to-transfer-the-additional-155-mm-caliber-acs-to-ukraine/" TargetMode="External"/><Relationship Id="rId831" Type="http://schemas.openxmlformats.org/officeDocument/2006/relationships/hyperlink" Target="https://www.diplomatie.gouv.fr/en/country-files/ukraine/news/article/france-donates-a-mobile-dna-analysis-laboratory-to-ukraine-joint-press-release" TargetMode="External"/><Relationship Id="rId1047" Type="http://schemas.openxmlformats.org/officeDocument/2006/relationships/hyperlink" Target="https://www.diplomatie.gouv.fr/en/country-files/ukraine/news/article/ukraine-catherine-colonna-to-attend-the-launch-of-solidarity-operation-un" TargetMode="External"/><Relationship Id="rId1254" Type="http://schemas.openxmlformats.org/officeDocument/2006/relationships/hyperlink" Target="https://www.defense.gouv.fr/terre/actualites/uiisc-1-3e-convoi-solidarite-lukraine" TargetMode="External"/><Relationship Id="rId1461" Type="http://schemas.openxmlformats.org/officeDocument/2006/relationships/hyperlink" Target="https://www.consilium.europa.eu/en/press/press-releases/2022/10/17/ukraine-council-agrees-on-further-support-under-the-european-peace-facility/" TargetMode="External"/><Relationship Id="rId929" Type="http://schemas.openxmlformats.org/officeDocument/2006/relationships/hyperlink" Target="https://www.connexionfrance.com/article/French-news/Humanitarian-ship-for-Ukraine-leaves-French-port-with-8m-of-aid" TargetMode="External"/><Relationship Id="rId1114" Type="http://schemas.openxmlformats.org/officeDocument/2006/relationships/hyperlink" Target="https://mil.in.ua/en/news/the-ministry-of-defense-of-japan-will-hand-over-vans-and-drones-to-ukraine/" TargetMode="External"/><Relationship Id="rId1321" Type="http://schemas.openxmlformats.org/officeDocument/2006/relationships/hyperlink" Target="https://www.gov.uk/government/news/uk-provides-increased-support-for-ukraines-energy-sector" TargetMode="External"/><Relationship Id="rId58" Type="http://schemas.openxmlformats.org/officeDocument/2006/relationships/hyperlink" Target="https://www.gov.ie/en/press-release/2e59c-update-on-medical-humanitarian-support-to-ukraine/" TargetMode="External"/><Relationship Id="rId1419" Type="http://schemas.openxmlformats.org/officeDocument/2006/relationships/hyperlink" Target="https://edition.cnn.com/europe/live-news/russia-ukraine-war-news-08-25-22/index.html" TargetMode="External"/><Relationship Id="rId274" Type="http://schemas.openxmlformats.org/officeDocument/2006/relationships/hyperlink" Target="https://babel.ua/en/news/78193-slovenia-will-provide-180-000-in-financial-assistance-to-ukraine" TargetMode="External"/><Relationship Id="rId481" Type="http://schemas.openxmlformats.org/officeDocument/2006/relationships/hyperlink" Target="https://www.armyrecognition.com/defense_news_march_2022_global_security_army_industry/sweden_to_provide_another_batch_of_5000_at4_anti-tank_weapons_to_ukraine.html" TargetMode="External"/><Relationship Id="rId134" Type="http://schemas.openxmlformats.org/officeDocument/2006/relationships/hyperlink" Target="https://www.reuters.com/world/europe/uk-provide-6000-missiles-ukraine-new-support-2022-03-23/" TargetMode="External"/><Relationship Id="rId579" Type="http://schemas.openxmlformats.org/officeDocument/2006/relationships/hyperlink" Target="https://www.rnz.co.nz/news/national/464762/first-shipment-of-nz-defence-equipment-arrives-to-aid-ukraine" TargetMode="External"/><Relationship Id="rId786" Type="http://schemas.openxmlformats.org/officeDocument/2006/relationships/hyperlink" Target="https://www.state.gov/u-s-security-cooperation-with-ukraine/" TargetMode="External"/><Relationship Id="rId993" Type="http://schemas.openxmlformats.org/officeDocument/2006/relationships/hyperlink" Target="https://www.defense.gov/News/Releases/Release/Article/3173378/11-billion-in-additional-security-assistance-for-ukraine/" TargetMode="External"/><Relationship Id="rId341" Type="http://schemas.openxmlformats.org/officeDocument/2006/relationships/hyperlink" Target="https://www.reuters.com/world/new-zealand-provide-ukraine-with-non-lethal-military-assistance-2022-03-21/" TargetMode="External"/><Relationship Id="rId439" Type="http://schemas.openxmlformats.org/officeDocument/2006/relationships/hyperlink" Target="https://tfiglobalnews.com/2022/03/21/canada-wanted-to-supply-weapons-to-ukraine-turns-out-it-didnt-have-any/" TargetMode="External"/><Relationship Id="rId646" Type="http://schemas.openxmlformats.org/officeDocument/2006/relationships/hyperlink" Target="https://kaitseministeerium.ee/en/news/estonia-donated-missiles-anti-tank-weapon-system-javelin-ukraine" TargetMode="External"/><Relationship Id="rId1069" Type="http://schemas.openxmlformats.org/officeDocument/2006/relationships/hyperlink" Target="https://www.euronews.com/2022/09/29/cargo-ship-with-1000-tonnes-of-ukraine-aid-sets-sail-from-marseille" TargetMode="External"/><Relationship Id="rId1276" Type="http://schemas.openxmlformats.org/officeDocument/2006/relationships/hyperlink" Target="https://www.reuters.com/world/europe/italy-open-supplying-air-defence-systems-ukraine-official-2022-11-08/" TargetMode="External"/><Relationship Id="rId1483" Type="http://schemas.openxmlformats.org/officeDocument/2006/relationships/hyperlink" Target="https://www.lejdd.fr/International/sebastien-lecornu-ministre-des-armees-nous-navons-pas-a-rougir-de-notre-aide-a-lukraine-4148779" TargetMode="External"/><Relationship Id="rId201" Type="http://schemas.openxmlformats.org/officeDocument/2006/relationships/hyperlink" Target="https://www.canada.ca/en/department-national-defence/news/2022/03/defence-minister-anand-announces-additional-military-support-to-ukraine.html?msclkid=50865665ab9011ecbb2d77d3ecd6e3a6" TargetMode="External"/><Relationship Id="rId506" Type="http://schemas.openxmlformats.org/officeDocument/2006/relationships/hyperlink" Target="https://www.youtube.com/watch?v=vzENx6dTpqY" TargetMode="External"/><Relationship Id="rId853" Type="http://schemas.openxmlformats.org/officeDocument/2006/relationships/hyperlink" Target="https://www.regjeringen.no/no/aktuelt/norge-donerer-pansrede-patruljekjoretoy-til-ukraina/id2923198/" TargetMode="External"/><Relationship Id="rId1136" Type="http://schemas.openxmlformats.org/officeDocument/2006/relationships/hyperlink" Target="https://www-regjeringen-no.translate.goog/no/aktuelt/norge-har-donert-artilleriskyts-til-ukraina/id2917760/?_x_tr_sl=auto&amp;_x_tr_tl=auto&amp;_x_tr_hl=de" TargetMode="External"/><Relationship Id="rId713" Type="http://schemas.openxmlformats.org/officeDocument/2006/relationships/hyperlink" Target="https://www.koreatimes.co.kr/www/nation/2022/06/113_330680.html" TargetMode="External"/><Relationship Id="rId920" Type="http://schemas.openxmlformats.org/officeDocument/2006/relationships/hyperlink" Target="https://lahbib.belgium.be/en/belgium-provide-8-million-eur-non-lethal-support-ukrainian-armed-forces" TargetMode="External"/><Relationship Id="rId1343" Type="http://schemas.openxmlformats.org/officeDocument/2006/relationships/hyperlink" Target="https://twitter.com/DanishMFA/status/1557711944626438145" TargetMode="External"/><Relationship Id="rId1203" Type="http://schemas.openxmlformats.org/officeDocument/2006/relationships/hyperlink" Target="https://yle.fi/news/3-12487455" TargetMode="External"/><Relationship Id="rId1410" Type="http://schemas.openxmlformats.org/officeDocument/2006/relationships/hyperlink" Target="https://www.austria.org/ukraine" TargetMode="External"/><Relationship Id="rId1508" Type="http://schemas.openxmlformats.org/officeDocument/2006/relationships/hyperlink" Target="https://www.regjeringen.no/en/topics/foreign-affairs/humanitarian-efforts/neighbour_support/id2908141/" TargetMode="External"/><Relationship Id="rId296" Type="http://schemas.openxmlformats.org/officeDocument/2006/relationships/hyperlink" Target="https://twitter.com/AFADTurkey/status/1503080333205700608" TargetMode="External"/><Relationship Id="rId156" Type="http://schemas.openxmlformats.org/officeDocument/2006/relationships/hyperlink" Target="https://www.aa.com.tr/en/russia-ukraine-crisis/slovakia-to-send-more-military-supplies-to-ukraine-premier-says/2518136" TargetMode="External"/><Relationship Id="rId363" Type="http://schemas.openxmlformats.org/officeDocument/2006/relationships/hyperlink" Target="https://www.legion.org/news/255649/more-half-90-us-howitzers-bound-ukraine-now-delivered" TargetMode="External"/><Relationship Id="rId570" Type="http://schemas.openxmlformats.org/officeDocument/2006/relationships/hyperlink" Target="https://www.theguardian.com/australia-news/2022/feb/27/labor-warns-china-it-should-not-take-comfort-from-russian-invasion-of-ukraine" TargetMode="External"/><Relationship Id="rId223" Type="http://schemas.openxmlformats.org/officeDocument/2006/relationships/hyperlink" Target="https://www.fxempire.com/news/article/japan-trebles-loans-to-ukraine-to-300-million-pm-kishida-to-other-leaders-972430" TargetMode="External"/><Relationship Id="rId430" Type="http://schemas.openxmlformats.org/officeDocument/2006/relationships/hyperlink" Target="https://www.onuitalia.com/2022/04/20/ucraina-sereni-da-italia-26-milioni-di-aiuti-umanitari/" TargetMode="External"/><Relationship Id="rId668" Type="http://schemas.openxmlformats.org/officeDocument/2006/relationships/hyperlink" Target="https://www.kmu.gov.ua/en/news/portugaliya-nadast-ukrayini-do-250-mln-yevro-finansovoyi-pidtrimki-denis-shmigal" TargetMode="External"/><Relationship Id="rId875" Type="http://schemas.openxmlformats.org/officeDocument/2006/relationships/hyperlink" Target="https://www.rtvslo.si/slovenija/sarec-zaveze-natu-ostajajo-zmanjsevanja-sredstev-za-obrambo-ne-bo/631221" TargetMode="External"/><Relationship Id="rId1060" Type="http://schemas.openxmlformats.org/officeDocument/2006/relationships/hyperlink" Target="https://www.diplomatie.gouv.fr/en/country-files/ukraine/news/article/ukraine-catherine-colonna-to-attend-the-launch-of-solidarity-operation-un" TargetMode="External"/><Relationship Id="rId1298" Type="http://schemas.openxmlformats.org/officeDocument/2006/relationships/hyperlink" Target="https://twitter.com/a_anusauskas/status/1592084804501401604" TargetMode="External"/><Relationship Id="rId528" Type="http://schemas.openxmlformats.org/officeDocument/2006/relationships/hyperlink" Target="https://www.youtube.com/watch?v=EKzlhntZigE&amp;t=888s" TargetMode="External"/><Relationship Id="rId735" Type="http://schemas.openxmlformats.org/officeDocument/2006/relationships/hyperlink" Target="https://www.canada.ca/en/department-national-defence/news/2022/04/canada-announces-artillery-and-other-additional-military-aid-for-ukraine.html" TargetMode="External"/><Relationship Id="rId942" Type="http://schemas.openxmlformats.org/officeDocument/2006/relationships/hyperlink" Target="https://www.defensenews.com/land/2022/08/22/turkey-sends-50-mine-resistant-vehicles-to-ukraine-with-more-expected/" TargetMode="External"/><Relationship Id="rId1158" Type="http://schemas.openxmlformats.org/officeDocument/2006/relationships/hyperlink" Target="https://mil.in.ua/en/news/belgium-made-a-decision-to-hand-over-artillery-to-ukraine-the-media/" TargetMode="External"/><Relationship Id="rId1365" Type="http://schemas.openxmlformats.org/officeDocument/2006/relationships/hyperlink" Target="https://www.state.gov/2-8-billion-in-additional-u-s-military-assistance-for-ukraine-and-its-neighbors/" TargetMode="External"/><Relationship Id="rId1018" Type="http://schemas.openxmlformats.org/officeDocument/2006/relationships/hyperlink" Target="https://www.euractiv.com/section/politics/short_news/belgium-to-provide-e8-million-for-non-lethal-aid-to-ukraines-armed-forces/" TargetMode="External"/><Relationship Id="rId1225" Type="http://schemas.openxmlformats.org/officeDocument/2006/relationships/hyperlink" Target="https://www.regjeringen.no/en/aktuelt/regjeringen-vil-gi-3-milliarder-kroner-i-militar-stotte-til-ukraina/id2929594/" TargetMode="External"/><Relationship Id="rId1432" Type="http://schemas.openxmlformats.org/officeDocument/2006/relationships/hyperlink" Target="https://www.wfp.org/news/japan-provides-us28-million-humanitarian-food-assistance-ukraine" TargetMode="External"/><Relationship Id="rId71" Type="http://schemas.openxmlformats.org/officeDocument/2006/relationships/hyperlink" Target="https://www.canada.ca/en/global-affairs/news/2022/03/canada-announces-100-million-humanitarian-assistance-to-ukraine.html" TargetMode="External"/><Relationship Id="rId802" Type="http://schemas.openxmlformats.org/officeDocument/2006/relationships/hyperlink" Target="https://www.gov.si/en/news/2022-03-07-eu-development-ministers-on-emergency-humanitarian-aid-to-ukraine/" TargetMode="External"/><Relationship Id="rId29" Type="http://schemas.openxmlformats.org/officeDocument/2006/relationships/hyperlink" Target="https://eng.lsm.lv/article/society/society/latvia-has-sent-14-loads-of-donations-to-ukraine.a448977/" TargetMode="External"/><Relationship Id="rId178" Type="http://schemas.openxmlformats.org/officeDocument/2006/relationships/hyperlink" Target="https://www.bgk.pl/aktualnosc/bgk-polish-development-bank-has-donated-pln-30-million-to-help-ukraine/" TargetMode="External"/><Relationship Id="rId385" Type="http://schemas.openxmlformats.org/officeDocument/2006/relationships/hyperlink" Target="https://www3.nhk.or.jp/nhkworld/en/news/20220519_02/" TargetMode="External"/><Relationship Id="rId592" Type="http://schemas.openxmlformats.org/officeDocument/2006/relationships/hyperlink" Target="https://www.theportugalnews.com/news/2022-03-04/portugal-sends-ukraine-100000-of-medical-supplies/65610" TargetMode="External"/><Relationship Id="rId245" Type="http://schemas.openxmlformats.org/officeDocument/2006/relationships/hyperlink" Target="https://ec.europa.eu/echo/news-stories/news/ukraine-eu-delivers-additional-assistance-rescue-vehicles-and-emergency-equipment-2022-03-25_de" TargetMode="External"/><Relationship Id="rId452" Type="http://schemas.openxmlformats.org/officeDocument/2006/relationships/hyperlink" Target="https://www.bvinet.com/2022/05/21/ukraine-will-receive-250-million-euros-of-financial-assistance-from-portugal/" TargetMode="External"/><Relationship Id="rId897"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1082" Type="http://schemas.openxmlformats.org/officeDocument/2006/relationships/hyperlink" Target="https://twitter.com/mod_estonia/status/1507641039745605634?lang=en" TargetMode="External"/><Relationship Id="rId105" Type="http://schemas.openxmlformats.org/officeDocument/2006/relationships/hyperlink" Target="https://www.vlada.cz/cz/media-centrum/aktualne/vlada-schvalila-dalsi-dar-v-podobe-vojenskeho-materialu-ukrajine-194585/" TargetMode="External"/><Relationship Id="rId312" Type="http://schemas.openxmlformats.org/officeDocument/2006/relationships/hyperlink" Target="https://www.regjeringen.no/en/aktuelt/ukrainefund/id2909840/" TargetMode="External"/><Relationship Id="rId757" Type="http://schemas.openxmlformats.org/officeDocument/2006/relationships/hyperlink" Target="https://mil.in.ua/en/news/poland-will-hand-over-the-155-mm-krab-ahs-self-propelled-howitzers-to-ukraine/" TargetMode="External"/><Relationship Id="rId964" Type="http://schemas.openxmlformats.org/officeDocument/2006/relationships/hyperlink" Target="https://www.defense.gov/News/Releases/Release/Article/3152071/675-million-in-additional-security-assistance-for-ukraine/" TargetMode="External"/><Relationship Id="rId1387" Type="http://schemas.openxmlformats.org/officeDocument/2006/relationships/hyperlink" Target="https://www.bundesregierung.de/breg-de/themen/krieg-in-der-ukraine/lieferungen-ukraine-2054514" TargetMode="External"/><Relationship Id="rId93" Type="http://schemas.openxmlformats.org/officeDocument/2006/relationships/hyperlink" Target="https://www.praguemorning.cz/czech-governmenet-approves-czk-400-million-in-military-aid-for-ukraine/" TargetMode="External"/><Relationship Id="rId617" Type="http://schemas.openxmlformats.org/officeDocument/2006/relationships/hyperlink" Target="https://www.government.se/press-releases/2022/06/additional-amending-budget-with-further-support-to-ukraine/" TargetMode="External"/><Relationship Id="rId824" Type="http://schemas.openxmlformats.org/officeDocument/2006/relationships/hyperlink" Target="https://bank.gov.ua/en/news/all/uryad-shvetsiyi-pererahuvav-5777-mln-shvedskih-kron-na-dopomogu-zbroynim-silam-ukrayini?fbclid=IwAR2GXaFc3IMIbZSXOY8F7GKajhqkPjM9F5GjMl1cFhI_X1DeYZjIVLKXbdg" TargetMode="External"/><Relationship Id="rId1247" Type="http://schemas.openxmlformats.org/officeDocument/2006/relationships/hyperlink" Target="https://www.defense.gouv.fr/terre/actualites/uiisc-1-3e-convoi-solidarite-lukraine" TargetMode="External"/><Relationship Id="rId1454" Type="http://schemas.openxmlformats.org/officeDocument/2006/relationships/hyperlink" Target="https://news.err.ee/1608793648/estonia-s-total-military-aid-to-ukraine-to-date-approaching-300-million" TargetMode="External"/><Relationship Id="rId1107" Type="http://schemas.openxmlformats.org/officeDocument/2006/relationships/hyperlink" Target="https://timesofindia.indiatimes.com/india/india-hands-over-12th-consignment-of-humanitarian-aid-to-ukraine/articleshow/94157783.cms" TargetMode="External"/><Relationship Id="rId1314" Type="http://schemas.openxmlformats.org/officeDocument/2006/relationships/hyperlink" Target="https://www.youtube.com/watch?v=D59VdvNdPwo&amp;t=2s&amp;ab_channel=NATONews" TargetMode="External"/><Relationship Id="rId20" Type="http://schemas.openxmlformats.org/officeDocument/2006/relationships/hyperlink" Target="https://sofiaglobe.com/2022/02/27/bulgaria-to-provide-humanitarian-military-logistical-aid-to-ukraine/?msclkid=2fb3d8c7b05511ec86aca56bb6424b21" TargetMode="External"/><Relationship Id="rId267" Type="http://schemas.openxmlformats.org/officeDocument/2006/relationships/hyperlink" Target="https://tvn24.pl/polska/ukraina-pomoc-humanitarna-z-polski-dotarla-na-ukraine-5660490" TargetMode="External"/><Relationship Id="rId474" Type="http://schemas.openxmlformats.org/officeDocument/2006/relationships/hyperlink" Target="https://www.france24.com/en/live-news/20220601-arms-for-ukraine-who-has-sent-what" TargetMode="External"/><Relationship Id="rId127" Type="http://schemas.openxmlformats.org/officeDocument/2006/relationships/hyperlink" Target="https://www.rtvslo.si/radio-si/news/slovenia-sending-more-aid-to-ukraine/616960" TargetMode="External"/><Relationship Id="rId681" Type="http://schemas.openxmlformats.org/officeDocument/2006/relationships/hyperlink" Target="https://www.swissinfo.ch/eng/switzerland-approves-chf80-million-in-emergency-aid-for-ukraine/47423096?utm_campaign=teaser-in-article&amp;utm_source=swissinfoch&amp;utm_content=o&amp;utm_medium=display" TargetMode="External"/><Relationship Id="rId779" Type="http://schemas.openxmlformats.org/officeDocument/2006/relationships/hyperlink" Target="https://appropriations.house.gov/sites/democrats.appropriations.house.gov/files/Additional%20Ukraine%20Suplemental%20Appropriations%20Act%20Summary.pdf" TargetMode="External"/><Relationship Id="rId986" Type="http://schemas.openxmlformats.org/officeDocument/2006/relationships/hyperlink" Target="https://www.defense.gov/News/Releases/Release/Article/3138105/nearly-3-billion-in-additional-security-assistance-for-ukraine/" TargetMode="External"/><Relationship Id="rId334" Type="http://schemas.openxmlformats.org/officeDocument/2006/relationships/hyperlink" Target="https://consent.yahoo.com/v2/collectConsent?sessionId=3_cc-session_a65137b7-2008-4f6a-9d84-5817bf1a558b" TargetMode="External"/><Relationship Id="rId541" Type="http://schemas.openxmlformats.org/officeDocument/2006/relationships/hyperlink" Target="https://elpais.com/espana/2022-06-05/espana-dispuesta-a-entregar-a-ucrania-misiles-antiaereos-y-carros-de-combate-leopard.html" TargetMode="External"/><Relationship Id="rId639" Type="http://schemas.openxmlformats.org/officeDocument/2006/relationships/hyperlink" Target="https://www.defense.gov/News/News-Stories/Article/Article/2955960/us-provided-more-than-1-billion-in-security-assistance-to-ukraine-in-past-year/" TargetMode="External"/><Relationship Id="rId1171" Type="http://schemas.openxmlformats.org/officeDocument/2006/relationships/hyperlink" Target="https://cphpost.dk/?p=133294" TargetMode="External"/><Relationship Id="rId1269" Type="http://schemas.openxmlformats.org/officeDocument/2006/relationships/hyperlink" Target="https://www.ukrinform.net/rubric-ato/3604150-italy-provides-ukraine-with-two-m270-systems-six-pzh-2000-about-30-selfpropelled-howitzers-media.html" TargetMode="External"/><Relationship Id="rId1476" Type="http://schemas.openxmlformats.org/officeDocument/2006/relationships/hyperlink" Target="https://www.lejdd.fr/International/sebastien-lecornu-ministre-des-armees-nous-navons-pas-a-rougir-de-notre-aide-a-lukraine-4148779" TargetMode="External"/><Relationship Id="rId401" Type="http://schemas.openxmlformats.org/officeDocument/2006/relationships/hyperlink" Target="https://www.defensa.gob.es/gabinete/notasPrensa/2022/04/DGC-220408-visita-centro-militar-farmacia.html" TargetMode="External"/><Relationship Id="rId846" Type="http://schemas.openxmlformats.org/officeDocument/2006/relationships/hyperlink" Target="https://www.state.gov/biden-harris-administration-announces-550-million-in-new-u-s-military-assistance-for-ukraine/" TargetMode="External"/><Relationship Id="rId1031" Type="http://schemas.openxmlformats.org/officeDocument/2006/relationships/hyperlink" Target="https://en.interfax.com.ua/news/general/859303.html" TargetMode="External"/><Relationship Id="rId1129" Type="http://schemas.openxmlformats.org/officeDocument/2006/relationships/hyperlink" Target="https://www.gov.uk/government/news/uk-to-give-more-multiple-launch-rocket-systems-and-guided-missiles-to-ukraine" TargetMode="External"/><Relationship Id="rId706" Type="http://schemas.openxmlformats.org/officeDocument/2006/relationships/hyperlink" Target="https://www.thehindu.com/news/national/ukraine-expects-india-to-participate-actively-in-post-war-construction/article65491977.ece" TargetMode="External"/><Relationship Id="rId913" Type="http://schemas.openxmlformats.org/officeDocument/2006/relationships/hyperlink" Targe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TargetMode="External"/><Relationship Id="rId1336" Type="http://schemas.openxmlformats.org/officeDocument/2006/relationships/hyperlink" Target="https://breakingdefense.com/2022/11/uk-delays-defense-spending-increase-raising-fears-3-gdp-target-will-be-axed/" TargetMode="External"/><Relationship Id="rId42" Type="http://schemas.openxmlformats.org/officeDocument/2006/relationships/hyperlink" Target="https://www.reuters.com/world/europe/france-offer-100-mln-euros-humanitarian-aid-ukraine-2022-03-01/" TargetMode="External"/><Relationship Id="rId1403" Type="http://schemas.openxmlformats.org/officeDocument/2006/relationships/hyperlink" Target="https://www.spiegel.de/politik/deutschland/ukraine-krieg-deutschland-lieferte-waffen-fuer-37-millionen-euro-a-460a7b35-70aa-40bb-8ec7-80f5606f0d5a" TargetMode="External"/><Relationship Id="rId191" Type="http://schemas.openxmlformats.org/officeDocument/2006/relationships/hyperlink" Target="https://www.defense.gov/News/Releases/Release/Article/3007664/fact-sheet-on-us-security-assistance-for-ukraine-roll-up-as-of-april-21-2022/" TargetMode="External"/><Relationship Id="rId289" Type="http://schemas.openxmlformats.org/officeDocument/2006/relationships/hyperlink" Target="https://www.kmu.gov.ua/en/news/70-000-tonn-vugillya-nadast-ukrayini-avstraliya-german-galushchenko" TargetMode="External"/><Relationship Id="rId496" Type="http://schemas.openxmlformats.org/officeDocument/2006/relationships/hyperlink" Target="https://www.bbc.com/news/world-europe-61482305" TargetMode="External"/><Relationship Id="rId149"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356" Type="http://schemas.openxmlformats.org/officeDocument/2006/relationships/hyperlink" Target="https://www-puterea-ro.translate.goog/romania-ofera-ucrainei-o-noua-contributie-de-asistenta-umanitara/?_x_tr_sl=ro&amp;_x_tr_tl=en&amp;_x_tr_hl=en&amp;_x_tr_pto=sc" TargetMode="External"/><Relationship Id="rId563" Type="http://schemas.openxmlformats.org/officeDocument/2006/relationships/hyperlink" Target="https://www.rferl.org/a/czech-republic-poland-new-military-aid-ukraine/31873938.html" TargetMode="External"/><Relationship Id="rId770" Type="http://schemas.openxmlformats.org/officeDocument/2006/relationships/hyperlink" Target="https://focustaiwan.tw/politics/202204220023" TargetMode="External"/><Relationship Id="rId1193" Type="http://schemas.openxmlformats.org/officeDocument/2006/relationships/hyperlink" Target="https://valtioneuvosto.fi/en/-/10616/finland-sends-additional-aid-to-ukraine" TargetMode="External"/><Relationship Id="rId216" Type="http://schemas.openxmlformats.org/officeDocument/2006/relationships/hyperlink" Target="https://www.worldbank.org/en/news/press-release/2022/03/07/world-bank-mobilizes-an-emergency-financing-package-of-over-700-million-for-ukraine" TargetMode="External"/><Relationship Id="rId423" Type="http://schemas.openxmlformats.org/officeDocument/2006/relationships/hyperlink" Target="https://www.bloomberg.com/news/articles/2022-05-19/germany-to-contribute-1-billion-euros-of-grants-to-ukraine" TargetMode="External"/><Relationship Id="rId868" Type="http://schemas.openxmlformats.org/officeDocument/2006/relationships/hyperlink" Target="https://thediplomatinspain.com/en/2022/07/spain-announces-250-million-euros-for-agriculture-and-renewables-in-ukraine/" TargetMode="External"/><Relationship Id="rId1053" Type="http://schemas.openxmlformats.org/officeDocument/2006/relationships/hyperlink" Target="https://www.connexionfrance.com/article/French-news/Humanitarian-ship-for-Ukraine-leaves-French-port-with-8m-of-aid" TargetMode="External"/><Relationship Id="rId1260" Type="http://schemas.openxmlformats.org/officeDocument/2006/relationships/hyperlink" Target="https://www.ukrinform.net/rubric-ato/3618371-france-gives-ukraine-two-batteries-of-crotale-air-defense-systems-two-mlrs.html" TargetMode="External"/><Relationship Id="rId1498" Type="http://schemas.openxmlformats.org/officeDocument/2006/relationships/hyperlink" Target="https://www.defense.gov/News/Releases/Release/Article/3210297/400-million-in-additional-security-assistance-for-ukraine/" TargetMode="External"/><Relationship Id="rId630" Type="http://schemas.openxmlformats.org/officeDocument/2006/relationships/hyperlink" Target="https://www.vlada.cz/cz/media-centrum/aktualne/bezpecnostni-rada-statu-se-zabyvala-aktualni-bezpecnostni-situaci-po-napadeni-nezavisle-ukrajiny-vojsky-ruske-federace-194513/" TargetMode="External"/><Relationship Id="rId728" Type="http://schemas.openxmlformats.org/officeDocument/2006/relationships/hyperlink" Target="https://www.ctvnews.ca/politics/canada-pledges-more-aid-and-loans-to-ukraine-as-g7-targets-russian-oil-1.5965947" TargetMode="External"/><Relationship Id="rId935"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1358" Type="http://schemas.openxmlformats.org/officeDocument/2006/relationships/hyperlink" Target="https://crsreports.congress.gov/product/pdf/IF/IF12040" TargetMode="External"/><Relationship Id="rId64" Type="http://schemas.openxmlformats.org/officeDocument/2006/relationships/hyperlink" Target="https://www.lrt.lt/en/news-in-english/19/1628536/lithuania-to-send-eur4-million-medical-military-assistance-to-ukraine" TargetMode="External"/><Relationship Id="rId1120" Type="http://schemas.openxmlformats.org/officeDocument/2006/relationships/hyperlink" Target="https://www.tagesschau.de/inland/bericht-aus-berlin-lambrecht-haubitzen-101.html" TargetMode="External"/><Relationship Id="rId1218" Type="http://schemas.openxmlformats.org/officeDocument/2006/relationships/hyperlink" Target="https://www.kyivpost.com/russias-war/japan-to-provide-vans-drones-to-ukraine.html" TargetMode="External"/><Relationship Id="rId1425" Type="http://schemas.openxmlformats.org/officeDocument/2006/relationships/hyperlink" Target="https://www.defensa.gob.es/gabinete/notasPrensa/2022/11/DGC-221110-sesion-ucrania.html" TargetMode="External"/><Relationship Id="rId280" Type="http://schemas.openxmlformats.org/officeDocument/2006/relationships/hyperlink" Target="https://www.whitehouse.gov/briefing-room/press-briefings/2022/03/15/press-briefing-by-press-secretary-jen-psaki-march-15-2022/" TargetMode="External"/><Relationship Id="rId140" Type="http://schemas.openxmlformats.org/officeDocument/2006/relationships/hyperlink" Target="https://www.whitehouse.gov/briefing-room/statements-releases/2022/03/24/fact-sheet-the-biden-administration-announces-new-humanitarian-development-and-democracy-assistance-to-ukraine-and-the-surrounding-region/" TargetMode="External"/><Relationship Id="rId378" Type="http://schemas.openxmlformats.org/officeDocument/2006/relationships/hyperlink" Target="https://www.ukrinform.net/rubric-ato/3491327-canada-to-give-ukraine-over-20000-155-mm-shells.html" TargetMode="External"/><Relationship Id="rId585" Type="http://schemas.openxmlformats.org/officeDocument/2006/relationships/hyperlink" Target="https://mobile.twitter.com/AAhronheim/status/1498004573528772608" TargetMode="External"/><Relationship Id="rId792" Type="http://schemas.openxmlformats.org/officeDocument/2006/relationships/hyperlink" Target="https://www.nytimes.com/2022/07/01/us/politics/himars-weapons-ukraine.html" TargetMode="External"/><Relationship Id="rId6" Type="http://schemas.openxmlformats.org/officeDocument/2006/relationships/hyperlink" Target="https://www.lefigaro.fr/flash-actu/la-france-a-envoye-33-tonnes-d-aide-humanitaire-pour-l-ukraine-20220228" TargetMode="External"/><Relationship Id="rId238" Type="http://schemas.openxmlformats.org/officeDocument/2006/relationships/hyperlink" Target="https://www.businesstoday.in/crypto/story/finland-set-to-donate-over-eu70-million-worth-of-crypto-to-war-torn-ukraine-331795-2022-04-29" TargetMode="External"/><Relationship Id="rId445" Type="http://schemas.openxmlformats.org/officeDocument/2006/relationships/hyperlink" Target="https://www.whitehouse.gov/briefing-room/statements-releases/2022/04/21/readout-of-president-bidens-meeting-with-prime-minister-of-ukraine-denys-shmyhal/" TargetMode="External"/><Relationship Id="rId652" Type="http://schemas.openxmlformats.org/officeDocument/2006/relationships/hyperlink" Target="https://www.reuters.com/world/europe/france-offer-100-mln-euros-humanitarian-aid-ukraine-2022-03-01/" TargetMode="External"/><Relationship Id="rId1075" Type="http://schemas.openxmlformats.org/officeDocument/2006/relationships/hyperlink" Target="https://rubryka.com/en/2022/06/17/buses-estonia-vyshneve/" TargetMode="External"/><Relationship Id="rId1282" Type="http://schemas.openxmlformats.org/officeDocument/2006/relationships/hyperlink" Target="https://www.facebook.com/ukremb.at/posts/2254397241403945" TargetMode="External"/><Relationship Id="rId305" Type="http://schemas.openxmlformats.org/officeDocument/2006/relationships/hyperlink" Target="https://www.admin.ch/gov/en/start/documentation/media-releases.msg-id-87418.html" TargetMode="External"/><Relationship Id="rId512" Type="http://schemas.openxmlformats.org/officeDocument/2006/relationships/hyperlink" Target="https://ec.europa.eu/info/business-economy-euro/economic-and-fiscal-policy-coordination/international-economic-relations/enlargement-and-neighbouring-countries/neighbouring-countries-eu/neighbourhood-countries/ukraine_en" TargetMode="External"/><Relationship Id="rId957" Type="http://schemas.openxmlformats.org/officeDocument/2006/relationships/hyperlink" Target="https://www.defense.gov/News/Releases/Release/Article/3152071/675-million-in-additional-security-assistance-for-ukraine/" TargetMode="External"/><Relationship Id="rId1142" Type="http://schemas.openxmlformats.org/officeDocument/2006/relationships/hyperlink" Target="https://www.defense.gov/News/Releases/Release/Article/3102984/270-million-in-additional-security-assistance-for-ukraine/" TargetMode="External"/><Relationship Id="rId86" Type="http://schemas.openxmlformats.org/officeDocument/2006/relationships/hyperlink" Target="https://www.canada.ca/en/department-national-defence/news/2022/03/defence-minister-anand-announces-additional-military-support-to-ukraine.html" TargetMode="External"/><Relationship Id="rId817" Type="http://schemas.openxmlformats.org/officeDocument/2006/relationships/hyperlink" Target="https://www.ukrinform.ua/rubric-world/3523885-egils-levits-prezident-latvii.html" TargetMode="External"/><Relationship Id="rId1002" Type="http://schemas.openxmlformats.org/officeDocument/2006/relationships/hyperlink" Target="https://appropriations.house.gov/sites/democrats.appropriations.house.gov/files%20/Summary%20Continuing%20Appropriations%20and%20Ukraine%20Supplemental%20Appropriations%20Act%202023.pdf" TargetMode="External"/><Relationship Id="rId1447" Type="http://schemas.openxmlformats.org/officeDocument/2006/relationships/hyperlink" Target="https://www.republicworld.com/world-news/russia-ukraine-crisis/estonia-confirms-relief-package-to-aid-war-torn-ukraine-articleshow.html" TargetMode="External"/><Relationship Id="rId1307" Type="http://schemas.openxmlformats.org/officeDocument/2006/relationships/hyperlink" Target="https://www.dw.com/en/ukraine-updates-zelenskyy-hints-he-is-open-to-talks-with-russia/a-63679013" TargetMode="External"/><Relationship Id="rId13" Type="http://schemas.openxmlformats.org/officeDocument/2006/relationships/hyperlink" Target="https://vlada.gov.hr/news/croatia-had-sided-with-freedom-and-democracy-and-with-the-ukrainian-people-which-is-the-only-right-way/34979" TargetMode="External"/><Relationship Id="rId162" Type="http://schemas.openxmlformats.org/officeDocument/2006/relationships/hyperlink" Target="https://www.lamoncloa.gob.es/lang/en/gobierno/news/Paginas/2022/20220227_aid-to-ukraine.aspx" TargetMode="External"/><Relationship Id="rId467" Type="http://schemas.openxmlformats.org/officeDocument/2006/relationships/hyperlink" Target="https://nationalinterest.org/blog/buzz/us-phoenix-ghost-drones-are-helping-ukraine-take-fight-russia-202249" TargetMode="External"/><Relationship Id="rId1097" Type="http://schemas.openxmlformats.org/officeDocument/2006/relationships/hyperlink" Target="https://www.gov.uk/government/news/prime-minister-tells-ukraine-they-will-win-as-he-marks-independence-day-24-august-2022" TargetMode="External"/><Relationship Id="rId674" Type="http://schemas.openxmlformats.org/officeDocument/2006/relationships/hyperlink" Target="https://intermin.fi/en/ukraine/civilian-assistance-to-ukraine" TargetMode="External"/><Relationship Id="rId881" Type="http://schemas.openxmlformats.org/officeDocument/2006/relationships/hyperlink" Target="https://www.mfa.gov.lv/en/article/latvian-foreign-ministry-channel-eur-24000000-towards-assistance-ukraine" TargetMode="External"/><Relationship Id="rId979" Type="http://schemas.openxmlformats.org/officeDocument/2006/relationships/hyperlink" Target="https://www.defense.gov/News/Releases/Release/Article/3160503/600-million-in-additional-security-assistance-for-ukraine/" TargetMode="External"/><Relationship Id="rId327" Type="http://schemas.openxmlformats.org/officeDocument/2006/relationships/hyperlink" Target="https://www.dw.com/en/new-zealand-announces-new-measures-to-support-ukraine/a-61127549" TargetMode="External"/><Relationship Id="rId534" Type="http://schemas.openxmlformats.org/officeDocument/2006/relationships/hyperlink" Target="https://www.stripes.com/theaters/us/2022-05-23/ukraine-russia-war-military-weapons-6104132.html" TargetMode="External"/><Relationship Id="rId741" Type="http://schemas.openxmlformats.org/officeDocument/2006/relationships/hyperlink" Target="https://www.wsj.com/livecoverage/russia-ukraine-latest-news-2022-04-29/card/poland-has-sent-more-than-200-tanks-to-ukraine-Krwar3DCPzHJJk4UMVh4" TargetMode="External"/><Relationship Id="rId839" Type="http://schemas.openxmlformats.org/officeDocument/2006/relationships/hyperlink" Target="https://appropriations.house.gov/sites/democrats.appropriations.house.gov/files/Additional%20Ukraine%20Suplemental%20Appropriations%20Act%20Summary.pdf" TargetMode="External"/><Relationship Id="rId1164" Type="http://schemas.openxmlformats.org/officeDocument/2006/relationships/hyperlink" Target="https://www.wsj.com/articles/ukraine-quietly-receives-tanks-from-czech-republic-to-support-war-effort-11649160666" TargetMode="External"/><Relationship Id="rId1371" Type="http://schemas.openxmlformats.org/officeDocument/2006/relationships/hyperlink" Target="https://www.defense.gov/News/Releases/Release/Article/3216287/400-million-in-additional-assistance-for-ukraine/" TargetMode="External"/><Relationship Id="rId1469" Type="http://schemas.openxmlformats.org/officeDocument/2006/relationships/hyperlink" Target="https://www.lemonde.fr/en/international/article/2022/10/12/macron-promises-air-defense-systems-for-ukraine-calls-for-putin-to-discuss-peace_6000130_4.html" TargetMode="External"/><Relationship Id="rId601" Type="http://schemas.openxmlformats.org/officeDocument/2006/relationships/hyperlink" Target="https://www.forces.net/technology/weapons-and-kit/latest-military-aid-being-sent-ukraine-west" TargetMode="External"/><Relationship Id="rId1024" Type="http://schemas.openxmlformats.org/officeDocument/2006/relationships/hyperlink" Target="https://www.brusselstimes.com/278107/belgium-provides-e8-million-for-non-lethal-help-to-ukraine" TargetMode="External"/><Relationship Id="rId1231" Type="http://schemas.openxmlformats.org/officeDocument/2006/relationships/hyperlink" Target="https://taiwantoday.tw/news.php?unit=2&amp;post=227225&amp;unitname=Politics-Top-News&amp;postname=MOFA-Minister-Wu-unveils-US%2456-million-donation-to-rebuild-Ukraine" TargetMode="External"/><Relationship Id="rId906" Type="http://schemas.openxmlformats.org/officeDocument/2006/relationships/hyperlink" Target="https://twitter.com/Denys_Shmyhal/status/1559962571230380032" TargetMode="External"/><Relationship Id="rId1329" Type="http://schemas.openxmlformats.org/officeDocument/2006/relationships/hyperlink" Target="https://www.gov.uk/government/news/prime-minister-pledges-uks-unwavering-support-to-ukraine-on-visit-to-kyiv-9-april-2022" TargetMode="External"/><Relationship Id="rId35" Type="http://schemas.openxmlformats.org/officeDocument/2006/relationships/hyperlink" Target="https://dailynewshungary.com/hungary-to-send-shipment-of-medical-equipment-to-ukraine/" TargetMode="External"/><Relationship Id="rId184" Type="http://schemas.openxmlformats.org/officeDocument/2006/relationships/hyperlink" Target="https://twitter.com/Defensagob/status/1508877933242372096" TargetMode="External"/><Relationship Id="rId391" Type="http://schemas.openxmlformats.org/officeDocument/2006/relationships/hyperlink" Target="https://interfax.com/newsroom/top-stories/79528/" TargetMode="External"/><Relationship Id="rId251" Type="http://schemas.openxmlformats.org/officeDocument/2006/relationships/hyperlink" Target="https://www.diplomatie.gouv.fr/en/country-files/ukraine/news/article/ukraine-conversation-between-jean-yves-le-drian-and-his-ukrainian-counterpart" TargetMode="External"/><Relationship Id="rId489" Type="http://schemas.openxmlformats.org/officeDocument/2006/relationships/hyperlink" Target="https://www.thelocal.es/20220421/spain-sends-200-tonnes-of-military-material-to-ukraine-pm/" TargetMode="External"/><Relationship Id="rId696" Type="http://schemas.openxmlformats.org/officeDocument/2006/relationships/hyperlink" Target="https://www.lrt.lt/en/news-in-english/19/1702318/lithuania-among-top-15-of-ukraine-s-military-donors-mp" TargetMode="External"/><Relationship Id="rId349" Type="http://schemas.openxmlformats.org/officeDocument/2006/relationships/hyperlink" Target="https://www.state.gov/the-united-states-announces-additional-humanitarian-assistance-for-the-people-of-ukraine/" TargetMode="External"/><Relationship Id="rId556" Type="http://schemas.openxmlformats.org/officeDocument/2006/relationships/hyperlink" Target="https://cyprus-mail.com/2022/06/03/third-humanitarian-aid-shipment-heading-to-ukraine/" TargetMode="External"/><Relationship Id="rId763" Type="http://schemas.openxmlformats.org/officeDocument/2006/relationships/hyperlink" Target="https://www.defensenews.com/global/europe/2022/04/11/slovakia-could-sell-howitzers-to-ukraine-and-repair-its-tanks-vehicles/" TargetMode="External"/><Relationship Id="rId1186" Type="http://schemas.openxmlformats.org/officeDocument/2006/relationships/hyperlink" Target="https://um.dk/en/danida/countries-and-regions/ukraine" TargetMode="External"/><Relationship Id="rId1393" Type="http://schemas.openxmlformats.org/officeDocument/2006/relationships/hyperlink" Target="https://www.spiegel.de/politik/deutschland/ukraine-krieg-deutschland-lieferte-waffen-fuer-37-millionen-euro-a-460a7b35-70aa-40bb-8ec7-80f5606f0d5a" TargetMode="External"/><Relationship Id="rId111" Type="http://schemas.openxmlformats.org/officeDocument/2006/relationships/hyperlink" Target="https://www.czdefence.com/article/czech-republic-donates-artillery-ammunition-worth-czk-366-million-to-ukraine" TargetMode="External"/><Relationship Id="rId209" Type="http://schemas.openxmlformats.org/officeDocument/2006/relationships/hyperlink" Target="https://civilna-zastita.gov.hr/vijesti/dostavljena-zurna-humanitarna-pomoc-ukrajini-u-organizaciji-ravnateljstva-civilne-zastite/5634" TargetMode="External"/><Relationship Id="rId416" Type="http://schemas.openxmlformats.org/officeDocument/2006/relationships/hyperlink" Target="https://www.ukrinform.net/rubric-defense/3463928-spain-sends-new-military-aid-batch-to-ukraine.html" TargetMode="External"/><Relationship Id="rId970" Type="http://schemas.openxmlformats.org/officeDocument/2006/relationships/hyperlink" Target="https://www.defense.gov/News/Releases/Release/Article/3160503/600-million-in-additional-security-assistance-for-ukraine/" TargetMode="External"/><Relationship Id="rId1046" Type="http://schemas.openxmlformats.org/officeDocument/2006/relationships/hyperlink" Target="https://www.euronews.com/2022/09/29/cargo-ship-with-1000-tonnes-of-ukraine-aid-sets-sail-from-marseille" TargetMode="External"/><Relationship Id="rId1253" Type="http://schemas.openxmlformats.org/officeDocument/2006/relationships/hyperlink" Target="https://www.defense.gouv.fr/terre/actualites/uiisc-1-3e-convoi-solidarite-lukraine" TargetMode="External"/><Relationship Id="rId623" Type="http://schemas.openxmlformats.org/officeDocument/2006/relationships/hyperlink" Target="https://www.reuters.com/world/europe/sweden-supply-more-military-aid-including-anti-ship-missiles-ukraine-2022-06-02/" TargetMode="External"/><Relationship Id="rId830" Type="http://schemas.openxmlformats.org/officeDocument/2006/relationships/hyperlink" Target="https://www.reuters.com/world/europe/lithuania-transfer-crowdfunded-bayraktar-drone-ukraine-wednesday-2022-07-06/" TargetMode="External"/><Relationship Id="rId928" Type="http://schemas.openxmlformats.org/officeDocument/2006/relationships/hyperlink" Target="https://www.connexionfrance.com/article/French-news/Humanitarian-ship-for-Ukraine-leaves-French-port-with-8m-of-aid" TargetMode="External"/><Relationship Id="rId1460" Type="http://schemas.openxmlformats.org/officeDocument/2006/relationships/hyperlink" Target="https://www.defensa.gob.es/gabinete/notasPrensa/2022/11/DGC-221110-sesion-ucrania.html" TargetMode="External"/><Relationship Id="rId57" Type="http://schemas.openxmlformats.org/officeDocument/2006/relationships/hyperlink" Target="https://www.irishtimes.com/news/ireland/irish-news/irish-government-provides-10-million-in-humanitarian-support-for-ukraine-1.4810982" TargetMode="External"/><Relationship Id="rId1113" Type="http://schemas.openxmlformats.org/officeDocument/2006/relationships/hyperlink" Target="https://www.kyivpost.com/russias-war/japan-to-provide-vans-drones-to-ukraine.html" TargetMode="External"/><Relationship Id="rId1320" Type="http://schemas.openxmlformats.org/officeDocument/2006/relationships/hyperlink" Target="https://www.gov.uk/government/news/hundreds-more-mobile-generators-to-provide-vital-power-for-ukraine" TargetMode="External"/><Relationship Id="rId1418" Type="http://schemas.openxmlformats.org/officeDocument/2006/relationships/hyperlink" Target="https://www.defensa.gob.es/gabinete/notasPrensa/2022/10/DGC-221006-envio-ucrania.html" TargetMode="External"/><Relationship Id="rId273" Type="http://schemas.openxmlformats.org/officeDocument/2006/relationships/hyperlink" Target="https://www.rtvslo.si/radio-si/news/slovenia-promises-aid-to-ukraine/625786" TargetMode="External"/><Relationship Id="rId480" Type="http://schemas.openxmlformats.org/officeDocument/2006/relationships/hyperlink" Target="https://delano.lu/article/luxembourg-delivering-substant" TargetMode="External"/><Relationship Id="rId133" Type="http://schemas.openxmlformats.org/officeDocument/2006/relationships/hyperlink" Target="https://www.gov.uk/government/news/pm-announces-major-new-military-support-package-for-ukraine-24-march-2022" TargetMode="External"/><Relationship Id="rId340" Type="http://schemas.openxmlformats.org/officeDocument/2006/relationships/hyperlink" Target="https://www.beehive.govt.nz/release/nz-provide-non-lethal-military-assistance-ukraine" TargetMode="External"/><Relationship Id="rId578" Type="http://schemas.openxmlformats.org/officeDocument/2006/relationships/hyperlink" Target="https://pmtranscripts.pmc.gov.au/release/transcript-43925" TargetMode="External"/><Relationship Id="rId785" Type="http://schemas.openxmlformats.org/officeDocument/2006/relationships/hyperlink" Target="https://www.cnbc.com/2022/06/15/biden-to-send-another-1-billion-in-military-aid-to-ukraine-.html" TargetMode="External"/><Relationship Id="rId992" Type="http://schemas.openxmlformats.org/officeDocument/2006/relationships/hyperlink" Target="https://www.defense.gov/News/Releases/Release/Article/3173378/11-billion-in-additional-security-assistance-for-ukraine/" TargetMode="External"/><Relationship Id="rId200" Type="http://schemas.openxmlformats.org/officeDocument/2006/relationships/hyperlink" Target="https://bmi.gv.at/news.aspx?id=44786F67485A5049462F493D" TargetMode="External"/><Relationship Id="rId438" Type="http://schemas.openxmlformats.org/officeDocument/2006/relationships/hyperlink" Target="https://tfiglobalnews.com/2022/03/21/canada-wanted-to-supply-weapons-to-ukraine-turns-out-it-didnt-have-any/" TargetMode="External"/><Relationship Id="rId645" Type="http://schemas.openxmlformats.org/officeDocument/2006/relationships/hyperlink" Target="https://vm.ee/en/humanitarian-aid-ukraine" TargetMode="External"/><Relationship Id="rId852" Type="http://schemas.openxmlformats.org/officeDocument/2006/relationships/hyperlink" Target="https://www.regjeringen.no/en/aktuelt/norwegian-support-for-farmers/id2911804/" TargetMode="External"/><Relationship Id="rId1068" Type="http://schemas.openxmlformats.org/officeDocument/2006/relationships/hyperlink" Target="https://www.connexionfrance.com/article/French-news/Humanitarian-ship-for-Ukraine-leaves-French-port-with-8m-of-aid" TargetMode="External"/><Relationship Id="rId1275" Type="http://schemas.openxmlformats.org/officeDocument/2006/relationships/hyperlink" Target="https://www.reuters.com/world/europe/italy-open-supplying-air-defence-systems-ukraine-official-2022-11-08/" TargetMode="External"/><Relationship Id="rId1482" Type="http://schemas.openxmlformats.org/officeDocument/2006/relationships/hyperlink" Target="https://www.lejdd.fr/International/sebastien-lecornu-ministre-des-armees-nous-navons-pas-a-rougir-de-notre-aide-a-lukraine-4148779" TargetMode="External"/><Relationship Id="rId505" Type="http://schemas.openxmlformats.org/officeDocument/2006/relationships/hyperlink" Target="https://tvpworld.com/59620451/eu-allocates-additional-eur-500-million-to-aid-ukraine" TargetMode="External"/><Relationship Id="rId712" Type="http://schemas.openxmlformats.org/officeDocument/2006/relationships/hyperlink" Target="https://www.mofa.go.kr/eng/brd/m_5676/view.do?seq=322053" TargetMode="External"/><Relationship Id="rId1135" Type="http://schemas.openxmlformats.org/officeDocument/2006/relationships/hyperlink" Target="https://www.regjeringen.no/en/aktuelt/norge-og-storbritannia-gir-langtrekkende-rakettartilleri-til-ukraina/id2921395/" TargetMode="External"/><Relationship Id="rId1342" Type="http://schemas.openxmlformats.org/officeDocument/2006/relationships/hyperlink" Target="https://www.fmn.dk/en/news/2022/130-danish-soldiers-will-train-ukrainian-colleagues/" TargetMode="External"/><Relationship Id="rId79" Type="http://schemas.openxmlformats.org/officeDocument/2006/relationships/hyperlink" Target="https://www.reuters.com/article/canada-budget-ukraine-aid-idCAKCN2LZ2CL" TargetMode="External"/><Relationship Id="rId1202" Type="http://schemas.openxmlformats.org/officeDocument/2006/relationships/hyperlink" Target="https://kyivindependent.com/news-feed/finland-prepares-8th-batch-of-military-aid-for-ukraine" TargetMode="External"/><Relationship Id="rId1507" Type="http://schemas.openxmlformats.org/officeDocument/2006/relationships/hyperlink" Target="https://reliefweb.int/report/ukraine/norway-increase-support-humanitarian-efforts-and-government-administration-ukraine" TargetMode="External"/><Relationship Id="rId295" Type="http://schemas.openxmlformats.org/officeDocument/2006/relationships/hyperlink" Target="https://twitter.com/AFADTurkey/status/1497633720068714497" TargetMode="External"/><Relationship Id="rId155" Type="http://schemas.openxmlformats.org/officeDocument/2006/relationships/hyperlink" Target="https://spectator.sme.sk/c/22850259/slovakia-will-send-more-military-aid-to-ukraine.html" TargetMode="External"/><Relationship Id="rId362" Type="http://schemas.openxmlformats.org/officeDocument/2006/relationships/hyperlink" Target="https://www.19fortyfive.com/2022/04/switchblade-the-drone-giving-ukraine-a-big-edge-against-russia/" TargetMode="External"/><Relationship Id="rId1297" Type="http://schemas.openxmlformats.org/officeDocument/2006/relationships/hyperlink" Target="https://twitter.com/a_anusauskas/status/1592084804501401604" TargetMode="External"/><Relationship Id="rId222" Type="http://schemas.openxmlformats.org/officeDocument/2006/relationships/hyperlink" Target="https://www.ukrinform.net/rubric-ato/3462246-japan-to-extend-300-million-in-loans-to-ukraine.html" TargetMode="External"/><Relationship Id="rId667" Type="http://schemas.openxmlformats.org/officeDocument/2006/relationships/hyperlink" Target="https://www.portugal.gov.pt/pt/gc23/comunicacao/noticia?i=portugal-doa-21-milhoes-de-euros-a-ucrania" TargetMode="External"/><Relationship Id="rId874" Type="http://schemas.openxmlformats.org/officeDocument/2006/relationships/hyperlink" Target="https://www.rtvslo.si/slovenija/sarec-zaveze-natu-ostajajo-zmanjsevanja-sredstev-za-obrambo-ne-bo/631221" TargetMode="External"/><Relationship Id="rId527" Type="http://schemas.openxmlformats.org/officeDocument/2006/relationships/hyperlink" Target="https://www.ctvnews.ca/politics/a-lot-more-people-are-going-to-die-canada-sending-more-lethal-weapons-to-ukraine-1.5804357" TargetMode="External"/><Relationship Id="rId734" Type="http://schemas.openxmlformats.org/officeDocument/2006/relationships/hyperlink" Target="https://www.diplomatie.gouv.fr/en/country-files/ukraine/news/article/ukraine-france-mobilised-to-support-ukraine-through-medical-care-for-war" TargetMode="External"/><Relationship Id="rId941" Type="http://schemas.openxmlformats.org/officeDocument/2006/relationships/hyperlink" Target="https://www.defensenews.com/land/2022/08/22/turkey-sends-50-mine-resistant-vehicles-to-ukraine-with-more-expected/" TargetMode="External"/><Relationship Id="rId1157" Type="http://schemas.openxmlformats.org/officeDocument/2006/relationships/hyperlink" Target="https://mil.in.ua/en/news/belgium-made-a-decision-to-hand-over-artillery-to-ukraine-the-media/" TargetMode="External"/><Relationship Id="rId1364" Type="http://schemas.openxmlformats.org/officeDocument/2006/relationships/hyperlink" Target="https://www.state.gov/2-8-billion-in-additional-u-s-military-assistance-for-ukraine-and-its-neighbors/" TargetMode="External"/><Relationship Id="rId70" Type="http://schemas.openxmlformats.org/officeDocument/2006/relationships/hyperlink" Target="https://www.globalcitizen.org/en/content/stand-up-for-ukraine-impact-report/" TargetMode="External"/><Relationship Id="rId801" Type="http://schemas.openxmlformats.org/officeDocument/2006/relationships/hyperlink" Target="https://en.defence-ua.com/weapon_and_tech/ukrainian_defense_forces_will_get_several_alvis_apc_from_estonia-2973.html" TargetMode="External"/><Relationship Id="rId1017" Type="http://schemas.openxmlformats.org/officeDocument/2006/relationships/hyperlink" Target="https://www.euractiv.com/section/politics/short_news/belgium-to-provide-e8-million-for-non-lethal-aid-to-ukraines-armed-forces/" TargetMode="External"/><Relationship Id="rId1224" Type="http://schemas.openxmlformats.org/officeDocument/2006/relationships/hyperlink" Target="https://www-regjeringen-no.translate.goog/en/aktuelt/droner/id2924942/?_x_tr_sl=auto&amp;_x_tr_tl=uk&amp;_x_tr_hl=uk&amp;_x_tr_pto=op" TargetMode="External"/><Relationship Id="rId1431" Type="http://schemas.openxmlformats.org/officeDocument/2006/relationships/hyperlink" Target="https://www.wfp.org/news/japan-provides-us28-million-humanitarian-food-assistance-ukraine" TargetMode="External"/><Relationship Id="rId28" Type="http://schemas.openxmlformats.org/officeDocument/2006/relationships/hyperlink" Target="https://www.termometropolitico.it/1600183_guerra-russia-ucraina-litalia-invia-armi-e-mezzi-i-dettagli-delloperazione.html" TargetMode="External"/><Relationship Id="rId177" Type="http://schemas.openxmlformats.org/officeDocument/2006/relationships/hyperlink" Target="https://twitter.com/sanidadgob/status/1503783624969265161" TargetMode="External"/><Relationship Id="rId384" Type="http://schemas.openxmlformats.org/officeDocument/2006/relationships/hyperlink" Target="https://www.business-standard.com/article/international/japan-will-double-financial-aid-for-ukraine-to-600-million-pm-kishida-122051900737_1.html" TargetMode="External"/><Relationship Id="rId591" Type="http://schemas.openxmlformats.org/officeDocument/2006/relationships/hyperlink" Target="https://europe-cities.com/2022/04/30/us-pressuring-portugal-to-cede-armored-vehicles-to-ukraine/" TargetMode="External"/><Relationship Id="rId244" Type="http://schemas.openxmlformats.org/officeDocument/2006/relationships/hyperlink" Target="https://twitter.com/kajakallas/status/1522215001934557186" TargetMode="External"/><Relationship Id="rId689" Type="http://schemas.openxmlformats.org/officeDocument/2006/relationships/hyperlink" Target="https://www.regjeringen.no/en/aktuelt/norge-og-storbritannia-gir-langtrekkende-rakettartilleri-til-ukraina/id2921395/" TargetMode="External"/><Relationship Id="rId896"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081" Type="http://schemas.openxmlformats.org/officeDocument/2006/relationships/hyperlink" Target="https://twitter.com/mod_estonia/status/1507641039745605634?lang=en" TargetMode="External"/><Relationship Id="rId451" Type="http://schemas.openxmlformats.org/officeDocument/2006/relationships/hyperlink" Target="https://www.ukrinform.net/rubric-polytics/3488816-portugal-will-provide-financial-assistance-to-ukraine.html" TargetMode="External"/><Relationship Id="rId549" Type="http://schemas.openxmlformats.org/officeDocument/2006/relationships/hyperlink" Target="https://www.ukrinform.net/rubric-ato/3470180-bulgaria-to-give-ukraine-humanitarian-aid-worth-over-eur-700000-shmyhal.html" TargetMode="External"/><Relationship Id="rId756" Type="http://schemas.openxmlformats.org/officeDocument/2006/relationships/hyperlink" Target="https://radar.rp.pl/przemysl-obronny/art35751811-pioruny-drony-i-amunicja-polskie-uzbrojenie-w-drodze-na-ukraine" TargetMode="External"/><Relationship Id="rId1179" Type="http://schemas.openxmlformats.org/officeDocument/2006/relationships/hyperlink" Target="https://um.dk/en/foreign-policy/danish-support-for-ukraine" TargetMode="External"/><Relationship Id="rId1386" Type="http://schemas.openxmlformats.org/officeDocument/2006/relationships/hyperlink" Target="https://www.tagesschau.de/inland/scholz-ukraine-militaerhilfe-101.html" TargetMode="External"/><Relationship Id="rId104" Type="http://schemas.openxmlformats.org/officeDocument/2006/relationships/hyperlink" Target="https://www.vlada.cz/cz/media-centrum/aktualne/informace-v-souvislosti-s-invazi-ruska-na-ukrajinu-194507/" TargetMode="External"/><Relationship Id="rId311" Type="http://schemas.openxmlformats.org/officeDocument/2006/relationships/hyperlink" Target="https://www.regjeringen.no/en/aktuelt/air-defense-system-to-ukraine/id2908807/" TargetMode="External"/><Relationship Id="rId409" Type="http://schemas.openxmlformats.org/officeDocument/2006/relationships/hyperlink" Target="https://government.se/press-releases/2022/05/sweden-and-poland-co-host-international-donors-conference-to-support-ukrainian-people/" TargetMode="External"/><Relationship Id="rId963" Type="http://schemas.openxmlformats.org/officeDocument/2006/relationships/hyperlink" Target="https://www.defense.gov/News/Releases/Release/Article/3152071/675-million-in-additional-security-assistance-for-ukraine/" TargetMode="External"/><Relationship Id="rId1039" Type="http://schemas.openxmlformats.org/officeDocument/2006/relationships/hyperlink" Target="https://www.facebook.com/mosr.sk/videos/5722932787787796" TargetMode="External"/><Relationship Id="rId1246" Type="http://schemas.openxmlformats.org/officeDocument/2006/relationships/hyperlink" Target="https://www.defense.gouv.fr/terre/actualites/uiisc-1-3e-convoi-solidarite-lukraine" TargetMode="External"/><Relationship Id="rId92" Type="http://schemas.openxmlformats.org/officeDocument/2006/relationships/hyperlink" Target="https://www.vlada.cz/cz/media-centrum/aktualne/vlada-schvalila-dalsi-materialni-pomoc-pro-ukrajinu-a-opatreni-na-pomoc-se-zvladnutim-migracni-krize-194727/" TargetMode="External"/><Relationship Id="rId616" Type="http://schemas.openxmlformats.org/officeDocument/2006/relationships/hyperlink" Target="https://www.government.se/press-releases/2022/06/additional-amending-budget-with-further-support-to-ukraine/" TargetMode="External"/><Relationship Id="rId823" Type="http://schemas.openxmlformats.org/officeDocument/2006/relationships/hyperlink" Target="https://www.infodefensa.com/texto-diario/mostrar/3822103/defensa-da-luz-verde-donacion-10-carros-combate-leopard-2a4-20-m113-ucrania" TargetMode="External"/><Relationship Id="rId1453" Type="http://schemas.openxmlformats.org/officeDocument/2006/relationships/hyperlink" Target="https://news.err.ee/1608793648/estonia-s-total-military-aid-to-ukraine-to-date-approaching-300-million" TargetMode="External"/><Relationship Id="rId1106" Type="http://schemas.openxmlformats.org/officeDocument/2006/relationships/hyperlink" Target="https://www.ekathimerini.com/news/1179620/greek-role-within-nato-is-upgraded/" TargetMode="External"/><Relationship Id="rId1313" Type="http://schemas.openxmlformats.org/officeDocument/2006/relationships/hyperlink" Target="https://www.aa.com.tr/en/europe/spain-announces-increase-in-military-aid-to-ukraine/2668809" TargetMode="External"/><Relationship Id="rId199" Type="http://schemas.openxmlformats.org/officeDocument/2006/relationships/hyperlink" Target="https://www.usaid.gov/news-information/press-releases/apr-20-2022-united-states-contributes-500-million-world-bank-multi-donor-trust" TargetMode="External"/><Relationship Id="rId266" Type="http://schemas.openxmlformats.org/officeDocument/2006/relationships/hyperlink" Target="https://interfax.com.ua/news/general/829945.html" TargetMode="External"/><Relationship Id="rId473" Type="http://schemas.openxmlformats.org/officeDocument/2006/relationships/hyperlink" Target="https://www.teletrader.com/lithuania-to-give-ukraine-10m-in-military-aid/news/details/57547008?internal=1&amp;ts=1654245351379" TargetMode="External"/><Relationship Id="rId680" Type="http://schemas.openxmlformats.org/officeDocument/2006/relationships/hyperlink" Target="https://intermin.fi/en/ukraine/civilian-assistance-to-ukraine" TargetMode="External"/><Relationship Id="rId126" Type="http://schemas.openxmlformats.org/officeDocument/2006/relationships/hyperlink" Target="https://www.centralbanking.com/central-banks/financial-stability/7933406/poland-offers-ukraine-swap-line-as-nbu-suspends-forex-transactions" TargetMode="External"/><Relationship Id="rId333" Type="http://schemas.openxmlformats.org/officeDocument/2006/relationships/hyperlink" Target="https://en.yna.co.kr/view/AEN20220413000800325" TargetMode="External"/><Relationship Id="rId540" Type="http://schemas.openxmlformats.org/officeDocument/2006/relationships/hyperlink" Target="https://www.reuters.com/world/europe/spain-deliver-anti-aircraft-missiles-tanks-ukraine-el-pais-2022-06-05/" TargetMode="External"/><Relationship Id="rId778" Type="http://schemas.openxmlformats.org/officeDocument/2006/relationships/hyperlink" Target="https://www.vestnesis.lv/op/2022/118.11" TargetMode="External"/><Relationship Id="rId985" Type="http://schemas.openxmlformats.org/officeDocument/2006/relationships/hyperlink" Target="https://www.defense.gov/News/Releases/Release/Article/3138105/nearly-3-billion-in-additional-security-assistance-for-ukraine/" TargetMode="External"/><Relationship Id="rId1170" Type="http://schemas.openxmlformats.org/officeDocument/2006/relationships/hyperlink" Target="https://um.dk/en/danida/countries-and-regions/ukraine" TargetMode="External"/><Relationship Id="rId638" Type="http://schemas.openxmlformats.org/officeDocument/2006/relationships/hyperlink" Target="https://www.defense.gov/News/News-Stories/Article/Article/2955960/us-provided-more-than-1-billion-in-security-assistance-to-ukraine-in-past-year/" TargetMode="External"/><Relationship Id="rId845" Type="http://schemas.openxmlformats.org/officeDocument/2006/relationships/hyperlink" Target="https://www.state.gov/400-million-in-new-u-s-military-assistance-for-ukraine/" TargetMode="External"/><Relationship Id="rId1030" Type="http://schemas.openxmlformats.org/officeDocument/2006/relationships/hyperlink" Target="https://en.interfax.com.ua/news/general/859303.html" TargetMode="External"/><Relationship Id="rId1268" Type="http://schemas.openxmlformats.org/officeDocument/2006/relationships/hyperlink" Target="https://www.ukrinform.net/rubric-ato/3604150-italy-provides-ukraine-with-two-m270-systems-six-pzh-2000-about-30-selfpropelled-howitzers-media.html" TargetMode="External"/><Relationship Id="rId1475" Type="http://schemas.openxmlformats.org/officeDocument/2006/relationships/hyperlink" Target="https://www.leparisien.fr/politique/sebastien-lecornu-nous-allons-former-jusqua-2000-soldats-ukrainiens-en-france-15-10-2022-SBLM6EKPOFELNHN3GHGA7IAESY.php" TargetMode="External"/><Relationship Id="rId400" Type="http://schemas.openxmlformats.org/officeDocument/2006/relationships/hyperlink" Target="https://twitter.com/Defensagob/status/1512424894881017857" TargetMode="External"/><Relationship Id="rId705" Type="http://schemas.openxmlformats.org/officeDocument/2006/relationships/hyperlink" Target="https://www.reuters.com/world/europe/dutch-others-will-continue-deliver-weapons-ukraine-dutch-minister-2022-03-16/" TargetMode="External"/><Relationship Id="rId1128" Type="http://schemas.openxmlformats.org/officeDocument/2006/relationships/hyperlink" Target="https://appropriations.house.gov/sites/democrats.appropriations.house.gov/files/Additional%20Ukraine%20Suplemental%20Appropriations%20Act%20Summary.pdf" TargetMode="External"/><Relationship Id="rId1335" Type="http://schemas.openxmlformats.org/officeDocument/2006/relationships/hyperlink" Target="https://www.gov.uk/government/news/uk-to-offer-major-training-programme-for-ukrainian-forces-as-prime-minister-hails-their-victorious-determination" TargetMode="External"/><Relationship Id="rId137" Type="http://schemas.openxmlformats.org/officeDocument/2006/relationships/hyperlink" Target="https://www.reuters.com/world/europe/britain-exploring-donating-anti-air-missiles-ukraine-defence-minister-2022-03-09/" TargetMode="External"/><Relationship Id="rId344" Type="http://schemas.openxmlformats.org/officeDocument/2006/relationships/hyperlink" Target="https://pm.gc.ca/en/news/news-releases/2022/05/08/prime-minister-visits-kyiv-ukraine" TargetMode="External"/><Relationship Id="rId691" Type="http://schemas.openxmlformats.org/officeDocument/2006/relationships/hyperlink" Target="https://www.regjeringen.no/en/aktuelt/first-wounded-soldiers-from-ukraine-arrive/id2918391/" TargetMode="External"/><Relationship Id="rId789" Type="http://schemas.openxmlformats.org/officeDocument/2006/relationships/hyperlink" Target="https://www.bbc.com/news/world-europe-61482305" TargetMode="External"/><Relationship Id="rId912" Type="http://schemas.openxmlformats.org/officeDocument/2006/relationships/hyperlink" Target="https://www.gov.uk/government/news/prime-minister-tells-ukraine-they-will-win-as-he-marks-independence-day-24-august-2022" TargetMode="External"/><Relationship Id="rId996" Type="http://schemas.openxmlformats.org/officeDocument/2006/relationships/hyperlink" Target="https://www.defense.gov/News/Releases/Release/Article/3173378/11-billion-in-additional-security-assistance-for-ukraine/" TargetMode="External"/><Relationship Id="rId41" Type="http://schemas.openxmlformats.org/officeDocument/2006/relationships/hyperlink" Target="https://www.jutarnji.hr/vijesti/hrvatska/donesen-paket-mjera-za-ukrajinu-hrvatska-salje-opremu-i-naoruzanje-u-vrijednosti-124-milijuna-kuna-15163892" TargetMode="External"/><Relationship Id="rId551" Type="http://schemas.openxmlformats.org/officeDocument/2006/relationships/hyperlink" Target="https://www.kmu.gov.ua/en/news/denis-shmigal-ukrayina-vdyachna-bolgariyi-shcho-spilno-z-mizhnarodnoyu-spilnotoyu-bere-uchast-u-pidtrimci-nashoyi-krayini" TargetMode="External"/><Relationship Id="rId649" Type="http://schemas.openxmlformats.org/officeDocument/2006/relationships/hyperlink" Target="https://www.armyrecognition.com/ukraine_-_russia_conflict_war_2022/mamba_mk_2_4x4_armored_vehicles_formerly_from_estonian_army_now_used_by_ukrainian_soldiers.html?jampmain" TargetMode="External"/><Relationship Id="rId856" Type="http://schemas.openxmlformats.org/officeDocument/2006/relationships/hyperlink" Target="https://www.reuters.com/world/europe/spain-says-its-mothballed-german-made-tanks-no-fit-state-send-ukraine-2022-08-02/" TargetMode="External"/><Relationship Id="rId1181" Type="http://schemas.openxmlformats.org/officeDocument/2006/relationships/hyperlink" Target="https://um.dk/en/foreign-policy/danish-support-for-ukraine" TargetMode="External"/><Relationship Id="rId1279" Type="http://schemas.openxmlformats.org/officeDocument/2006/relationships/hyperlink" Target="https://babel.ua/en/news/78825-portugal-will-hand-over-another-160-tons-of-military-aid-to-ukraine" TargetMode="External"/><Relationship Id="rId1402" Type="http://schemas.openxmlformats.org/officeDocument/2006/relationships/hyperlink" Target="https://www.tagesschau.de/inland/scholz-ukraine-militaerhilfe-101.html" TargetMode="External"/><Relationship Id="rId1486" Type="http://schemas.openxmlformats.org/officeDocument/2006/relationships/hyperlink" Target="https://www.facebook.com/watch/?v=830836764592255" TargetMode="External"/><Relationship Id="rId190" Type="http://schemas.openxmlformats.org/officeDocument/2006/relationships/hyperlink" Target="https://www.defense.gov/News/Releases/Release/Article/3007664/fact-sheet-on-us-security-assistance-for-ukraine-roll-up-as-of-april-21-2022/" TargetMode="External"/><Relationship Id="rId204" Type="http://schemas.openxmlformats.org/officeDocument/2006/relationships/hyperlink" Target="https://cyprus-mail.com/2022/04/06/aid-for-ukraine-now-tops-e2-million/" TargetMode="External"/><Relationship Id="rId288" Type="http://schemas.openxmlformats.org/officeDocument/2006/relationships/hyperlink" Target="https://www.abc.net.au/news/rural/2022-03-22/cost-sending-70000-tonnes-of-coal-to-ukraine/100929070" TargetMode="External"/><Relationship Id="rId411" Type="http://schemas.openxmlformats.org/officeDocument/2006/relationships/hyperlink" Target="https://news.defence.gov.au/international/working-together-ukraine" TargetMode="External"/><Relationship Id="rId509" Type="http://schemas.openxmlformats.org/officeDocument/2006/relationships/hyperlink" Target="https://www.eib.org/en/press/news/donation-ukraine" TargetMode="External"/><Relationship Id="rId1041" Type="http://schemas.openxmlformats.org/officeDocument/2006/relationships/hyperlink" Target="https://www.euractiv.com/section/politics/short_news/croatia-to-send-weapons-to-ukraine-provide-health-care-to-refugees/" TargetMode="External"/><Relationship Id="rId1139" Type="http://schemas.openxmlformats.org/officeDocument/2006/relationships/hyperlink" Target="https://www.ukrinform.net/rubric-ato/3502204-norway-donates-22-m109-howitzers-to-ukraine.html" TargetMode="External"/><Relationship Id="rId1346" Type="http://schemas.openxmlformats.org/officeDocument/2006/relationships/hyperlink" Target="https://www.facebook.com/UkraineMFA/videos/667551908260597/?extid=NS-UNK-UNK-UNK-IOS_GK0T-GK1C" TargetMode="External"/><Relationship Id="rId495" Type="http://schemas.openxmlformats.org/officeDocument/2006/relationships/hyperlink" Target="https://www.bbc.com/news/world-europe-61482305" TargetMode="External"/><Relationship Id="rId716" Type="http://schemas.openxmlformats.org/officeDocument/2006/relationships/hyperlink" Target="https://www.kmu.gov.ua/en/news/minfin-ukrayina-otrimala-1-mlrd-kanadskih-dolariv-vid-kanadi" TargetMode="External"/><Relationship Id="rId923" Type="http://schemas.openxmlformats.org/officeDocument/2006/relationships/hyperlink" Target="https://www.brusselstimes.com/290771/belgium-to-give-e12-million-in-military-aid-to-ukraine" TargetMode="External"/><Relationship Id="rId52" Type="http://schemas.openxmlformats.org/officeDocument/2006/relationships/hyperlink" Target="https://twitter.com/alexanderdecroo/status/1497542000228417537" TargetMode="External"/><Relationship Id="rId148" Type="http://schemas.openxmlformats.org/officeDocument/2006/relationships/hyperlink" Target="https://ua.interfax.com.ua/news/general/807284.html" TargetMode="External"/><Relationship Id="rId355" Type="http://schemas.openxmlformats.org/officeDocument/2006/relationships/hyperlink" Target="https://meta-defense.fr/en/2022/04/22/france-will-deliver-caesar-mobile-artillery-systems-to-ukraine/" TargetMode="External"/><Relationship Id="rId562" Type="http://schemas.openxmlformats.org/officeDocument/2006/relationships/hyperlink" Target="https://www.rferl.org/a/czech-republic-poland-new-military-aid-ukraine/31873938.html" TargetMode="External"/><Relationship Id="rId1192" Type="http://schemas.openxmlformats.org/officeDocument/2006/relationships/hyperlink" Target="https://www.youtube.com/watch?v=vzENx6dTpqY" TargetMode="External"/><Relationship Id="rId1206" Type="http://schemas.openxmlformats.org/officeDocument/2006/relationships/hyperlink" Target="https://yle.fi/novyny/3-12649451" TargetMode="External"/><Relationship Id="rId1413" Type="http://schemas.openxmlformats.org/officeDocument/2006/relationships/hyperlink" Target="https://www.dw.com/en/ukraine-updates-zelenskyy-hints-he-is-open-to-talks-with-russia/a-63679013" TargetMode="External"/><Relationship Id="rId215" Type="http://schemas.openxmlformats.org/officeDocument/2006/relationships/hyperlink" Target="https://eng.lsm.lv/article/economy/economy/latvia-directs-additional-five-million-euros-to-ukraine.a446989/" TargetMode="External"/><Relationship Id="rId422" Type="http://schemas.openxmlformats.org/officeDocument/2006/relationships/hyperlink" Target="https://www.youtube.com/watch?v=xsRCOOin-0U" TargetMode="External"/><Relationship Id="rId867" Type="http://schemas.openxmlformats.org/officeDocument/2006/relationships/hyperlink" Target="https://ua.interfax.com.ua/news/general/844172.html" TargetMode="External"/><Relationship Id="rId1052" Type="http://schemas.openxmlformats.org/officeDocument/2006/relationships/hyperlink" Target="https://www.diplomatie.gouv.fr/en/country-files/ukraine/news/article/ukraine-catherine-colonna-to-attend-the-launch-of-solidarity-operation-un" TargetMode="External"/><Relationship Id="rId1497" Type="http://schemas.openxmlformats.org/officeDocument/2006/relationships/hyperlink" Target="https://appropriations.house.gov/sites/democrats.appropriations.house.gov/files/Additional%20Ukraine%20Suplemental%20Appropriations%20Act%20Summary.pdf" TargetMode="External"/><Relationship Id="rId299" Type="http://schemas.openxmlformats.org/officeDocument/2006/relationships/hyperlink" Target="https://cde.news/belgium-explores-new-avenues-of-assistance-for-ukraine/" TargetMode="External"/><Relationship Id="rId727" Type="http://schemas.openxmlformats.org/officeDocument/2006/relationships/hyperlink" Target="https://pm.gc.ca/en/news/backgrounders/2022/06/28/additional-canadian-support-ukraine-announced-2022-g7-summit" TargetMode="External"/><Relationship Id="rId934" Type="http://schemas.openxmlformats.org/officeDocument/2006/relationships/hyperlink" Target="https://www.livemint.com/news/world/india-sends-7-725-kilograms-of-humanitarian-aid-to-ukraine-amid-war-read-here-11662994122487.html" TargetMode="External"/><Relationship Id="rId1357" Type="http://schemas.openxmlformats.org/officeDocument/2006/relationships/hyperlink" Target="https://www.cnbc.com/2022/06/15/biden-to-send-another-1-billion-in-military-aid-to-ukraine-.html" TargetMode="External"/><Relationship Id="rId63" Type="http://schemas.openxmlformats.org/officeDocument/2006/relationships/hyperlink" Target="https://www.teletrader.com/lithuania-to-give-ukraine-10m-in-military-aid/news/details/57547008?internal=1&amp;ts=1650527739811" TargetMode="External"/><Relationship Id="rId159" Type="http://schemas.openxmlformats.org/officeDocument/2006/relationships/hyperlink" Target="https://www.whitehouse.gov/briefing-room/speeches-remarks/2022/03/26/remarks-by-president-biden-on-the-united-efforts-of-the-free-world-to-support-the-people-of-ukraine/" TargetMode="External"/><Relationship Id="rId366" Type="http://schemas.openxmlformats.org/officeDocument/2006/relationships/hyperlink" Target="https://war.ukraine.ua/news/19207/" TargetMode="External"/><Relationship Id="rId573" Type="http://schemas.openxmlformats.org/officeDocument/2006/relationships/hyperlink" Target="https://pmtranscripts.pmc.gov.au/release/transcript-43868" TargetMode="External"/><Relationship Id="rId780" Type="http://schemas.openxmlformats.org/officeDocument/2006/relationships/hyperlink" Target="https://www.defense.gov/News/Releases/Release/Article/3049472/700-million-in-additional-security-assistance-for-ukraine/" TargetMode="External"/><Relationship Id="rId1217" Type="http://schemas.openxmlformats.org/officeDocument/2006/relationships/hyperlink" Target="https://www.mod.go.jp/j/press/news/2022/08/04a.html" TargetMode="External"/><Relationship Id="rId1424" Type="http://schemas.openxmlformats.org/officeDocument/2006/relationships/hyperlink" Target="https://www.defensa.gob.es/gabinete/notasPrensa/2022/11/DGC-221110-sesion-ucrania.html" TargetMode="External"/><Relationship Id="rId226" Type="http://schemas.openxmlformats.org/officeDocument/2006/relationships/hyperlink" Target="https://www.euractiv.com/section/politics/short_news/austria-more-than-doubles-financial-support-for-ukraine-with-citizen-donations/" TargetMode="External"/><Relationship Id="rId433"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878" Type="http://schemas.openxmlformats.org/officeDocument/2006/relationships/hyperlink" Target="https://edition.cnn.com/2022/07/08/politics/us-ukraine-arms-shipment/index.html" TargetMode="External"/><Relationship Id="rId1063" Type="http://schemas.openxmlformats.org/officeDocument/2006/relationships/hyperlink" Target="https://www.connexionfrance.com/article/French-news/Humanitarian-ship-for-Ukraine-leaves-French-port-with-8m-of-aid" TargetMode="External"/><Relationship Id="rId1270" Type="http://schemas.openxmlformats.org/officeDocument/2006/relationships/hyperlink" Target="https://www.ukrinform.net/rubric-ato/3604150-italy-provides-ukraine-with-two-m270-systems-six-pzh-2000-about-30-selfpropelled-howitzers-media.html" TargetMode="External"/><Relationship Id="rId640" Type="http://schemas.openxmlformats.org/officeDocument/2006/relationships/hyperlink" Target="https://www.thebulletin.be/belgium-send-more-weapons-and-fuel-ukraine" TargetMode="External"/><Relationship Id="rId738" Type="http://schemas.openxmlformats.org/officeDocument/2006/relationships/hyperlink" Target="https://www.cbc.ca/news/politics/anand-biggest-military-donation-ukraine-1.6463915" TargetMode="External"/><Relationship Id="rId945" Type="http://schemas.openxmlformats.org/officeDocument/2006/relationships/hyperlink" Target="https://www.defense.gov/News/Releases/Release/Article/3134457/775-million-in-additional-security-assistance-for-ukraine/" TargetMode="External"/><Relationship Id="rId1368" Type="http://schemas.openxmlformats.org/officeDocument/2006/relationships/hyperlink" Target="https://ua.usembassy.gov/625-million-in-additional-u-s-military-assistance-for-ukraine/" TargetMode="External"/><Relationship Id="rId74" Type="http://schemas.openxmlformats.org/officeDocument/2006/relationships/hyperlink" Target="https://www.ctvnews.ca/politics/ukraine-can-t-negotiate-with-gun-to-head-says-joly-as-trudeau-presses-allies-1.5811832" TargetMode="External"/><Relationship Id="rId377" Type="http://schemas.openxmlformats.org/officeDocument/2006/relationships/hyperlink" Target="https://www.cbc.ca/news/politics/anand-biggest-military-donation-ukraine-1.6463915" TargetMode="External"/><Relationship Id="rId500" Type="http://schemas.openxmlformats.org/officeDocument/2006/relationships/hyperlink" Target="https://euneighbourseast.eu/news-and-stories/latest-news/ukraine-eu-announces-new-aid-worth-e200-million-for-displaced-people/" TargetMode="External"/><Relationship Id="rId584" Type="http://schemas.openxmlformats.org/officeDocument/2006/relationships/hyperlink" Target="https://www.theportugalnews.com/news/2022-04-07/portugal-to-send-more-military-material-to-ukraine/66259" TargetMode="External"/><Relationship Id="rId805" Type="http://schemas.openxmlformats.org/officeDocument/2006/relationships/hyperlink" Target="https://www.usnews.com/news/world/articles/2022-06-16/slovaks-give-mi-helicopters-grad-rockets-to-ukraine" TargetMode="External"/><Relationship Id="rId1130" Type="http://schemas.openxmlformats.org/officeDocument/2006/relationships/hyperlink" Target="https://www.defense.gov/News/Releases/Release/Article/3064556/joint-statement-by-the-united-states-department-of-defense-the-ministry-of-defe/" TargetMode="External"/><Relationship Id="rId1228" Type="http://schemas.openxmlformats.org/officeDocument/2006/relationships/hyperlink" Target="https://www.admin.ch/gov/en/start/documentation/media-releases.msg-id-91098.html" TargetMode="External"/><Relationship Id="rId1435" Type="http://schemas.openxmlformats.org/officeDocument/2006/relationships/hyperlink" Target="https://kaitseministeerium.ee/en/news/estonia-increase-defence-aid-ukraine" TargetMode="External"/><Relationship Id="rId5" Type="http://schemas.openxmlformats.org/officeDocument/2006/relationships/hyperlink" Target="https://www.delfi.lt/en/politics/kasciunas-lithuania-provides-ukraine-with-military-aid-worth-eur-29-mln.d?id=89718941" TargetMode="External"/><Relationship Id="rId237" Type="http://schemas.openxmlformats.org/officeDocument/2006/relationships/hyperlink" Target="https://www.euronews.com/next/2022/04/28/finland-to-sell-confiscated-bitcoin-worth-75-million-to-support-ukraine-s-war-effort" TargetMode="External"/><Relationship Id="rId791" Type="http://schemas.openxmlformats.org/officeDocument/2006/relationships/hyperlink" Target="https://www.defense.gov/News/Releases/Release/Article/3081993/820-million-in-additional-security-assistance-for-ukraine/" TargetMode="External"/><Relationship Id="rId889" Type="http://schemas.openxmlformats.org/officeDocument/2006/relationships/hyperlink" Target="https://www.mod.gov.lv/lv/zinas/latvija-ukrainas-armijai-piegadajusi-helikopterus-mi-17-un-mi-2" TargetMode="External"/><Relationship Id="rId1074" Type="http://schemas.openxmlformats.org/officeDocument/2006/relationships/hyperlink" Target="https://www.kmu.gov.ua/en/news/ukraina-otrymaie-vid-svitovoho-banku-dodatkove-finansuvannia-na-5299-mln-dol-ssha-dlia-nahalnykh-potreb" TargetMode="External"/><Relationship Id="rId444" Type="http://schemas.openxmlformats.org/officeDocument/2006/relationships/hyperlink" Target="https://www.france24.com/en/live-news/20220601-arms-for-ukraine-who-has-sent-what" TargetMode="External"/><Relationship Id="rId651" Type="http://schemas.openxmlformats.org/officeDocument/2006/relationships/hyperlink" Target="https://www.lefigaro.fr/flash-actu/la-france-a-envoye-33-tonnes-d-aide-humanitaire-pour-l-ukraine-20220228" TargetMode="External"/><Relationship Id="rId749" Type="http://schemas.openxmlformats.org/officeDocument/2006/relationships/hyperlink" Target="https://kyivindependent.com/uncategorized/poland-has-provided-ukraine-with-weapons-worth-1-6-billion/" TargetMode="External"/><Relationship Id="rId1281" Type="http://schemas.openxmlformats.org/officeDocument/2006/relationships/hyperlink" Target="https://www.facebook.com/ukremb.at/posts/2254397241403945" TargetMode="External"/><Relationship Id="rId1379" Type="http://schemas.openxmlformats.org/officeDocument/2006/relationships/hyperlink" Target="https://www.lemonde.fr/en/international/article/2022/10/11/what-weapons-is-france-sending-to-ukraine_5999916_4.html" TargetMode="External"/><Relationship Id="rId1502" Type="http://schemas.openxmlformats.org/officeDocument/2006/relationships/hyperlink" Target="https://www.defense.gov/News/Releases/Release/Article/3007664/fact-sheet-on-us-security-assistance-for-ukraine-roll-up-as-of-april-21-2022/" TargetMode="External"/><Relationship Id="rId290" Type="http://schemas.openxmlformats.org/officeDocument/2006/relationships/hyperlink" Target="https://www.regjeringen.no/en/topics/foreign-affairs/humanitarian-efforts/neighbour_support/id2908141/" TargetMode="External"/><Relationship Id="rId304" Type="http://schemas.openxmlformats.org/officeDocument/2006/relationships/hyperlink" Target="https://reliefweb.int/report/ukraine/switzerland-steps-humanitarian-aid-ukraine" TargetMode="External"/><Relationship Id="rId388"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511" Type="http://schemas.openxmlformats.org/officeDocument/2006/relationships/hyperlink" Target="https://ec.europa.eu/commission/presscorner/detail/en/IP_22_2382" TargetMode="External"/><Relationship Id="rId609" Type="http://schemas.openxmlformats.org/officeDocument/2006/relationships/hyperlink" Target="https://www.ukrinform.net/rubric-ato/3502204-norway-donates-22-m109-howitzers-to-ukraine.html" TargetMode="External"/><Relationship Id="rId956" Type="http://schemas.openxmlformats.org/officeDocument/2006/relationships/hyperlink" Target="https://www.defense.gov/News/Releases/Release/Article/3134457/775-million-in-additional-security-assistance-for-ukraine/" TargetMode="External"/><Relationship Id="rId1141" Type="http://schemas.openxmlformats.org/officeDocument/2006/relationships/hyperlink" Target="https://www.gouvernement.fr/actualite/lancement-de-loperation-un-bateau-pour-lukraine" TargetMode="External"/><Relationship Id="rId1239" Type="http://schemas.openxmlformats.org/officeDocument/2006/relationships/hyperlink" Target="https://www.interieur.gouv.fr/actualites/dossiers/situation-en-ukraine/solidarite-nationale-envers-lukraine-second-convoi-de" TargetMode="External"/><Relationship Id="rId85" Type="http://schemas.openxmlformats.org/officeDocument/2006/relationships/hyperlink" Target="https://www.netnewsledger.com/2022/01/26/government-of-canada-announces-340-million-for-ukraine/" TargetMode="External"/><Relationship Id="rId150" Type="http://schemas.openxmlformats.org/officeDocument/2006/relationships/hyperlink" Target="https://twitter.com/AnnLinde/status/1506663502865485844?msclkid=7276d96ab5d011ecb3f22619c3297e84" TargetMode="External"/><Relationship Id="rId595" Type="http://schemas.openxmlformats.org/officeDocument/2006/relationships/hyperlink" Target="https://www.romania-insider.com/romania-donates-ambulances-ukraine-2022" TargetMode="External"/><Relationship Id="rId816" Type="http://schemas.openxmlformats.org/officeDocument/2006/relationships/hyperlink" Target="https://www.defense.gov/News/News-Stories/Article/Article/3072692/president-authorizes-another-450-million-drawdown-to-support-ukraine/" TargetMode="External"/><Relationship Id="rId1001" Type="http://schemas.openxmlformats.org/officeDocument/2006/relationships/hyperlink" Target="https://appropriations.house.gov/sites/democrats.appropriations.house.gov/files/Summary%20Continuing%20Appropriations%20and%20Ukraine%20Supplemental%20Appropriations%20Act%202023.pdf" TargetMode="External"/><Relationship Id="rId1446" Type="http://schemas.openxmlformats.org/officeDocument/2006/relationships/hyperlink" Target="https://news.err.ee/1608742171/estonia-sends-more-ammunition-protective-equipment-to-ukraine" TargetMode="External"/><Relationship Id="rId248" Type="http://schemas.openxmlformats.org/officeDocument/2006/relationships/hyperlink" Target="https://www.aa.com.tr/en/europe/france-to-deliver-caesar-artillery-guns-shells-to-ukraine/2570644" TargetMode="External"/><Relationship Id="rId455" Type="http://schemas.openxmlformats.org/officeDocument/2006/relationships/hyperlink" Target="https://en.defence-ua.com/weapon_and_tech/portugal_to_send_howitzers_and_apcs_to_ukraine-2846.html" TargetMode="External"/><Relationship Id="rId662" Type="http://schemas.openxmlformats.org/officeDocument/2006/relationships/hyperlink" Target="https://www.youtube.com/watch?v=vzENx6dTpqY" TargetMode="External"/><Relationship Id="rId1085" Type="http://schemas.openxmlformats.org/officeDocument/2006/relationships/hyperlink" Target="https://twitter.com/oleksiireznikov/status/1569670474841427971" TargetMode="External"/><Relationship Id="rId1292" Type="http://schemas.openxmlformats.org/officeDocument/2006/relationships/hyperlink" Target="https://pm.gc.ca/en/news/news-releases/2022/11/14/prime-minister-announces-additional-military-assistance-ukraine-and" TargetMode="External"/><Relationship Id="rId1306" Type="http://schemas.openxmlformats.org/officeDocument/2006/relationships/hyperlink" Target="https://www.dw.com/en/ukraine-updates-zelenskyy-hints-he-is-open-to-talks-with-russia/a-63679013" TargetMode="External"/><Relationship Id="rId12" Type="http://schemas.openxmlformats.org/officeDocument/2006/relationships/hyperlink" Target="https://vlada.gov.hr/news/croatia-sending-emergency-aid-to-ukraine/33960" TargetMode="External"/><Relationship Id="rId108" Type="http://schemas.openxmlformats.org/officeDocument/2006/relationships/hyperlink" Target="https://www.vlada.cz/cz/media-centrum/aktualne/informace-v-souvislosti-s-invazi-ruska-na-ukrajinu-194507/" TargetMode="External"/><Relationship Id="rId315" Type="http://schemas.openxmlformats.org/officeDocument/2006/relationships/hyperlink" Target="https://www.regjeringen.no/en/topics/foreign-affairs/humanitarian-efforts/neighbour_support/id2908141/" TargetMode="External"/><Relationship Id="rId522" Type="http://schemas.openxmlformats.org/officeDocument/2006/relationships/hyperlink" Target="https://www.bmi.gv.at/news.aspx?id=69543149763057644C4C633D" TargetMode="External"/><Relationship Id="rId967" Type="http://schemas.openxmlformats.org/officeDocument/2006/relationships/hyperlink" Target="https://www.defense.gov/News/Releases/Release/Article/3152071/675-million-in-additional-security-assistance-for-ukraine/" TargetMode="External"/><Relationship Id="rId1152" Type="http://schemas.openxmlformats.org/officeDocument/2006/relationships/hyperlink" Target="https://www.pm.gov.au/media/visit-kyiv-and-further-australian-support-ukraine" TargetMode="External"/><Relationship Id="rId96" Type="http://schemas.openxmlformats.org/officeDocument/2006/relationships/hyperlink" Target="https://www.reuters.com/article/ukraine-crisis-czech-arms-idUSL2N2VG078" TargetMode="External"/><Relationship Id="rId161" Type="http://schemas.openxmlformats.org/officeDocument/2006/relationships/hyperlink" Target="https://www.lamoncloa.gob.es/lang/en/gobierno/news/Paginas/2022/20220226_humanitarian-aid.aspx" TargetMode="External"/><Relationship Id="rId399" Type="http://schemas.openxmlformats.org/officeDocument/2006/relationships/hyperlink" Target="https://www.youtube.com/watch?v=A1nTsblXabc" TargetMode="External"/><Relationship Id="rId827" Type="http://schemas.openxmlformats.org/officeDocument/2006/relationships/hyperlink" Target="https://www.gov.uk/government/news/uk-to-send-scores-of-artillery-guns-and-hundreds-of-drones-to-ukraine" TargetMode="External"/><Relationship Id="rId1012" Type="http://schemas.openxmlformats.org/officeDocument/2006/relationships/hyperlink" Target="https://www.dfat.gov.au/crisis-hub/invasion-ukraine-russia" TargetMode="External"/><Relationship Id="rId1457" Type="http://schemas.openxmlformats.org/officeDocument/2006/relationships/hyperlink" Target="https://www.aa.com.tr/en/europe/spain-announces-increase-in-military-aid-to-ukraine/2668809" TargetMode="External"/><Relationship Id="rId259" Type="http://schemas.openxmlformats.org/officeDocument/2006/relationships/hyperlink" Target="https://interfax.com.ua/news/general/829945.html" TargetMode="External"/><Relationship Id="rId466" Type="http://schemas.openxmlformats.org/officeDocument/2006/relationships/hyperlink" Target="https://defensereview.com/aevex-aerospace-phoenix-ghost-secretive-suicide-kamikaze-drone-aircraft-being-shipped-to-ukraine-to-help-fight-the-russians/" TargetMode="External"/><Relationship Id="rId673" Type="http://schemas.openxmlformats.org/officeDocument/2006/relationships/hyperlink" Target="https://intermin.fi/en/ukraine/civilian-assistance-to-ukraine" TargetMode="External"/><Relationship Id="rId880"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1096" Type="http://schemas.openxmlformats.org/officeDocument/2006/relationships/hyperlink" Target="https://news.err.ee/1608731662/economic-minister-estonia-can-set-an-example-for-rebuilding-ukraine" TargetMode="External"/><Relationship Id="rId1317" Type="http://schemas.openxmlformats.org/officeDocument/2006/relationships/hyperlink" Target="https://www.youtube.com/watch?v=D59VdvNdPwo&amp;t=2s&amp;ab_channel=NATONews" TargetMode="External"/><Relationship Id="rId23" Type="http://schemas.openxmlformats.org/officeDocument/2006/relationships/hyperlink" Target="https://www.esteri.it/it/sala_stampa/archivionotizie/comunicati/2022/03/fornitura-di-beni-umanitari-in-favore-della-popolazione-ucraina/" TargetMode="External"/><Relationship Id="rId119" Type="http://schemas.openxmlformats.org/officeDocument/2006/relationships/hyperlink" Target="https://www.whitehouse.gov/briefing-room/speeches-remarks/2022/03/10/corrected-remarks-by-vice-president-harris-and-president-andrzej-duda-of-poland-in-joint-press-conference/" TargetMode="External"/><Relationship Id="rId326" Type="http://schemas.openxmlformats.org/officeDocument/2006/relationships/hyperlink" Target="https://www.rnz.co.nz/news/world/462443/new-zealand-pledges-2m-for-ukraine-aid" TargetMode="External"/><Relationship Id="rId533" Type="http://schemas.openxmlformats.org/officeDocument/2006/relationships/hyperlink" Target="https://twitter.com/visegrad24/status/1533567105110507521" TargetMode="External"/><Relationship Id="rId978" Type="http://schemas.openxmlformats.org/officeDocument/2006/relationships/hyperlink" Target="https://www.defense.gov/News/Releases/Release/Article/3160503/600-million-in-additional-security-assistance-for-ukraine/" TargetMode="External"/><Relationship Id="rId1163" Type="http://schemas.openxmlformats.org/officeDocument/2006/relationships/hyperlink" Target="https://www.forbes.com/sites/sebastienroblin/2022/10/28/czech-super-t-72m4-tanks-seen-headed-towards-ukraine/?sh=679ee5423ce7" TargetMode="External"/><Relationship Id="rId1370" Type="http://schemas.openxmlformats.org/officeDocument/2006/relationships/hyperlink" Target="https://www.defense.gov/News/Releases/Release/Article/3203509/275-million-in-additional-presidential-drawdown-security-assistance-for-ukraine/" TargetMode="External"/><Relationship Id="rId740" Type="http://schemas.openxmlformats.org/officeDocument/2006/relationships/hyperlink" Target="https://twitter.com/michaldworczyk/status/1494357415915048962?s=21&amp;t=L7Uw2JWRBlkceKl-kFEvSQ" TargetMode="External"/><Relationship Id="rId838" Type="http://schemas.openxmlformats.org/officeDocument/2006/relationships/hyperlink" Target="https://mobile.twitter.com/EU_Commission/status/1551598152041603072" TargetMode="External"/><Relationship Id="rId1023" Type="http://schemas.openxmlformats.org/officeDocument/2006/relationships/hyperlink" Target="https://www.brusselstimes.com/278107/belgium-provides-e8-million-for-non-lethal-help-to-ukraine" TargetMode="External"/><Relationship Id="rId1468" Type="http://schemas.openxmlformats.org/officeDocument/2006/relationships/hyperlink" Target="https://www.lejdd.fr/International/sebastien-lecornu-ministre-des-armees-nous-navons-pas-a-rougir-de-notre-aide-a-lukraine-4148779" TargetMode="External"/><Relationship Id="rId172" Type="http://schemas.openxmlformats.org/officeDocument/2006/relationships/hyperlink" Target="https://www.gov.si/en/news/2022-03-01-minister-logar-announces-eur-1-1-million-in-humanitarian-aid-for-ukraine/" TargetMode="External"/><Relationship Id="rId477" Type="http://schemas.openxmlformats.org/officeDocument/2006/relationships/hyperlink" Target="https://news.err.ee/1608555886/estonia-s-220-million-military-aid-to-ukraine-substantially-diversified" TargetMode="External"/><Relationship Id="rId600" Type="http://schemas.openxmlformats.org/officeDocument/2006/relationships/hyperlink" Target="https://www.repubblica.it/esteri/2022/04/28/news/guerra_russia_ucraina_armi_italiane-347273567/" TargetMode="External"/><Relationship Id="rId684" Type="http://schemas.openxmlformats.org/officeDocument/2006/relationships/hyperlink" Target="https://www.globalcitizen.org/en/content/australia-ukraine-aid-follow-up/" TargetMode="External"/><Relationship Id="rId1230" Type="http://schemas.openxmlformats.org/officeDocument/2006/relationships/hyperlink" Target="https://www.taiwan.gov.tw/news.php" TargetMode="External"/><Relationship Id="rId1328" Type="http://schemas.openxmlformats.org/officeDocument/2006/relationships/hyperlink" Target="https://edition.cnn.com/2022/04/09/europe/ukraine-uk-boris-johnson-intl-gbr/index.html" TargetMode="External"/><Relationship Id="rId337" Type="http://schemas.openxmlformats.org/officeDocument/2006/relationships/hyperlink" Target="https://english.alarabiya.net/News/world/2022/04/11/Zelenskyy-believes-tens-of-thousands-killed-in-Ukraine-s-Mariupol" TargetMode="External"/><Relationship Id="rId891" Type="http://schemas.openxmlformats.org/officeDocument/2006/relationships/hyperlink" Target="https://www.mod.gov.lv/lv/zinas/latvija-ukrainas-armijai-piegadajusi-helikopterus-mi-17-un-mi-2" TargetMode="External"/><Relationship Id="rId905" Type="http://schemas.openxmlformats.org/officeDocument/2006/relationships/hyperlink" Target="https://www.reuters.com/world/europe/swedish-pm-sets-out-further-military-aid-package-ukraine-2022-08-29/" TargetMode="External"/><Relationship Id="rId989" Type="http://schemas.openxmlformats.org/officeDocument/2006/relationships/hyperlink" Target="https://www.defense.gov/News/Releases/Release/Article/3173378/11-billion-in-additional-security-assistance-for-ukraine/" TargetMode="External"/><Relationship Id="rId34" Type="http://schemas.openxmlformats.org/officeDocument/2006/relationships/hyperlink" Target="https://www.karpatinfo.net/2022/2/27/szijjarto-magyarorszag-szerepet-vallal-humanitarius-katasztrofa-enyhiteseben-200055995" TargetMode="External"/><Relationship Id="rId544" Type="http://schemas.openxmlformats.org/officeDocument/2006/relationships/hyperlink" Target="https://www.krone.at/2724936" TargetMode="External"/><Relationship Id="rId751" Type="http://schemas.openxmlformats.org/officeDocument/2006/relationships/hyperlink" Target="https://kyivindependent.com/uncategorized/poland-has-provided-ukraine-with-weapons-worth-1-6-billion/" TargetMode="External"/><Relationship Id="rId849" Type="http://schemas.openxmlformats.org/officeDocument/2006/relationships/hyperlink" Target="https://appropriations.house.gov/sites/democrats.appropriations.house.gov/files/Ukraine%20Supplemental%20Summary.pdf" TargetMode="External"/><Relationship Id="rId1174" Type="http://schemas.openxmlformats.org/officeDocument/2006/relationships/hyperlink" Target="https://www.youtube.com/watch?v=S4G4kaNLqbk" TargetMode="External"/><Relationship Id="rId1381" Type="http://schemas.openxmlformats.org/officeDocument/2006/relationships/hyperlink" Target="https://suomenkuvalehti.fi/paajutut/viela-vuoden-alussa-aseapu-ukrainalle-oli-tabu-sitten-lannen-mitta-tayttyi-kaannamme-maat-ja-taivaat-venajan-lyomiseksi/?shared=1219900-dfafb371-500" TargetMode="External"/><Relationship Id="rId1479" Type="http://schemas.openxmlformats.org/officeDocument/2006/relationships/hyperlink" Target="https://www.leparisien.fr/politique/sebastien-lecornu-nous-allons-former-jusqua-2000-soldats-ukrainiens-en-france-15-10-2022-SBLM6EKPOFELNHN3GHGA7IAESY.php" TargetMode="External"/><Relationship Id="rId183" Type="http://schemas.openxmlformats.org/officeDocument/2006/relationships/hyperlink" Target="https://twitter.com/desdelamoncloa/status/1497563071761453057" TargetMode="External"/><Relationship Id="rId390" Type="http://schemas.openxmlformats.org/officeDocument/2006/relationships/hyperlink" Target="https://www.mfa.gov.lv/en/article/latvian-foreign-ministry-channel-eur-24000000-towards-assistance-ukraine" TargetMode="External"/><Relationship Id="rId404" Type="http://schemas.openxmlformats.org/officeDocument/2006/relationships/hyperlink" Target="https://www.lamoncloa.gob.es/lang/en/presidente/news/paginas/2022/20220421_visit-to-ukraine.aspx" TargetMode="External"/><Relationship Id="rId611" Type="http://schemas.openxmlformats.org/officeDocument/2006/relationships/hyperlink" Target="https://www.reuters.com/world/europe/sweden-provide-ukraine-with-5000-more-anti-tank-weapons-tt-news-agency-2022-03-23/" TargetMode="External"/><Relationship Id="rId1034" Type="http://schemas.openxmlformats.org/officeDocument/2006/relationships/hyperlink" Target="https://fakty.com.ua/en/ukraine/20220926-lytva-postavyla-ukrayini-50-btr-m113-glava-minoborony/" TargetMode="External"/><Relationship Id="rId1241" Type="http://schemas.openxmlformats.org/officeDocument/2006/relationships/hyperlink" Target="https://www.interieur.gouv.fr/actualites/dossiers/situation-en-ukraine/solidarite-nationale-envers-lukraine-second-convoi-de" TargetMode="External"/><Relationship Id="rId1339" Type="http://schemas.openxmlformats.org/officeDocument/2006/relationships/hyperlink" Target="https://www.gov.uk/government/news/pm-announces-new-air-defence-for-ukraine-on-first-visit-to-kyiv" TargetMode="External"/><Relationship Id="rId250" Type="http://schemas.openxmlformats.org/officeDocument/2006/relationships/hyperlink" Target="https://twitter.com/florence_parly/status/1514275166158790666" TargetMode="External"/><Relationship Id="rId488" Type="http://schemas.openxmlformats.org/officeDocument/2006/relationships/hyperlink" Target="https://www.thelocal.es/20220421/spain-sends-200-tonnes-of-military-material-to-ukraine-pm/" TargetMode="External"/><Relationship Id="rId695" Type="http://schemas.openxmlformats.org/officeDocument/2006/relationships/hyperlink" Target="https://mil.in.ua/en/news/harpoon-what-is-known-about-danish-coastal-missile-systems/" TargetMode="External"/><Relationship Id="rId709" Type="http://schemas.openxmlformats.org/officeDocument/2006/relationships/hyperlink" Target="https://www.independent.ie/irish-news/news/10-hse-ambulances-sent-to-ukraine-to-help-in-humanitarian-effort-41789730.html" TargetMode="External"/><Relationship Id="rId916" Type="http://schemas.openxmlformats.org/officeDocument/2006/relationships/hyperlink" Target="https://www.regjeringen.no/en/aktuelt/donerer-hellfire-missiler-og-nattoptikk-til-ukraina/id2926713/" TargetMode="External"/><Relationship Id="rId1101" Type="http://schemas.openxmlformats.org/officeDocument/2006/relationships/hyperlink" Target="https://www.bbc.com/news/uk-61990479" TargetMode="External"/><Relationship Id="rId45" Type="http://schemas.openxmlformats.org/officeDocument/2006/relationships/hyperlink" Target="https://www.government.nl/topics/russia-and-ukraine/dutch-aid-for-ukraine" TargetMode="External"/><Relationship Id="rId110" Type="http://schemas.openxmlformats.org/officeDocument/2006/relationships/hyperlink" Target="https://czechdaily.cz/the-czech-republic-is-sending-thousands-of-artillery-shells-to-ukraine/" TargetMode="External"/><Relationship Id="rId348" Type="http://schemas.openxmlformats.org/officeDocument/2006/relationships/hyperlink" Target="https://www.usaid.gov/news-information/press-releases/mar-10-2022-united-states-announces-additional-humanitarian-assistance?msclkid=fc0f8e8dae8611ecaad8dc70eab615cc" TargetMode="External"/><Relationship Id="rId555" Type="http://schemas.openxmlformats.org/officeDocument/2006/relationships/hyperlink" Target="https://in-cyprus.philenews.com/cyprus-third-humanitarian-aid-package-to-war-torn-ukraine-ready-to-be-shipped-photos/" TargetMode="External"/><Relationship Id="rId762" Type="http://schemas.openxmlformats.org/officeDocument/2006/relationships/hyperlink" Target="https://www.nytimes.com/2022/04/14/world/europe/ukraine-russia-nato-s300.html" TargetMode="External"/><Relationship Id="rId1185" Type="http://schemas.openxmlformats.org/officeDocument/2006/relationships/hyperlink" Target="https://www.worldbank.org/en/news/press-release/2022/03/07/world-bank-mobilizes-an-emergency-financing-package-of-over-700-million-for-ukraine" TargetMode="External"/><Relationship Id="rId1392" Type="http://schemas.openxmlformats.org/officeDocument/2006/relationships/hyperlink" Target="https://www.tagesschau.de/inland/scholz-ukraine-militaerhilfe-101.html" TargetMode="External"/><Relationship Id="rId1406" Type="http://schemas.openxmlformats.org/officeDocument/2006/relationships/hyperlink" Target="https://www.gov.uk/government/news/uk-to-send-scores-of-artillery-guns-and-hundreds-of-drones-to-ukraine" TargetMode="External"/><Relationship Id="rId194" Type="http://schemas.openxmlformats.org/officeDocument/2006/relationships/hyperlink" Target="https://appropriations.house.gov/sites/democrats.appropriations.house.gov/files/Ukraine%20Supplemental%20Summary.pdf" TargetMode="External"/><Relationship Id="rId208" Type="http://schemas.openxmlformats.org/officeDocument/2006/relationships/hyperlink" Target="https://mup.gov.hr/UserDocsImages/2022/4/112_8.pdf" TargetMode="External"/><Relationship Id="rId415" Type="http://schemas.openxmlformats.org/officeDocument/2006/relationships/hyperlink" Target="https://www.reuters.com/world/europe/ukraine-receives-harpoon-missiles-howitzers-says-defence-minister-2022-05-28/" TargetMode="External"/><Relationship Id="rId622" Type="http://schemas.openxmlformats.org/officeDocument/2006/relationships/hyperlink" Target="https://www.reuters.com/world/europe/sweden-supply-more-military-aid-including-anti-ship-missiles-ukraine-2022-06-02/" TargetMode="External"/><Relationship Id="rId1045" Type="http://schemas.openxmlformats.org/officeDocument/2006/relationships/hyperlink" Target="https://www.kaitseinvesteeringud.ee/en/estonian-military-aid-to-ukraine-has-been-substantially-diversified/" TargetMode="External"/><Relationship Id="rId1252" Type="http://schemas.openxmlformats.org/officeDocument/2006/relationships/hyperlink" Target="https://www.defense.gouv.fr/terre/actualites/uiisc-1-3e-convoi-solidarite-lukraine" TargetMode="External"/><Relationship Id="rId261" Type="http://schemas.openxmlformats.org/officeDocument/2006/relationships/hyperlink" Target="https://twitter.com/PrimeministerGR/status/1504800257447706626?ref_src=twsrc%5Etfw%7Ctwcamp%5Etweetembed%7Ctwterm%5E1504800257447706626%7Ctwgr%5E%7Ctwcon%5Es1_&amp;ref_url=https%3A%2F%2Fwww.keeptalkinggreece.com%2F2022%2F03%2F18%2Fgreece-rebuild-maternity-hospital-mariupol%2F" TargetMode="External"/><Relationship Id="rId499" Type="http://schemas.openxmlformats.org/officeDocument/2006/relationships/hyperlink" Target="https://www.globalcitizen.org/en/content/stand-up-for-ukraine-impact-report/" TargetMode="External"/><Relationship Id="rId927" Type="http://schemas.openxmlformats.org/officeDocument/2006/relationships/hyperlink" Target="https://www.brusselstimes.com/290771/belgium-to-give-e12-million-in-military-aid-to-ukraine" TargetMode="External"/><Relationship Id="rId1112" Type="http://schemas.openxmlformats.org/officeDocument/2006/relationships/hyperlink" Target="https://www.mod.go.jp/j/press/news/2022/08/04a.html" TargetMode="External"/><Relationship Id="rId56" Type="http://schemas.openxmlformats.org/officeDocument/2006/relationships/hyperlink" Target="https://dailynewshungary.com/hungary-can-be-of-far-greater-help-if-it-remains-an-island-of-peace-together-with-transcarpathia-says-official/" TargetMode="External"/><Relationship Id="rId359" Type="http://schemas.openxmlformats.org/officeDocument/2006/relationships/hyperlink" Target="https://abouthungary.hu/news-in-brief/hungary-to-make-another-shipment-of-humanitarian-aid-to-ukraine?msclkid=ca53d542ab8b11ec95fbf81dabb45ae9" TargetMode="External"/><Relationship Id="rId566" Type="http://schemas.openxmlformats.org/officeDocument/2006/relationships/hyperlink" Target="https://www.rferl.org/a/czech-republic-poland-new-military-aid-ukraine/31873938.html" TargetMode="External"/><Relationship Id="rId773" Type="http://schemas.openxmlformats.org/officeDocument/2006/relationships/hyperlink" Target="https://focustaiwan.tw/politics/202206200021" TargetMode="External"/><Relationship Id="rId1196" Type="http://schemas.openxmlformats.org/officeDocument/2006/relationships/hyperlink" Target="https://www.helsinkitimes.fi/finland/finland-news/domestic/21086-finland-commits-military-protective-equipment-to-ukraine.html" TargetMode="External"/><Relationship Id="rId1417" Type="http://schemas.openxmlformats.org/officeDocument/2006/relationships/hyperlink" Target="https://edition.cnn.com/europe/live-news/russia-ukraine-war-news-08-25-22/index.html" TargetMode="External"/><Relationship Id="rId121" Type="http://schemas.openxmlformats.org/officeDocument/2006/relationships/hyperlink" Target="https://www.reuters.com/world/europe/uk-provide-6000-missiles-ukraine-new-support-2022-03-23/" TargetMode="External"/><Relationship Id="rId219" Type="http://schemas.openxmlformats.org/officeDocument/2006/relationships/hyperlink" Target="https://www.globalcitizen.org/en/content/stand-up-for-ukraine-impact-report/" TargetMode="External"/><Relationship Id="rId426" Type="http://schemas.openxmlformats.org/officeDocument/2006/relationships/hyperlink" Target="https://www.esteri.it/en/politica-estera-e-cooperazione-allo-sviluppo/aree_geografiche/europa/litalia-a-sostegno-dellucraina/" TargetMode="External"/><Relationship Id="rId633" Type="http://schemas.openxmlformats.org/officeDocument/2006/relationships/hyperlink" Target="https://www.techopital.com/la-france-envoie-28-tonnes-de-materiel-medical-en-ukraine-NS_6281.html" TargetMode="External"/><Relationship Id="rId980" Type="http://schemas.openxmlformats.org/officeDocument/2006/relationships/hyperlink" Target="https://www.defense.gov/News/Releases/Release/Article/3138105/nearly-3-billion-in-additional-security-assistance-for-ukraine/" TargetMode="External"/><Relationship Id="rId1056" Type="http://schemas.openxmlformats.org/officeDocument/2006/relationships/hyperlink" Target="https://www.euronews.com/2022/09/29/cargo-ship-with-1000-tonnes-of-ukraine-aid-sets-sail-from-marseille" TargetMode="External"/><Relationship Id="rId1263" Type="http://schemas.openxmlformats.org/officeDocument/2006/relationships/hyperlink" Target="https://www.ukrinform.net/rubric-ato/3604150-italy-provides-ukraine-with-two-m270-systems-six-pzh-2000-about-30-selfpropelled-howitzers-media.html" TargetMode="External"/><Relationship Id="rId840" Type="http://schemas.openxmlformats.org/officeDocument/2006/relationships/hyperlink" Target="https://www.globaldefensecorp.com/2022/07/31/czech-republic-donates-mi-24-helicopters-to-ukraine/" TargetMode="External"/><Relationship Id="rId938" Type="http://schemas.openxmlformats.org/officeDocument/2006/relationships/hyperlink" Target="https://www.polskieradio.pl/398/9724/Artykul/2948128," TargetMode="External"/><Relationship Id="rId1470" Type="http://schemas.openxmlformats.org/officeDocument/2006/relationships/hyperlink" Target="https://www.france24.com/en/europe/20221007-macron-announces-%E2%82%AC100-million-fund-for-ukraine-to-buy-arms" TargetMode="External"/><Relationship Id="rId67" Type="http://schemas.openxmlformats.org/officeDocument/2006/relationships/hyperlink" Target="https://delano.lu/article/luxembourg-delivering-substant" TargetMode="External"/><Relationship Id="rId272" Type="http://schemas.openxmlformats.org/officeDocument/2006/relationships/hyperlink" Target="https://english.sta.si/3031756/slovenia-to-send-additional-material-aid-to-ukraine" TargetMode="External"/><Relationship Id="rId577"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700" Type="http://schemas.openxmlformats.org/officeDocument/2006/relationships/hyperlink" Target="https://www.volkskrant.nl/nieuws-achtergrond/nederland-levert-militaire-goederen-en-wapens-aan-oekraine-ter-waarde-van-7-4-miljoen-euro~be2a2004/?referrer=https%3A%2F%2Fen.wikipedia.org%2F" TargetMode="External"/><Relationship Id="rId1123" Type="http://schemas.openxmlformats.org/officeDocument/2006/relationships/hyperlink" Target="https://www.defensenews.com/pentagon/2022/08/01/biden-to-send-ukraine-ammo-for-himars-as-kyiv-congress-push-for-more/" TargetMode="External"/><Relationship Id="rId1330" Type="http://schemas.openxmlformats.org/officeDocument/2006/relationships/hyperlink" Target="https://edition.cnn.com/2022/04/09/europe/ukraine-uk-boris-johnson-intl-gbr/index.html" TargetMode="External"/><Relationship Id="rId1428" Type="http://schemas.openxmlformats.org/officeDocument/2006/relationships/hyperlink" Target="https://twitter.com/kyivindependent/status/1520462556338569216?lang=en" TargetMode="External"/><Relationship Id="rId132" Type="http://schemas.openxmlformats.org/officeDocument/2006/relationships/hyperlink" Target="https://americanews.news/fact-sheet-the-biden-administration-announces-new-humanitarian-development-and-democracy-assistance-11404.html" TargetMode="External"/><Relationship Id="rId784" Type="http://schemas.openxmlformats.org/officeDocument/2006/relationships/hyperlink" Target="https://www.defense.gov/News/Releases/Release/Article/3066864/fact-sheet-on-us-security-assistance-to-ukraine/" TargetMode="External"/><Relationship Id="rId991" Type="http://schemas.openxmlformats.org/officeDocument/2006/relationships/hyperlink" Target="https://www.defense.gov/News/Releases/Release/Article/3173378/11-billion-in-additional-security-assistance-for-ukraine/" TargetMode="External"/><Relationship Id="rId1067" Type="http://schemas.openxmlformats.org/officeDocument/2006/relationships/hyperlink" Target="https://www.diplomatie.gouv.fr/en/country-files/ukraine/news/article/ukraine-catherine-colonna-to-attend-the-launch-of-solidarity-operation-un" TargetMode="External"/><Relationship Id="rId437" Type="http://schemas.openxmlformats.org/officeDocument/2006/relationships/hyperlink" Target="https://tfiglobalnews.com/2022/03/21/canada-wanted-to-supply-weapons-to-ukraine-turns-out-it-didnt-have-any/" TargetMode="External"/><Relationship Id="rId644" Type="http://schemas.openxmlformats.org/officeDocument/2006/relationships/hyperlink" Target="https://www.rferl.org/a/czech-republic-poland-new-military-aid-ukraine/31873938.html" TargetMode="External"/><Relationship Id="rId851" Type="http://schemas.openxmlformats.org/officeDocument/2006/relationships/hyperlink" Target="https://www.defense.gov/News/Releases/Release/Article/3007664/fact-sheet-on-us-security-assistance-for-ukraine-roll-up-as-of-april-21-2022/" TargetMode="External"/><Relationship Id="rId1274" Type="http://schemas.openxmlformats.org/officeDocument/2006/relationships/hyperlink" Target="https://www.reuters.com/world/europe/italy-open-supplying-air-defence-systems-ukraine-official-2022-11-08/" TargetMode="External"/><Relationship Id="rId1481" Type="http://schemas.openxmlformats.org/officeDocument/2006/relationships/hyperlink" Target="https://www.lejdd.fr/International/sebastien-lecornu-ministre-des-armees-nous-navons-pas-a-rougir-de-notre-aide-a-lukraine-4148779" TargetMode="External"/><Relationship Id="rId283" Type="http://schemas.openxmlformats.org/officeDocument/2006/relationships/hyperlink" Target="https://vm.ee/en/humanitarian-aid-ukraine" TargetMode="External"/><Relationship Id="rId490" Type="http://schemas.openxmlformats.org/officeDocument/2006/relationships/hyperlink" Target="https://www.reuters.com/world/europe/sweden-provide-ukraine-with-5000-more-anti-tank-weapons-tt-news-agency-2022-03-23/" TargetMode="External"/><Relationship Id="rId504" Type="http://schemas.openxmlformats.org/officeDocument/2006/relationships/hyperlink" Target="https://www.consilium.europa.eu/de/press/press-releases/2022/04/13/eu-support-to-ukraine-council-agrees-on-third-tranche-of-support-under-the-european-peace-facility-for-total-1-5-billion/" TargetMode="External"/><Relationship Id="rId711" Type="http://schemas.openxmlformats.org/officeDocument/2006/relationships/hyperlink" Target="https://ec.europa.eu/commission/presscorner/detail/en/speech_22_2807" TargetMode="External"/><Relationship Id="rId949" Type="http://schemas.openxmlformats.org/officeDocument/2006/relationships/hyperlink" Target="https://www.defense.gov/News/Releases/Release/Article/3134457/775-million-in-additional-security-assistance-for-ukraine/" TargetMode="External"/><Relationship Id="rId1134" Type="http://schemas.openxmlformats.org/officeDocument/2006/relationships/hyperlink" Target="https://www.regjeringen.no/en/aktuelt/norge-og-storbritannia-gir-langtrekkende-rakettartilleri-til-ukraina/id2921395/" TargetMode="External"/><Relationship Id="rId1341" Type="http://schemas.openxmlformats.org/officeDocument/2006/relationships/hyperlink" Target="https://www.regeringen.dk/nyheder/2022/ny-massiv-donationspakke-til-ukraine/" TargetMode="External"/><Relationship Id="rId78" Type="http://schemas.openxmlformats.org/officeDocument/2006/relationships/hyperlink" Target="https://www.bnnbloomberg.ca/imf-creates-new-account-to-help-ukraine-as-canada-pledges-funds-1.1749951" TargetMode="External"/><Relationship Id="rId143" Type="http://schemas.openxmlformats.org/officeDocument/2006/relationships/hyperlink" Target="https://www.gov.uk/government/speeches/ukraine-foreign-secretary-statement-to-parliament-28-march-2022" TargetMode="External"/><Relationship Id="rId350" Type="http://schemas.openxmlformats.org/officeDocument/2006/relationships/hyperlink" Target="https://www.gov.uk/government/publications/world-bank-spring-meetings-2022-uk-governors-statement/world-bank-spring-meetings-2022-uk-governors-statement" TargetMode="External"/><Relationship Id="rId588" Type="http://schemas.openxmlformats.org/officeDocument/2006/relationships/hyperlink" Target="https://twitter.com/defesa_pt/status/1513633729666818052" TargetMode="External"/><Relationship Id="rId795" Type="http://schemas.openxmlformats.org/officeDocument/2006/relationships/hyperlink" Target="https://www.defense.gov/News/Releases/Release/Article/2988565/readout-of-secretary-of-defense-lloyd-j-austin-iiis-call-with-ukraines-minister/" TargetMode="External"/><Relationship Id="rId809" Type="http://schemas.openxmlformats.org/officeDocument/2006/relationships/hyperlink" Target="https://topwar.ru/196543-pentagon-gotovit-otpravku-na-ukrainu-esche-odnoj-partii-buksiruemyh-155-mm-gaubic-m777.html" TargetMode="External"/><Relationship Id="rId1201" Type="http://schemas.openxmlformats.org/officeDocument/2006/relationships/hyperlink" Target="https://www.reuters.com/article/idUSO9N2XQ01K" TargetMode="External"/><Relationship Id="rId1439" Type="http://schemas.openxmlformats.org/officeDocument/2006/relationships/hyperlink" Target="https://kaitseministeerium.ee/en/news/estonia-sending-ukraine-ammunition-and-equipment" TargetMode="External"/><Relationship Id="rId9" Type="http://schemas.openxmlformats.org/officeDocument/2006/relationships/hyperlink" Target="https://um.dk/danida/lande-og-regioner/ukraine" TargetMode="External"/><Relationship Id="rId210" Type="http://schemas.openxmlformats.org/officeDocument/2006/relationships/hyperlink" Targe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TargetMode="External"/><Relationship Id="rId448" Type="http://schemas.openxmlformats.org/officeDocument/2006/relationships/hyperlink" Target="https://www.ft.com/content/8d3a4174-6bcb-4867-a83e-47a258a918d0" TargetMode="External"/><Relationship Id="rId655" Type="http://schemas.openxmlformats.org/officeDocument/2006/relationships/hyperlink" Target="https://www.fanpage.it/politica/armi-allucraina-arriva-il-terzo-decreto-del-governo-lelenco-e-secretato-come-i-precedenti/" TargetMode="External"/><Relationship Id="rId862" Type="http://schemas.openxmlformats.org/officeDocument/2006/relationships/hyperlink" Target="https://www.minister.defence.gov.au/minister/rmarles/media-releases/australia-increases-support-ukraine" TargetMode="External"/><Relationship Id="rId1078" Type="http://schemas.openxmlformats.org/officeDocument/2006/relationships/hyperlink" Target="https://news.err.ee/1608727414/estonia-sends-12-buses-to-ukraine-s-zhytomyr-region" TargetMode="External"/><Relationship Id="rId1285" Type="http://schemas.openxmlformats.org/officeDocument/2006/relationships/hyperlink" Target="https://gemeindebund.at/gemeinden-blaulichtorganisationen-und-unternehmen-helfen-der-ukraine/" TargetMode="External"/><Relationship Id="rId1492" Type="http://schemas.openxmlformats.org/officeDocument/2006/relationships/hyperlink" Target="https://www.mil.gov.ua/en/news/2022/11/15/russia-is-told-about-peace-it-responds-with-missiles-address-by-the-president-of-ukraine/" TargetMode="External"/><Relationship Id="rId1506" Type="http://schemas.openxmlformats.org/officeDocument/2006/relationships/hyperlink" Target="https://www.regjeringen.no/en/topics/foreign-affairs/humanitarian-efforts/neighbour_support/id2908141/" TargetMode="External"/><Relationship Id="rId294" Type="http://schemas.openxmlformats.org/officeDocument/2006/relationships/hyperlink" Target="https://nordicmonitor.com/2022/03/turkey-deployed-personnel-to-operate-armed-drones-in-targeting-russian-military/" TargetMode="External"/><Relationship Id="rId308" Type="http://schemas.openxmlformats.org/officeDocument/2006/relationships/hyperlink" Target="https://www.regjeringen.no/en/aktuelt/air-defense-system-to-ukraine/id2908807/" TargetMode="External"/><Relationship Id="rId515" Type="http://schemas.openxmlformats.org/officeDocument/2006/relationships/hyperlink" Target="https://ec.europa.eu/commission/presscorner/detail/en/ip_22_3121" TargetMode="External"/><Relationship Id="rId722" Type="http://schemas.openxmlformats.org/officeDocument/2006/relationships/hyperlink" Target="https://www.flightglobal.com/helicopters/czech-republic-sending-attack-helicopters-to-ukraine/148770.article" TargetMode="External"/><Relationship Id="rId1145" Type="http://schemas.openxmlformats.org/officeDocument/2006/relationships/hyperlink" Target="https://pl.usembassy.gov/1billion_assistance_ukraine/" TargetMode="External"/><Relationship Id="rId1352" Type="http://schemas.openxmlformats.org/officeDocument/2006/relationships/hyperlink" Target="https://www.dsca.mil/press-media/major-arms-sales/ukraine-non-standard-ammunition" TargetMode="External"/><Relationship Id="rId89" Type="http://schemas.openxmlformats.org/officeDocument/2006/relationships/hyperlink" Target="https://mfa.gov.cy/press-releases/2022/03/09/cyprus-humanitarian-aid-to-ukraine/" TargetMode="External"/><Relationship Id="rId154" Type="http://schemas.openxmlformats.org/officeDocument/2006/relationships/hyperlink" Target="https://twitter.com/eduardheger/status/1498055152045015046" TargetMode="External"/><Relationship Id="rId361" Type="http://schemas.openxmlformats.org/officeDocument/2006/relationships/hyperlink" Target="https://www.dw.com/bg/%D0%BF%D0%B0%D1%80%D0%BB%D0%B0%D0%BC%D0%B5%D0%BD%D1%82%D1%8A%D1%82-%D1%80%D0%B5%D1%88%D0%B8-%D0%B1%D1%8A%D0%BB%D0%B3%D0%B0%D1%80%D0%B8%D1%8F-%D1%89%D0%B5-%D0%BE%D0%BA%D0%B0%D0%B6%D0%B5-%D0%B2%D0%BE%D0%B5%D0%BD%D0%BD%D0%BE-%D1%82%D0%B5%D1%85%D0%BD%D0%B8%D1%87%D0%B5%D1%81%D0%BA%D0%B0-%D0%BF%D0%BE%D0%BC%D0%BE%D1%89-%D0%BD%D0%B0-%D1%83%D0%BA%D1%80%D0%B0%D0%B9%D0%BD%D0%B0/a-61683857" TargetMode="External"/><Relationship Id="rId599" Type="http://schemas.openxmlformats.org/officeDocument/2006/relationships/hyperlink" Target="https://www.ukrinform.net/rubric-polytics/3501933-estonia-has-provided-240m-in-military-aid-to-ukraine-korniyenko.html" TargetMode="External"/><Relationship Id="rId1005" Type="http://schemas.openxmlformats.org/officeDocument/2006/relationships/hyperlink" Target="https://pmtranscripts.pmc.gov.au/release/transcript-43868" TargetMode="External"/><Relationship Id="rId1212" Type="http://schemas.openxmlformats.org/officeDocument/2006/relationships/hyperlink" Target="https://cxtvnews.com/military/2022/03/07/japan-decides-to-send-military-supplies-to-ukraine/" TargetMode="External"/><Relationship Id="rId459" Type="http://schemas.openxmlformats.org/officeDocument/2006/relationships/hyperlink" Target="https://geopolitiki.com/italian-fh70-howitzers-ukraine-against-russians/" TargetMode="External"/><Relationship Id="rId666" Type="http://schemas.openxmlformats.org/officeDocument/2006/relationships/hyperlink" Target="https://www.irishmirror.ie/news/irish-news/politics/goal-opens-new-support-offices-27021322" TargetMode="External"/><Relationship Id="rId873" Type="http://schemas.openxmlformats.org/officeDocument/2006/relationships/hyperlink" Target="https://mil.in.ua/en/news/slovenia-handed-over-35-m80a-infantry-fighting-vehicles-to-ukraine/" TargetMode="External"/><Relationship Id="rId1089" Type="http://schemas.openxmlformats.org/officeDocument/2006/relationships/hyperlink" Target="https://kaitseministeerium.ee/en/news/estonia-increase-defence-aid-ukraine" TargetMode="External"/><Relationship Id="rId1296" Type="http://schemas.openxmlformats.org/officeDocument/2006/relationships/hyperlink" Target="https://twitter.com/a_anusauskas/status/1592084804501401604" TargetMode="External"/><Relationship Id="rId16" Type="http://schemas.openxmlformats.org/officeDocument/2006/relationships/hyperlink" Target="https://abouthungary.hu/news-in-brief/hungary-to-make-another-shipment-of-humanitarian-aid-to-ukraine?msclkid=ca53d542ab8b11ec95fbf81dabb45ae9" TargetMode="External"/><Relationship Id="rId221" Type="http://schemas.openxmlformats.org/officeDocument/2006/relationships/hyperlink" Target="https://www.reuters.com/world/europe/japan-trebles-loans-ukraine-300-mln-pm-kishida-other-leaders-2022-04-19/" TargetMode="External"/><Relationship Id="rId319" Type="http://schemas.openxmlformats.org/officeDocument/2006/relationships/hyperlink" Target="https://www.mfat.govt.nz/en/countries-and-regions/europe/ukraine/russian-invasion-of-ukraine/" TargetMode="External"/><Relationship Id="rId526" Type="http://schemas.openxmlformats.org/officeDocument/2006/relationships/hyperlink" Target="https://english.almayadeen.net/news/politics/canada-sends-lethal-weapons-to-ukraine" TargetMode="External"/><Relationship Id="rId1156" Type="http://schemas.openxmlformats.org/officeDocument/2006/relationships/hyperlink" Target="https://twitter.com/alexanderdecroo/status/1497542000228417537" TargetMode="External"/><Relationship Id="rId1363" Type="http://schemas.openxmlformats.org/officeDocument/2006/relationships/hyperlink" Target="https://crsreports.congress.gov/product/pdf/IF/IF12040" TargetMode="External"/><Relationship Id="rId733" Type="http://schemas.openxmlformats.org/officeDocument/2006/relationships/hyperlink" Target="https://www.diplomatie.gouv.fr/en/country-files/ukraine/news/article/ukraine-exceptional-delivery-of-emergency-medical-assistance-by-france-28-jun" TargetMode="External"/><Relationship Id="rId940" Type="http://schemas.openxmlformats.org/officeDocument/2006/relationships/hyperlink" Target="https://gagadget.com/en/149656-poland-transferred-40-bmp-1-combat-vehicles-to-ukraine/" TargetMode="External"/><Relationship Id="rId1016" Type="http://schemas.openxmlformats.org/officeDocument/2006/relationships/hyperlink" Target="https://www.kmu.gov.ua/en/news/ukraina-otrymala-vid-kanady-450-mln-kanadskykh-dolariv" TargetMode="External"/><Relationship Id="rId165" Type="http://schemas.openxmlformats.org/officeDocument/2006/relationships/hyperlink" Target="https://www.defensa.gob.es/gabinete/notasPrensa/2022/04/DGC-220408-visita-centro-militar-farmacia.html" TargetMode="External"/><Relationship Id="rId372" Type="http://schemas.openxmlformats.org/officeDocument/2006/relationships/hyperlink" Target="https://www.canada.ca/en/global-affairs/news/2022/05/g7-development-ministers-conclude-successful-meeting-and-issue-statement-on-ukraine.html" TargetMode="External"/><Relationship Id="rId677" Type="http://schemas.openxmlformats.org/officeDocument/2006/relationships/hyperlink" Target="https://intermin.fi/en/ukraine/civilian-assistance-to-ukraine" TargetMode="External"/><Relationship Id="rId800" Type="http://schemas.openxmlformats.org/officeDocument/2006/relationships/hyperlink" Target="https://www.whitehouse.gov/briefing-room/press-briefings/2022/04/04/press-briefing-by-press-secretary-jen-psaki-and-national-security-advisor-jake-sullivan/" TargetMode="External"/><Relationship Id="rId1223" Type="http://schemas.openxmlformats.org/officeDocument/2006/relationships/hyperlink" Target="https://www.beehive.govt.nz/release/assistance-ukraine-extended-and-enhanced" TargetMode="External"/><Relationship Id="rId1430" Type="http://schemas.openxmlformats.org/officeDocument/2006/relationships/hyperlink" Target="https://www.wfp.org/news/japan-provides-us28-million-humanitarian-food-assistance-ukraine" TargetMode="External"/><Relationship Id="rId232" Type="http://schemas.openxmlformats.org/officeDocument/2006/relationships/hyperlink" Target="https://www.youtube.com/watch?v=vzENx6dTpqY" TargetMode="External"/><Relationship Id="rId884" Type="http://schemas.openxmlformats.org/officeDocument/2006/relationships/hyperlink" Target="https://www.kmu.gov.ua/news/ukraina-i-avstriia-domovylys-pro-ekonomichnu-spivpratsiu-u-rozvytku-proektiv" TargetMode="External"/><Relationship Id="rId27" Type="http://schemas.openxmlformats.org/officeDocument/2006/relationships/hyperlink" Target="https://www.startmag.it/innovazione/armi-italia-ucraina/" TargetMode="External"/><Relationship Id="rId537"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744" Type="http://schemas.openxmlformats.org/officeDocument/2006/relationships/hyperlink" Target="https://300gospodarka.pl/news/dworczyk-wartosc-polskiej-pomocy-militarnej-dla-ukrainy-to-juz-18-mld-euro" TargetMode="External"/><Relationship Id="rId951" Type="http://schemas.openxmlformats.org/officeDocument/2006/relationships/hyperlink" Target="https://www.defense.gov/News/Releases/Release/Article/3134457/775-million-in-additional-security-assistance-for-ukraine/" TargetMode="External"/><Relationship Id="rId1167" Type="http://schemas.openxmlformats.org/officeDocument/2006/relationships/hyperlink" Target="https://www.forbes.com/sites/sebastienroblin/2022/10/28/czech-super-t-72m4-tanks-seen-headed-towards-ukraine/?sh=679ee5423ce7" TargetMode="External"/><Relationship Id="rId1374" Type="http://schemas.openxmlformats.org/officeDocument/2006/relationships/hyperlink" Target="https://ua.usembassy.gov/625-million-in-additional-u-s-military-assistance-for-ukraine/" TargetMode="External"/><Relationship Id="rId80" Type="http://schemas.openxmlformats.org/officeDocument/2006/relationships/hyperlink" Target="https://www.canada.ca/en/department-national-defence/news/2022/01/canada-extends-and-expands-military-and-other-support-for-the-security-of-ukraine.html" TargetMode="External"/><Relationship Id="rId176" Type="http://schemas.openxmlformats.org/officeDocument/2006/relationships/hyperlink" Target="https://www.romania-insider.com/ro-ukraine-eu-civil-protection-feb-2022" TargetMode="External"/><Relationship Id="rId383" Type="http://schemas.openxmlformats.org/officeDocument/2006/relationships/hyperlink" Target="https://japantoday.com/category/politics/japan-to-double-ukraine-aid-to-600-million" TargetMode="External"/><Relationship Id="rId590" Type="http://schemas.openxmlformats.org/officeDocument/2006/relationships/hyperlink" Target="https://www.armyrecognition.com/defense_news_may_2022_global_security_army_industry/us_pushing_portugal_to_cede_some_m113_apcs_to_ukraine.html" TargetMode="External"/><Relationship Id="rId604" Type="http://schemas.openxmlformats.org/officeDocument/2006/relationships/hyperlink" Target="https://frontnews.eu/en/news/details/31081" TargetMode="External"/><Relationship Id="rId811" Type="http://schemas.openxmlformats.org/officeDocument/2006/relationships/hyperlink" Target="https://www.reuters.com/world/europe/bulgaria-approves-repairs-ukrainian-military-equipment-not-military-aid-2022-05-04/" TargetMode="External"/><Relationship Id="rId1027" Type="http://schemas.openxmlformats.org/officeDocument/2006/relationships/hyperlink" Target="https://en.interfax.com.ua/news/general/859303.html" TargetMode="External"/><Relationship Id="rId1234" Type="http://schemas.openxmlformats.org/officeDocument/2006/relationships/hyperlink" Target="https://english.nv.ua/nation/czech-republic-prepares-new-military-aid-package-for-ukraine-50278050.html" TargetMode="External"/><Relationship Id="rId1441" Type="http://schemas.openxmlformats.org/officeDocument/2006/relationships/hyperlink" Target="https://kaitseministeerium.ee/en/news/estonia-sending-ukraine-ammunition-and-equipment" TargetMode="External"/><Relationship Id="rId243" Type="http://schemas.openxmlformats.org/officeDocument/2006/relationships/hyperlink" Target="https://www.youtube.com/watch?v=vzENx6dTpqY" TargetMode="External"/><Relationship Id="rId450" Type="http://schemas.openxmlformats.org/officeDocument/2006/relationships/hyperlink" Target="https://www.stripes.com/theaters/us/2022-05-23/ukraine-russia-war-military-weapons-6104132.html" TargetMode="External"/><Relationship Id="rId688" Type="http://schemas.openxmlformats.org/officeDocument/2006/relationships/hyperlink" Target="https://www.mfat.govt.nz/en/countries-and-regions/europe/ukraine/russian-invasion-of-ukraine/" TargetMode="External"/><Relationship Id="rId895"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909" Type="http://schemas.openxmlformats.org/officeDocument/2006/relationships/hyperlink" Target="https://www.bbc.com/news/uk-61990479" TargetMode="External"/><Relationship Id="rId1080" Type="http://schemas.openxmlformats.org/officeDocument/2006/relationships/hyperlink" Target="https://kyiv.mfa.ee/en/2022/02/estonia-and-germany-to-donate-military-field-hospital-to-ukraine/" TargetMode="External"/><Relationship Id="rId1301" Type="http://schemas.openxmlformats.org/officeDocument/2006/relationships/hyperlink" Target="https://twitter.com/a_anusauskas/status/1592084804501401604" TargetMode="External"/><Relationship Id="rId38" Type="http://schemas.openxmlformats.org/officeDocument/2006/relationships/hyperlink" Target="https://hr.n1info.com/english/news/croatia-sends-emergency-aid-worth-e1-2m-to-ukraine-in-wake-of-russias-invasion/" TargetMode="External"/><Relationship Id="rId103" Type="http://schemas.openxmlformats.org/officeDocument/2006/relationships/hyperlink" Target="https://english.radio.cz/czech-republic-send-more-arms-ukraine-8745032" TargetMode="External"/><Relationship Id="rId310" Type="http://schemas.openxmlformats.org/officeDocument/2006/relationships/hyperlink" Target="https://www.regjeringen.no/en/aktuelt/norway-provides-additional-weapons-to-ukraine/id2906254/" TargetMode="External"/><Relationship Id="rId548" Type="http://schemas.openxmlformats.org/officeDocument/2006/relationships/hyperlink" Target="https://mil.in.ua/en/news/belgium-made-a-decision-to-hand-over-artillery-to-ukraine-the-media/" TargetMode="External"/><Relationship Id="rId755" Type="http://schemas.openxmlformats.org/officeDocument/2006/relationships/hyperlink" Target="https://mezha.media/en/2022/04/25/the-warmate-uav-a-polish-alternative-to-the-switchblades-kamikaze-drone-already-in-ukraine/" TargetMode="External"/><Relationship Id="rId962" Type="http://schemas.openxmlformats.org/officeDocument/2006/relationships/hyperlink" Target="https://www.defense.gov/News/Releases/Release/Article/3152071/675-million-in-additional-security-assistance-for-ukraine/" TargetMode="External"/><Relationship Id="rId1178" Type="http://schemas.openxmlformats.org/officeDocument/2006/relationships/hyperlink" Target="https://tyrkiet.um.dk/en/news/independence-day-of-ukraine-six-months-since-the-russia-invasion" TargetMode="External"/><Relationship Id="rId1385" Type="http://schemas.openxmlformats.org/officeDocument/2006/relationships/hyperlink" Target="https://www.bundesregierung.de/breg-de/themen/krieg-in-der-ukraine/lieferungen-ukraine-2054514" TargetMode="External"/><Relationship Id="rId91" Type="http://schemas.openxmlformats.org/officeDocument/2006/relationships/hyperlink" Target="https://www.vlada.cz/cz/media-centrum/aktualne/vlada-petra-fialy-schvalila-dalsi-vojenskou-pomoc-bojujici-ukrajine-194603/" TargetMode="External"/><Relationship Id="rId187" Type="http://schemas.openxmlformats.org/officeDocument/2006/relationships/hyperlink" Target="https://www.gov.uk/government/speeches/pm-opening-remarks-at-press-conference-with-german-chancellor-olaf-scholz-8-april-2022" TargetMode="External"/><Relationship Id="rId394" Type="http://schemas.openxmlformats.org/officeDocument/2006/relationships/hyperlink" Target="https://gouvernement.lu/en/actualites/toutes_actualites/communiques/2022/02-fevrier/28-bofferding-ucpm.html" TargetMode="External"/><Relationship Id="rId408" Type="http://schemas.openxmlformats.org/officeDocument/2006/relationships/hyperlink" Target="https://www.news.az/news/sweden-pledges-additional-23-million-for-humanitarian-actions-in-ukraine" TargetMode="External"/><Relationship Id="rId615" Type="http://schemas.openxmlformats.org/officeDocument/2006/relationships/hyperlink" Target="https://www.government.se/press-releases/2022/06/additional-amending-budget-with-further-support-to-ukraine/" TargetMode="External"/><Relationship Id="rId822" Type="http://schemas.openxmlformats.org/officeDocument/2006/relationships/hyperlink" Target="https://defence-blog.com/lithuania-to-send-more-armored-vehicles-to-ukraine/" TargetMode="External"/><Relationship Id="rId1038" Type="http://schemas.openxmlformats.org/officeDocument/2006/relationships/hyperlink" Target="https://en.interfax.com.ua/news/general/859303.html" TargetMode="External"/><Relationship Id="rId1245" Type="http://schemas.openxmlformats.org/officeDocument/2006/relationships/hyperlink" Target="https://www.defense.gouv.fr/terre/actualites/uiisc-1-3e-convoi-solidarite-lukraine" TargetMode="External"/><Relationship Id="rId1452" Type="http://schemas.openxmlformats.org/officeDocument/2006/relationships/hyperlink" Target="https://kaitseministeerium.ee/en/news/estonia-sending-ukraine-ammunition-and-equipment" TargetMode="External"/><Relationship Id="rId254" Type="http://schemas.openxmlformats.org/officeDocument/2006/relationships/hyperlink" Target="https://www.reuters.com/world/europe/france-will-increase-financial-aid-ukraine-by-300-mln-macron-tells-donor-2022-05-05/" TargetMode="External"/><Relationship Id="rId699" Type="http://schemas.openxmlformats.org/officeDocument/2006/relationships/hyperlink" Target="https://www.government.nl/topics/russia-and-ukraine/news/2022/02/18/the-netherlands-intends-to-supply-military-goods-to-ukraine" TargetMode="External"/><Relationship Id="rId1091" Type="http://schemas.openxmlformats.org/officeDocument/2006/relationships/hyperlink" Target="https://mil.in.ua/en/news/estonia-handed-over-the-second-modern-mobile-hospital-to-the-ukrainian-army/" TargetMode="External"/><Relationship Id="rId1105" Type="http://schemas.openxmlformats.org/officeDocument/2006/relationships/hyperlink" Target="https://neoskosmos.com/en/2022/09/19/news/greece/greek-tanks-on-route-to-ukraine/" TargetMode="External"/><Relationship Id="rId1312" Type="http://schemas.openxmlformats.org/officeDocument/2006/relationships/hyperlink" Target="https://www.aa.com.tr/en/europe/spain-announces-increase-in-military-aid-to-ukraine/2668809" TargetMode="External"/><Relationship Id="rId49" Type="http://schemas.openxmlformats.org/officeDocument/2006/relationships/hyperlink" Target="https://www.vlada.cz/cz/media-centrum/aktualne/vlada-kvuli-migracni-krizi-vyhlasila-od-patku-nouzovy-stav--schvalila-i-dalsi-pomoc-pro-ukrajinu-a-navrh-na-zvyseni-vydaju-na-obranu-194695/" TargetMode="External"/><Relationship Id="rId114" Type="http://schemas.openxmlformats.org/officeDocument/2006/relationships/hyperlink" Target="https://twitter.com/eduardheger/status/1498055152045015046" TargetMode="External"/><Relationship Id="rId461" Type="http://schemas.openxmlformats.org/officeDocument/2006/relationships/hyperlink" Target="https://www.thenationalherald.com/russias-ukraine-invasion-sees-greece-taking-bigger-nato-role/" TargetMode="External"/><Relationship Id="rId559" Type="http://schemas.openxmlformats.org/officeDocument/2006/relationships/hyperlink" Target="https://czechdaily.cz/the-czech-republic-is-sending-thousands-of-artillery-shells-to-ukraine/" TargetMode="External"/><Relationship Id="rId766" Type="http://schemas.openxmlformats.org/officeDocument/2006/relationships/hyperlink" Target="https://www.politico.com/news/2022/03/22/ukraine-weapons-military-aid-00019104" TargetMode="External"/><Relationship Id="rId1189" Type="http://schemas.openxmlformats.org/officeDocument/2006/relationships/hyperlink" Target="https://um.dk/en/foreign-policy/danish-support-for-ukraine" TargetMode="External"/><Relationship Id="rId1396" Type="http://schemas.openxmlformats.org/officeDocument/2006/relationships/hyperlink" Target="https://www.spiegel.de/politik/deutschland/ukraine-krieg-deutschland-lieferte-waffen-fuer-37-millionen-euro-a-460a7b35-70aa-40bb-8ec7-80f5606f0d5a" TargetMode="External"/><Relationship Id="rId198" Type="http://schemas.openxmlformats.org/officeDocument/2006/relationships/hyperlink" Target="https://www.whitehouse.gov/briefing-room/statements-releases/2022/03/30/readout-of-president-bidens-call-with-president-zelenskyy-of-ukraine-8/" TargetMode="External"/><Relationship Id="rId321" Type="http://schemas.openxmlformats.org/officeDocument/2006/relationships/hyperlink" Target="https://www.reuters.com/world/new-zealand-provide-ukraine-with-non-lethal-military-assistance-2022-03-21/" TargetMode="External"/><Relationship Id="rId419" Type="http://schemas.openxmlformats.org/officeDocument/2006/relationships/hyperlink" Target="https://www.thedefensepost.com/2022/05/31/france-boost-arms-supplies-ukraine/" TargetMode="External"/><Relationship Id="rId626" Type="http://schemas.openxmlformats.org/officeDocument/2006/relationships/hyperlink" Target="https://www.defense.gov/News/Releases/Release/Article/3007664/fact-sheet-on-us-security-assistance-for-ukraine-roll-up-as-of-april-21-2022/" TargetMode="External"/><Relationship Id="rId973" Type="http://schemas.openxmlformats.org/officeDocument/2006/relationships/hyperlink" Target="https://www.defense.gov/News/Releases/Release/Article/3160503/600-million-in-additional-security-assistance-for-ukraine/" TargetMode="External"/><Relationship Id="rId1049" Type="http://schemas.openxmlformats.org/officeDocument/2006/relationships/hyperlink" Target="https://www.euronews.com/2022/09/29/cargo-ship-with-1000-tonnes-of-ukraine-aid-sets-sail-from-marseille" TargetMode="External"/><Relationship Id="rId1256" Type="http://schemas.openxmlformats.org/officeDocument/2006/relationships/hyperlink" Target="https://www.defense.gouv.fr/terre/actualites/uiisc-1-3e-convoi-solidarite-lukraine" TargetMode="External"/><Relationship Id="rId833" Type="http://schemas.openxmlformats.org/officeDocument/2006/relationships/hyperlink" Target="https://defence24.com/polish-pt-91-twardy-tanks-sent-to-ukraine-commentary" TargetMode="External"/><Relationship Id="rId1116" Type="http://schemas.openxmlformats.org/officeDocument/2006/relationships/hyperlink" Target="https://www.tagesschau.de/inland/bericht-aus-berlin-lambrecht-haubitzen-101.html" TargetMode="External"/><Relationship Id="rId1463" Type="http://schemas.openxmlformats.org/officeDocument/2006/relationships/hyperlink" Target="https://ec.europa.eu/commission/presscorner/detail/es/ip_22_6263" TargetMode="External"/><Relationship Id="rId265" Type="http://schemas.openxmlformats.org/officeDocument/2006/relationships/hyperlink" Target="https://www.mod.mil.gr/en/deputy-defence-minister-nikolaos-chardalias-accompanies-a-humanitarian-aid-cargo/" TargetMode="External"/><Relationship Id="rId472" Type="http://schemas.openxmlformats.org/officeDocument/2006/relationships/hyperlink" Target="https://spectator.sme.sk/c/22842829/slovakia-will-send-mine-clearance-systems-and-healthcare-material-to-ukraine.html" TargetMode="External"/><Relationship Id="rId900" Type="http://schemas.openxmlformats.org/officeDocument/2006/relationships/hyperlink" Target="https://www.government.se/press-releases/2022/08/prime-minister-magdalena-andersson-to-receive-ukrainian-minister-for-foreign-affairs-dmytro-kuleba/" TargetMode="External"/><Relationship Id="rId1323" Type="http://schemas.openxmlformats.org/officeDocument/2006/relationships/hyperlink" Target="https://www.gov.uk/government/news/uk-to-bolster-defensive-aid-to-ukraine-with-new-100m-package" TargetMode="External"/><Relationship Id="rId125" Type="http://schemas.openxmlformats.org/officeDocument/2006/relationships/hyperlink" Target="https://www.euronews.com/next/2022/03/21/ukraine-crisis-poland-cenbank" TargetMode="External"/><Relationship Id="rId332" Type="http://schemas.openxmlformats.org/officeDocument/2006/relationships/hyperlink" Target="https://mil.in.ua/en/news/south-korea-will-be-providing-ukraine-with-additional-aid-worth-1-6-million/" TargetMode="External"/><Relationship Id="rId777" Type="http://schemas.openxmlformats.org/officeDocument/2006/relationships/hyperlink" Target="https://www.gov.uk/government/news/uk-to-gift-multiple-launch-rocket-systems-to-ukraine" TargetMode="External"/><Relationship Id="rId984" Type="http://schemas.openxmlformats.org/officeDocument/2006/relationships/hyperlink" Target="https://www.defense.gov/News/Releases/Release/Article/3138105/nearly-3-billion-in-additional-security-assistance-for-ukraine/" TargetMode="External"/><Relationship Id="rId637" Type="http://schemas.openxmlformats.org/officeDocument/2006/relationships/hyperlink" Target="https://www.defense.gov/News/Releases/Release/Article/3023667/pentagon-press-secretary-statement-on-150-million-in-additional-security-assist/" TargetMode="External"/><Relationship Id="rId844" Type="http://schemas.openxmlformats.org/officeDocument/2006/relationships/hyperlink" Target="https://twitter.com/oleksiireznikov/status/1554076054435889152?s=20&amp;t=sxJyy3lEqeaMPa3O1ayEDw" TargetMode="External"/><Relationship Id="rId1267" Type="http://schemas.openxmlformats.org/officeDocument/2006/relationships/hyperlink" Target="https://www.ukrinform.net/rubric-ato/3604150-italy-provides-ukraine-with-two-m270-systems-six-pzh-2000-about-30-selfpropelled-howitzers-media.html" TargetMode="External"/><Relationship Id="rId1474" Type="http://schemas.openxmlformats.org/officeDocument/2006/relationships/hyperlink" Target="https://www.france24.com/en/europe/20221007-macron-announces-%E2%82%AC100-million-fund-for-ukraine-to-buy-arms" TargetMode="External"/><Relationship Id="rId276" Type="http://schemas.openxmlformats.org/officeDocument/2006/relationships/hyperlink" Target="https://reliefweb.int/report/ukraine/uk-pledges-another-80-million-aid-help-ukraine-deal-humanitarian-crisis" TargetMode="External"/><Relationship Id="rId483" Type="http://schemas.openxmlformats.org/officeDocument/2006/relationships/hyperlink" Target="https://www.aa.com.tr/en/russia-ukraine-war/norway-sends-roughly-100-anti-aircraft-missiles-to-ukraine/2568447" TargetMode="External"/><Relationship Id="rId690" Type="http://schemas.openxmlformats.org/officeDocument/2006/relationships/hyperlink" Target="https://www.regjeringen.no/en/aktuelt/norge-og-storbritannia-gir-langtrekkende-rakettartilleri-til-ukraina/id2921395/" TargetMode="External"/><Relationship Id="rId704" Type="http://schemas.openxmlformats.org/officeDocument/2006/relationships/hyperlink" Target="https://www.rijksoverheid.nl/documenten/kamerstukken/2022/02/27/kamerbrief-update-afgifte-vergunning-voor-de-export-van-militaire-goederen-aan-oekraine" TargetMode="External"/><Relationship Id="rId911" Type="http://schemas.openxmlformats.org/officeDocument/2006/relationships/hyperlink" Target="https://www.gov.uk/government/news/prime-minister-tells-ukraine-they-will-win-as-he-marks-independence-day-24-august-2022" TargetMode="External"/><Relationship Id="rId1127" Type="http://schemas.openxmlformats.org/officeDocument/2006/relationships/hyperlink" Target="https://www.diplomatie.gouv.fr/en/country-files/ukraine/news/article/ukraine-catherine-colonna-to-attend-the-launch-of-solidarity-operation-un" TargetMode="External"/><Relationship Id="rId1334" Type="http://schemas.openxmlformats.org/officeDocument/2006/relationships/hyperlink" Target="https://www.bbc.com/news/uk-61990479" TargetMode="External"/><Relationship Id="rId40" Type="http://schemas.openxmlformats.org/officeDocument/2006/relationships/hyperlink" Target="https://www.total-croatia-news.com/politics/60689-support-measures-for-ukraine" TargetMode="External"/><Relationship Id="rId136" Type="http://schemas.openxmlformats.org/officeDocument/2006/relationships/hyperlink" Target="https://www.telegraph.co.uk/world-news/2022/03/24/ukraine-morning-briefing-five-developments-britain-agrees-send/" TargetMode="External"/><Relationship Id="rId343" Type="http://schemas.openxmlformats.org/officeDocument/2006/relationships/hyperlink" Target="https://www.cbc.ca/news/politics/ukraine-m777-howitzer-russia-heavy-artillery-1.6427762" TargetMode="External"/><Relationship Id="rId550" Type="http://schemas.openxmlformats.org/officeDocument/2006/relationships/hyperlink" Target="https://interfax.com/newsroom/top-stories/78780/" TargetMode="External"/><Relationship Id="rId788" Type="http://schemas.openxmlformats.org/officeDocument/2006/relationships/hyperlink" Target="https://www.rferl.org/a/czech-republic-poland-new-military-aid-ukraine/31873938.html" TargetMode="External"/><Relationship Id="rId995" Type="http://schemas.openxmlformats.org/officeDocument/2006/relationships/hyperlink" Target="https://www.defense.gov/News/Releases/Release/Article/3173378/11-billion-in-additional-security-assistance-for-ukraine/" TargetMode="External"/><Relationship Id="rId1180" Type="http://schemas.openxmlformats.org/officeDocument/2006/relationships/hyperlink" Target="https://um.dk/en/foreign-policy/danish-support-for-ukraine" TargetMode="External"/><Relationship Id="rId1401" Type="http://schemas.openxmlformats.org/officeDocument/2006/relationships/hyperlink" Target="https://www.spiegel.de/politik/deutschland/ukraine-krieg-deutschland-lieferte-waffen-fuer-37-millionen-euro-a-460a7b35-70aa-40bb-8ec7-80f5606f0d5a" TargetMode="External"/><Relationship Id="rId203" Type="http://schemas.openxmlformats.org/officeDocument/2006/relationships/hyperlink" Target="https://mfa.gov.cy/press-releases/2022/03/09/cyprus-humanitarian-aid-to-ukraine/" TargetMode="External"/><Relationship Id="rId648" Type="http://schemas.openxmlformats.org/officeDocument/2006/relationships/hyperlink" Target="https://www.ukrinform.net/rubric-polytics/3501933-estonia-has-provided-240m-in-military-aid-to-ukraine-korniyenko.html" TargetMode="External"/><Relationship Id="rId855" Type="http://schemas.openxmlformats.org/officeDocument/2006/relationships/hyperlink" Target="https://www.ukrinform.net/rubric-ato/3538884-lithuanian-president-announces-new-package-of-military-aid-to-ukraine.html" TargetMode="External"/><Relationship Id="rId1040" Type="http://schemas.openxmlformats.org/officeDocument/2006/relationships/hyperlink" Target="https://www.reuters.com/world/europe/slovakia-donate-30-infantry-fighting-vehicles-ukraine-minister-2022-08-23/" TargetMode="External"/><Relationship Id="rId1278" Type="http://schemas.openxmlformats.org/officeDocument/2006/relationships/hyperlink" Target="https://odessa-journal.com/portugal-will-send-russian-made-helicopters-to-ukraine/" TargetMode="External"/><Relationship Id="rId1485" Type="http://schemas.openxmlformats.org/officeDocument/2006/relationships/hyperlink" Target="https://t.me/zedigital/2613" TargetMode="External"/><Relationship Id="rId287" Type="http://schemas.openxmlformats.org/officeDocument/2006/relationships/hyperlink" Target="https://www.minister.industry.gov.au/ministers/pitt/media-releases/whitehaven-assist-ukraine-request-provide-energy-security" TargetMode="External"/><Relationship Id="rId410" Type="http://schemas.openxmlformats.org/officeDocument/2006/relationships/hyperlink" Target="https://www.government.se/articles/2022/05/sweden-and-poland-mobilised-humanitarian-support-for-ukraine/" TargetMode="External"/><Relationship Id="rId494" Type="http://schemas.openxmlformats.org/officeDocument/2006/relationships/hyperlink" Target="https://www.bbc.com/news/world-europe-61482305" TargetMode="External"/><Relationship Id="rId508" Type="http://schemas.openxmlformats.org/officeDocument/2006/relationships/hyperlink" Target="https://www.eib.org/en/press/news/joint-statement-of-heads-of-international-financial-institutions-with-programs-in-ukraine-and-neighboring-countries" TargetMode="External"/><Relationship Id="rId715" Type="http://schemas.openxmlformats.org/officeDocument/2006/relationships/hyperlink" Target="https://www.reuters.com/world/china/china-says-it-will-offer-10-mln-yuan-more-humanitarian-aid-ukraine-2022-03-21/" TargetMode="External"/><Relationship Id="rId922" Type="http://schemas.openxmlformats.org/officeDocument/2006/relationships/hyperlink" Target="https://www.brusselstimes.com/290771/belgium-to-give-e12-million-in-military-aid-to-ukraine" TargetMode="External"/><Relationship Id="rId1138" Type="http://schemas.openxmlformats.org/officeDocument/2006/relationships/hyperlink" Target="https://www.politico.eu/article/norway-ukraine-donates-howitzers/" TargetMode="External"/><Relationship Id="rId1345" Type="http://schemas.openxmlformats.org/officeDocument/2006/relationships/hyperlink" Target="https://um.dk/en/foreign-policy/danish-support-for-ukraine" TargetMode="External"/><Relationship Id="rId147" Type="http://schemas.openxmlformats.org/officeDocument/2006/relationships/hyperlink" Target="https://www.government.se/articles/2022/02/sweden-to-provide-direct-support-and-defence-materiel-to-ukraine/" TargetMode="External"/><Relationship Id="rId354" Type="http://schemas.openxmlformats.org/officeDocument/2006/relationships/hyperlink" Target="https://news.err.ee/1608589426/estonia-s-military-aid-to-ukraine-totals-230-million" TargetMode="External"/><Relationship Id="rId799" Type="http://schemas.openxmlformats.org/officeDocument/2006/relationships/hyperlink" Target="https://www.defense.gov/News/Releases/Release/Article/2987119/defense-department-announces-300-million-in-additional-assistance-for-ukraine/" TargetMode="External"/><Relationship Id="rId1191" Type="http://schemas.openxmlformats.org/officeDocument/2006/relationships/hyperlink" Target="https://www.defmin.fi/en/topical/press_releases_and_news/finland_sends_more_defence_materiel_assistance_to_ukraine.12692.news" TargetMode="External"/><Relationship Id="rId1205" Type="http://schemas.openxmlformats.org/officeDocument/2006/relationships/hyperlink" Target="https://intermin.fi/en/ukraine/civilian-assistance-to-ukraine" TargetMode="External"/><Relationship Id="rId51" Type="http://schemas.openxmlformats.org/officeDocument/2006/relationships/hyperlink" Target="https://twitter.com/alexanderdecroo/status/1497914776063594502" TargetMode="External"/><Relationship Id="rId561" Type="http://schemas.openxmlformats.org/officeDocument/2006/relationships/hyperlink" Target="https://admin.globalcitizen.org/en/content/australia-aid-ukraine/?edit" TargetMode="External"/><Relationship Id="rId659" Type="http://schemas.openxmlformats.org/officeDocument/2006/relationships/hyperlink" Target="https://www.gov.uk/government/news/prime-minister-pledges-uks-unwavering-support-to-ukraine-on-visit-to-kyiv-9-april-2022" TargetMode="External"/><Relationship Id="rId866" Type="http://schemas.openxmlformats.org/officeDocument/2006/relationships/hyperlink" Target="https://ua.interfax.com.ua/news/general/844172.html" TargetMode="External"/><Relationship Id="rId1289" Type="http://schemas.openxmlformats.org/officeDocument/2006/relationships/hyperlink" Target="https://www.austria.org/ukraine" TargetMode="External"/><Relationship Id="rId1412" Type="http://schemas.openxmlformats.org/officeDocument/2006/relationships/hyperlink" Target="https://um.dk/en/foreign-policy/danish-support-for-ukraine" TargetMode="External"/><Relationship Id="rId1496" Type="http://schemas.openxmlformats.org/officeDocument/2006/relationships/hyperlink" Target="https://pm.gc.ca/en/news/news-releases/2022/10/28/prime-minister-announces-new-measures-support-ukraine" TargetMode="External"/><Relationship Id="rId214" Type="http://schemas.openxmlformats.org/officeDocument/2006/relationships/hyperlink" Target="https://www.worldbank.org/en/news/press-release/2022/03/07/world-bank-mobilizes-an-emergency-financing-package-of-over-700-million-for-ukraine" TargetMode="External"/><Relationship Id="rId298" Type="http://schemas.openxmlformats.org/officeDocument/2006/relationships/hyperlink" Target="https://www.lesoir.be/437698/article/2022-04-22/guerre-en-ukraine-la-belgique-sapprete-livrer-de-nouveaux-missiles-antichars" TargetMode="External"/><Relationship Id="rId421" Type="http://schemas.openxmlformats.org/officeDocument/2006/relationships/hyperlink" Target="https://www.deutschland.de/en/news/ticker-solidarity-with-ukraine" TargetMode="External"/><Relationship Id="rId519" Type="http://schemas.openxmlformats.org/officeDocument/2006/relationships/hyperlink" Target="https://www.consilium.europa.eu/en/press/press-releases/2022/05/24/eu-support-to-ukraine-council-agrees-on-further-increase-of-support-under-the-european-peace-facility/" TargetMode="External"/><Relationship Id="rId1051" Type="http://schemas.openxmlformats.org/officeDocument/2006/relationships/hyperlink" Target="https://www.euronews.com/2022/09/29/cargo-ship-with-1000-tonnes-of-ukraine-aid-sets-sail-from-marseille" TargetMode="External"/><Relationship Id="rId1149" Type="http://schemas.openxmlformats.org/officeDocument/2006/relationships/hyperlink" Target="https://pl.usembassy.gov/1billion_assistance_ukraine/" TargetMode="External"/><Relationship Id="rId1356" Type="http://schemas.openxmlformats.org/officeDocument/2006/relationships/hyperlink" Target="https://www.defense.gov/News/Releases/Release/Article/3066864/fact-sheet-on-us-security-assistance-to-ukraine/" TargetMode="External"/><Relationship Id="rId158" Type="http://schemas.openxmlformats.org/officeDocument/2006/relationships/hyperlink" Target="https://www.whitehouse.gov/briefing-room/press-briefings/2022/03/29/press-briefing-by-director-of-communications-kate-bedingfield/" TargetMode="External"/><Relationship Id="rId726" Type="http://schemas.openxmlformats.org/officeDocument/2006/relationships/hyperlink" Target="https://www.ctvnews.ca/politics/canada-pledges-more-aid-and-loans-to-ukraine-as-g7-targets-russian-oil-1.5965947" TargetMode="External"/><Relationship Id="rId933"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1009" Type="http://schemas.openxmlformats.org/officeDocument/2006/relationships/hyperlink" Target="https://www.defense.gov/News/Releases/Release/Article/3152071/675-million-in-additional-security-assistance-for-ukraine/" TargetMode="External"/><Relationship Id="rId62" Type="http://schemas.openxmlformats.org/officeDocument/2006/relationships/hyperlink" Target="https://www.lrt.lt/en/news-in-english/19/1652048/lithuania-to-provide-eur10m-in-military-aid-to-ukraine" TargetMode="External"/><Relationship Id="rId365" Type="http://schemas.openxmlformats.org/officeDocument/2006/relationships/hyperlink" Target="https://www.regjeringen.no/en/aktuelt/additional-nok-100-million/id2911879/" TargetMode="External"/><Relationship Id="rId572" Type="http://schemas.openxmlformats.org/officeDocument/2006/relationships/hyperlink" Target="https://www.globalcitizen.org/en/content/australia-ukraine-aid-follow-up/" TargetMode="External"/><Relationship Id="rId1216" Type="http://schemas.openxmlformats.org/officeDocument/2006/relationships/hyperlink" Target="https://www.asahi.com/ajw/articles/14608909" TargetMode="External"/><Relationship Id="rId1423" Type="http://schemas.openxmlformats.org/officeDocument/2006/relationships/hyperlink" Target="https://www.defensa.gob.es/gabinete/notasPrensa/2022/11/DGC-221110-sesion-ucrania.html" TargetMode="External"/><Relationship Id="rId225" Type="http://schemas.openxmlformats.org/officeDocument/2006/relationships/hyperlink" Target="https://www.youtube.com/watch?v=NdYiLiivIgs" TargetMode="External"/><Relationship Id="rId432" Type="http://schemas.openxmlformats.org/officeDocument/2006/relationships/hyperlink" Target="https://www.fanpage.it/politica/armi-allucraina-arriva-il-terzo-decreto-del-governo-lelenco-e-secretato-come-i-precedenti/" TargetMode="External"/><Relationship Id="rId877" Type="http://schemas.openxmlformats.org/officeDocument/2006/relationships/hyperlink" Target="https://www.politico.com/news/2022/07/20/austin-more-us-rocket-systems-ukraine-00046856" TargetMode="External"/><Relationship Id="rId1062" Type="http://schemas.openxmlformats.org/officeDocument/2006/relationships/hyperlink" Target="https://www.diplomatie.gouv.fr/en/country-files/ukraine/news/article/ukraine-catherine-colonna-to-attend-the-launch-of-solidarity-operation-un" TargetMode="External"/><Relationship Id="rId737" Type="http://schemas.openxmlformats.org/officeDocument/2006/relationships/hyperlink" Target="https://torontosun.com/news/national/canada-shipping-20000-rounds-of-artillery-ammunition-to-ukraine" TargetMode="External"/><Relationship Id="rId944" Type="http://schemas.openxmlformats.org/officeDocument/2006/relationships/hyperlink" Target="https://www.defense.gov/News/Releases/Release/Article/3134457/775-million-in-additional-security-assistance-for-ukraine/" TargetMode="External"/><Relationship Id="rId1367" Type="http://schemas.openxmlformats.org/officeDocument/2006/relationships/hyperlink" Target="https://crsreports.congress.gov/product/pdf/IF/IF12040" TargetMode="External"/><Relationship Id="rId73" Type="http://schemas.openxmlformats.org/officeDocument/2006/relationships/hyperlink" Target="https://www.canada.ca/en/global-affairs/news/2022/02/canada-sending-additional-25m-military-aid-to-support-ukraine.html" TargetMode="External"/><Relationship Id="rId169" Type="http://schemas.openxmlformats.org/officeDocument/2006/relationships/hyperlink" Target="https://www.gov.uk/government/speeches/pm-statement-at-ukraine-press-conference-1-february-2022" TargetMode="External"/><Relationship Id="rId376" Type="http://schemas.openxmlformats.org/officeDocument/2006/relationships/hyperlink" Target="https://mil.in.ua/en/news/canada-is-set-to-hand-over-eight-armored-vehicles-to-ukraine/" TargetMode="External"/><Relationship Id="rId583" Type="http://schemas.openxmlformats.org/officeDocument/2006/relationships/hyperlink" Target="https://en.yna.co.kr/view/AEN20220526005300325" TargetMode="External"/><Relationship Id="rId790" Type="http://schemas.openxmlformats.org/officeDocument/2006/relationships/hyperlink" Target="https://www.defense.gov/News/Releases/Release/Article/3081993/820-million-in-additional-security-assistance-for-ukraine/" TargetMode="External"/><Relationship Id="rId804" Type="http://schemas.openxmlformats.org/officeDocument/2006/relationships/hyperlink" Target="https://www.gov.si/en/news/2022-02-26-humanitarian-contribution-of-the-republic-of-slovenia-to-the-people-of-ukraine/" TargetMode="External"/><Relationship Id="rId1227" Type="http://schemas.openxmlformats.org/officeDocument/2006/relationships/hyperlink" Target="https://www.admin.ch/gov/en/start/documentation/media-releases.msg-id-89923.html" TargetMode="External"/><Relationship Id="rId1434" Type="http://schemas.openxmlformats.org/officeDocument/2006/relationships/hyperlink" Target="https://www.mofa.go.jp/press/release/press4e_003098.html" TargetMode="External"/><Relationship Id="rId4" Type="http://schemas.openxmlformats.org/officeDocument/2006/relationships/hyperlink" Target="https://www.mfa.gov.lv/en/article/latvian-foreign-ministry-channel-eur-24000000-towards-assistance-ukraine" TargetMode="External"/><Relationship Id="rId236" Type="http://schemas.openxmlformats.org/officeDocument/2006/relationships/hyperlink" Target="https://twitter.com/AnnikaSaarikko/status/1519361293823746049?s=20&amp;t=bCGlZWqdKQAC7geTzWxcRw" TargetMode="External"/><Relationship Id="rId443" Type="http://schemas.openxmlformats.org/officeDocument/2006/relationships/hyperlink" Target="https://www.defense.gov/News/News-Stories/Article/Article/3038121/additional-100-million-in-howitzers-tactical-vehicles-radars-headed-to-ukraine/source/additional-100-million-in-howitzers-tactical-vehicles-radars-headed-to-ukraine/" TargetMode="External"/><Relationship Id="rId650" Type="http://schemas.openxmlformats.org/officeDocument/2006/relationships/hyperlink" Target="https://www.diplomatie.gouv.fr/en/country-files/ukraine/news/article/ukraine-france-mobilizes-to-deliver-emergency-medical-aid-to-victims-of-the" TargetMode="External"/><Relationship Id="rId888" Type="http://schemas.openxmlformats.org/officeDocument/2006/relationships/hyperlink" Target="https://www.mod.mil.gr/en/transfer-of-40-bmp-1-ifvs-from-greece-to-ukraine/" TargetMode="External"/><Relationship Id="rId1073" Type="http://schemas.openxmlformats.org/officeDocument/2006/relationships/hyperlink" Target="https://www.worldbank.org/en/news/press-release/2022/09/30/world-bank-mobilizes-additional-530-million-in-support-to-ukraine" TargetMode="External"/><Relationship Id="rId1280" Type="http://schemas.openxmlformats.org/officeDocument/2006/relationships/hyperlink" Target="https://frontnews.eu/en/news/details/30810" TargetMode="External"/><Relationship Id="rId1501" Type="http://schemas.openxmlformats.org/officeDocument/2006/relationships/hyperlink" Target="https://www.state.gov/457-5-million-in-new-u-s-civilian-security-assistance-for-ukraine/" TargetMode="External"/><Relationship Id="rId303" Type="http://schemas.openxmlformats.org/officeDocument/2006/relationships/hyperlink" Target="https://www.admin.ch/gov/en/start/documentation/media-releases.msg-id-87488.html" TargetMode="External"/><Relationship Id="rId748" Type="http://schemas.openxmlformats.org/officeDocument/2006/relationships/hyperlink" Target="https://radar.rp.pl/przemysl-obronny/art35751811-pioruny-drony-i-amunicja-polskie-uzbrojenie-w-drodze-na-ukraine" TargetMode="External"/><Relationship Id="rId955" Type="http://schemas.openxmlformats.org/officeDocument/2006/relationships/hyperlink" Target="https://www.defense.gov/News/Releases/Release/Article/3134457/775-million-in-additional-security-assistance-for-ukraine/" TargetMode="External"/><Relationship Id="rId1140" Type="http://schemas.openxmlformats.org/officeDocument/2006/relationships/hyperlink" Target="https://www.regjeringen.no/en/aktuelt/norge-og-storbritannia-gir-langtrekkende-rakettartilleri-til-ukraina/id2921395/" TargetMode="External"/><Relationship Id="rId1378" Type="http://schemas.openxmlformats.org/officeDocument/2006/relationships/hyperlink" Target="https://www.lemonde.fr/en/international/article/2022/10/11/what-weapons-is-france-sending-to-ukraine_5999916_4.html" TargetMode="External"/><Relationship Id="rId84" Type="http://schemas.openxmlformats.org/officeDocument/2006/relationships/hyperlink" Target="https://www.theglobeandmail.com/canada/article-federal-budget-2022-ukraine-russia-1-billion-loan/" TargetMode="External"/><Relationship Id="rId387" Type="http://schemas.openxmlformats.org/officeDocument/2006/relationships/hyperlink" Target="https://ukranews.com/en/news/853495-japan-decides-to-allocate-usd-100-million-loan-and-usd-2-3-million-grant-to-ukraine" TargetMode="External"/><Relationship Id="rId510" Type="http://schemas.openxmlformats.org/officeDocument/2006/relationships/hyperlink" Target="https://www.eib.org/en/projects/regions/eastern-neighbours/ukraine/eib-solidarity.htm?sortColumn=StartDate&amp;sortDir=desc&amp;pageNumber=0&amp;itemPerPage=10&amp;pageable=true&amp;language=EN&amp;defaultLanguage=EN&amp;tags=ukraine-solidarity&amp;ortags=true" TargetMode="External"/><Relationship Id="rId594" Type="http://schemas.openxmlformats.org/officeDocument/2006/relationships/hyperlink" Target="https://government.se/press-releases/2022/04/sweden-supporting-ukraine-with-equipment-to-secure-the-countrys-energy-supply/" TargetMode="External"/><Relationship Id="rId608" Type="http://schemas.openxmlformats.org/officeDocument/2006/relationships/hyperlink" Target="https://www.politico.eu/article/norway-ukraine-donates-howitzers/" TargetMode="External"/><Relationship Id="rId815" Type="http://schemas.openxmlformats.org/officeDocument/2006/relationships/hyperlink" Target="https://en.defence-ua.com/weapon_and_tech/portuguese_m113_apc_are_on_their_way_to_ukraine-3615.html" TargetMode="External"/><Relationship Id="rId1238" Type="http://schemas.openxmlformats.org/officeDocument/2006/relationships/hyperlink" Target="https://www.interieur.gouv.fr/actualites/dossiers/situation-en-ukraine/solidarite-nationale-envers-lukraine-second-convoi-de" TargetMode="External"/><Relationship Id="rId1445" Type="http://schemas.openxmlformats.org/officeDocument/2006/relationships/hyperlink" Target="https://news.err.ee/1608742171/estonia-sends-more-ammunition-protective-equipment-to-ukraine" TargetMode="External"/><Relationship Id="rId247" Type="http://schemas.openxmlformats.org/officeDocument/2006/relationships/hyperlink" Target="https://ua.interfax.com.ua/news/economic/796996.html" TargetMode="External"/><Relationship Id="rId899" Type="http://schemas.openxmlformats.org/officeDocument/2006/relationships/hyperlink" Target="https://www.government.nl/latest/news/2022/08/22/extra-dutch-support-for-ukrainian-war-effort-and-reconstruction" TargetMode="External"/><Relationship Id="rId1000" Type="http://schemas.openxmlformats.org/officeDocument/2006/relationships/hyperlink" Target="https://www.defense.gov/News/Releases/Release/Article/3173378/11-billion-in-additional-security-assistance-for-ukraine/" TargetMode="External"/><Relationship Id="rId1084" Type="http://schemas.openxmlformats.org/officeDocument/2006/relationships/hyperlink" Target="https://twitter.com/oleksiireznikov/status/1569670474841427971" TargetMode="External"/><Relationship Id="rId1305" Type="http://schemas.openxmlformats.org/officeDocument/2006/relationships/hyperlink" Target="https://gouvernement.lu/en/actualites/toutes_actualites/communiques/2022/10-octobre/04-bausch-warsaw-security-forum.html" TargetMode="External"/><Relationship Id="rId107" Type="http://schemas.openxmlformats.org/officeDocument/2006/relationships/hyperlink" Target="https://edition.cnn.com/europe/live-news/ukraine-russia-putin-news-03-13-22/h_025dcb1758c374a11f208c39d687f1b0" TargetMode="External"/><Relationship Id="rId454" Type="http://schemas.openxmlformats.org/officeDocument/2006/relationships/hyperlink" Target="https://mil.in.ua/en/news/portugal-is-preparing-to-hand-over-m113-armored-personnel-carriers-to-ukraine-media/" TargetMode="External"/><Relationship Id="rId661" Type="http://schemas.openxmlformats.org/officeDocument/2006/relationships/hyperlink" Target="https://life.karpat.in.ua/?p=101279&amp;lang=hu" TargetMode="External"/><Relationship Id="rId759" Type="http://schemas.openxmlformats.org/officeDocument/2006/relationships/hyperlink" Target="https://twitter.com/eduardheger/status/1512386024399376389" TargetMode="External"/><Relationship Id="rId966" Type="http://schemas.openxmlformats.org/officeDocument/2006/relationships/hyperlink" Target="https://www.defense.gov/News/Releases/Release/Article/3152071/675-million-in-additional-security-assistance-for-ukraine/" TargetMode="External"/><Relationship Id="rId1291" Type="http://schemas.openxmlformats.org/officeDocument/2006/relationships/hyperlink" Target="https://www.canada.ca/en/department-finance/programs/financial-sector-policy/ukraine-sovereignty-bond.html" TargetMode="External"/><Relationship Id="rId1389" Type="http://schemas.openxmlformats.org/officeDocument/2006/relationships/hyperlink" Target="https://www.bundesregierung.de/breg-de/themen/krieg-in-der-ukraine/lieferungen-ukraine-2054515" TargetMode="External"/><Relationship Id="rId11" Type="http://schemas.openxmlformats.org/officeDocument/2006/relationships/hyperlink" Target="https://um.dk/danida/lande-og-regioner/ukraine" TargetMode="External"/><Relationship Id="rId314" Type="http://schemas.openxmlformats.org/officeDocument/2006/relationships/hyperlink" Target="https://twitter.com/norwayeu/with_replies" TargetMode="External"/><Relationship Id="rId398" Type="http://schemas.openxmlformats.org/officeDocument/2006/relationships/hyperlink" Target="https://www.youtube.com/watch?v=A1nTsblXabc" TargetMode="External"/><Relationship Id="rId521" Type="http://schemas.openxmlformats.org/officeDocument/2006/relationships/hyperlink" Target="https://www.bmi.gv.at/news.aspx?id=69543149763057644C4C633D" TargetMode="External"/><Relationship Id="rId619"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1151" Type="http://schemas.openxmlformats.org/officeDocument/2006/relationships/hyperlink" Target="https://www.defense.gov/News/Releases/Release/Article/3134457/775-million-in-additional-security-assistance-for-ukraine/" TargetMode="External"/><Relationship Id="rId1249" Type="http://schemas.openxmlformats.org/officeDocument/2006/relationships/hyperlink" Target="https://www.defense.gouv.fr/terre/actualites/uiisc-1-3e-convoi-solidarite-lukraine" TargetMode="External"/><Relationship Id="rId95" Type="http://schemas.openxmlformats.org/officeDocument/2006/relationships/hyperlink" Target="https://english.radio.cz/czech-republic-send-more-arms-ukraine-8745032" TargetMode="External"/><Relationship Id="rId160" Type="http://schemas.openxmlformats.org/officeDocument/2006/relationships/hyperlink" Target="https://edition.cnn.com/2022/04/09/europe/ukraine-uk-boris-johnson-intl-gbr/index.html" TargetMode="External"/><Relationship Id="rId826" Type="http://schemas.openxmlformats.org/officeDocument/2006/relationships/hyperlink" Target="https://www.reuters.com/world/europe/sweden-supply-more-military-aid-including-anti-ship-missiles-ukraine-2022-06-02/" TargetMode="External"/><Relationship Id="rId1011" Type="http://schemas.openxmlformats.org/officeDocument/2006/relationships/hyperlink" Target="https://www.minister.defence.gov.au/statements/2022-04-08/australia-gift-20-bushmasters-government-ukraine" TargetMode="External"/><Relationship Id="rId1109" Type="http://schemas.openxmlformats.org/officeDocument/2006/relationships/hyperlink" Target="https://www.euractiv.com/section/politics/short_news/dutch-to-send-extra-war-efforts-to-ukraine/" TargetMode="External"/><Relationship Id="rId1456" Type="http://schemas.openxmlformats.org/officeDocument/2006/relationships/hyperlink" Target="https://news.err.ee/1608793648/estonia-s-total-military-aid-to-ukraine-to-date-approaching-300-million" TargetMode="External"/><Relationship Id="rId258" Type="http://schemas.openxmlformats.org/officeDocument/2006/relationships/hyperlink" Target="https://www.globalcitizen.org/en/content/stand-up-for-ukraine-impact-report/" TargetMode="External"/><Relationship Id="rId465" Type="http://schemas.openxmlformats.org/officeDocument/2006/relationships/hyperlink" Target="https://eurasiantimes.com/from-britain-with-love-uks-new-game-changing-missiles-to-ukraine-has-potential-to-turn-tables-on-belligerent-russia/" TargetMode="External"/><Relationship Id="rId672" Type="http://schemas.openxmlformats.org/officeDocument/2006/relationships/hyperlink" Target="https://intermin.fi/en/ukraine/civilian-assistance-to-ukraine" TargetMode="External"/><Relationship Id="rId1095" Type="http://schemas.openxmlformats.org/officeDocument/2006/relationships/hyperlink" Target="https://twitter.com/OlekKorn/status/1574691048378765312?ref_src=twsrc%5Etfw%7Ctwcamp%5Etweetembed%7Ctwterm%5E1574764099644301314%7Ctwgr%5E32aa61244c5816ffc71c7af61a0a966f6f6a69a4%7Ctwcon%5Es3_&amp;ref_url=https%3A%2F%2Fnews.err.ee%2F1608731662%2Feconomic-minister-estonia-can-set-an-example-for-rebuilding-ukraine" TargetMode="External"/><Relationship Id="rId1316" Type="http://schemas.openxmlformats.org/officeDocument/2006/relationships/hyperlink" Target="https://www.youtube.com/watch?v=D59VdvNdPwo&amp;t=2s&amp;ab_channel=NATONews" TargetMode="External"/><Relationship Id="rId22" Type="http://schemas.openxmlformats.org/officeDocument/2006/relationships/hyperlink" Target="https://www.gov.ie/en/press-release/b80b7-government-ministers-announce-irish-support-for-ukrainian-health-service/?msclkid=07ab0901b05a11ec8239ca04bfcdbb9d" TargetMode="External"/><Relationship Id="rId118" Type="http://schemas.openxmlformats.org/officeDocument/2006/relationships/hyperlink" Target="https://www.whitehouse.gov/briefing-room/statements-releases/2022/03/10/vice-president-kamala-harris-announces-additional-u-s-funding-to-respond-to-humanitarian-needs-in-ukraine-and-eastern-europe/" TargetMode="External"/><Relationship Id="rId325" Type="http://schemas.openxmlformats.org/officeDocument/2006/relationships/hyperlink" Target="https://www.mfat.govt.nz/en/countries-and-regions/europe/ukraine/russian-invasion-of-ukraine/" TargetMode="External"/><Relationship Id="rId532" Type="http://schemas.openxmlformats.org/officeDocument/2006/relationships/hyperlink" Target="https://www.republicworld.com/world-news/russia-ukraine-crisis/greece-delivered-unbelievable-amount-of-military-equipment-to-ukraine-report-articleshow.html" TargetMode="External"/><Relationship Id="rId977" Type="http://schemas.openxmlformats.org/officeDocument/2006/relationships/hyperlink" Target="https://www.defense.gov/News/Releases/Release/Article/3160503/600-million-in-additional-security-assistance-for-ukraine/" TargetMode="External"/><Relationship Id="rId1162" Type="http://schemas.openxmlformats.org/officeDocument/2006/relationships/hyperlink" Target="https://www.forbes.com/sites/sebastienroblin/2022/10/28/czech-super-t-72m4-tanks-seen-headed-towards-ukraine/?sh=679ee5423ce7" TargetMode="External"/><Relationship Id="rId171" Type="http://schemas.openxmlformats.org/officeDocument/2006/relationships/hyperlink" Target="https://www.gov.si/en/news/2022-02-26-humanitarian-contribution-of-the-republic-of-slovenia-to-the-people-of-ukraine/" TargetMode="External"/><Relationship Id="rId837" Type="http://schemas.openxmlformats.org/officeDocument/2006/relationships/hyperlink" Target="https://twitter.com/DmytroKuleba/status/1552292097566380033?ref_src=twsrc%5Etfw" TargetMode="External"/><Relationship Id="rId1022" Type="http://schemas.openxmlformats.org/officeDocument/2006/relationships/hyperlink" Target="https://www.brusselstimes.com/278107/belgium-provides-e8-million-for-non-lethal-help-to-ukraine" TargetMode="External"/><Relationship Id="rId1467" Type="http://schemas.openxmlformats.org/officeDocument/2006/relationships/hyperlink" Target="https://www.leparisien.fr/politique/sebastien-lecornu-nous-allons-former-jusqua-2000-soldats-ukrainiens-en-france-15-10-2022-SBLM6EKPOFELNHN3GHGA7IAESY.php" TargetMode="External"/><Relationship Id="rId269" Type="http://schemas.openxmlformats.org/officeDocument/2006/relationships/hyperlink" Target="https://polskatimes.pl/polska-przekazala-ukraincom-pomoc-humanitarna-o-wartosci-300-milionow-zlotych/ar/c1-16217063" TargetMode="External"/><Relationship Id="rId476" Type="http://schemas.openxmlformats.org/officeDocument/2006/relationships/hyperlink" Target="https://www.france24.com/en/live-news/20220601-arms-for-ukraine-who-has-sent-what" TargetMode="External"/><Relationship Id="rId683" Type="http://schemas.openxmlformats.org/officeDocument/2006/relationships/hyperlink" Target="https://pmtranscripts.pmc.gov.au/release/transcript-43868" TargetMode="External"/><Relationship Id="rId890" Type="http://schemas.openxmlformats.org/officeDocument/2006/relationships/hyperlink" Target="https://twitter.com/Pabriks/status/1559196940167962624?s=20&amp;t=8mX0LWVPGMqpt7LQ8N__qA" TargetMode="External"/><Relationship Id="rId904" Type="http://schemas.openxmlformats.org/officeDocument/2006/relationships/hyperlink" Target="https://www.government.se/press-releases/2022/08/prime-minister-magdalena-andersson-to-receive-ukrainian-minister-for-foreign-affairs-dmytro-kuleba/" TargetMode="External"/><Relationship Id="rId1327" Type="http://schemas.openxmlformats.org/officeDocument/2006/relationships/hyperlink" Target="https://www.gov.uk/government/news/prime-minister-pledges-uks-unwavering-support-to-ukraine-on-visit-to-kyiv-9-april-2022" TargetMode="External"/><Relationship Id="rId33" Type="http://schemas.openxmlformats.org/officeDocument/2006/relationships/hyperlink" Target="https://www.irishtimes.com/news/health/thousands-of-blood-bags-and-protective-suits-among-irish-aid-sent-to-ukraine-1.4824403" TargetMode="External"/><Relationship Id="rId129" Type="http://schemas.openxmlformats.org/officeDocument/2006/relationships/hyperlink" Target="https://www.reuters.com/world/europe/romania-send-fuel-ammunition-ukraine-2022-02-27/" TargetMode="External"/><Relationship Id="rId336" Type="http://schemas.openxmlformats.org/officeDocument/2006/relationships/hyperlink" Target="https://www.usnews.com/news/world/articles/2022-04-11/ukraines-zelenskiy-says-tens-of-thousands-killed-in-mariupol-seeks-military-aid-from-s-korea" TargetMode="External"/><Relationship Id="rId543" Type="http://schemas.openxmlformats.org/officeDocument/2006/relationships/hyperlink" Target="https://www.government.se/press-releases/2022/06/additional-amending-budget-with-further-support-to-ukraine/" TargetMode="External"/><Relationship Id="rId988" Type="http://schemas.openxmlformats.org/officeDocument/2006/relationships/hyperlink" Target="https://www.defense.gov/News/Releases/Release/Article/3138105/nearly-3-billion-in-additional-security-assistance-for-ukraine/" TargetMode="External"/><Relationship Id="rId1173" Type="http://schemas.openxmlformats.org/officeDocument/2006/relationships/hyperlink" Target="https://en.kriseinformation.dk/denmarks-reactions/denmarks-contributions" TargetMode="External"/><Relationship Id="rId1380" Type="http://schemas.openxmlformats.org/officeDocument/2006/relationships/hyperlink" Target="https://www.reuters.com/world/europe/spains-pm-sanchez-denmarks-pm-frederiksen-visit-kyiv-2022-04-21/" TargetMode="External"/><Relationship Id="rId182" Type="http://schemas.openxmlformats.org/officeDocument/2006/relationships/hyperlink" Target="https://www.gov.si/en/news/2022-04-06-eu-directors-general-for-development-cooperation-on-coordination-of-assistance-for-ukraine/" TargetMode="External"/><Relationship Id="rId403" Type="http://schemas.openxmlformats.org/officeDocument/2006/relationships/hyperlink" Target="https://www.ukrinform.net/rubric-defense/3463928-spain-sends-new-military-aid-batch-to-ukraine.html" TargetMode="External"/><Relationship Id="rId750" Type="http://schemas.openxmlformats.org/officeDocument/2006/relationships/hyperlink" Target="https://kyivindependent.com/uncategorized/poland-has-provided-ukraine-with-weapons-worth-1-6-billion/" TargetMode="External"/><Relationship Id="rId848" Type="http://schemas.openxmlformats.org/officeDocument/2006/relationships/hyperlink" Target="https://crsreports.congress.gov/product/pdf/IF/IF12040" TargetMode="External"/><Relationship Id="rId1033" Type="http://schemas.openxmlformats.org/officeDocument/2006/relationships/hyperlink" Target="https://defence-blog.com/lithuania-to-send-more-armored-vehicles-to-ukraine/" TargetMode="External"/><Relationship Id="rId1478" Type="http://schemas.openxmlformats.org/officeDocument/2006/relationships/hyperlink" Target="https://www.france24.com/en/europe/20221007-macron-announces-%E2%82%AC100-million-fund-for-ukraine-to-buy-arms" TargetMode="External"/><Relationship Id="rId487" Type="http://schemas.openxmlformats.org/officeDocument/2006/relationships/hyperlink" Target="https://pledgetimes.com/spain-sends-an-armored-ambulance-and-more-weapons-to-ukraine/" TargetMode="External"/><Relationship Id="rId610" Type="http://schemas.openxmlformats.org/officeDocument/2006/relationships/hyperlink" Target="https://twitter.com/TheEconomist/status/1506413311272886276" TargetMode="External"/><Relationship Id="rId694" Type="http://schemas.openxmlformats.org/officeDocument/2006/relationships/hyperlink" Targe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TargetMode="External"/><Relationship Id="rId708" Type="http://schemas.openxmlformats.org/officeDocument/2006/relationships/hyperlink" Target="https://www.gov.ie/en/press-release/e6e61-ireland-donates-ambulances-and-other-life-saving-equipment-to-ukraine/" TargetMode="External"/><Relationship Id="rId915" Type="http://schemas.openxmlformats.org/officeDocument/2006/relationships/hyperlink" Target="https://www.regjeringen.no/en/aktuelt/donerer-hellfire-missiler-og-nattoptikk-til-ukraina/id2926713/" TargetMode="External"/><Relationship Id="rId1240" Type="http://schemas.openxmlformats.org/officeDocument/2006/relationships/hyperlink" Target="https://www.interieur.gouv.fr/actualites/dossiers/situation-en-ukraine/solidarite-nationale-envers-lukraine-second-convoi-de" TargetMode="External"/><Relationship Id="rId1338" Type="http://schemas.openxmlformats.org/officeDocument/2006/relationships/hyperlink" Target="https://www.gov.uk/government/news/uk-to-provide-1000-more-surface-to-air-missiles-to-ukraine" TargetMode="External"/><Relationship Id="rId347" Type="http://schemas.openxmlformats.org/officeDocument/2006/relationships/hyperlink" Target="https://www.gov.uk/government/publications/world-bank-spring-meetings-2022-uk-governors-statement/world-bank-spring-meetings-2022-uk-governors-statement" TargetMode="External"/><Relationship Id="rId999" Type="http://schemas.openxmlformats.org/officeDocument/2006/relationships/hyperlink" Target="https://www.defense.gov/News/Releases/Release/Article/3173378/11-billion-in-additional-security-assistance-for-ukraine/" TargetMode="External"/><Relationship Id="rId1100" Type="http://schemas.openxmlformats.org/officeDocument/2006/relationships/hyperlink" Target="https://www.reuters.com/world/europe/denmark-will-contribute-additional-110-mln-euros-ukraine-pm-2022-08-11/" TargetMode="External"/><Relationship Id="rId1184" Type="http://schemas.openxmlformats.org/officeDocument/2006/relationships/hyperlink" Target="https://um.dk/en/foreign-policy/danish-support-for-ukraine" TargetMode="External"/><Relationship Id="rId1405" Type="http://schemas.openxmlformats.org/officeDocument/2006/relationships/hyperlink" Target="https://www.spiegel.de/politik/deutschland/ukraine-krieg-deutschland-lieferte-waffen-fuer-37-millionen-euro-a-460a7b35-70aa-40bb-8ec7-80f5606f0d5a" TargetMode="External"/><Relationship Id="rId44" Type="http://schemas.openxmlformats.org/officeDocument/2006/relationships/hyperlink" Target="https://netherlandsnewslive.com/the-netherlands-supplies-medicines-and-medical-supplies-to-ukraine/373516/" TargetMode="External"/><Relationship Id="rId554" Type="http://schemas.openxmlformats.org/officeDocument/2006/relationships/hyperlink" Target="https://bnr.bg/en/post/101627966" TargetMode="External"/><Relationship Id="rId761" Type="http://schemas.openxmlformats.org/officeDocument/2006/relationships/hyperlink" Target="https://spectator.sme.sk/c/22895899/slovakia-donates-military-equipment-to-ukraine.html" TargetMode="External"/><Relationship Id="rId859" Type="http://schemas.openxmlformats.org/officeDocument/2006/relationships/hyperlink" Target="https://www.mof.gov.ua/uk/news/minfin_ukraina_otrimaie_vid_kanadi_dodatkovikh_450_mln_kanadskikh_dolariv-3544" TargetMode="External"/><Relationship Id="rId1391" Type="http://schemas.openxmlformats.org/officeDocument/2006/relationships/hyperlink" Target="https://www.tagesschau.de/inland/scholz-ukraine-militaerhilfe-101.html" TargetMode="External"/><Relationship Id="rId1489" Type="http://schemas.openxmlformats.org/officeDocument/2006/relationships/hyperlink" Target="https://www.defmin.fi/ajankohtaista/tiedotteet_ja_uutiset/suomi_toimittaa_lisaa_puolustustarvikeapua_ukrainaan.13184.news" TargetMode="External"/><Relationship Id="rId193" Type="http://schemas.openxmlformats.org/officeDocument/2006/relationships/hyperlink" Target="https://appropriations.house.gov/sites/democrats.appropriations.house.gov/files/Ukraine%20Supplemental%20Summary.pdf" TargetMode="External"/><Relationship Id="rId207" Type="http://schemas.openxmlformats.org/officeDocument/2006/relationships/hyperlink" Target="https://www.politico.com/news/2022/03/22/ukraine-weapons-military-aid-00019104" TargetMode="External"/><Relationship Id="rId414" Type="http://schemas.openxmlformats.org/officeDocument/2006/relationships/hyperlink" Target="https://mil.in.ua/en/news/ukraine-received-senator-apc-armored-vehicles/" TargetMode="External"/><Relationship Id="rId498" Type="http://schemas.openxmlformats.org/officeDocument/2006/relationships/hyperlink" Target="https://ec.europa.eu/commission/presscorner/detail/en/speech_22_1483" TargetMode="External"/><Relationship Id="rId621" Type="http://schemas.openxmlformats.org/officeDocument/2006/relationships/hyperlink" Target="https://www.reuters.com/world/europe/sweden-supply-more-military-aid-including-anti-ship-missiles-ukraine-2022-06-02/" TargetMode="External"/><Relationship Id="rId1044" Type="http://schemas.openxmlformats.org/officeDocument/2006/relationships/hyperlink" Target="https://cyprus-mail.com/2022/04/06/aid-for-ukraine-now-tops-e2-million/" TargetMode="External"/><Relationship Id="rId1251" Type="http://schemas.openxmlformats.org/officeDocument/2006/relationships/hyperlink" Target="https://www.defense.gouv.fr/terre/actualites/uiisc-1-3e-convoi-solidarite-lukraine" TargetMode="External"/><Relationship Id="rId1349" Type="http://schemas.openxmlformats.org/officeDocument/2006/relationships/hyperlink" Target="https://media.defense.gov/2022/Nov/04/2003108893/-1/-1/0/USAI-7-CZE-TANKS-US-NLD-CZE-PRESS-STATEMENT.PDF" TargetMode="External"/><Relationship Id="rId260" Type="http://schemas.openxmlformats.org/officeDocument/2006/relationships/hyperlink" Target="https://www.keeptalkinggreece.com/2022/03/18/greece-rebuild-maternity-hospital-mariupol/" TargetMode="External"/><Relationship Id="rId719" Type="http://schemas.openxmlformats.org/officeDocument/2006/relationships/hyperlink" Target="https://mezha.media/en/2022/04/15/new-weapon-deliveries-from-the-czech-republic-dana-self-propelled-artillery-and-rm-70-multiple-rocket-launcher/" TargetMode="External"/><Relationship Id="rId926" Type="http://schemas.openxmlformats.org/officeDocument/2006/relationships/hyperlink" Target="https://www.brusselstimes.com/290771/belgium-to-give-e12-million-in-military-aid-to-ukraine" TargetMode="External"/><Relationship Id="rId1111" Type="http://schemas.openxmlformats.org/officeDocument/2006/relationships/hyperlink" Target="https://japan.kantei.go.jp/ongoingtopics/pdf/jp_stands_with_ukraine_eng.pdf" TargetMode="External"/><Relationship Id="rId55" Type="http://schemas.openxmlformats.org/officeDocument/2006/relationships/hyperlink" Target="https://delano.lu/article/zelenskyy-thanks-luxembourg-fo" TargetMode="External"/><Relationship Id="rId120" Type="http://schemas.openxmlformats.org/officeDocument/2006/relationships/hyperlink" Target="https://www.usaid.gov/news-information/press-releases/mar-10-2022-united-states-announces-additional-humanitarian-assistance?msclkid=fc0f8e8dae8611ecaad8dc70eab615cc" TargetMode="External"/><Relationship Id="rId358" Type="http://schemas.openxmlformats.org/officeDocument/2006/relationships/hyperlink" Target="https://telex.hu/kulfold/2022/02/27/magyarorszag-100-ezer-liter-uzemanyagot-adomanyozott-karpataljanak" TargetMode="External"/><Relationship Id="rId565" Type="http://schemas.openxmlformats.org/officeDocument/2006/relationships/hyperlink" Target="https://www.rferl.org/a/czech-republic-poland-new-military-aid-ukraine/31873938.html" TargetMode="External"/><Relationship Id="rId772" Type="http://schemas.openxmlformats.org/officeDocument/2006/relationships/hyperlink" Target="https://focustaiwan.tw/politics/202206030014" TargetMode="External"/><Relationship Id="rId1195" Type="http://schemas.openxmlformats.org/officeDocument/2006/relationships/hyperlink" Target="https://valtioneuvosto.fi/en/-/finland-to-send-arms-assistance-to-ukraine" TargetMode="External"/><Relationship Id="rId1209" Type="http://schemas.openxmlformats.org/officeDocument/2006/relationships/hyperlink" Target="https://mil.in.ua/en/news/finland-commits-the-largest-military-aid-package-in-the-amount-of-e55-6-million/" TargetMode="External"/><Relationship Id="rId1416" Type="http://schemas.openxmlformats.org/officeDocument/2006/relationships/hyperlink" Target="https://www.defensa.gob.es/gabinete/notasPrensa/2022/10/DGC-221006-envio-ucrania.html" TargetMode="External"/><Relationship Id="rId218" Type="http://schemas.openxmlformats.org/officeDocument/2006/relationships/hyperlink" Target="https://www.worldbank.org/en/news/press-release/2022/03/14/world-bank-announces-additional-200-million-in-financing-for-ukraine" TargetMode="External"/><Relationship Id="rId425" Type="http://schemas.openxmlformats.org/officeDocument/2006/relationships/hyperlink" Target="https://www.kfw.de/About-KfW/Newsroom/Latest-News/Pressemitteilungen-Details_702848.html" TargetMode="External"/><Relationship Id="rId632" Type="http://schemas.openxmlformats.org/officeDocument/2006/relationships/hyperlink" Target="https://www.diplomatie.gouv.fr/en/country-files/ukraine/news/article/ukraine-special-delivery-of-emergency-medical-aid-by-france-joint-communique" TargetMode="External"/><Relationship Id="rId1055" Type="http://schemas.openxmlformats.org/officeDocument/2006/relationships/hyperlink" Target="https://www.diplomatie.gouv.fr/en/country-files/ukraine/news/article/ukraine-catherine-colonna-to-attend-the-launch-of-solidarity-operation-un" TargetMode="External"/><Relationship Id="rId1262" Type="http://schemas.openxmlformats.org/officeDocument/2006/relationships/hyperlink" Target="https://www.reuters.com/world/europe/germany-allocates-extra-1-bln-euros-ukraine-cyber-defence-documenting-war-crimes-2022-11-11/" TargetMode="External"/><Relationship Id="rId271" Type="http://schemas.openxmlformats.org/officeDocument/2006/relationships/hyperlink" Target="https://sloveniatimes.com/slovenia-sending-eur-100000-aid-to-ukraine/" TargetMode="External"/><Relationship Id="rId937" Type="http://schemas.openxmlformats.org/officeDocument/2006/relationships/hyperlink" Target="https://gagadget.com/en/149656-poland-transferred-40-bmp-1-combat-vehicles-to-ukraine/" TargetMode="External"/><Relationship Id="rId1122" Type="http://schemas.openxmlformats.org/officeDocument/2006/relationships/hyperlink" Target="https://www.thedefensepost.com/2022/10/03/germany-denmark-norway-howitzers-ukraine/" TargetMode="External"/><Relationship Id="rId66" Type="http://schemas.openxmlformats.org/officeDocument/2006/relationships/hyperlink" Target="https://lrv.lt/en/news/lithuania-allocates-1-8-mln-euro-worth-aid-to-ukraine?msclkid=2f9d4bd4b05c11ecbef1f3a571834d09" TargetMode="External"/><Relationship Id="rId131" Type="http://schemas.openxmlformats.org/officeDocument/2006/relationships/hyperlink" Target="https://www.aa.com.tr/en/europe/spain-to-send-weapons-to-ukrainian-forces/2520902" TargetMode="External"/><Relationship Id="rId369" Type="http://schemas.openxmlformats.org/officeDocument/2006/relationships/hyperlink" Target="https://www.canada.ca/en/department-finance/news/2022/05/canada-provides-additional-financial-support-to-ukraine.html" TargetMode="External"/><Relationship Id="rId576"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783" Type="http://schemas.openxmlformats.org/officeDocument/2006/relationships/hyperlink" Target="https://www.defensenews.com/pentagon/2022/06/01/us-will-send-himars-precision-rockets-to-ukraine/" TargetMode="External"/><Relationship Id="rId990" Type="http://schemas.openxmlformats.org/officeDocument/2006/relationships/hyperlink" Target="https://www.defense.gov/News/Releases/Release/Article/3173378/11-billion-in-additional-security-assistance-for-ukraine/" TargetMode="External"/><Relationship Id="rId1427" Type="http://schemas.openxmlformats.org/officeDocument/2006/relationships/hyperlink" Target="https://twitter.com/kyivindependent/status/1520462556338569216?lang=en" TargetMode="External"/><Relationship Id="rId229" Type="http://schemas.openxmlformats.org/officeDocument/2006/relationships/hyperlink" Target="https://twitter.com/MinPres/status/1516393082148773892" TargetMode="External"/><Relationship Id="rId436" Type="http://schemas.openxmlformats.org/officeDocument/2006/relationships/hyperlink" Target="https://tfiglobalnews.com/2022/03/21/canada-wanted-to-supply-weapons-to-ukraine-turns-out-it-didnt-have-any/" TargetMode="External"/><Relationship Id="rId643" Type="http://schemas.openxmlformats.org/officeDocument/2006/relationships/hyperlink" Target="https://www.rferl.org/a/czech-republic-poland-new-military-aid-ukraine/31873938.html" TargetMode="External"/><Relationship Id="rId1066" Type="http://schemas.openxmlformats.org/officeDocument/2006/relationships/hyperlink" Target="https://www.euronews.com/2022/09/29/cargo-ship-with-1000-tonnes-of-ukraine-aid-sets-sail-from-marseille" TargetMode="External"/><Relationship Id="rId1273" Type="http://schemas.openxmlformats.org/officeDocument/2006/relationships/hyperlink" Target="https://www.reuters.com/world/europe/italy-open-supplying-air-defence-systems-ukraine-official-2022-11-08/" TargetMode="External"/><Relationship Id="rId1480" Type="http://schemas.openxmlformats.org/officeDocument/2006/relationships/hyperlink" Target="https://www.lejdd.fr/International/sebastien-lecornu-ministre-des-armees-nous-navons-pas-a-rougir-de-notre-aide-a-lukraine-4148779" TargetMode="External"/><Relationship Id="rId850" Type="http://schemas.openxmlformats.org/officeDocument/2006/relationships/hyperlink" Target="https://www.npr.org/2022/05/03/1096398193/retired-colonel-on-the-rise-of-javelin-missiles-as-biden-seeks-to-aid-ukraine" TargetMode="External"/><Relationship Id="rId948" Type="http://schemas.openxmlformats.org/officeDocument/2006/relationships/hyperlink" Target="https://www.defense.gov/News/Releases/Release/Article/3134457/775-million-in-additional-security-assistance-for-ukraine/" TargetMode="External"/><Relationship Id="rId1133" Type="http://schemas.openxmlformats.org/officeDocument/2006/relationships/hyperlink" Target="https://www.regjeringen.no/en/aktuelt/norge-og-storbritannia-gir-langtrekkende-rakettartilleri-til-ukraina/id2921395/" TargetMode="External"/><Relationship Id="rId77" Type="http://schemas.openxmlformats.org/officeDocument/2006/relationships/hyperlink" Target="https://www.globalcitizen.org/en/content/stand-up-for-ukraine-impact-report/" TargetMode="External"/><Relationship Id="rId282" Type="http://schemas.openxmlformats.org/officeDocument/2006/relationships/hyperlink" Target="https://twitter.com/USAIDUkraine/status/1522237212334641152" TargetMode="External"/><Relationship Id="rId503" Type="http://schemas.openxmlformats.org/officeDocument/2006/relationships/hyperlink" Target="https://twitter.com/vonderleyen/status/1512525016910471170" TargetMode="External"/><Relationship Id="rId587" Type="http://schemas.openxmlformats.org/officeDocument/2006/relationships/hyperlink" Target="https://www.theportugalnews.com/news/2022-04-12/portugal-sending-over-99-tonnes-of-medical-and-military-materials/66356" TargetMode="External"/><Relationship Id="rId710" Type="http://schemas.openxmlformats.org/officeDocument/2006/relationships/hyperlink" Target="https://www.peterdutton.com.au/australia-to-provide-armoured-personnel-carriers-and-more-bushmasters-to-ukraine/" TargetMode="External"/><Relationship Id="rId808" Type="http://schemas.openxmlformats.org/officeDocument/2006/relationships/hyperlink" Target="https://twitter.com/JaroNad/status/1537194189066223616?ref_src=twsrc%5Etfw%7Ctwcamp%5Etweetembed%7Ctwterm%5E1537194189066223616%7Ctwgr%5E%7Ctwcon%5Es1_&amp;ref_url=https%3A%2F%2Fgagadget.com%2Fen%2F138212-slovakia-handed-over-to-ukraine-mi-17-and-mi-2-helicopters-as-well-as-ammunition-for-the-grad-mlrs%2F" TargetMode="External"/><Relationship Id="rId1340" Type="http://schemas.openxmlformats.org/officeDocument/2006/relationships/hyperlink" Target="https://www.defensie.nl/actueel/nieuws/2022/11/04/nederlands-militair-steunpakket-voor-oekraine" TargetMode="External"/><Relationship Id="rId1438" Type="http://schemas.openxmlformats.org/officeDocument/2006/relationships/hyperlink" Target="https://www.kyivpost.com/russias-war/estonia-to-boost-military-assistance-for-ukraine.html" TargetMode="External"/><Relationship Id="rId8" Type="http://schemas.openxmlformats.org/officeDocument/2006/relationships/hyperlink" Target="https://diplomatie.belgium.be/en/belgium-sends-emergency-shelter-material-ukraine-b-fast" TargetMode="External"/><Relationship Id="rId142" Type="http://schemas.openxmlformats.org/officeDocument/2006/relationships/hyperlink" Target="https://www.barrons.com/news/spain-to-send-more-weapons-to-ukraine-01647003007" TargetMode="External"/><Relationship Id="rId447" Type="http://schemas.openxmlformats.org/officeDocument/2006/relationships/hyperlink" Target="https://appropriations.house.gov/sites/democrats.appropriations.house.gov/files/Additional%20Ukraine%20Suplemental%20Appropriations%20Act%20Summary.pdf" TargetMode="External"/><Relationship Id="rId794" Type="http://schemas.openxmlformats.org/officeDocument/2006/relationships/hyperlink" Target="https://focustaiwan.tw/politics/202206030014" TargetMode="External"/><Relationship Id="rId1077" Type="http://schemas.openxmlformats.org/officeDocument/2006/relationships/hyperlink" Target="https://www.vm.ee/en/news/estonia-donates-12-buses-zhytomyr-oblast-ukraine-help-restore-transport-links" TargetMode="External"/><Relationship Id="rId1200" Type="http://schemas.openxmlformats.org/officeDocument/2006/relationships/hyperlink" Target="https://www.defmin.fi/en/topical/press_releases_and_news/finland_to_deliver_more_defence_materiel_assistance_to_ukraine.13055.news" TargetMode="External"/><Relationship Id="rId654"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861" Type="http://schemas.openxmlformats.org/officeDocument/2006/relationships/hyperlink" Target="https://www.pm.gov.au/media/visit-kyiv-and-further-australian-support-ukraine" TargetMode="External"/><Relationship Id="rId959" Type="http://schemas.openxmlformats.org/officeDocument/2006/relationships/hyperlink" Target="https://www.defense.gov/News/Releases/Release/Article/3152071/675-million-in-additional-security-assistance-for-ukraine/" TargetMode="External"/><Relationship Id="rId1284" Type="http://schemas.openxmlformats.org/officeDocument/2006/relationships/hyperlink" Target="https://gemeindebund.at/gemeinden-blaulichtorganisationen-und-unternehmen-helfen-der-ukraine/" TargetMode="External"/><Relationship Id="rId1491" Type="http://schemas.openxmlformats.org/officeDocument/2006/relationships/hyperlink" Target="https://www.defmin.fi/ajankohtaista/tiedotteet_ja_uutiset/suomi_toimittaa_lisaa_puolustustarvikeapua_ukrainaan.13184.news" TargetMode="External"/><Relationship Id="rId1505" Type="http://schemas.openxmlformats.org/officeDocument/2006/relationships/hyperlink" Target="https://www.defense.gov/News/News-Stories/Article/Article/2955960/us-provided-more-than-1-billion-in-security-assistance-to-ukraine-in-past-year/" TargetMode="External"/><Relationship Id="rId293" Type="http://schemas.openxmlformats.org/officeDocument/2006/relationships/hyperlink" Target="https://www.regjeringen.no/en/topics/foreign-affairs/humanitarian-efforts/neighbour_support/id2908141/" TargetMode="External"/><Relationship Id="rId307" Type="http://schemas.openxmlformats.org/officeDocument/2006/relationships/hyperlink" Target="https://www.regjeringen.no/en/aktuelt/ukrainefund/id2909840/" TargetMode="External"/><Relationship Id="rId514" Type="http://schemas.openxmlformats.org/officeDocument/2006/relationships/hyperlink" Target="https://euneighbourseast.eu/news-and-stories/latest-news/ukraine-eu-announces-e120-million-grant-to-support-societal-and-state-resilience/" TargetMode="External"/><Relationship Id="rId721" Type="http://schemas.openxmlformats.org/officeDocument/2006/relationships/hyperlink" Target="https://mezha.media/en/2022/04/15/new-weapon-deliveries-from-the-czech-republic-dana-self-propelled-artillery-and-rm-70-multiple-rocket-launcher/" TargetMode="External"/><Relationship Id="rId1144" Type="http://schemas.openxmlformats.org/officeDocument/2006/relationships/hyperlink" Target="https://www.defense.gov/News/Releases/Release/Article/3066864/fact-sheet-on-us-security-assistance-to-ukraine/" TargetMode="External"/><Relationship Id="rId1351" Type="http://schemas.openxmlformats.org/officeDocument/2006/relationships/hyperlink" Target="https://www.dsca.mil/press-media/major-arms-sales/ukraine-non-standard-ammunition" TargetMode="External"/><Relationship Id="rId1449" Type="http://schemas.openxmlformats.org/officeDocument/2006/relationships/hyperlink" Target="https://www.republicworld.com/world-news/russia-ukraine-crisis/estonia-confirms-relief-package-to-aid-war-torn-ukraine-articleshow.html" TargetMode="External"/><Relationship Id="rId88" Type="http://schemas.openxmlformats.org/officeDocument/2006/relationships/hyperlink" Target="https://www.canada.ca/en/department-national-defence/news/2022/03/defence-minister-anand-announces-additional-military-support-to-ukraine.html?msclkid=50865665ab9011ecbb2d77d3ecd6e3a6" TargetMode="External"/><Relationship Id="rId153" Type="http://schemas.openxmlformats.org/officeDocument/2006/relationships/hyperlink" Target="https://www.aa.com.tr/en/europe/spain-to-send-weapons-to-ukrainian-forces/2520902" TargetMode="External"/><Relationship Id="rId360" Type="http://schemas.openxmlformats.org/officeDocument/2006/relationships/hyperlink" Target="https://bntnews.bg/news/kakva-tochno-pomosht-shte-predostavi-balgariya-na-ukraina-1193662news.html" TargetMode="External"/><Relationship Id="rId598" Type="http://schemas.openxmlformats.org/officeDocument/2006/relationships/hyperlink" Target="https://english.radio.cz/czech-republic-sends-further-humanitarian-aid-ukraine-8752601" TargetMode="External"/><Relationship Id="rId819" Type="http://schemas.openxmlformats.org/officeDocument/2006/relationships/hyperlink" Target="https://twitter.com/a_anusauskas/status/1546202214003269635" TargetMode="External"/><Relationship Id="rId1004" Type="http://schemas.openxmlformats.org/officeDocument/2006/relationships/hyperlink" Target="https://pmtranscripts.pmc.gov.au/release/transcript-43947" TargetMode="External"/><Relationship Id="rId1211" Type="http://schemas.openxmlformats.org/officeDocument/2006/relationships/hyperlink" Target="https://www.wsj.com/livecoverage/russia-ukraine-latest-news-2022-03-04/card/japan-will-send-the-ukrainian-military-basic-supplies-VOtpnPjTX2ooK8dqQ8o8?msclkid=8d9aa20aaf4811eca75cd52c21f47675" TargetMode="External"/><Relationship Id="rId220" Type="http://schemas.openxmlformats.org/officeDocument/2006/relationships/hyperlink" Target="https://www.whitehouse.gov/briefing-room/statements-releases/2022/03/30/press-briefing-by-communications-director-kate-bedingfield/" TargetMode="External"/><Relationship Id="rId458" Type="http://schemas.openxmlformats.org/officeDocument/2006/relationships/hyperlink" Target="https://www.strategypage.com/htmw/htart/articles/20220502.aspx" TargetMode="External"/><Relationship Id="rId665" Type="http://schemas.openxmlformats.org/officeDocument/2006/relationships/hyperlink" Target="https://nationalinterest.org/blog/buzz/us-phoenix-ghost-drones-are-helping-ukraine-take-fight-russia-202249" TargetMode="External"/><Relationship Id="rId872" Type="http://schemas.openxmlformats.org/officeDocument/2006/relationships/hyperlink" Target="https://twitter.com/a_anusauskas/status/1546202214003269635" TargetMode="External"/><Relationship Id="rId1088" Type="http://schemas.openxmlformats.org/officeDocument/2006/relationships/hyperlink" Target="https://twitter.com/oleksiireznikov/status/1569670474841427971" TargetMode="External"/><Relationship Id="rId1295" Type="http://schemas.openxmlformats.org/officeDocument/2006/relationships/hyperlink" Target="https://www.lrt.lt/en/news-in-english/19/1779577/lithuania-has-provided-eur200m-in-military-aid-to-war-torn-ukraine-minister" TargetMode="External"/><Relationship Id="rId1309" Type="http://schemas.openxmlformats.org/officeDocument/2006/relationships/hyperlink" Target="https://edition.cnn.com/europe/live-news/russia-ukraine-war-news-08-25-22/index.html" TargetMode="External"/><Relationship Id="rId15" Type="http://schemas.openxmlformats.org/officeDocument/2006/relationships/hyperlink" Target="https://www.ansa.it/sito/notizie/topnews/2022/02/27/di-maio-da-italia-110-milioni-di-euro-al-governo-di-kiev_946fac9e-f0a8-492e-9b12-7b64fefc6bac.html" TargetMode="External"/><Relationship Id="rId318" Type="http://schemas.openxmlformats.org/officeDocument/2006/relationships/hyperlink" Target="https://www.regjeringen.no/en/aktuelt/ukrainefund/id2909840/" TargetMode="External"/><Relationship Id="rId525" Type="http://schemas.openxmlformats.org/officeDocument/2006/relationships/hyperlink" Target="https://www.cmfmag.ca/canadian-government-sends-lethal-weapons-to-ukraine/" TargetMode="External"/><Relationship Id="rId732" Type="http://schemas.openxmlformats.org/officeDocument/2006/relationships/hyperlink" Target="https://www.diplomatie.gouv.fr/en/country-files/ukraine/news/article/ukraine-france-mobilised-to-support-ukraine-through-medical-care-for-war" TargetMode="External"/><Relationship Id="rId1155" Type="http://schemas.openxmlformats.org/officeDocument/2006/relationships/hyperlink" Target="https://www.minister.defence.gov.au/media-releases/2022-10-27/additional-support-ukraine" TargetMode="External"/><Relationship Id="rId1362" Type="http://schemas.openxmlformats.org/officeDocument/2006/relationships/hyperlink" Target="https://crsreports.congress.gov/product/pdf/IF/IF12040" TargetMode="External"/><Relationship Id="rId99" Type="http://schemas.openxmlformats.org/officeDocument/2006/relationships/hyperlink" Target="https://www.vlada.cz/cz/media-centrum/aktualne/informace-v-souvislosti-s-invazi-ruska-na-ukrajinu-194507/" TargetMode="External"/><Relationship Id="rId164" Type="http://schemas.openxmlformats.org/officeDocument/2006/relationships/hyperlink" Target="https://twitter.com/Defensagob/status/1512424894881017857" TargetMode="External"/><Relationship Id="rId371" Type="http://schemas.openxmlformats.org/officeDocument/2006/relationships/hyperlink" Target="https://www.republicworld.com/world-news/russia-ukraine-crisis/canada-announces-additional-loan-of-250mn-for-ukraine-as-russian-invasion-enters-day-87-articleshow.html" TargetMode="External"/><Relationship Id="rId1015" Type="http://schemas.openxmlformats.org/officeDocument/2006/relationships/hyperlink" Target="https://twitter.com/hadjalahbib/status/1562721777649799170?ref_src=twsrc%5Etfw%7Ctwcamp%5Etweetembed%7Ctwterm%5E1562721777649799170%7Ctwgr%5E69cb6a35c6fc5375ee1777ba5e3491bf84fd300f%7Ctwcon%5Es1_&amp;ref_url=https%3A%2F%2Fbabel.ua%2Fen%2Fnews%2F83487-belgium-allocated-8-million-for-non-lethal-aid-to-ukraine" TargetMode="External"/><Relationship Id="rId1222" Type="http://schemas.openxmlformats.org/officeDocument/2006/relationships/hyperlink" Target="https://www.wfp.org/news/japan-provides-us28-million-humanitarian-food-assistance-ukraine" TargetMode="External"/><Relationship Id="rId469" Type="http://schemas.openxmlformats.org/officeDocument/2006/relationships/hyperlink" Target="https://www.lemonde.fr/en/international/article/2022/04/24/france-is-delivering-caesar-cannons-and-milan-anti-tank-missiles-to-kiev_5981417_4.html" TargetMode="External"/><Relationship Id="rId676" Type="http://schemas.openxmlformats.org/officeDocument/2006/relationships/hyperlink" Target="https://intermin.fi/en/ukraine/civilian-assistance-to-ukraine" TargetMode="External"/><Relationship Id="rId883" Type="http://schemas.openxmlformats.org/officeDocument/2006/relationships/hyperlink" Target="https://vm.ee/en/humanitarian-aid-ukraine" TargetMode="External"/><Relationship Id="rId1099" Type="http://schemas.openxmlformats.org/officeDocument/2006/relationships/hyperlink" Target="https://www.reuters.com/world/europe/denmark-will-contribute-additional-110-mln-euros-ukraine-pm-2022-08-11/" TargetMode="External"/><Relationship Id="rId26" Type="http://schemas.openxmlformats.org/officeDocument/2006/relationships/hyperlink" Target="https://www.repubblica.it/politica/2022/03/01/news/armi_ucraina_di_governo_oggi_camere-339750246/" TargetMode="External"/><Relationship Id="rId231" Type="http://schemas.openxmlformats.org/officeDocument/2006/relationships/hyperlink" Target="https://www.oryxspioenkop.com/2022/04/beyond-call-dutch-arms-deliveries-to.html" TargetMode="External"/><Relationship Id="rId329" Type="http://schemas.openxmlformats.org/officeDocument/2006/relationships/hyperlink" Target="https://reliefweb.int/report/ukraine/korea-provide-humanitarian-assistance-people-ukraine" TargetMode="External"/><Relationship Id="rId536" Type="http://schemas.openxmlformats.org/officeDocument/2006/relationships/hyperlink" Target="https://www.ekathimerini.com/news/1179620/greek-role-within-nato-is-upgraded/" TargetMode="External"/><Relationship Id="rId1166" Type="http://schemas.openxmlformats.org/officeDocument/2006/relationships/hyperlink" Target="https://www.reuters.com/world/europe/czech-republic-sends-tanks-ukraine-czech-tv-reports-2022-04-05/" TargetMode="External"/><Relationship Id="rId1373" Type="http://schemas.openxmlformats.org/officeDocument/2006/relationships/hyperlink" Target="https://www.defense.gov/News/Releases/Release/Article/3189571/725-million-in-additional-security-assistance-for-ukraine/" TargetMode="External"/><Relationship Id="rId175" Type="http://schemas.openxmlformats.org/officeDocument/2006/relationships/hyperlink" Target="https://ec.europa.eu/commission/presscorner/detail/en/ip_22_1222" TargetMode="External"/><Relationship Id="rId743" Type="http://schemas.openxmlformats.org/officeDocument/2006/relationships/hyperlink" Target="https://cxtvnews.com/military/2022/02/26/polish-military-aid-equipment-has-arrived-in-ukraine/" TargetMode="External"/><Relationship Id="rId950" Type="http://schemas.openxmlformats.org/officeDocument/2006/relationships/hyperlink" Target="https://www.defense.gov/News/Releases/Release/Article/3134457/775-million-in-additional-security-assistance-for-ukraine/" TargetMode="External"/><Relationship Id="rId1026" Type="http://schemas.openxmlformats.org/officeDocument/2006/relationships/hyperlink" Target="https://en.interfax.com.ua/news/general/859303.html" TargetMode="External"/><Relationship Id="rId382" Type="http://schemas.openxmlformats.org/officeDocument/2006/relationships/hyperlink" Target="https://um.fi/press-releases/-/asset_publisher/ued5t2wDmr1C/content/suomi-myontaa-4-miljoonaa-euroa-lisatukea-ukrainalle-kehitysyhteistyon-ja-humanitaarisen-avun-kautta/35732" TargetMode="External"/><Relationship Id="rId603" Type="http://schemas.openxmlformats.org/officeDocument/2006/relationships/hyperlink" Target="https://www.npr.org/2022/05/03/1096398193/retired-colonel-on-the-rise-of-javelin-missiles-as-biden-seeks-to-aid-ukraine" TargetMode="External"/><Relationship Id="rId687" Type="http://schemas.openxmlformats.org/officeDocument/2006/relationships/hyperlink" Target="https://www.beehive.govt.nz/release/further-aotearoa-new-zealand-support-ukraine" TargetMode="External"/><Relationship Id="rId810" Type="http://schemas.openxmlformats.org/officeDocument/2006/relationships/hyperlink" Target="https://www.brusselstimes.com/255904/belgium-to-send-new-huge-aid-shipment-to-ukraine" TargetMode="External"/><Relationship Id="rId908" Type="http://schemas.openxmlformats.org/officeDocument/2006/relationships/hyperlink" Target="https://pm.gc.ca/en/news/news-releases/2022/08/23/prime-minister-announces-additional-support-ukraine" TargetMode="External"/><Relationship Id="rId1233" Type="http://schemas.openxmlformats.org/officeDocument/2006/relationships/hyperlink" Target="https://english.nv.ua/nation/czech-republic-prepares-new-military-aid-package-for-ukraine-50278050.html" TargetMode="External"/><Relationship Id="rId1440" Type="http://schemas.openxmlformats.org/officeDocument/2006/relationships/hyperlink" Target="https://kaitseministeerium.ee/en/news/estonia-sending-ukraine-ammunition-and-equipment" TargetMode="External"/><Relationship Id="rId242" Type="http://schemas.openxmlformats.org/officeDocument/2006/relationships/hyperlink" Target="https://www.vlada.cz/cz/media-centrum/aktualne/informace-v-souvislosti-s-invazi-ruska-na-ukrajinu-194507/" TargetMode="External"/><Relationship Id="rId894" Type="http://schemas.openxmlformats.org/officeDocument/2006/relationships/hyperlink" Target="https://www.mod.gov.lv/lv/zinas/latvija-ukrainas-armijai-piegadajusi-helikopterus-mi-17-un-mi-2" TargetMode="External"/><Relationship Id="rId1177" Type="http://schemas.openxmlformats.org/officeDocument/2006/relationships/hyperlink" Target="https://militaryleak.com/2022/05/01/denmark-to-send-m113-armored-personnel-carriers-and-weapons-to-ukraine/" TargetMode="External"/><Relationship Id="rId1300" Type="http://schemas.openxmlformats.org/officeDocument/2006/relationships/hyperlink" Target="https://twitter.com/a_anusauskas/status/1592084804501401604" TargetMode="External"/><Relationship Id="rId37" Type="http://schemas.openxmlformats.org/officeDocument/2006/relationships/hyperlink" Target="https://bbj.hu/politics/foreign-affairs/ukraine-crisis/ukraine-crisis-hungary-to-send-additional-medical-supplies-to-ukraine" TargetMode="External"/><Relationship Id="rId102" Type="http://schemas.openxmlformats.org/officeDocument/2006/relationships/hyperlink" Target="https://www.vlada.cz/cz/media-centrum/aktualne/informace-v-souvislosti-s-invazi-ruska-na-ukrajinu-194507/" TargetMode="External"/><Relationship Id="rId547" Type="http://schemas.openxmlformats.org/officeDocument/2006/relationships/hyperlink" Target="https://mil.in.ua/en/news/belgium-made-a-decision-to-hand-over-artillery-to-ukraine-the-media/" TargetMode="External"/><Relationship Id="rId754" Type="http://schemas.openxmlformats.org/officeDocument/2006/relationships/hyperlink" Target="https://www.wsj.com/livecoverage/russia-ukraine-latest-news-2022-04-29/card/poland-has-sent-more-than-200-tanks-to-ukraine-Krwar3DCPzHJJk4UMVh4" TargetMode="External"/><Relationship Id="rId961" Type="http://schemas.openxmlformats.org/officeDocument/2006/relationships/hyperlink" Target="https://www.defense.gov/News/Releases/Release/Article/3152071/675-million-in-additional-security-assistance-for-ukraine/" TargetMode="External"/><Relationship Id="rId1384" Type="http://schemas.openxmlformats.org/officeDocument/2006/relationships/hyperlink" Target="https://www.spiegel.de/politik/deutschland/ukraine-krieg-deutschland-lieferte-waffen-fuer-37-millionen-euro-a-460a7b35-70aa-40bb-8ec7-80f5606f0d5a" TargetMode="External"/><Relationship Id="rId90" Type="http://schemas.openxmlformats.org/officeDocument/2006/relationships/hyperlink" Target="https://cyprus-mail.com/2022/04/06/aid-for-ukraine-now-tops-e2-million/" TargetMode="External"/><Relationship Id="rId186" Type="http://schemas.openxmlformats.org/officeDocument/2006/relationships/hyperlink" Target="https://www.gov.uk/government/news/prime-minister-pledges-uks-unwavering-support-to-ukraine-on-visit-to-kyiv-9-april-2022" TargetMode="External"/><Relationship Id="rId393" Type="http://schemas.openxmlformats.org/officeDocument/2006/relationships/hyperlink" Target="https://today.rtl.lu/news/luxembourg/a/1881929.html" TargetMode="External"/><Relationship Id="rId407" Type="http://schemas.openxmlformats.org/officeDocument/2006/relationships/hyperlink" Target="https://en.interfax.com.ua/news/general/829822.html" TargetMode="External"/><Relationship Id="rId614" Type="http://schemas.openxmlformats.org/officeDocument/2006/relationships/hyperlink" Target="https://www.theportugalnews.com/news/2022-04-07/portugal-to-send-more-military-material-to-ukraine/66259" TargetMode="External"/><Relationship Id="rId821" Type="http://schemas.openxmlformats.org/officeDocument/2006/relationships/hyperlink" Target="https://twitter.com/a_anusauskas/status/1549776944295809028" TargetMode="External"/><Relationship Id="rId1037" Type="http://schemas.openxmlformats.org/officeDocument/2006/relationships/hyperlink" Target="https://www.brusselstimes.com/290771/belgium-to-give-e12-million-in-military-aid-to-ukraine" TargetMode="External"/><Relationship Id="rId1244" Type="http://schemas.openxmlformats.org/officeDocument/2006/relationships/hyperlink" Target="https://www.defense.gouv.fr/terre/actualites/uiisc-1-3e-convoi-solidarite-lukraine" TargetMode="External"/><Relationship Id="rId1451" Type="http://schemas.openxmlformats.org/officeDocument/2006/relationships/hyperlink" Target="https://kaitseministeerium.ee/en/news/estonia-sending-ukraine-ammunition-and-equipment" TargetMode="External"/><Relationship Id="rId253" Type="http://schemas.openxmlformats.org/officeDocument/2006/relationships/hyperlink" Target="https://www.reuters.com/article/ukraine-crisis-france-loan-idUSL5N2VX4PT" TargetMode="External"/><Relationship Id="rId460" Type="http://schemas.openxmlformats.org/officeDocument/2006/relationships/hyperlink" Target="https://twitter.com/oleksiireznikov/status/1539234531764486149" TargetMode="External"/><Relationship Id="rId698" Type="http://schemas.openxmlformats.org/officeDocument/2006/relationships/hyperlink" Target="https://english.defensie.nl/latest/news/2022/04/06/a-look-at-the-defence-news-28-march---3-april" TargetMode="External"/><Relationship Id="rId919" Type="http://schemas.openxmlformats.org/officeDocument/2006/relationships/hyperlink" Target="https://lahbib.belgium.be/en/belgium-provide-8-million-eur-non-lethal-support-ukrainian-armed-forces" TargetMode="External"/><Relationship Id="rId1090" Type="http://schemas.openxmlformats.org/officeDocument/2006/relationships/hyperlink" Target="https://twitter.com/oleksiireznikov/status/1569670474841427971" TargetMode="External"/><Relationship Id="rId1104" Type="http://schemas.openxmlformats.org/officeDocument/2006/relationships/hyperlink" Target="https://www.defense.gov/News/Releases/Release/Article/3120059/1-billion-in-additional-security-assistance-for-ukraine/" TargetMode="External"/><Relationship Id="rId1311" Type="http://schemas.openxmlformats.org/officeDocument/2006/relationships/hyperlink" Target="https://www.aa.com.tr/en/europe/spain-announces-increase-in-military-aid-to-ukraine/2668809" TargetMode="External"/><Relationship Id="rId48" Type="http://schemas.openxmlformats.org/officeDocument/2006/relationships/hyperlink" Target="https://www.vlada.cz/cz/media-centrum/aktualne/vlada-kvuli-migracni-krizi-vyhlasila-od-patku-nouzovy-stav--schvalila-i-dalsi-pomoc-pro-ukrajinu-a-navrh-na-zvyseni-vydaju-na-obranu-194695/" TargetMode="External"/><Relationship Id="rId113" Type="http://schemas.openxmlformats.org/officeDocument/2006/relationships/hyperlink" Target="https://twitter.com/eduardheger/status/1497624801497821188" TargetMode="External"/><Relationship Id="rId320" Type="http://schemas.openxmlformats.org/officeDocument/2006/relationships/hyperlink" Target="https://www.beehive.govt.nz/release/nz-provide-non-lethal-military-assistance-ukraine" TargetMode="External"/><Relationship Id="rId558" Type="http://schemas.openxmlformats.org/officeDocument/2006/relationships/hyperlink" Target="https://www.vlada.cz/cz/media-centrum/aktualne/vlada-schvalila-dalsi-dar-v-podobe-vojenskeho-materialu-ukrajine-194585/" TargetMode="External"/><Relationship Id="rId765" Type="http://schemas.openxmlformats.org/officeDocument/2006/relationships/hyperlink" Target="https://www.euractiv.com/section/politics/short_news/slovenia-sends-military-aid-including-weapons-to-ukraine/" TargetMode="External"/><Relationship Id="rId972" Type="http://schemas.openxmlformats.org/officeDocument/2006/relationships/hyperlink" Target="https://www.defense.gov/News/Releases/Release/Article/3160503/600-million-in-additional-security-assistance-for-ukraine/" TargetMode="External"/><Relationship Id="rId1188" Type="http://schemas.openxmlformats.org/officeDocument/2006/relationships/hyperlink" Target="https://www.worldbank.org/en/news/press-release/2022/09/30/world-bank-mobilizes-additional-530-million-in-support-to-ukraine" TargetMode="External"/><Relationship Id="rId1395" Type="http://schemas.openxmlformats.org/officeDocument/2006/relationships/hyperlink" Target="https://www.bundesregierung.de/breg-de/themen/krieg-in-der-ukraine/lieferungen-ukraine-2054514" TargetMode="External"/><Relationship Id="rId1409" Type="http://schemas.openxmlformats.org/officeDocument/2006/relationships/hyperlink" Target="https://www.austria.org/ukraine" TargetMode="External"/><Relationship Id="rId197" Type="http://schemas.openxmlformats.org/officeDocument/2006/relationships/hyperlink" Target="https://appropriations.house.gov/sites/democrats.appropriations.house.gov/files/Ukraine%20Supplemental%20Summary.pdf" TargetMode="External"/><Relationship Id="rId418" Type="http://schemas.openxmlformats.org/officeDocument/2006/relationships/hyperlink" Target="https://twitter.com/MinColonna/status/1531344296191868928" TargetMode="External"/><Relationship Id="rId625" Type="http://schemas.openxmlformats.org/officeDocument/2006/relationships/hyperlink" Target="https://pmtranscripts.pmc.gov.au/release/transcript-43831" TargetMode="External"/><Relationship Id="rId832" Type="http://schemas.openxmlformats.org/officeDocument/2006/relationships/hyperlink" Target="https://mil.in.ua/en/news/ukraine-receives-pt-91-twardy-tanks-from-poland/" TargetMode="External"/><Relationship Id="rId1048" Type="http://schemas.openxmlformats.org/officeDocument/2006/relationships/hyperlink" Target="https://www.connexionfrance.com/article/French-news/Humanitarian-ship-for-Ukraine-leaves-French-port-with-8m-of-aid" TargetMode="External"/><Relationship Id="rId1255" Type="http://schemas.openxmlformats.org/officeDocument/2006/relationships/hyperlink" Target="https://www.defense.gouv.fr/terre/actualites/uiisc-1-3e-convoi-solidarite-lukraine" TargetMode="External"/><Relationship Id="rId1462" Type="http://schemas.openxmlformats.org/officeDocument/2006/relationships/hyperlink" Target="https://www.consilium.europa.eu/en/policies/european-peace-facility/timeline-european-peace-facility/" TargetMode="External"/><Relationship Id="rId264" Type="http://schemas.openxmlformats.org/officeDocument/2006/relationships/hyperlink" Target="https://hellenicaid.mfa.gr/en/epikairotita/anakoinoseis/episkepse-upourgou-exoterikon-nikou.html" TargetMode="External"/><Relationship Id="rId471" Type="http://schemas.openxmlformats.org/officeDocument/2006/relationships/hyperlink" Target="https://tass.com/world/1439267?utm_source=google.com&amp;utm_medium=organic&amp;utm_campaign=google.com&amp;utm_referrer=google.com" TargetMode="External"/><Relationship Id="rId1115" Type="http://schemas.openxmlformats.org/officeDocument/2006/relationships/hyperlink" Target="https://www.regjeringen.no/en/aktuelt/statement-by-the-norwegian-german-slovakian-and-danish-ministers-of-defence/id2930329/" TargetMode="External"/><Relationship Id="rId1322" Type="http://schemas.openxmlformats.org/officeDocument/2006/relationships/hyperlink" Target="https://www.bbc.com/news/world-europe-61482305" TargetMode="External"/><Relationship Id="rId59" Type="http://schemas.openxmlformats.org/officeDocument/2006/relationships/hyperlink" Target="https://www.gov.ie/en/press-release/2e59c-update-on-medical-humanitarian-support-to-ukraine/" TargetMode="External"/><Relationship Id="rId124" Type="http://schemas.openxmlformats.org/officeDocument/2006/relationships/hyperlink" Target="https://www.reuters.com/world/europe/spain-send-grenade-launchers-machine-guns-ukraine-minister-says-2022-03-02/" TargetMode="External"/><Relationship Id="rId569" Type="http://schemas.openxmlformats.org/officeDocument/2006/relationships/hyperlink" Target="https://www.rferl.org/a/czech-republic-poland-new-military-aid-ukraine/31873938.html" TargetMode="External"/><Relationship Id="rId776" Type="http://schemas.openxmlformats.org/officeDocument/2006/relationships/hyperlink" Target="https://www.gov.uk/government/news/uk-to-gift-multiple-launch-rocket-systems-to-ukraine" TargetMode="External"/><Relationship Id="rId983" Type="http://schemas.openxmlformats.org/officeDocument/2006/relationships/hyperlink" Target="https://www.defense.gov/News/Releases/Release/Article/3138105/nearly-3-billion-in-additional-security-assistance-for-ukraine/" TargetMode="External"/><Relationship Id="rId1199" Type="http://schemas.openxmlformats.org/officeDocument/2006/relationships/hyperlink" Target="https://www.defmin.fi/en/topical/press_releases_and_news/finland_sends_more_defence_materiel_assistance_to_ukraine.12834.news" TargetMode="External"/><Relationship Id="rId331" Type="http://schemas.openxmlformats.org/officeDocument/2006/relationships/hyperlink" Target="http://www.koreaherald.com/view.php?ud=20220228000968" TargetMode="External"/><Relationship Id="rId429" Type="http://schemas.openxmlformats.org/officeDocument/2006/relationships/hyperlink" Target="https://www.padovaoggi.it/cronaca/vigili-fuoco-mezzi-ucraina-padova-14-aprile-2022.html" TargetMode="External"/><Relationship Id="rId636" Type="http://schemas.openxmlformats.org/officeDocument/2006/relationships/hyperlink" Target="https://www.19fortyfive.com/2022/05/putin-is-mad-u-s-begins-delivering-new-phoenix-ghost-drones-to-ukraine/" TargetMode="External"/><Relationship Id="rId1059" Type="http://schemas.openxmlformats.org/officeDocument/2006/relationships/hyperlink" Target="https://www.euronews.com/2022/09/29/cargo-ship-with-1000-tonnes-of-ukraine-aid-sets-sail-from-marseille" TargetMode="External"/><Relationship Id="rId1266" Type="http://schemas.openxmlformats.org/officeDocument/2006/relationships/hyperlink" Target="https://www.ukrinform.net/rubric-ato/3604150-italy-provides-ukraine-with-two-m270-systems-six-pzh-2000-about-30-selfpropelled-howitzers-media.html" TargetMode="External"/><Relationship Id="rId1473" Type="http://schemas.openxmlformats.org/officeDocument/2006/relationships/hyperlink" Target="https://www.lemonde.fr/en/international/article/2022/10/12/macron-promises-air-defense-systems-for-ukraine-calls-for-putin-to-discuss-peace_6000130_4.html" TargetMode="External"/><Relationship Id="rId843" Type="http://schemas.openxmlformats.org/officeDocument/2006/relationships/hyperlink" Target="https://twitter.com/oleksiireznikov/status/1553647959501414401?s=20&amp;t=sxJyy3lEqeaMPa3O1ayEDw" TargetMode="External"/><Relationship Id="rId1126" Type="http://schemas.openxmlformats.org/officeDocument/2006/relationships/hyperlink" Target="https://www.euronews.com/2022/09/29/cargo-ship-with-1000-tonnes-of-ukraine-aid-sets-sail-from-marseille" TargetMode="External"/><Relationship Id="rId275" Type="http://schemas.openxmlformats.org/officeDocument/2006/relationships/hyperlink" Target="https://www.gov.uk/government/news/pm-announces-further-humanitarian-aid-to-ukraine" TargetMode="External"/><Relationship Id="rId482" Type="http://schemas.openxmlformats.org/officeDocument/2006/relationships/hyperlink" Target="https://www.aa.com.tr/en/russia-ukraine-war/norway-sends-roughly-100-anti-aircraft-missiles-to-ukraine/2568447" TargetMode="External"/><Relationship Id="rId703" Type="http://schemas.openxmlformats.org/officeDocument/2006/relationships/hyperlink" Target="https://www.defensie.nl/actueel/nieuws/2022/02/26/ook-antitankwapens-van-nederland-naar-oekraine" TargetMode="External"/><Relationship Id="rId910" Type="http://schemas.openxmlformats.org/officeDocument/2006/relationships/hyperlink" Target="https://www.gov.uk/government/news/uk-and-allies-agree-expanded-international-fund-for-ukraine-support" TargetMode="External"/><Relationship Id="rId1333" Type="http://schemas.openxmlformats.org/officeDocument/2006/relationships/hyperlink" Target="https://www.bbc.com/news/uk-61990479" TargetMode="External"/><Relationship Id="rId135" Type="http://schemas.openxmlformats.org/officeDocument/2006/relationships/hyperlink" Target="https://www.wsj.com/livecoverage/russia-ukraine-latest-news-2022-03-24/card/u-k-to-send-extra-missiles-to-ukraine-prime-minister-says-wVycdL1VQIo91y4wGFxo" TargetMode="External"/><Relationship Id="rId342" Type="http://schemas.openxmlformats.org/officeDocument/2006/relationships/hyperlink" Target="https://www.canada.ca/en/department-national-defence/news/2022/04/canada-announces-artillery-and-other-additional-military-aid-for-ukraine.html" TargetMode="External"/><Relationship Id="rId787" Type="http://schemas.openxmlformats.org/officeDocument/2006/relationships/hyperlink" Target="https://focustaiwan.tw/politics/202206030014" TargetMode="External"/><Relationship Id="rId994" Type="http://schemas.openxmlformats.org/officeDocument/2006/relationships/hyperlink" Target="https://www.defense.gov/News/Releases/Release/Article/3173378/11-billion-in-additional-security-assistance-for-ukraine/" TargetMode="External"/><Relationship Id="rId1400" Type="http://schemas.openxmlformats.org/officeDocument/2006/relationships/hyperlink" Target="https://www.tagesschau.de/inland/scholz-ukraine-militaerhilfe-101.html" TargetMode="External"/><Relationship Id="rId202" Type="http://schemas.openxmlformats.org/officeDocument/2006/relationships/hyperlink" Target="https://www.canada.ca/en/department-national-defence/news/2022/03/defence-minister-anand-announces-additional-military-support-to-ukraine.html" TargetMode="External"/><Relationship Id="rId647" Type="http://schemas.openxmlformats.org/officeDocument/2006/relationships/hyperlink" Target="https://news.err.ee/1608589426/estonia-s-military-aid-to-ukraine-totals-230-million" TargetMode="External"/><Relationship Id="rId854" Type="http://schemas.openxmlformats.org/officeDocument/2006/relationships/hyperlink" Target="https://www.regjeringen.no/en/aktuelt/agreement_gas/id2947818/" TargetMode="External"/><Relationship Id="rId1277" Type="http://schemas.openxmlformats.org/officeDocument/2006/relationships/hyperlink" Target="https://www.ukrinform.net/rubric-ato/3604150-italy-provides-ukraine-with-two-m270-systems-six-pzh-2000-about-30-selfpropelled-howitzers-media.html" TargetMode="External"/><Relationship Id="rId1484" Type="http://schemas.openxmlformats.org/officeDocument/2006/relationships/hyperlink" Target="https://www.lejdd.fr/International/sebastien-lecornu-ministre-des-armees-nous-navons-pas-a-rougir-de-notre-aide-a-lukraine-4148779" TargetMode="External"/><Relationship Id="rId286" Type="http://schemas.openxmlformats.org/officeDocument/2006/relationships/hyperlink" Target="https://kaitseministeerium.ee/en/news/estonia-donated-missiles-anti-tank-weapon-system-javelin-ukraine" TargetMode="External"/><Relationship Id="rId493" Type="http://schemas.openxmlformats.org/officeDocument/2006/relationships/hyperlink" Target="https://www.bbc.com/news/world-europe-61482305" TargetMode="External"/><Relationship Id="rId507" Type="http://schemas.openxmlformats.org/officeDocument/2006/relationships/hyperlink" Target="https://www.eib.org/en/press/all/2022-124-first-payments-under-eib-ukraine-solidarity-urgent-response-reach-ukraine-as-part-of-european-union-immediate-support-to-the-country" TargetMode="External"/><Relationship Id="rId714" Type="http://schemas.openxmlformats.org/officeDocument/2006/relationships/hyperlink" Target="https://www.reuters.com/world/china-provide-5-mln-yuan-worth-humanitarian-assistance-ukraine-2022-03-09/" TargetMode="External"/><Relationship Id="rId921" Type="http://schemas.openxmlformats.org/officeDocument/2006/relationships/hyperlink" Target="https://lahbib.belgium.be/en/belgium-provide-8-million-eur-non-lethal-support-ukrainian-armed-forces" TargetMode="External"/><Relationship Id="rId1137" Type="http://schemas.openxmlformats.org/officeDocument/2006/relationships/hyperlink" Target="https://www-regjeringen-no.translate.goog/no/aktuelt/norge-har-donert-artilleriskyts-til-ukraina/id2917760/?_x_tr_sl=auto&amp;_x_tr_tl=auto&amp;_x_tr_hl=de" TargetMode="External"/><Relationship Id="rId1344" Type="http://schemas.openxmlformats.org/officeDocument/2006/relationships/hyperlink" Target="https://en.kriseinformation.dk/denmarks-reactions/denmarks-contributions" TargetMode="External"/><Relationship Id="rId50" Type="http://schemas.openxmlformats.org/officeDocument/2006/relationships/hyperlink" Target="https://www.vlada.cz/cz/media-centrum/aktualne/informace-v-souvislosti-s-invazi-ruska-na-ukrajinu-194507/" TargetMode="External"/><Relationship Id="rId146" Type="http://schemas.openxmlformats.org/officeDocument/2006/relationships/hyperlink" Target="https://www.reuters.com/world/europe/sweden-send-military-aid-ukraine-pm-andersson-2022-02-27/" TargetMode="External"/><Relationship Id="rId353" Type="http://schemas.openxmlformats.org/officeDocument/2006/relationships/hyperlink" Target="https://appropriations.house.gov/sites/democrats.appropriations.house.gov/files/Additional%20Ukraine%20Suplemental%20Appropriations%20Act%20Summary.pdf" TargetMode="External"/><Relationship Id="rId560" Type="http://schemas.openxmlformats.org/officeDocument/2006/relationships/hyperlink" Target="https://pmtranscripts.pmc.gov.au/release/transcript-43831" TargetMode="External"/><Relationship Id="rId798" Type="http://schemas.openxmlformats.org/officeDocument/2006/relationships/hyperlink" Target="https://www.19fortyfive.com/2022/04/switchblade-the-drone-giving-ukraine-a-big-edge-against-russia/" TargetMode="External"/><Relationship Id="rId1190" Type="http://schemas.openxmlformats.org/officeDocument/2006/relationships/hyperlink" Target="https://via.ritzau.dk/embedded/release/danmark-stiller-garanti-pa-280-mio-kr-til-ukraines-hardt-ramte-okonomi?publisherId=2012662&amp;releaseId=13652977&amp;lang=da" TargetMode="External"/><Relationship Id="rId1204" Type="http://schemas.openxmlformats.org/officeDocument/2006/relationships/hyperlink" Target="https://intermin.fi/en/ukraine/civilian-assistance-to-ukraine" TargetMode="External"/><Relationship Id="rId1411" Type="http://schemas.openxmlformats.org/officeDocument/2006/relationships/hyperlink" Target="https://twitter.com/a_anusauskas/status/1585514603366305794" TargetMode="External"/><Relationship Id="rId213" Type="http://schemas.openxmlformats.org/officeDocument/2006/relationships/hyperlink" Target="https://www.worldbank.org/en/news/press-release/2022/03/07/world-bank-mobilizes-an-emergency-financing-package-of-over-700-million-for-ukraine" TargetMode="External"/><Relationship Id="rId420" Type="http://schemas.openxmlformats.org/officeDocument/2006/relationships/hyperlink" Target="https://www.bmz.de/de/laender/ukraine" TargetMode="External"/><Relationship Id="rId658" Type="http://schemas.openxmlformats.org/officeDocument/2006/relationships/hyperlink" Target="https://www.gov.uk/government/speeches/pm-opening-remarks-at-press-conference-with-german-chancellor-olaf-scholz-8-april-2022" TargetMode="External"/><Relationship Id="rId865" Type="http://schemas.openxmlformats.org/officeDocument/2006/relationships/hyperlink" Target="https://thediplomatinspain.com/en/2022/07/spain-announces-250-million-euros-for-agriculture-and-renewables-in-ukraine/" TargetMode="External"/><Relationship Id="rId1050" Type="http://schemas.openxmlformats.org/officeDocument/2006/relationships/hyperlink" Target="https://www.diplomatie.gouv.fr/en/country-files/ukraine/news/article/ukraine-catherine-colonna-to-attend-the-launch-of-solidarity-operation-un" TargetMode="External"/><Relationship Id="rId1288" Type="http://schemas.openxmlformats.org/officeDocument/2006/relationships/hyperlink" Target="https://www.austria.org/ukraine" TargetMode="External"/><Relationship Id="rId1495" Type="http://schemas.openxmlformats.org/officeDocument/2006/relationships/hyperlink" Target="https://www.defense.gov/News/Releases/Release/Article/3210297/400-million-in-additional-security-assistance-for-ukraine/" TargetMode="External"/><Relationship Id="rId1509" Type="http://schemas.openxmlformats.org/officeDocument/2006/relationships/hyperlink" Target="https://reliefweb.int/report/ukraine/norway-increase-support-humanitarian-efforts-and-government-administration-ukraine" TargetMode="External"/><Relationship Id="rId297" Type="http://schemas.openxmlformats.org/officeDocument/2006/relationships/hyperlink" Target="https://www.youtube.com/watch?v=vzENx6dTpqY" TargetMode="External"/><Relationship Id="rId518" Type="http://schemas.openxmlformats.org/officeDocument/2006/relationships/hyperlink" Target="https://euneighbourseast.eu/news-and-stories/latest-news/council-adopts-e500-million-eu-support-to-ukraine-under-european-peace-facility/" TargetMode="External"/><Relationship Id="rId725" Type="http://schemas.openxmlformats.org/officeDocument/2006/relationships/hyperlink" Target="https://pm.gc.ca/en/news/backgrounders/2022/06/28/additional-canadian-support-ukraine-announced-2022-g7-summit" TargetMode="External"/><Relationship Id="rId932" Type="http://schemas.openxmlformats.org/officeDocument/2006/relationships/hyperlink" Target="https://www.connexionfrance.com/article/French-news/Humanitarian-ship-for-Ukraine-leaves-French-port-with-8m-of-aid" TargetMode="External"/><Relationship Id="rId1148" Type="http://schemas.openxmlformats.org/officeDocument/2006/relationships/hyperlink" Target="https://pl.usembassy.gov/1billion_assistance_ukraine/" TargetMode="External"/><Relationship Id="rId1355" Type="http://schemas.openxmlformats.org/officeDocument/2006/relationships/hyperlink" Target="https://appropriations.house.gov/sites/democrats.appropriations.house.gov/files/Additional%20Ukraine%20Suplemental%20Appropriations%20Act%20Summary.pdf" TargetMode="External"/><Relationship Id="rId157" Type="http://schemas.openxmlformats.org/officeDocument/2006/relationships/hyperlink" Target="https://www.gov.uk/government/news/prime-minister-pledges-uks-unwavering-support-to-ukraine-on-visit-to-kyiv-9-april-2022" TargetMode="External"/><Relationship Id="rId364" Type="http://schemas.openxmlformats.org/officeDocument/2006/relationships/hyperlink" Target="https://www.peterdutton.com.au/joint-media-release-australia-to-provide-additional-support-to-ukraine/" TargetMode="External"/><Relationship Id="rId1008" Type="http://schemas.openxmlformats.org/officeDocument/2006/relationships/hyperlink" Target="https://www.defense.gov/News/Releases/Release/Article/3160503/600-million-in-additional-security-assistance-for-ukraine/" TargetMode="External"/><Relationship Id="rId1215" Type="http://schemas.openxmlformats.org/officeDocument/2006/relationships/hyperlink" Target="https://www.ukrinform.net/rubric-ato/3424220-japan-sends-military-protective-equipment-to-ukraine.html" TargetMode="External"/><Relationship Id="rId1422" Type="http://schemas.openxmlformats.org/officeDocument/2006/relationships/hyperlink" Target="https://www.defensa.gob.es/gabinete/notasPrensa/2022/10/DGC-221006-envio-ucrania.html" TargetMode="External"/><Relationship Id="rId61" Type="http://schemas.openxmlformats.org/officeDocument/2006/relationships/hyperlink" Target="https://tapportals.mk.gov.lv/legal_acts/4cc2e5ed-8d7f-4052-8aaa-9a3a1d472b7d" TargetMode="External"/><Relationship Id="rId571" Type="http://schemas.openxmlformats.org/officeDocument/2006/relationships/hyperlink" Target="https://www.foreignminister.gov.au/minister/marise-payne/media-release/additional-support-ukraine" TargetMode="External"/><Relationship Id="rId669" Type="http://schemas.openxmlformats.org/officeDocument/2006/relationships/hyperlink" Target="https://www.youtube.com/watch?v=vzENx6dTpqY" TargetMode="External"/><Relationship Id="rId876" Type="http://schemas.openxmlformats.org/officeDocument/2006/relationships/hyperlink" Target="https://www.kyivpost.com/world/netherlands-allocates-eur-200m-loan-for-ukraine.html" TargetMode="External"/><Relationship Id="rId1299" Type="http://schemas.openxmlformats.org/officeDocument/2006/relationships/hyperlink" Target="https://twitter.com/a_anusauskas/status/1592084804501401604" TargetMode="External"/><Relationship Id="rId19" Type="http://schemas.openxmlformats.org/officeDocument/2006/relationships/hyperlink" Target="https://eng.lsm.lv/article/society/defense/30-truckloads-of-equipment-heading-from-latvia-to-ukraine.a445455/" TargetMode="External"/><Relationship Id="rId224" Type="http://schemas.openxmlformats.org/officeDocument/2006/relationships/hyperlink" Target="https://www.aa.com.tr/en/europe/france-to-deliver-caesar-artillery-guns-shells-to-ukraine/2570644" TargetMode="External"/><Relationship Id="rId431" Type="http://schemas.openxmlformats.org/officeDocument/2006/relationships/hyperlink" Target="https://www.gazzettaufficiale.it/eli/id/2022/04/27/22A02651/sg" TargetMode="External"/><Relationship Id="rId529" Type="http://schemas.openxmlformats.org/officeDocument/2006/relationships/hyperlink" Target="https://torontosun.com/news/national/canada-shipping-20000-rounds-of-artillery-ammunition-to-ukraine" TargetMode="External"/><Relationship Id="rId736" Type="http://schemas.openxmlformats.org/officeDocument/2006/relationships/hyperlink" Target="https://www.canada.ca/en/department-national-defence/news/2022/04/canada-announces-artillery-and-other-additional-military-aid-for-ukraine.html" TargetMode="External"/><Relationship Id="rId1061" Type="http://schemas.openxmlformats.org/officeDocument/2006/relationships/hyperlink" Target="https://www.euronews.com/2022/09/29/cargo-ship-with-1000-tonnes-of-ukraine-aid-sets-sail-from-marseille" TargetMode="External"/><Relationship Id="rId1159" Type="http://schemas.openxmlformats.org/officeDocument/2006/relationships/hyperlink" Target="https://www.thebulletin.be/belgium-send-more-weapons-and-fuel-ukraine" TargetMode="External"/><Relationship Id="rId1366" Type="http://schemas.openxmlformats.org/officeDocument/2006/relationships/hyperlink" Target="https://appropriations.house.gov/sites/democrats.appropriations.house.gov/files/Summary%20Continuing%20Appropriations%20and%20Ukraine%20Supplemental%20Appropriations%20Act%202023.pdf" TargetMode="External"/><Relationship Id="rId168" Type="http://schemas.openxmlformats.org/officeDocument/2006/relationships/hyperlink" Target="https://www.gov.uk/government/speeches/pm-statement-at-ukraine-press-conference-1-february-2022" TargetMode="External"/><Relationship Id="rId943" Type="http://schemas.openxmlformats.org/officeDocument/2006/relationships/hyperlink" Target="https://www.defense.gov/News/Releases/Release/Article/3134457/775-million-in-additional-security-assistance-for-ukraine/" TargetMode="External"/><Relationship Id="rId1019" Type="http://schemas.openxmlformats.org/officeDocument/2006/relationships/hyperlink" Target="https://www.euractiv.com/section/politics/short_news/belgium-to-provide-e8-million-for-non-lethal-aid-to-ukraines-armed-forces/" TargetMode="External"/><Relationship Id="rId72" Type="http://schemas.openxmlformats.org/officeDocument/2006/relationships/hyperlink" Target="https://www.canada.ca/en/department-national-defence/news/2022/03/defence-minister-anand-announces-additional-military-support-to-ukraine.html?msclkid=50865665ab9011ecbb2d77d3ecd6e3a6" TargetMode="External"/><Relationship Id="rId375" Type="http://schemas.openxmlformats.org/officeDocument/2006/relationships/hyperlink" Target="https://globalnews.ca/news/8788360/ukraine-war-canada-armoured-vehicles/" TargetMode="External"/><Relationship Id="rId582" Type="http://schemas.openxmlformats.org/officeDocument/2006/relationships/hyperlink" Target="https://www.tellerreport.com/news/2022-05-26-south-korea-to-provide-ukraine-with-chemical-defense-equipment-worth-1-5-billion-won.HJuNwyTvc.html" TargetMode="External"/><Relationship Id="rId803" Type="http://schemas.openxmlformats.org/officeDocument/2006/relationships/hyperlink" Target="https://www.gov.si/en/news/2022-03-01-minister-logar-announces-eur-1-1-million-in-humanitarian-aid-for-ukraine/" TargetMode="External"/><Relationship Id="rId1226" Type="http://schemas.openxmlformats.org/officeDocument/2006/relationships/hyperlink" Target="https://www.government.se/articles/2022/11/government-to-send-record-support-package-to-ukraine/" TargetMode="External"/><Relationship Id="rId1433" Type="http://schemas.openxmlformats.org/officeDocument/2006/relationships/hyperlink" Target="https://mocr.army.cz/informacni-servis/zpravodajstvi/jednani-ministryne-s-ceskymi-zbrojari--ocenuji-podporu-exportu-i-ceskych-zakazek-239387/" TargetMode="External"/><Relationship Id="rId3" Type="http://schemas.openxmlformats.org/officeDocument/2006/relationships/hyperlink" Target="https://foreignandeu.gov.mt/en/Government/Press%20Releases/Pages/The-Government-of-Malta-is-committed-to-providing-official-aid-to-address-the-humanitarian-needs-of-the-people-of-Ukraine.aspx" TargetMode="External"/><Relationship Id="rId235" Type="http://schemas.openxmlformats.org/officeDocument/2006/relationships/hyperlink" Target="https://www.youtube.com/watch?v=vzENx6dTpqY" TargetMode="External"/><Relationship Id="rId442" Type="http://schemas.openxmlformats.org/officeDocument/2006/relationships/hyperlink" Target="https://www.whitehouse.gov/briefing-room/statements-releases/2022/05/06/statement-by-president-joe-biden-on-additional-security-assistance-to-ukraine/" TargetMode="External"/><Relationship Id="rId887" Type="http://schemas.openxmlformats.org/officeDocument/2006/relationships/hyperlink" Target="https://intermin.fi/en/-/finland-continued-to-support-ukraine-through-civilian-material-assistance-during-the-summer" TargetMode="External"/><Relationship Id="rId1072" Type="http://schemas.openxmlformats.org/officeDocument/2006/relationships/hyperlink" Target="https://www.reuters.com/world/europe/germany-pledges-199-mln-aid-displaced-people-ukraine-minister-2022-09-03/" TargetMode="External"/><Relationship Id="rId1500" Type="http://schemas.openxmlformats.org/officeDocument/2006/relationships/hyperlink" Target="https://pl.usembassy.gov/civilian_security_assistance/" TargetMode="External"/><Relationship Id="rId302" Type="http://schemas.openxmlformats.org/officeDocument/2006/relationships/hyperlink" Target="https://www.mfat.govt.nz/en/countries-and-regions/europe/ukraine/russian-invasion-of-ukraine/" TargetMode="External"/><Relationship Id="rId747" Type="http://schemas.openxmlformats.org/officeDocument/2006/relationships/hyperlink" Target="https://kyivindependent.com/uncategorized/poland-has-provided-ukraine-with-weapons-worth-1-6-billion/" TargetMode="External"/><Relationship Id="rId954" Type="http://schemas.openxmlformats.org/officeDocument/2006/relationships/hyperlink" Target="https://www.defense.gov/News/Releases/Release/Article/3134457/775-million-in-additional-security-assistance-for-ukraine/" TargetMode="External"/><Relationship Id="rId1377" Type="http://schemas.openxmlformats.org/officeDocument/2006/relationships/hyperlink" Target="https://www.defense.gov/News/Releases/Release/Article/3216287/400-million-in-additional-assistance-for-ukraine/" TargetMode="External"/><Relationship Id="rId83" Type="http://schemas.openxmlformats.org/officeDocument/2006/relationships/hyperlink" Target="https://www.canada.ca/en/department-finance/news/2022/02/canada-pledges-additional-support-for-ukraine.html" TargetMode="External"/><Relationship Id="rId179" Type="http://schemas.openxmlformats.org/officeDocument/2006/relationships/hyperlink" Target="https://ua.interfax.com.ua/news/general/825450.html" TargetMode="External"/><Relationship Id="rId386" Type="http://schemas.openxmlformats.org/officeDocument/2006/relationships/hyperlink" Target="https://www.kmu.gov.ua/en/news/ukrayina-otrimaye-vid-yaponiyi-kredit-u-rozmiri-100-mln-dol-ssha-ta-grant-23-mln-dol-ssha" TargetMode="External"/><Relationship Id="rId593" Type="http://schemas.openxmlformats.org/officeDocument/2006/relationships/hyperlink" Target="https://www.sulinformacao.pt/en/2022/03/ucrania-portugal-envia-medicamentos-material-medico-e-equipamento-de-emergencia-humanitaria/" TargetMode="External"/><Relationship Id="rId607" Type="http://schemas.openxmlformats.org/officeDocument/2006/relationships/hyperlink" Target="https://www-regjeringen-no.translate.goog/no/aktuelt/norge-har-donert-artilleriskyts-til-ukraina/id2917760/?_x_tr_sl=auto&amp;_x_tr_tl=auto&amp;_x_tr_hl=de" TargetMode="External"/><Relationship Id="rId814" Type="http://schemas.openxmlformats.org/officeDocument/2006/relationships/hyperlink" Target="https://www-vecernji-hr.translate.goog/vijesti/vukovarsko-srijemska-zupanija-uputila-pomoc-ukrajini-znamo-sto-znaci-biti-u-potrebi-1592483?_x_tr_sl=hr&amp;_x_tr_tl=it&amp;_x_tr_hl=it&amp;_x_tr_pto=sc" TargetMode="External"/><Relationship Id="rId1237" Type="http://schemas.openxmlformats.org/officeDocument/2006/relationships/hyperlink" Target="https://www.reuters.com/world/europe/czechs-plan-train-4000-ukrainian-troops-2022-11-16/" TargetMode="External"/><Relationship Id="rId1444" Type="http://schemas.openxmlformats.org/officeDocument/2006/relationships/hyperlink" Target="https://news.err.ee/1608742171/estonia-sends-more-ammunition-protective-equipment-to-ukraine" TargetMode="External"/><Relationship Id="rId246" Type="http://schemas.openxmlformats.org/officeDocument/2006/relationships/hyperlink" Target="https://www.arout.net/france-sends-dozens-of-fire-engines-and-ambulances-to-ukraine-to-support-the-war-against-russia/" TargetMode="External"/><Relationship Id="rId453" Type="http://schemas.openxmlformats.org/officeDocument/2006/relationships/hyperlink" Target="https://www-rtp-pt.translate.goog/noticias/politica/ajuda-financeira-a-ucrania-primeiros-100-milhoes-de-euros-serao-entregues-ainda-este-ano_v1406838?_x_tr_sl=pt&amp;_x_tr_tl=it&amp;_x_tr_hl=it&amp;_x_tr_pto=op,sc" TargetMode="External"/><Relationship Id="rId660" Type="http://schemas.openxmlformats.org/officeDocument/2006/relationships/hyperlink" Target="https://edition.cnn.com/2022/04/09/europe/ukraine-uk-boris-johnson-intl-gbr/index.html" TargetMode="External"/><Relationship Id="rId898" Type="http://schemas.openxmlformats.org/officeDocument/2006/relationships/hyperlink" Target="https://www.government.nl/latest/news/2022/08/22/extra-dutch-support-for-ukrainian-war-effort-and-reconstruction" TargetMode="External"/><Relationship Id="rId1083" Type="http://schemas.openxmlformats.org/officeDocument/2006/relationships/hyperlink" Target="https://www.thedefensepost.com/2022/08/19/estonia-aid-weapons-ukraine/" TargetMode="External"/><Relationship Id="rId1290" Type="http://schemas.openxmlformats.org/officeDocument/2006/relationships/hyperlink" Target="https://twitter.com/KGeorgieva/status/1590600147368656896" TargetMode="External"/><Relationship Id="rId1304" Type="http://schemas.openxmlformats.org/officeDocument/2006/relationships/hyperlink" Target="https://www.luxtimes.lu/en/luxembourg/luxembourg-bought-soviet-era-weapons-for-ukraine-62cfbed9de135b9236a64dd4" TargetMode="External"/><Relationship Id="rId1511" Type="http://schemas.openxmlformats.org/officeDocument/2006/relationships/printerSettings" Target="../printerSettings/printerSettings2.bin"/><Relationship Id="rId106" Type="http://schemas.openxmlformats.org/officeDocument/2006/relationships/hyperlink" Target="https://www.vlada.cz/cz/media-centrum/aktualne/informace-v-souvislosti-s-invazi-ruska-na-ukrajinu-194507/" TargetMode="External"/><Relationship Id="rId313" Type="http://schemas.openxmlformats.org/officeDocument/2006/relationships/hyperlink" Target="https://www.regjeringen.no/en/topics/foreign-affairs/humanitarian-efforts/neighbour_support/id2908141/" TargetMode="External"/><Relationship Id="rId758" Type="http://schemas.openxmlformats.org/officeDocument/2006/relationships/hyperlink" Target="https://www.armyrecognition.com/defense_news_may_2022_global_security_army_industry/poland_delivers_to_ukraine_18_krab_155mm_self-propelled_howitzers.html" TargetMode="External"/><Relationship Id="rId965" Type="http://schemas.openxmlformats.org/officeDocument/2006/relationships/hyperlink" Target="https://www.defense.gov/News/Releases/Release/Article/3152071/675-million-in-additional-security-assistance-for-ukraine/" TargetMode="External"/><Relationship Id="rId1150" Type="http://schemas.openxmlformats.org/officeDocument/2006/relationships/hyperlink" Target="https://pl.usembassy.gov/1billion_assistance_ukraine/" TargetMode="External"/><Relationship Id="rId1388" Type="http://schemas.openxmlformats.org/officeDocument/2006/relationships/hyperlink" Target="https://www.bundesregierung.de/breg-de/themen/krieg-in-der-ukraine/lieferungen-ukraine-2054514" TargetMode="External"/><Relationship Id="rId10" Type="http://schemas.openxmlformats.org/officeDocument/2006/relationships/hyperlink" Target="https://um.dk/danida/lande-og-regioner/ukraine" TargetMode="External"/><Relationship Id="rId94" Type="http://schemas.openxmlformats.org/officeDocument/2006/relationships/hyperlink" Target="https://english.radio.cz/czech-republic-sending-more-arms-ukraine-8743811" TargetMode="External"/><Relationship Id="rId397" Type="http://schemas.openxmlformats.org/officeDocument/2006/relationships/hyperlink" Target="https://www.youtube.com/watch?v=A1nTsblXabc" TargetMode="External"/><Relationship Id="rId520" Type="http://schemas.openxmlformats.org/officeDocument/2006/relationships/hyperlink" Target="https://ec.europa.eu/info/strategy/priorities-2019-2024/stronger-europe-world/eu-solidarity-ukraine/eu-assistance-ukraine_en" TargetMode="External"/><Relationship Id="rId618"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825"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1248" Type="http://schemas.openxmlformats.org/officeDocument/2006/relationships/hyperlink" Target="https://www.defense.gouv.fr/terre/actualites/uiisc-1-3e-convoi-solidarite-lukraine" TargetMode="External"/><Relationship Id="rId1455" Type="http://schemas.openxmlformats.org/officeDocument/2006/relationships/hyperlink" Target="https://news.err.ee/1608793648/estonia-s-total-military-aid-to-ukraine-to-date-approaching-300-million" TargetMode="External"/><Relationship Id="rId257" Type="http://schemas.openxmlformats.org/officeDocument/2006/relationships/hyperlink" Target="https://www.youtube.com/watch?v=xsRCOOin-0U" TargetMode="External"/><Relationship Id="rId464" Type="http://schemas.openxmlformats.org/officeDocument/2006/relationships/hyperlink" Target="https://defence-blog.com/dutch-ypr-765-infantry-vehicles-arrived-in-ukraine/" TargetMode="External"/><Relationship Id="rId1010" Type="http://schemas.openxmlformats.org/officeDocument/2006/relationships/hyperlink" Target="https://www.defense.gov/News/Releases/Release/Article/3173378/11-billion-in-additional-security-assistance-for-ukraine/" TargetMode="External"/><Relationship Id="rId1094" Type="http://schemas.openxmlformats.org/officeDocument/2006/relationships/hyperlink" Target="https://news.err.ee/1608674068/estonian-fm-visits-ukraine-lays-new-kindergarten-cornerstone-in-zhytomyr" TargetMode="External"/><Relationship Id="rId1108" Type="http://schemas.openxmlformats.org/officeDocument/2006/relationships/hyperlink" Target="https://theprint.in/world/india-sends-7725-kilograms-of-humanitarian-aid-to-ukraine/1125936/" TargetMode="External"/><Relationship Id="rId1315" Type="http://schemas.openxmlformats.org/officeDocument/2006/relationships/hyperlink" Target="https://twitter.com/oleksiireznikov/status/1589571269363904512?cxt=HHwWgMDR-bippY8sAAAA" TargetMode="External"/><Relationship Id="rId117" Type="http://schemas.openxmlformats.org/officeDocument/2006/relationships/hyperlink" Target="https://www.aa.com.tr/en/russia-ukraine-crisis/slovakia-to-send-more-military-supplies-to-ukraine-premier-says/2518136" TargetMode="External"/><Relationship Id="rId671" Type="http://schemas.openxmlformats.org/officeDocument/2006/relationships/hyperlink" Target="https://intermin.fi/en/ukraine/civilian-assistance-to-ukraine" TargetMode="External"/><Relationship Id="rId769" Type="http://schemas.openxmlformats.org/officeDocument/2006/relationships/hyperlink" Target="https://twitter.com/AFADTurkiye/status/1537845513671917570?s=20&amp;t=s9akAL75RoX8Zs9Cn_sKtQ" TargetMode="External"/><Relationship Id="rId976" Type="http://schemas.openxmlformats.org/officeDocument/2006/relationships/hyperlink" Target="https://www.defense.gov/News/Releases/Release/Article/3160503/600-million-in-additional-security-assistance-for-ukraine/" TargetMode="External"/><Relationship Id="rId1399" Type="http://schemas.openxmlformats.org/officeDocument/2006/relationships/hyperlink" Target="https://www.spiegel.de/politik/deutschland/ukraine-krieg-deutschland-lieferte-waffen-fuer-37-millionen-euro-a-460a7b35-70aa-40bb-8ec7-80f5606f0d5a" TargetMode="External"/><Relationship Id="rId324" Type="http://schemas.openxmlformats.org/officeDocument/2006/relationships/hyperlink" Target="https://www.mfat.govt.nz/en/countries-and-regions/europe/ukraine/russian-invasion-of-ukraine/" TargetMode="External"/><Relationship Id="rId531" Type="http://schemas.openxmlformats.org/officeDocument/2006/relationships/hyperlink" Target="https://www.oryxspioenkop.com/2022/05/guns-n-greece-hellenic-support-to.html" TargetMode="External"/><Relationship Id="rId629" Type="http://schemas.openxmlformats.org/officeDocument/2006/relationships/hyperlink" Target="https://czechdaily.cz/the-government-will-send-to-ukraine-czk-300-million-in-aid/" TargetMode="External"/><Relationship Id="rId1161" Type="http://schemas.openxmlformats.org/officeDocument/2006/relationships/hyperlink" Target="https://echo24.cz/a/SrjYb/cesko-poslalo-na-ukrajinu-desitky-tanku-t-72-a-bvp" TargetMode="External"/><Relationship Id="rId1259" Type="http://schemas.openxmlformats.org/officeDocument/2006/relationships/hyperlink" Target="https://www.lemonde.fr/en/international/article/2022/10/12/macron-promises-air-defense-systems-for-ukraine-calls-for-putin-to-discuss-peace_6000130_4.html" TargetMode="External"/><Relationship Id="rId1466" Type="http://schemas.openxmlformats.org/officeDocument/2006/relationships/hyperlink" Target="https://www.france24.com/en/europe/20221007-macron-announces-%E2%82%AC100-million-fund-for-ukraine-to-buy-arms" TargetMode="External"/><Relationship Id="rId836" Type="http://schemas.openxmlformats.org/officeDocument/2006/relationships/hyperlink" Target="https://www.kyivpost.com/russias-war/slovenia-to-provide-mine-sweeping-equipment-to-ukraine.html" TargetMode="External"/><Relationship Id="rId1021" Type="http://schemas.openxmlformats.org/officeDocument/2006/relationships/hyperlink" Target="https://www.brusselstimes.com/278107/belgium-provides-e8-million-for-non-lethal-help-to-ukraine" TargetMode="External"/><Relationship Id="rId1119" Type="http://schemas.openxmlformats.org/officeDocument/2006/relationships/hyperlink" Target="https://www.regjeringen.no/en/aktuelt/statement-by-the-norwegian-german-slovakian-and-danish-ministers-of-defence/id2930329/" TargetMode="External"/><Relationship Id="rId903" Type="http://schemas.openxmlformats.org/officeDocument/2006/relationships/hyperlink" Target="https://twitter.com/oleksiireznikov/status/1565001295177687045" TargetMode="External"/><Relationship Id="rId1326" Type="http://schemas.openxmlformats.org/officeDocument/2006/relationships/hyperlink" Target="https://www.gov.uk/government/news/uk-to-send-scores-of-artillery-guns-and-hundreds-of-drones-to-ukraine" TargetMode="External"/><Relationship Id="rId32" Type="http://schemas.openxmlformats.org/officeDocument/2006/relationships/hyperlink" Target="https://www.vindobona.org/article/attack-on-ukraine-austria-extends-aid-from-foreign-disaster-fund-to-a-total-of-17-5-million-euros" TargetMode="External"/><Relationship Id="rId181" Type="http://schemas.openxmlformats.org/officeDocument/2006/relationships/hyperlink" Target="https://twitter.com/eduardheger/status/1495764246780645377" TargetMode="External"/><Relationship Id="rId279" Type="http://schemas.openxmlformats.org/officeDocument/2006/relationships/hyperlink" Target="https://www.gov.uk/government/news/uk-provides-further-humanitarian-aid-focused-on-most-vulnerable-in-ukraine" TargetMode="External"/><Relationship Id="rId486" Type="http://schemas.openxmlformats.org/officeDocument/2006/relationships/hyperlink" Target="https://euroweeklynews.com/2022/03/05/spanish-grenade-launchers-sent-to-ukraine/" TargetMode="External"/><Relationship Id="rId693" Type="http://schemas.openxmlformats.org/officeDocument/2006/relationships/hyperlink" Target="https://www.cbc.ca/news/politics/nato-arms-canada-1.6506611" TargetMode="External"/><Relationship Id="rId139" Type="http://schemas.openxmlformats.org/officeDocument/2006/relationships/hyperlink" Target="https://ukdefencejournal.org.uk/britain-sending-anti-aircraft-and-javelin-missiles-to-ukraine/" TargetMode="External"/><Relationship Id="rId346" Type="http://schemas.openxmlformats.org/officeDocument/2006/relationships/hyperlink" Target="https://www.worldbank.org/en/news/press-release/2022/03/07/world-bank-mobilizes-an-emergency-financing-package-of-over-700-million-for-ukraine" TargetMode="External"/><Relationship Id="rId553" Type="http://schemas.openxmlformats.org/officeDocument/2006/relationships/hyperlink" Target="https://www.bta.bg/en/news/bulgaria/264039-ukrainian-experts-explore-opportunities-for-military-equipment-repairs-in-bulgar" TargetMode="External"/><Relationship Id="rId760" Type="http://schemas.openxmlformats.org/officeDocument/2006/relationships/hyperlink" Target="https://abcnews.go.com/Politics/us-sends-patriot-battery-slovakia-ukraine-300-anti/story?id=83965999" TargetMode="External"/><Relationship Id="rId998" Type="http://schemas.openxmlformats.org/officeDocument/2006/relationships/hyperlink" Target="https://www.defense.gov/News/Releases/Release/Article/3173378/11-billion-in-additional-security-assistance-for-ukraine/" TargetMode="External"/><Relationship Id="rId1183"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1390" Type="http://schemas.openxmlformats.org/officeDocument/2006/relationships/hyperlink" Target="https://www.bundesregierung.de/breg-de/themen/krieg-in-der-ukraine/lieferungen-ukraine-2054516" TargetMode="External"/><Relationship Id="rId206" Type="http://schemas.openxmlformats.org/officeDocument/2006/relationships/hyperlink" Target="https://www.praguemorning.cz/czech-governmenet-approves-czk-400-million-in-military-aid-for-ukraine/" TargetMode="External"/><Relationship Id="rId413" Type="http://schemas.openxmlformats.org/officeDocument/2006/relationships/hyperlink" Target="https://techartica.com/this-is-the-first-view-of-the-mistral-antiaircraft-system-in-ukraine-it-shows-how-civilian-cars-are-used-at-war-front/" TargetMode="External"/><Relationship Id="rId858" Type="http://schemas.openxmlformats.org/officeDocument/2006/relationships/hyperlink" Target="https://www.dw.com/uk/ukraina-rozrakhovuie-otrymaty-protyminni-korabli-vid-velykobrytanii/a-62669465" TargetMode="External"/><Relationship Id="rId1043" Type="http://schemas.openxmlformats.org/officeDocument/2006/relationships/hyperlink" Target="https://mfa.gov.cy/press-releases/2022/03/09/cyprus-humanitarian-aid-to-ukraine/" TargetMode="External"/><Relationship Id="rId1488" Type="http://schemas.openxmlformats.org/officeDocument/2006/relationships/hyperlink" Target="https://valtioneuvosto.fi/-/10616/hallitus-antoi-eduskunnalle-lisatalousarvioesityksen-2" TargetMode="External"/><Relationship Id="rId620"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718" Type="http://schemas.openxmlformats.org/officeDocument/2006/relationships/hyperlink" Target="https://www.vlada.cz/cz/media-centrum/aktualne/informace-v-souvislosti-s-invazi-ruska-na-ukrajinu-194507/" TargetMode="External"/><Relationship Id="rId925" Type="http://schemas.openxmlformats.org/officeDocument/2006/relationships/hyperlink" Target="https://www.brusselstimes.com/290771/belgium-to-give-e12-million-in-military-aid-to-ukraine" TargetMode="External"/><Relationship Id="rId1250" Type="http://schemas.openxmlformats.org/officeDocument/2006/relationships/hyperlink" Target="https://www.defense.gouv.fr/terre/actualites/uiisc-1-3e-convoi-solidarite-lukraine" TargetMode="External"/><Relationship Id="rId1348" Type="http://schemas.openxmlformats.org/officeDocument/2006/relationships/hyperlink" Target="https://www.facebook.com/LVIVDSNS/posts/pfbid0Kh4LzoSej4TroK3tNk9nUGzRfwB9sFeaRPgWP94cdzQsv1ChVf42NgPiSmZBK6wMl" TargetMode="External"/><Relationship Id="rId1110" Type="http://schemas.openxmlformats.org/officeDocument/2006/relationships/hyperlink" Target="https://www.defensenews.com/global/europe/2022/08/23/germany-slovakia-sign-tank-swap-deal-to-arm-ukraine/" TargetMode="External"/><Relationship Id="rId1208" Type="http://schemas.openxmlformats.org/officeDocument/2006/relationships/hyperlink" Target="https://www.defmin.fi/ajankohtaista/tiedotteet_ja_uutiset/suomi_toimittaa_lisaa_puolustustarvikeapua_ukrainaan.13184.news" TargetMode="External"/><Relationship Id="rId1415" Type="http://schemas.openxmlformats.org/officeDocument/2006/relationships/hyperlink" Target="https://twitter.com/LSchreinemacher/status/1591089465719926784" TargetMode="External"/><Relationship Id="rId54" Type="http://schemas.openxmlformats.org/officeDocument/2006/relationships/hyperlink" Target="https://gouvernement.lu/en/actualites/toutes_actualites/communiques/2022/02-fevrier/28-bausch-ukraine.html" TargetMode="External"/><Relationship Id="rId270" Type="http://schemas.openxmlformats.org/officeDocument/2006/relationships/hyperlink" Target="https://www.youtube.com/watch?v=vzENx6dTpqY" TargetMode="External"/><Relationship Id="rId130" Type="http://schemas.openxmlformats.org/officeDocument/2006/relationships/hyperlink" Target="https://english.sta.si/3017990/tonnes-of-aid-for-ukraine-dispatched-this-week" TargetMode="External"/><Relationship Id="rId368" Type="http://schemas.openxmlformats.org/officeDocument/2006/relationships/hyperlink" Target="https://www.stuff.co.nz/national/300597643/new-zealand-soldiers-excited-to-assist-ukraine-with-light-gun-training" TargetMode="External"/><Relationship Id="rId575" Type="http://schemas.openxmlformats.org/officeDocument/2006/relationships/hyperlink" Target="https://pmtranscripts.pmc.gov.au/release/transcript-43950" TargetMode="External"/><Relationship Id="rId782" Type="http://schemas.openxmlformats.org/officeDocument/2006/relationships/hyperlink" Target="https://www.thequint.com/news/world/m142-himars-rocket-system-united-states-ukraine-russia" TargetMode="External"/><Relationship Id="rId228" Type="http://schemas.openxmlformats.org/officeDocument/2006/relationships/hyperlink" Target="https://www.canada.ca/en/department-national-defence/news/2022/04/canada-announces-artillery-and-other-additional-military-aid-for-ukraine.html" TargetMode="External"/><Relationship Id="rId435" Type="http://schemas.openxmlformats.org/officeDocument/2006/relationships/hyperlink" Target="https://tfiglobalnews.com/2022/03/21/canada-wanted-to-supply-weapons-to-ukraine-turns-out-it-didnt-have-any/" TargetMode="External"/><Relationship Id="rId642" Type="http://schemas.openxmlformats.org/officeDocument/2006/relationships/hyperlink" Target="https://hr.n1info.com/svijet/ek-daje-200-mil-eura-za-ukrajince-plenkovic-hrvatska-ce-pomagati-iz-principa/" TargetMode="External"/><Relationship Id="rId1065" Type="http://schemas.openxmlformats.org/officeDocument/2006/relationships/hyperlink" Target="https://www.diplomatie.gouv.fr/en/country-files/ukraine/news/article/ukraine-catherine-colonna-to-attend-the-launch-of-solidarity-operation-un" TargetMode="External"/><Relationship Id="rId1272" Type="http://schemas.openxmlformats.org/officeDocument/2006/relationships/hyperlink" Target="https://www.ukrinform.net/rubric-ato/3604150-italy-provides-ukraine-with-two-m270-systems-six-pzh-2000-about-30-selfpropelled-howitzers-media.html" TargetMode="External"/><Relationship Id="rId502" Type="http://schemas.openxmlformats.org/officeDocument/2006/relationships/hyperlink" Target="https://www.europarl.europa.eu/RegData/etudes/ATAG/2022/729301/EPRS_ATA(2022)729301_EN.pdf" TargetMode="External"/><Relationship Id="rId947" Type="http://schemas.openxmlformats.org/officeDocument/2006/relationships/hyperlink" Target="https://www.defense.gov/News/Releases/Release/Article/3134457/775-million-in-additional-security-assistance-for-ukraine/" TargetMode="External"/><Relationship Id="rId1132" Type="http://schemas.openxmlformats.org/officeDocument/2006/relationships/hyperlink" Target="https://www.regjeringen.no/en/aktuelt/norge-og-storbritannia-gir-langtrekkende-rakettartilleri-til-ukraina/id2921395/" TargetMode="External"/><Relationship Id="rId76" Type="http://schemas.openxmlformats.org/officeDocument/2006/relationships/hyperlink" Target="https://www.canada.ca/en/global-affairs/news/2022/03/canadas-humanitarian-assistance-for-ukraine.html" TargetMode="External"/><Relationship Id="rId807" Type="http://schemas.openxmlformats.org/officeDocument/2006/relationships/hyperlink" Target="https://kyivindependent.com/news-feed/slovakia-supplies-5-helicopters-ammunition-for-grad-multiple-rocket-launchers" TargetMode="External"/><Relationship Id="rId1437" Type="http://schemas.openxmlformats.org/officeDocument/2006/relationships/hyperlink" Target="https://www.kyivpost.com/russias-war/estonia-to-boost-military-assistance-for-ukraine.html" TargetMode="External"/><Relationship Id="rId1504" Type="http://schemas.openxmlformats.org/officeDocument/2006/relationships/hyperlink" Target="https://www.defense.gov/News/Releases/Release/Article/3007664/fact-sheet-on-us-security-assistance-for-ukraine-roll-up-as-of-april-21-2022/" TargetMode="External"/><Relationship Id="rId292" Type="http://schemas.openxmlformats.org/officeDocument/2006/relationships/hyperlink" Target="https://www.regjeringen.no/en/topics/foreign-affairs/humanitarian-efforts/neighbour_support/id2908141/" TargetMode="External"/><Relationship Id="rId597" Type="http://schemas.openxmlformats.org/officeDocument/2006/relationships/hyperlink" Target="https://english.radio.cz/czech-republic-sends-further-humanitarian-aid-ukraine-8752601" TargetMode="External"/><Relationship Id="rId152"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457" Type="http://schemas.openxmlformats.org/officeDocument/2006/relationships/hyperlink" Target="https://coffeeordie.com/m777-howitzers-ukraine/" TargetMode="External"/><Relationship Id="rId1087" Type="http://schemas.openxmlformats.org/officeDocument/2006/relationships/hyperlink" Target="https://www.thedefensepost.com/2022/08/19/estonia-aid-weapons-ukraine/" TargetMode="External"/><Relationship Id="rId1294" Type="http://schemas.openxmlformats.org/officeDocument/2006/relationships/hyperlink" Target="https://fakty.com.ua/en/ukraine/20220926-lytva-postavyla-ukrayini-50-btr-m113-glava-minoborony/" TargetMode="External"/><Relationship Id="rId664" Type="http://schemas.openxmlformats.org/officeDocument/2006/relationships/hyperlink" Target="https://www.whitehouse.gov/briefing-room/statements-releases/2022/05/06/statement-by-president-joe-biden-on-additional-security-assistance-to-ukraine/" TargetMode="External"/><Relationship Id="rId871" Type="http://schemas.openxmlformats.org/officeDocument/2006/relationships/hyperlink" Target="https://www.hindustantimes.com/india-news/india-provides-7-725-kg-of-humanitarian-aid-to-ukraine-101651854620406.html" TargetMode="External"/><Relationship Id="rId969" Type="http://schemas.openxmlformats.org/officeDocument/2006/relationships/hyperlink" Target="https://www.defense.gov/News/Releases/Release/Article/3160503/600-million-in-additional-security-assistance-for-ukraine/" TargetMode="External"/><Relationship Id="rId317" Type="http://schemas.openxmlformats.org/officeDocument/2006/relationships/hyperlink" Target="https://www.regjeringen.no/en/topics/foreign-affairs/humanitarian-efforts/neighbour_support/id2908141/" TargetMode="External"/><Relationship Id="rId524" Type="http://schemas.openxmlformats.org/officeDocument/2006/relationships/hyperlink" Target="https://www.weekend.at/chronik/200000-liter-diesel-aus-oesterreich-fuer-ukraine" TargetMode="External"/><Relationship Id="rId731" Type="http://schemas.openxmlformats.org/officeDocument/2006/relationships/hyperlink" Target="https://www.diplomatie.gouv.fr/en/country-files/ukraine/news/article/ukraine-exceptional-assistance-from-france-to-bolster-food-security-for-the" TargetMode="External"/><Relationship Id="rId1154"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1361" Type="http://schemas.openxmlformats.org/officeDocument/2006/relationships/hyperlink" Target="https://www.dsca.mil/press-media/major-arms-sales/ukraine-mark-vi-patrol-boats" TargetMode="External"/><Relationship Id="rId1459" Type="http://schemas.openxmlformats.org/officeDocument/2006/relationships/hyperlink" Target="https://www.defensa.gob.es/gabinete/notasPrensa/2022/10/DGC-221006-envio-ucrania.html" TargetMode="External"/><Relationship Id="rId98" Type="http://schemas.openxmlformats.org/officeDocument/2006/relationships/hyperlink" Target="https://www.vlada.cz/cz/media-centrum/aktualne/informace-v-souvislosti-s-invazi-ruska-na-ukrajinu-194507/" TargetMode="External"/><Relationship Id="rId829" Type="http://schemas.openxmlformats.org/officeDocument/2006/relationships/hyperlink" Target="https://www.reuters.com/business/aerospace-defense/britain-send-stormer-armoured-vehicles-ukraine-2022-04-25/" TargetMode="External"/><Relationship Id="rId1014" Type="http://schemas.openxmlformats.org/officeDocument/2006/relationships/hyperlink" Target="https://odessa-journal.com/ukraine-and-austria-agreed-on-economic-cooperation-in-the-development-of-projects/" TargetMode="External"/><Relationship Id="rId1221" Type="http://schemas.openxmlformats.org/officeDocument/2006/relationships/hyperlink" Target="https://www.nippon.com/en/news/kd927892413712449536/" TargetMode="External"/><Relationship Id="rId1319" Type="http://schemas.openxmlformats.org/officeDocument/2006/relationships/hyperlink" Target="https://www.gov.uk/government/news/uk-government-and-nobel-prize-winner-launch-global-code-to-tackle-conflict-related-sexual-violence" TargetMode="External"/><Relationship Id="rId25" Type="http://schemas.openxmlformats.org/officeDocument/2006/relationships/hyperlink" Target="https://www.diplomatie.gouv.fr/en/country-files/ukraine/news/article/ukraine-france-mobilizes-to-deliver-emergency-medical-aid-to-victims-of-the" TargetMode="External"/><Relationship Id="rId174" Type="http://schemas.openxmlformats.org/officeDocument/2006/relationships/hyperlink" Target="https://gov.ro/en/news/medical-equipment-and-medicines-donated-by-romania-in-support-of-ukraine&amp;page=13" TargetMode="External"/><Relationship Id="rId381" Type="http://schemas.openxmlformats.org/officeDocument/2006/relationships/hyperlink" Target="https://www.reuters.com/article/us-ukraine-crisis-harpoon-idUKKCN2N91YC" TargetMode="External"/><Relationship Id="rId241" Type="http://schemas.openxmlformats.org/officeDocument/2006/relationships/hyperlink" Target="https://delano.lu/article/luxembourg-gives-50m-in-milita" TargetMode="External"/><Relationship Id="rId479" Type="http://schemas.openxmlformats.org/officeDocument/2006/relationships/hyperlink" Target="https://news.err.ee/1608555886/estonia-s-220-million-military-aid-to-ukraine-substantially-diversified" TargetMode="External"/><Relationship Id="rId686" Type="http://schemas.openxmlformats.org/officeDocument/2006/relationships/hyperlink" Target="https://www.beehive.govt.nz/release/further-aotearoa-new-zealand-support-ukraine" TargetMode="External"/><Relationship Id="rId893" Type="http://schemas.openxmlformats.org/officeDocument/2006/relationships/hyperlink" Target="https://twitter.com/Pabriks/status/1559196940167962624?s=20&amp;t=8mX0LWVPGMqpt7LQ8N__qA" TargetMode="External"/><Relationship Id="rId339" Type="http://schemas.openxmlformats.org/officeDocument/2006/relationships/hyperlink" Target="https://www.france24.com/en/live-news/20220411-zelensky-says-he-believes-tens-of-thousands-killed-in-mariupol" TargetMode="External"/><Relationship Id="rId546" Type="http://schemas.openxmlformats.org/officeDocument/2006/relationships/hyperlink" Target="https://www.brusselstimes.com/208911/belgium-to-send-e3-4-million-medical-supplies-to-ukraine" TargetMode="External"/><Relationship Id="rId753" Type="http://schemas.openxmlformats.org/officeDocument/2006/relationships/hyperlink" Target="https://kyivindependent.com/uncategorized/poland-has-provided-ukraine-with-weapons-worth-1-6-billion/" TargetMode="External"/><Relationship Id="rId1176" Type="http://schemas.openxmlformats.org/officeDocument/2006/relationships/hyperlink" Target="https://en.kriseinformation.dk/denmarks-reactions/denmarks-contributions" TargetMode="External"/><Relationship Id="rId1383" Type="http://schemas.openxmlformats.org/officeDocument/2006/relationships/hyperlink" Target="https://plus.tagesspiegel.de/politik/raketen-schusswaffen-helme-welche-lander-schicken-der-ukraine-militarische-ausrustung-437908.html" TargetMode="External"/><Relationship Id="rId101" Type="http://schemas.openxmlformats.org/officeDocument/2006/relationships/hyperlink" Target="https://www.vlada.cz/cz/media-centrum/aktualne/vlada-kvuli-migracni-krizi-vyhlasila-od-patku-nouzovy-stav--schvalila-i-dalsi-pomoc-pro-ukrajinu-a-navrh-na-zvyseni-vydaju-na-obranu-194695/" TargetMode="External"/><Relationship Id="rId406" Type="http://schemas.openxmlformats.org/officeDocument/2006/relationships/hyperlink" Target="https://www.government.se/press-releases/2022/05/sweden-and-poland-co-host-international-donors-conference-to-support-ukrainian-people/" TargetMode="External"/><Relationship Id="rId960" Type="http://schemas.openxmlformats.org/officeDocument/2006/relationships/hyperlink" Target="https://www.defense.gov/News/Releases/Release/Article/3152071/675-million-in-additional-security-assistance-for-ukraine/" TargetMode="External"/><Relationship Id="rId1036" Type="http://schemas.openxmlformats.org/officeDocument/2006/relationships/hyperlink" Target="https://en.interfax.com.ua/news/general/859303.html" TargetMode="External"/><Relationship Id="rId1243" Type="http://schemas.openxmlformats.org/officeDocument/2006/relationships/hyperlink" Target="https://www.defense.gouv.fr/terre/actualites/uiisc-1-3e-convoi-solidarite-lukraine" TargetMode="External"/><Relationship Id="rId613" Type="http://schemas.openxmlformats.org/officeDocument/2006/relationships/hyperlink" Target="https://www.faz.net/aktuell/politik/waffen-fuer-die-ukraine-norwegen-liefert-haubitzen-18089553.html" TargetMode="External"/><Relationship Id="rId820" Type="http://schemas.openxmlformats.org/officeDocument/2006/relationships/hyperlink" Target="https://twitter.com/a_anusauskas/status/1546202214003269635" TargetMode="External"/><Relationship Id="rId918" Type="http://schemas.openxmlformats.org/officeDocument/2006/relationships/hyperlink" Target="https://lahbib.belgium.be/en/belgium-provide-8-million-eur-non-lethal-support-ukrainian-armed-forces" TargetMode="External"/><Relationship Id="rId1450" Type="http://schemas.openxmlformats.org/officeDocument/2006/relationships/hyperlink" Target="https://www.republicworld.com/world-news/russia-ukraine-crisis/estonia-confirms-relief-package-to-aid-war-torn-ukraine-articleshow.html" TargetMode="External"/><Relationship Id="rId1103" Type="http://schemas.openxmlformats.org/officeDocument/2006/relationships/hyperlink" Target="https://www.defense.gov/News/Releases/Release/Article/3120059/1-billion-in-additional-security-assistance-for-ukraine/" TargetMode="External"/><Relationship Id="rId1310" Type="http://schemas.openxmlformats.org/officeDocument/2006/relationships/hyperlink" Target="https://www.aa.com.tr/en/europe/spain-announces-increase-in-military-aid-to-ukraine/2668809" TargetMode="External"/><Relationship Id="rId1408" Type="http://schemas.openxmlformats.org/officeDocument/2006/relationships/hyperlink" Target="https://www.nippon.com/en/news/kd927892413712449536/" TargetMode="External"/><Relationship Id="rId47" Type="http://schemas.openxmlformats.org/officeDocument/2006/relationships/hyperlink" Target="https://www.expats.cz/czech-news/article/czech-republic-to-donate-100-million-crowns-of-medical-supplies-to-ukraine?msclkid=70d47c46ab9e11eca12fbfc7dff1390d" TargetMode="External"/><Relationship Id="rId196" Type="http://schemas.openxmlformats.org/officeDocument/2006/relationships/hyperlink" Target="https://appropriations.house.gov/sites/democrats.appropriations.house.gov/files/Ukraine%20Supplemental%20Summary.pdf" TargetMode="External"/><Relationship Id="rId263" Type="http://schemas.openxmlformats.org/officeDocument/2006/relationships/hyperlink" Target="https://www.mfa.gr/en/current-affairs/statements-speeches/delivery-of-greek-humanitarian-aid-to-the-ukrainian-people-including-diaspora-greeks-in-odessa-11042022-and-departure-of-the-4th-humanitarian-mission-of-the-hellenic-red-cross-to-ukraine-odessa-12042022.html" TargetMode="External"/><Relationship Id="rId470" Type="http://schemas.openxmlformats.org/officeDocument/2006/relationships/hyperlink" Target="https://twitter.com/visegrad24/status/1504145180647170060?cxt=HHwWmIC58dGE5t8pAAAA" TargetMode="External"/><Relationship Id="rId123" Type="http://schemas.openxmlformats.org/officeDocument/2006/relationships/hyperlink" Target="https://www.reuters.com/article/ukraine-crisis-slovakia-defence-idUSL2N2V626W" TargetMode="External"/><Relationship Id="rId330" Type="http://schemas.openxmlformats.org/officeDocument/2006/relationships/hyperlink" Target="https://www.reuters.com/world/europe/ukraines-zelenskiy-says-tens-thousands-killed-mariupol-seeks-military-aid-skorea-2022-04-11/" TargetMode="External"/><Relationship Id="rId568" Type="http://schemas.openxmlformats.org/officeDocument/2006/relationships/hyperlink" Target="https://www.rferl.org/a/czech-republic-poland-new-military-aid-ukraine/31873938.html" TargetMode="External"/><Relationship Id="rId775" Type="http://schemas.openxmlformats.org/officeDocument/2006/relationships/hyperlink" Target="https://inews.co.uk/news/brimstone-missile-what-uk-plans-long-range-weapons-ukraine-how-work-explained-1607595" TargetMode="External"/><Relationship Id="rId982" Type="http://schemas.openxmlformats.org/officeDocument/2006/relationships/hyperlink" Target="https://www.defense.gov/News/Releases/Release/Article/3138105/nearly-3-billion-in-additional-security-assistance-for-ukraine/" TargetMode="External"/><Relationship Id="rId1198" Type="http://schemas.openxmlformats.org/officeDocument/2006/relationships/hyperlink" Target="https://www.tasnimnews.com/en/news/2022/05/06/2706116/finland-to-send-more-defense-aid-to-ukraine" TargetMode="External"/><Relationship Id="rId428" Type="http://schemas.openxmlformats.org/officeDocument/2006/relationships/hyperlink" Target="https://www.esteri.it/en/politica-estera-e-cooperazione-allo-sviluppo/aree_geografiche/europa/litalia-a-sostegno-dellucraina/" TargetMode="External"/><Relationship Id="rId635" Type="http://schemas.openxmlformats.org/officeDocument/2006/relationships/hyperlink" Target="https://www.ilmessaggero.it/mondo/armi_italia_ucraina_inviate_quali_sono_guerra_russia_ultime_notizie-6743279.html" TargetMode="External"/><Relationship Id="rId842" Type="http://schemas.openxmlformats.org/officeDocument/2006/relationships/hyperlink" Target="https://www.ilfattoquotidiano.it/2022/07/27/armi-allucraina-ok-del-copasir-al-quarto-decreto-sullinvio-aderente-alle-indicazioni-del-parlamento-la-lista-e-sempre-segreta/6744667/" TargetMode="External"/><Relationship Id="rId1058" Type="http://schemas.openxmlformats.org/officeDocument/2006/relationships/hyperlink" Target="https://www.connexionfrance.com/article/French-news/Humanitarian-ship-for-Ukraine-leaves-French-port-with-8m-of-aid" TargetMode="External"/><Relationship Id="rId1265" Type="http://schemas.openxmlformats.org/officeDocument/2006/relationships/hyperlink" Target="https://euromaidanpress.com/2022/11/05/italy-set-to-approve-sixth-military-aid-package-for-ukraine-italian-defense-minister/" TargetMode="External"/><Relationship Id="rId1472" Type="http://schemas.openxmlformats.org/officeDocument/2006/relationships/hyperlink" Target="https://www.lejdd.fr/International/sebastien-lecornu-ministre-des-armees-nous-navons-pas-a-rougir-de-notre-aide-a-lukraine-4148779" TargetMode="External"/><Relationship Id="rId702" Type="http://schemas.openxmlformats.org/officeDocument/2006/relationships/hyperlink" Target="https://english.defensie.nl/latest/news/2022/04/06/a-look-at-the-defence-news-28-march---3-april" TargetMode="External"/><Relationship Id="rId1125" Type="http://schemas.openxmlformats.org/officeDocument/2006/relationships/hyperlink" Target="https://www.connexionfrance.com/article/French-news/Humanitarian-ship-for-Ukraine-leaves-French-port-with-8m-of-aid" TargetMode="External"/><Relationship Id="rId1332" Type="http://schemas.openxmlformats.org/officeDocument/2006/relationships/hyperlink" Target="https://www.bbc.com/news/uk-61990479" TargetMode="External"/><Relationship Id="rId69" Type="http://schemas.openxmlformats.org/officeDocument/2006/relationships/hyperlink" Target="https://twitter.com/i/status/1512804572728897539" TargetMode="External"/><Relationship Id="rId285" Type="http://schemas.openxmlformats.org/officeDocument/2006/relationships/hyperlink" Target="https://kaitseministeerium.ee/en/news/estonia-donated-missiles-anti-tank-weapon-system-javelin-ukraine" TargetMode="External"/><Relationship Id="rId492" Type="http://schemas.openxmlformats.org/officeDocument/2006/relationships/hyperlink" Target="https://mil.in.ua/en/news/ukraine-has-received-two-temporary-bridges-for-civilian-transport-from-the-czech-republic/" TargetMode="External"/><Relationship Id="rId797" Type="http://schemas.openxmlformats.org/officeDocument/2006/relationships/hyperlink" Target="https://www.whitehouse.gov/briefing-room/press-briefings/2022/04/04/press-briefing-by-press-secretary-jen-psaki-and-national-security-advisor-jake-sullivan/" TargetMode="External"/><Relationship Id="rId145" Type="http://schemas.openxmlformats.org/officeDocument/2006/relationships/hyperlink" Target="https://www.swissinfo.ch/eng/sweden-to-send-military-aid-to-ukraine---pm-andersson/47386044" TargetMode="External"/><Relationship Id="rId352" Type="http://schemas.openxmlformats.org/officeDocument/2006/relationships/hyperlink" Target="https://appropriations.house.gov/sites/democrats.appropriations.house.gov/files/Additional%20Ukraine%20Suplemental%20Appropriations%20Act%20Summary.pdf" TargetMode="External"/><Relationship Id="rId1287" Type="http://schemas.openxmlformats.org/officeDocument/2006/relationships/hyperlink" Target="https://www.austria.org/ukraine" TargetMode="External"/><Relationship Id="rId212" Type="http://schemas.openxmlformats.org/officeDocument/2006/relationships/hyperlink" Target="https://twitter.com/SweMFA/status/1517445238142521346" TargetMode="External"/><Relationship Id="rId657" Type="http://schemas.openxmlformats.org/officeDocument/2006/relationships/hyperlink" Target="https://www.gov.uk/government/news/uk-to-bolster-defensive-aid-to-ukraine-with-new-100m-package" TargetMode="External"/><Relationship Id="rId864" Type="http://schemas.openxmlformats.org/officeDocument/2006/relationships/hyperlink" Target="https://ua.interfax.com.ua/news/general/844172.html" TargetMode="External"/><Relationship Id="rId1494" Type="http://schemas.openxmlformats.org/officeDocument/2006/relationships/hyperlink" Target="https://ec.europa.eu/commission/presscorner/detail/en/ip_22_6699" TargetMode="External"/><Relationship Id="rId517" Type="http://schemas.openxmlformats.org/officeDocument/2006/relationships/hyperlink" Target="https://www.politico.eu/article/eu-to-increase-military-support-fund-for-ukraine-2-billion/" TargetMode="External"/><Relationship Id="rId724" Type="http://schemas.openxmlformats.org/officeDocument/2006/relationships/hyperlink" Target="https://www.rferl.org/a/czech-republic-poland-new-military-aid-ukraine/31873938.html" TargetMode="External"/><Relationship Id="rId931" Type="http://schemas.openxmlformats.org/officeDocument/2006/relationships/hyperlink" Target="https://www.connexionfrance.com/article/French-news/Humanitarian-ship-for-Ukraine-leaves-French-port-with-8m-of-aid" TargetMode="External"/><Relationship Id="rId1147" Type="http://schemas.openxmlformats.org/officeDocument/2006/relationships/hyperlink" Target="https://pl.usembassy.gov/1billion_assistance_ukraine/" TargetMode="External"/><Relationship Id="rId1354" Type="http://schemas.openxmlformats.org/officeDocument/2006/relationships/hyperlink" Target="https://crsreports.congress.gov/product/pdf/IF/IF12040" TargetMode="External"/><Relationship Id="rId60" Type="http://schemas.openxmlformats.org/officeDocument/2006/relationships/hyperlink" Target="https://www.gov.ie/en/press-release/2e59c-update-on-medical-humanitarian-support-to-ukraine/" TargetMode="External"/><Relationship Id="rId1007" Type="http://schemas.openxmlformats.org/officeDocument/2006/relationships/hyperlink" Target="https://www.defense.gov/News/Releases/Release/Article/3160503/600-million-in-additional-security-assistance-for-ukraine/" TargetMode="External"/><Relationship Id="rId1214" Type="http://schemas.openxmlformats.org/officeDocument/2006/relationships/hyperlink" Target="https://www.mofa.go.jp/press/release/press4e_003098.html" TargetMode="External"/><Relationship Id="rId1421" Type="http://schemas.openxmlformats.org/officeDocument/2006/relationships/hyperlink" Target="https://edition.cnn.com/europe/live-news/russia-ukraine-war-news-08-25-22/index.html" TargetMode="External"/><Relationship Id="rId18" Type="http://schemas.openxmlformats.org/officeDocument/2006/relationships/hyperlink" Target="https://abouthungary.hu/news-in-brief/hungary-to-make-another-shipment-of-humanitarian-aid-to-ukraine?msclkid=ca53d542ab8b11ec95fbf81dabb45ae9" TargetMode="External"/><Relationship Id="rId167" Type="http://schemas.openxmlformats.org/officeDocument/2006/relationships/hyperlink" Target="https://www.gov.uk/government/news/uk-sets-out-new-multi-million-dollar-economic-package-of-support-for-ukraine" TargetMode="External"/><Relationship Id="rId374" Type="http://schemas.openxmlformats.org/officeDocument/2006/relationships/hyperlink" Target="https://www.canada.ca/en/department-national-defence/news/2022/04/canada-announces-artillery-and-other-additional-military-aid-for-ukraine.html" TargetMode="External"/><Relationship Id="rId581" Type="http://schemas.openxmlformats.org/officeDocument/2006/relationships/hyperlink" Target="https://see.news/south-korea-to-send-non-lethal-aid-to-ukraine/" TargetMode="External"/><Relationship Id="rId234" Type="http://schemas.openxmlformats.org/officeDocument/2006/relationships/hyperlink" Target="https://www.txtreport.com/news/2022-04-21-lithuania-has-provided-ukraine-with-large-mortars.Sk8DYtC45.html" TargetMode="External"/><Relationship Id="rId679" Type="http://schemas.openxmlformats.org/officeDocument/2006/relationships/hyperlink" Target="https://intermin.fi/en/ukraine/civilian-assistance-to-ukraine" TargetMode="External"/><Relationship Id="rId886" Type="http://schemas.openxmlformats.org/officeDocument/2006/relationships/hyperlink" Target="https://um.fi/press-releases/-/asset_publisher/ued5t2wDmr1C/content/suomelta-humanitaarista-apua-valiaikaisia-asuntoja-seka-julkisen-hallinnon-tukea-ukrainaan/35732" TargetMode="External"/><Relationship Id="rId2" Type="http://schemas.openxmlformats.org/officeDocument/2006/relationships/hyperlink" Target="https://japan.kantei.go.jp/ongoingtopics/pdf/jp_stands_with_ukraine_eng.pdf" TargetMode="External"/><Relationship Id="rId441" Type="http://schemas.openxmlformats.org/officeDocument/2006/relationships/hyperlink" Target="https://apnews.com/article/russia-ukraine-janet-yellen-christian-lindner-91b5272f3c3381f340c6916653ddfa6a" TargetMode="External"/><Relationship Id="rId539"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746" Type="http://schemas.openxmlformats.org/officeDocument/2006/relationships/hyperlink" Target="https://kyivindependent.com/uncategorized/poland-has-provided-ukraine-with-weapons-worth-1-6-billion/" TargetMode="External"/><Relationship Id="rId1071" Type="http://schemas.openxmlformats.org/officeDocument/2006/relationships/hyperlink" Target="https://www.dw.com/en/russia-ukraine-updates-germany-pledges-200-million-in-new-aid-report/a-63013436" TargetMode="External"/><Relationship Id="rId1169" Type="http://schemas.openxmlformats.org/officeDocument/2006/relationships/hyperlink" Target="https://um.dk/danida/lande-og-regioner/ukraine" TargetMode="External"/><Relationship Id="rId1376" Type="http://schemas.openxmlformats.org/officeDocument/2006/relationships/hyperlink" Target="https://www.defense.gov/News/Releases/Release/Article/3203509/275-million-in-additional-presidential-drawdown-security-assistance-for-ukraine/" TargetMode="External"/><Relationship Id="rId301" Type="http://schemas.openxmlformats.org/officeDocument/2006/relationships/hyperlink" Target="https://www.youtube.com/watch?v=vzENx6dTpqY" TargetMode="External"/><Relationship Id="rId953" Type="http://schemas.openxmlformats.org/officeDocument/2006/relationships/hyperlink" Target="https://www.defense.gov/News/Releases/Release/Article/3134457/775-million-in-additional-security-assistance-for-ukraine/" TargetMode="External"/><Relationship Id="rId1029" Type="http://schemas.openxmlformats.org/officeDocument/2006/relationships/hyperlink" Target="https://en.interfax.com.ua/news/general/859303.html" TargetMode="External"/><Relationship Id="rId1236" Type="http://schemas.openxmlformats.org/officeDocument/2006/relationships/hyperlink" Target="https://www.defensenews.com/pentagon/2022/11/04/us-netherlands-go-dutch-to-refurbish-czech-tanks-for-ukraine/" TargetMode="External"/><Relationship Id="rId82" Type="http://schemas.openxmlformats.org/officeDocument/2006/relationships/hyperlink" Target="https://www.canada.ca/en/department-national-defence/news/2022/02/canada-commits-lethal-weapons-and-ammunition-in-support-of-ukraine.html" TargetMode="External"/><Relationship Id="rId606" Type="http://schemas.openxmlformats.org/officeDocument/2006/relationships/hyperlink" Target="https://www-regjeringen-no.translate.goog/no/aktuelt/norge-har-donert-artilleriskyts-til-ukraina/id2917760/?_x_tr_sl=auto&amp;_x_tr_tl=auto&amp;_x_tr_hl=de" TargetMode="External"/><Relationship Id="rId813" Type="http://schemas.openxmlformats.org/officeDocument/2006/relationships/hyperlink" Target="https://www.total-croatia-news.com/politics/63404-vukovar-srijem-county-sends-humanitarian-aid-to-ukraine" TargetMode="External"/><Relationship Id="rId1443" Type="http://schemas.openxmlformats.org/officeDocument/2006/relationships/hyperlink" Target="https://news.err.ee/1608742171/estonia-sends-more-ammunition-protective-equipment-to-ukraine" TargetMode="External"/><Relationship Id="rId1303" Type="http://schemas.openxmlformats.org/officeDocument/2006/relationships/hyperlink" Target="https://twitter.com/a_anusauskas/status/1592084804501401604" TargetMode="External"/><Relationship Id="rId1510" Type="http://schemas.openxmlformats.org/officeDocument/2006/relationships/hyperlink" Target="https://www.regjeringen.no/en/topics/foreign-affairs/humanitarian-efforts/neighbour_support/id2908141/" TargetMode="External"/><Relationship Id="rId189" Type="http://schemas.openxmlformats.org/officeDocument/2006/relationships/hyperlink" Target="https://www.defense.gov/News/Releases/Release/Article/3007664/fact-sheet-on-us-security-assistance-for-ukraine-roll-up-as-of-april-21-2022/" TargetMode="External"/><Relationship Id="rId396" Type="http://schemas.openxmlformats.org/officeDocument/2006/relationships/hyperlink" Target="https://www.youtube.com/watch?v=A1nTsblXabc" TargetMode="External"/><Relationship Id="rId256" Type="http://schemas.openxmlformats.org/officeDocument/2006/relationships/hyperlink" Target="https://www.reuters.com/world/europe/france-strengthen-military-humanitarian-aid-ukraine-elysee-2022-04-30/" TargetMode="External"/><Relationship Id="rId463" Type="http://schemas.openxmlformats.org/officeDocument/2006/relationships/hyperlink" Target="https://www.thedefensepost.com/2022/04/19/us-arms-arrive-ukraine/" TargetMode="External"/><Relationship Id="rId670" Type="http://schemas.openxmlformats.org/officeDocument/2006/relationships/hyperlink" Target="https://intermin.fi/en/ukraine/civilian-assistance-to-ukraine" TargetMode="External"/><Relationship Id="rId1093" Type="http://schemas.openxmlformats.org/officeDocument/2006/relationships/hyperlink" Targe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TargetMode="External"/><Relationship Id="rId116" Type="http://schemas.openxmlformats.org/officeDocument/2006/relationships/hyperlink" Target="https://spectator.sme.sk/c/22850259/slovakia-will-send-more-military-aid-to-ukraine.html" TargetMode="External"/><Relationship Id="rId323" Type="http://schemas.openxmlformats.org/officeDocument/2006/relationships/hyperlink" Target="https://www.defensenews.com/global/asia-pacific/2022/04/13/new-zealand-bolsters-support-for-ukraine/" TargetMode="External"/><Relationship Id="rId530" Type="http://schemas.openxmlformats.org/officeDocument/2006/relationships/hyperlink" Target="https://twitter.com/visegrad24/status/1503313508980637696" TargetMode="External"/><Relationship Id="rId768" Type="http://schemas.openxmlformats.org/officeDocument/2006/relationships/hyperlink" Target="https://n1info.si/novice/svet/slovenija-ukrajini-ze-poslala-puske-streliva-in-celade/" TargetMode="External"/><Relationship Id="rId975" Type="http://schemas.openxmlformats.org/officeDocument/2006/relationships/hyperlink" Target="https://www.defense.gov/News/Releases/Release/Article/3160503/600-million-in-additional-security-assistance-for-ukraine/" TargetMode="External"/><Relationship Id="rId1160" Type="http://schemas.openxmlformats.org/officeDocument/2006/relationships/hyperlink" Target="https://echo24.cz/a/SrjYb/cesko-poslalo-na-ukrajinu-desitky-tanku-t-72-a-bvp" TargetMode="External"/><Relationship Id="rId1398" Type="http://schemas.openxmlformats.org/officeDocument/2006/relationships/hyperlink" Target="https://www.tagesschau.de/inland/scholz-ukraine-militaerhilfe-101.html" TargetMode="External"/><Relationship Id="rId628" Type="http://schemas.openxmlformats.org/officeDocument/2006/relationships/hyperlink" Target="https://www.abc.net.au/news/2022-02-27/australia-send-weapons-nato-ukraine-war-russia/100865712" TargetMode="External"/><Relationship Id="rId835" Type="http://schemas.openxmlformats.org/officeDocument/2006/relationships/hyperlink" Target="https://mobile.twitter.com/EU_Commission/status/1551598152041603072" TargetMode="External"/><Relationship Id="rId1258" Type="http://schemas.openxmlformats.org/officeDocument/2006/relationships/hyperlink" Target="https://www.lejdd.fr/International/sebastien-lecornu-ministre-des-armees-nous-navons-pas-a-rougir-de-notre-aide-a-lukraine-4148779" TargetMode="External"/><Relationship Id="rId1465" Type="http://schemas.openxmlformats.org/officeDocument/2006/relationships/hyperlink" Target="https://www.leparisien.fr/politique/sebastien-lecornu-nous-allons-former-jusqua-2000-soldats-ukrainiens-en-france-15-10-2022-SBLM6EKPOFELNHN3GHGA7IAESY.php" TargetMode="External"/><Relationship Id="rId1020" Type="http://schemas.openxmlformats.org/officeDocument/2006/relationships/hyperlink" Target="https://www.euractiv.com/section/politics/short_news/belgium-to-provide-e8-million-for-non-lethal-aid-to-ukraines-armed-forces/" TargetMode="External"/><Relationship Id="rId1118" Type="http://schemas.openxmlformats.org/officeDocument/2006/relationships/hyperlink" Target="https://www.thedefensepost.com/2022/10/03/germany-denmark-norway-howitzers-ukraine/" TargetMode="External"/><Relationship Id="rId1325" Type="http://schemas.openxmlformats.org/officeDocument/2006/relationships/hyperlink" Target="https://www.gov.uk/government/news/prime-minister-pledges-uks-unwavering-support-to-ukraine-on-visit-to-kyiv-9-april-2022" TargetMode="External"/><Relationship Id="rId902" Type="http://schemas.openxmlformats.org/officeDocument/2006/relationships/hyperlink" Target="https://twitter.com/oleksiireznikov/status/1565001295177687045" TargetMode="External"/><Relationship Id="rId31" Type="http://schemas.openxmlformats.org/officeDocument/2006/relationships/hyperlink" Target="https://www.slobodenpecat.mk/en/bugarija-kje-isprati-humanitarna-i-voeno-logistichka-pomosh-na-ukraina/" TargetMode="External"/><Relationship Id="rId180" Type="http://schemas.openxmlformats.org/officeDocument/2006/relationships/hyperlink" Target="https://ukranews.com/en/news/850937-romania-will-transfer-lethal-weapons-from-its-own-reserves-to-ukraine-media" TargetMode="External"/><Relationship Id="rId278" Type="http://schemas.openxmlformats.org/officeDocument/2006/relationships/hyperlink" Target="https://hit-logo-klingelton.com/uk-announces-additional-230-million-in-aid-for-ukraine/?msclkid=0f934a89cf8011ec82b90a2bac4d5bea" TargetMode="External"/><Relationship Id="rId485" Type="http://schemas.openxmlformats.org/officeDocument/2006/relationships/hyperlink" Target="https://www.reuters.com/world/europe/slovakia-says-it-delivered-air-defence-anti-tank-rockets-ukraine-2022-02-28/" TargetMode="External"/><Relationship Id="rId692" Type="http://schemas.openxmlformats.org/officeDocument/2006/relationships/hyperlink" Target="https://www.regjeringen.no/en/topics/foreign-affairs/humanitarian-efforts/neighbour_support/id2908141/" TargetMode="External"/><Relationship Id="rId138" Type="http://schemas.openxmlformats.org/officeDocument/2006/relationships/hyperlink" Target="https://www.thedefensepost.com/2022/03/10/uk-starstreak-missiles-ukraine/" TargetMode="External"/><Relationship Id="rId345" Type="http://schemas.openxmlformats.org/officeDocument/2006/relationships/hyperlink" Target="https://mof.gov.ua/en/news/ukraines_state_budget_financing_since_the_beginning_of_the_full-scale_war-3435" TargetMode="External"/><Relationship Id="rId552" Type="http://schemas.openxmlformats.org/officeDocument/2006/relationships/hyperlink" Target="https://www.euractiv.com/section/politics/short_news/bulgaria-sends-helmets-to-ukrain%D0%B5/" TargetMode="External"/><Relationship Id="rId997" Type="http://schemas.openxmlformats.org/officeDocument/2006/relationships/hyperlink" Target="https://www.defense.gov/News/Releases/Release/Article/3173378/11-billion-in-additional-security-assistance-for-ukraine/" TargetMode="External"/><Relationship Id="rId1182"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205" Type="http://schemas.openxmlformats.org/officeDocument/2006/relationships/hyperlink" Target="https://www.vlada.cz/cz/media-centrum/aktualne/vlada-petra-fialy-schvalila-dalsi-vojenskou-pomoc-bojujici-ukrajine-194603/" TargetMode="External"/><Relationship Id="rId412" Type="http://schemas.openxmlformats.org/officeDocument/2006/relationships/hyperlink" Target="https://news.defence.gov.au/international/working-together-ukraine" TargetMode="External"/><Relationship Id="rId857" Type="http://schemas.openxmlformats.org/officeDocument/2006/relationships/hyperlink" Target="https://www.ukrinform.net/rubric-defense/3535335-uk-to-train-10000-ukrainians-with-little-to-no-military-experience-training.html" TargetMode="External"/><Relationship Id="rId1042" Type="http://schemas.openxmlformats.org/officeDocument/2006/relationships/hyperlink" Target="https://mfa.gov.cy/press-releases/2022/03/09/cyprus-humanitarian-aid-to-ukraine/" TargetMode="External"/><Relationship Id="rId1487" Type="http://schemas.openxmlformats.org/officeDocument/2006/relationships/hyperlink" Target="https://www.kmu.gov.ua/en/news/yuliia-svyrydenko-polskyi-uriad-hotovyi-stymuliuvaty-biznes-investuvaty-v-ukrainu-i-dokladaie-do-tsoho-maksymum-zusyl" TargetMode="External"/><Relationship Id="rId717" Type="http://schemas.openxmlformats.org/officeDocument/2006/relationships/hyperlink" Target="https://www.czdefence.com/article/ukrainian-armoured-vehicles-will-be-repaired-in-the-czech-republic" TargetMode="External"/><Relationship Id="rId924" Type="http://schemas.openxmlformats.org/officeDocument/2006/relationships/hyperlink" Target="https://www.brusselstimes.com/290771/belgium-to-give-e12-million-in-military-aid-to-ukraine" TargetMode="External"/><Relationship Id="rId1347" Type="http://schemas.openxmlformats.org/officeDocument/2006/relationships/hyperlink" Target="https://www.facebook.com/LVIVDSNS/posts/pfbid0Kh4LzoSej4TroK3tNk9nUGzRfwB9sFeaRPgWP94cdzQsv1ChVf42NgPiSmZBK6wMl" TargetMode="External"/><Relationship Id="rId53" Type="http://schemas.openxmlformats.org/officeDocument/2006/relationships/hyperlink" Target="https://www.reuters.com/markets/europe/japan-offers-ukraine-100-mln-loans-show-support-2022-02-15/" TargetMode="External"/><Relationship Id="rId1207" Type="http://schemas.openxmlformats.org/officeDocument/2006/relationships/hyperlink" Target="https://www.ukrinform.net/rubric-ato/3585945-finland-preparing-new-military-aid-package-for-ukraine.html" TargetMode="External"/><Relationship Id="rId1414" Type="http://schemas.openxmlformats.org/officeDocument/2006/relationships/hyperlink" Target="https://www.rtlnieuws.nl/nieuws/politiek/artikel/5344701/kabinet-120-miljoen-extra-militaire-steun-voor-oekraine" TargetMode="External"/><Relationship Id="rId367" Type="http://schemas.openxmlformats.org/officeDocument/2006/relationships/hyperlink" Target="https://www.beehive.govt.nz/release/nz-provide-additional-deployment-support-ukraine" TargetMode="External"/><Relationship Id="rId574" Type="http://schemas.openxmlformats.org/officeDocument/2006/relationships/hyperlink" Target="https://www.abc.net.au/news/2022-03-31/more-military-aid-defence-weapons-ukraine-zelenskyy/100955544" TargetMode="External"/><Relationship Id="rId227" Type="http://schemas.openxmlformats.org/officeDocument/2006/relationships/hyperlink" Target="https://medinlive.at/gesellschaft/oesterreich-unterstuetzt-ukraine-mit-ueber-80-millionen-euro" TargetMode="External"/><Relationship Id="rId781" Type="http://schemas.openxmlformats.org/officeDocument/2006/relationships/hyperlink" Target="https://www.theguardian.com/world/2022/jun/01/himars-what-are-the-advanced-rockets-us-is-sending-ukraine" TargetMode="External"/><Relationship Id="rId879" Type="http://schemas.openxmlformats.org/officeDocument/2006/relationships/hyperlink" Target="https://www.defense.gov/News/Releases/Release/Article/2987119/defense-department-announces-300-million-in-additional-assistance-for-ukraine/" TargetMode="External"/><Relationship Id="rId434" Type="http://schemas.openxmlformats.org/officeDocument/2006/relationships/hyperlink" Target="https://www.ilmessaggero.it/politica/armi_ucraina_italia_guerini_conte_draghi_costo_cosa_succede_governo_ultime_notizie-6652159.html" TargetMode="External"/><Relationship Id="rId641" Type="http://schemas.openxmlformats.org/officeDocument/2006/relationships/hyperlink" Target="https://www.thebulletin.be/belgium-send-more-weapons-and-fuel-ukraine" TargetMode="External"/><Relationship Id="rId739" Type="http://schemas.openxmlformats.org/officeDocument/2006/relationships/hyperlink" Target="https://www.ukrinform.net/rubric-ato/3491327-canada-to-give-ukraine-over-20000-155-mm-shells.html" TargetMode="External"/><Relationship Id="rId1064" Type="http://schemas.openxmlformats.org/officeDocument/2006/relationships/hyperlink" Target="https://www.euronews.com/2022/09/29/cargo-ship-with-1000-tonnes-of-ukraine-aid-sets-sail-from-marseille" TargetMode="External"/><Relationship Id="rId1271" Type="http://schemas.openxmlformats.org/officeDocument/2006/relationships/hyperlink" Target="https://www.ukrinform.net/rubric-ato/3604150-italy-provides-ukraine-with-two-m270-systems-six-pzh-2000-about-30-selfpropelled-howitzers-media.html" TargetMode="External"/><Relationship Id="rId1369" Type="http://schemas.openxmlformats.org/officeDocument/2006/relationships/hyperlink" Target="https://www.defense.gov/News/Releases/Release/Article/3189571/725-million-in-additional-security-assistance-for-ukraine/" TargetMode="External"/><Relationship Id="rId501" Type="http://schemas.openxmlformats.org/officeDocument/2006/relationships/hyperlink" Target="https://www.europarl.europa.eu/RegData/etudes/ATAG/2022/729301/EPRS_ATA(2022)729301_EN.pdf" TargetMode="External"/><Relationship Id="rId946" Type="http://schemas.openxmlformats.org/officeDocument/2006/relationships/hyperlink" Target="https://www.defense.gov/News/Releases/Release/Article/3134457/775-million-in-additional-security-assistance-for-ukraine/" TargetMode="External"/><Relationship Id="rId1131" Type="http://schemas.openxmlformats.org/officeDocument/2006/relationships/hyperlink" Targe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TargetMode="External"/><Relationship Id="rId1229" Type="http://schemas.openxmlformats.org/officeDocument/2006/relationships/hyperlink" Target="https://www.swissinfo.ch/eng/politics/swiss-to-send-chf100-million-in-aid-to-help-ukraine-get-through-winter/48025666" TargetMode="External"/><Relationship Id="rId75" Type="http://schemas.openxmlformats.org/officeDocument/2006/relationships/hyperlink" Target="https://www.txtreport.com/news/2022-03-10-canada-will-provide-%24-50-million-in-military-assistance-to-ukraine.S1BRwmvb5.html" TargetMode="External"/><Relationship Id="rId806" Type="http://schemas.openxmlformats.org/officeDocument/2006/relationships/hyperlink" Target="https://kyivindependent.com/news-feed/slovakia-supplies-5-helicopters-ammunition-for-grad-multiple-rocket-launchers" TargetMode="External"/><Relationship Id="rId1436" Type="http://schemas.openxmlformats.org/officeDocument/2006/relationships/hyperlink" Target="https://kaitseministeerium.ee/en/news/estonia-increase-defence-aid-ukraine" TargetMode="External"/><Relationship Id="rId1503" Type="http://schemas.openxmlformats.org/officeDocument/2006/relationships/hyperlink" Target="https://appropriations.house.gov/sites/democrats.appropriations.house.gov/files/Ukraine%20Supplemental%20Summary.pdf" TargetMode="External"/><Relationship Id="rId291" Type="http://schemas.openxmlformats.org/officeDocument/2006/relationships/hyperlink" Target="https://www.regjeringen.no/en/aktuelt/norway-to-increase-support-to-ukraine-and-provide-military-equipment/id2902406/" TargetMode="External"/><Relationship Id="rId151" Type="http://schemas.openxmlformats.org/officeDocument/2006/relationships/hyperlink" Target="https://www.reuters.com/world/europe/sweden-send-military-aid-ukraine-pm-andersson-2022-02-27/" TargetMode="External"/><Relationship Id="rId389" Type="http://schemas.openxmlformats.org/officeDocument/2006/relationships/hyperlink" Target="https://eng.lsm.lv/article/society/defense/latvia-training-ukrainian-drone-pilots.a452320/" TargetMode="External"/><Relationship Id="rId596" Type="http://schemas.openxmlformats.org/officeDocument/2006/relationships/hyperlink" Target="https://www.armyrecognition.com/defense_news_may_2022_global_security_army_industry/lithuania_prepares_a_shipment_of_20_m113_tracked_apcs_to_ukraine.html" TargetMode="External"/><Relationship Id="rId249" Type="http://schemas.openxmlformats.org/officeDocument/2006/relationships/hyperlink" Target="https://www.lesechos.fr/monde/enjeux-internationaux/la-france-renforce-son-soutien-militaire-a-lukraine-1389929" TargetMode="External"/><Relationship Id="rId456" Type="http://schemas.openxmlformats.org/officeDocument/2006/relationships/hyperlink" Target="https://www.aa.com.tr/en/americas/us-says-vast-majority-of-howitzers-has-arrived-in-ukraine/2581253" TargetMode="External"/><Relationship Id="rId663" Type="http://schemas.openxmlformats.org/officeDocument/2006/relationships/hyperlink" Target="https://www.whitehouse.gov/briefing-room/statements-releases/2022/03/24/fact-sheet-the-biden-administration-announces-new-humanitarian-development-and-democracy-assistance-to-ukraine-and-the-surrounding-region/" TargetMode="External"/><Relationship Id="rId870" Type="http://schemas.openxmlformats.org/officeDocument/2006/relationships/hyperlink" Target="https://www.gov.uk/government/news/uk-to-send-scores-of-artillery-guns-and-hundreds-of-drones-to-ukraine" TargetMode="External"/><Relationship Id="rId1086" Type="http://schemas.openxmlformats.org/officeDocument/2006/relationships/hyperlink" Target="https://kaitseministeerium.ee/en/news/estonia-increase-defence-aid-ukraine" TargetMode="External"/><Relationship Id="rId1293" Type="http://schemas.openxmlformats.org/officeDocument/2006/relationships/hyperlink" Target="https://www.canada.ca/en/department-national-defence/campaigns/canadian-military-support-to-ukraine.html" TargetMode="External"/><Relationship Id="rId109" Type="http://schemas.openxmlformats.org/officeDocument/2006/relationships/hyperlink" Target="https://www.politico.com/news/2022/03/22/ukraine-weapons-military-aid-00019104" TargetMode="External"/><Relationship Id="rId316" Type="http://schemas.openxmlformats.org/officeDocument/2006/relationships/hyperlink" Target="https://norwaytoday.info/news/norway-is-giving-200-million-kroner-to-ukrainian-teachers-and-government-employees/" TargetMode="External"/><Relationship Id="rId523" Type="http://schemas.openxmlformats.org/officeDocument/2006/relationships/hyperlink" Target="https://www.bmi.gv.at/news.aspx?id=69543149763057644C4C633D" TargetMode="External"/><Relationship Id="rId968" Type="http://schemas.openxmlformats.org/officeDocument/2006/relationships/hyperlink" Target="https://www.defense.gov/News/Releases/Release/Article/3160503/600-million-in-additional-security-assistance-for-ukraine/" TargetMode="External"/><Relationship Id="rId1153" Type="http://schemas.openxmlformats.org/officeDocument/2006/relationships/hyperlink" Target="https://www.minister.defence.gov.au/minister/rmarles/media-releases/australia-increases-support-ukraine" TargetMode="External"/><Relationship Id="rId97" Type="http://schemas.openxmlformats.org/officeDocument/2006/relationships/hyperlink" Target="https://www.vlada.cz/cz/media-centrum/aktualne/vlada-schvalila-dalsi-dar-v-podobe-vojenskeho-materialu-ukrajine-194585/" TargetMode="External"/><Relationship Id="rId730" Type="http://schemas.openxmlformats.org/officeDocument/2006/relationships/hyperlink" Target="https://pm.gc.ca/en/news/backgrounders/2022/06/28/additional-canadian-support-ukraine-announced-2022-g7-summit" TargetMode="External"/><Relationship Id="rId828" Type="http://schemas.openxmlformats.org/officeDocument/2006/relationships/hyperlink" Target="https://www.gov.uk/government/news/uk-to-send-scores-of-artillery-guns-and-hundreds-of-drones-to-ukraine" TargetMode="External"/><Relationship Id="rId1013" Type="http://schemas.openxmlformats.org/officeDocument/2006/relationships/hyperlink" Target="https://www.dfat.gov.au/crisis-hub/invasion-ukraine-russia" TargetMode="External"/><Relationship Id="rId1360" Type="http://schemas.openxmlformats.org/officeDocument/2006/relationships/hyperlink" Target="https://appropriations.house.gov/sites/democrats.appropriations.house.gov/files/Additional%20Ukraine%20Suplemental%20Appropriations%20Act%20Summary.pdf" TargetMode="External"/><Relationship Id="rId1458" Type="http://schemas.openxmlformats.org/officeDocument/2006/relationships/hyperlink" Target="https://edition.cnn.com/europe/live-news/russia-ukraine-war-news-08-25-22/index.html" TargetMode="External"/><Relationship Id="rId1220" Type="http://schemas.openxmlformats.org/officeDocument/2006/relationships/hyperlink" Target="https://www.nippon.com/en/news/kd927892413712449536/" TargetMode="External"/><Relationship Id="rId1318" Type="http://schemas.openxmlformats.org/officeDocument/2006/relationships/hyperlink" Target="https://www.gov.uk/government/speeches/poland-foreign-secretarys-statement-to-warsaw-press-conference" TargetMode="External"/><Relationship Id="rId24" Type="http://schemas.openxmlformats.org/officeDocument/2006/relationships/hyperlink" Target="https://www.government.nl/topics/russia-and-ukraine/dutch-aid-for-ukraine" TargetMode="External"/><Relationship Id="rId173" Type="http://schemas.openxmlformats.org/officeDocument/2006/relationships/hyperlink" Target="https://www.gov.si/en/news/2022-03-07-eu-development-ministers-on-emergency-humanitarian-aid-to-ukraine/" TargetMode="External"/><Relationship Id="rId380" Type="http://schemas.openxmlformats.org/officeDocument/2006/relationships/hyperlink" Target="https://mil.in.ua/en/news/harpoon-what-is-known-about-danish-coastal-missile-systems/" TargetMode="External"/><Relationship Id="rId240" Type="http://schemas.openxmlformats.org/officeDocument/2006/relationships/hyperlink" Target="https://www.wienerzeitung.at/nachrichten/politik/oesterreich/2146418-Oesterreich-schickte-Ukraine-Armeeausruestung.html" TargetMode="External"/><Relationship Id="rId478" Type="http://schemas.openxmlformats.org/officeDocument/2006/relationships/hyperlink" Target="https://twitter.com/UAWeapons/status/1530575142115495937" TargetMode="External"/><Relationship Id="rId685" Type="http://schemas.openxmlformats.org/officeDocument/2006/relationships/hyperlink" Target="https://bulgarianmilitary.com/2022/06/20/ukraine-gets-australian-m113as4-with-12-7mm-browning-m2hb-qcb-355hp/" TargetMode="External"/><Relationship Id="rId892" Type="http://schemas.openxmlformats.org/officeDocument/2006/relationships/hyperlink" Target="https://www.mod.gov.lv/lv/zinas/latvija-ukrainas-armijai-piegadajusi-helikopterus-mi-17-un-mi-2" TargetMode="External"/><Relationship Id="rId100" Type="http://schemas.openxmlformats.org/officeDocument/2006/relationships/hyperlink" Target="https://www.vlada.cz/cz/media-centrum/aktualne/informace-v-souvislosti-s-invazi-ruska-na-ukrajinu-194507/" TargetMode="External"/><Relationship Id="rId338" Type="http://schemas.openxmlformats.org/officeDocument/2006/relationships/hyperlink" Target="https://www.reuters.com/world/europe/ukraines-zelenskiy-says-tens-thousands-killed-mariupol-seeks-military-aid-skorea-2022-04-11/" TargetMode="External"/><Relationship Id="rId545" Type="http://schemas.openxmlformats.org/officeDocument/2006/relationships/hyperlink" Target="https://www.bundeskanzleramt.gv.at/bundeskanzleramt/nachrichten-der-bundesregierung/2022/06/bundeskanzler-nehammer-wir-helfen-dort-wo-es-uns-als-neutrales-oesterreich-moeglich-ist.html" TargetMode="External"/><Relationship Id="rId752" Type="http://schemas.openxmlformats.org/officeDocument/2006/relationships/hyperlink" Target="https://kyivindependent.com/uncategorized/poland-has-provided-ukraine-with-weapons-worth-1-6-billion/" TargetMode="External"/><Relationship Id="rId1175" Type="http://schemas.openxmlformats.org/officeDocument/2006/relationships/hyperlink" Target="https://www.globaldefensecorp.com/2022/03/04/denmark-delivered-2700-anti-tank-rockets-and-300-stinger-missiles-to-ukraine/" TargetMode="External"/><Relationship Id="rId1382" Type="http://schemas.openxmlformats.org/officeDocument/2006/relationships/hyperlink" Target="https://www.n-tv.de/politik/Deutsche-Waffenlieferungen-an-die-Ukraine-Nicht-alle-Exporte-werden-erfasst-article23304309.html" TargetMode="External"/><Relationship Id="rId405" Type="http://schemas.openxmlformats.org/officeDocument/2006/relationships/hyperlink" Target="https://www.government.se/articles/2022/03/sweden-planning-additional-support-to-ukraine-through-world-bank/" TargetMode="External"/><Relationship Id="rId612" Type="http://schemas.openxmlformats.org/officeDocument/2006/relationships/hyperlink" Target="https://www.ukrinform.net/rubric-ato/3500636-sweden-to-provide-ukraine-with-ag-90-antimateriel-sniper-rifles-at4-antitank-weapons.html" TargetMode="External"/><Relationship Id="rId1035" Type="http://schemas.openxmlformats.org/officeDocument/2006/relationships/hyperlink" Target="https://www.brusselstimes.com/290771/belgium-to-give-e12-million-in-military-aid-to-ukraine" TargetMode="External"/><Relationship Id="rId1242" Type="http://schemas.openxmlformats.org/officeDocument/2006/relationships/hyperlink" Target="https://www.interieur.gouv.fr/actualites/dossiers/situation-en-ukraine/solidarite-nationale-envers-lukraine-second-convoi-de" TargetMode="External"/><Relationship Id="rId917" Type="http://schemas.openxmlformats.org/officeDocument/2006/relationships/hyperlink" Target="https://www.regjeringen.no/en/aktuelt/donerer-hellfire-missiler-og-nattoptikk-til-ukraina/id2926713/" TargetMode="External"/><Relationship Id="rId1102" Type="http://schemas.openxmlformats.org/officeDocument/2006/relationships/hyperlink" Target="https://www.bbc.com/news/uk-61990479" TargetMode="External"/><Relationship Id="rId46" Type="http://schemas.openxmlformats.org/officeDocument/2006/relationships/hyperlink" Target="https://www.vlada.cz/cz/media-centrum/aktualne/vlada-kvuli-migracni-krizi-vyhlasila-od-patku-nouzovy-stav--schvalila-i-dalsi-pomoc-pro-ukrajinu-a-navrh-na-zvyseni-vydaju-na-obranu-194695/" TargetMode="External"/><Relationship Id="rId1407" Type="http://schemas.openxmlformats.org/officeDocument/2006/relationships/hyperlink" Target="https://twitter.com/a_anusauskas/status/1574471610807062542" TargetMode="External"/><Relationship Id="rId195" Type="http://schemas.openxmlformats.org/officeDocument/2006/relationships/hyperlink" Target="https://appropriations.house.gov/sites/democrats.appropriations.house.gov/files/Ukraine%20Supplemental%20Summary.pdf" TargetMode="External"/><Relationship Id="rId262" Type="http://schemas.openxmlformats.org/officeDocument/2006/relationships/hyperlink" Target="https://cyprus-digest.com/nikos-dendias-arrives-in-odessa-as-head-of-a-humanitarian-mission/" TargetMode="External"/><Relationship Id="rId567" Type="http://schemas.openxmlformats.org/officeDocument/2006/relationships/hyperlink" Target="https://www.rferl.org/a/czech-republic-poland-new-military-aid-ukraine/31873938.html" TargetMode="External"/><Relationship Id="rId1197" Type="http://schemas.openxmlformats.org/officeDocument/2006/relationships/hyperlink" Target="https://www.army-technology.com/news/finland-sends-additional-defence-aid-ukraine/" TargetMode="External"/><Relationship Id="rId122" Type="http://schemas.openxmlformats.org/officeDocument/2006/relationships/hyperlink" Target="https://www.nbp.pl/homen.aspx?f=/en/aktualnosci/2022/24.02-2.html" TargetMode="External"/><Relationship Id="rId774" Type="http://schemas.openxmlformats.org/officeDocument/2006/relationships/hyperlink" Target="https://www.gbnews.uk/news/uk-pledges-13-billion-in-support-for-ukraines-fight-against-putins-russia/288926" TargetMode="External"/><Relationship Id="rId981" Type="http://schemas.openxmlformats.org/officeDocument/2006/relationships/hyperlink" Target="https://www.defense.gov/News/Releases/Release/Article/3138105/nearly-3-billion-in-additional-security-assistance-for-ukraine/" TargetMode="External"/><Relationship Id="rId1057" Type="http://schemas.openxmlformats.org/officeDocument/2006/relationships/hyperlink" Target="https://www.diplomatie.gouv.fr/en/country-files/ukraine/news/article/ukraine-catherine-colonna-to-attend-the-launch-of-solidarity-operation-un" TargetMode="External"/><Relationship Id="rId427" Type="http://schemas.openxmlformats.org/officeDocument/2006/relationships/hyperlink" Target="https://www.esteri.it/en/politica-estera-e-cooperazione-allo-sviluppo/aree_geografiche/europa/litalia-a-sostegno-dellucraina/" TargetMode="External"/><Relationship Id="rId634" Type="http://schemas.openxmlformats.org/officeDocument/2006/relationships/hyperlink" Target="https://www.lefigaro.fr/international/direct-guerre-en-ukraine-situation-critique-a-marioupol-20220421" TargetMode="External"/><Relationship Id="rId841" Type="http://schemas.openxmlformats.org/officeDocument/2006/relationships/hyperlink" Target="https://www.thedefensepost.com/2022/07/20/french-caesar-canons-ukraine/" TargetMode="External"/><Relationship Id="rId1264" Type="http://schemas.openxmlformats.org/officeDocument/2006/relationships/hyperlink" Target="https://euromaidanpress.com/2022/10/30/italy-allegedly-supplied-many-heavy-weapons-to-ukraine-but-didnt-disclose-it-earlier-la-repubblica/" TargetMode="External"/><Relationship Id="rId1471" Type="http://schemas.openxmlformats.org/officeDocument/2006/relationships/hyperlink" Target="https://www.leparisien.fr/politique/sebastien-lecornu-nous-allons-former-jusqua-2000-soldats-ukrainiens-en-france-15-10-2022-SBLM6EKPOFELNHN3GHGA7IAESY.php" TargetMode="External"/><Relationship Id="rId701" Type="http://schemas.openxmlformats.org/officeDocument/2006/relationships/hyperlink" Target="https://www.news18.com/news/world/ukraine-asks-for-military-aid-from-world-netherlands-us-among-25-countries-to-provide-support-4814291.html" TargetMode="External"/><Relationship Id="rId939" Type="http://schemas.openxmlformats.org/officeDocument/2006/relationships/hyperlink" Target="https://defence24.com/industry/polish-weapons-defending-ukraine-analysis" TargetMode="External"/><Relationship Id="rId1124" Type="http://schemas.openxmlformats.org/officeDocument/2006/relationships/hyperlink" Target="https://www.euronews.com/2022/09/29/cargo-ship-with-1000-tonnes-of-ukraine-aid-sets-sail-from-marseille" TargetMode="External"/><Relationship Id="rId1331" Type="http://schemas.openxmlformats.org/officeDocument/2006/relationships/hyperlink" Target="https://gagadget.com/en/138343-the-uk-bought-and-repaired-more-than-20-m109-self-propelled-guns-now-they-are-being-sent-to-ukraine/" TargetMode="External"/><Relationship Id="rId68" Type="http://schemas.openxmlformats.org/officeDocument/2006/relationships/hyperlink" Target="https://bmi.gv.at/news.aspx?id=44786F67485A5049462F493D" TargetMode="External"/><Relationship Id="rId1429" Type="http://schemas.openxmlformats.org/officeDocument/2006/relationships/hyperlink" Target="https://www.wfp.org/news/japan-provides-us28-million-humanitarian-food-assistance-ukraine" TargetMode="External"/><Relationship Id="rId284" Type="http://schemas.openxmlformats.org/officeDocument/2006/relationships/hyperlink" Target="https://vm.ee/en/humanitarian-aid-ukraine" TargetMode="External"/><Relationship Id="rId491" Type="http://schemas.openxmlformats.org/officeDocument/2006/relationships/hyperlink" Target="https://www.newyorker.com/magazine/2022/05/16/the-turkish-drone-that-changed-the-nature-of-warfare" TargetMode="External"/><Relationship Id="rId144" Type="http://schemas.openxmlformats.org/officeDocument/2006/relationships/hyperlink" Target="https://www.gov.uk/government/news/pm-announces-major-new-military-support-package-for-ukraine-24-march-2022" TargetMode="External"/><Relationship Id="rId589" Type="http://schemas.openxmlformats.org/officeDocument/2006/relationships/hyperlink" Target="https://www.macaubusiness.com/portugal-country-to-send-further-99-t-medical-military-equipment-to-ukraine/" TargetMode="External"/><Relationship Id="rId796" Type="http://schemas.openxmlformats.org/officeDocument/2006/relationships/hyperlink" Target="https://www.defense.gov/News/Releases/Release/Article/2987119/defense-department-announces-300-million-in-additional-assistance-for-ukraine/" TargetMode="External"/><Relationship Id="rId351" Type="http://schemas.openxmlformats.org/officeDocument/2006/relationships/hyperlink" Target="https://www.gov.uk/government/publications/world-bank-spring-meetings-2022-uk-governors-statement/world-bank-spring-meetings-2022-uk-governors-statement" TargetMode="External"/><Relationship Id="rId449" Type="http://schemas.openxmlformats.org/officeDocument/2006/relationships/hyperlink" Target="https://appropriations.house.gov/sites/democrats.appropriations.house.gov/files/Additional%20Ukraine%20Suplemental%20Appropriations%20Act%20Summary.pdf" TargetMode="External"/><Relationship Id="rId656" Type="http://schemas.openxmlformats.org/officeDocument/2006/relationships/hyperlink" Target="https://www.gov.uk/government/speeches/defence-secretary-statement-to-the-house-of-commons-on-ukraine-9-march-2022" TargetMode="External"/><Relationship Id="rId863" Type="http://schemas.openxmlformats.org/officeDocument/2006/relationships/hyperlink" Target="https://www.minister.defence.gov.au/minister/rmarles/media-releases/australia-increases-support-ukraine" TargetMode="External"/><Relationship Id="rId1079" Type="http://schemas.openxmlformats.org/officeDocument/2006/relationships/hyperlink" Target="https://balticguide.ee/en/estonia-donates-12-buses-to-ukraine-to-help-restore-transport-links-in-the-country/" TargetMode="External"/><Relationship Id="rId1286" Type="http://schemas.openxmlformats.org/officeDocument/2006/relationships/hyperlink" Target="https://gemeindebund.at/gemeinden-blaulichtorganisationen-und-unternehmen-helfen-der-ukraine/" TargetMode="External"/><Relationship Id="rId1493" Type="http://schemas.openxmlformats.org/officeDocument/2006/relationships/hyperlink" Target="https://www.mil.gov.ua/en/news/2022/11/15/russia-is-told-about-peace-it-responds-with-missiles-address-by-the-president-of-ukraine/" TargetMode="External"/><Relationship Id="rId211" Type="http://schemas.openxmlformats.org/officeDocument/2006/relationships/hyperlink" Target="https://valtioneuvosto.fi/en/-/1410869/finland-sent-additional-civilian-material-assistance-to-ukraine-and-moldova" TargetMode="External"/><Relationship Id="rId309" Type="http://schemas.openxmlformats.org/officeDocument/2006/relationships/hyperlink" Target="https://www.regjeringen.no/en/aktuelt/air-defense-system-to-ukraine/id2908807/" TargetMode="External"/><Relationship Id="rId516" Type="http://schemas.openxmlformats.org/officeDocument/2006/relationships/hyperlink" Target="https://twitter.com/ZelenskyyUa/status/1527221083979620352" TargetMode="External"/><Relationship Id="rId1146" Type="http://schemas.openxmlformats.org/officeDocument/2006/relationships/hyperlink" Target="https://pl.usembassy.gov/1billion_assistance_ukraine/" TargetMode="External"/><Relationship Id="rId723" Type="http://schemas.openxmlformats.org/officeDocument/2006/relationships/hyperlink" Target="https://en.defence-ua.com/industries/czechia_sends_ukraine_mi_24_attack_helicopters-3051.html" TargetMode="External"/><Relationship Id="rId930" Type="http://schemas.openxmlformats.org/officeDocument/2006/relationships/hyperlink" Target="https://www.connexionfrance.com/article/French-news/Humanitarian-ship-for-Ukraine-leaves-French-port-with-8m-of-aid" TargetMode="External"/><Relationship Id="rId1006" Type="http://schemas.openxmlformats.org/officeDocument/2006/relationships/hyperlink" Target="https://www.ukrinform.net/rubric-society/3474985-austria-allocates-another-42m-in-humanitarian-aid-to-ukraine.html" TargetMode="External"/><Relationship Id="rId1353" Type="http://schemas.openxmlformats.org/officeDocument/2006/relationships/hyperlink" Target="https://crsreports.congress.gov/product/pdf/IF/IF12040" TargetMode="External"/><Relationship Id="rId1213" Type="http://schemas.openxmlformats.org/officeDocument/2006/relationships/hyperlink" Target="https://english.kyodonews.net/news/2022/04/00e4cd64dc1c-japan-to-offer-protective-masks-clothing-drones-to-ukraine.html" TargetMode="External"/><Relationship Id="rId1420" Type="http://schemas.openxmlformats.org/officeDocument/2006/relationships/hyperlink" Target="https://www.defensa.gob.es/gabinete/notasPrensa/2022/10/DGC-221006-envio-ucrania.html" TargetMode="External"/><Relationship Id="rId17" Type="http://schemas.openxmlformats.org/officeDocument/2006/relationships/hyperlink" Target="https://telex.hu/kulfold/2022/02/27/magyarorszag-100-ezer-liter-uzemanyagot-adomanyozott-karpataljanak" TargetMode="External"/><Relationship Id="rId166" Type="http://schemas.openxmlformats.org/officeDocument/2006/relationships/hyperlink" Target="https://www.whitehouse.gov/briefing-room/speeches-remarks/2022/02/18/remarks-by-president-biden-providing-an-update-on-russia-and-ukraine-2/" TargetMode="External"/><Relationship Id="rId373" Type="http://schemas.openxmlformats.org/officeDocument/2006/relationships/hyperlink" Target="https://www.ukrinform.net/rubric-ato/3488287-canada-to-provide-cad-9m-in-humanitarian-aid-to-ukraine.html" TargetMode="External"/><Relationship Id="rId580" Type="http://schemas.openxmlformats.org/officeDocument/2006/relationships/hyperlink" Target="https://www-forsvaret-no.translate.goog/aktuelt-og-presse/aktuelt/sender-militaerutstyr-og-vapen-til-ukraina?_x_tr_sl=auto&amp;_x_tr_tl=auto&amp;_x_tr_hl=de" TargetMode="External"/><Relationship Id="rId1" Type="http://schemas.openxmlformats.org/officeDocument/2006/relationships/hyperlink" Target="https://www.diplomatie.gouv.fr/en/country-files/ukraine/news/article/ukraine-france-steps-up-humanitarian-relief-efforts-for-ukraine-10-mar-2022" TargetMode="External"/><Relationship Id="rId233" Type="http://schemas.openxmlformats.org/officeDocument/2006/relationships/hyperlink" Target="https://news.az/news/lithuania-supplies-another-batch-of-weapons-to-ukraine" TargetMode="External"/><Relationship Id="rId440" Type="http://schemas.openxmlformats.org/officeDocument/2006/relationships/hyperlink" Target="https://www.cbc.ca/news/politics/ukraine-m777-howitzer-russia-heavy-artillery-1.6427762" TargetMode="External"/><Relationship Id="rId678" Type="http://schemas.openxmlformats.org/officeDocument/2006/relationships/hyperlink" Target="https://intermin.fi/en/ukraine/civilian-assistance-to-ukraine" TargetMode="External"/><Relationship Id="rId885" Type="http://schemas.openxmlformats.org/officeDocument/2006/relationships/hyperlink" Target="https://um.fi/press-releases/-/asset_publisher/ued5t2wDmr1C/content/suomelta-humanitaarista-apua-valiaikaisia-asuntoja-seka-julkisen-hallinnon-tukea-ukrainaan/35732" TargetMode="External"/><Relationship Id="rId1070" Type="http://schemas.openxmlformats.org/officeDocument/2006/relationships/hyperlink" Target="https://www.diplomatie.gouv.fr/en/country-files/ukraine/news/article/ukraine-catherine-colonna-to-attend-the-launch-of-solidarity-operation-un" TargetMode="External"/><Relationship Id="rId300" Type="http://schemas.openxmlformats.org/officeDocument/2006/relationships/hyperlink" Target="https://www.24sata.hr/news/solidarnost-hrvatska-donirala-5-mil-eura-za-pomoc-ukrajini-833624" TargetMode="External"/><Relationship Id="rId538"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745" Type="http://schemas.openxmlformats.org/officeDocument/2006/relationships/hyperlink" Target="https://rmx.news/poland/polish-army-to-order-additional-piorun-anti-air-missiles-after-the-weapon-outperforms-on-ukrainian-battlefield/" TargetMode="External"/><Relationship Id="rId952" Type="http://schemas.openxmlformats.org/officeDocument/2006/relationships/hyperlink" Target="https://www.defense.gov/News/Releases/Release/Article/3134457/775-million-in-additional-security-assistance-for-ukraine/" TargetMode="External"/><Relationship Id="rId1168" Type="http://schemas.openxmlformats.org/officeDocument/2006/relationships/hyperlink" Target="https://sum.dk/nyheder/2022/marts/danmark-donerer-medicin-og-medicinsk-udstyr-til-ukraine" TargetMode="External"/><Relationship Id="rId1375" Type="http://schemas.openxmlformats.org/officeDocument/2006/relationships/hyperlink" Target="https://www.whitehouse.gov/briefing-room/press-briefings/2022/10/04/press-briefing-by-press-secretary-karine-jean-pierre-october-4-2022/" TargetMode="External"/><Relationship Id="rId81" Type="http://schemas.openxmlformats.org/officeDocument/2006/relationships/hyperlink" Target="https://www.canada.ca/en/department-national-defence/news/2022/01/canada-extends-and-expands-military-and-other-support-for-the-security-of-ukraine.html" TargetMode="External"/><Relationship Id="rId605" Type="http://schemas.openxmlformats.org/officeDocument/2006/relationships/hyperlink" Target="https://www.thedefensepost.com/2022/04/19/us-arms-arrive-ukraine/" TargetMode="External"/><Relationship Id="rId812" Type="http://schemas.openxmlformats.org/officeDocument/2006/relationships/hyperlink" Target="https://balkaninsight.com/2022/06/07/we-have-done-enough-bulgaria-rejects-ukraines-plea-for-heavy-weapons/" TargetMode="External"/><Relationship Id="rId1028" Type="http://schemas.openxmlformats.org/officeDocument/2006/relationships/hyperlink" Target="https://en.interfax.com.ua/news/general/859303.html" TargetMode="External"/><Relationship Id="rId1235" Type="http://schemas.openxmlformats.org/officeDocument/2006/relationships/hyperlink" Target="https://www.thedrive.com/the-war-zone/ukraine-to-get-90-t-72b-tanks-from-czech-republic" TargetMode="External"/><Relationship Id="rId1442" Type="http://schemas.openxmlformats.org/officeDocument/2006/relationships/hyperlink" Target="https://kaitseministeerium.ee/en/news/estonia-sending-ukraine-ammunition-and-equipment" TargetMode="External"/><Relationship Id="rId1302" Type="http://schemas.openxmlformats.org/officeDocument/2006/relationships/hyperlink" Target="https://twitter.com/a_anusauskas/status/1575131983499362304" TargetMode="External"/><Relationship Id="rId39" Type="http://schemas.openxmlformats.org/officeDocument/2006/relationships/hyperlink" Target="https://ba.n1info.com/english/news/croatia-sends-emergency-aid-worth-e1-2m-to-ukraine-in-wake-of-russias-invasion/" TargetMode="External"/><Relationship Id="rId188" Type="http://schemas.openxmlformats.org/officeDocument/2006/relationships/hyperlink" Target="https://twitter.com/MZZRS/status/1511723242939105281" TargetMode="External"/><Relationship Id="rId395" Type="http://schemas.openxmlformats.org/officeDocument/2006/relationships/hyperlink" Target="https://www.youtube.com/watch?v=A1nTsblXabc" TargetMode="External"/><Relationship Id="rId255" Type="http://schemas.openxmlformats.org/officeDocument/2006/relationships/hyperlink" Target="https://www.townsvillebulletin.com.au/news/national/france-to-increase-ukraine-financial-aid-by-300-mln/video/2374a117e7e4337e8832c3be6c744260" TargetMode="External"/><Relationship Id="rId462" Type="http://schemas.openxmlformats.org/officeDocument/2006/relationships/hyperlink" Target="https://www.thedefensepost.com/2022/04/19/us-arms-arrive-ukraine/" TargetMode="External"/><Relationship Id="rId1092" Type="http://schemas.openxmlformats.org/officeDocument/2006/relationships/hyperlink" Target="https://mil.in.ua/en/news/estonia-handed-over-the-second-modern-mobile-hospital-to-the-ukrainian-army/" TargetMode="External"/><Relationship Id="rId1397" Type="http://schemas.openxmlformats.org/officeDocument/2006/relationships/hyperlink" Target="https://www.bundesregierung.de/breg-de/themen/krieg-in-der-ukraine/lieferungen-ukraine-2054514" TargetMode="External"/><Relationship Id="rId115" Type="http://schemas.openxmlformats.org/officeDocument/2006/relationships/hyperlink" Target="https://twitter.com/eduardheger/status/1499479828218658819" TargetMode="External"/><Relationship Id="rId322" Type="http://schemas.openxmlformats.org/officeDocument/2006/relationships/hyperlink" Target="https://www.aa.com.tr/en/russia-ukraine-war/new-zealand-announces-13m-additional-aid-for-ukraine/2560551" TargetMode="External"/><Relationship Id="rId767" Type="http://schemas.openxmlformats.org/officeDocument/2006/relationships/hyperlink" Target="https://www.total-slovenia-news.com/politics/10138-slovenia-moves-from-military-to-humanitarian-aid-for-ukraine" TargetMode="External"/><Relationship Id="rId974" Type="http://schemas.openxmlformats.org/officeDocument/2006/relationships/hyperlink" Target="https://www.defense.gov/News/Releases/Release/Article/3160503/600-million-in-additional-security-assistance-for-ukraine/" TargetMode="External"/><Relationship Id="rId627" Type="http://schemas.openxmlformats.org/officeDocument/2006/relationships/hyperlink" Target="https://www.defense.gov/News/Releases/Release/Article/3007664/fact-sheet-on-us-security-assistance-for-ukraine-roll-up-as-of-april-21-2022/" TargetMode="External"/><Relationship Id="rId834" Type="http://schemas.openxmlformats.org/officeDocument/2006/relationships/hyperlink" Target="https://mil.in.ua/en/news/ukraine-receives-pt-91-twardy-tanks-from-poland/" TargetMode="External"/><Relationship Id="rId1257" Type="http://schemas.openxmlformats.org/officeDocument/2006/relationships/hyperlink" Target="https://www.euractiv.com/section/all/short_news/france-announces-increased-military-aid-to-ukraine/" TargetMode="External"/><Relationship Id="rId1464" Type="http://schemas.openxmlformats.org/officeDocument/2006/relationships/hyperlink" Target="https://www.france24.com/en/europe/20221007-macron-announces-%E2%82%AC100-million-fund-for-ukraine-to-buy-arms" TargetMode="External"/><Relationship Id="rId901" Type="http://schemas.openxmlformats.org/officeDocument/2006/relationships/hyperlink" Target="https://www.reuters.com/world/europe/swedish-pm-sets-out-further-military-aid-package-ukraine-2022-08-29/" TargetMode="External"/><Relationship Id="rId1117" Type="http://schemas.openxmlformats.org/officeDocument/2006/relationships/hyperlink" Target="https://www.army-technology.com/news/germany-norway-denmark-zuzana2-ukraine/" TargetMode="External"/><Relationship Id="rId1324" Type="http://schemas.openxmlformats.org/officeDocument/2006/relationships/hyperlink" Target="https://www.gov.uk/government/speeches/pm-opening-remarks-at-press-conference-with-german-chancellor-olaf-scholz-8-april-2022" TargetMode="External"/><Relationship Id="rId30" Type="http://schemas.openxmlformats.org/officeDocument/2006/relationships/hyperlink" Target="https://ua.interfax.com.ua/news/general/804360.html" TargetMode="External"/><Relationship Id="rId277" Type="http://schemas.openxmlformats.org/officeDocument/2006/relationships/hyperlink" Target="https://www.gov.uk/government/news/uk-sets-out-new-multi-million-dollar-economic-package-of-support-for-ukraine" TargetMode="External"/><Relationship Id="rId484" Type="http://schemas.openxmlformats.org/officeDocument/2006/relationships/hyperlink" Target="https://www.reuters.com/world/europe/slovakia-says-it-delivered-air-defence-anti-tank-rockets-ukraine-2022-02-28/" TargetMode="External"/></Relationships>
</file>

<file path=xl/worksheets/_rels/sheet31.xml.rels><?xml version="1.0" encoding="UTF-8" standalone="yes"?>
<Relationships xmlns="http://schemas.openxmlformats.org/package/2006/relationships"><Relationship Id="rId117" Type="http://schemas.openxmlformats.org/officeDocument/2006/relationships/hyperlink" Target="https://www.asafm.army.mil/Portals/72/Documents/BudgetMaterial/2021/Base%20Budget/Procurement/MSLS_FY_2021_PB_Missile_Procurement_Army.pdf" TargetMode="External"/><Relationship Id="rId299" Type="http://schemas.openxmlformats.org/officeDocument/2006/relationships/hyperlink" Target="https://mil.in.ua/en/news/germany-plans-to-supply-ukraine-with-cobra-counter-battery-radars/" TargetMode="External"/><Relationship Id="rId21" Type="http://schemas.openxmlformats.org/officeDocument/2006/relationships/hyperlink" Target="https://en.wikipedia.org/wiki/FIM-92_Stinger" TargetMode="External"/><Relationship Id="rId63" Type="http://schemas.openxmlformats.org/officeDocument/2006/relationships/hyperlink" Target="https://www.airuniversity.af.edu/Portals/10/ASPJ/journals/Chronicles/ucav.pdf" TargetMode="External"/><Relationship Id="rId159" Type="http://schemas.openxmlformats.org/officeDocument/2006/relationships/hyperlink" Target="https://www.alibaba.com/product-detail/Dust-and-Water-Proof-Military-Radio_62087839225.html?spm=a2700.7724857.normal_offer.d_title.6a042a44heUWWl" TargetMode="External"/><Relationship Id="rId324" Type="http://schemas.openxmlformats.org/officeDocument/2006/relationships/hyperlink" Target="http://www.military-today.com/firearms/m72_law.htm" TargetMode="External"/><Relationship Id="rId366" Type="http://schemas.openxmlformats.org/officeDocument/2006/relationships/hyperlink" Target="https://getnightride.com/blogs/nightride-blog/best-thermal-imaging-camera-value" TargetMode="External"/><Relationship Id="rId170" Type="http://schemas.openxmlformats.org/officeDocument/2006/relationships/hyperlink" Target="https://www.extension.iastate.edu/agdm/crops/pdf/a1-20.pdf" TargetMode="External"/><Relationship Id="rId226" Type="http://schemas.openxmlformats.org/officeDocument/2006/relationships/hyperlink" Target="https://www.thefirearmblog.com/blog/2008/12/05/40mm-m320-grenade-launcher-will-be-replace-m203-next-year/%20;%20https:/web.archive.org/web/20110723004716/http:/www.airtronic.net/documents/Delivery_Order.pdf" TargetMode="External"/><Relationship Id="rId268" Type="http://schemas.openxmlformats.org/officeDocument/2006/relationships/hyperlink" Target="https://armstrade.sipri.org/armstrade/page/trade_register.php" TargetMode="External"/><Relationship Id="rId32" Type="http://schemas.openxmlformats.org/officeDocument/2006/relationships/hyperlink" Target="https://www.221btactical.com/blogs/news/how-much-does-a-bulletproof-vest-cost" TargetMode="External"/><Relationship Id="rId74" Type="http://schemas.openxmlformats.org/officeDocument/2006/relationships/hyperlink" Target="https://www.usmilitarytents.com/Military-Tents.aspx" TargetMode="External"/><Relationship Id="rId128" Type="http://schemas.openxmlformats.org/officeDocument/2006/relationships/hyperlink" Target="https://www.amazon.de/-/en/Paracetamol-ratiopharm-500-Tablets-Pack-20/dp/B00DIW2WMQ" TargetMode="External"/><Relationship Id="rId335" Type="http://schemas.openxmlformats.org/officeDocument/2006/relationships/hyperlink" Target="https://en.wikipedia.org/wiki/M240_machine_gun" TargetMode="External"/><Relationship Id="rId377" Type="http://schemas.openxmlformats.org/officeDocument/2006/relationships/hyperlink" Target="https://www.marketwatch.com/story/new-army-trucks-may-cost-350000-each-gao-2011-10-27" TargetMode="External"/><Relationship Id="rId5" Type="http://schemas.openxmlformats.org/officeDocument/2006/relationships/hyperlink" Target="https://www.armytimes.com/news/your-army/2019/04/16/heres-the-new-helmet-that-socom-operators-will-take-into-battle/" TargetMode="External"/><Relationship Id="rId181" Type="http://schemas.openxmlformats.org/officeDocument/2006/relationships/hyperlink" Target="https://bid.mod-sales.com/past-auctions/witham10068/lot-details/6d39eb58-c1df-41ce-8aa4-a9430101ac64" TargetMode="External"/><Relationship Id="rId237" Type="http://schemas.openxmlformats.org/officeDocument/2006/relationships/hyperlink" Target="https://armstrade.sipri.org/armstrade/page/trade_register.php" TargetMode="External"/><Relationship Id="rId279" Type="http://schemas.openxmlformats.org/officeDocument/2006/relationships/hyperlink" Target="https://taskandpurpose.com/news/ac-130-gunship-105mm-cannon/" TargetMode="External"/><Relationship Id="rId43" Type="http://schemas.openxmlformats.org/officeDocument/2006/relationships/hyperlink" Target="https://landminefree.org/facts-about-landmines/" TargetMode="External"/><Relationship Id="rId139" Type="http://schemas.openxmlformats.org/officeDocument/2006/relationships/hyperlink" Target="https://realestate.usnews.com/real-estate/articles/how-much-does-it-cost-to-buy-a-mobile-home" TargetMode="External"/><Relationship Id="rId290" Type="http://schemas.openxmlformats.org/officeDocument/2006/relationships/hyperlink" Target="https://www.frazerbilt.com/blog-ambulance-cost/" TargetMode="External"/><Relationship Id="rId304" Type="http://schemas.openxmlformats.org/officeDocument/2006/relationships/hyperlink" Target="https://www.dsca.mil/press-media/major-arms-sales/finland-guided-multiple-launch-rocket-system-gmlrs-m31a1-unitary-and" TargetMode="External"/><Relationship Id="rId346" Type="http://schemas.openxmlformats.org/officeDocument/2006/relationships/hyperlink" Target="https://armstrade.sipri.org/armstrade/page/trade_register.php" TargetMode="External"/><Relationship Id="rId388" Type="http://schemas.openxmlformats.org/officeDocument/2006/relationships/hyperlink" Target="https://armstrade.sipri.org/armstrade/page/trade_register.php" TargetMode="External"/><Relationship Id="rId85" Type="http://schemas.openxmlformats.org/officeDocument/2006/relationships/hyperlink" Target="https://colemans.com/u-s-g-i-modular-field-kitchen" TargetMode="External"/><Relationship Id="rId150" Type="http://schemas.openxmlformats.org/officeDocument/2006/relationships/hyperlink" Target="https://www.ammograb.com/762x51mm-nato/" TargetMode="External"/><Relationship Id="rId192" Type="http://schemas.openxmlformats.org/officeDocument/2006/relationships/hyperlink" Target="https://twitter.com/armorybazaar/status/1076159928287473665" TargetMode="External"/><Relationship Id="rId206" Type="http://schemas.openxmlformats.org/officeDocument/2006/relationships/hyperlink" Target="https://www.ers.usda.gov/publications/pub-details/?pubid=43836" TargetMode="External"/><Relationship Id="rId248" Type="http://schemas.openxmlformats.org/officeDocument/2006/relationships/hyperlink" Target="https://www.ukrinform.net/rubric-ato/3491327-canada-to-give-ukraine-over-20000-155-mm-shells.html" TargetMode="External"/><Relationship Id="rId12" Type="http://schemas.openxmlformats.org/officeDocument/2006/relationships/hyperlink" Target="https://www.worldsdailynews.com/how-much-does-an-ambulance-vehicle-cost/" TargetMode="External"/><Relationship Id="rId108" Type="http://schemas.openxmlformats.org/officeDocument/2006/relationships/hyperlink" Target="https://www.globalpetrolprices.com/gasoline_prices/" TargetMode="External"/><Relationship Id="rId315" Type="http://schemas.openxmlformats.org/officeDocument/2006/relationships/hyperlink" Target="https://www.army.mil/article/194221/new_40_mm_grenades_to_enhance_training_readiness" TargetMode="External"/><Relationship Id="rId357" Type="http://schemas.openxmlformats.org/officeDocument/2006/relationships/hyperlink" Target="https://www.ebay.de/itm/261421940408" TargetMode="External"/><Relationship Id="rId54" Type="http://schemas.openxmlformats.org/officeDocument/2006/relationships/hyperlink" Target="https://www.guncritic.com/product/cz-vz-61-scorpion-32acp-blue/" TargetMode="External"/><Relationship Id="rId96" Type="http://schemas.openxmlformats.org/officeDocument/2006/relationships/hyperlink" Target="https://man.fas.org/dod-101/sys/land/at4.htm" TargetMode="External"/><Relationship Id="rId161" Type="http://schemas.openxmlformats.org/officeDocument/2006/relationships/hyperlink" Target="https://www.amazon.com/-/de/dp/B07SMXN8PR/ref=zg_bs_3413661_2/139-2167500-7694641?pd_rd_i=B09VBX2J8P&amp;th=1" TargetMode="External"/><Relationship Id="rId217" Type="http://schemas.openxmlformats.org/officeDocument/2006/relationships/hyperlink" Target="https://www.militarytimes.com/off-duty/gearscout/2012/04/21/u-s-army-places-order-for-24000-m4a1-carbines-with-remington/" TargetMode="External"/><Relationship Id="rId399" Type="http://schemas.openxmlformats.org/officeDocument/2006/relationships/hyperlink" Target="https://comptroller.defense.gov/Portals/45/Documents/defbudget/fy2021/fy2021_p1.pdf" TargetMode="External"/><Relationship Id="rId259" Type="http://schemas.openxmlformats.org/officeDocument/2006/relationships/hyperlink" Target="https://armstrade.sipri.org/armstrade/page/trade_register.php" TargetMode="External"/><Relationship Id="rId23" Type="http://schemas.openxmlformats.org/officeDocument/2006/relationships/hyperlink" Target="https://www.militarytimes.com/off-duty/gearscout/2012/04/21/u-s-army-places-order-for-24000-m4a1-carbines-with-remington/" TargetMode="External"/><Relationship Id="rId119" Type="http://schemas.openxmlformats.org/officeDocument/2006/relationships/hyperlink" Target="https://nationalpost.com/news/canada/canadian-army-restricts-use-of-artillery-rounds-after-cracks-found-in-high-tech-shells-costing-150000-each" TargetMode="External"/><Relationship Id="rId270" Type="http://schemas.openxmlformats.org/officeDocument/2006/relationships/hyperlink" Target="https://www.fiercepharma.com/pharma/pfizer-eyes-higher-covid-19-vaccine-prices-after-pandemic-exec-analyst" TargetMode="External"/><Relationship Id="rId326" Type="http://schemas.openxmlformats.org/officeDocument/2006/relationships/hyperlink" Target="https://www.canada.ca/en/department-national-defence/news/2022/05/defence-minister-anita-anand-announces-additional-military-aid-for-ukraine.html" TargetMode="External"/><Relationship Id="rId65" Type="http://schemas.openxmlformats.org/officeDocument/2006/relationships/hyperlink" Target="https://dronelife.com/2016/08/17/xtreem-affordable-hd-video-drones/" TargetMode="External"/><Relationship Id="rId130" Type="http://schemas.openxmlformats.org/officeDocument/2006/relationships/hyperlink" Target="https://www.amazon.com/Radios-Portable-Audio-Video/b?ie=UTF8&amp;node=172681" TargetMode="External"/><Relationship Id="rId368" Type="http://schemas.openxmlformats.org/officeDocument/2006/relationships/hyperlink" Target="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 TargetMode="External"/><Relationship Id="rId172" Type="http://schemas.openxmlformats.org/officeDocument/2006/relationships/hyperlink" Target="https://www.navalnews.com/naval-news/2021/01/u-s-navy-will-not-replace-the-patrol-coastals-with-a-new-boat-of-similar-size-and-type/" TargetMode="External"/><Relationship Id="rId228" Type="http://schemas.openxmlformats.org/officeDocument/2006/relationships/hyperlink" Target="https://mil.in.ua/en/news/germany-agreed-to-sell-100-panzerhaubitze-2000-to-ukraine/" TargetMode="External"/><Relationship Id="rId281" Type="http://schemas.openxmlformats.org/officeDocument/2006/relationships/hyperlink" Target="https://www.amazon.com/s?k=military+binoculars&amp;crid=3T1LN1ST9UR4L&amp;sprefix=military+binoculars%2Caps%2C161&amp;ref=nb_sb_noss_1" TargetMode="External"/><Relationship Id="rId337" Type="http://schemas.openxmlformats.org/officeDocument/2006/relationships/hyperlink" Target="https://www.jeep.com/wrangler.html" TargetMode="External"/><Relationship Id="rId34" Type="http://schemas.openxmlformats.org/officeDocument/2006/relationships/hyperlink" Target="https://www.thefirearmblog.com/blog/2013/01/08/the-fn-fnc-affordable-select-fire-5-56/" TargetMode="External"/><Relationship Id="rId76" Type="http://schemas.openxmlformats.org/officeDocument/2006/relationships/hyperlink" Target="https://thecostguys.com/home/average-cost-of-a-weighted-blanket" TargetMode="External"/><Relationship Id="rId141" Type="http://schemas.openxmlformats.org/officeDocument/2006/relationships/hyperlink" Target="https://www.strategypage.com/htmw/htweap/20141105.aspx" TargetMode="External"/><Relationship Id="rId379" Type="http://schemas.openxmlformats.org/officeDocument/2006/relationships/hyperlink" Target="https://www.peterdutton.com.au/australia-to-provide-armoured-personnel-carriers-and-more-bushmasters-to-ukraine/" TargetMode="External"/><Relationship Id="rId7" Type="http://schemas.openxmlformats.org/officeDocument/2006/relationships/hyperlink" Target="https://www.militarysurplus.eu/product-eng-43337-Medical-Stretcher-Romanian-Army-Litter-Military-Surplus.html" TargetMode="External"/><Relationship Id="rId183" Type="http://schemas.openxmlformats.org/officeDocument/2006/relationships/hyperlink" Target="https://www.amazon.com/s?k=kn95+face+masks&amp;sprefix=k%2Caps%2C169&amp;ref=nb_sb_ss_pltr-ranker-10hours_1_1" TargetMode="External"/><Relationship Id="rId239" Type="http://schemas.openxmlformats.org/officeDocument/2006/relationships/hyperlink" Target="https://armstrade.sipri.org/armstrade/page/trade_register.php" TargetMode="External"/><Relationship Id="rId390" Type="http://schemas.openxmlformats.org/officeDocument/2006/relationships/hyperlink" Target="https://web.archive.org/web/20150518063830/http:/defense-update.com/products/d/dingo-kmw.htm" TargetMode="External"/><Relationship Id="rId250" Type="http://schemas.openxmlformats.org/officeDocument/2006/relationships/hyperlink" Target="https://books.google.de/books?id=QYrfAAAAMAAJ&amp;pg=RA1-SA1-PA44&amp;lpg=RA1-SA1-PA44&amp;dq=price+125mm+HE+round&amp;source=bl&amp;ots=fdolBJFyKm&amp;sig=ACfU3U01l_fXbBfPdno46XHbd5W7HMx4Hg&amp;hl=en&amp;sa=X&amp;ved=2ahUKEwibv-ulyrz5AhWVVfEDHQQSC4IQ6AF6BAgbEAM" TargetMode="External"/><Relationship Id="rId292" Type="http://schemas.openxmlformats.org/officeDocument/2006/relationships/hyperlink" Target="https://autoline.info/-/buses/IVECO/Crossway--c65tm2616m1238" TargetMode="External"/><Relationship Id="rId306" Type="http://schemas.openxmlformats.org/officeDocument/2006/relationships/hyperlink" Target="https://armstrade.sipri.org/armstrade/page/trade_register.php" TargetMode="External"/><Relationship Id="rId45" Type="http://schemas.openxmlformats.org/officeDocument/2006/relationships/hyperlink" Target="https://sprengtechnik.de/zerstoerung-von-festplatten-durch-sprengung/" TargetMode="External"/><Relationship Id="rId87" Type="http://schemas.openxmlformats.org/officeDocument/2006/relationships/hyperlink" Target="https://www.operationmilitarykids.org/best-tactical-gloves/" TargetMode="External"/><Relationship Id="rId110" Type="http://schemas.openxmlformats.org/officeDocument/2006/relationships/hyperlink" Target="https://tapportals.mk.gov.lv/legal_acts/4cc2e5ed-8d7f-4052-8aaa-9a3a1d472b7d" TargetMode="External"/><Relationship Id="rId348" Type="http://schemas.openxmlformats.org/officeDocument/2006/relationships/hyperlink" Target="https://www.canada.ca/en/department-national-defence/campaigns/canadian-military-support-to-ukraine.html" TargetMode="External"/><Relationship Id="rId152" Type="http://schemas.openxmlformats.org/officeDocument/2006/relationships/hyperlink" Target="https://www.ammograb.com/762x51mm-nato/" TargetMode="External"/><Relationship Id="rId194" Type="http://schemas.openxmlformats.org/officeDocument/2006/relationships/hyperlink" Target="https://www.thedefensepost.com/2022/05/03/lockheed-ramp-up-javelin-production/" TargetMode="External"/><Relationship Id="rId208" Type="http://schemas.openxmlformats.org/officeDocument/2006/relationships/hyperlink" Target="https://es.wikipedia.org/wiki/RG-31_Nyala" TargetMode="External"/><Relationship Id="rId261" Type="http://schemas.openxmlformats.org/officeDocument/2006/relationships/hyperlink" Target="https://armstrade.sipri.org/armstrade/page/trade_register.php" TargetMode="External"/><Relationship Id="rId14" Type="http://schemas.openxmlformats.org/officeDocument/2006/relationships/hyperlink" Target="https://firefighterinsider.com/fire-truck-engine-apparatus-cost/" TargetMode="External"/><Relationship Id="rId56" Type="http://schemas.openxmlformats.org/officeDocument/2006/relationships/hyperlink" Target="https://sofrep.com/news/an-introduction-to-the-an-mpq-64-sentinel-aerial-surveillance-radar-ukraine-is-getting-from-the-us/" TargetMode="External"/><Relationship Id="rId317" Type="http://schemas.openxmlformats.org/officeDocument/2006/relationships/hyperlink" Target="https://www.bw-online-shop.com/outdoor/outdoorkueche/verpflegung/epa-einmannpackung-typ-2.html" TargetMode="External"/><Relationship Id="rId359" Type="http://schemas.openxmlformats.org/officeDocument/2006/relationships/hyperlink" Target="https://www.jpost.com/international/article-699010" TargetMode="External"/><Relationship Id="rId98" Type="http://schemas.openxmlformats.org/officeDocument/2006/relationships/hyperlink" Target="https://www.newcivilengineer.com/latest/hammersmith-bridge-tfl-took-six-months-to-provide-info-on-temporary-crossing-09-09-2020/" TargetMode="External"/><Relationship Id="rId121" Type="http://schemas.openxmlformats.org/officeDocument/2006/relationships/hyperlink" Target="https://www.defense.gov/News/Releases/Release/Article/3102984/270-million-in-additional-security-assistance-for-ukraine/" TargetMode="External"/><Relationship Id="rId163" Type="http://schemas.openxmlformats.org/officeDocument/2006/relationships/hyperlink" Target="https://nationalpost.com/news/canada/canadian-army-restricts-use-of-artillery-rounds-after-cracks-found-in-high-tech-shells-costing-150000-each" TargetMode="External"/><Relationship Id="rId219" Type="http://schemas.openxmlformats.org/officeDocument/2006/relationships/hyperlink" Target="http://www.military-today.com/artillery/fh_70.htm" TargetMode="External"/><Relationship Id="rId370" Type="http://schemas.openxmlformats.org/officeDocument/2006/relationships/hyperlink" Target="https://www.worldsdailynews.com/how-much-does-an-ambulance-vehicle-cost/" TargetMode="External"/><Relationship Id="rId230" Type="http://schemas.openxmlformats.org/officeDocument/2006/relationships/hyperlink" Target="http://www.army-guide.com/eng/product3249.html" TargetMode="External"/><Relationship Id="rId25" Type="http://schemas.openxmlformats.org/officeDocument/2006/relationships/hyperlink" Target="https://truegunvalue.com/pistol/sig-p228/price-historical-value/new/2" TargetMode="External"/><Relationship Id="rId67" Type="http://schemas.openxmlformats.org/officeDocument/2006/relationships/hyperlink" Target="http://www.military-today.com/apc/m113a3.htm" TargetMode="External"/><Relationship Id="rId272" Type="http://schemas.openxmlformats.org/officeDocument/2006/relationships/hyperlink" Target="https://www.kyivpost.com/ukraine-politics/u-s-donates-2500-night-vision-devices-ukraines-armed-forces-video.html" TargetMode="External"/><Relationship Id="rId328" Type="http://schemas.openxmlformats.org/officeDocument/2006/relationships/hyperlink" Target="https://en.wikipedia.org/wiki/M240_machine_gun" TargetMode="External"/><Relationship Id="rId132" Type="http://schemas.openxmlformats.org/officeDocument/2006/relationships/hyperlink" Target="https://books.google.de/books?id=yLwfAAAAMAAJ&amp;pg=PA1058&amp;lpg=PA1058&amp;dq=66mm+rocket+cost&amp;source=bl&amp;ots=6R5N48jaub&amp;sig=ACfU3U0WpoNaDz-vvRYJb9J-bD1_tUAxXQ&amp;hl=en&amp;sa=X&amp;ved=2ahUKEwiRzq7f0c_4AhWPRPEDHTv_CPEQ6AF6BAgNEAM" TargetMode="External"/><Relationship Id="rId174" Type="http://schemas.openxmlformats.org/officeDocument/2006/relationships/hyperlink" Target="https://www.outlookindia.com/website/story/india-news-iafs-mi-17v5-all-about-helicopter-that-crashed-carrying-india-first-cds-bipin-rawat/404303" TargetMode="External"/><Relationship Id="rId381" Type="http://schemas.openxmlformats.org/officeDocument/2006/relationships/hyperlink" Target="https://www.augsburger-allgemeine.de/politik/bewaffnete-drohnen-bundeswehr-deutschland-heron-tp-flugkoerper-id62284321.html" TargetMode="External"/><Relationship Id="rId241" Type="http://schemas.openxmlformats.org/officeDocument/2006/relationships/hyperlink" Target="https://www.rferl.org/a/explainer-lrad-sound-cannon/24927845.html" TargetMode="External"/><Relationship Id="rId36" Type="http://schemas.openxmlformats.org/officeDocument/2006/relationships/hyperlink" Target="https://www.medicalpriceonline.com/medical-equipment/patient-monitor/" TargetMode="External"/><Relationship Id="rId283" Type="http://schemas.openxmlformats.org/officeDocument/2006/relationships/hyperlink" Target="https://en.wikipedia.org/wiki/AGM-88_HARM" TargetMode="External"/><Relationship Id="rId339" Type="http://schemas.openxmlformats.org/officeDocument/2006/relationships/hyperlink" Target="https://en.wikipedia.org/wiki/M240_machine_gun" TargetMode="External"/><Relationship Id="rId78" Type="http://schemas.openxmlformats.org/officeDocument/2006/relationships/hyperlink" Target="https://www.freshbooks.com/hub/estimates/how-much-does-it-cost-to-build-a-hospital" TargetMode="External"/><Relationship Id="rId101" Type="http://schemas.openxmlformats.org/officeDocument/2006/relationships/hyperlink" Target="https://www.thedrive.com/the-war-zone/ukraine-to-get-guided-rockets-but-not-ones-able-to-reach-far-into-russia" TargetMode="External"/><Relationship Id="rId143" Type="http://schemas.openxmlformats.org/officeDocument/2006/relationships/hyperlink" Target="https://www.gadgetreview.com/computer-monitor-cost" TargetMode="External"/><Relationship Id="rId185" Type="http://schemas.openxmlformats.org/officeDocument/2006/relationships/hyperlink" Target="https://www.amazon.de/Betten-Schlafzimmer-Wohnen-Lifestyle/b?ie=UTF8&amp;node=343465011" TargetMode="External"/><Relationship Id="rId350" Type="http://schemas.openxmlformats.org/officeDocument/2006/relationships/hyperlink" Target="https://aerocorner.com/aircraft/kamov-ka-32a/" TargetMode="External"/><Relationship Id="rId9" Type="http://schemas.openxmlformats.org/officeDocument/2006/relationships/hyperlink" Target="https://hcpresources.medtronic.com/blog/high-acuity-ventilator-cost-guide" TargetMode="External"/><Relationship Id="rId210" Type="http://schemas.openxmlformats.org/officeDocument/2006/relationships/hyperlink" Target="https://www.strategypage.com/htmw/htweap/articles/20110330.aspx" TargetMode="External"/><Relationship Id="rId392" Type="http://schemas.openxmlformats.org/officeDocument/2006/relationships/hyperlink" Target="https://www.truckscout24.de/sattelzugmaschinen/neu" TargetMode="External"/><Relationship Id="rId252" Type="http://schemas.openxmlformats.org/officeDocument/2006/relationships/hyperlink" Target="https://nationalpost.com/news/canada/canadian-army-restricts-use-of-artillery-rounds-after-cracks-found-in-high-tech-shells-costing-150000-each" TargetMode="External"/><Relationship Id="rId294" Type="http://schemas.openxmlformats.org/officeDocument/2006/relationships/hyperlink" Target="https://en.wikipedia.org/wiki/M982_Excalibur" TargetMode="External"/><Relationship Id="rId308" Type="http://schemas.openxmlformats.org/officeDocument/2006/relationships/hyperlink" Target="http://www.army-guide.com/eng/product3249.html" TargetMode="External"/><Relationship Id="rId47" Type="http://schemas.openxmlformats.org/officeDocument/2006/relationships/hyperlink" Target="https://www.forbes.com/advisor/home-improvement/generator-cost-guide/" TargetMode="External"/><Relationship Id="rId89" Type="http://schemas.openxmlformats.org/officeDocument/2006/relationships/hyperlink" Target="https://www.militarytimes.com/off-duty/gearscout/2022/05/12/panzerfaust-3-the-cold-war-weapon-wrecking-russian-tanks-in-ukraine/" TargetMode="External"/><Relationship Id="rId112" Type="http://schemas.openxmlformats.org/officeDocument/2006/relationships/hyperlink" Target="https://truegunvalue.com/rifle/heckler-koch/g3/price-historical-value-645" TargetMode="External"/><Relationship Id="rId154" Type="http://schemas.openxmlformats.org/officeDocument/2006/relationships/hyperlink" Target="https://www.statista.com/statistics/722992/worldwide-personal-computers-average-selling-price/" TargetMode="External"/><Relationship Id="rId361" Type="http://schemas.openxmlformats.org/officeDocument/2006/relationships/hyperlink" Target="https://www.amazon.com/s?k=surgical+mask&amp;crid=1ROTDHJDQISW0&amp;sprefix=surgical+mas%2Caps%2C175&amp;ref=nb_sb_noss_2" TargetMode="External"/><Relationship Id="rId196" Type="http://schemas.openxmlformats.org/officeDocument/2006/relationships/hyperlink" Target="https://en.wikipedia.org/wiki/FIM-92_Stinger" TargetMode="External"/><Relationship Id="rId16" Type="http://schemas.openxmlformats.org/officeDocument/2006/relationships/hyperlink" Target="https://www.amazon.com/s?k=surgical+mask&amp;crid=1ROTDHJDQISW0&amp;sprefix=surgical+mas%2Caps%2C175&amp;ref=nb_sb_noss_2" TargetMode="External"/><Relationship Id="rId221" Type="http://schemas.openxmlformats.org/officeDocument/2006/relationships/hyperlink" Target="https://armstrade.sipri.org/armstrade/page/trade_register.php" TargetMode="External"/><Relationship Id="rId263" Type="http://schemas.openxmlformats.org/officeDocument/2006/relationships/hyperlink" Target="https://armstrade.sipri.org/armstrade/page/trade_register.php" TargetMode="External"/><Relationship Id="rId319" Type="http://schemas.openxmlformats.org/officeDocument/2006/relationships/hyperlink" Target="https://www.bw-online-shop.com/outdoor/outdoorkueche/verpflegung/epa-einmannpackung-typ-2.html" TargetMode="External"/><Relationship Id="rId58" Type="http://schemas.openxmlformats.org/officeDocument/2006/relationships/hyperlink" Target="https://armstrade.sipri.org/armstrade/page/trade_register.php" TargetMode="External"/><Relationship Id="rId123" Type="http://schemas.openxmlformats.org/officeDocument/2006/relationships/hyperlink" Target="https://www.amazon.com/camping-shower-tent-Sports-Outdoors/s?k=camping+shower+tent&amp;rh=n%3A3375251" TargetMode="External"/><Relationship Id="rId330" Type="http://schemas.openxmlformats.org/officeDocument/2006/relationships/hyperlink" Target="https://engineerine.com/switchblade-will-turn-the-tide-in-ukraine/" TargetMode="External"/><Relationship Id="rId90" Type="http://schemas.openxmlformats.org/officeDocument/2006/relationships/hyperlink" Target="https://www.marketwatch.com/story/new-army-trucks-may-cost-350000-each-gao-2011-10-27" TargetMode="External"/><Relationship Id="rId165" Type="http://schemas.openxmlformats.org/officeDocument/2006/relationships/hyperlink" Target="https://www.augsburger-allgemeine.de/politik/bewaffnete-drohnen-bundeswehr-deutschland-heron-tp-flugkoerper-id62284321.html" TargetMode="External"/><Relationship Id="rId186" Type="http://schemas.openxmlformats.org/officeDocument/2006/relationships/hyperlink" Target="https://www.dronerush.com/drone-price-how-much-do-drones-cost-21540/" TargetMode="External"/><Relationship Id="rId351" Type="http://schemas.openxmlformats.org/officeDocument/2006/relationships/hyperlink" Target="https://armstrade.sipri.org/armstrade/page/trade_register.php" TargetMode="External"/><Relationship Id="rId372" Type="http://schemas.openxmlformats.org/officeDocument/2006/relationships/hyperlink" Target="https://en.wikipedia.org/wiki/Advanced_Precision_Kill_Weapon_System" TargetMode="External"/><Relationship Id="rId393" Type="http://schemas.openxmlformats.org/officeDocument/2006/relationships/hyperlink" Target="http://www.army-guide.com/eng/product4033.html" TargetMode="External"/><Relationship Id="rId211" Type="http://schemas.openxmlformats.org/officeDocument/2006/relationships/hyperlink" Target="https://nationalinterest.org/blog/buzz/czech-military-adopt-new-small-arms-including-fn-minimi-machine-guns-198826" TargetMode="External"/><Relationship Id="rId232" Type="http://schemas.openxmlformats.org/officeDocument/2006/relationships/hyperlink" Target="https://www.defensie.nl/onderwerpen/materieel/bewapening/accuracy-antipersoneel-snipergeweer-7.62mm%20,%20https:/www.guncritic.com/product/accuracy-international-ax308/%20,%20https:/www.guncritic.com/product/accuracy-international-ax338/" TargetMode="External"/><Relationship Id="rId253" Type="http://schemas.openxmlformats.org/officeDocument/2006/relationships/hyperlink" Target="https://gagadget.com/en/war/145017-ukrainian-military-launch-of-one-himars-missile-costs-150000-and-a-full-launch-costs-1000000/" TargetMode="External"/><Relationship Id="rId274" Type="http://schemas.openxmlformats.org/officeDocument/2006/relationships/hyperlink" Target="https://firefighterinsider.com/fire-truck-engine-apparatus-cost/" TargetMode="External"/><Relationship Id="rId295" Type="http://schemas.openxmlformats.org/officeDocument/2006/relationships/hyperlink" Target="https://www.asafm.army.mil/Portals/72/Documents/BudgetMaterial/2021/Base%20Budget/Procurement/MSLS_FY_2021_PB_Missile_Procurement_Army.pdf" TargetMode="External"/><Relationship Id="rId309" Type="http://schemas.openxmlformats.org/officeDocument/2006/relationships/hyperlink" Target="https://publications.parliament.uk/pa/cm201011/cmhansrd/cm110517/text/110517w0001.htm" TargetMode="External"/><Relationship Id="rId27" Type="http://schemas.openxmlformats.org/officeDocument/2006/relationships/hyperlink" Target="https://truegunvalue.com/shotgun/mossberg/500/price-historical-value-1217%20|%20https:/truegunvalue.com/shotgun/benelli-m4/price-historical-value" TargetMode="External"/><Relationship Id="rId48" Type="http://schemas.openxmlformats.org/officeDocument/2006/relationships/hyperlink" Target="https://www.amazon.de/s?k=liter+of+water&amp;crid=FSFX4B7W5MIB&amp;sprefix=liter+of+wate%2Caps%2C76&amp;ref=nb_sb_noss_2" TargetMode="External"/><Relationship Id="rId69" Type="http://schemas.openxmlformats.org/officeDocument/2006/relationships/hyperlink" Target="https://www.amazon.com/Band-Aid-First-Adhesive-Bandages-Large/dp/B000GCPW8C/ref=sr_1_7?crid=1PZ72906ULX4A&amp;keywords=wound+bandage&amp;qid=1667515401&amp;qu=eyJxc2MiOiI1Ljc2IiwicXNhIjoiNS4yNyIsInFzcCI6IjUuMTAifQ%3D%3D&amp;sprefix=wound+bandag%2Caps%2C155&amp;sr=8-7" TargetMode="External"/><Relationship Id="rId113" Type="http://schemas.openxmlformats.org/officeDocument/2006/relationships/hyperlink" Target="https://www.armyrecognition.com/defense_news_january_2021_global_security_army_industry/first_iveco_lmv_2_nec_armored_vehicles_enter_service_with_italian_army.html" TargetMode="External"/><Relationship Id="rId134" Type="http://schemas.openxmlformats.org/officeDocument/2006/relationships/hyperlink" Target="https://en.wikipedia.org/wiki/AGM-114_Hellfire" TargetMode="External"/><Relationship Id="rId320" Type="http://schemas.openxmlformats.org/officeDocument/2006/relationships/hyperlink" Target="https://www.jpost.com/opinion/op-ed-contributors/bankrupting-terrorism-one-interception-at-a-time" TargetMode="External"/><Relationship Id="rId80" Type="http://schemas.openxmlformats.org/officeDocument/2006/relationships/hyperlink" Target="https://www.globalsecurity.org/military/world/europe/gepard.htm" TargetMode="External"/><Relationship Id="rId155" Type="http://schemas.openxmlformats.org/officeDocument/2006/relationships/hyperlink" Target="https://leaguefeed.net/how-much-should-you-spend-on-laptop/" TargetMode="External"/><Relationship Id="rId176" Type="http://schemas.openxmlformats.org/officeDocument/2006/relationships/hyperlink" Target="https://www.army-technology.com/projects/mistral-missile/" TargetMode="External"/><Relationship Id="rId197" Type="http://schemas.openxmlformats.org/officeDocument/2006/relationships/hyperlink" Target="https://taskandpurpose.com/news/ac-130-gunship-105mm-cannon/" TargetMode="External"/><Relationship Id="rId341" Type="http://schemas.openxmlformats.org/officeDocument/2006/relationships/hyperlink" Target="https://www.rtvslo.si/news-in-english/the-ministry-of-defense-s-auction-of-old-m-55s-results-in-a-single-sale/453024" TargetMode="External"/><Relationship Id="rId362" Type="http://schemas.openxmlformats.org/officeDocument/2006/relationships/hyperlink" Target="https://www.dsca.mil/sites/default/files/mas/jordan_15-02.pdf" TargetMode="External"/><Relationship Id="rId383" Type="http://schemas.openxmlformats.org/officeDocument/2006/relationships/hyperlink" Target="https://armstrade.sipri.org/armstrade/page/trade_register.php" TargetMode="External"/><Relationship Id="rId201" Type="http://schemas.openxmlformats.org/officeDocument/2006/relationships/hyperlink" Target="https://www.caranddriver.com/jeep/wrangler" TargetMode="External"/><Relationship Id="rId222" Type="http://schemas.openxmlformats.org/officeDocument/2006/relationships/hyperlink" Target="https://armstrade.sipri.org/armstrade/page/trade_register.php" TargetMode="External"/><Relationship Id="rId243" Type="http://schemas.openxmlformats.org/officeDocument/2006/relationships/hyperlink" Target="https://survivalfreedom.com/how-much-do-military-drones-cost-a-detailed-look/" TargetMode="External"/><Relationship Id="rId264" Type="http://schemas.openxmlformats.org/officeDocument/2006/relationships/hyperlink" Target="https://armstrade.sipri.org/armstrade/page/trade_register.php" TargetMode="External"/><Relationship Id="rId285" Type="http://schemas.openxmlformats.org/officeDocument/2006/relationships/hyperlink" Target="https://www.marketwatch.com/story/new-army-trucks-may-cost-350000-each-gao-2011-10-27" TargetMode="External"/><Relationship Id="rId17" Type="http://schemas.openxmlformats.org/officeDocument/2006/relationships/hyperlink" Target="https://www.amazon.de/disinfectant-spray/s?k=disinfectant+spray" TargetMode="External"/><Relationship Id="rId38" Type="http://schemas.openxmlformats.org/officeDocument/2006/relationships/hyperlink" Target="https://www.army.mil/article/193339/army_to_rapidly_procure_reusable_shoulder_fired_weapon_system" TargetMode="External"/><Relationship Id="rId59" Type="http://schemas.openxmlformats.org/officeDocument/2006/relationships/hyperlink" Target="https://www.thedefensepost.com/2022/05/03/lockheed-ramp-up-javelin-production/" TargetMode="External"/><Relationship Id="rId103" Type="http://schemas.openxmlformats.org/officeDocument/2006/relationships/hyperlink" Target="https://en.wikipedia.org/wiki/RPG-7" TargetMode="External"/><Relationship Id="rId124" Type="http://schemas.openxmlformats.org/officeDocument/2006/relationships/hyperlink" Target="https://tanks-encyclopedia.com/modern/south_africa/mamba_apc" TargetMode="External"/><Relationship Id="rId310" Type="http://schemas.openxmlformats.org/officeDocument/2006/relationships/hyperlink" Target="https://firefighterinsider.com/fire-truck-engine-apparatus-cost/" TargetMode="External"/><Relationship Id="rId70" Type="http://schemas.openxmlformats.org/officeDocument/2006/relationships/hyperlink" Target="https://www.wienerzeitung.at/nachrichten/politik/oesterreich/2146418-Oesterreich-schickte-Ukraine-Armeeausruestung.html" TargetMode="External"/><Relationship Id="rId91" Type="http://schemas.openxmlformats.org/officeDocument/2006/relationships/hyperlink" Target="https://www.asafm.army.mil/Portals/72/Documents/BudgetMaterial/2021/Base%20Budget/Procurement/MSLS_FY_2021_PB_Missile_Procurement_Army.pdf" TargetMode="External"/><Relationship Id="rId145" Type="http://schemas.openxmlformats.org/officeDocument/2006/relationships/hyperlink" Target="https://a5250379796602ad.en.made-in-china.com/product/oSpQOGHuhFYR/China-Portable-Ground-Surveillance-Radar-for-Border-Surveillance.html" TargetMode="External"/><Relationship Id="rId166" Type="http://schemas.openxmlformats.org/officeDocument/2006/relationships/hyperlink" Target="https://www.praxisdienst.de/Einrichtung/Ablegen+und+lagern/Medikamentenkuehlschraenke/Liebherr+MKUv+1610+Medikamentenkuehlschrank+mit+Fachboeden.html?speed=1&amp;gclid=Cj0KCQjwntCVBhDdARIsAMEwACmOKJaqbtWlmkE3PwceLhHIP9m3qGdulBKn1kImSy42c3gxKcXCRD4aAhIXEALw_wcB" TargetMode="External"/><Relationship Id="rId187" Type="http://schemas.openxmlformats.org/officeDocument/2006/relationships/hyperlink" Target="https://www.canada.ca/en/department-national-defence/news/2022/05/defence-minister-anita-anand-announces-additional-military-aid-for-ukraine.html" TargetMode="External"/><Relationship Id="rId331" Type="http://schemas.openxmlformats.org/officeDocument/2006/relationships/hyperlink" Target="https://engineerine.com/switchblade-will-turn-the-tide-in-ukraine/" TargetMode="External"/><Relationship Id="rId352" Type="http://schemas.openxmlformats.org/officeDocument/2006/relationships/hyperlink" Target="https://www.asafm.army.mil/Portals/72/Documents/BudgetMaterial/2023/Base%20Budget/Procurement/MSLS_ARMY.pdf" TargetMode="External"/><Relationship Id="rId373" Type="http://schemas.openxmlformats.org/officeDocument/2006/relationships/hyperlink" Target="https://www.economist.com/science-and-technology/2012/09/29/rockets-galore" TargetMode="External"/><Relationship Id="rId394" Type="http://schemas.openxmlformats.org/officeDocument/2006/relationships/hyperlink" Target="http://www.army-guide.com/eng/product4033.html" TargetMode="External"/><Relationship Id="rId1" Type="http://schemas.openxmlformats.org/officeDocument/2006/relationships/hyperlink" Target="https://www.jpost.com/international/article-699010" TargetMode="External"/><Relationship Id="rId212" Type="http://schemas.openxmlformats.org/officeDocument/2006/relationships/hyperlink" Target="https://truegunvalue.com/pistol/805-bren/price-historical-value" TargetMode="External"/><Relationship Id="rId233" Type="http://schemas.openxmlformats.org/officeDocument/2006/relationships/hyperlink" Target="https://armstrade.sipri.org/armstrade/page/trade_register.php" TargetMode="External"/><Relationship Id="rId254" Type="http://schemas.openxmlformats.org/officeDocument/2006/relationships/hyperlink" Target="https://mil.in.ua/en/news/the-czech-company-will-hand-over-two-reconnaissance-bivoj-uavs-to-ukraine/" TargetMode="External"/><Relationship Id="rId28" Type="http://schemas.openxmlformats.org/officeDocument/2006/relationships/hyperlink" Target="https://www.newsy.com/stories/how-much-money-should-you-actually-be-investing-in-a-winter-coat/" TargetMode="External"/><Relationship Id="rId49" Type="http://schemas.openxmlformats.org/officeDocument/2006/relationships/hyperlink" Target="http://www.army-guide.com/eng/product4461.html" TargetMode="External"/><Relationship Id="rId114" Type="http://schemas.openxmlformats.org/officeDocument/2006/relationships/hyperlink" Target="https://www.amazon.com/s?k=surgical+gloves&amp;crid=339VHKCNRBO5O&amp;sprefix=surgical+glove%2Caps%2C200&amp;ref=nb_sb_noss_1" TargetMode="External"/><Relationship Id="rId275" Type="http://schemas.openxmlformats.org/officeDocument/2006/relationships/hyperlink" Target="http://www.military-today.com/apc/kirpi.htm" TargetMode="External"/><Relationship Id="rId296" Type="http://schemas.openxmlformats.org/officeDocument/2006/relationships/hyperlink" Target="https://en.wikipedia.org/wiki/Claymore_mine" TargetMode="External"/><Relationship Id="rId300" Type="http://schemas.openxmlformats.org/officeDocument/2006/relationships/hyperlink" Target="https://armstrade.sipri.org/armstrade/page/trade_register.php" TargetMode="External"/><Relationship Id="rId60" Type="http://schemas.openxmlformats.org/officeDocument/2006/relationships/hyperlink" Target="https://www.thesoldiersproject.org/how-much-does-a-military-humvee-cost/" TargetMode="External"/><Relationship Id="rId81" Type="http://schemas.openxmlformats.org/officeDocument/2006/relationships/hyperlink" Target="https://www.peterdutton.com.au/australia-to-provide-armoured-personnel-carriers-and-more-bushmasters-to-ukraine/" TargetMode="External"/><Relationship Id="rId135" Type="http://schemas.openxmlformats.org/officeDocument/2006/relationships/hyperlink" Target="https://www.vabusinesssystems.com/how-much-does-a-voip-phone-system-cost" TargetMode="External"/><Relationship Id="rId156" Type="http://schemas.openxmlformats.org/officeDocument/2006/relationships/hyperlink" Target="https://www.jpost.com/opinion/op-ed-contributors/bankrupting-terrorism-one-interception-at-a-time" TargetMode="External"/><Relationship Id="rId177" Type="http://schemas.openxmlformats.org/officeDocument/2006/relationships/hyperlink" Target="https://armstrade.sipri.org/armstrade/page/trade_register.php" TargetMode="External"/><Relationship Id="rId198" Type="http://schemas.openxmlformats.org/officeDocument/2006/relationships/hyperlink" Target="https://www.canada.ca/en/department-national-defence/news/2022/05/defence-minister-anita-anand-announces-additional-military-aid-for-ukraine.html" TargetMode="External"/><Relationship Id="rId321" Type="http://schemas.openxmlformats.org/officeDocument/2006/relationships/hyperlink" Target="https://www.jpost.com/opinion/op-ed-contributors/bankrupting-terrorism-one-interception-at-a-time" TargetMode="External"/><Relationship Id="rId342" Type="http://schemas.openxmlformats.org/officeDocument/2006/relationships/hyperlink" Target="https://www.armormax.com/blog/how-much-does-a-bulletproof-car-cost/" TargetMode="External"/><Relationship Id="rId363" Type="http://schemas.openxmlformats.org/officeDocument/2006/relationships/hyperlink" Target="https://www.bw-online-shop.com/outdoor/outdoorkueche/verpflegung/epa-einmannpackung-typ-2.html" TargetMode="External"/><Relationship Id="rId384" Type="http://schemas.openxmlformats.org/officeDocument/2006/relationships/hyperlink" Target="https://armstrade.sipri.org/armstrade/page/trade_register.php" TargetMode="External"/><Relationship Id="rId202" Type="http://schemas.openxmlformats.org/officeDocument/2006/relationships/hyperlink" Target="https://www.ebay.com/itm/252996466305?hash=item3ae7c3b681:g:DGIAAOSwDrNZU34G" TargetMode="External"/><Relationship Id="rId223" Type="http://schemas.openxmlformats.org/officeDocument/2006/relationships/hyperlink" Target="http://www.army-guide.com/eng/product179.html" TargetMode="External"/><Relationship Id="rId244" Type="http://schemas.openxmlformats.org/officeDocument/2006/relationships/hyperlink" Target="https://www.marketwatch.com/story/new-army-trucks-may-cost-350000-each-gao-2011-10-27" TargetMode="External"/><Relationship Id="rId18" Type="http://schemas.openxmlformats.org/officeDocument/2006/relationships/hyperlink" Target="https://www.amazon.com/s?k=bio+protective+suit&amp;__mk_de_DE=%C3%85M%C3%85%C5%BD%C3%95%C3%91&amp;crid=2MJA43R80NRVA&amp;sprefix=bio+protective+suit%2Caps%2C215&amp;ref=nb_sb_noss_1" TargetMode="External"/><Relationship Id="rId39" Type="http://schemas.openxmlformats.org/officeDocument/2006/relationships/hyperlink" Target="https://military-history.fandom.com/wiki/Panzerfaust_3" TargetMode="External"/><Relationship Id="rId265" Type="http://schemas.openxmlformats.org/officeDocument/2006/relationships/hyperlink" Target="https://armstrade.sipri.org/armstrade/page/trade_register.php" TargetMode="External"/><Relationship Id="rId286" Type="http://schemas.openxmlformats.org/officeDocument/2006/relationships/hyperlink" Target="https://www.elindependiente.com/espana/2022/03/03/estas-son-las-armas-que-mandara-espana-a-la-resistencia-ucraniana-en-el-primer-envio/" TargetMode="External"/><Relationship Id="rId50" Type="http://schemas.openxmlformats.org/officeDocument/2006/relationships/hyperlink" Target="http://www.zvi.cz/en/products/sniper-rifle-falcon.html" TargetMode="External"/><Relationship Id="rId104" Type="http://schemas.openxmlformats.org/officeDocument/2006/relationships/hyperlink" Target="https://www.ammunitiondepot.com/304-762x39mm" TargetMode="External"/><Relationship Id="rId125" Type="http://schemas.openxmlformats.org/officeDocument/2006/relationships/hyperlink" Target="https://www.jouav.com/blog/heavy-lift-drone.html" TargetMode="External"/><Relationship Id="rId146" Type="http://schemas.openxmlformats.org/officeDocument/2006/relationships/hyperlink" Target="https://en.wikipedia.org/wiki/Claymore_mine" TargetMode="External"/><Relationship Id="rId167" Type="http://schemas.openxmlformats.org/officeDocument/2006/relationships/hyperlink" Target="https://www.docmorris.de/fastjekt-300-g-autoinjektor-injlsgim/09738902" TargetMode="External"/><Relationship Id="rId188" Type="http://schemas.openxmlformats.org/officeDocument/2006/relationships/hyperlink" Target="https://www.globalsecurity.org/military/world/taiwan/cm21-variants.htm" TargetMode="External"/><Relationship Id="rId311" Type="http://schemas.openxmlformats.org/officeDocument/2006/relationships/hyperlink" Target="https://www.thetimes.co.uk/article/15m-army-drones-grounded-by-rain-rnbfsnq23" TargetMode="External"/><Relationship Id="rId332" Type="http://schemas.openxmlformats.org/officeDocument/2006/relationships/hyperlink" Target="https://www.defenceweb.co.za/land/land-land/morocco-to-receive-laser-rangefinders/" TargetMode="External"/><Relationship Id="rId353" Type="http://schemas.openxmlformats.org/officeDocument/2006/relationships/hyperlink" Target="https://www.asafm.army.mil/Portals/72/Documents/BudgetMaterial/2023/Base%20Budget/Procurement/MSLS_ARMY.pdf" TargetMode="External"/><Relationship Id="rId374" Type="http://schemas.openxmlformats.org/officeDocument/2006/relationships/hyperlink" Target="https://www.marketwatch.com/story/new-army-trucks-may-cost-350000-each-gao-2011-10-27" TargetMode="External"/><Relationship Id="rId395" Type="http://schemas.openxmlformats.org/officeDocument/2006/relationships/hyperlink" Target="https://armstrade.sipri.org/armstrade/page/trade_register.php" TargetMode="External"/><Relationship Id="rId71" Type="http://schemas.openxmlformats.org/officeDocument/2006/relationships/hyperlink" Target="http://army-warehouse.com/10-servicecard-artikel/226-osterr-bundesheer-splitter-schutzweste-kampfweste-obh.html?msclkid=6fe95c5ecf7111ecbc7bf25f9bd8a5b5" TargetMode="External"/><Relationship Id="rId92" Type="http://schemas.openxmlformats.org/officeDocument/2006/relationships/hyperlink" Target="https://www.inetres.com/gp/military/infantry/mortar/60mm.html" TargetMode="External"/><Relationship Id="rId213" Type="http://schemas.openxmlformats.org/officeDocument/2006/relationships/hyperlink" Target="https://truegunvalue.com/pistol/cz-evo-3/price-historical-value" TargetMode="External"/><Relationship Id="rId234" Type="http://schemas.openxmlformats.org/officeDocument/2006/relationships/hyperlink" Target="https://armstrade.sipri.org/armstrade/page/trade_register.php" TargetMode="External"/><Relationship Id="rId2" Type="http://schemas.openxmlformats.org/officeDocument/2006/relationships/hyperlink" Target="https://www.militaryfactory.com/smallarms/detail.php?smallarms_id=18" TargetMode="External"/><Relationship Id="rId29" Type="http://schemas.openxmlformats.org/officeDocument/2006/relationships/hyperlink" Target="https://www.globalpetrolprices.com/diesel_prices/" TargetMode="External"/><Relationship Id="rId255" Type="http://schemas.openxmlformats.org/officeDocument/2006/relationships/hyperlink" Target="https://www.ammunitiondepot.com/304-762x39mm" TargetMode="External"/><Relationship Id="rId276" Type="http://schemas.openxmlformats.org/officeDocument/2006/relationships/hyperlink" Target="https://www.todayonline.com/singapore/us-approves-s926-million-sale-precision-guided-mortar-rounds-singapore" TargetMode="External"/><Relationship Id="rId297" Type="http://schemas.openxmlformats.org/officeDocument/2006/relationships/hyperlink" Target="https://foreignpolicy.com/2009/12/31/observation-of-the-day-on-brewing-coffee-with-c4/" TargetMode="External"/><Relationship Id="rId40" Type="http://schemas.openxmlformats.org/officeDocument/2006/relationships/hyperlink" Target="https://www.luckygunner.com/rifle/5.56x45-ammo" TargetMode="External"/><Relationship Id="rId115" Type="http://schemas.openxmlformats.org/officeDocument/2006/relationships/hyperlink" Target="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 TargetMode="External"/><Relationship Id="rId136" Type="http://schemas.openxmlformats.org/officeDocument/2006/relationships/hyperlink" Target="https://www.forbes.com/home-improvement/electrical/generator-cost-guide/" TargetMode="External"/><Relationship Id="rId157" Type="http://schemas.openxmlformats.org/officeDocument/2006/relationships/hyperlink" Target="https://www.ncbi.nlm.nih.gov/pmc/articles/PMC7305019/" TargetMode="External"/><Relationship Id="rId178" Type="http://schemas.openxmlformats.org/officeDocument/2006/relationships/hyperlink" Target="https://www.deagel.com/Artillery%20Systems/NASAMS/a000380" TargetMode="External"/><Relationship Id="rId301" Type="http://schemas.openxmlformats.org/officeDocument/2006/relationships/hyperlink" Target="https://stocktonhistoricalmaritimemuseum.org/about/uss-lucid/stats/" TargetMode="External"/><Relationship Id="rId322" Type="http://schemas.openxmlformats.org/officeDocument/2006/relationships/hyperlink" Target="https://www.kyivpost.com/ukraine-politics/u-s-donates-2500-night-vision-devices-ukraines-armed-forces-video.html" TargetMode="External"/><Relationship Id="rId343" Type="http://schemas.openxmlformats.org/officeDocument/2006/relationships/hyperlink" Target="https://media.defense.gov/2022/Nov/04/2003108893/-1/-1/0/USAI-7-CZE-TANKS-US-NLD-CZE-PRESS-STATEMENT.PDF" TargetMode="External"/><Relationship Id="rId364" Type="http://schemas.openxmlformats.org/officeDocument/2006/relationships/hyperlink" Target="http://www.military-today.com/firearms/mg3.htm" TargetMode="External"/><Relationship Id="rId61" Type="http://schemas.openxmlformats.org/officeDocument/2006/relationships/hyperlink" Target="https://foreignpolicy.com/2009/12/31/observation-of-the-day-on-brewing-coffee-with-c4/" TargetMode="External"/><Relationship Id="rId82" Type="http://schemas.openxmlformats.org/officeDocument/2006/relationships/hyperlink" Target="https://www.defense.gov/News/Contracts/Contract/Article/2185990/" TargetMode="External"/><Relationship Id="rId199" Type="http://schemas.openxmlformats.org/officeDocument/2006/relationships/hyperlink" Target="https://www.thedefensepost.com/2022/05/03/lockheed-ramp-up-javelin-production/" TargetMode="External"/><Relationship Id="rId203" Type="http://schemas.openxmlformats.org/officeDocument/2006/relationships/hyperlink" Target="https://www.amazon.de/-/en/ADLER-Disinfectant-Litres-according-Formula/dp/B088FXV6XT?th=1" TargetMode="External"/><Relationship Id="rId385" Type="http://schemas.openxmlformats.org/officeDocument/2006/relationships/hyperlink" Target="https://armstrade.sipri.org/armstrade/page/trade_register.php" TargetMode="External"/><Relationship Id="rId19" Type="http://schemas.openxmlformats.org/officeDocument/2006/relationships/hyperlink" Target="https://www.theguardian.com/world/2022/mar/23/uk-doubles-number-of-missiles-sent-to-ukraine-ahead-of-nato-summit" TargetMode="External"/><Relationship Id="rId224" Type="http://schemas.openxmlformats.org/officeDocument/2006/relationships/hyperlink" Target="https://foreignpolicy.com/2009/12/31/observation-of-the-day-on-brewing-coffee-with-c4/" TargetMode="External"/><Relationship Id="rId245" Type="http://schemas.openxmlformats.org/officeDocument/2006/relationships/hyperlink" Target="https://man.fas.org/dod-101/sys/land/m224.htm" TargetMode="External"/><Relationship Id="rId266"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287" Type="http://schemas.openxmlformats.org/officeDocument/2006/relationships/hyperlink" Target="https://www.airuniversity.af.edu/Portals/10/ASPJ/journals/Chronicles/ucav.pdf" TargetMode="External"/><Relationship Id="rId30" Type="http://schemas.openxmlformats.org/officeDocument/2006/relationships/hyperlink" Target="https://www.sparks-military.com/en/body-armor/154-m-69-fragmentation-vest-flak-jacket.html" TargetMode="External"/><Relationship Id="rId105" Type="http://schemas.openxmlformats.org/officeDocument/2006/relationships/hyperlink" Target="https://www.globalsecurity.org/military/world/europe/aspide.htm" TargetMode="External"/><Relationship Id="rId126" Type="http://schemas.openxmlformats.org/officeDocument/2006/relationships/hyperlink" Target="https://www.ebay.com/b/Military-Gas-Mask/158440/bn_55190958" TargetMode="External"/><Relationship Id="rId147" Type="http://schemas.openxmlformats.org/officeDocument/2006/relationships/hyperlink" Target="https://www.howmuchisit.org/metal-detector-cost/" TargetMode="External"/><Relationship Id="rId168" Type="http://schemas.openxmlformats.org/officeDocument/2006/relationships/hyperlink" Target="https://www.made-in-china.com/products-search/hot-china-products/Uav_Drone_Jammer.html" TargetMode="External"/><Relationship Id="rId312" Type="http://schemas.openxmlformats.org/officeDocument/2006/relationships/hyperlink" Target="https://www.asafm.army.mil/Portals/72/Documents/BudgetMaterial/2021/Base%20Budget/Procurement/MSLS_FY_2021_PB_Missile_Procurement_Army.pdf" TargetMode="External"/><Relationship Id="rId333" Type="http://schemas.openxmlformats.org/officeDocument/2006/relationships/hyperlink" Target="https://weaponsystems.net/system/475-Barrett+M82" TargetMode="External"/><Relationship Id="rId354" Type="http://schemas.openxmlformats.org/officeDocument/2006/relationships/hyperlink" Target="http://www.cgri.gr/435833_69-0/MITOS2.HTM" TargetMode="External"/><Relationship Id="rId51" Type="http://schemas.openxmlformats.org/officeDocument/2006/relationships/hyperlink" Target="https://www.waffenschumacher.com/wp-content/uploads/2017/10/VISIER_CSA_Czech-Small-Arms-Sa-vz.58-11-2013.pdf" TargetMode="External"/><Relationship Id="rId72" Type="http://schemas.openxmlformats.org/officeDocument/2006/relationships/hyperlink" Target="https://www.newdelhitimes.com/portuguese-army-acquires-vamtac/" TargetMode="External"/><Relationship Id="rId93" Type="http://schemas.openxmlformats.org/officeDocument/2006/relationships/hyperlink" Target="https://spectator.sme.sk/c/22842829/slovakia-will-send-mine-clearance-systems-and-healthcare-material-to-ukraine.html" TargetMode="External"/><Relationship Id="rId189" Type="http://schemas.openxmlformats.org/officeDocument/2006/relationships/hyperlink" Target="https://www.defensenews.com/global/2017/10/02/taiwan-acquires-orbital-atk-cannons-for-local-vehicle-program/" TargetMode="External"/><Relationship Id="rId375" Type="http://schemas.openxmlformats.org/officeDocument/2006/relationships/hyperlink" Target="https://www.military.africa/2022/10/nigerian-army-acquires-medium-girder-bridge-from-uk-to-boost-logistics/" TargetMode="External"/><Relationship Id="rId396" Type="http://schemas.openxmlformats.org/officeDocument/2006/relationships/hyperlink" Target="https://www.ojp.gov/pdffiles1/nij/189725.pdf" TargetMode="External"/><Relationship Id="rId3" Type="http://schemas.openxmlformats.org/officeDocument/2006/relationships/hyperlink" Target="https://www.strategypage.com/htmw/htweap/20141105.aspx" TargetMode="External"/><Relationship Id="rId214" Type="http://schemas.openxmlformats.org/officeDocument/2006/relationships/hyperlink" Target="https://en.wikipedia.org/wiki/RK_62" TargetMode="External"/><Relationship Id="rId235" Type="http://schemas.openxmlformats.org/officeDocument/2006/relationships/hyperlink" Target="https://armstrade.sipri.org/armstrade/page/trade_register.php" TargetMode="External"/><Relationship Id="rId256" Type="http://schemas.openxmlformats.org/officeDocument/2006/relationships/hyperlink" Target="https://www.theakforum.net/threads/for-sale-sv43-czech-incendiary-tracer-rounds-7-62x39.325660/" TargetMode="External"/><Relationship Id="rId277" Type="http://schemas.openxmlformats.org/officeDocument/2006/relationships/hyperlink" Target="https://en.wikipedia.org/wiki/AIM-120_AMRAAM" TargetMode="External"/><Relationship Id="rId298" Type="http://schemas.openxmlformats.org/officeDocument/2006/relationships/hyperlink" Target="https://www.thedefensepost.com/2022/05/03/lockheed-ramp-up-javelin-production/" TargetMode="External"/><Relationship Id="rId400" Type="http://schemas.openxmlformats.org/officeDocument/2006/relationships/hyperlink" Target="https://comptroller.defense.gov/Portals/45/Documents/defbudget/fy2009/budget_justification/pdfs/02_Procurement/Vol_2_SOCOM_CBDP/SOCOM%20PDW%20PB09.pdf" TargetMode="External"/><Relationship Id="rId116" Type="http://schemas.openxmlformats.org/officeDocument/2006/relationships/hyperlink" Target="https://www.wiwo.de/politik/deutschland/140-millionen-euro-teures-luftabwehrsystem-ukraine-erwartet-im-oktober-erste-iris-t-lieferung/28393480.html.%20https:/mil.in.ua/en/news/iris-t-slm-medium-range-air-defense-system-germany-released-an-updated-list-of-weapons-for-ukraine/" TargetMode="External"/><Relationship Id="rId137" Type="http://schemas.openxmlformats.org/officeDocument/2006/relationships/hyperlink" Target="https://www.angi.com/articles/how-much-does-tv-antenna-installation-cost.htm" TargetMode="External"/><Relationship Id="rId158" Type="http://schemas.openxmlformats.org/officeDocument/2006/relationships/hyperlink" Target="https://www.indiamart.com/proddetail/radio-frequency-system-8336728762.html" TargetMode="External"/><Relationship Id="rId302" Type="http://schemas.openxmlformats.org/officeDocument/2006/relationships/hyperlink" Target="https://www.thedrive.com/the-war-zone/32277/here-is-what-each-of-the-pentagons-air-launched-missiles-and-bombs-actually-cost" TargetMode="External"/><Relationship Id="rId323" Type="http://schemas.openxmlformats.org/officeDocument/2006/relationships/hyperlink" Target="http://www.military-today.com/firearms/m72_law.htm" TargetMode="External"/><Relationship Id="rId344" Type="http://schemas.openxmlformats.org/officeDocument/2006/relationships/hyperlink" Target="https://armstrade.sipri.org/armstrade/page/trade_register.php" TargetMode="External"/><Relationship Id="rId20" Type="http://schemas.openxmlformats.org/officeDocument/2006/relationships/hyperlink" Target="http://www.military-today.com/firearms/mg3.htm" TargetMode="External"/><Relationship Id="rId41" Type="http://schemas.openxmlformats.org/officeDocument/2006/relationships/hyperlink" Target="https://en.wikipedia.org/wiki/Comparison_of_the_AK-47_and_M16" TargetMode="External"/><Relationship Id="rId62" Type="http://schemas.openxmlformats.org/officeDocument/2006/relationships/hyperlink" Target="https://www.dsca.mil/sites/default/files/mas/jordan_15-02.pdf" TargetMode="External"/><Relationship Id="rId83" Type="http://schemas.openxmlformats.org/officeDocument/2006/relationships/hyperlink" Target="https://www.dsca.mil/press-media/major-arms-sales/egypt-harpoon-block-ii-anti-ship-cruise-missiles" TargetMode="External"/><Relationship Id="rId179" Type="http://schemas.openxmlformats.org/officeDocument/2006/relationships/hyperlink" Target="https://www.tpsgc-pwgsc.gc.ca/app-acq/amd-dp/vbsc-acsv-eng.html" TargetMode="External"/><Relationship Id="rId365" Type="http://schemas.openxmlformats.org/officeDocument/2006/relationships/hyperlink" Target="https://www.varusteleka.com/en/product/field-phone-cable-100-m-300-surplus/70446" TargetMode="External"/><Relationship Id="rId386" Type="http://schemas.openxmlformats.org/officeDocument/2006/relationships/hyperlink" Target="https://www.washingtonpost.com/politics/2022/04/08/us-quietly-paying-millions-send-starlink-terminals-ukraine-contrary-spacexs-claims/" TargetMode="External"/><Relationship Id="rId190" Type="http://schemas.openxmlformats.org/officeDocument/2006/relationships/hyperlink" Target="https://www.seaforces.org/wpnsys/SURFACE/DS30M-30mm-gun-UK.htm" TargetMode="External"/><Relationship Id="rId204" Type="http://schemas.openxmlformats.org/officeDocument/2006/relationships/hyperlink" Target="https://www.alibaba.com/product-detail/Medical-Children-Clinic-Bed-Manual-Children_62180451022.html?spm=a2700.7724857.normal_offer.d_title.30c23ac4FuVEM5" TargetMode="External"/><Relationship Id="rId225" Type="http://schemas.openxmlformats.org/officeDocument/2006/relationships/hyperlink" Target="https://inetres.com/gp/military/infantry/antiarmor/AT4.html" TargetMode="External"/><Relationship Id="rId246" Type="http://schemas.openxmlformats.org/officeDocument/2006/relationships/hyperlink" Target="https://www.todayonline.com/singapore/us-approves-s926-million-sale-precision-guided-mortar-rounds-singapore" TargetMode="External"/><Relationship Id="rId267" Type="http://schemas.openxmlformats.org/officeDocument/2006/relationships/hyperlink" Target="https://armstrade.sipri.org/armstrade/page/trade_register.php" TargetMode="External"/><Relationship Id="rId288" Type="http://schemas.openxmlformats.org/officeDocument/2006/relationships/hyperlink" Target="https://www.airforce-technology.com/news/czech-republic-to-buy-iron-dome-from-israel/" TargetMode="External"/><Relationship Id="rId106" Type="http://schemas.openxmlformats.org/officeDocument/2006/relationships/hyperlink" Target="https://weaponsystems.net/system/475-Barrett+M82" TargetMode="External"/><Relationship Id="rId127" Type="http://schemas.openxmlformats.org/officeDocument/2006/relationships/hyperlink" Target="https://www.drugs.com/price-guide/azithromycin-dose-pack" TargetMode="External"/><Relationship Id="rId313" Type="http://schemas.openxmlformats.org/officeDocument/2006/relationships/hyperlink" Target="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 TargetMode="External"/><Relationship Id="rId10" Type="http://schemas.openxmlformats.org/officeDocument/2006/relationships/hyperlink" Target="https://www.aerzte-ohne-grenzen.de/sites/default/files/mediathek/entity/document/1998-01-bosnia-report-donation-practices.pdf" TargetMode="External"/><Relationship Id="rId31" Type="http://schemas.openxmlformats.org/officeDocument/2006/relationships/hyperlink" Target="https://www.bw-online-shop.com/outdoor/outdoorkueche/verpflegung/epa-einmannpackung-typ-2.html" TargetMode="External"/><Relationship Id="rId52" Type="http://schemas.openxmlformats.org/officeDocument/2006/relationships/hyperlink" Target="https://truegunvalue.com/rifle/dragunov/price-historical-value" TargetMode="External"/><Relationship Id="rId73" Type="http://schemas.openxmlformats.org/officeDocument/2006/relationships/hyperlink" Target="https://military-today.com/artillery/dana.htm" TargetMode="External"/><Relationship Id="rId94" Type="http://schemas.openxmlformats.org/officeDocument/2006/relationships/hyperlink" Target="https://engineerine.com/switchblade-will-turn-the-tide-in-ukraine/" TargetMode="External"/><Relationship Id="rId148" Type="http://schemas.openxmlformats.org/officeDocument/2006/relationships/hyperlink" Target="https://www.ammograb.com/762x51mm-nato/" TargetMode="External"/><Relationship Id="rId169" Type="http://schemas.openxmlformats.org/officeDocument/2006/relationships/hyperlink" Targe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TargetMode="External"/><Relationship Id="rId334" Type="http://schemas.openxmlformats.org/officeDocument/2006/relationships/hyperlink" Target="https://www.militarytimes.com/off-duty/gearscout/2022/05/12/panzerfaust-3-the-cold-war-weapon-wrecking-russian-tanks-in-ukraine/" TargetMode="External"/><Relationship Id="rId355" Type="http://schemas.openxmlformats.org/officeDocument/2006/relationships/hyperlink" Target="https://www.amazon.com/s?k=military+binoculars&amp;crid=3T1LN1ST9UR4L&amp;sprefix=military+binoculars%2Caps%2C161&amp;ref=nb_sb_noss_1" TargetMode="External"/><Relationship Id="rId376" Type="http://schemas.openxmlformats.org/officeDocument/2006/relationships/hyperlink" Target="https://a5250379796602ad.en.made-in-china.com/product/oSpQOGHuhFYR/China-Portable-Ground-Surveillance-Radar-for-Border-Surveillance.html" TargetMode="External"/><Relationship Id="rId397" Type="http://schemas.openxmlformats.org/officeDocument/2006/relationships/hyperlink" Target="https://www.ojp.gov/pdffiles1/nij/189725.pdf" TargetMode="External"/><Relationship Id="rId4" Type="http://schemas.openxmlformats.org/officeDocument/2006/relationships/hyperlink" Target="https://en.wikipedia.org/wiki/M67_grenade" TargetMode="External"/><Relationship Id="rId180" Type="http://schemas.openxmlformats.org/officeDocument/2006/relationships/hyperlink" Target="https://www.canada.ca/en/department-national-defence/news/2022/06/minister-anand-announces-further-military-aid-for-ukraine.html" TargetMode="External"/><Relationship Id="rId215" Type="http://schemas.openxmlformats.org/officeDocument/2006/relationships/hyperlink" Target="https://www.bulkammo.com/rifle/bulk-7.62x39mm-ammo" TargetMode="External"/><Relationship Id="rId236" Type="http://schemas.openxmlformats.org/officeDocument/2006/relationships/hyperlink" Target="https://armstrade.sipri.org/armstrade/page/trade_register.php" TargetMode="External"/><Relationship Id="rId257" Type="http://schemas.openxmlformats.org/officeDocument/2006/relationships/hyperlink" Target="https://classic.ammoseek.com/ammo/32acp" TargetMode="External"/><Relationship Id="rId278" Type="http://schemas.openxmlformats.org/officeDocument/2006/relationships/hyperlink" Target="https://armstrade.sipri.org/armstrade/page/trade_register.php" TargetMode="External"/><Relationship Id="rId401" Type="http://schemas.openxmlformats.org/officeDocument/2006/relationships/printerSettings" Target="../printerSettings/printerSettings25.bin"/><Relationship Id="rId303" Type="http://schemas.openxmlformats.org/officeDocument/2006/relationships/hyperlink" Target="https://armstrade.sipri.org/armstrade/page/trade_register.php" TargetMode="External"/><Relationship Id="rId42" Type="http://schemas.openxmlformats.org/officeDocument/2006/relationships/hyperlink" Target="https://hcpresources.medtronic.com/blog/high-acuity-ventilator-cost-guide" TargetMode="External"/><Relationship Id="rId84" Type="http://schemas.openxmlformats.org/officeDocument/2006/relationships/hyperlink" Target="https://www.deagel.com/Combat%20Aircraft/Mi-24/a000751" TargetMode="External"/><Relationship Id="rId138" Type="http://schemas.openxmlformats.org/officeDocument/2006/relationships/hyperlink" Target="https://www.amazon.de/-/en/Viablue-X-25-SILVER-POWER-CABLE/dp/B07ZYQWPZ9" TargetMode="External"/><Relationship Id="rId345" Type="http://schemas.openxmlformats.org/officeDocument/2006/relationships/hyperlink" Target="https://www.armormax.com/blog/how-much-does-a-bulletproof-car-cost/" TargetMode="External"/><Relationship Id="rId387" Type="http://schemas.openxmlformats.org/officeDocument/2006/relationships/hyperlink" Target="https://uklandpower.com/2018/01/11/a-guide-to-modern-mortar-systems/" TargetMode="External"/><Relationship Id="rId191" Type="http://schemas.openxmlformats.org/officeDocument/2006/relationships/hyperlink" Target="https://web.archive.org/web/20110723004716/http:/www.airtronic.net/documents/Delivery_Order.pdf" TargetMode="External"/><Relationship Id="rId205" Type="http://schemas.openxmlformats.org/officeDocument/2006/relationships/hyperlink" Target="https://www.ers.usda.gov/publications/pub-details/?pubid=43836%20and%20source%20for%20medical%20supplies:https://economictimes.indiatimes.com/news/politics-and-nation/india-provided-15-tonnes-of-medical-supplies-worth-rs-2-11-crore-to-coronavirus-hit-china-government/articleshow/74693578.cms?from=mdr" TargetMode="External"/><Relationship Id="rId247" Type="http://schemas.openxmlformats.org/officeDocument/2006/relationships/hyperlink" Target="https://www.ukrinform.net/rubric-ato/3491327-canada-to-give-ukraine-over-20000-155-mm-shells.html" TargetMode="External"/><Relationship Id="rId107" Type="http://schemas.openxmlformats.org/officeDocument/2006/relationships/hyperlink" Target="https://www.globalpetrolprices.com/diesel_prices/" TargetMode="External"/><Relationship Id="rId289" Type="http://schemas.openxmlformats.org/officeDocument/2006/relationships/hyperlink" Target="https://bigtruckrental.com/rear-loader-garbage-truck-rental-service/how-much-does-a-new-rear-loader-garbage-truck-cost/" TargetMode="External"/><Relationship Id="rId11" Type="http://schemas.openxmlformats.org/officeDocument/2006/relationships/hyperlink" Target="https://www.amazon.de/s?k=liter+of+water&amp;crid=FSFX4B7W5MIB&amp;sprefix=liter+of+wate%2Caps%2C76&amp;ref=nb_sb_noss_2" TargetMode="External"/><Relationship Id="rId53" Type="http://schemas.openxmlformats.org/officeDocument/2006/relationships/hyperlink" Target="https://www.rockislandauction.com/detail/1039/2976/czech-uk-vz-59-semiautomatic-rifle" TargetMode="External"/><Relationship Id="rId149" Type="http://schemas.openxmlformats.org/officeDocument/2006/relationships/hyperlink" Target="https://www.ammograb.com/762x51mm-nato/" TargetMode="External"/><Relationship Id="rId314" Type="http://schemas.openxmlformats.org/officeDocument/2006/relationships/hyperlink" Target="https://www.asafm.army.mil/Portals/72/Documents/BudgetMaterial/2021/Base%20Budget/Procurement/MSLS_FY_2021_PB_Missile_Procurement_Army.pdf" TargetMode="External"/><Relationship Id="rId356" Type="http://schemas.openxmlformats.org/officeDocument/2006/relationships/hyperlink" Target="https://www.armytimes.com/news/your-army/2019/04/16/heres-the-new-helmet-that-socom-operators-will-take-into-battle/" TargetMode="External"/><Relationship Id="rId398" Type="http://schemas.openxmlformats.org/officeDocument/2006/relationships/hyperlink" Target="https://www.rferl.org/a/ukraine-anti-drone-gun-russia-war/31912255.html" TargetMode="External"/><Relationship Id="rId95" Type="http://schemas.openxmlformats.org/officeDocument/2006/relationships/hyperlink" Target="https://www.marketwatch.com/story/new-army-trucks-may-cost-350000-each-gao-2011-10-27" TargetMode="External"/><Relationship Id="rId160" Type="http://schemas.openxmlformats.org/officeDocument/2006/relationships/hyperlink" Target="https://kyiv.mfa.ee/en/2022/02/estonia-and-germany-to-donate-military-field-hospital-to-ukraine/" TargetMode="External"/><Relationship Id="rId216" Type="http://schemas.openxmlformats.org/officeDocument/2006/relationships/hyperlink" Target="https://www.rferl.org/a/ukraine-anti-drone-gun-russia-war/31912255.html" TargetMode="External"/><Relationship Id="rId258" Type="http://schemas.openxmlformats.org/officeDocument/2006/relationships/hyperlink" Target="https://armstrade.sipri.org/armstrade/page/trade_register.php" TargetMode="External"/><Relationship Id="rId22" Type="http://schemas.openxmlformats.org/officeDocument/2006/relationships/hyperlink" Target="https://engineerine.com/switchblade-will-turn-the-tide-in-ukraine/" TargetMode="External"/><Relationship Id="rId64" Type="http://schemas.openxmlformats.org/officeDocument/2006/relationships/hyperlink" Target="https://en.wikipedia.org/wiki/M198_howitzer" TargetMode="External"/><Relationship Id="rId118" Type="http://schemas.openxmlformats.org/officeDocument/2006/relationships/hyperlink" Target="https://nationalpost.com/news/canada/canadian-army-restricts-use-of-artillery-rounds-after-cracks-found-in-high-tech-shells-costing-150000-each" TargetMode="External"/><Relationship Id="rId325" Type="http://schemas.openxmlformats.org/officeDocument/2006/relationships/hyperlink" Target="http://www.military-today.com/firearms/m72_law.htm" TargetMode="External"/><Relationship Id="rId367" Type="http://schemas.openxmlformats.org/officeDocument/2006/relationships/hyperlink" Target="https://www.thesoldiersproject.org/how-much-does-a-military-humvee-cost/" TargetMode="External"/><Relationship Id="rId171" Type="http://schemas.openxmlformats.org/officeDocument/2006/relationships/hyperlink" Target="https://www.reuters.com/article/ozatp-ethiopia-tanks-ukraine-20110610-idAFJOE7590IR20110610" TargetMode="External"/><Relationship Id="rId227" Type="http://schemas.openxmlformats.org/officeDocument/2006/relationships/hyperlink" Target="https://www.military-today.com/artillery/m777.htm" TargetMode="External"/><Relationship Id="rId269" Type="http://schemas.openxmlformats.org/officeDocument/2006/relationships/hyperlink" Target="https://armstrade.sipri.org/armstrade/page/trade_register.php" TargetMode="External"/><Relationship Id="rId33" Type="http://schemas.openxmlformats.org/officeDocument/2006/relationships/hyperlink" Target="https://www.globalpetrolprices.com/gasoline_prices/%20;%20https:/aviationbenefits.org/environmental-efficiency/climate-action/sustainable-aviation-fuel/conversions-for-saf/" TargetMode="External"/><Relationship Id="rId129" Type="http://schemas.openxmlformats.org/officeDocument/2006/relationships/hyperlink" Target="https://www.amazon.com/Rubber-Boots/s?k=Rubber+Boots" TargetMode="External"/><Relationship Id="rId280" Type="http://schemas.openxmlformats.org/officeDocument/2006/relationships/hyperlink" Target="https://en.wikipedia.org/wiki/Boeing_Insitu_ScanEagle" TargetMode="External"/><Relationship Id="rId336" Type="http://schemas.openxmlformats.org/officeDocument/2006/relationships/hyperlink" Target="https://www.jpost.com/international/article-699010" TargetMode="External"/><Relationship Id="rId75" Type="http://schemas.openxmlformats.org/officeDocument/2006/relationships/hyperlink" Target="https://bestsurvival.org/best-family-tent/" TargetMode="External"/><Relationship Id="rId140" Type="http://schemas.openxmlformats.org/officeDocument/2006/relationships/hyperlink" Target="http://www.military-today.com/firearms/m72_law.htm" TargetMode="External"/><Relationship Id="rId182" Type="http://schemas.openxmlformats.org/officeDocument/2006/relationships/hyperlink" Target="https://www.abc.net.au/news/rural/2022-03-22/cost-sending-70000-tonnes-of-coal-to-ukraine/100929070" TargetMode="External"/><Relationship Id="rId378" Type="http://schemas.openxmlformats.org/officeDocument/2006/relationships/hyperlink" Target="https://www.marketwatch.com/story/new-army-trucks-may-cost-350000-each-gao-2011-10-27" TargetMode="External"/><Relationship Id="rId6" Type="http://schemas.openxmlformats.org/officeDocument/2006/relationships/hyperlink" Target="https://www.globalpetrolprices.com/gasoline_prices/" TargetMode="External"/><Relationship Id="rId238" Type="http://schemas.openxmlformats.org/officeDocument/2006/relationships/hyperlink" Target="https://armstrade.sipri.org/armstrade/page/trade_register.php" TargetMode="External"/><Relationship Id="rId291" Type="http://schemas.openxmlformats.org/officeDocument/2006/relationships/hyperlink" Target="https://www.aerzte-ohne-grenzen.de/sites/default/files/mediathek/entity/document/1998-01-bosnia-report-donation-practices.pdf" TargetMode="External"/><Relationship Id="rId305" Type="http://schemas.openxmlformats.org/officeDocument/2006/relationships/hyperlink" Target="https://www.classic.com/m/toyota/pickup-hilux/year-1990/" TargetMode="External"/><Relationship Id="rId347" Type="http://schemas.openxmlformats.org/officeDocument/2006/relationships/hyperlink" Target="https://armstrade.sipri.org/armstrade/page/trade_register.php" TargetMode="External"/><Relationship Id="rId44" Type="http://schemas.openxmlformats.org/officeDocument/2006/relationships/hyperlink" Target="https://www.globalsecurity.org/military/systems/munitions/m112-c4.htm" TargetMode="External"/><Relationship Id="rId86" Type="http://schemas.openxmlformats.org/officeDocument/2006/relationships/hyperlink" Target="https://www.defensenews.com/land/2016/12/15/poland-orders-howitzers-in-1-1b-artillery-deal/" TargetMode="External"/><Relationship Id="rId151" Type="http://schemas.openxmlformats.org/officeDocument/2006/relationships/hyperlink" Target="https://www.amazon.com/Disposable-Latex-Gloves-Powder-gloves/dp/B000XRY2FE" TargetMode="External"/><Relationship Id="rId389" Type="http://schemas.openxmlformats.org/officeDocument/2006/relationships/hyperlink" Target="https://armstrade.sipri.org/armstrade/page/trade_register.php" TargetMode="External"/><Relationship Id="rId193" Type="http://schemas.openxmlformats.org/officeDocument/2006/relationships/hyperlink" Target="https://www.armyrecognition.com/defense_news_january_2021_global_security_army_industry/first_iveco_lmv_2_nec_armored_vehicles_enter_service_with_italian_army.html" TargetMode="External"/><Relationship Id="rId207" Type="http://schemas.openxmlformats.org/officeDocument/2006/relationships/hyperlink" Target="https://priceonomics.com/sleeping-bag-price-guide/" TargetMode="External"/><Relationship Id="rId249" Type="http://schemas.openxmlformats.org/officeDocument/2006/relationships/hyperlink" Target="https://www.ukrinform.net/rubric-ato/3491327-canada-to-give-ukraine-over-20000-155-mm-shells.html" TargetMode="External"/><Relationship Id="rId13" Type="http://schemas.openxmlformats.org/officeDocument/2006/relationships/hyperlink" Target="https://firefighterinsider.com/fire-truck-engine-apparatus-cost/" TargetMode="External"/><Relationship Id="rId109" Type="http://schemas.openxmlformats.org/officeDocument/2006/relationships/hyperlink" Target="https://www.bw-online-shop.com/outdoor/outdoorkueche/verpflegung/epa-einmannpackung-typ-2.html" TargetMode="External"/><Relationship Id="rId260" Type="http://schemas.openxmlformats.org/officeDocument/2006/relationships/hyperlink" Target="https://armstrade.sipri.org/armstrade/page/trade_register.php" TargetMode="External"/><Relationship Id="rId316" Type="http://schemas.openxmlformats.org/officeDocument/2006/relationships/hyperlink" Target="https://www.amazon.com/s?k=surgical+gloves&amp;crid=339VHKCNRBO5O&amp;sprefix=surgical+glove%2Caps%2C200&amp;ref=nb_sb_noss_1" TargetMode="External"/><Relationship Id="rId55" Type="http://schemas.openxmlformats.org/officeDocument/2006/relationships/hyperlink" Target="https://truegunvalue.com/pistol/cz-82/price-historical-value" TargetMode="External"/><Relationship Id="rId97" Type="http://schemas.openxmlformats.org/officeDocument/2006/relationships/hyperlink" Target="https://sofrep.com/news/an-introduction-to-the-an-mpq-64-sentinel-aerial-surveillance-radar-ukraine-is-getting-from-the-us/" TargetMode="External"/><Relationship Id="rId120" Type="http://schemas.openxmlformats.org/officeDocument/2006/relationships/hyperlink" Target="https://www.defensenews.com/land/2016/12/21/poland-awards-220m-short-range-air-defense-deal/" TargetMode="External"/><Relationship Id="rId358" Type="http://schemas.openxmlformats.org/officeDocument/2006/relationships/hyperlink" Target="https://www.amazon.com/-/de/dp/B07SMXN8PR/ref=zg_bs_3413661_2/139-2167500-7694641?pd_rd_i=B09VBX2J8P&amp;th=1" TargetMode="External"/><Relationship Id="rId162" Type="http://schemas.openxmlformats.org/officeDocument/2006/relationships/hyperlink" Target="https://www.blautanken.de/adblue-1000-liter-ibc-container-oem/?gclid=Cj0KCQjwntCVBhDdARIsAMEwACk5CvzjsjtbIjYyd1fpO0rAogqNfK3hzDAmmqo_rS87d6nKm3Th7ZsaAhrLEALw_wcB" TargetMode="External"/><Relationship Id="rId218" Type="http://schemas.openxmlformats.org/officeDocument/2006/relationships/hyperlink" Target="https://www.rferl.org/a/ukraine-anti-drone-gun-russia-war/31912255.html" TargetMode="External"/><Relationship Id="rId271" Type="http://schemas.openxmlformats.org/officeDocument/2006/relationships/hyperlink" Target="https://edition.cnn.com/europe/live-news/russia-ukraine-war-news-08-25-22/index.html" TargetMode="External"/><Relationship Id="rId24" Type="http://schemas.openxmlformats.org/officeDocument/2006/relationships/hyperlink" Target="https://www.amazon.com/s?k=surgical+gloves&amp;crid=339VHKCNRBO5O&amp;sprefix=surgical+glove%2Caps%2C200&amp;ref=nb_sb_noss_1" TargetMode="External"/><Relationship Id="rId66" Type="http://schemas.openxmlformats.org/officeDocument/2006/relationships/hyperlink" Target="https://www.defense.gov/News/Contracts/Contract/Article/1561988/" TargetMode="External"/><Relationship Id="rId131" Type="http://schemas.openxmlformats.org/officeDocument/2006/relationships/hyperlink" Target="https://www.dsca.mil/press-media/major-arms-sales/finland-guided-multiple-launch-rocket-system-gmlrs-m31a1-unitary-and" TargetMode="External"/><Relationship Id="rId327" Type="http://schemas.openxmlformats.org/officeDocument/2006/relationships/hyperlink" Target="https://www.excel-medical.com/why-are-hospital-beds-so-expensive/" TargetMode="External"/><Relationship Id="rId369" Type="http://schemas.openxmlformats.org/officeDocument/2006/relationships/hyperlink" Target="https://www.ltt-versand.de/licht/spezialeffektgeraete/zubehoer-fuer-spezialeffekte/fluide/8540/eurolite-foam-konzentrat-5l?gclid=CjwKCAiApvebBhAvEiwAe7mHSJfGcV_-VQ6pAf5Cn7KZF-l9eRLIAy5NPA0_p3Rrtqdch1Lg5jjLghoCu1UQAvD_BwE" TargetMode="External"/><Relationship Id="rId173" Type="http://schemas.openxmlformats.org/officeDocument/2006/relationships/hyperlink" Target="https://www.navalnews.com/naval-news/2021/01/u-s-navy-will-not-replace-the-patrol-coastals-with-a-new-boat-of-similar-size-and-type/" TargetMode="External"/><Relationship Id="rId229" Type="http://schemas.openxmlformats.org/officeDocument/2006/relationships/hyperlink" Target="https://www.dw.com/en/ukraine-warns-russia-is-trying-to-split-country-in-two-as-it-happened/a-61271087" TargetMode="External"/><Relationship Id="rId380" Type="http://schemas.openxmlformats.org/officeDocument/2006/relationships/hyperlink" Target="https://www.gao.gov/assets/psad-76-153.pdf" TargetMode="External"/><Relationship Id="rId240" Type="http://schemas.openxmlformats.org/officeDocument/2006/relationships/hyperlink" Target="https://www.amazon.de/-/en/gp/bestsellers/sports/243115011" TargetMode="External"/><Relationship Id="rId35" Type="http://schemas.openxmlformats.org/officeDocument/2006/relationships/hyperlink" Target="https://www.wikiwand.com/en/RPG-22" TargetMode="External"/><Relationship Id="rId77" Type="http://schemas.openxmlformats.org/officeDocument/2006/relationships/hyperlink" Target="https://www.armynavyshop.com/SRCH.html" TargetMode="External"/><Relationship Id="rId100" Type="http://schemas.openxmlformats.org/officeDocument/2006/relationships/hyperlink" Target="https://tvpworld.com/37474331/polish-army-to-receive-100-drones-in-2018" TargetMode="External"/><Relationship Id="rId282" Type="http://schemas.openxmlformats.org/officeDocument/2006/relationships/hyperlink" Target="https://www.asafm.army.mil/Portals/72/Documents/BudgetMaterial/2021/Base%20Budget/Procurement/MSLS_FY_2021_PB_Missile_Procurement_Army.pdf" TargetMode="External"/><Relationship Id="rId338" Type="http://schemas.openxmlformats.org/officeDocument/2006/relationships/hyperlink" Target="https://www.axios.com/2022/05/28/us-awards-replenish-stinger-stock-ukraine" TargetMode="External"/><Relationship Id="rId8" Type="http://schemas.openxmlformats.org/officeDocument/2006/relationships/hyperlink" Target="https://truegunvalue.com/rifle/ak-47/price-historical-value" TargetMode="External"/><Relationship Id="rId142" Type="http://schemas.openxmlformats.org/officeDocument/2006/relationships/hyperlink" Target="https://www.frankonia.de/p/sellier-bellot/9-mm-luger-vollmantel-8-0g-124grs/65187" TargetMode="External"/><Relationship Id="rId184" Type="http://schemas.openxmlformats.org/officeDocument/2006/relationships/hyperlink" Target="https://www.amazon.de/s?k=Sleeping+mat&amp;crid=AP6F6KPMMYLL&amp;sprefix=sleeping+mat%2Caps%2C112&amp;ref=nb_sb_noss_1" TargetMode="External"/><Relationship Id="rId391" Type="http://schemas.openxmlformats.org/officeDocument/2006/relationships/hyperlink" Target="https://www.truckpaper.com/listings/trucks/for-sale/list/manufacturer/oshkosh/model/m1070" TargetMode="External"/><Relationship Id="rId251" Type="http://schemas.openxmlformats.org/officeDocument/2006/relationships/hyperlink" Target="https://nationalpost.com/news/canada/canadian-army-restricts-use-of-artillery-rounds-after-cracks-found-in-high-tech-shells-costing-150000-each" TargetMode="External"/><Relationship Id="rId46" Type="http://schemas.openxmlformats.org/officeDocument/2006/relationships/hyperlink" Target="https://www.amazon.com/Best-Sellers-Medical-Safety-Goggles/zgbs/industrial/11312320011" TargetMode="External"/><Relationship Id="rId293" Type="http://schemas.openxmlformats.org/officeDocument/2006/relationships/hyperlink" Target="https://www.military-today.com/artillery/m777.htm" TargetMode="External"/><Relationship Id="rId307" Type="http://schemas.openxmlformats.org/officeDocument/2006/relationships/hyperlink" Target="https://www.crz.gov.sk/3819680/" TargetMode="External"/><Relationship Id="rId349" Type="http://schemas.openxmlformats.org/officeDocument/2006/relationships/hyperlink" Target="https://twitter.com/a_anusauskas/status/1575131983499362304" TargetMode="External"/><Relationship Id="rId88" Type="http://schemas.openxmlformats.org/officeDocument/2006/relationships/hyperlink" Target="https://www.amazon.com/-/de/dp/B08FXVMBX2/ref=sr_1_7?keywords=hygiene+kit&amp;qid=1654184235&amp;sr=8-7" TargetMode="External"/><Relationship Id="rId111" Type="http://schemas.openxmlformats.org/officeDocument/2006/relationships/hyperlink" Target="https://tapportals.mk.gov.lv/legal_acts/4cc2e5ed-8d7f-4052-8aaa-9a3a1d472b7d" TargetMode="External"/><Relationship Id="rId153" Type="http://schemas.openxmlformats.org/officeDocument/2006/relationships/hyperlink" Target="https://getnightride.com/blogs/nightride-blog/best-thermal-imaging-camera-value" TargetMode="External"/><Relationship Id="rId195" Type="http://schemas.openxmlformats.org/officeDocument/2006/relationships/hyperlink" Target="https://www.thedefensepost.com/2022/05/03/lockheed-ramp-up-javelin-production/" TargetMode="External"/><Relationship Id="rId209" Type="http://schemas.openxmlformats.org/officeDocument/2006/relationships/hyperlink" Target="https://www.luckygunner.com/rifle/5.56x45-ammo" TargetMode="External"/><Relationship Id="rId360" Type="http://schemas.openxmlformats.org/officeDocument/2006/relationships/hyperlink" Target="https://en.wikipedia.org/wiki/9K32_Strela-2" TargetMode="External"/><Relationship Id="rId220" Type="http://schemas.openxmlformats.org/officeDocument/2006/relationships/hyperlink" Target="https://armstrade.sipri.org/armstrade/page/trade_register.php" TargetMode="External"/><Relationship Id="rId15" Type="http://schemas.openxmlformats.org/officeDocument/2006/relationships/hyperlink" Target="https://www.aerzte-ohne-grenzen.de/sites/default/files/mediathek/entity/document/1998-01-bosnia-report-donation-practices.pdf" TargetMode="External"/><Relationship Id="rId57" Type="http://schemas.openxmlformats.org/officeDocument/2006/relationships/hyperlink" Target="https://www.deagel.com/Tactical%20Vehicles/ANTPQ-36/a000601" TargetMode="External"/><Relationship Id="rId262" Type="http://schemas.openxmlformats.org/officeDocument/2006/relationships/hyperlink" Target="https://armstrade.sipri.org/armstrade/page/trade_register.php" TargetMode="External"/><Relationship Id="rId318" Type="http://schemas.openxmlformats.org/officeDocument/2006/relationships/hyperlink" Target="https://www.bw-online-shop.com/outdoor/outdoorkueche/verpflegung/epa-einmannpackung-typ-2.html" TargetMode="External"/><Relationship Id="rId99" Type="http://schemas.openxmlformats.org/officeDocument/2006/relationships/hyperlink" Target="http://www.army-guide.com/eng/product1033.html" TargetMode="External"/><Relationship Id="rId122" Type="http://schemas.openxmlformats.org/officeDocument/2006/relationships/hyperlink" Target="https://mezha.media/en/2022/04/02/together-with-switchblades-drones-the-u-s-will-provide-ukraine-with-the-rq-20-puma-unmanned-aerial-vehicles/" TargetMode="External"/><Relationship Id="rId164"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371" Type="http://schemas.openxmlformats.org/officeDocument/2006/relationships/hyperlink" Target="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 TargetMode="External"/><Relationship Id="rId26" Type="http://schemas.openxmlformats.org/officeDocument/2006/relationships/hyperlink" Target="https://www.amazon.com/s?k=surgical+mask&amp;crid=1ROTDHJDQISW0&amp;sprefix=surgical+mas%2Caps%2C175&amp;ref=nb_sb_noss_2" TargetMode="External"/><Relationship Id="rId231" Type="http://schemas.openxmlformats.org/officeDocument/2006/relationships/hyperlink" Target="https://www.alibaba.com/showroom/basics-shoes-online.html" TargetMode="External"/><Relationship Id="rId273" Type="http://schemas.openxmlformats.org/officeDocument/2006/relationships/hyperlink" Target="https://en.wikipedia.org/wiki/M240_machine_gun" TargetMode="External"/><Relationship Id="rId329" Type="http://schemas.openxmlformats.org/officeDocument/2006/relationships/hyperlink" Target="https://en.wikipedia.org/wiki/M240_machine_gun" TargetMode="External"/><Relationship Id="rId68" Type="http://schemas.openxmlformats.org/officeDocument/2006/relationships/hyperlink" Target="https://en.wikipedia.org/wiki/FIM-92_Stinger" TargetMode="External"/><Relationship Id="rId133" Type="http://schemas.openxmlformats.org/officeDocument/2006/relationships/hyperlink" Target="https://www.paho.org/sites/default/files/RF-SyringePrices-2016-2017-e.pdf" TargetMode="External"/><Relationship Id="rId175" Type="http://schemas.openxmlformats.org/officeDocument/2006/relationships/hyperlink" Target="https://www.globalplanesearch.com/europe/helicopters/mil/mi_2.htm" TargetMode="External"/><Relationship Id="rId340" Type="http://schemas.openxmlformats.org/officeDocument/2006/relationships/hyperlink" Target="https://www.best-osmosis-systems.com/water-filtration-system-cost/" TargetMode="External"/><Relationship Id="rId200" Type="http://schemas.openxmlformats.org/officeDocument/2006/relationships/hyperlink" Target="https://www.frankonia.de/p/sellier-bellot/9-mm-luger-vollmantel-8-0g-124grs/65187" TargetMode="External"/><Relationship Id="rId382" Type="http://schemas.openxmlformats.org/officeDocument/2006/relationships/hyperlink" Target="https://www.dacis.com/budget/budget_pdf/FY18/PROC/A/M80400_131.pdf" TargetMode="External"/><Relationship Id="rId242" Type="http://schemas.openxmlformats.org/officeDocument/2006/relationships/hyperlink" Target="https://www.dsca.mil/press-media/major-arms-sales/finland-guided-multiple-launch-rocket-system-gmlrs-m31a1-unitary-and" TargetMode="External"/><Relationship Id="rId284" Type="http://schemas.openxmlformats.org/officeDocument/2006/relationships/hyperlink" Target="http://www.army-guide.com/eng/product4033.html" TargetMode="External"/><Relationship Id="rId37" Type="http://schemas.openxmlformats.org/officeDocument/2006/relationships/hyperlink" Target="https://survivalfreedom.com/how-much-does-ammo-cost-detailed-price-analysis/" TargetMode="External"/><Relationship Id="rId79" Type="http://schemas.openxmlformats.org/officeDocument/2006/relationships/hyperlink" Target="https://armstrade.sipri.org/armstrade/page/trade_register.php" TargetMode="External"/><Relationship Id="rId102" Type="http://schemas.openxmlformats.org/officeDocument/2006/relationships/hyperlink" Target="https://www.businessinsider.com/armored-car-inkas-sentry-civilian-bulletproof-suv-military-price-2020-9" TargetMode="External"/><Relationship Id="rId144" Type="http://schemas.openxmlformats.org/officeDocument/2006/relationships/hyperlink" Target="https://www.mymat.de/preise-und-formate-fussmatten"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www.ecb.europa.eu/stats/policy_and_exchange_rates/euro_reference_exchange_rates/html/eurofxref-graph-dkk.en.html" TargetMode="External"/><Relationship Id="rId13" Type="http://schemas.openxmlformats.org/officeDocument/2006/relationships/hyperlink" Target="https://www.ecb.europa.eu/stats/policy_and_exchange_rates/euro_reference_exchange_rates/html/eurofxref-graph-cny.en.html" TargetMode="External"/><Relationship Id="rId3" Type="http://schemas.openxmlformats.org/officeDocument/2006/relationships/hyperlink" Target="https://www.ecb.europa.eu/stats/policy_and_exchange_rates/euro_reference_exchange_rates/html/eurofxref-graph-gbp.en.html" TargetMode="External"/><Relationship Id="rId7" Type="http://schemas.openxmlformats.org/officeDocument/2006/relationships/hyperlink" Target="https://www.ecb.europa.eu/stats/policy_and_exchange_rates/euro_reference_exchange_rates/html/eurofxref-graph-czk.en.html" TargetMode="External"/><Relationship Id="rId12" Type="http://schemas.openxmlformats.org/officeDocument/2006/relationships/hyperlink" Target="https://www.ecb.europa.eu/stats/policy_and_exchange_rates/euro_reference_exchange_rates/html/eurofxref-graph-huf.en.html" TargetMode="External"/><Relationship Id="rId2" Type="http://schemas.openxmlformats.org/officeDocument/2006/relationships/hyperlink" Target="https://www.ecb.europa.eu/stats/policy_and_exchange_rates/euro_reference_exchange_rates/html/eurofxref-graph-cad.en.html" TargetMode="External"/><Relationship Id="rId16" Type="http://schemas.openxmlformats.org/officeDocument/2006/relationships/hyperlink" Target="https://www.ecb.europa.eu/stats/policy_and_exchange_rates/euro_reference_exchange_rates/html/eurofxref-graph-chf.en.html" TargetMode="External"/><Relationship Id="rId1" Type="http://schemas.openxmlformats.org/officeDocument/2006/relationships/hyperlink" Target="https://www.ecb.europa.eu/stats/policy_and_exchange_rates/euro_reference_exchange_rates/html/eurofxref-graph-usd.en.html" TargetMode="External"/><Relationship Id="rId6" Type="http://schemas.openxmlformats.org/officeDocument/2006/relationships/hyperlink" Target="https://www.ecb.europa.eu/stats/policy_and_exchange_rates/euro_reference_exchange_rates/html/eurofxref-graph-hrk.en.html" TargetMode="External"/><Relationship Id="rId11" Type="http://schemas.openxmlformats.org/officeDocument/2006/relationships/hyperlink" Target="https://www.ecb.europa.eu/stats/policy_and_exchange_rates/euro_reference_exchange_rates/html/eurofxref-graph-nzd.en.html" TargetMode="External"/><Relationship Id="rId5" Type="http://schemas.openxmlformats.org/officeDocument/2006/relationships/hyperlink" Target="https://www.ecb.europa.eu/stats/policy_and_exchange_rates/euro_reference_exchange_rates/html/eurofxref-graph-ron.en.html" TargetMode="External"/><Relationship Id="rId15" Type="http://schemas.openxmlformats.org/officeDocument/2006/relationships/hyperlink" Target="https://www.ecb.europa.eu/stats/policy_and_exchange_rates/euro_reference_exchange_rates/html/eurofxref-graph-sek.en.html" TargetMode="External"/><Relationship Id="rId10" Type="http://schemas.openxmlformats.org/officeDocument/2006/relationships/hyperlink" Target="https://www.ecb.europa.eu/stats/policy_and_exchange_rates/euro_reference_exchange_rates/html/eurofxref-graph-nok.en.html" TargetMode="External"/><Relationship Id="rId4" Type="http://schemas.openxmlformats.org/officeDocument/2006/relationships/hyperlink" Target="https://www.ecb.europa.eu/stats/policy_and_exchange_rates/euro_reference_exchange_rates/html/eurofxref-graph-pln.en.html" TargetMode="External"/><Relationship Id="rId9" Type="http://schemas.openxmlformats.org/officeDocument/2006/relationships/hyperlink" Target="https://www.ecb.europa.eu/stats/policy_and_exchange_rates/euro_reference_exchange_rates/html/eurofxref-graph-aud.en.html" TargetMode="External"/><Relationship Id="rId14" Type="http://schemas.openxmlformats.org/officeDocument/2006/relationships/hyperlink" Target="https://sdw.ecb.europa.eu/quickview.do?SERIES_KEY=120.EXR.D.TWD.EUR.SP00.A"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data.unhcr.org/en/situations/ukraine"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8" Type="http://schemas.openxmlformats.org/officeDocument/2006/relationships/hyperlink" Target="https://reliefweb.int/report/ukraine/ukraine-flash-appeal-march-may-2022-enukru" TargetMode="External"/><Relationship Id="rId13" Type="http://schemas.openxmlformats.org/officeDocument/2006/relationships/hyperlink" Target="https://www.worldbank.org/en/news/press-release/2022/03/07/world-bank-mobilizes-an-emergency-financing-package-of-over-700-million-for-ukraine" TargetMode="External"/><Relationship Id="rId18" Type="http://schemas.openxmlformats.org/officeDocument/2006/relationships/hyperlink" Target="https://www.imf.org/en/News/Articles/2022/04/08/pr22111-imf-executive-board-approves-establishment-of-a-multi-donor-administered-account-for-ukraine" TargetMode="External"/><Relationship Id="rId26" Type="http://schemas.openxmlformats.org/officeDocument/2006/relationships/hyperlink" Target="https://www.ebrd.com/news/2022/ebrd-commits-up-to-3-billion-to-ukraine.html" TargetMode="External"/><Relationship Id="rId3" Type="http://schemas.openxmlformats.org/officeDocument/2006/relationships/hyperlink" Target="https://www.imf.org/en/News/Articles/2022/03/17/pr2280-joint-statement-heads-ifis-programs-ukraine-neighboring-countries" TargetMode="External"/><Relationship Id="rId21" Type="http://schemas.openxmlformats.org/officeDocument/2006/relationships/hyperlink" Target="https://www.bloomberg.com/news/articles/2022-04-08/imf-creates-new-account-to-help-ukraine-as-canada-pledges-funds" TargetMode="External"/><Relationship Id="rId7" Type="http://schemas.openxmlformats.org/officeDocument/2006/relationships/hyperlink" Target="https://reliefweb.int/report/ukraine/ukraine-flash-appeal-march-may-2022-enukru" TargetMode="External"/><Relationship Id="rId12" Type="http://schemas.openxmlformats.org/officeDocument/2006/relationships/hyperlink" Target="https://www.worldbank.org/en/news/press-release/2022/03/07/world-bank-mobilizes-an-emergency-financing-package-of-over-700-million-for-ukraine" TargetMode="External"/><Relationship Id="rId17" Type="http://schemas.openxmlformats.org/officeDocument/2006/relationships/hyperlink" Target="https://www.reuters.com/business/world-bank-says-it-is-preparing-15-billion-aid-package-ukraine-2022-04-12/" TargetMode="External"/><Relationship Id="rId25" Type="http://schemas.openxmlformats.org/officeDocument/2006/relationships/hyperlink" Target="https://www.imf.org/en/News/Articles/2022/10/07/pr22343-imf-approves-emergency-financing-support-to-ukraine" TargetMode="External"/><Relationship Id="rId2" Type="http://schemas.openxmlformats.org/officeDocument/2006/relationships/hyperlink" Target="https://www.worldbank.org/en/news/statement/2022/03/17/joint-statement-of-heads-of-international-financial-institutions-with-programs-in-ukraine-and-neighboring-countries" TargetMode="External"/><Relationship Id="rId16" Type="http://schemas.openxmlformats.org/officeDocument/2006/relationships/hyperlink" Target="https://www.worldbank.org/en/news/press-release/2022/03/14/world-bank-announces-additional-200-million-in-financing-for-ukraine" TargetMode="External"/><Relationship Id="rId20" Type="http://schemas.openxmlformats.org/officeDocument/2006/relationships/hyperlink" Target="https://www.worldbank.org/en/news/press-release/2022/06/07/-world-bank-announces-additional-1-49-billion-financing-support-for-ukraine" TargetMode="External"/><Relationship Id="rId1" Type="http://schemas.openxmlformats.org/officeDocument/2006/relationships/hyperlink" Target="https://www.ebrd.com/news/2022/ebrd-unveils-2-billion-resilience-package-in-response-to-the-war-on-ukraine-.html" TargetMode="External"/><Relationship Id="rId6" Type="http://schemas.openxmlformats.org/officeDocument/2006/relationships/hyperlink" Target="https://reliefweb.int/report/ukraine/ukraine-flash-appeal-march-may-2022-enukru" TargetMode="External"/><Relationship Id="rId11" Type="http://schemas.openxmlformats.org/officeDocument/2006/relationships/hyperlink" Target="https://www.imf.org/en/News/Articles/2022/03/17/pr2280-joint-statement-heads-ifis-programs-ukraine-neighboring-countries" TargetMode="External"/><Relationship Id="rId24" Type="http://schemas.openxmlformats.org/officeDocument/2006/relationships/hyperlink" Target="https://www.worldbank.org/en/news/press-release/2022/08/08/world-bank-mobilizes-4-5-billion-in-additional-financing-for-vital-support-to-ukraine" TargetMode="External"/><Relationship Id="rId5" Type="http://schemas.openxmlformats.org/officeDocument/2006/relationships/hyperlink" Target="https://www.icrc.org/en/document/what-about-our-action-ukraine" TargetMode="External"/><Relationship Id="rId15" Type="http://schemas.openxmlformats.org/officeDocument/2006/relationships/hyperlink" Target="https://www.theguardian.com/world/2022/apr/12/world-bank-approves-770m-ukraine-services-funds-russia" TargetMode="External"/><Relationship Id="rId23" Type="http://schemas.openxmlformats.org/officeDocument/2006/relationships/hyperlink" Target="https://www.worldbank.org/en/news/press-release/2022/09/30/world-bank-mobilizes-additional-530-million-in-support-to-ukraine" TargetMode="External"/><Relationship Id="rId10" Type="http://schemas.openxmlformats.org/officeDocument/2006/relationships/hyperlink" Target="https://www.worldbank.org/en/news/press-release/2022/03/07/world-bank-mobilizes-an-emergency-financing-package-of-over-700-million-for-ukraine" TargetMode="External"/><Relationship Id="rId19" Type="http://schemas.openxmlformats.org/officeDocument/2006/relationships/hyperlink" Target="https://www.ebrd.com/news/2022/ebrd-enhances-trade-finance-for-ukraine-.html" TargetMode="External"/><Relationship Id="rId4" Type="http://schemas.openxmlformats.org/officeDocument/2006/relationships/hyperlink" Target="https://www.imf.org/en/About/FAQ/russia-ukraine" TargetMode="External"/><Relationship Id="rId9" Type="http://schemas.openxmlformats.org/officeDocument/2006/relationships/hyperlink" Target="https://www.unocha.org/ukraine/about-uhf" TargetMode="External"/><Relationship Id="rId14" Type="http://schemas.openxmlformats.org/officeDocument/2006/relationships/hyperlink" Target="https://www.worldbank.org/en/news/press-release/2022/03/14/world-bank-announces-additional-200-million-in-financing-for-ukraine" TargetMode="External"/><Relationship Id="rId22" Type="http://schemas.openxmlformats.org/officeDocument/2006/relationships/hyperlink" Target="https://english.nv.ua/nation/canada-to-send-1-billion-canadian-dollars-to-ukraine-50232696.html" TargetMode="External"/><Relationship Id="rId27"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middleeasteye.net/news/russia-ukraine-war-tb2-bayraktar-drones-fifty-received" TargetMode="External"/><Relationship Id="rId7" Type="http://schemas.openxmlformats.org/officeDocument/2006/relationships/hyperlink" Target="https://www.defensenews.com/global/europe/2022/06/08/ukraine-to-buy-polish-howitzers-as-long-war-looms-with-russia/" TargetMode="External"/><Relationship Id="rId2" Type="http://schemas.openxmlformats.org/officeDocument/2006/relationships/hyperlink" Target="https://asia.nikkei.com/Politics/Ukraine-war/With-drone-gift-to-Ukraine-Turkey-s-Baykar-wins-fans-and-clients" TargetMode="External"/><Relationship Id="rId1" Type="http://schemas.openxmlformats.org/officeDocument/2006/relationships/hyperlink" Target="https://english.nv.ua/nation/slovakia-to-send-8-howitzers-to-ukraine-military-news-50247162.html" TargetMode="External"/><Relationship Id="rId6" Type="http://schemas.openxmlformats.org/officeDocument/2006/relationships/hyperlink" Target="https://mil.in.ua/en/news/germany-agreed-to-sell-100-panzerhaubitze-2000-to-ukraine/" TargetMode="External"/><Relationship Id="rId5" Type="http://schemas.openxmlformats.org/officeDocument/2006/relationships/hyperlink" Target="https://mil.in.ua/en/news/the-czech-company-will-hand-over-two-reconnaissance-bivoj-uavs-to-ukraine/" TargetMode="External"/><Relationship Id="rId4" Type="http://schemas.openxmlformats.org/officeDocument/2006/relationships/hyperlink" Target="https://babel.ua/en/news/80749-the-czech-company-will-hand-over-three-modern-bivoj-reconnaissance-drones-to-ukraine"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W16220"/>
  <sheetViews>
    <sheetView showGridLines="0" tabSelected="1" zoomScaleNormal="100" workbookViewId="0">
      <selection activeCell="B2" sqref="B2:M3"/>
    </sheetView>
  </sheetViews>
  <sheetFormatPr defaultColWidth="9" defaultRowHeight="15.6"/>
  <cols>
    <col min="1" max="1" width="9" style="14"/>
    <col min="2" max="2" width="32.5" style="14" customWidth="1"/>
    <col min="3" max="16384" width="9" style="14"/>
  </cols>
  <sheetData>
    <row r="1" spans="1:23">
      <c r="A1" s="13"/>
      <c r="B1" s="13"/>
      <c r="C1" s="13"/>
      <c r="D1" s="13"/>
      <c r="E1" s="13"/>
      <c r="F1" s="13"/>
      <c r="G1" s="13"/>
      <c r="H1" s="13"/>
      <c r="I1" s="13"/>
      <c r="J1" s="13"/>
      <c r="K1" s="13"/>
      <c r="L1" s="13"/>
      <c r="M1" s="13"/>
      <c r="N1" s="13"/>
      <c r="O1" s="13"/>
    </row>
    <row r="2" spans="1:23">
      <c r="A2" s="13"/>
      <c r="B2" s="848" t="s">
        <v>0</v>
      </c>
      <c r="C2" s="848"/>
      <c r="D2" s="848"/>
      <c r="E2" s="848"/>
      <c r="F2" s="848"/>
      <c r="G2" s="848"/>
      <c r="H2" s="848"/>
      <c r="I2" s="848"/>
      <c r="J2" s="848"/>
      <c r="K2" s="848"/>
      <c r="L2" s="848"/>
      <c r="M2" s="848"/>
      <c r="N2" s="15"/>
      <c r="O2" s="13"/>
    </row>
    <row r="3" spans="1:23" ht="20.100000000000001">
      <c r="A3" s="16"/>
      <c r="B3" s="848"/>
      <c r="C3" s="848"/>
      <c r="D3" s="848"/>
      <c r="E3" s="848"/>
      <c r="F3" s="848"/>
      <c r="G3" s="848"/>
      <c r="H3" s="848"/>
      <c r="I3" s="848"/>
      <c r="J3" s="848"/>
      <c r="K3" s="848"/>
      <c r="L3" s="848"/>
      <c r="M3" s="848"/>
      <c r="N3" s="15"/>
      <c r="O3" s="13"/>
    </row>
    <row r="4" spans="1:23" ht="16.5" customHeight="1">
      <c r="A4" s="16"/>
      <c r="B4" s="850" t="s">
        <v>1</v>
      </c>
      <c r="C4" s="850"/>
      <c r="D4" s="850"/>
      <c r="E4" s="850"/>
      <c r="F4" s="850"/>
      <c r="G4" s="850"/>
      <c r="H4" s="850"/>
      <c r="I4" s="850"/>
      <c r="J4" s="850"/>
      <c r="K4" s="850"/>
      <c r="L4" s="850"/>
      <c r="M4" s="850"/>
      <c r="N4" s="15"/>
      <c r="O4" s="13"/>
    </row>
    <row r="5" spans="1:23">
      <c r="A5" s="13"/>
      <c r="B5" s="17"/>
      <c r="C5" s="17"/>
      <c r="D5" s="17"/>
      <c r="E5" s="17"/>
      <c r="F5" s="17"/>
      <c r="G5" s="17"/>
      <c r="H5" s="17"/>
      <c r="I5" s="17"/>
      <c r="J5" s="17"/>
      <c r="K5" s="17"/>
      <c r="L5" s="17"/>
      <c r="M5" s="17"/>
      <c r="N5" s="17"/>
      <c r="O5" s="13"/>
    </row>
    <row r="6" spans="1:23">
      <c r="A6" s="13"/>
      <c r="B6" s="849" t="s">
        <v>2</v>
      </c>
      <c r="C6" s="849"/>
      <c r="D6" s="849"/>
      <c r="E6" s="849"/>
      <c r="F6" s="849"/>
      <c r="G6" s="849"/>
      <c r="H6" s="849"/>
      <c r="I6" s="849"/>
      <c r="J6" s="849"/>
      <c r="K6" s="849"/>
      <c r="L6" s="849"/>
      <c r="M6" s="849"/>
      <c r="N6" s="15"/>
      <c r="O6" s="13"/>
    </row>
    <row r="7" spans="1:23">
      <c r="A7" s="13"/>
      <c r="B7" s="815"/>
      <c r="C7" s="815"/>
      <c r="D7" s="815"/>
      <c r="E7" s="815"/>
      <c r="F7" s="815"/>
      <c r="G7" s="815"/>
      <c r="H7" s="815"/>
      <c r="I7" s="815"/>
      <c r="J7" s="815"/>
      <c r="K7" s="815"/>
      <c r="L7" s="815"/>
      <c r="M7" s="815"/>
      <c r="N7" s="15"/>
      <c r="O7" s="13"/>
    </row>
    <row r="8" spans="1:23" ht="15.75">
      <c r="A8" s="13"/>
      <c r="B8" s="815"/>
      <c r="C8" s="815"/>
      <c r="D8" s="815"/>
      <c r="E8" s="815"/>
      <c r="F8" s="815"/>
      <c r="G8" s="815"/>
      <c r="H8" s="815"/>
      <c r="I8" s="815"/>
      <c r="J8" s="815"/>
      <c r="K8" s="815"/>
      <c r="L8" s="815"/>
      <c r="M8" s="815"/>
      <c r="N8" s="15"/>
      <c r="O8" s="13"/>
    </row>
    <row r="9" spans="1:23">
      <c r="A9" s="18"/>
      <c r="B9" s="19" t="s">
        <v>3</v>
      </c>
      <c r="D9" s="20"/>
      <c r="E9" s="20"/>
      <c r="F9" s="20"/>
      <c r="G9" s="20"/>
      <c r="H9" s="20"/>
      <c r="I9" s="20"/>
      <c r="J9" s="20"/>
      <c r="K9" s="20"/>
      <c r="L9" s="21"/>
      <c r="M9" s="21"/>
      <c r="N9" s="18"/>
      <c r="O9" s="18"/>
    </row>
    <row r="10" spans="1:23">
      <c r="A10" s="18"/>
      <c r="B10" s="19"/>
      <c r="D10" s="20"/>
      <c r="E10" s="20"/>
      <c r="F10" s="20"/>
      <c r="G10" s="20"/>
      <c r="H10" s="20"/>
      <c r="I10" s="20"/>
      <c r="J10" s="20"/>
      <c r="K10" s="20"/>
      <c r="L10" s="21"/>
      <c r="M10" s="21"/>
      <c r="N10" s="18"/>
      <c r="O10" s="18"/>
    </row>
    <row r="11" spans="1:23" ht="36.75" customHeight="1">
      <c r="A11" s="18"/>
      <c r="B11" s="853" t="s">
        <v>4</v>
      </c>
      <c r="C11" s="854"/>
      <c r="D11" s="854"/>
      <c r="E11" s="854"/>
      <c r="F11" s="854"/>
      <c r="G11" s="854"/>
      <c r="H11" s="854"/>
      <c r="I11" s="854"/>
      <c r="J11" s="854"/>
      <c r="K11" s="854"/>
      <c r="L11" s="854"/>
      <c r="M11" s="854"/>
      <c r="N11" s="854"/>
      <c r="O11" s="854"/>
      <c r="P11" s="854"/>
      <c r="Q11" s="23"/>
      <c r="R11" s="23"/>
      <c r="S11" s="23"/>
      <c r="T11" s="24"/>
      <c r="U11" s="24"/>
      <c r="V11" s="24"/>
      <c r="W11" s="24"/>
    </row>
    <row r="12" spans="1:23">
      <c r="A12" s="18"/>
      <c r="B12" s="22"/>
      <c r="C12" s="23"/>
      <c r="D12" s="23"/>
      <c r="E12" s="23"/>
      <c r="F12" s="23"/>
      <c r="G12" s="23"/>
      <c r="H12" s="23"/>
      <c r="I12" s="23"/>
      <c r="J12" s="23"/>
      <c r="K12" s="23"/>
      <c r="L12" s="23"/>
      <c r="M12" s="23"/>
      <c r="N12" s="23"/>
      <c r="O12" s="23"/>
      <c r="P12" s="23"/>
      <c r="Q12" s="23"/>
      <c r="R12" s="23"/>
      <c r="S12" s="23"/>
      <c r="T12" s="24"/>
      <c r="U12" s="24"/>
      <c r="V12" s="24"/>
      <c r="W12" s="24"/>
    </row>
    <row r="13" spans="1:23">
      <c r="A13" s="18"/>
      <c r="B13" s="22"/>
      <c r="C13" s="23"/>
      <c r="D13" s="23"/>
      <c r="E13" s="23"/>
      <c r="F13" s="23"/>
      <c r="G13" s="23"/>
      <c r="H13" s="23"/>
      <c r="I13" s="23"/>
      <c r="J13" s="23"/>
      <c r="K13" s="23"/>
      <c r="L13" s="23"/>
      <c r="M13" s="23"/>
      <c r="N13" s="23"/>
      <c r="O13" s="23"/>
      <c r="P13" s="23"/>
      <c r="Q13" s="23"/>
      <c r="R13" s="23"/>
      <c r="S13" s="23"/>
      <c r="T13" s="24"/>
      <c r="U13" s="24"/>
      <c r="V13" s="24"/>
      <c r="W13" s="24"/>
    </row>
    <row r="14" spans="1:23">
      <c r="A14" s="18"/>
      <c r="B14" s="25" t="s">
        <v>5</v>
      </c>
      <c r="C14" s="23"/>
      <c r="D14" s="23"/>
      <c r="E14" s="23"/>
      <c r="F14" s="23"/>
      <c r="G14" s="23"/>
      <c r="H14" s="23"/>
      <c r="I14" s="23"/>
      <c r="J14" s="23"/>
      <c r="K14" s="23"/>
      <c r="L14" s="23"/>
      <c r="M14" s="23"/>
      <c r="N14" s="23"/>
      <c r="O14" s="23"/>
      <c r="P14" s="23"/>
      <c r="Q14" s="23"/>
      <c r="R14" s="23"/>
      <c r="S14" s="23"/>
      <c r="T14" s="24"/>
      <c r="U14" s="24"/>
      <c r="V14" s="24"/>
      <c r="W14" s="24"/>
    </row>
    <row r="15" spans="1:23">
      <c r="A15" s="18"/>
      <c r="B15" s="25"/>
      <c r="C15" s="23"/>
      <c r="D15" s="23"/>
      <c r="E15" s="23"/>
      <c r="F15" s="23"/>
      <c r="G15" s="23"/>
      <c r="H15" s="23"/>
      <c r="I15" s="23"/>
      <c r="J15" s="23"/>
      <c r="K15" s="23"/>
      <c r="L15" s="23"/>
      <c r="M15" s="23"/>
      <c r="N15" s="23"/>
      <c r="O15" s="23"/>
      <c r="P15" s="23"/>
      <c r="Q15" s="23"/>
      <c r="R15" s="23"/>
      <c r="S15" s="23"/>
      <c r="T15" s="24"/>
      <c r="U15" s="24"/>
      <c r="V15" s="24"/>
      <c r="W15" s="24"/>
    </row>
    <row r="16" spans="1:23" s="26" customFormat="1" ht="16.5" customHeight="1">
      <c r="A16" s="12"/>
      <c r="B16" s="851" t="s">
        <v>6</v>
      </c>
      <c r="C16" s="851"/>
      <c r="D16" s="851"/>
      <c r="E16" s="851"/>
      <c r="F16" s="851"/>
      <c r="G16" s="851"/>
      <c r="H16" s="851"/>
      <c r="I16" s="851"/>
      <c r="J16" s="851"/>
      <c r="K16" s="851"/>
      <c r="L16" s="851"/>
      <c r="M16" s="851"/>
      <c r="N16" s="851"/>
      <c r="O16" s="851"/>
      <c r="P16" s="851"/>
      <c r="Q16" s="851"/>
      <c r="R16" s="851"/>
      <c r="S16" s="12"/>
    </row>
    <row r="17" spans="1:19" s="26" customFormat="1" ht="16.5" customHeight="1">
      <c r="A17" s="12"/>
      <c r="B17" s="851"/>
      <c r="C17" s="851"/>
      <c r="D17" s="851"/>
      <c r="E17" s="851"/>
      <c r="F17" s="851"/>
      <c r="G17" s="851"/>
      <c r="H17" s="851"/>
      <c r="I17" s="851"/>
      <c r="J17" s="851"/>
      <c r="K17" s="851"/>
      <c r="L17" s="851"/>
      <c r="M17" s="851"/>
      <c r="N17" s="851"/>
      <c r="O17" s="851"/>
      <c r="P17" s="851"/>
      <c r="Q17" s="851"/>
      <c r="R17" s="851"/>
      <c r="S17" s="12"/>
    </row>
    <row r="18" spans="1:19" s="26" customFormat="1" ht="16.5" customHeight="1">
      <c r="A18" s="12"/>
      <c r="B18" s="851"/>
      <c r="C18" s="851"/>
      <c r="D18" s="851"/>
      <c r="E18" s="851"/>
      <c r="F18" s="851"/>
      <c r="G18" s="851"/>
      <c r="H18" s="851"/>
      <c r="I18" s="851"/>
      <c r="J18" s="851"/>
      <c r="K18" s="851"/>
      <c r="L18" s="851"/>
      <c r="M18" s="851"/>
      <c r="N18" s="851"/>
      <c r="O18" s="851"/>
      <c r="P18" s="851"/>
      <c r="Q18" s="851"/>
      <c r="R18" s="851"/>
      <c r="S18" s="12"/>
    </row>
    <row r="19" spans="1:19" s="27" customFormat="1" ht="14.1">
      <c r="A19" s="1"/>
      <c r="B19" s="12"/>
      <c r="C19" s="12"/>
      <c r="D19" s="12"/>
      <c r="E19" s="12"/>
      <c r="F19" s="12"/>
      <c r="G19" s="12"/>
      <c r="H19" s="12"/>
      <c r="I19" s="12"/>
      <c r="J19" s="12"/>
      <c r="K19" s="12"/>
      <c r="L19" s="12"/>
      <c r="M19" s="12"/>
      <c r="N19" s="12"/>
      <c r="O19" s="1"/>
      <c r="P19" s="1"/>
      <c r="Q19" s="1"/>
      <c r="R19" s="1"/>
      <c r="S19" s="1"/>
    </row>
    <row r="20" spans="1:19" s="27" customFormat="1" ht="15.75" customHeight="1">
      <c r="A20" s="1"/>
      <c r="B20" s="28" t="s">
        <v>7</v>
      </c>
      <c r="C20" s="846" t="s">
        <v>8</v>
      </c>
      <c r="D20" s="846"/>
      <c r="E20" s="846"/>
      <c r="F20" s="846"/>
      <c r="G20" s="846"/>
      <c r="H20" s="846"/>
      <c r="I20" s="846"/>
      <c r="J20" s="846"/>
      <c r="K20" s="846"/>
      <c r="L20" s="846"/>
      <c r="M20" s="846"/>
      <c r="N20" s="846"/>
      <c r="O20" s="846"/>
      <c r="P20" s="846"/>
      <c r="Q20" s="846"/>
      <c r="R20" s="846"/>
      <c r="S20" s="1"/>
    </row>
    <row r="21" spans="1:19" s="27" customFormat="1" ht="15" customHeight="1">
      <c r="A21" s="1"/>
      <c r="B21" s="1"/>
      <c r="C21" s="846"/>
      <c r="D21" s="846"/>
      <c r="E21" s="846"/>
      <c r="F21" s="846"/>
      <c r="G21" s="846"/>
      <c r="H21" s="846"/>
      <c r="I21" s="846"/>
      <c r="J21" s="846"/>
      <c r="K21" s="846"/>
      <c r="L21" s="846"/>
      <c r="M21" s="846"/>
      <c r="N21" s="846"/>
      <c r="O21" s="846"/>
      <c r="P21" s="846"/>
      <c r="Q21" s="846"/>
      <c r="R21" s="846"/>
      <c r="S21" s="1"/>
    </row>
    <row r="22" spans="1:19" s="27" customFormat="1" ht="14.1">
      <c r="A22" s="1"/>
      <c r="B22" s="29"/>
      <c r="C22" s="846"/>
      <c r="D22" s="846"/>
      <c r="E22" s="846"/>
      <c r="F22" s="846"/>
      <c r="G22" s="846"/>
      <c r="H22" s="846"/>
      <c r="I22" s="846"/>
      <c r="J22" s="846"/>
      <c r="K22" s="846"/>
      <c r="L22" s="846"/>
      <c r="M22" s="846"/>
      <c r="N22" s="846"/>
      <c r="O22" s="846"/>
      <c r="P22" s="846"/>
      <c r="Q22" s="846"/>
      <c r="R22" s="846"/>
      <c r="S22" s="1"/>
    </row>
    <row r="23" spans="1:19" s="27" customFormat="1" ht="14.1">
      <c r="A23" s="1"/>
      <c r="B23" s="29"/>
      <c r="C23" s="813"/>
      <c r="D23" s="813"/>
      <c r="E23" s="813"/>
      <c r="F23" s="813"/>
      <c r="G23" s="813"/>
      <c r="H23" s="813"/>
      <c r="I23" s="813"/>
      <c r="J23" s="813"/>
      <c r="K23" s="813"/>
      <c r="L23" s="813"/>
      <c r="M23" s="813"/>
      <c r="N23" s="813"/>
      <c r="O23" s="813"/>
      <c r="P23" s="813"/>
      <c r="Q23" s="813"/>
      <c r="R23" s="813"/>
      <c r="S23" s="1"/>
    </row>
    <row r="24" spans="1:19" s="27" customFormat="1" ht="15" customHeight="1">
      <c r="A24" s="1"/>
      <c r="B24" s="852" t="s">
        <v>9</v>
      </c>
      <c r="C24" s="846" t="s">
        <v>10</v>
      </c>
      <c r="D24" s="846"/>
      <c r="E24" s="846"/>
      <c r="F24" s="846"/>
      <c r="G24" s="846"/>
      <c r="H24" s="846"/>
      <c r="I24" s="846"/>
      <c r="J24" s="846"/>
      <c r="K24" s="846"/>
      <c r="L24" s="846"/>
      <c r="M24" s="846"/>
      <c r="N24" s="846"/>
      <c r="O24" s="846"/>
      <c r="P24" s="846"/>
      <c r="Q24" s="846"/>
      <c r="R24" s="846"/>
      <c r="S24" s="1"/>
    </row>
    <row r="25" spans="1:19" s="27" customFormat="1" ht="15" customHeight="1">
      <c r="A25" s="1"/>
      <c r="B25" s="852"/>
      <c r="C25" s="846"/>
      <c r="D25" s="846"/>
      <c r="E25" s="846"/>
      <c r="F25" s="846"/>
      <c r="G25" s="846"/>
      <c r="H25" s="846"/>
      <c r="I25" s="846"/>
      <c r="J25" s="846"/>
      <c r="K25" s="846"/>
      <c r="L25" s="846"/>
      <c r="M25" s="846"/>
      <c r="N25" s="846"/>
      <c r="O25" s="846"/>
      <c r="P25" s="846"/>
      <c r="Q25" s="846"/>
      <c r="R25" s="846"/>
      <c r="S25" s="1"/>
    </row>
    <row r="26" spans="1:19" s="27" customFormat="1" ht="14.1">
      <c r="A26" s="1"/>
      <c r="B26" s="29"/>
      <c r="C26" s="846"/>
      <c r="D26" s="846"/>
      <c r="E26" s="846"/>
      <c r="F26" s="846"/>
      <c r="G26" s="846"/>
      <c r="H26" s="846"/>
      <c r="I26" s="846"/>
      <c r="J26" s="846"/>
      <c r="K26" s="846"/>
      <c r="L26" s="846"/>
      <c r="M26" s="846"/>
      <c r="N26" s="846"/>
      <c r="O26" s="846"/>
      <c r="P26" s="846"/>
      <c r="Q26" s="846"/>
      <c r="R26" s="846"/>
      <c r="S26" s="1"/>
    </row>
    <row r="27" spans="1:19" s="27" customFormat="1" ht="14.1">
      <c r="A27" s="1"/>
      <c r="B27" s="29"/>
      <c r="C27" s="813"/>
      <c r="D27" s="813"/>
      <c r="E27" s="813"/>
      <c r="F27" s="813"/>
      <c r="G27" s="813"/>
      <c r="H27" s="813"/>
      <c r="I27" s="813"/>
      <c r="J27" s="813"/>
      <c r="K27" s="813"/>
      <c r="L27" s="813"/>
      <c r="M27" s="813"/>
      <c r="N27" s="813"/>
      <c r="O27" s="813"/>
      <c r="P27" s="813"/>
      <c r="Q27" s="813"/>
      <c r="R27" s="813"/>
      <c r="S27" s="1"/>
    </row>
    <row r="28" spans="1:19" s="27" customFormat="1" ht="15" customHeight="1">
      <c r="A28" s="1"/>
      <c r="B28" s="28" t="s">
        <v>11</v>
      </c>
      <c r="C28" s="846" t="s">
        <v>12</v>
      </c>
      <c r="D28" s="846"/>
      <c r="E28" s="846"/>
      <c r="F28" s="846"/>
      <c r="G28" s="846"/>
      <c r="H28" s="846"/>
      <c r="I28" s="846"/>
      <c r="J28" s="846"/>
      <c r="K28" s="846"/>
      <c r="L28" s="846"/>
      <c r="M28" s="846"/>
      <c r="N28" s="846"/>
      <c r="O28" s="846"/>
      <c r="P28" s="846"/>
      <c r="Q28" s="846"/>
      <c r="R28" s="846"/>
      <c r="S28" s="1"/>
    </row>
    <row r="29" spans="1:19" s="27" customFormat="1" ht="14.1">
      <c r="A29" s="1"/>
      <c r="B29" s="29"/>
      <c r="C29" s="1"/>
      <c r="D29" s="1"/>
      <c r="E29" s="1"/>
      <c r="F29" s="1"/>
      <c r="G29" s="1"/>
      <c r="H29" s="1"/>
      <c r="I29" s="1"/>
      <c r="J29" s="1"/>
      <c r="K29" s="1"/>
      <c r="L29" s="1"/>
      <c r="M29" s="1"/>
      <c r="N29" s="1"/>
      <c r="O29" s="1"/>
      <c r="P29" s="1"/>
      <c r="Q29" s="1"/>
      <c r="R29" s="1"/>
      <c r="S29" s="1"/>
    </row>
    <row r="30" spans="1:19" s="27" customFormat="1" ht="15" customHeight="1">
      <c r="A30" s="1"/>
      <c r="B30" s="30" t="s">
        <v>13</v>
      </c>
      <c r="C30" s="847" t="s">
        <v>14</v>
      </c>
      <c r="D30" s="847"/>
      <c r="E30" s="847"/>
      <c r="F30" s="847"/>
      <c r="G30" s="847"/>
      <c r="H30" s="847"/>
      <c r="I30" s="847"/>
      <c r="J30" s="847"/>
      <c r="K30" s="847"/>
      <c r="L30" s="847"/>
      <c r="M30" s="847"/>
      <c r="N30" s="847"/>
      <c r="O30" s="847"/>
      <c r="P30" s="847"/>
      <c r="Q30" s="847"/>
      <c r="R30" s="847"/>
      <c r="S30" s="1"/>
    </row>
    <row r="31" spans="1:19" s="27" customFormat="1" ht="15" customHeight="1">
      <c r="A31" s="1"/>
      <c r="B31" s="31"/>
      <c r="C31" s="814"/>
      <c r="D31" s="814"/>
      <c r="E31" s="814"/>
      <c r="F31" s="814"/>
      <c r="G31" s="814"/>
      <c r="H31" s="814"/>
      <c r="I31" s="814"/>
      <c r="J31" s="814"/>
      <c r="K31" s="814"/>
      <c r="L31" s="814"/>
      <c r="M31" s="814"/>
      <c r="N31" s="814"/>
      <c r="O31" s="814"/>
      <c r="P31" s="814"/>
      <c r="Q31" s="814"/>
      <c r="R31" s="814"/>
      <c r="S31" s="1"/>
    </row>
    <row r="32" spans="1:19" s="27" customFormat="1" ht="15" customHeight="1">
      <c r="A32" s="1"/>
      <c r="B32" s="31"/>
      <c r="C32" s="814"/>
      <c r="D32" s="814"/>
      <c r="E32" s="814"/>
      <c r="F32" s="814"/>
      <c r="G32" s="814"/>
      <c r="H32" s="814"/>
      <c r="I32" s="814"/>
      <c r="J32" s="814"/>
      <c r="K32" s="814"/>
      <c r="L32" s="814"/>
      <c r="M32" s="814"/>
      <c r="N32" s="814"/>
      <c r="O32" s="814"/>
      <c r="P32" s="814"/>
      <c r="Q32" s="814"/>
      <c r="R32" s="814"/>
      <c r="S32" s="1"/>
    </row>
    <row r="33" spans="1:19" s="27" customFormat="1" ht="15" customHeight="1">
      <c r="A33" s="1"/>
      <c r="B33" s="32" t="s">
        <v>15</v>
      </c>
      <c r="C33" s="1" t="s">
        <v>16</v>
      </c>
      <c r="D33" s="814"/>
      <c r="E33" s="814"/>
      <c r="F33" s="814"/>
      <c r="G33" s="814"/>
      <c r="H33" s="814"/>
      <c r="I33" s="814"/>
      <c r="J33" s="814"/>
      <c r="K33" s="814"/>
      <c r="L33" s="814"/>
      <c r="M33" s="814"/>
      <c r="N33" s="814"/>
      <c r="O33" s="814"/>
      <c r="P33" s="814"/>
      <c r="Q33" s="814"/>
      <c r="R33" s="814"/>
      <c r="S33" s="1"/>
    </row>
    <row r="34" spans="1:19" s="27" customFormat="1" ht="14.1">
      <c r="B34" s="35"/>
    </row>
    <row r="35" spans="1:19" s="27" customFormat="1" ht="14.1">
      <c r="B35" s="777" t="s">
        <v>17</v>
      </c>
      <c r="C35" s="27" t="s">
        <v>18</v>
      </c>
    </row>
    <row r="36" spans="1:19" s="27" customFormat="1" ht="14.1">
      <c r="B36" s="35"/>
    </row>
    <row r="37" spans="1:19" s="27" customFormat="1" ht="14.1">
      <c r="B37" s="778" t="s">
        <v>19</v>
      </c>
      <c r="C37" s="27" t="s">
        <v>20</v>
      </c>
    </row>
    <row r="38" spans="1:19" s="27" customFormat="1" ht="14.1">
      <c r="B38" s="35"/>
    </row>
    <row r="39" spans="1:19" s="27" customFormat="1" ht="14.1">
      <c r="B39" s="779" t="s">
        <v>21</v>
      </c>
      <c r="C39" s="27" t="s">
        <v>22</v>
      </c>
    </row>
    <row r="40" spans="1:19" s="27" customFormat="1" ht="14.1">
      <c r="B40" s="35"/>
    </row>
    <row r="41" spans="1:19" s="27" customFormat="1" ht="14.1">
      <c r="B41" s="780" t="s">
        <v>23</v>
      </c>
      <c r="C41" s="27" t="s">
        <v>24</v>
      </c>
    </row>
    <row r="42" spans="1:19" s="27" customFormat="1" ht="14.1">
      <c r="B42" s="35"/>
    </row>
    <row r="43" spans="1:19" s="27" customFormat="1" ht="14.1">
      <c r="B43" s="35"/>
    </row>
    <row r="44" spans="1:19" s="27" customFormat="1" ht="14.1">
      <c r="B44" s="35"/>
    </row>
    <row r="45" spans="1:19" s="27" customFormat="1" ht="14.1">
      <c r="B45" s="35"/>
    </row>
    <row r="46" spans="1:19" s="27" customFormat="1" ht="14.1">
      <c r="B46" s="35"/>
    </row>
    <row r="47" spans="1:19" s="27" customFormat="1" ht="14.1">
      <c r="B47" s="35"/>
    </row>
    <row r="48" spans="1:19" s="27" customFormat="1" ht="14.1">
      <c r="B48" s="35"/>
    </row>
    <row r="49" spans="2:2" s="27" customFormat="1" ht="14.1">
      <c r="B49" s="35"/>
    </row>
    <row r="50" spans="2:2" s="27" customFormat="1" ht="14.1">
      <c r="B50" s="35"/>
    </row>
    <row r="51" spans="2:2" s="27" customFormat="1" ht="14.1">
      <c r="B51" s="35"/>
    </row>
    <row r="52" spans="2:2" s="27" customFormat="1" ht="14.1">
      <c r="B52" s="35"/>
    </row>
    <row r="53" spans="2:2" s="27" customFormat="1" ht="14.1">
      <c r="B53" s="35"/>
    </row>
    <row r="54" spans="2:2" s="27" customFormat="1" ht="14.1">
      <c r="B54" s="35"/>
    </row>
    <row r="55" spans="2:2" s="27" customFormat="1" ht="14.1">
      <c r="B55" s="35"/>
    </row>
    <row r="56" spans="2:2" s="27" customFormat="1" ht="14.1">
      <c r="B56" s="35"/>
    </row>
    <row r="57" spans="2:2" s="27" customFormat="1" ht="14.1">
      <c r="B57" s="35"/>
    </row>
    <row r="58" spans="2:2" s="27" customFormat="1" ht="14.1">
      <c r="B58" s="35"/>
    </row>
    <row r="59" spans="2:2" s="27" customFormat="1" ht="14.1">
      <c r="B59" s="35"/>
    </row>
    <row r="60" spans="2:2" s="27" customFormat="1" ht="14.1">
      <c r="B60" s="35"/>
    </row>
    <row r="61" spans="2:2" s="27" customFormat="1" ht="14.1">
      <c r="B61" s="35"/>
    </row>
    <row r="62" spans="2:2" s="27" customFormat="1" ht="14.1">
      <c r="B62" s="35"/>
    </row>
    <row r="63" spans="2:2" s="27" customFormat="1" ht="14.1">
      <c r="B63" s="35"/>
    </row>
    <row r="64" spans="2:2" s="27" customFormat="1" ht="14.1">
      <c r="B64" s="35"/>
    </row>
    <row r="65" spans="2:2" s="27" customFormat="1" ht="14.1">
      <c r="B65" s="35"/>
    </row>
    <row r="66" spans="2:2" s="27" customFormat="1" ht="14.1">
      <c r="B66" s="35"/>
    </row>
    <row r="67" spans="2:2" s="27" customFormat="1" ht="14.1">
      <c r="B67" s="35"/>
    </row>
    <row r="68" spans="2:2" s="27" customFormat="1" ht="14.1">
      <c r="B68" s="35"/>
    </row>
    <row r="69" spans="2:2" s="27" customFormat="1" ht="14.1">
      <c r="B69" s="35"/>
    </row>
    <row r="70" spans="2:2" s="27" customFormat="1" ht="14.1">
      <c r="B70" s="35"/>
    </row>
    <row r="71" spans="2:2" s="27" customFormat="1" ht="14.1">
      <c r="B71" s="35"/>
    </row>
    <row r="72" spans="2:2" s="27" customFormat="1" ht="14.1">
      <c r="B72" s="35"/>
    </row>
    <row r="73" spans="2:2" s="27" customFormat="1" ht="14.1">
      <c r="B73" s="35"/>
    </row>
    <row r="74" spans="2:2" s="27" customFormat="1" ht="14.1">
      <c r="B74" s="35"/>
    </row>
    <row r="75" spans="2:2" s="27" customFormat="1" ht="14.1">
      <c r="B75" s="35"/>
    </row>
    <row r="76" spans="2:2">
      <c r="B76" s="36"/>
    </row>
    <row r="77" spans="2:2">
      <c r="B77" s="36"/>
    </row>
    <row r="78" spans="2:2">
      <c r="B78" s="36"/>
    </row>
    <row r="79" spans="2:2">
      <c r="B79" s="36"/>
    </row>
    <row r="80" spans="2:2">
      <c r="B80" s="36"/>
    </row>
    <row r="81" spans="2:2">
      <c r="B81" s="36"/>
    </row>
    <row r="82" spans="2:2">
      <c r="B82" s="36"/>
    </row>
    <row r="83" spans="2:2">
      <c r="B83" s="36"/>
    </row>
    <row r="84" spans="2:2">
      <c r="B84" s="36"/>
    </row>
    <row r="85" spans="2:2">
      <c r="B85" s="36"/>
    </row>
    <row r="86" spans="2:2">
      <c r="B86" s="36"/>
    </row>
    <row r="87" spans="2:2">
      <c r="B87" s="36"/>
    </row>
    <row r="88" spans="2:2">
      <c r="B88" s="36"/>
    </row>
    <row r="89" spans="2:2">
      <c r="B89" s="36"/>
    </row>
    <row r="90" spans="2:2">
      <c r="B90" s="36"/>
    </row>
    <row r="91" spans="2:2">
      <c r="B91" s="36"/>
    </row>
    <row r="92" spans="2:2">
      <c r="B92" s="36"/>
    </row>
    <row r="93" spans="2:2">
      <c r="B93" s="36"/>
    </row>
    <row r="94" spans="2:2">
      <c r="B94" s="36"/>
    </row>
    <row r="95" spans="2:2">
      <c r="B95" s="36"/>
    </row>
    <row r="96" spans="2:2">
      <c r="B96" s="36"/>
    </row>
    <row r="97" spans="2:2">
      <c r="B97" s="36"/>
    </row>
    <row r="98" spans="2:2">
      <c r="B98" s="36"/>
    </row>
    <row r="99" spans="2:2">
      <c r="B99" s="36"/>
    </row>
    <row r="100" spans="2:2">
      <c r="B100" s="36"/>
    </row>
    <row r="101" spans="2:2">
      <c r="B101" s="36"/>
    </row>
    <row r="102" spans="2:2">
      <c r="B102" s="36"/>
    </row>
    <row r="103" spans="2:2">
      <c r="B103" s="36"/>
    </row>
    <row r="104" spans="2:2">
      <c r="B104" s="36"/>
    </row>
    <row r="105" spans="2:2">
      <c r="B105" s="36"/>
    </row>
    <row r="106" spans="2:2">
      <c r="B106" s="36"/>
    </row>
    <row r="107" spans="2:2">
      <c r="B107" s="36"/>
    </row>
    <row r="108" spans="2:2">
      <c r="B108" s="36"/>
    </row>
    <row r="109" spans="2:2">
      <c r="B109" s="36"/>
    </row>
    <row r="110" spans="2:2">
      <c r="B110" s="36"/>
    </row>
    <row r="111" spans="2:2">
      <c r="B111" s="36"/>
    </row>
    <row r="112" spans="2:2">
      <c r="B112" s="36"/>
    </row>
    <row r="113" spans="2:2">
      <c r="B113" s="36"/>
    </row>
    <row r="114" spans="2:2">
      <c r="B114" s="36"/>
    </row>
    <row r="115" spans="2:2">
      <c r="B115" s="36"/>
    </row>
    <row r="116" spans="2:2">
      <c r="B116" s="36"/>
    </row>
    <row r="117" spans="2:2">
      <c r="B117" s="36"/>
    </row>
    <row r="118" spans="2:2">
      <c r="B118" s="36"/>
    </row>
    <row r="119" spans="2:2">
      <c r="B119" s="36"/>
    </row>
    <row r="120" spans="2:2">
      <c r="B120" s="36"/>
    </row>
    <row r="121" spans="2:2">
      <c r="B121" s="36"/>
    </row>
    <row r="122" spans="2:2">
      <c r="B122" s="36"/>
    </row>
    <row r="123" spans="2:2">
      <c r="B123" s="36"/>
    </row>
    <row r="124" spans="2:2">
      <c r="B124" s="36"/>
    </row>
    <row r="125" spans="2:2">
      <c r="B125" s="36"/>
    </row>
    <row r="126" spans="2:2">
      <c r="B126" s="36"/>
    </row>
    <row r="127" spans="2:2">
      <c r="B127" s="36"/>
    </row>
    <row r="128" spans="2:2">
      <c r="B128" s="36"/>
    </row>
    <row r="129" spans="2:2">
      <c r="B129" s="36"/>
    </row>
    <row r="130" spans="2:2">
      <c r="B130" s="36"/>
    </row>
    <row r="131" spans="2:2">
      <c r="B131" s="36"/>
    </row>
    <row r="132" spans="2:2">
      <c r="B132" s="36"/>
    </row>
    <row r="133" spans="2:2">
      <c r="B133" s="36"/>
    </row>
    <row r="134" spans="2:2">
      <c r="B134" s="36"/>
    </row>
    <row r="135" spans="2:2">
      <c r="B135" s="36"/>
    </row>
    <row r="136" spans="2:2">
      <c r="B136" s="36"/>
    </row>
    <row r="137" spans="2:2">
      <c r="B137" s="36"/>
    </row>
    <row r="138" spans="2:2">
      <c r="B138" s="36"/>
    </row>
    <row r="139" spans="2:2">
      <c r="B139" s="36"/>
    </row>
    <row r="140" spans="2:2">
      <c r="B140" s="36"/>
    </row>
    <row r="141" spans="2:2">
      <c r="B141" s="36"/>
    </row>
    <row r="142" spans="2:2">
      <c r="B142" s="36"/>
    </row>
    <row r="143" spans="2:2">
      <c r="B143" s="36"/>
    </row>
    <row r="144" spans="2:2">
      <c r="B144" s="36"/>
    </row>
    <row r="145" spans="2:2">
      <c r="B145" s="36"/>
    </row>
    <row r="146" spans="2:2">
      <c r="B146" s="36"/>
    </row>
    <row r="147" spans="2:2">
      <c r="B147" s="36"/>
    </row>
    <row r="148" spans="2:2">
      <c r="B148" s="36"/>
    </row>
    <row r="149" spans="2:2">
      <c r="B149" s="36"/>
    </row>
    <row r="150" spans="2:2">
      <c r="B150" s="36"/>
    </row>
    <row r="151" spans="2:2">
      <c r="B151" s="36"/>
    </row>
    <row r="152" spans="2:2">
      <c r="B152" s="36"/>
    </row>
    <row r="153" spans="2:2">
      <c r="B153" s="36"/>
    </row>
    <row r="154" spans="2:2">
      <c r="B154" s="36"/>
    </row>
    <row r="155" spans="2:2">
      <c r="B155" s="36"/>
    </row>
    <row r="156" spans="2:2">
      <c r="B156" s="36"/>
    </row>
    <row r="157" spans="2:2">
      <c r="B157" s="36"/>
    </row>
    <row r="158" spans="2:2">
      <c r="B158" s="36"/>
    </row>
    <row r="159" spans="2:2">
      <c r="B159" s="36"/>
    </row>
    <row r="160" spans="2:2">
      <c r="B160" s="36"/>
    </row>
    <row r="161" spans="2:2">
      <c r="B161" s="36"/>
    </row>
    <row r="162" spans="2:2">
      <c r="B162" s="36"/>
    </row>
    <row r="163" spans="2:2">
      <c r="B163" s="36"/>
    </row>
    <row r="164" spans="2:2">
      <c r="B164" s="36"/>
    </row>
    <row r="165" spans="2:2">
      <c r="B165" s="36"/>
    </row>
    <row r="166" spans="2:2">
      <c r="B166" s="36"/>
    </row>
    <row r="167" spans="2:2">
      <c r="B167" s="36"/>
    </row>
    <row r="168" spans="2:2">
      <c r="B168" s="36"/>
    </row>
    <row r="169" spans="2:2">
      <c r="B169" s="36"/>
    </row>
    <row r="170" spans="2:2">
      <c r="B170" s="36"/>
    </row>
    <row r="171" spans="2:2">
      <c r="B171" s="36"/>
    </row>
    <row r="172" spans="2:2">
      <c r="B172" s="36"/>
    </row>
    <row r="173" spans="2:2">
      <c r="B173" s="36"/>
    </row>
    <row r="174" spans="2:2">
      <c r="B174" s="36"/>
    </row>
    <row r="175" spans="2:2">
      <c r="B175" s="36"/>
    </row>
    <row r="176" spans="2:2">
      <c r="B176" s="36"/>
    </row>
    <row r="177" spans="2:2">
      <c r="B177" s="36"/>
    </row>
    <row r="178" spans="2:2">
      <c r="B178" s="36"/>
    </row>
    <row r="179" spans="2:2">
      <c r="B179" s="36"/>
    </row>
    <row r="180" spans="2:2">
      <c r="B180" s="36"/>
    </row>
    <row r="181" spans="2:2">
      <c r="B181" s="36"/>
    </row>
    <row r="182" spans="2:2">
      <c r="B182" s="36"/>
    </row>
    <row r="183" spans="2:2">
      <c r="B183" s="36"/>
    </row>
    <row r="184" spans="2:2">
      <c r="B184" s="36"/>
    </row>
    <row r="185" spans="2:2">
      <c r="B185" s="36"/>
    </row>
    <row r="186" spans="2:2">
      <c r="B186" s="36"/>
    </row>
    <row r="187" spans="2:2">
      <c r="B187" s="36"/>
    </row>
    <row r="188" spans="2:2">
      <c r="B188" s="36"/>
    </row>
    <row r="189" spans="2:2">
      <c r="B189" s="36"/>
    </row>
    <row r="190" spans="2:2">
      <c r="B190" s="36"/>
    </row>
    <row r="191" spans="2:2">
      <c r="B191" s="36"/>
    </row>
    <row r="192" spans="2:2">
      <c r="B192" s="36"/>
    </row>
    <row r="193" spans="2:2">
      <c r="B193" s="36"/>
    </row>
    <row r="194" spans="2:2">
      <c r="B194" s="36"/>
    </row>
    <row r="195" spans="2:2">
      <c r="B195" s="36"/>
    </row>
    <row r="196" spans="2:2">
      <c r="B196" s="36"/>
    </row>
    <row r="197" spans="2:2">
      <c r="B197" s="36"/>
    </row>
    <row r="198" spans="2:2">
      <c r="B198" s="36"/>
    </row>
    <row r="199" spans="2:2">
      <c r="B199" s="36"/>
    </row>
    <row r="200" spans="2:2">
      <c r="B200" s="36"/>
    </row>
    <row r="201" spans="2:2">
      <c r="B201" s="36"/>
    </row>
    <row r="202" spans="2:2">
      <c r="B202" s="36"/>
    </row>
    <row r="203" spans="2:2">
      <c r="B203" s="36"/>
    </row>
    <row r="204" spans="2:2">
      <c r="B204" s="36"/>
    </row>
    <row r="205" spans="2:2">
      <c r="B205" s="36"/>
    </row>
    <row r="206" spans="2:2">
      <c r="B206" s="36"/>
    </row>
    <row r="207" spans="2:2">
      <c r="B207" s="36"/>
    </row>
    <row r="208" spans="2:2">
      <c r="B208" s="36"/>
    </row>
    <row r="209" spans="2:2">
      <c r="B209" s="36"/>
    </row>
    <row r="210" spans="2:2">
      <c r="B210" s="36"/>
    </row>
    <row r="211" spans="2:2">
      <c r="B211" s="36"/>
    </row>
    <row r="212" spans="2:2">
      <c r="B212" s="36"/>
    </row>
    <row r="213" spans="2:2">
      <c r="B213" s="36"/>
    </row>
    <row r="214" spans="2:2">
      <c r="B214" s="36"/>
    </row>
    <row r="215" spans="2:2">
      <c r="B215" s="36"/>
    </row>
    <row r="216" spans="2:2">
      <c r="B216" s="36"/>
    </row>
    <row r="217" spans="2:2">
      <c r="B217" s="36"/>
    </row>
    <row r="218" spans="2:2">
      <c r="B218" s="36"/>
    </row>
    <row r="219" spans="2:2">
      <c r="B219" s="36"/>
    </row>
    <row r="220" spans="2:2">
      <c r="B220" s="36"/>
    </row>
    <row r="221" spans="2:2">
      <c r="B221" s="36"/>
    </row>
    <row r="222" spans="2:2">
      <c r="B222" s="36"/>
    </row>
    <row r="223" spans="2:2">
      <c r="B223" s="36"/>
    </row>
    <row r="224" spans="2:2">
      <c r="B224" s="36"/>
    </row>
    <row r="225" spans="2:2">
      <c r="B225" s="36"/>
    </row>
    <row r="226" spans="2:2">
      <c r="B226" s="36"/>
    </row>
    <row r="227" spans="2:2">
      <c r="B227" s="36"/>
    </row>
    <row r="228" spans="2:2">
      <c r="B228" s="36"/>
    </row>
    <row r="229" spans="2:2">
      <c r="B229" s="36"/>
    </row>
    <row r="230" spans="2:2">
      <c r="B230" s="36"/>
    </row>
    <row r="231" spans="2:2">
      <c r="B231" s="36"/>
    </row>
    <row r="232" spans="2:2">
      <c r="B232" s="36"/>
    </row>
    <row r="233" spans="2:2">
      <c r="B233" s="36"/>
    </row>
    <row r="234" spans="2:2">
      <c r="B234" s="36"/>
    </row>
    <row r="235" spans="2:2">
      <c r="B235" s="36"/>
    </row>
    <row r="236" spans="2:2">
      <c r="B236" s="36"/>
    </row>
    <row r="237" spans="2:2">
      <c r="B237" s="36"/>
    </row>
    <row r="238" spans="2:2">
      <c r="B238" s="36"/>
    </row>
    <row r="239" spans="2:2">
      <c r="B239" s="36"/>
    </row>
    <row r="240" spans="2:2">
      <c r="B240" s="36"/>
    </row>
    <row r="241" spans="2:2">
      <c r="B241" s="36"/>
    </row>
    <row r="242" spans="2:2">
      <c r="B242" s="36"/>
    </row>
    <row r="243" spans="2:2">
      <c r="B243" s="36"/>
    </row>
    <row r="244" spans="2:2">
      <c r="B244" s="36"/>
    </row>
    <row r="245" spans="2:2">
      <c r="B245" s="36"/>
    </row>
    <row r="246" spans="2:2">
      <c r="B246" s="36"/>
    </row>
    <row r="247" spans="2:2">
      <c r="B247" s="36"/>
    </row>
    <row r="248" spans="2:2">
      <c r="B248" s="36"/>
    </row>
    <row r="249" spans="2:2">
      <c r="B249" s="36"/>
    </row>
    <row r="250" spans="2:2">
      <c r="B250" s="36"/>
    </row>
    <row r="251" spans="2:2">
      <c r="B251" s="36"/>
    </row>
    <row r="252" spans="2:2">
      <c r="B252" s="36"/>
    </row>
    <row r="253" spans="2:2">
      <c r="B253" s="36"/>
    </row>
    <row r="254" spans="2:2">
      <c r="B254" s="36"/>
    </row>
    <row r="255" spans="2:2">
      <c r="B255" s="36"/>
    </row>
    <row r="256" spans="2:2">
      <c r="B256" s="36"/>
    </row>
    <row r="257" spans="2:2">
      <c r="B257" s="36"/>
    </row>
    <row r="258" spans="2:2">
      <c r="B258" s="36"/>
    </row>
    <row r="259" spans="2:2">
      <c r="B259" s="36"/>
    </row>
    <row r="260" spans="2:2">
      <c r="B260" s="36"/>
    </row>
    <row r="261" spans="2:2">
      <c r="B261" s="36"/>
    </row>
    <row r="262" spans="2:2">
      <c r="B262" s="36"/>
    </row>
    <row r="263" spans="2:2">
      <c r="B263" s="36"/>
    </row>
    <row r="264" spans="2:2">
      <c r="B264" s="36"/>
    </row>
    <row r="265" spans="2:2">
      <c r="B265" s="36"/>
    </row>
    <row r="266" spans="2:2">
      <c r="B266" s="36"/>
    </row>
    <row r="267" spans="2:2">
      <c r="B267" s="36"/>
    </row>
    <row r="268" spans="2:2">
      <c r="B268" s="36"/>
    </row>
    <row r="269" spans="2:2">
      <c r="B269" s="36"/>
    </row>
    <row r="270" spans="2:2">
      <c r="B270" s="36"/>
    </row>
    <row r="271" spans="2:2">
      <c r="B271" s="36"/>
    </row>
    <row r="272" spans="2:2">
      <c r="B272" s="36"/>
    </row>
    <row r="273" spans="2:2">
      <c r="B273" s="36"/>
    </row>
    <row r="274" spans="2:2">
      <c r="B274" s="36"/>
    </row>
    <row r="275" spans="2:2">
      <c r="B275" s="36"/>
    </row>
    <row r="276" spans="2:2">
      <c r="B276" s="36"/>
    </row>
    <row r="277" spans="2:2">
      <c r="B277" s="36"/>
    </row>
    <row r="278" spans="2:2">
      <c r="B278" s="36"/>
    </row>
    <row r="279" spans="2:2">
      <c r="B279" s="36"/>
    </row>
    <row r="280" spans="2:2">
      <c r="B280" s="36"/>
    </row>
    <row r="281" spans="2:2">
      <c r="B281" s="36"/>
    </row>
    <row r="282" spans="2:2">
      <c r="B282" s="36"/>
    </row>
    <row r="283" spans="2:2">
      <c r="B283" s="36"/>
    </row>
    <row r="284" spans="2:2">
      <c r="B284" s="36"/>
    </row>
    <row r="285" spans="2:2">
      <c r="B285" s="36"/>
    </row>
    <row r="286" spans="2:2">
      <c r="B286" s="36"/>
    </row>
    <row r="287" spans="2:2">
      <c r="B287" s="36"/>
    </row>
    <row r="288" spans="2:2">
      <c r="B288" s="36"/>
    </row>
    <row r="289" spans="2:2">
      <c r="B289" s="36"/>
    </row>
    <row r="290" spans="2:2">
      <c r="B290" s="36"/>
    </row>
    <row r="291" spans="2:2">
      <c r="B291" s="36"/>
    </row>
    <row r="292" spans="2:2">
      <c r="B292" s="36"/>
    </row>
    <row r="293" spans="2:2">
      <c r="B293" s="36"/>
    </row>
    <row r="294" spans="2:2">
      <c r="B294" s="36"/>
    </row>
    <row r="295" spans="2:2">
      <c r="B295" s="36"/>
    </row>
    <row r="296" spans="2:2">
      <c r="B296" s="36"/>
    </row>
    <row r="297" spans="2:2">
      <c r="B297" s="36"/>
    </row>
    <row r="298" spans="2:2">
      <c r="B298" s="36"/>
    </row>
    <row r="299" spans="2:2">
      <c r="B299" s="36"/>
    </row>
    <row r="300" spans="2:2">
      <c r="B300" s="36"/>
    </row>
    <row r="301" spans="2:2">
      <c r="B301" s="36"/>
    </row>
    <row r="302" spans="2:2">
      <c r="B302" s="36"/>
    </row>
    <row r="303" spans="2:2">
      <c r="B303" s="36"/>
    </row>
    <row r="304" spans="2:2">
      <c r="B304" s="36"/>
    </row>
    <row r="305" spans="2:2">
      <c r="B305" s="36"/>
    </row>
    <row r="306" spans="2:2">
      <c r="B306" s="36"/>
    </row>
    <row r="307" spans="2:2">
      <c r="B307" s="36"/>
    </row>
    <row r="308" spans="2:2">
      <c r="B308" s="36"/>
    </row>
    <row r="309" spans="2:2">
      <c r="B309" s="36"/>
    </row>
    <row r="310" spans="2:2">
      <c r="B310" s="36"/>
    </row>
    <row r="311" spans="2:2">
      <c r="B311" s="36"/>
    </row>
    <row r="312" spans="2:2">
      <c r="B312" s="36"/>
    </row>
    <row r="313" spans="2:2">
      <c r="B313" s="36"/>
    </row>
    <row r="314" spans="2:2">
      <c r="B314" s="36"/>
    </row>
    <row r="315" spans="2:2">
      <c r="B315" s="36"/>
    </row>
    <row r="316" spans="2:2">
      <c r="B316" s="36"/>
    </row>
    <row r="317" spans="2:2">
      <c r="B317" s="36"/>
    </row>
    <row r="318" spans="2:2">
      <c r="B318" s="36"/>
    </row>
    <row r="319" spans="2:2">
      <c r="B319" s="36"/>
    </row>
    <row r="320" spans="2:2">
      <c r="B320" s="36"/>
    </row>
    <row r="321" spans="2:2">
      <c r="B321" s="36"/>
    </row>
    <row r="322" spans="2:2">
      <c r="B322" s="36"/>
    </row>
    <row r="323" spans="2:2">
      <c r="B323" s="36"/>
    </row>
    <row r="324" spans="2:2">
      <c r="B324" s="36"/>
    </row>
    <row r="325" spans="2:2">
      <c r="B325" s="36"/>
    </row>
    <row r="326" spans="2:2">
      <c r="B326" s="36"/>
    </row>
    <row r="327" spans="2:2">
      <c r="B327" s="36"/>
    </row>
    <row r="328" spans="2:2">
      <c r="B328" s="36"/>
    </row>
    <row r="329" spans="2:2">
      <c r="B329" s="36"/>
    </row>
    <row r="330" spans="2:2">
      <c r="B330" s="36"/>
    </row>
    <row r="331" spans="2:2">
      <c r="B331" s="36"/>
    </row>
    <row r="332" spans="2:2">
      <c r="B332" s="36"/>
    </row>
    <row r="333" spans="2:2">
      <c r="B333" s="36"/>
    </row>
    <row r="334" spans="2:2">
      <c r="B334" s="36"/>
    </row>
    <row r="335" spans="2:2">
      <c r="B335" s="36"/>
    </row>
    <row r="336" spans="2:2">
      <c r="B336" s="36"/>
    </row>
    <row r="337" spans="2:2">
      <c r="B337" s="36"/>
    </row>
    <row r="338" spans="2:2">
      <c r="B338" s="36"/>
    </row>
    <row r="339" spans="2:2">
      <c r="B339" s="36"/>
    </row>
    <row r="340" spans="2:2">
      <c r="B340" s="36"/>
    </row>
    <row r="341" spans="2:2">
      <c r="B341" s="36"/>
    </row>
    <row r="342" spans="2:2">
      <c r="B342" s="36"/>
    </row>
    <row r="343" spans="2:2">
      <c r="B343" s="36"/>
    </row>
    <row r="344" spans="2:2">
      <c r="B344" s="36"/>
    </row>
    <row r="345" spans="2:2">
      <c r="B345" s="36"/>
    </row>
    <row r="346" spans="2:2">
      <c r="B346" s="36"/>
    </row>
    <row r="347" spans="2:2">
      <c r="B347" s="36"/>
    </row>
    <row r="348" spans="2:2">
      <c r="B348" s="36"/>
    </row>
    <row r="349" spans="2:2">
      <c r="B349" s="36"/>
    </row>
    <row r="350" spans="2:2">
      <c r="B350" s="36"/>
    </row>
    <row r="351" spans="2:2">
      <c r="B351" s="36"/>
    </row>
    <row r="352" spans="2:2">
      <c r="B352" s="36"/>
    </row>
    <row r="353" spans="2:2">
      <c r="B353" s="36"/>
    </row>
    <row r="354" spans="2:2">
      <c r="B354" s="36"/>
    </row>
    <row r="355" spans="2:2">
      <c r="B355" s="36"/>
    </row>
    <row r="356" spans="2:2">
      <c r="B356" s="36"/>
    </row>
    <row r="357" spans="2:2">
      <c r="B357" s="36"/>
    </row>
    <row r="358" spans="2:2">
      <c r="B358" s="36"/>
    </row>
    <row r="359" spans="2:2">
      <c r="B359" s="36"/>
    </row>
    <row r="360" spans="2:2">
      <c r="B360" s="36"/>
    </row>
    <row r="361" spans="2:2">
      <c r="B361" s="36"/>
    </row>
    <row r="362" spans="2:2">
      <c r="B362" s="36"/>
    </row>
    <row r="363" spans="2:2">
      <c r="B363" s="36"/>
    </row>
    <row r="364" spans="2:2">
      <c r="B364" s="36"/>
    </row>
    <row r="365" spans="2:2">
      <c r="B365" s="36"/>
    </row>
    <row r="366" spans="2:2">
      <c r="B366" s="36"/>
    </row>
    <row r="367" spans="2:2">
      <c r="B367" s="36"/>
    </row>
    <row r="368" spans="2:2">
      <c r="B368" s="36"/>
    </row>
    <row r="369" spans="2:2">
      <c r="B369" s="36"/>
    </row>
    <row r="370" spans="2:2">
      <c r="B370" s="36"/>
    </row>
    <row r="371" spans="2:2">
      <c r="B371" s="36"/>
    </row>
    <row r="372" spans="2:2">
      <c r="B372" s="36"/>
    </row>
    <row r="373" spans="2:2">
      <c r="B373" s="36"/>
    </row>
    <row r="374" spans="2:2">
      <c r="B374" s="36"/>
    </row>
    <row r="375" spans="2:2">
      <c r="B375" s="36"/>
    </row>
    <row r="376" spans="2:2">
      <c r="B376" s="36"/>
    </row>
    <row r="377" spans="2:2">
      <c r="B377" s="36"/>
    </row>
    <row r="378" spans="2:2">
      <c r="B378" s="36"/>
    </row>
    <row r="379" spans="2:2">
      <c r="B379" s="36"/>
    </row>
    <row r="380" spans="2:2">
      <c r="B380" s="36"/>
    </row>
    <row r="381" spans="2:2">
      <c r="B381" s="36"/>
    </row>
    <row r="382" spans="2:2">
      <c r="B382" s="36"/>
    </row>
    <row r="383" spans="2:2">
      <c r="B383" s="36"/>
    </row>
    <row r="384" spans="2:2">
      <c r="B384" s="36"/>
    </row>
    <row r="385" spans="2:2">
      <c r="B385" s="36"/>
    </row>
    <row r="386" spans="2:2">
      <c r="B386" s="36"/>
    </row>
    <row r="387" spans="2:2">
      <c r="B387" s="36"/>
    </row>
    <row r="388" spans="2:2">
      <c r="B388" s="36"/>
    </row>
    <row r="389" spans="2:2">
      <c r="B389" s="36"/>
    </row>
    <row r="390" spans="2:2">
      <c r="B390" s="36"/>
    </row>
    <row r="391" spans="2:2">
      <c r="B391" s="36"/>
    </row>
    <row r="392" spans="2:2">
      <c r="B392" s="36"/>
    </row>
    <row r="393" spans="2:2">
      <c r="B393" s="36"/>
    </row>
    <row r="394" spans="2:2">
      <c r="B394" s="36"/>
    </row>
    <row r="395" spans="2:2">
      <c r="B395" s="36"/>
    </row>
    <row r="396" spans="2:2">
      <c r="B396" s="36"/>
    </row>
    <row r="397" spans="2:2">
      <c r="B397" s="36"/>
    </row>
    <row r="398" spans="2:2">
      <c r="B398" s="36"/>
    </row>
    <row r="399" spans="2:2">
      <c r="B399" s="36"/>
    </row>
    <row r="400" spans="2:2">
      <c r="B400" s="36"/>
    </row>
    <row r="401" spans="2:2">
      <c r="B401" s="36"/>
    </row>
    <row r="402" spans="2:2">
      <c r="B402" s="36"/>
    </row>
    <row r="403" spans="2:2">
      <c r="B403" s="36"/>
    </row>
    <row r="404" spans="2:2">
      <c r="B404" s="36"/>
    </row>
    <row r="405" spans="2:2">
      <c r="B405" s="36"/>
    </row>
    <row r="406" spans="2:2">
      <c r="B406" s="36"/>
    </row>
    <row r="407" spans="2:2">
      <c r="B407" s="36"/>
    </row>
    <row r="408" spans="2:2">
      <c r="B408" s="36"/>
    </row>
    <row r="409" spans="2:2">
      <c r="B409" s="36"/>
    </row>
    <row r="410" spans="2:2">
      <c r="B410" s="36"/>
    </row>
    <row r="411" spans="2:2">
      <c r="B411" s="36"/>
    </row>
    <row r="412" spans="2:2">
      <c r="B412" s="36"/>
    </row>
    <row r="413" spans="2:2">
      <c r="B413" s="36"/>
    </row>
    <row r="414" spans="2:2">
      <c r="B414" s="36"/>
    </row>
    <row r="415" spans="2:2">
      <c r="B415" s="36"/>
    </row>
    <row r="416" spans="2:2">
      <c r="B416" s="36"/>
    </row>
    <row r="417" spans="2:2">
      <c r="B417" s="36"/>
    </row>
    <row r="418" spans="2:2">
      <c r="B418" s="36"/>
    </row>
    <row r="419" spans="2:2">
      <c r="B419" s="36"/>
    </row>
    <row r="420" spans="2:2">
      <c r="B420" s="36"/>
    </row>
    <row r="421" spans="2:2">
      <c r="B421" s="36"/>
    </row>
    <row r="422" spans="2:2">
      <c r="B422" s="36"/>
    </row>
    <row r="423" spans="2:2">
      <c r="B423" s="36"/>
    </row>
    <row r="424" spans="2:2">
      <c r="B424" s="36"/>
    </row>
    <row r="425" spans="2:2">
      <c r="B425" s="36"/>
    </row>
    <row r="426" spans="2:2">
      <c r="B426" s="36"/>
    </row>
    <row r="427" spans="2:2">
      <c r="B427" s="36"/>
    </row>
    <row r="428" spans="2:2">
      <c r="B428" s="36"/>
    </row>
    <row r="429" spans="2:2">
      <c r="B429" s="36"/>
    </row>
    <row r="430" spans="2:2">
      <c r="B430" s="36"/>
    </row>
    <row r="431" spans="2:2">
      <c r="B431" s="36"/>
    </row>
    <row r="432" spans="2:2">
      <c r="B432" s="36"/>
    </row>
    <row r="433" spans="2:2">
      <c r="B433" s="36"/>
    </row>
    <row r="434" spans="2:2">
      <c r="B434" s="36"/>
    </row>
    <row r="435" spans="2:2">
      <c r="B435" s="36"/>
    </row>
    <row r="436" spans="2:2">
      <c r="B436" s="36"/>
    </row>
    <row r="437" spans="2:2">
      <c r="B437" s="36"/>
    </row>
    <row r="438" spans="2:2">
      <c r="B438" s="36"/>
    </row>
    <row r="439" spans="2:2">
      <c r="B439" s="36"/>
    </row>
    <row r="440" spans="2:2">
      <c r="B440" s="36"/>
    </row>
    <row r="441" spans="2:2">
      <c r="B441" s="36"/>
    </row>
    <row r="442" spans="2:2">
      <c r="B442" s="36"/>
    </row>
    <row r="443" spans="2:2">
      <c r="B443" s="36"/>
    </row>
    <row r="444" spans="2:2">
      <c r="B444" s="36"/>
    </row>
    <row r="445" spans="2:2">
      <c r="B445" s="36"/>
    </row>
    <row r="446" spans="2:2">
      <c r="B446" s="36"/>
    </row>
    <row r="447" spans="2:2">
      <c r="B447" s="36"/>
    </row>
    <row r="448" spans="2:2">
      <c r="B448" s="36"/>
    </row>
    <row r="449" spans="2:2">
      <c r="B449" s="36"/>
    </row>
    <row r="450" spans="2:2">
      <c r="B450" s="36"/>
    </row>
    <row r="451" spans="2:2">
      <c r="B451" s="36"/>
    </row>
    <row r="452" spans="2:2">
      <c r="B452" s="36"/>
    </row>
    <row r="453" spans="2:2">
      <c r="B453" s="36"/>
    </row>
    <row r="454" spans="2:2">
      <c r="B454" s="36"/>
    </row>
    <row r="455" spans="2:2">
      <c r="B455" s="36"/>
    </row>
    <row r="456" spans="2:2">
      <c r="B456" s="36"/>
    </row>
    <row r="457" spans="2:2">
      <c r="B457" s="36"/>
    </row>
    <row r="458" spans="2:2">
      <c r="B458" s="36"/>
    </row>
    <row r="459" spans="2:2">
      <c r="B459" s="36"/>
    </row>
    <row r="460" spans="2:2">
      <c r="B460" s="36"/>
    </row>
    <row r="461" spans="2:2">
      <c r="B461" s="36"/>
    </row>
    <row r="462" spans="2:2">
      <c r="B462" s="36"/>
    </row>
    <row r="463" spans="2:2">
      <c r="B463" s="36"/>
    </row>
    <row r="464" spans="2:2">
      <c r="B464" s="36"/>
    </row>
    <row r="465" spans="2:2">
      <c r="B465" s="36"/>
    </row>
    <row r="466" spans="2:2">
      <c r="B466" s="36"/>
    </row>
    <row r="467" spans="2:2">
      <c r="B467" s="36"/>
    </row>
    <row r="468" spans="2:2">
      <c r="B468" s="36"/>
    </row>
    <row r="469" spans="2:2">
      <c r="B469" s="36"/>
    </row>
    <row r="470" spans="2:2">
      <c r="B470" s="36"/>
    </row>
    <row r="471" spans="2:2">
      <c r="B471" s="36"/>
    </row>
    <row r="472" spans="2:2">
      <c r="B472" s="36"/>
    </row>
    <row r="473" spans="2:2">
      <c r="B473" s="36"/>
    </row>
    <row r="474" spans="2:2">
      <c r="B474" s="36"/>
    </row>
    <row r="475" spans="2:2">
      <c r="B475" s="36"/>
    </row>
    <row r="476" spans="2:2">
      <c r="B476" s="36"/>
    </row>
    <row r="477" spans="2:2">
      <c r="B477" s="36"/>
    </row>
    <row r="478" spans="2:2">
      <c r="B478" s="36"/>
    </row>
    <row r="479" spans="2:2">
      <c r="B479" s="36"/>
    </row>
    <row r="480" spans="2:2">
      <c r="B480" s="36"/>
    </row>
    <row r="481" spans="2:2">
      <c r="B481" s="36"/>
    </row>
    <row r="482" spans="2:2">
      <c r="B482" s="36"/>
    </row>
    <row r="483" spans="2:2">
      <c r="B483" s="36"/>
    </row>
    <row r="484" spans="2:2">
      <c r="B484" s="36"/>
    </row>
    <row r="485" spans="2:2">
      <c r="B485" s="36"/>
    </row>
    <row r="486" spans="2:2">
      <c r="B486" s="36"/>
    </row>
    <row r="487" spans="2:2">
      <c r="B487" s="36"/>
    </row>
    <row r="488" spans="2:2">
      <c r="B488" s="36"/>
    </row>
    <row r="489" spans="2:2">
      <c r="B489" s="36"/>
    </row>
    <row r="490" spans="2:2">
      <c r="B490" s="36"/>
    </row>
    <row r="491" spans="2:2">
      <c r="B491" s="36"/>
    </row>
    <row r="492" spans="2:2">
      <c r="B492" s="36"/>
    </row>
    <row r="493" spans="2:2">
      <c r="B493" s="36"/>
    </row>
    <row r="494" spans="2:2">
      <c r="B494" s="36"/>
    </row>
    <row r="495" spans="2:2">
      <c r="B495" s="36"/>
    </row>
    <row r="496" spans="2:2">
      <c r="B496" s="36"/>
    </row>
    <row r="497" spans="2:2">
      <c r="B497" s="36"/>
    </row>
    <row r="498" spans="2:2">
      <c r="B498" s="36"/>
    </row>
    <row r="499" spans="2:2">
      <c r="B499" s="36"/>
    </row>
    <row r="500" spans="2:2">
      <c r="B500" s="36"/>
    </row>
    <row r="501" spans="2:2">
      <c r="B501" s="36"/>
    </row>
    <row r="502" spans="2:2">
      <c r="B502" s="36"/>
    </row>
    <row r="503" spans="2:2">
      <c r="B503" s="36"/>
    </row>
    <row r="504" spans="2:2">
      <c r="B504" s="36"/>
    </row>
    <row r="505" spans="2:2">
      <c r="B505" s="36"/>
    </row>
    <row r="506" spans="2:2">
      <c r="B506" s="36"/>
    </row>
    <row r="507" spans="2:2">
      <c r="B507" s="36"/>
    </row>
    <row r="508" spans="2:2">
      <c r="B508" s="36"/>
    </row>
    <row r="509" spans="2:2">
      <c r="B509" s="36"/>
    </row>
    <row r="510" spans="2:2">
      <c r="B510" s="36"/>
    </row>
    <row r="511" spans="2:2">
      <c r="B511" s="36"/>
    </row>
    <row r="512" spans="2:2">
      <c r="B512" s="36"/>
    </row>
    <row r="513" spans="2:2">
      <c r="B513" s="36"/>
    </row>
    <row r="514" spans="2:2">
      <c r="B514" s="36"/>
    </row>
    <row r="515" spans="2:2">
      <c r="B515" s="36"/>
    </row>
    <row r="516" spans="2:2">
      <c r="B516" s="36"/>
    </row>
    <row r="517" spans="2:2">
      <c r="B517" s="36"/>
    </row>
    <row r="518" spans="2:2">
      <c r="B518" s="36"/>
    </row>
    <row r="519" spans="2:2">
      <c r="B519" s="36"/>
    </row>
    <row r="520" spans="2:2">
      <c r="B520" s="36"/>
    </row>
    <row r="521" spans="2:2">
      <c r="B521" s="36"/>
    </row>
    <row r="522" spans="2:2">
      <c r="B522" s="36"/>
    </row>
    <row r="523" spans="2:2">
      <c r="B523" s="36"/>
    </row>
    <row r="524" spans="2:2">
      <c r="B524" s="36"/>
    </row>
    <row r="525" spans="2:2">
      <c r="B525" s="36"/>
    </row>
    <row r="526" spans="2:2">
      <c r="B526" s="36"/>
    </row>
    <row r="527" spans="2:2">
      <c r="B527" s="36"/>
    </row>
    <row r="528" spans="2:2">
      <c r="B528" s="36"/>
    </row>
    <row r="529" spans="2:2">
      <c r="B529" s="36"/>
    </row>
    <row r="530" spans="2:2">
      <c r="B530" s="36"/>
    </row>
    <row r="531" spans="2:2">
      <c r="B531" s="36"/>
    </row>
    <row r="532" spans="2:2">
      <c r="B532" s="36"/>
    </row>
    <row r="533" spans="2:2">
      <c r="B533" s="36"/>
    </row>
    <row r="534" spans="2:2">
      <c r="B534" s="36"/>
    </row>
    <row r="535" spans="2:2">
      <c r="B535" s="36"/>
    </row>
    <row r="536" spans="2:2">
      <c r="B536" s="36"/>
    </row>
    <row r="537" spans="2:2">
      <c r="B537" s="36"/>
    </row>
    <row r="538" spans="2:2">
      <c r="B538" s="36"/>
    </row>
    <row r="539" spans="2:2">
      <c r="B539" s="36"/>
    </row>
    <row r="540" spans="2:2">
      <c r="B540" s="36"/>
    </row>
    <row r="541" spans="2:2">
      <c r="B541" s="36"/>
    </row>
    <row r="542" spans="2:2">
      <c r="B542" s="36"/>
    </row>
    <row r="543" spans="2:2">
      <c r="B543" s="36"/>
    </row>
    <row r="544" spans="2:2">
      <c r="B544" s="36"/>
    </row>
    <row r="545" spans="2:2">
      <c r="B545" s="36"/>
    </row>
    <row r="546" spans="2:2">
      <c r="B546" s="36"/>
    </row>
    <row r="547" spans="2:2">
      <c r="B547" s="36"/>
    </row>
    <row r="548" spans="2:2">
      <c r="B548" s="36"/>
    </row>
    <row r="549" spans="2:2">
      <c r="B549" s="36"/>
    </row>
    <row r="550" spans="2:2">
      <c r="B550" s="36"/>
    </row>
    <row r="551" spans="2:2">
      <c r="B551" s="36"/>
    </row>
    <row r="552" spans="2:2">
      <c r="B552" s="36"/>
    </row>
    <row r="553" spans="2:2">
      <c r="B553" s="36"/>
    </row>
    <row r="554" spans="2:2">
      <c r="B554" s="36"/>
    </row>
    <row r="555" spans="2:2">
      <c r="B555" s="36"/>
    </row>
    <row r="556" spans="2:2">
      <c r="B556" s="36"/>
    </row>
    <row r="557" spans="2:2">
      <c r="B557" s="36"/>
    </row>
    <row r="558" spans="2:2">
      <c r="B558" s="36"/>
    </row>
    <row r="559" spans="2:2">
      <c r="B559" s="36"/>
    </row>
    <row r="560" spans="2:2">
      <c r="B560" s="36"/>
    </row>
    <row r="561" spans="2:2">
      <c r="B561" s="36"/>
    </row>
    <row r="562" spans="2:2">
      <c r="B562" s="36"/>
    </row>
    <row r="563" spans="2:2">
      <c r="B563" s="36"/>
    </row>
    <row r="564" spans="2:2">
      <c r="B564" s="36"/>
    </row>
    <row r="565" spans="2:2">
      <c r="B565" s="36"/>
    </row>
    <row r="566" spans="2:2">
      <c r="B566" s="36"/>
    </row>
    <row r="567" spans="2:2">
      <c r="B567" s="36"/>
    </row>
    <row r="568" spans="2:2">
      <c r="B568" s="36"/>
    </row>
    <row r="569" spans="2:2">
      <c r="B569" s="36"/>
    </row>
    <row r="570" spans="2:2">
      <c r="B570" s="36"/>
    </row>
    <row r="571" spans="2:2">
      <c r="B571" s="36"/>
    </row>
    <row r="572" spans="2:2">
      <c r="B572" s="36"/>
    </row>
    <row r="573" spans="2:2">
      <c r="B573" s="36"/>
    </row>
    <row r="574" spans="2:2">
      <c r="B574" s="36"/>
    </row>
    <row r="575" spans="2:2">
      <c r="B575" s="36"/>
    </row>
    <row r="576" spans="2:2">
      <c r="B576" s="36"/>
    </row>
    <row r="577" spans="2:2">
      <c r="B577" s="36"/>
    </row>
    <row r="578" spans="2:2">
      <c r="B578" s="36"/>
    </row>
    <row r="579" spans="2:2">
      <c r="B579" s="36"/>
    </row>
    <row r="580" spans="2:2">
      <c r="B580" s="36"/>
    </row>
    <row r="581" spans="2:2">
      <c r="B581" s="36"/>
    </row>
    <row r="582" spans="2:2">
      <c r="B582" s="36"/>
    </row>
    <row r="583" spans="2:2">
      <c r="B583" s="36"/>
    </row>
    <row r="584" spans="2:2">
      <c r="B584" s="36"/>
    </row>
    <row r="585" spans="2:2">
      <c r="B585" s="36"/>
    </row>
    <row r="586" spans="2:2">
      <c r="B586" s="36"/>
    </row>
    <row r="587" spans="2:2">
      <c r="B587" s="36"/>
    </row>
    <row r="588" spans="2:2">
      <c r="B588" s="36"/>
    </row>
    <row r="589" spans="2:2">
      <c r="B589" s="36"/>
    </row>
    <row r="590" spans="2:2">
      <c r="B590" s="36"/>
    </row>
    <row r="591" spans="2:2">
      <c r="B591" s="36"/>
    </row>
    <row r="592" spans="2:2">
      <c r="B592" s="36"/>
    </row>
    <row r="593" spans="2:2">
      <c r="B593" s="36"/>
    </row>
    <row r="594" spans="2:2">
      <c r="B594" s="36"/>
    </row>
    <row r="595" spans="2:2">
      <c r="B595" s="36"/>
    </row>
    <row r="596" spans="2:2">
      <c r="B596" s="36"/>
    </row>
    <row r="597" spans="2:2">
      <c r="B597" s="36"/>
    </row>
    <row r="598" spans="2:2">
      <c r="B598" s="36"/>
    </row>
    <row r="599" spans="2:2">
      <c r="B599" s="36"/>
    </row>
    <row r="600" spans="2:2">
      <c r="B600" s="36"/>
    </row>
    <row r="601" spans="2:2">
      <c r="B601" s="36"/>
    </row>
    <row r="602" spans="2:2">
      <c r="B602" s="36"/>
    </row>
    <row r="603" spans="2:2">
      <c r="B603" s="36"/>
    </row>
    <row r="604" spans="2:2">
      <c r="B604" s="36"/>
    </row>
    <row r="605" spans="2:2">
      <c r="B605" s="36"/>
    </row>
    <row r="606" spans="2:2">
      <c r="B606" s="36"/>
    </row>
    <row r="607" spans="2:2">
      <c r="B607" s="36"/>
    </row>
    <row r="608" spans="2:2">
      <c r="B608" s="36"/>
    </row>
    <row r="609" spans="2:2">
      <c r="B609" s="36"/>
    </row>
    <row r="610" spans="2:2">
      <c r="B610" s="36"/>
    </row>
    <row r="611" spans="2:2">
      <c r="B611" s="36"/>
    </row>
    <row r="612" spans="2:2">
      <c r="B612" s="36"/>
    </row>
    <row r="613" spans="2:2">
      <c r="B613" s="36"/>
    </row>
    <row r="614" spans="2:2">
      <c r="B614" s="36"/>
    </row>
    <row r="615" spans="2:2">
      <c r="B615" s="36"/>
    </row>
    <row r="616" spans="2:2">
      <c r="B616" s="36"/>
    </row>
    <row r="617" spans="2:2">
      <c r="B617" s="36"/>
    </row>
    <row r="618" spans="2:2">
      <c r="B618" s="36"/>
    </row>
    <row r="619" spans="2:2">
      <c r="B619" s="36"/>
    </row>
    <row r="620" spans="2:2">
      <c r="B620" s="36"/>
    </row>
    <row r="621" spans="2:2">
      <c r="B621" s="36"/>
    </row>
    <row r="622" spans="2:2">
      <c r="B622" s="36"/>
    </row>
    <row r="623" spans="2:2">
      <c r="B623" s="36"/>
    </row>
    <row r="624" spans="2:2">
      <c r="B624" s="36"/>
    </row>
    <row r="625" spans="2:2">
      <c r="B625" s="36"/>
    </row>
    <row r="626" spans="2:2">
      <c r="B626" s="36"/>
    </row>
    <row r="627" spans="2:2">
      <c r="B627" s="36"/>
    </row>
    <row r="628" spans="2:2">
      <c r="B628" s="36"/>
    </row>
    <row r="629" spans="2:2">
      <c r="B629" s="36"/>
    </row>
    <row r="630" spans="2:2">
      <c r="B630" s="36"/>
    </row>
    <row r="631" spans="2:2">
      <c r="B631" s="36"/>
    </row>
    <row r="632" spans="2:2">
      <c r="B632" s="36"/>
    </row>
    <row r="633" spans="2:2">
      <c r="B633" s="36"/>
    </row>
    <row r="634" spans="2:2">
      <c r="B634" s="36"/>
    </row>
    <row r="635" spans="2:2">
      <c r="B635" s="36"/>
    </row>
    <row r="636" spans="2:2">
      <c r="B636" s="36"/>
    </row>
    <row r="637" spans="2:2">
      <c r="B637" s="36"/>
    </row>
    <row r="638" spans="2:2">
      <c r="B638" s="36"/>
    </row>
    <row r="639" spans="2:2">
      <c r="B639" s="36"/>
    </row>
    <row r="640" spans="2:2">
      <c r="B640" s="36"/>
    </row>
    <row r="641" spans="2:2">
      <c r="B641" s="36"/>
    </row>
    <row r="642" spans="2:2">
      <c r="B642" s="36"/>
    </row>
    <row r="643" spans="2:2">
      <c r="B643" s="36"/>
    </row>
    <row r="644" spans="2:2">
      <c r="B644" s="36"/>
    </row>
    <row r="645" spans="2:2">
      <c r="B645" s="36"/>
    </row>
    <row r="646" spans="2:2">
      <c r="B646" s="36"/>
    </row>
    <row r="647" spans="2:2">
      <c r="B647" s="36"/>
    </row>
    <row r="648" spans="2:2">
      <c r="B648" s="36"/>
    </row>
    <row r="649" spans="2:2">
      <c r="B649" s="36"/>
    </row>
    <row r="650" spans="2:2">
      <c r="B650" s="36"/>
    </row>
    <row r="651" spans="2:2">
      <c r="B651" s="36"/>
    </row>
    <row r="652" spans="2:2">
      <c r="B652" s="36"/>
    </row>
    <row r="653" spans="2:2">
      <c r="B653" s="36"/>
    </row>
    <row r="654" spans="2:2">
      <c r="B654" s="36"/>
    </row>
    <row r="655" spans="2:2">
      <c r="B655" s="36"/>
    </row>
    <row r="656" spans="2:2">
      <c r="B656" s="36"/>
    </row>
    <row r="657" spans="2:2">
      <c r="B657" s="36"/>
    </row>
    <row r="658" spans="2:2">
      <c r="B658" s="36"/>
    </row>
    <row r="659" spans="2:2">
      <c r="B659" s="36"/>
    </row>
    <row r="660" spans="2:2">
      <c r="B660" s="36"/>
    </row>
    <row r="661" spans="2:2">
      <c r="B661" s="36"/>
    </row>
    <row r="662" spans="2:2">
      <c r="B662" s="36"/>
    </row>
    <row r="663" spans="2:2">
      <c r="B663" s="36"/>
    </row>
    <row r="664" spans="2:2">
      <c r="B664" s="36"/>
    </row>
    <row r="665" spans="2:2">
      <c r="B665" s="36"/>
    </row>
    <row r="666" spans="2:2">
      <c r="B666" s="36"/>
    </row>
    <row r="667" spans="2:2">
      <c r="B667" s="36"/>
    </row>
    <row r="668" spans="2:2">
      <c r="B668" s="36"/>
    </row>
    <row r="669" spans="2:2">
      <c r="B669" s="36"/>
    </row>
    <row r="670" spans="2:2">
      <c r="B670" s="36"/>
    </row>
    <row r="671" spans="2:2">
      <c r="B671" s="36"/>
    </row>
    <row r="672" spans="2:2">
      <c r="B672" s="36"/>
    </row>
    <row r="673" spans="2:2">
      <c r="B673" s="36"/>
    </row>
    <row r="674" spans="2:2">
      <c r="B674" s="36"/>
    </row>
    <row r="675" spans="2:2">
      <c r="B675" s="36"/>
    </row>
    <row r="676" spans="2:2">
      <c r="B676" s="36"/>
    </row>
    <row r="677" spans="2:2">
      <c r="B677" s="36"/>
    </row>
    <row r="678" spans="2:2">
      <c r="B678" s="36"/>
    </row>
    <row r="679" spans="2:2">
      <c r="B679" s="36"/>
    </row>
    <row r="680" spans="2:2">
      <c r="B680" s="36"/>
    </row>
    <row r="681" spans="2:2">
      <c r="B681" s="36"/>
    </row>
    <row r="682" spans="2:2">
      <c r="B682" s="36"/>
    </row>
    <row r="683" spans="2:2">
      <c r="B683" s="36"/>
    </row>
    <row r="684" spans="2:2">
      <c r="B684" s="36"/>
    </row>
    <row r="685" spans="2:2">
      <c r="B685" s="36"/>
    </row>
    <row r="686" spans="2:2">
      <c r="B686" s="36"/>
    </row>
    <row r="687" spans="2:2">
      <c r="B687" s="36"/>
    </row>
    <row r="688" spans="2:2">
      <c r="B688" s="36"/>
    </row>
    <row r="689" spans="2:2">
      <c r="B689" s="36"/>
    </row>
    <row r="690" spans="2:2">
      <c r="B690" s="36"/>
    </row>
    <row r="691" spans="2:2">
      <c r="B691" s="36"/>
    </row>
    <row r="692" spans="2:2">
      <c r="B692" s="36"/>
    </row>
    <row r="693" spans="2:2">
      <c r="B693" s="36"/>
    </row>
    <row r="694" spans="2:2">
      <c r="B694" s="36"/>
    </row>
    <row r="695" spans="2:2">
      <c r="B695" s="36"/>
    </row>
    <row r="696" spans="2:2">
      <c r="B696" s="36"/>
    </row>
    <row r="697" spans="2:2">
      <c r="B697" s="36"/>
    </row>
    <row r="698" spans="2:2">
      <c r="B698" s="36"/>
    </row>
    <row r="699" spans="2:2">
      <c r="B699" s="36"/>
    </row>
    <row r="700" spans="2:2">
      <c r="B700" s="36"/>
    </row>
    <row r="701" spans="2:2">
      <c r="B701" s="36"/>
    </row>
    <row r="702" spans="2:2">
      <c r="B702" s="36"/>
    </row>
    <row r="703" spans="2:2">
      <c r="B703" s="36"/>
    </row>
    <row r="704" spans="2:2">
      <c r="B704" s="36"/>
    </row>
    <row r="705" spans="2:2">
      <c r="B705" s="36"/>
    </row>
    <row r="706" spans="2:2">
      <c r="B706" s="36"/>
    </row>
    <row r="707" spans="2:2">
      <c r="B707" s="36"/>
    </row>
    <row r="708" spans="2:2">
      <c r="B708" s="36"/>
    </row>
    <row r="709" spans="2:2">
      <c r="B709" s="36"/>
    </row>
    <row r="710" spans="2:2">
      <c r="B710" s="36"/>
    </row>
    <row r="711" spans="2:2">
      <c r="B711" s="36"/>
    </row>
    <row r="712" spans="2:2">
      <c r="B712" s="36"/>
    </row>
    <row r="713" spans="2:2">
      <c r="B713" s="36"/>
    </row>
    <row r="714" spans="2:2">
      <c r="B714" s="36"/>
    </row>
    <row r="715" spans="2:2">
      <c r="B715" s="36"/>
    </row>
    <row r="716" spans="2:2">
      <c r="B716" s="36"/>
    </row>
    <row r="717" spans="2:2">
      <c r="B717" s="36"/>
    </row>
    <row r="718" spans="2:2">
      <c r="B718" s="36"/>
    </row>
    <row r="719" spans="2:2">
      <c r="B719" s="36"/>
    </row>
    <row r="720" spans="2:2">
      <c r="B720" s="36"/>
    </row>
    <row r="721" spans="2:2">
      <c r="B721" s="36"/>
    </row>
    <row r="722" spans="2:2">
      <c r="B722" s="36"/>
    </row>
    <row r="723" spans="2:2">
      <c r="B723" s="36"/>
    </row>
    <row r="724" spans="2:2">
      <c r="B724" s="36"/>
    </row>
    <row r="725" spans="2:2">
      <c r="B725" s="36"/>
    </row>
    <row r="726" spans="2:2">
      <c r="B726" s="36"/>
    </row>
    <row r="727" spans="2:2">
      <c r="B727" s="36"/>
    </row>
    <row r="728" spans="2:2">
      <c r="B728" s="36"/>
    </row>
    <row r="729" spans="2:2">
      <c r="B729" s="36"/>
    </row>
    <row r="730" spans="2:2">
      <c r="B730" s="36"/>
    </row>
    <row r="731" spans="2:2">
      <c r="B731" s="36"/>
    </row>
    <row r="732" spans="2:2">
      <c r="B732" s="36"/>
    </row>
    <row r="733" spans="2:2">
      <c r="B733" s="36"/>
    </row>
    <row r="734" spans="2:2">
      <c r="B734" s="36"/>
    </row>
    <row r="735" spans="2:2">
      <c r="B735" s="36"/>
    </row>
    <row r="736" spans="2:2">
      <c r="B736" s="36"/>
    </row>
    <row r="737" spans="2:2">
      <c r="B737" s="36"/>
    </row>
    <row r="738" spans="2:2">
      <c r="B738" s="36"/>
    </row>
    <row r="739" spans="2:2">
      <c r="B739" s="36"/>
    </row>
    <row r="740" spans="2:2">
      <c r="B740" s="36"/>
    </row>
    <row r="741" spans="2:2">
      <c r="B741" s="36"/>
    </row>
    <row r="742" spans="2:2">
      <c r="B742" s="36"/>
    </row>
    <row r="743" spans="2:2">
      <c r="B743" s="36"/>
    </row>
    <row r="744" spans="2:2">
      <c r="B744" s="36"/>
    </row>
    <row r="745" spans="2:2">
      <c r="B745" s="36"/>
    </row>
    <row r="746" spans="2:2">
      <c r="B746" s="36"/>
    </row>
    <row r="747" spans="2:2">
      <c r="B747" s="36"/>
    </row>
    <row r="748" spans="2:2">
      <c r="B748" s="36"/>
    </row>
    <row r="749" spans="2:2">
      <c r="B749" s="36"/>
    </row>
    <row r="750" spans="2:2">
      <c r="B750" s="36"/>
    </row>
    <row r="751" spans="2:2">
      <c r="B751" s="36"/>
    </row>
    <row r="752" spans="2:2">
      <c r="B752" s="36"/>
    </row>
    <row r="753" spans="2:2">
      <c r="B753" s="36"/>
    </row>
    <row r="754" spans="2:2">
      <c r="B754" s="36"/>
    </row>
    <row r="755" spans="2:2">
      <c r="B755" s="36"/>
    </row>
    <row r="756" spans="2:2">
      <c r="B756" s="36"/>
    </row>
    <row r="757" spans="2:2">
      <c r="B757" s="36"/>
    </row>
    <row r="758" spans="2:2">
      <c r="B758" s="36"/>
    </row>
    <row r="759" spans="2:2">
      <c r="B759" s="36"/>
    </row>
    <row r="760" spans="2:2">
      <c r="B760" s="36"/>
    </row>
    <row r="761" spans="2:2">
      <c r="B761" s="36"/>
    </row>
    <row r="762" spans="2:2">
      <c r="B762" s="36"/>
    </row>
    <row r="763" spans="2:2">
      <c r="B763" s="36"/>
    </row>
    <row r="764" spans="2:2">
      <c r="B764" s="36"/>
    </row>
    <row r="765" spans="2:2">
      <c r="B765" s="36"/>
    </row>
    <row r="766" spans="2:2">
      <c r="B766" s="36"/>
    </row>
    <row r="767" spans="2:2">
      <c r="B767" s="36"/>
    </row>
    <row r="768" spans="2:2">
      <c r="B768" s="36"/>
    </row>
    <row r="769" spans="2:2">
      <c r="B769" s="36"/>
    </row>
    <row r="770" spans="2:2">
      <c r="B770" s="36"/>
    </row>
    <row r="771" spans="2:2">
      <c r="B771" s="36"/>
    </row>
    <row r="772" spans="2:2">
      <c r="B772" s="36"/>
    </row>
    <row r="773" spans="2:2">
      <c r="B773" s="36"/>
    </row>
    <row r="774" spans="2:2">
      <c r="B774" s="36"/>
    </row>
    <row r="775" spans="2:2">
      <c r="B775" s="36"/>
    </row>
    <row r="776" spans="2:2">
      <c r="B776" s="36"/>
    </row>
    <row r="777" spans="2:2">
      <c r="B777" s="36"/>
    </row>
    <row r="778" spans="2:2">
      <c r="B778" s="36"/>
    </row>
    <row r="779" spans="2:2">
      <c r="B779" s="36"/>
    </row>
    <row r="780" spans="2:2">
      <c r="B780" s="36"/>
    </row>
    <row r="781" spans="2:2">
      <c r="B781" s="36"/>
    </row>
    <row r="782" spans="2:2">
      <c r="B782" s="36"/>
    </row>
    <row r="783" spans="2:2">
      <c r="B783" s="36"/>
    </row>
    <row r="784" spans="2:2">
      <c r="B784" s="36"/>
    </row>
    <row r="785" spans="2:2">
      <c r="B785" s="36"/>
    </row>
    <row r="786" spans="2:2">
      <c r="B786" s="36"/>
    </row>
    <row r="787" spans="2:2">
      <c r="B787" s="36"/>
    </row>
    <row r="788" spans="2:2">
      <c r="B788" s="36"/>
    </row>
    <row r="789" spans="2:2">
      <c r="B789" s="36"/>
    </row>
    <row r="790" spans="2:2">
      <c r="B790" s="36"/>
    </row>
    <row r="791" spans="2:2">
      <c r="B791" s="36"/>
    </row>
    <row r="792" spans="2:2">
      <c r="B792" s="36"/>
    </row>
    <row r="793" spans="2:2">
      <c r="B793" s="36"/>
    </row>
    <row r="794" spans="2:2">
      <c r="B794" s="36"/>
    </row>
    <row r="795" spans="2:2">
      <c r="B795" s="36"/>
    </row>
    <row r="796" spans="2:2">
      <c r="B796" s="36"/>
    </row>
    <row r="797" spans="2:2">
      <c r="B797" s="36"/>
    </row>
    <row r="798" spans="2:2">
      <c r="B798" s="36"/>
    </row>
    <row r="799" spans="2:2">
      <c r="B799" s="36"/>
    </row>
    <row r="800" spans="2:2">
      <c r="B800" s="36"/>
    </row>
    <row r="801" spans="2:2">
      <c r="B801" s="36"/>
    </row>
    <row r="802" spans="2:2">
      <c r="B802" s="36"/>
    </row>
    <row r="803" spans="2:2">
      <c r="B803" s="36"/>
    </row>
    <row r="804" spans="2:2">
      <c r="B804" s="36"/>
    </row>
    <row r="805" spans="2:2">
      <c r="B805" s="36"/>
    </row>
    <row r="806" spans="2:2">
      <c r="B806" s="36"/>
    </row>
    <row r="807" spans="2:2">
      <c r="B807" s="36"/>
    </row>
    <row r="808" spans="2:2">
      <c r="B808" s="36"/>
    </row>
    <row r="809" spans="2:2">
      <c r="B809" s="36"/>
    </row>
    <row r="810" spans="2:2">
      <c r="B810" s="36"/>
    </row>
    <row r="811" spans="2:2">
      <c r="B811" s="36"/>
    </row>
    <row r="812" spans="2:2">
      <c r="B812" s="36"/>
    </row>
    <row r="813" spans="2:2">
      <c r="B813" s="36"/>
    </row>
    <row r="814" spans="2:2">
      <c r="B814" s="36"/>
    </row>
    <row r="815" spans="2:2">
      <c r="B815" s="36"/>
    </row>
    <row r="816" spans="2:2">
      <c r="B816" s="36"/>
    </row>
    <row r="817" spans="2:2">
      <c r="B817" s="36"/>
    </row>
    <row r="818" spans="2:2">
      <c r="B818" s="36"/>
    </row>
    <row r="819" spans="2:2">
      <c r="B819" s="36"/>
    </row>
    <row r="820" spans="2:2">
      <c r="B820" s="36"/>
    </row>
    <row r="821" spans="2:2">
      <c r="B821" s="36"/>
    </row>
    <row r="822" spans="2:2">
      <c r="B822" s="36"/>
    </row>
    <row r="823" spans="2:2">
      <c r="B823" s="36"/>
    </row>
    <row r="824" spans="2:2">
      <c r="B824" s="36"/>
    </row>
    <row r="825" spans="2:2">
      <c r="B825" s="36"/>
    </row>
    <row r="826" spans="2:2">
      <c r="B826" s="36"/>
    </row>
    <row r="827" spans="2:2">
      <c r="B827" s="36"/>
    </row>
    <row r="828" spans="2:2">
      <c r="B828" s="36"/>
    </row>
    <row r="829" spans="2:2">
      <c r="B829" s="36"/>
    </row>
    <row r="830" spans="2:2">
      <c r="B830" s="36"/>
    </row>
    <row r="831" spans="2:2">
      <c r="B831" s="36"/>
    </row>
    <row r="832" spans="2:2">
      <c r="B832" s="36"/>
    </row>
    <row r="833" spans="2:2">
      <c r="B833" s="36"/>
    </row>
    <row r="834" spans="2:2">
      <c r="B834" s="36"/>
    </row>
    <row r="835" spans="2:2">
      <c r="B835" s="36"/>
    </row>
    <row r="836" spans="2:2">
      <c r="B836" s="36"/>
    </row>
    <row r="837" spans="2:2">
      <c r="B837" s="36"/>
    </row>
    <row r="838" spans="2:2">
      <c r="B838" s="36"/>
    </row>
    <row r="839" spans="2:2">
      <c r="B839" s="36"/>
    </row>
    <row r="840" spans="2:2">
      <c r="B840" s="36"/>
    </row>
    <row r="841" spans="2:2">
      <c r="B841" s="36"/>
    </row>
    <row r="842" spans="2:2">
      <c r="B842" s="36"/>
    </row>
    <row r="843" spans="2:2">
      <c r="B843" s="36"/>
    </row>
    <row r="844" spans="2:2">
      <c r="B844" s="36"/>
    </row>
    <row r="845" spans="2:2">
      <c r="B845" s="36"/>
    </row>
    <row r="846" spans="2:2">
      <c r="B846" s="36"/>
    </row>
    <row r="847" spans="2:2">
      <c r="B847" s="36"/>
    </row>
    <row r="848" spans="2:2">
      <c r="B848" s="36"/>
    </row>
    <row r="849" spans="2:2">
      <c r="B849" s="36"/>
    </row>
    <row r="850" spans="2:2">
      <c r="B850" s="36"/>
    </row>
    <row r="851" spans="2:2">
      <c r="B851" s="36"/>
    </row>
    <row r="852" spans="2:2">
      <c r="B852" s="36"/>
    </row>
    <row r="853" spans="2:2">
      <c r="B853" s="36"/>
    </row>
    <row r="854" spans="2:2">
      <c r="B854" s="36"/>
    </row>
    <row r="855" spans="2:2">
      <c r="B855" s="36"/>
    </row>
    <row r="856" spans="2:2">
      <c r="B856" s="36"/>
    </row>
    <row r="857" spans="2:2">
      <c r="B857" s="36"/>
    </row>
    <row r="858" spans="2:2">
      <c r="B858" s="36"/>
    </row>
    <row r="859" spans="2:2">
      <c r="B859" s="36"/>
    </row>
    <row r="860" spans="2:2">
      <c r="B860" s="36"/>
    </row>
    <row r="861" spans="2:2">
      <c r="B861" s="36"/>
    </row>
    <row r="862" spans="2:2">
      <c r="B862" s="36"/>
    </row>
    <row r="863" spans="2:2">
      <c r="B863" s="36"/>
    </row>
    <row r="864" spans="2:2">
      <c r="B864" s="36"/>
    </row>
    <row r="865" spans="2:2">
      <c r="B865" s="36"/>
    </row>
    <row r="866" spans="2:2">
      <c r="B866" s="36"/>
    </row>
    <row r="867" spans="2:2">
      <c r="B867" s="36"/>
    </row>
    <row r="868" spans="2:2">
      <c r="B868" s="36"/>
    </row>
    <row r="869" spans="2:2">
      <c r="B869" s="36"/>
    </row>
    <row r="870" spans="2:2">
      <c r="B870" s="36"/>
    </row>
    <row r="871" spans="2:2">
      <c r="B871" s="36"/>
    </row>
    <row r="872" spans="2:2">
      <c r="B872" s="36"/>
    </row>
    <row r="873" spans="2:2">
      <c r="B873" s="36"/>
    </row>
    <row r="874" spans="2:2">
      <c r="B874" s="36"/>
    </row>
    <row r="875" spans="2:2">
      <c r="B875" s="36"/>
    </row>
    <row r="876" spans="2:2">
      <c r="B876" s="36"/>
    </row>
    <row r="877" spans="2:2">
      <c r="B877" s="36"/>
    </row>
    <row r="878" spans="2:2">
      <c r="B878" s="36"/>
    </row>
    <row r="879" spans="2:2">
      <c r="B879" s="36"/>
    </row>
    <row r="880" spans="2:2">
      <c r="B880" s="36"/>
    </row>
    <row r="881" spans="2:2">
      <c r="B881" s="36"/>
    </row>
    <row r="882" spans="2:2">
      <c r="B882" s="36"/>
    </row>
    <row r="883" spans="2:2">
      <c r="B883" s="36"/>
    </row>
    <row r="884" spans="2:2">
      <c r="B884" s="36"/>
    </row>
    <row r="885" spans="2:2">
      <c r="B885" s="36"/>
    </row>
    <row r="886" spans="2:2">
      <c r="B886" s="36"/>
    </row>
    <row r="887" spans="2:2">
      <c r="B887" s="36"/>
    </row>
    <row r="888" spans="2:2">
      <c r="B888" s="36"/>
    </row>
    <row r="889" spans="2:2">
      <c r="B889" s="36"/>
    </row>
    <row r="890" spans="2:2">
      <c r="B890" s="36"/>
    </row>
    <row r="891" spans="2:2">
      <c r="B891" s="36"/>
    </row>
    <row r="892" spans="2:2">
      <c r="B892" s="36"/>
    </row>
    <row r="893" spans="2:2">
      <c r="B893" s="36"/>
    </row>
    <row r="894" spans="2:2">
      <c r="B894" s="36"/>
    </row>
    <row r="895" spans="2:2">
      <c r="B895" s="36"/>
    </row>
    <row r="896" spans="2:2">
      <c r="B896" s="36"/>
    </row>
    <row r="897" spans="2:2">
      <c r="B897" s="36"/>
    </row>
    <row r="898" spans="2:2">
      <c r="B898" s="36"/>
    </row>
    <row r="899" spans="2:2">
      <c r="B899" s="36"/>
    </row>
    <row r="900" spans="2:2">
      <c r="B900" s="36"/>
    </row>
    <row r="901" spans="2:2">
      <c r="B901" s="36"/>
    </row>
    <row r="902" spans="2:2">
      <c r="B902" s="36"/>
    </row>
    <row r="903" spans="2:2">
      <c r="B903" s="36"/>
    </row>
    <row r="904" spans="2:2">
      <c r="B904" s="36"/>
    </row>
    <row r="905" spans="2:2">
      <c r="B905" s="36"/>
    </row>
    <row r="906" spans="2:2">
      <c r="B906" s="36"/>
    </row>
    <row r="907" spans="2:2">
      <c r="B907" s="36"/>
    </row>
    <row r="908" spans="2:2">
      <c r="B908" s="36"/>
    </row>
    <row r="909" spans="2:2">
      <c r="B909" s="36"/>
    </row>
    <row r="910" spans="2:2">
      <c r="B910" s="36"/>
    </row>
    <row r="911" spans="2:2">
      <c r="B911" s="36"/>
    </row>
    <row r="912" spans="2:2">
      <c r="B912" s="36"/>
    </row>
    <row r="913" spans="2:2">
      <c r="B913" s="36"/>
    </row>
    <row r="914" spans="2:2">
      <c r="B914" s="36"/>
    </row>
    <row r="915" spans="2:2">
      <c r="B915" s="36"/>
    </row>
    <row r="916" spans="2:2">
      <c r="B916" s="36"/>
    </row>
    <row r="917" spans="2:2">
      <c r="B917" s="36"/>
    </row>
    <row r="918" spans="2:2">
      <c r="B918" s="36"/>
    </row>
    <row r="919" spans="2:2">
      <c r="B919" s="36"/>
    </row>
    <row r="920" spans="2:2">
      <c r="B920" s="36"/>
    </row>
    <row r="921" spans="2:2">
      <c r="B921" s="36"/>
    </row>
    <row r="922" spans="2:2">
      <c r="B922" s="36"/>
    </row>
    <row r="923" spans="2:2">
      <c r="B923" s="36"/>
    </row>
    <row r="924" spans="2:2">
      <c r="B924" s="36"/>
    </row>
    <row r="925" spans="2:2">
      <c r="B925" s="36"/>
    </row>
    <row r="926" spans="2:2">
      <c r="B926" s="36"/>
    </row>
    <row r="927" spans="2:2">
      <c r="B927" s="36"/>
    </row>
    <row r="928" spans="2:2">
      <c r="B928" s="36"/>
    </row>
    <row r="929" spans="2:2">
      <c r="B929" s="36"/>
    </row>
    <row r="930" spans="2:2">
      <c r="B930" s="36"/>
    </row>
    <row r="931" spans="2:2">
      <c r="B931" s="36"/>
    </row>
    <row r="932" spans="2:2">
      <c r="B932" s="36"/>
    </row>
    <row r="933" spans="2:2">
      <c r="B933" s="36"/>
    </row>
    <row r="934" spans="2:2">
      <c r="B934" s="36"/>
    </row>
    <row r="935" spans="2:2">
      <c r="B935" s="36"/>
    </row>
    <row r="936" spans="2:2">
      <c r="B936" s="36"/>
    </row>
    <row r="937" spans="2:2">
      <c r="B937" s="36"/>
    </row>
    <row r="938" spans="2:2">
      <c r="B938" s="36"/>
    </row>
    <row r="939" spans="2:2">
      <c r="B939" s="36"/>
    </row>
    <row r="940" spans="2:2">
      <c r="B940" s="36"/>
    </row>
    <row r="941" spans="2:2">
      <c r="B941" s="36"/>
    </row>
    <row r="942" spans="2:2">
      <c r="B942" s="36"/>
    </row>
    <row r="943" spans="2:2">
      <c r="B943" s="36"/>
    </row>
    <row r="944" spans="2:2">
      <c r="B944" s="36"/>
    </row>
    <row r="945" spans="2:2">
      <c r="B945" s="36"/>
    </row>
    <row r="946" spans="2:2">
      <c r="B946" s="36"/>
    </row>
    <row r="947" spans="2:2">
      <c r="B947" s="36"/>
    </row>
    <row r="948" spans="2:2">
      <c r="B948" s="36"/>
    </row>
    <row r="949" spans="2:2">
      <c r="B949" s="36"/>
    </row>
    <row r="950" spans="2:2">
      <c r="B950" s="36"/>
    </row>
    <row r="951" spans="2:2">
      <c r="B951" s="36"/>
    </row>
    <row r="952" spans="2:2">
      <c r="B952" s="36"/>
    </row>
    <row r="953" spans="2:2">
      <c r="B953" s="36"/>
    </row>
    <row r="954" spans="2:2">
      <c r="B954" s="36"/>
    </row>
    <row r="955" spans="2:2">
      <c r="B955" s="36"/>
    </row>
    <row r="956" spans="2:2">
      <c r="B956" s="36"/>
    </row>
    <row r="957" spans="2:2">
      <c r="B957" s="36"/>
    </row>
    <row r="958" spans="2:2">
      <c r="B958" s="36"/>
    </row>
    <row r="959" spans="2:2">
      <c r="B959" s="36"/>
    </row>
    <row r="960" spans="2:2">
      <c r="B960" s="36"/>
    </row>
    <row r="961" spans="2:2">
      <c r="B961" s="36"/>
    </row>
    <row r="962" spans="2:2">
      <c r="B962" s="36"/>
    </row>
    <row r="963" spans="2:2">
      <c r="B963" s="36"/>
    </row>
    <row r="964" spans="2:2">
      <c r="B964" s="36"/>
    </row>
    <row r="965" spans="2:2">
      <c r="B965" s="36"/>
    </row>
    <row r="966" spans="2:2">
      <c r="B966" s="36"/>
    </row>
    <row r="967" spans="2:2">
      <c r="B967" s="36"/>
    </row>
    <row r="968" spans="2:2">
      <c r="B968" s="36"/>
    </row>
    <row r="969" spans="2:2">
      <c r="B969" s="36"/>
    </row>
    <row r="970" spans="2:2">
      <c r="B970" s="36"/>
    </row>
    <row r="971" spans="2:2">
      <c r="B971" s="36"/>
    </row>
    <row r="972" spans="2:2">
      <c r="B972" s="36"/>
    </row>
    <row r="973" spans="2:2">
      <c r="B973" s="36"/>
    </row>
    <row r="974" spans="2:2">
      <c r="B974" s="36"/>
    </row>
    <row r="975" spans="2:2">
      <c r="B975" s="36"/>
    </row>
    <row r="976" spans="2:2">
      <c r="B976" s="36"/>
    </row>
    <row r="977" spans="2:2">
      <c r="B977" s="36"/>
    </row>
    <row r="978" spans="2:2">
      <c r="B978" s="36"/>
    </row>
    <row r="979" spans="2:2">
      <c r="B979" s="36"/>
    </row>
    <row r="980" spans="2:2">
      <c r="B980" s="36"/>
    </row>
    <row r="981" spans="2:2">
      <c r="B981" s="36"/>
    </row>
    <row r="982" spans="2:2">
      <c r="B982" s="36"/>
    </row>
    <row r="983" spans="2:2">
      <c r="B983" s="36"/>
    </row>
    <row r="984" spans="2:2">
      <c r="B984" s="36"/>
    </row>
    <row r="985" spans="2:2">
      <c r="B985" s="36"/>
    </row>
    <row r="986" spans="2:2">
      <c r="B986" s="36"/>
    </row>
    <row r="987" spans="2:2">
      <c r="B987" s="36"/>
    </row>
    <row r="988" spans="2:2">
      <c r="B988" s="36"/>
    </row>
    <row r="989" spans="2:2">
      <c r="B989" s="36"/>
    </row>
    <row r="990" spans="2:2">
      <c r="B990" s="36"/>
    </row>
    <row r="991" spans="2:2">
      <c r="B991" s="36"/>
    </row>
    <row r="992" spans="2:2">
      <c r="B992" s="36"/>
    </row>
    <row r="993" spans="2:2">
      <c r="B993" s="36"/>
    </row>
    <row r="994" spans="2:2">
      <c r="B994" s="36"/>
    </row>
    <row r="995" spans="2:2">
      <c r="B995" s="36"/>
    </row>
    <row r="996" spans="2:2">
      <c r="B996" s="36"/>
    </row>
    <row r="997" spans="2:2">
      <c r="B997" s="36"/>
    </row>
    <row r="998" spans="2:2">
      <c r="B998" s="36"/>
    </row>
    <row r="999" spans="2:2">
      <c r="B999" s="36"/>
    </row>
    <row r="1000" spans="2:2">
      <c r="B1000" s="36"/>
    </row>
    <row r="1001" spans="2:2">
      <c r="B1001" s="36"/>
    </row>
    <row r="1002" spans="2:2">
      <c r="B1002" s="36"/>
    </row>
    <row r="1003" spans="2:2">
      <c r="B1003" s="36"/>
    </row>
    <row r="1004" spans="2:2">
      <c r="B1004" s="36"/>
    </row>
    <row r="1005" spans="2:2">
      <c r="B1005" s="36"/>
    </row>
    <row r="1006" spans="2:2">
      <c r="B1006" s="36"/>
    </row>
    <row r="1007" spans="2:2">
      <c r="B1007" s="36"/>
    </row>
    <row r="1008" spans="2:2">
      <c r="B1008" s="36"/>
    </row>
    <row r="1009" spans="2:2">
      <c r="B1009" s="36"/>
    </row>
    <row r="1010" spans="2:2">
      <c r="B1010" s="36"/>
    </row>
    <row r="1011" spans="2:2">
      <c r="B1011" s="36"/>
    </row>
    <row r="1012" spans="2:2">
      <c r="B1012" s="36"/>
    </row>
    <row r="1013" spans="2:2">
      <c r="B1013" s="36"/>
    </row>
    <row r="1014" spans="2:2">
      <c r="B1014" s="36"/>
    </row>
    <row r="1015" spans="2:2">
      <c r="B1015" s="36"/>
    </row>
    <row r="1016" spans="2:2">
      <c r="B1016" s="36"/>
    </row>
    <row r="1017" spans="2:2">
      <c r="B1017" s="36"/>
    </row>
    <row r="1018" spans="2:2">
      <c r="B1018" s="36"/>
    </row>
    <row r="1019" spans="2:2">
      <c r="B1019" s="36"/>
    </row>
    <row r="1020" spans="2:2">
      <c r="B1020" s="36"/>
    </row>
    <row r="1021" spans="2:2">
      <c r="B1021" s="36"/>
    </row>
    <row r="1022" spans="2:2">
      <c r="B1022" s="36"/>
    </row>
    <row r="1023" spans="2:2">
      <c r="B1023" s="36"/>
    </row>
    <row r="1024" spans="2:2">
      <c r="B1024" s="36"/>
    </row>
    <row r="1025" spans="2:2">
      <c r="B1025" s="36"/>
    </row>
    <row r="1026" spans="2:2">
      <c r="B1026" s="36"/>
    </row>
    <row r="1027" spans="2:2">
      <c r="B1027" s="36"/>
    </row>
    <row r="1028" spans="2:2">
      <c r="B1028" s="36"/>
    </row>
    <row r="1029" spans="2:2">
      <c r="B1029" s="36"/>
    </row>
    <row r="1030" spans="2:2">
      <c r="B1030" s="36"/>
    </row>
    <row r="1031" spans="2:2">
      <c r="B1031" s="36"/>
    </row>
    <row r="1032" spans="2:2">
      <c r="B1032" s="36"/>
    </row>
    <row r="1033" spans="2:2">
      <c r="B1033" s="36"/>
    </row>
    <row r="1034" spans="2:2">
      <c r="B1034" s="36"/>
    </row>
    <row r="1035" spans="2:2">
      <c r="B1035" s="36"/>
    </row>
    <row r="1036" spans="2:2">
      <c r="B1036" s="36"/>
    </row>
    <row r="1037" spans="2:2">
      <c r="B1037" s="36"/>
    </row>
    <row r="1038" spans="2:2">
      <c r="B1038" s="36"/>
    </row>
    <row r="1039" spans="2:2">
      <c r="B1039" s="36"/>
    </row>
    <row r="1040" spans="2:2">
      <c r="B1040" s="36"/>
    </row>
    <row r="1041" spans="2:2">
      <c r="B1041" s="36"/>
    </row>
    <row r="1042" spans="2:2">
      <c r="B1042" s="36"/>
    </row>
    <row r="1043" spans="2:2">
      <c r="B1043" s="36"/>
    </row>
    <row r="1044" spans="2:2">
      <c r="B1044" s="36"/>
    </row>
    <row r="1045" spans="2:2">
      <c r="B1045" s="36"/>
    </row>
    <row r="1046" spans="2:2">
      <c r="B1046" s="36"/>
    </row>
    <row r="1047" spans="2:2">
      <c r="B1047" s="36"/>
    </row>
    <row r="1048" spans="2:2">
      <c r="B1048" s="36"/>
    </row>
    <row r="1049" spans="2:2">
      <c r="B1049" s="36"/>
    </row>
    <row r="1050" spans="2:2">
      <c r="B1050" s="36"/>
    </row>
    <row r="1051" spans="2:2">
      <c r="B1051" s="36"/>
    </row>
    <row r="1052" spans="2:2">
      <c r="B1052" s="36"/>
    </row>
    <row r="1053" spans="2:2">
      <c r="B1053" s="36"/>
    </row>
    <row r="1054" spans="2:2">
      <c r="B1054" s="36"/>
    </row>
    <row r="1055" spans="2:2">
      <c r="B1055" s="36"/>
    </row>
    <row r="1056" spans="2:2">
      <c r="B1056" s="36"/>
    </row>
    <row r="1057" spans="2:2">
      <c r="B1057" s="36"/>
    </row>
    <row r="1058" spans="2:2">
      <c r="B1058" s="36"/>
    </row>
    <row r="1059" spans="2:2">
      <c r="B1059" s="36"/>
    </row>
    <row r="1060" spans="2:2">
      <c r="B1060" s="36"/>
    </row>
    <row r="1061" spans="2:2">
      <c r="B1061" s="36"/>
    </row>
    <row r="1062" spans="2:2">
      <c r="B1062" s="36"/>
    </row>
    <row r="1063" spans="2:2">
      <c r="B1063" s="36"/>
    </row>
    <row r="1064" spans="2:2">
      <c r="B1064" s="36"/>
    </row>
    <row r="1065" spans="2:2">
      <c r="B1065" s="36"/>
    </row>
    <row r="1066" spans="2:2">
      <c r="B1066" s="36"/>
    </row>
    <row r="1067" spans="2:2">
      <c r="B1067" s="36"/>
    </row>
    <row r="1068" spans="2:2">
      <c r="B1068" s="36"/>
    </row>
    <row r="1069" spans="2:2">
      <c r="B1069" s="36"/>
    </row>
    <row r="1070" spans="2:2">
      <c r="B1070" s="36"/>
    </row>
    <row r="1071" spans="2:2">
      <c r="B1071" s="36"/>
    </row>
    <row r="1072" spans="2:2">
      <c r="B1072" s="36"/>
    </row>
    <row r="1073" spans="2:2">
      <c r="B1073" s="36"/>
    </row>
    <row r="1074" spans="2:2">
      <c r="B1074" s="36"/>
    </row>
    <row r="1075" spans="2:2">
      <c r="B1075" s="36"/>
    </row>
    <row r="1076" spans="2:2">
      <c r="B1076" s="36"/>
    </row>
    <row r="1077" spans="2:2">
      <c r="B1077" s="36"/>
    </row>
    <row r="1078" spans="2:2">
      <c r="B1078" s="36"/>
    </row>
    <row r="1079" spans="2:2">
      <c r="B1079" s="36"/>
    </row>
    <row r="1080" spans="2:2">
      <c r="B1080" s="36"/>
    </row>
    <row r="1081" spans="2:2">
      <c r="B1081" s="36"/>
    </row>
    <row r="1082" spans="2:2">
      <c r="B1082" s="36"/>
    </row>
    <row r="1083" spans="2:2">
      <c r="B1083" s="36"/>
    </row>
    <row r="1084" spans="2:2">
      <c r="B1084" s="36"/>
    </row>
    <row r="1085" spans="2:2">
      <c r="B1085" s="36"/>
    </row>
    <row r="1086" spans="2:2">
      <c r="B1086" s="36"/>
    </row>
    <row r="1087" spans="2:2">
      <c r="B1087" s="36"/>
    </row>
    <row r="1088" spans="2:2">
      <c r="B1088" s="36"/>
    </row>
    <row r="1089" spans="2:2">
      <c r="B1089" s="36"/>
    </row>
    <row r="1090" spans="2:2">
      <c r="B1090" s="36"/>
    </row>
    <row r="1091" spans="2:2">
      <c r="B1091" s="36"/>
    </row>
    <row r="1092" spans="2:2">
      <c r="B1092" s="36"/>
    </row>
    <row r="1093" spans="2:2">
      <c r="B1093" s="36"/>
    </row>
    <row r="1094" spans="2:2">
      <c r="B1094" s="36"/>
    </row>
    <row r="1095" spans="2:2">
      <c r="B1095" s="36"/>
    </row>
    <row r="1096" spans="2:2">
      <c r="B1096" s="36"/>
    </row>
    <row r="1097" spans="2:2">
      <c r="B1097" s="36"/>
    </row>
    <row r="1098" spans="2:2">
      <c r="B1098" s="36"/>
    </row>
    <row r="1099" spans="2:2">
      <c r="B1099" s="36"/>
    </row>
    <row r="1100" spans="2:2">
      <c r="B1100" s="36"/>
    </row>
    <row r="1101" spans="2:2">
      <c r="B1101" s="36"/>
    </row>
    <row r="1102" spans="2:2">
      <c r="B1102" s="36"/>
    </row>
    <row r="1103" spans="2:2">
      <c r="B1103" s="36"/>
    </row>
    <row r="1104" spans="2:2">
      <c r="B1104" s="36"/>
    </row>
    <row r="1105" spans="2:2">
      <c r="B1105" s="36"/>
    </row>
    <row r="1106" spans="2:2">
      <c r="B1106" s="36"/>
    </row>
    <row r="1107" spans="2:2">
      <c r="B1107" s="36"/>
    </row>
    <row r="1108" spans="2:2">
      <c r="B1108" s="36"/>
    </row>
    <row r="1109" spans="2:2">
      <c r="B1109" s="36"/>
    </row>
    <row r="1110" spans="2:2">
      <c r="B1110" s="36"/>
    </row>
    <row r="1111" spans="2:2">
      <c r="B1111" s="36"/>
    </row>
    <row r="1112" spans="2:2">
      <c r="B1112" s="36"/>
    </row>
    <row r="1113" spans="2:2">
      <c r="B1113" s="36"/>
    </row>
    <row r="1114" spans="2:2">
      <c r="B1114" s="36"/>
    </row>
    <row r="1115" spans="2:2">
      <c r="B1115" s="36"/>
    </row>
    <row r="1116" spans="2:2">
      <c r="B1116" s="36"/>
    </row>
    <row r="1117" spans="2:2">
      <c r="B1117" s="36"/>
    </row>
    <row r="1118" spans="2:2">
      <c r="B1118" s="36"/>
    </row>
    <row r="1119" spans="2:2">
      <c r="B1119" s="36"/>
    </row>
    <row r="1120" spans="2:2">
      <c r="B1120" s="36"/>
    </row>
    <row r="1121" spans="2:2">
      <c r="B1121" s="36"/>
    </row>
    <row r="1122" spans="2:2">
      <c r="B1122" s="36"/>
    </row>
    <row r="1123" spans="2:2">
      <c r="B1123" s="36"/>
    </row>
    <row r="1124" spans="2:2">
      <c r="B1124" s="36"/>
    </row>
    <row r="1125" spans="2:2">
      <c r="B1125" s="36"/>
    </row>
    <row r="1126" spans="2:2">
      <c r="B1126" s="36"/>
    </row>
    <row r="1127" spans="2:2">
      <c r="B1127" s="36"/>
    </row>
    <row r="1128" spans="2:2">
      <c r="B1128" s="36"/>
    </row>
    <row r="1129" spans="2:2">
      <c r="B1129" s="36"/>
    </row>
    <row r="1130" spans="2:2">
      <c r="B1130" s="36"/>
    </row>
    <row r="1131" spans="2:2">
      <c r="B1131" s="36"/>
    </row>
    <row r="1132" spans="2:2">
      <c r="B1132" s="36"/>
    </row>
    <row r="1133" spans="2:2">
      <c r="B1133" s="36"/>
    </row>
    <row r="1134" spans="2:2">
      <c r="B1134" s="36"/>
    </row>
    <row r="1135" spans="2:2">
      <c r="B1135" s="36"/>
    </row>
    <row r="1136" spans="2:2">
      <c r="B1136" s="36"/>
    </row>
    <row r="1137" spans="2:2">
      <c r="B1137" s="36"/>
    </row>
    <row r="1138" spans="2:2">
      <c r="B1138" s="36"/>
    </row>
    <row r="1139" spans="2:2">
      <c r="B1139" s="36"/>
    </row>
    <row r="1140" spans="2:2">
      <c r="B1140" s="36"/>
    </row>
    <row r="1141" spans="2:2">
      <c r="B1141" s="36"/>
    </row>
    <row r="1142" spans="2:2">
      <c r="B1142" s="36"/>
    </row>
    <row r="1143" spans="2:2">
      <c r="B1143" s="36"/>
    </row>
    <row r="1144" spans="2:2">
      <c r="B1144" s="36"/>
    </row>
    <row r="1145" spans="2:2">
      <c r="B1145" s="36"/>
    </row>
    <row r="1146" spans="2:2">
      <c r="B1146" s="36"/>
    </row>
    <row r="1147" spans="2:2">
      <c r="B1147" s="36"/>
    </row>
    <row r="1148" spans="2:2">
      <c r="B1148" s="36"/>
    </row>
    <row r="1149" spans="2:2">
      <c r="B1149" s="36"/>
    </row>
    <row r="1150" spans="2:2">
      <c r="B1150" s="36"/>
    </row>
    <row r="1151" spans="2:2">
      <c r="B1151" s="36"/>
    </row>
    <row r="1152" spans="2:2">
      <c r="B1152" s="36"/>
    </row>
    <row r="1153" spans="2:2">
      <c r="B1153" s="36"/>
    </row>
    <row r="1154" spans="2:2">
      <c r="B1154" s="36"/>
    </row>
    <row r="1155" spans="2:2">
      <c r="B1155" s="36"/>
    </row>
    <row r="1156" spans="2:2">
      <c r="B1156" s="36"/>
    </row>
    <row r="1157" spans="2:2">
      <c r="B1157" s="36"/>
    </row>
    <row r="1158" spans="2:2">
      <c r="B1158" s="36"/>
    </row>
    <row r="1159" spans="2:2">
      <c r="B1159" s="36"/>
    </row>
    <row r="1160" spans="2:2">
      <c r="B1160" s="36"/>
    </row>
    <row r="1161" spans="2:2">
      <c r="B1161" s="36"/>
    </row>
    <row r="1162" spans="2:2">
      <c r="B1162" s="36"/>
    </row>
    <row r="1163" spans="2:2">
      <c r="B1163" s="36"/>
    </row>
    <row r="1164" spans="2:2">
      <c r="B1164" s="36"/>
    </row>
    <row r="1165" spans="2:2">
      <c r="B1165" s="36"/>
    </row>
    <row r="1166" spans="2:2">
      <c r="B1166" s="36"/>
    </row>
    <row r="1167" spans="2:2">
      <c r="B1167" s="36"/>
    </row>
    <row r="1168" spans="2:2">
      <c r="B1168" s="36"/>
    </row>
    <row r="1169" spans="2:2">
      <c r="B1169" s="36"/>
    </row>
    <row r="1170" spans="2:2">
      <c r="B1170" s="36"/>
    </row>
    <row r="1171" spans="2:2">
      <c r="B1171" s="36"/>
    </row>
    <row r="1172" spans="2:2">
      <c r="B1172" s="36"/>
    </row>
    <row r="1173" spans="2:2">
      <c r="B1173" s="36"/>
    </row>
    <row r="1174" spans="2:2">
      <c r="B1174" s="36"/>
    </row>
    <row r="1175" spans="2:2">
      <c r="B1175" s="36"/>
    </row>
    <row r="1176" spans="2:2">
      <c r="B1176" s="36"/>
    </row>
    <row r="1177" spans="2:2">
      <c r="B1177" s="36"/>
    </row>
    <row r="1178" spans="2:2">
      <c r="B1178" s="36"/>
    </row>
    <row r="1179" spans="2:2">
      <c r="B1179" s="36"/>
    </row>
    <row r="1180" spans="2:2">
      <c r="B1180" s="36"/>
    </row>
    <row r="1181" spans="2:2">
      <c r="B1181" s="36"/>
    </row>
    <row r="1182" spans="2:2">
      <c r="B1182" s="36"/>
    </row>
    <row r="1183" spans="2:2">
      <c r="B1183" s="36"/>
    </row>
    <row r="1184" spans="2:2">
      <c r="B1184" s="36"/>
    </row>
    <row r="1185" spans="2:2">
      <c r="B1185" s="36"/>
    </row>
    <row r="1186" spans="2:2">
      <c r="B1186" s="36"/>
    </row>
    <row r="1187" spans="2:2">
      <c r="B1187" s="36"/>
    </row>
    <row r="1188" spans="2:2">
      <c r="B1188" s="36"/>
    </row>
    <row r="1189" spans="2:2">
      <c r="B1189" s="36"/>
    </row>
    <row r="1190" spans="2:2">
      <c r="B1190" s="36"/>
    </row>
    <row r="1191" spans="2:2">
      <c r="B1191" s="36"/>
    </row>
    <row r="1192" spans="2:2">
      <c r="B1192" s="36"/>
    </row>
    <row r="1193" spans="2:2">
      <c r="B1193" s="36"/>
    </row>
    <row r="1194" spans="2:2">
      <c r="B1194" s="36"/>
    </row>
    <row r="1195" spans="2:2">
      <c r="B1195" s="36"/>
    </row>
    <row r="1196" spans="2:2">
      <c r="B1196" s="36"/>
    </row>
    <row r="1197" spans="2:2">
      <c r="B1197" s="36"/>
    </row>
    <row r="1198" spans="2:2">
      <c r="B1198" s="36"/>
    </row>
    <row r="1199" spans="2:2">
      <c r="B1199" s="36"/>
    </row>
    <row r="1200" spans="2:2">
      <c r="B1200" s="36"/>
    </row>
    <row r="1201" spans="2:2">
      <c r="B1201" s="36"/>
    </row>
    <row r="1202" spans="2:2">
      <c r="B1202" s="36"/>
    </row>
    <row r="1203" spans="2:2">
      <c r="B1203" s="36"/>
    </row>
    <row r="1204" spans="2:2">
      <c r="B1204" s="36"/>
    </row>
    <row r="1205" spans="2:2">
      <c r="B1205" s="36"/>
    </row>
    <row r="1206" spans="2:2">
      <c r="B1206" s="36"/>
    </row>
    <row r="1207" spans="2:2">
      <c r="B1207" s="36"/>
    </row>
    <row r="1208" spans="2:2">
      <c r="B1208" s="36"/>
    </row>
    <row r="1209" spans="2:2">
      <c r="B1209" s="36"/>
    </row>
    <row r="1210" spans="2:2">
      <c r="B1210" s="36"/>
    </row>
    <row r="1211" spans="2:2">
      <c r="B1211" s="36"/>
    </row>
    <row r="1212" spans="2:2">
      <c r="B1212" s="36"/>
    </row>
    <row r="1213" spans="2:2">
      <c r="B1213" s="36"/>
    </row>
    <row r="1214" spans="2:2">
      <c r="B1214" s="36"/>
    </row>
    <row r="1215" spans="2:2">
      <c r="B1215" s="36"/>
    </row>
    <row r="1216" spans="2:2">
      <c r="B1216" s="36"/>
    </row>
    <row r="1217" spans="2:2">
      <c r="B1217" s="36"/>
    </row>
    <row r="1218" spans="2:2">
      <c r="B1218" s="36"/>
    </row>
    <row r="1219" spans="2:2">
      <c r="B1219" s="36"/>
    </row>
    <row r="1220" spans="2:2">
      <c r="B1220" s="36"/>
    </row>
    <row r="1221" spans="2:2">
      <c r="B1221" s="36"/>
    </row>
    <row r="1222" spans="2:2">
      <c r="B1222" s="36"/>
    </row>
    <row r="1223" spans="2:2">
      <c r="B1223" s="36"/>
    </row>
    <row r="1224" spans="2:2">
      <c r="B1224" s="36"/>
    </row>
    <row r="1225" spans="2:2">
      <c r="B1225" s="36"/>
    </row>
    <row r="1226" spans="2:2">
      <c r="B1226" s="36"/>
    </row>
    <row r="1227" spans="2:2">
      <c r="B1227" s="36"/>
    </row>
    <row r="1228" spans="2:2">
      <c r="B1228" s="36"/>
    </row>
    <row r="1229" spans="2:2">
      <c r="B1229" s="36"/>
    </row>
    <row r="1230" spans="2:2">
      <c r="B1230" s="36"/>
    </row>
    <row r="1231" spans="2:2">
      <c r="B1231" s="36"/>
    </row>
    <row r="1232" spans="2:2">
      <c r="B1232" s="36"/>
    </row>
    <row r="1233" spans="2:2">
      <c r="B1233" s="36"/>
    </row>
    <row r="1234" spans="2:2">
      <c r="B1234" s="36"/>
    </row>
    <row r="1235" spans="2:2">
      <c r="B1235" s="36"/>
    </row>
    <row r="1236" spans="2:2">
      <c r="B1236" s="36"/>
    </row>
    <row r="1237" spans="2:2">
      <c r="B1237" s="36"/>
    </row>
    <row r="1238" spans="2:2">
      <c r="B1238" s="36"/>
    </row>
    <row r="1239" spans="2:2">
      <c r="B1239" s="36"/>
    </row>
    <row r="1240" spans="2:2">
      <c r="B1240" s="36"/>
    </row>
    <row r="1241" spans="2:2">
      <c r="B1241" s="36"/>
    </row>
    <row r="1242" spans="2:2">
      <c r="B1242" s="36"/>
    </row>
    <row r="1243" spans="2:2">
      <c r="B1243" s="36"/>
    </row>
    <row r="1244" spans="2:2">
      <c r="B1244" s="36"/>
    </row>
    <row r="1245" spans="2:2">
      <c r="B1245" s="36"/>
    </row>
    <row r="1246" spans="2:2">
      <c r="B1246" s="36"/>
    </row>
    <row r="1247" spans="2:2">
      <c r="B1247" s="36"/>
    </row>
    <row r="1248" spans="2:2">
      <c r="B1248" s="36"/>
    </row>
    <row r="1249" spans="2:2">
      <c r="B1249" s="36"/>
    </row>
    <row r="1250" spans="2:2">
      <c r="B1250" s="36"/>
    </row>
    <row r="1251" spans="2:2">
      <c r="B1251" s="36"/>
    </row>
    <row r="1252" spans="2:2">
      <c r="B1252" s="36"/>
    </row>
    <row r="1253" spans="2:2">
      <c r="B1253" s="36"/>
    </row>
    <row r="1254" spans="2:2">
      <c r="B1254" s="36"/>
    </row>
    <row r="1255" spans="2:2">
      <c r="B1255" s="36"/>
    </row>
    <row r="1256" spans="2:2">
      <c r="B1256" s="36"/>
    </row>
    <row r="1257" spans="2:2">
      <c r="B1257" s="36"/>
    </row>
    <row r="1258" spans="2:2">
      <c r="B1258" s="36"/>
    </row>
    <row r="1259" spans="2:2">
      <c r="B1259" s="36"/>
    </row>
    <row r="1260" spans="2:2">
      <c r="B1260" s="36"/>
    </row>
    <row r="1261" spans="2:2">
      <c r="B1261" s="36"/>
    </row>
    <row r="1262" spans="2:2">
      <c r="B1262" s="36"/>
    </row>
    <row r="1263" spans="2:2">
      <c r="B1263" s="36"/>
    </row>
    <row r="1264" spans="2:2">
      <c r="B1264" s="36"/>
    </row>
    <row r="1265" spans="2:2">
      <c r="B1265" s="36"/>
    </row>
    <row r="1266" spans="2:2">
      <c r="B1266" s="36"/>
    </row>
    <row r="1267" spans="2:2">
      <c r="B1267" s="36"/>
    </row>
    <row r="1268" spans="2:2">
      <c r="B1268" s="36"/>
    </row>
    <row r="1269" spans="2:2">
      <c r="B1269" s="36"/>
    </row>
    <row r="1270" spans="2:2">
      <c r="B1270" s="36"/>
    </row>
    <row r="1271" spans="2:2">
      <c r="B1271" s="36"/>
    </row>
    <row r="1272" spans="2:2">
      <c r="B1272" s="36"/>
    </row>
    <row r="1273" spans="2:2">
      <c r="B1273" s="36"/>
    </row>
    <row r="1274" spans="2:2">
      <c r="B1274" s="36"/>
    </row>
    <row r="1275" spans="2:2">
      <c r="B1275" s="36"/>
    </row>
    <row r="1276" spans="2:2">
      <c r="B1276" s="36"/>
    </row>
    <row r="1277" spans="2:2">
      <c r="B1277" s="36"/>
    </row>
    <row r="1278" spans="2:2">
      <c r="B1278" s="36"/>
    </row>
    <row r="1279" spans="2:2">
      <c r="B1279" s="36"/>
    </row>
    <row r="1280" spans="2:2">
      <c r="B1280" s="36"/>
    </row>
    <row r="1281" spans="2:2">
      <c r="B1281" s="36"/>
    </row>
    <row r="1282" spans="2:2">
      <c r="B1282" s="36"/>
    </row>
    <row r="1283" spans="2:2">
      <c r="B1283" s="36"/>
    </row>
    <row r="1284" spans="2:2">
      <c r="B1284" s="36"/>
    </row>
    <row r="1285" spans="2:2">
      <c r="B1285" s="36"/>
    </row>
    <row r="1286" spans="2:2">
      <c r="B1286" s="36"/>
    </row>
    <row r="1287" spans="2:2">
      <c r="B1287" s="36"/>
    </row>
    <row r="1288" spans="2:2">
      <c r="B1288" s="36"/>
    </row>
    <row r="1289" spans="2:2">
      <c r="B1289" s="36"/>
    </row>
    <row r="1290" spans="2:2">
      <c r="B1290" s="36"/>
    </row>
    <row r="1291" spans="2:2">
      <c r="B1291" s="36"/>
    </row>
    <row r="1292" spans="2:2">
      <c r="B1292" s="36"/>
    </row>
    <row r="1293" spans="2:2">
      <c r="B1293" s="36"/>
    </row>
    <row r="1294" spans="2:2">
      <c r="B1294" s="36"/>
    </row>
    <row r="1295" spans="2:2">
      <c r="B1295" s="36"/>
    </row>
    <row r="1296" spans="2:2">
      <c r="B1296" s="36"/>
    </row>
    <row r="1297" spans="2:2">
      <c r="B1297" s="36"/>
    </row>
    <row r="1298" spans="2:2">
      <c r="B1298" s="36"/>
    </row>
    <row r="1299" spans="2:2">
      <c r="B1299" s="36"/>
    </row>
    <row r="1300" spans="2:2">
      <c r="B1300" s="36"/>
    </row>
    <row r="1301" spans="2:2">
      <c r="B1301" s="36"/>
    </row>
    <row r="1302" spans="2:2">
      <c r="B1302" s="36"/>
    </row>
    <row r="1303" spans="2:2">
      <c r="B1303" s="36"/>
    </row>
    <row r="1304" spans="2:2">
      <c r="B1304" s="36"/>
    </row>
    <row r="1305" spans="2:2">
      <c r="B1305" s="36"/>
    </row>
    <row r="1306" spans="2:2">
      <c r="B1306" s="36"/>
    </row>
    <row r="1307" spans="2:2">
      <c r="B1307" s="36"/>
    </row>
    <row r="1308" spans="2:2">
      <c r="B1308" s="36"/>
    </row>
    <row r="1309" spans="2:2">
      <c r="B1309" s="36"/>
    </row>
    <row r="1310" spans="2:2">
      <c r="B1310" s="36"/>
    </row>
    <row r="1311" spans="2:2">
      <c r="B1311" s="36"/>
    </row>
    <row r="1312" spans="2:2">
      <c r="B1312" s="36"/>
    </row>
    <row r="1313" spans="2:2">
      <c r="B1313" s="36"/>
    </row>
    <row r="1314" spans="2:2">
      <c r="B1314" s="36"/>
    </row>
    <row r="1315" spans="2:2">
      <c r="B1315" s="36"/>
    </row>
    <row r="1316" spans="2:2">
      <c r="B1316" s="36"/>
    </row>
    <row r="1317" spans="2:2">
      <c r="B1317" s="36"/>
    </row>
    <row r="1318" spans="2:2">
      <c r="B1318" s="36"/>
    </row>
    <row r="1319" spans="2:2">
      <c r="B1319" s="36"/>
    </row>
    <row r="1320" spans="2:2">
      <c r="B1320" s="36"/>
    </row>
    <row r="1321" spans="2:2">
      <c r="B1321" s="36"/>
    </row>
    <row r="1322" spans="2:2">
      <c r="B1322" s="36"/>
    </row>
    <row r="1323" spans="2:2">
      <c r="B1323" s="36"/>
    </row>
    <row r="1324" spans="2:2">
      <c r="B1324" s="36"/>
    </row>
    <row r="1325" spans="2:2">
      <c r="B1325" s="36"/>
    </row>
    <row r="1326" spans="2:2">
      <c r="B1326" s="36"/>
    </row>
    <row r="1327" spans="2:2">
      <c r="B1327" s="36"/>
    </row>
    <row r="1328" spans="2:2">
      <c r="B1328" s="36"/>
    </row>
    <row r="1329" spans="2:2">
      <c r="B1329" s="36"/>
    </row>
    <row r="1330" spans="2:2">
      <c r="B1330" s="36"/>
    </row>
    <row r="1331" spans="2:2">
      <c r="B1331" s="36"/>
    </row>
    <row r="1332" spans="2:2">
      <c r="B1332" s="36"/>
    </row>
    <row r="1333" spans="2:2">
      <c r="B1333" s="36"/>
    </row>
    <row r="1334" spans="2:2">
      <c r="B1334" s="36"/>
    </row>
    <row r="1335" spans="2:2">
      <c r="B1335" s="36"/>
    </row>
    <row r="1336" spans="2:2">
      <c r="B1336" s="36"/>
    </row>
    <row r="1337" spans="2:2">
      <c r="B1337" s="36"/>
    </row>
    <row r="1338" spans="2:2">
      <c r="B1338" s="36"/>
    </row>
    <row r="1339" spans="2:2">
      <c r="B1339" s="36"/>
    </row>
    <row r="1340" spans="2:2">
      <c r="B1340" s="36"/>
    </row>
    <row r="1341" spans="2:2">
      <c r="B1341" s="36"/>
    </row>
    <row r="1342" spans="2:2">
      <c r="B1342" s="36"/>
    </row>
    <row r="1343" spans="2:2">
      <c r="B1343" s="36"/>
    </row>
    <row r="1344" spans="2:2">
      <c r="B1344" s="36"/>
    </row>
    <row r="1345" spans="2:2">
      <c r="B1345" s="36"/>
    </row>
    <row r="1346" spans="2:2">
      <c r="B1346" s="36"/>
    </row>
    <row r="1347" spans="2:2">
      <c r="B1347" s="36"/>
    </row>
    <row r="1348" spans="2:2">
      <c r="B1348" s="36"/>
    </row>
    <row r="1349" spans="2:2">
      <c r="B1349" s="36"/>
    </row>
    <row r="1350" spans="2:2">
      <c r="B1350" s="36"/>
    </row>
    <row r="1351" spans="2:2">
      <c r="B1351" s="36"/>
    </row>
    <row r="1352" spans="2:2">
      <c r="B1352" s="36"/>
    </row>
    <row r="1353" spans="2:2">
      <c r="B1353" s="36"/>
    </row>
    <row r="1354" spans="2:2">
      <c r="B1354" s="36"/>
    </row>
    <row r="1355" spans="2:2">
      <c r="B1355" s="36"/>
    </row>
    <row r="1356" spans="2:2">
      <c r="B1356" s="36"/>
    </row>
    <row r="1357" spans="2:2">
      <c r="B1357" s="36"/>
    </row>
    <row r="1358" spans="2:2">
      <c r="B1358" s="36"/>
    </row>
    <row r="1359" spans="2:2">
      <c r="B1359" s="36"/>
    </row>
    <row r="1360" spans="2:2">
      <c r="B1360" s="36"/>
    </row>
    <row r="1361" spans="2:2">
      <c r="B1361" s="36"/>
    </row>
    <row r="1362" spans="2:2">
      <c r="B1362" s="36"/>
    </row>
    <row r="1363" spans="2:2">
      <c r="B1363" s="36"/>
    </row>
    <row r="1364" spans="2:2">
      <c r="B1364" s="36"/>
    </row>
    <row r="1365" spans="2:2">
      <c r="B1365" s="36"/>
    </row>
    <row r="1366" spans="2:2">
      <c r="B1366" s="36"/>
    </row>
    <row r="1367" spans="2:2">
      <c r="B1367" s="36"/>
    </row>
    <row r="1368" spans="2:2">
      <c r="B1368" s="36"/>
    </row>
    <row r="1369" spans="2:2">
      <c r="B1369" s="36"/>
    </row>
    <row r="1370" spans="2:2">
      <c r="B1370" s="36"/>
    </row>
    <row r="1371" spans="2:2">
      <c r="B1371" s="36"/>
    </row>
    <row r="1372" spans="2:2">
      <c r="B1372" s="36"/>
    </row>
    <row r="1373" spans="2:2">
      <c r="B1373" s="36"/>
    </row>
    <row r="1374" spans="2:2">
      <c r="B1374" s="36"/>
    </row>
    <row r="1375" spans="2:2">
      <c r="B1375" s="36"/>
    </row>
    <row r="1376" spans="2:2">
      <c r="B1376" s="36"/>
    </row>
    <row r="1377" spans="2:2">
      <c r="B1377" s="36"/>
    </row>
    <row r="1378" spans="2:2">
      <c r="B1378" s="36"/>
    </row>
    <row r="1379" spans="2:2">
      <c r="B1379" s="36"/>
    </row>
    <row r="1380" spans="2:2">
      <c r="B1380" s="36"/>
    </row>
    <row r="1381" spans="2:2">
      <c r="B1381" s="36"/>
    </row>
    <row r="1382" spans="2:2">
      <c r="B1382" s="36"/>
    </row>
    <row r="1383" spans="2:2">
      <c r="B1383" s="36"/>
    </row>
    <row r="1384" spans="2:2">
      <c r="B1384" s="36"/>
    </row>
    <row r="1385" spans="2:2">
      <c r="B1385" s="36"/>
    </row>
    <row r="1386" spans="2:2">
      <c r="B1386" s="36"/>
    </row>
    <row r="1387" spans="2:2">
      <c r="B1387" s="36"/>
    </row>
    <row r="1388" spans="2:2">
      <c r="B1388" s="36"/>
    </row>
    <row r="1389" spans="2:2">
      <c r="B1389" s="36"/>
    </row>
    <row r="1390" spans="2:2">
      <c r="B1390" s="36"/>
    </row>
    <row r="1391" spans="2:2">
      <c r="B1391" s="36"/>
    </row>
    <row r="1392" spans="2:2">
      <c r="B1392" s="36"/>
    </row>
    <row r="1393" spans="2:2">
      <c r="B1393" s="36"/>
    </row>
    <row r="1394" spans="2:2">
      <c r="B1394" s="36"/>
    </row>
    <row r="1395" spans="2:2">
      <c r="B1395" s="36"/>
    </row>
    <row r="1396" spans="2:2">
      <c r="B1396" s="36"/>
    </row>
    <row r="1397" spans="2:2">
      <c r="B1397" s="36"/>
    </row>
    <row r="1398" spans="2:2">
      <c r="B1398" s="36"/>
    </row>
    <row r="1399" spans="2:2">
      <c r="B1399" s="36"/>
    </row>
    <row r="1400" spans="2:2">
      <c r="B1400" s="36"/>
    </row>
    <row r="1401" spans="2:2">
      <c r="B1401" s="36"/>
    </row>
    <row r="1402" spans="2:2">
      <c r="B1402" s="36"/>
    </row>
    <row r="1403" spans="2:2">
      <c r="B1403" s="36"/>
    </row>
    <row r="1404" spans="2:2">
      <c r="B1404" s="36"/>
    </row>
    <row r="1405" spans="2:2">
      <c r="B1405" s="36"/>
    </row>
    <row r="1406" spans="2:2">
      <c r="B1406" s="36"/>
    </row>
    <row r="1407" spans="2:2">
      <c r="B1407" s="36"/>
    </row>
    <row r="1408" spans="2:2">
      <c r="B1408" s="36"/>
    </row>
    <row r="1409" spans="2:2">
      <c r="B1409" s="36"/>
    </row>
    <row r="1410" spans="2:2">
      <c r="B1410" s="36"/>
    </row>
    <row r="1411" spans="2:2">
      <c r="B1411" s="36"/>
    </row>
    <row r="1412" spans="2:2">
      <c r="B1412" s="36"/>
    </row>
    <row r="1413" spans="2:2">
      <c r="B1413" s="36"/>
    </row>
    <row r="1414" spans="2:2">
      <c r="B1414" s="36"/>
    </row>
    <row r="1415" spans="2:2">
      <c r="B1415" s="36"/>
    </row>
    <row r="1416" spans="2:2">
      <c r="B1416" s="36"/>
    </row>
    <row r="1417" spans="2:2">
      <c r="B1417" s="36"/>
    </row>
    <row r="1418" spans="2:2">
      <c r="B1418" s="36"/>
    </row>
    <row r="1419" spans="2:2">
      <c r="B1419" s="36"/>
    </row>
    <row r="1420" spans="2:2">
      <c r="B1420" s="36"/>
    </row>
    <row r="1421" spans="2:2">
      <c r="B1421" s="36"/>
    </row>
    <row r="1422" spans="2:2">
      <c r="B1422" s="36"/>
    </row>
    <row r="1423" spans="2:2">
      <c r="B1423" s="36"/>
    </row>
    <row r="1424" spans="2:2">
      <c r="B1424" s="36"/>
    </row>
    <row r="1425" spans="2:2">
      <c r="B1425" s="36"/>
    </row>
    <row r="1426" spans="2:2">
      <c r="B1426" s="36"/>
    </row>
    <row r="1427" spans="2:2">
      <c r="B1427" s="36"/>
    </row>
    <row r="1428" spans="2:2">
      <c r="B1428" s="36"/>
    </row>
    <row r="1429" spans="2:2">
      <c r="B1429" s="36"/>
    </row>
    <row r="1430" spans="2:2">
      <c r="B1430" s="36"/>
    </row>
    <row r="1431" spans="2:2">
      <c r="B1431" s="36"/>
    </row>
    <row r="1432" spans="2:2">
      <c r="B1432" s="36"/>
    </row>
    <row r="1433" spans="2:2">
      <c r="B1433" s="36"/>
    </row>
    <row r="1434" spans="2:2">
      <c r="B1434" s="36"/>
    </row>
    <row r="1435" spans="2:2">
      <c r="B1435" s="36"/>
    </row>
    <row r="1436" spans="2:2">
      <c r="B1436" s="36"/>
    </row>
    <row r="1437" spans="2:2">
      <c r="B1437" s="36"/>
    </row>
    <row r="1438" spans="2:2">
      <c r="B1438" s="36"/>
    </row>
    <row r="1439" spans="2:2">
      <c r="B1439" s="36"/>
    </row>
    <row r="1440" spans="2:2">
      <c r="B1440" s="36"/>
    </row>
    <row r="1441" spans="2:2">
      <c r="B1441" s="36"/>
    </row>
    <row r="1442" spans="2:2">
      <c r="B1442" s="36"/>
    </row>
    <row r="1443" spans="2:2">
      <c r="B1443" s="36"/>
    </row>
    <row r="1444" spans="2:2">
      <c r="B1444" s="36"/>
    </row>
    <row r="1445" spans="2:2">
      <c r="B1445" s="36"/>
    </row>
    <row r="1446" spans="2:2">
      <c r="B1446" s="36"/>
    </row>
    <row r="1447" spans="2:2">
      <c r="B1447" s="36"/>
    </row>
    <row r="1448" spans="2:2">
      <c r="B1448" s="36"/>
    </row>
    <row r="1449" spans="2:2">
      <c r="B1449" s="36"/>
    </row>
    <row r="1450" spans="2:2">
      <c r="B1450" s="36"/>
    </row>
    <row r="1451" spans="2:2">
      <c r="B1451" s="36"/>
    </row>
    <row r="1452" spans="2:2">
      <c r="B1452" s="36"/>
    </row>
    <row r="1453" spans="2:2">
      <c r="B1453" s="36"/>
    </row>
    <row r="1454" spans="2:2">
      <c r="B1454" s="36"/>
    </row>
    <row r="1455" spans="2:2">
      <c r="B1455" s="36"/>
    </row>
    <row r="1456" spans="2:2">
      <c r="B1456" s="36"/>
    </row>
    <row r="1457" spans="2:2">
      <c r="B1457" s="36"/>
    </row>
    <row r="1458" spans="2:2">
      <c r="B1458" s="36"/>
    </row>
    <row r="1459" spans="2:2">
      <c r="B1459" s="36"/>
    </row>
    <row r="1460" spans="2:2">
      <c r="B1460" s="36"/>
    </row>
    <row r="1461" spans="2:2">
      <c r="B1461" s="36"/>
    </row>
    <row r="1462" spans="2:2">
      <c r="B1462" s="36"/>
    </row>
    <row r="1463" spans="2:2">
      <c r="B1463" s="36"/>
    </row>
    <row r="1464" spans="2:2">
      <c r="B1464" s="36"/>
    </row>
    <row r="1465" spans="2:2">
      <c r="B1465" s="36"/>
    </row>
    <row r="1466" spans="2:2">
      <c r="B1466" s="36"/>
    </row>
    <row r="1467" spans="2:2">
      <c r="B1467" s="36"/>
    </row>
    <row r="1468" spans="2:2">
      <c r="B1468" s="36"/>
    </row>
    <row r="1469" spans="2:2">
      <c r="B1469" s="36"/>
    </row>
    <row r="1470" spans="2:2">
      <c r="B1470" s="36"/>
    </row>
    <row r="1471" spans="2:2">
      <c r="B1471" s="36"/>
    </row>
    <row r="1472" spans="2:2">
      <c r="B1472" s="36"/>
    </row>
    <row r="1473" spans="2:2">
      <c r="B1473" s="36"/>
    </row>
    <row r="1474" spans="2:2">
      <c r="B1474" s="36"/>
    </row>
    <row r="1475" spans="2:2">
      <c r="B1475" s="36"/>
    </row>
    <row r="1476" spans="2:2">
      <c r="B1476" s="36"/>
    </row>
    <row r="1477" spans="2:2">
      <c r="B1477" s="36"/>
    </row>
    <row r="1478" spans="2:2">
      <c r="B1478" s="36"/>
    </row>
    <row r="1479" spans="2:2">
      <c r="B1479" s="36"/>
    </row>
    <row r="1480" spans="2:2">
      <c r="B1480" s="36"/>
    </row>
    <row r="1481" spans="2:2">
      <c r="B1481" s="36"/>
    </row>
    <row r="1482" spans="2:2">
      <c r="B1482" s="36"/>
    </row>
    <row r="1483" spans="2:2">
      <c r="B1483" s="36"/>
    </row>
    <row r="1484" spans="2:2">
      <c r="B1484" s="36"/>
    </row>
    <row r="1485" spans="2:2">
      <c r="B1485" s="36"/>
    </row>
    <row r="1486" spans="2:2">
      <c r="B1486" s="36"/>
    </row>
    <row r="1487" spans="2:2">
      <c r="B1487" s="36"/>
    </row>
    <row r="1488" spans="2:2">
      <c r="B1488" s="36"/>
    </row>
    <row r="1489" spans="2:2">
      <c r="B1489" s="36"/>
    </row>
    <row r="1490" spans="2:2">
      <c r="B1490" s="36"/>
    </row>
    <row r="1491" spans="2:2">
      <c r="B1491" s="36"/>
    </row>
    <row r="1492" spans="2:2">
      <c r="B1492" s="36"/>
    </row>
    <row r="1493" spans="2:2">
      <c r="B1493" s="36"/>
    </row>
    <row r="1494" spans="2:2">
      <c r="B1494" s="36"/>
    </row>
    <row r="1495" spans="2:2">
      <c r="B1495" s="36"/>
    </row>
    <row r="1496" spans="2:2">
      <c r="B1496" s="36"/>
    </row>
    <row r="1497" spans="2:2">
      <c r="B1497" s="36"/>
    </row>
    <row r="1498" spans="2:2">
      <c r="B1498" s="36"/>
    </row>
    <row r="1499" spans="2:2">
      <c r="B1499" s="36"/>
    </row>
    <row r="1500" spans="2:2">
      <c r="B1500" s="36"/>
    </row>
    <row r="1501" spans="2:2">
      <c r="B1501" s="36"/>
    </row>
    <row r="1502" spans="2:2">
      <c r="B1502" s="36"/>
    </row>
    <row r="1503" spans="2:2">
      <c r="B1503" s="36"/>
    </row>
    <row r="1504" spans="2:2">
      <c r="B1504" s="36"/>
    </row>
    <row r="1505" spans="2:2">
      <c r="B1505" s="36"/>
    </row>
    <row r="1506" spans="2:2">
      <c r="B1506" s="36"/>
    </row>
    <row r="1507" spans="2:2">
      <c r="B1507" s="36"/>
    </row>
    <row r="1508" spans="2:2">
      <c r="B1508" s="36"/>
    </row>
    <row r="1509" spans="2:2">
      <c r="B1509" s="36"/>
    </row>
    <row r="1510" spans="2:2">
      <c r="B1510" s="36"/>
    </row>
    <row r="1511" spans="2:2">
      <c r="B1511" s="36"/>
    </row>
    <row r="1512" spans="2:2">
      <c r="B1512" s="36"/>
    </row>
    <row r="1513" spans="2:2">
      <c r="B1513" s="36"/>
    </row>
    <row r="1514" spans="2:2">
      <c r="B1514" s="36"/>
    </row>
    <row r="1515" spans="2:2">
      <c r="B1515" s="36"/>
    </row>
    <row r="1516" spans="2:2">
      <c r="B1516" s="36"/>
    </row>
    <row r="1517" spans="2:2">
      <c r="B1517" s="36"/>
    </row>
    <row r="1518" spans="2:2">
      <c r="B1518" s="36"/>
    </row>
    <row r="1519" spans="2:2">
      <c r="B1519" s="36"/>
    </row>
    <row r="1520" spans="2:2">
      <c r="B1520" s="36"/>
    </row>
    <row r="1521" spans="2:2">
      <c r="B1521" s="36"/>
    </row>
    <row r="1522" spans="2:2">
      <c r="B1522" s="36"/>
    </row>
    <row r="1523" spans="2:2">
      <c r="B1523" s="36"/>
    </row>
    <row r="1524" spans="2:2">
      <c r="B1524" s="36"/>
    </row>
    <row r="1525" spans="2:2">
      <c r="B1525" s="36"/>
    </row>
    <row r="1526" spans="2:2">
      <c r="B1526" s="36"/>
    </row>
    <row r="1527" spans="2:2">
      <c r="B1527" s="36"/>
    </row>
    <row r="1528" spans="2:2">
      <c r="B1528" s="36"/>
    </row>
    <row r="1529" spans="2:2">
      <c r="B1529" s="36"/>
    </row>
    <row r="1530" spans="2:2">
      <c r="B1530" s="36"/>
    </row>
    <row r="1531" spans="2:2">
      <c r="B1531" s="36"/>
    </row>
    <row r="1532" spans="2:2">
      <c r="B1532" s="36"/>
    </row>
    <row r="1533" spans="2:2">
      <c r="B1533" s="36"/>
    </row>
    <row r="1534" spans="2:2">
      <c r="B1534" s="36"/>
    </row>
    <row r="1535" spans="2:2">
      <c r="B1535" s="36"/>
    </row>
    <row r="1536" spans="2:2">
      <c r="B1536" s="36"/>
    </row>
    <row r="1537" spans="2:2">
      <c r="B1537" s="36"/>
    </row>
    <row r="1538" spans="2:2">
      <c r="B1538" s="36"/>
    </row>
    <row r="1539" spans="2:2">
      <c r="B1539" s="36"/>
    </row>
    <row r="1540" spans="2:2">
      <c r="B1540" s="36"/>
    </row>
    <row r="1541" spans="2:2">
      <c r="B1541" s="36"/>
    </row>
    <row r="1542" spans="2:2">
      <c r="B1542" s="36"/>
    </row>
    <row r="1543" spans="2:2">
      <c r="B1543" s="36"/>
    </row>
    <row r="1544" spans="2:2">
      <c r="B1544" s="36"/>
    </row>
    <row r="1545" spans="2:2">
      <c r="B1545" s="36"/>
    </row>
    <row r="1546" spans="2:2">
      <c r="B1546" s="36"/>
    </row>
    <row r="1547" spans="2:2">
      <c r="B1547" s="36"/>
    </row>
    <row r="1548" spans="2:2">
      <c r="B1548" s="36"/>
    </row>
    <row r="1549" spans="2:2">
      <c r="B1549" s="36"/>
    </row>
    <row r="1550" spans="2:2">
      <c r="B1550" s="36"/>
    </row>
    <row r="1551" spans="2:2">
      <c r="B1551" s="36"/>
    </row>
    <row r="1552" spans="2:2">
      <c r="B1552" s="36"/>
    </row>
    <row r="1553" spans="2:2">
      <c r="B1553" s="36"/>
    </row>
    <row r="1554" spans="2:2">
      <c r="B1554" s="36"/>
    </row>
    <row r="1555" spans="2:2">
      <c r="B1555" s="36"/>
    </row>
    <row r="1556" spans="2:2">
      <c r="B1556" s="36"/>
    </row>
    <row r="1557" spans="2:2">
      <c r="B1557" s="36"/>
    </row>
    <row r="1558" spans="2:2">
      <c r="B1558" s="36"/>
    </row>
    <row r="1559" spans="2:2">
      <c r="B1559" s="36"/>
    </row>
    <row r="1560" spans="2:2">
      <c r="B1560" s="36"/>
    </row>
    <row r="1561" spans="2:2">
      <c r="B1561" s="36"/>
    </row>
    <row r="1562" spans="2:2">
      <c r="B1562" s="36"/>
    </row>
    <row r="1563" spans="2:2">
      <c r="B1563" s="36"/>
    </row>
    <row r="1564" spans="2:2">
      <c r="B1564" s="36"/>
    </row>
    <row r="1565" spans="2:2">
      <c r="B1565" s="36"/>
    </row>
    <row r="1566" spans="2:2">
      <c r="B1566" s="36"/>
    </row>
    <row r="1567" spans="2:2">
      <c r="B1567" s="36"/>
    </row>
    <row r="1568" spans="2:2">
      <c r="B1568" s="36"/>
    </row>
    <row r="1569" spans="2:2">
      <c r="B1569" s="36"/>
    </row>
    <row r="1570" spans="2:2">
      <c r="B1570" s="36"/>
    </row>
    <row r="1571" spans="2:2">
      <c r="B1571" s="36"/>
    </row>
    <row r="1572" spans="2:2">
      <c r="B1572" s="36"/>
    </row>
    <row r="1573" spans="2:2">
      <c r="B1573" s="36"/>
    </row>
    <row r="1574" spans="2:2">
      <c r="B1574" s="36"/>
    </row>
    <row r="1575" spans="2:2">
      <c r="B1575" s="36"/>
    </row>
    <row r="1576" spans="2:2">
      <c r="B1576" s="36"/>
    </row>
    <row r="1577" spans="2:2">
      <c r="B1577" s="36"/>
    </row>
    <row r="1578" spans="2:2">
      <c r="B1578" s="36"/>
    </row>
    <row r="1579" spans="2:2">
      <c r="B1579" s="36"/>
    </row>
    <row r="1580" spans="2:2">
      <c r="B1580" s="36"/>
    </row>
    <row r="1581" spans="2:2">
      <c r="B1581" s="36"/>
    </row>
    <row r="1582" spans="2:2">
      <c r="B1582" s="36"/>
    </row>
    <row r="1583" spans="2:2">
      <c r="B1583" s="36"/>
    </row>
    <row r="1584" spans="2:2">
      <c r="B1584" s="36"/>
    </row>
    <row r="1585" spans="2:2">
      <c r="B1585" s="36"/>
    </row>
    <row r="1586" spans="2:2">
      <c r="B1586" s="36"/>
    </row>
    <row r="1587" spans="2:2">
      <c r="B1587" s="36"/>
    </row>
    <row r="1588" spans="2:2">
      <c r="B1588" s="36"/>
    </row>
    <row r="1589" spans="2:2">
      <c r="B1589" s="36"/>
    </row>
    <row r="1590" spans="2:2">
      <c r="B1590" s="36"/>
    </row>
    <row r="1591" spans="2:2">
      <c r="B1591" s="36"/>
    </row>
    <row r="1592" spans="2:2">
      <c r="B1592" s="36"/>
    </row>
    <row r="1593" spans="2:2">
      <c r="B1593" s="36"/>
    </row>
    <row r="1594" spans="2:2">
      <c r="B1594" s="36"/>
    </row>
    <row r="1595" spans="2:2">
      <c r="B1595" s="36"/>
    </row>
    <row r="1596" spans="2:2">
      <c r="B1596" s="36"/>
    </row>
    <row r="1597" spans="2:2">
      <c r="B1597" s="36"/>
    </row>
    <row r="1598" spans="2:2">
      <c r="B1598" s="36"/>
    </row>
    <row r="1599" spans="2:2">
      <c r="B1599" s="36"/>
    </row>
    <row r="1600" spans="2:2">
      <c r="B1600" s="36"/>
    </row>
    <row r="1601" spans="2:2">
      <c r="B1601" s="36"/>
    </row>
    <row r="1602" spans="2:2">
      <c r="B1602" s="36"/>
    </row>
    <row r="1603" spans="2:2">
      <c r="B1603" s="36"/>
    </row>
    <row r="1604" spans="2:2">
      <c r="B1604" s="36"/>
    </row>
    <row r="1605" spans="2:2">
      <c r="B1605" s="36"/>
    </row>
    <row r="1606" spans="2:2">
      <c r="B1606" s="36"/>
    </row>
    <row r="1607" spans="2:2">
      <c r="B1607" s="36"/>
    </row>
    <row r="1608" spans="2:2">
      <c r="B1608" s="36"/>
    </row>
    <row r="1609" spans="2:2">
      <c r="B1609" s="36"/>
    </row>
    <row r="1610" spans="2:2">
      <c r="B1610" s="36"/>
    </row>
    <row r="1611" spans="2:2">
      <c r="B1611" s="36"/>
    </row>
    <row r="1612" spans="2:2">
      <c r="B1612" s="36"/>
    </row>
    <row r="1613" spans="2:2">
      <c r="B1613" s="36"/>
    </row>
    <row r="1614" spans="2:2">
      <c r="B1614" s="36"/>
    </row>
    <row r="1615" spans="2:2">
      <c r="B1615" s="36"/>
    </row>
    <row r="1616" spans="2:2">
      <c r="B1616" s="36"/>
    </row>
    <row r="1617" spans="2:2">
      <c r="B1617" s="36"/>
    </row>
    <row r="1618" spans="2:2">
      <c r="B1618" s="36"/>
    </row>
    <row r="1619" spans="2:2">
      <c r="B1619" s="36"/>
    </row>
    <row r="1620" spans="2:2">
      <c r="B1620" s="36"/>
    </row>
    <row r="1621" spans="2:2">
      <c r="B1621" s="36"/>
    </row>
    <row r="1622" spans="2:2">
      <c r="B1622" s="36"/>
    </row>
    <row r="1623" spans="2:2">
      <c r="B1623" s="36"/>
    </row>
    <row r="1624" spans="2:2">
      <c r="B1624" s="36"/>
    </row>
    <row r="1625" spans="2:2">
      <c r="B1625" s="36"/>
    </row>
    <row r="1626" spans="2:2">
      <c r="B1626" s="36"/>
    </row>
    <row r="1627" spans="2:2">
      <c r="B1627" s="36"/>
    </row>
    <row r="1628" spans="2:2">
      <c r="B1628" s="36"/>
    </row>
    <row r="1629" spans="2:2">
      <c r="B1629" s="36"/>
    </row>
    <row r="1630" spans="2:2">
      <c r="B1630" s="36"/>
    </row>
    <row r="1631" spans="2:2">
      <c r="B1631" s="36"/>
    </row>
    <row r="1632" spans="2:2">
      <c r="B1632" s="36"/>
    </row>
    <row r="1633" spans="2:2">
      <c r="B1633" s="36"/>
    </row>
    <row r="1634" spans="2:2">
      <c r="B1634" s="36"/>
    </row>
    <row r="1635" spans="2:2">
      <c r="B1635" s="36"/>
    </row>
    <row r="1636" spans="2:2">
      <c r="B1636" s="36"/>
    </row>
    <row r="1637" spans="2:2">
      <c r="B1637" s="36"/>
    </row>
    <row r="1638" spans="2:2">
      <c r="B1638" s="36"/>
    </row>
    <row r="1639" spans="2:2">
      <c r="B1639" s="36"/>
    </row>
    <row r="1640" spans="2:2">
      <c r="B1640" s="36"/>
    </row>
    <row r="1641" spans="2:2">
      <c r="B1641" s="36"/>
    </row>
    <row r="1642" spans="2:2">
      <c r="B1642" s="36"/>
    </row>
    <row r="1643" spans="2:2">
      <c r="B1643" s="36"/>
    </row>
    <row r="1644" spans="2:2">
      <c r="B1644" s="36"/>
    </row>
    <row r="1645" spans="2:2">
      <c r="B1645" s="36"/>
    </row>
    <row r="1646" spans="2:2">
      <c r="B1646" s="36"/>
    </row>
    <row r="1647" spans="2:2">
      <c r="B1647" s="36"/>
    </row>
    <row r="1648" spans="2:2">
      <c r="B1648" s="36"/>
    </row>
    <row r="1649" spans="2:2">
      <c r="B1649" s="36"/>
    </row>
    <row r="1650" spans="2:2">
      <c r="B1650" s="36"/>
    </row>
    <row r="1651" spans="2:2">
      <c r="B1651" s="36"/>
    </row>
    <row r="1652" spans="2:2">
      <c r="B1652" s="36"/>
    </row>
    <row r="1653" spans="2:2">
      <c r="B1653" s="36"/>
    </row>
    <row r="1654" spans="2:2">
      <c r="B1654" s="36"/>
    </row>
    <row r="1655" spans="2:2">
      <c r="B1655" s="36"/>
    </row>
    <row r="1656" spans="2:2">
      <c r="B1656" s="36"/>
    </row>
    <row r="1657" spans="2:2">
      <c r="B1657" s="36"/>
    </row>
    <row r="1658" spans="2:2">
      <c r="B1658" s="36"/>
    </row>
    <row r="1659" spans="2:2">
      <c r="B1659" s="36"/>
    </row>
    <row r="1660" spans="2:2">
      <c r="B1660" s="36"/>
    </row>
    <row r="1661" spans="2:2">
      <c r="B1661" s="36"/>
    </row>
    <row r="1662" spans="2:2">
      <c r="B1662" s="36"/>
    </row>
    <row r="1663" spans="2:2">
      <c r="B1663" s="36"/>
    </row>
    <row r="1664" spans="2:2">
      <c r="B1664" s="36"/>
    </row>
    <row r="1665" spans="2:2">
      <c r="B1665" s="36"/>
    </row>
    <row r="1666" spans="2:2">
      <c r="B1666" s="36"/>
    </row>
    <row r="1667" spans="2:2">
      <c r="B1667" s="36"/>
    </row>
    <row r="1668" spans="2:2">
      <c r="B1668" s="36"/>
    </row>
    <row r="1669" spans="2:2">
      <c r="B1669" s="36"/>
    </row>
    <row r="1670" spans="2:2">
      <c r="B1670" s="36"/>
    </row>
    <row r="1671" spans="2:2">
      <c r="B1671" s="36"/>
    </row>
    <row r="1672" spans="2:2">
      <c r="B1672" s="36"/>
    </row>
    <row r="1673" spans="2:2">
      <c r="B1673" s="36"/>
    </row>
    <row r="1674" spans="2:2">
      <c r="B1674" s="36"/>
    </row>
    <row r="1675" spans="2:2">
      <c r="B1675" s="36"/>
    </row>
    <row r="1676" spans="2:2">
      <c r="B1676" s="36"/>
    </row>
    <row r="1677" spans="2:2">
      <c r="B1677" s="36"/>
    </row>
    <row r="1678" spans="2:2">
      <c r="B1678" s="36"/>
    </row>
    <row r="1679" spans="2:2">
      <c r="B1679" s="36"/>
    </row>
    <row r="1680" spans="2:2">
      <c r="B1680" s="36"/>
    </row>
    <row r="1681" spans="2:2">
      <c r="B1681" s="36"/>
    </row>
    <row r="1682" spans="2:2">
      <c r="B1682" s="36"/>
    </row>
    <row r="1683" spans="2:2">
      <c r="B1683" s="36"/>
    </row>
    <row r="1684" spans="2:2">
      <c r="B1684" s="36"/>
    </row>
    <row r="1685" spans="2:2">
      <c r="B1685" s="36"/>
    </row>
    <row r="1686" spans="2:2">
      <c r="B1686" s="36"/>
    </row>
    <row r="1687" spans="2:2">
      <c r="B1687" s="36"/>
    </row>
    <row r="1688" spans="2:2">
      <c r="B1688" s="36"/>
    </row>
    <row r="1689" spans="2:2">
      <c r="B1689" s="36"/>
    </row>
    <row r="1690" spans="2:2">
      <c r="B1690" s="36"/>
    </row>
    <row r="1691" spans="2:2">
      <c r="B1691" s="36"/>
    </row>
    <row r="1692" spans="2:2">
      <c r="B1692" s="36"/>
    </row>
    <row r="1693" spans="2:2">
      <c r="B1693" s="36"/>
    </row>
    <row r="1694" spans="2:2">
      <c r="B1694" s="36"/>
    </row>
    <row r="1695" spans="2:2">
      <c r="B1695" s="36"/>
    </row>
    <row r="1696" spans="2:2">
      <c r="B1696" s="36"/>
    </row>
    <row r="1697" spans="2:2">
      <c r="B1697" s="36"/>
    </row>
    <row r="1698" spans="2:2">
      <c r="B1698" s="36"/>
    </row>
    <row r="1699" spans="2:2">
      <c r="B1699" s="36"/>
    </row>
    <row r="1700" spans="2:2">
      <c r="B1700" s="36"/>
    </row>
    <row r="1701" spans="2:2">
      <c r="B1701" s="36"/>
    </row>
    <row r="1702" spans="2:2">
      <c r="B1702" s="36"/>
    </row>
    <row r="1703" spans="2:2">
      <c r="B1703" s="36"/>
    </row>
    <row r="1704" spans="2:2">
      <c r="B1704" s="36"/>
    </row>
    <row r="1705" spans="2:2">
      <c r="B1705" s="36"/>
    </row>
    <row r="1706" spans="2:2">
      <c r="B1706" s="36"/>
    </row>
    <row r="1707" spans="2:2">
      <c r="B1707" s="36"/>
    </row>
    <row r="1708" spans="2:2">
      <c r="B1708" s="36"/>
    </row>
    <row r="1709" spans="2:2">
      <c r="B1709" s="36"/>
    </row>
    <row r="1710" spans="2:2">
      <c r="B1710" s="36"/>
    </row>
    <row r="1711" spans="2:2">
      <c r="B1711" s="36"/>
    </row>
    <row r="1712" spans="2:2">
      <c r="B1712" s="36"/>
    </row>
    <row r="1713" spans="2:2">
      <c r="B1713" s="36"/>
    </row>
    <row r="1714" spans="2:2">
      <c r="B1714" s="36"/>
    </row>
    <row r="1715" spans="2:2">
      <c r="B1715" s="36"/>
    </row>
    <row r="1716" spans="2:2">
      <c r="B1716" s="36"/>
    </row>
    <row r="1717" spans="2:2">
      <c r="B1717" s="36"/>
    </row>
    <row r="1718" spans="2:2">
      <c r="B1718" s="36"/>
    </row>
    <row r="1719" spans="2:2">
      <c r="B1719" s="36"/>
    </row>
    <row r="1720" spans="2:2">
      <c r="B1720" s="36"/>
    </row>
    <row r="1721" spans="2:2">
      <c r="B1721" s="36"/>
    </row>
    <row r="1722" spans="2:2">
      <c r="B1722" s="36"/>
    </row>
    <row r="1723" spans="2:2">
      <c r="B1723" s="36"/>
    </row>
    <row r="1724" spans="2:2">
      <c r="B1724" s="36"/>
    </row>
    <row r="1725" spans="2:2">
      <c r="B1725" s="36"/>
    </row>
    <row r="1726" spans="2:2">
      <c r="B1726" s="36"/>
    </row>
    <row r="1727" spans="2:2">
      <c r="B1727" s="36"/>
    </row>
    <row r="1728" spans="2:2">
      <c r="B1728" s="36"/>
    </row>
    <row r="1729" spans="2:2">
      <c r="B1729" s="36"/>
    </row>
    <row r="1730" spans="2:2">
      <c r="B1730" s="36"/>
    </row>
    <row r="1731" spans="2:2">
      <c r="B1731" s="36"/>
    </row>
    <row r="1732" spans="2:2">
      <c r="B1732" s="36"/>
    </row>
    <row r="1733" spans="2:2">
      <c r="B1733" s="36"/>
    </row>
    <row r="1734" spans="2:2">
      <c r="B1734" s="36"/>
    </row>
    <row r="1735" spans="2:2">
      <c r="B1735" s="36"/>
    </row>
    <row r="1736" spans="2:2">
      <c r="B1736" s="36"/>
    </row>
    <row r="1737" spans="2:2">
      <c r="B1737" s="36"/>
    </row>
    <row r="1738" spans="2:2">
      <c r="B1738" s="36"/>
    </row>
    <row r="1739" spans="2:2">
      <c r="B1739" s="36"/>
    </row>
    <row r="1740" spans="2:2">
      <c r="B1740" s="36"/>
    </row>
    <row r="1741" spans="2:2">
      <c r="B1741" s="36"/>
    </row>
    <row r="1742" spans="2:2">
      <c r="B1742" s="36"/>
    </row>
    <row r="1743" spans="2:2">
      <c r="B1743" s="36"/>
    </row>
    <row r="1744" spans="2:2">
      <c r="B1744" s="36"/>
    </row>
    <row r="1745" spans="2:2">
      <c r="B1745" s="36"/>
    </row>
    <row r="1746" spans="2:2">
      <c r="B1746" s="36"/>
    </row>
    <row r="1747" spans="2:2">
      <c r="B1747" s="36"/>
    </row>
    <row r="1748" spans="2:2">
      <c r="B1748" s="36"/>
    </row>
    <row r="1749" spans="2:2">
      <c r="B1749" s="36"/>
    </row>
    <row r="1750" spans="2:2">
      <c r="B1750" s="36"/>
    </row>
    <row r="1751" spans="2:2">
      <c r="B1751" s="36"/>
    </row>
    <row r="1752" spans="2:2">
      <c r="B1752" s="36"/>
    </row>
    <row r="1753" spans="2:2">
      <c r="B1753" s="36"/>
    </row>
    <row r="1754" spans="2:2">
      <c r="B1754" s="36"/>
    </row>
    <row r="1755" spans="2:2">
      <c r="B1755" s="36"/>
    </row>
    <row r="1756" spans="2:2">
      <c r="B1756" s="36"/>
    </row>
    <row r="1757" spans="2:2">
      <c r="B1757" s="36"/>
    </row>
    <row r="1758" spans="2:2">
      <c r="B1758" s="36"/>
    </row>
    <row r="1759" spans="2:2">
      <c r="B1759" s="36"/>
    </row>
    <row r="1760" spans="2:2">
      <c r="B1760" s="36"/>
    </row>
    <row r="1761" spans="2:2">
      <c r="B1761" s="36"/>
    </row>
    <row r="1762" spans="2:2">
      <c r="B1762" s="36"/>
    </row>
    <row r="1763" spans="2:2">
      <c r="B1763" s="36"/>
    </row>
    <row r="1764" spans="2:2">
      <c r="B1764" s="36"/>
    </row>
    <row r="1765" spans="2:2">
      <c r="B1765" s="36"/>
    </row>
    <row r="1766" spans="2:2">
      <c r="B1766" s="36"/>
    </row>
    <row r="1767" spans="2:2">
      <c r="B1767" s="36"/>
    </row>
    <row r="1768" spans="2:2">
      <c r="B1768" s="36"/>
    </row>
    <row r="1769" spans="2:2">
      <c r="B1769" s="36"/>
    </row>
    <row r="1770" spans="2:2">
      <c r="B1770" s="36"/>
    </row>
    <row r="1771" spans="2:2">
      <c r="B1771" s="36"/>
    </row>
    <row r="1772" spans="2:2">
      <c r="B1772" s="36"/>
    </row>
    <row r="1773" spans="2:2">
      <c r="B1773" s="36"/>
    </row>
    <row r="1774" spans="2:2">
      <c r="B1774" s="36"/>
    </row>
    <row r="1775" spans="2:2">
      <c r="B1775" s="36"/>
    </row>
    <row r="1776" spans="2:2">
      <c r="B1776" s="36"/>
    </row>
    <row r="1777" spans="2:2">
      <c r="B1777" s="36"/>
    </row>
    <row r="1778" spans="2:2">
      <c r="B1778" s="36"/>
    </row>
    <row r="1779" spans="2:2">
      <c r="B1779" s="36"/>
    </row>
    <row r="1780" spans="2:2">
      <c r="B1780" s="36"/>
    </row>
    <row r="1781" spans="2:2">
      <c r="B1781" s="36"/>
    </row>
    <row r="1782" spans="2:2">
      <c r="B1782" s="36"/>
    </row>
    <row r="1783" spans="2:2">
      <c r="B1783" s="36"/>
    </row>
    <row r="1784" spans="2:2">
      <c r="B1784" s="36"/>
    </row>
    <row r="1785" spans="2:2">
      <c r="B1785" s="36"/>
    </row>
    <row r="1786" spans="2:2">
      <c r="B1786" s="36"/>
    </row>
    <row r="1787" spans="2:2">
      <c r="B1787" s="36"/>
    </row>
    <row r="1788" spans="2:2">
      <c r="B1788" s="36"/>
    </row>
    <row r="1789" spans="2:2">
      <c r="B1789" s="36"/>
    </row>
    <row r="1790" spans="2:2">
      <c r="B1790" s="36"/>
    </row>
    <row r="1791" spans="2:2">
      <c r="B1791" s="36"/>
    </row>
    <row r="1792" spans="2:2">
      <c r="B1792" s="36"/>
    </row>
    <row r="1793" spans="2:2">
      <c r="B1793" s="36"/>
    </row>
    <row r="1794" spans="2:2">
      <c r="B1794" s="36"/>
    </row>
    <row r="1795" spans="2:2">
      <c r="B1795" s="36"/>
    </row>
    <row r="1796" spans="2:2">
      <c r="B1796" s="36"/>
    </row>
    <row r="1797" spans="2:2">
      <c r="B1797" s="36"/>
    </row>
    <row r="1798" spans="2:2">
      <c r="B1798" s="36"/>
    </row>
    <row r="1799" spans="2:2">
      <c r="B1799" s="36"/>
    </row>
    <row r="1800" spans="2:2">
      <c r="B1800" s="36"/>
    </row>
    <row r="1801" spans="2:2">
      <c r="B1801" s="36"/>
    </row>
    <row r="1802" spans="2:2">
      <c r="B1802" s="36"/>
    </row>
    <row r="1803" spans="2:2">
      <c r="B1803" s="36"/>
    </row>
    <row r="1804" spans="2:2">
      <c r="B1804" s="36"/>
    </row>
    <row r="1805" spans="2:2">
      <c r="B1805" s="36"/>
    </row>
    <row r="1806" spans="2:2">
      <c r="B1806" s="36"/>
    </row>
    <row r="1807" spans="2:2">
      <c r="B1807" s="36"/>
    </row>
    <row r="1808" spans="2:2">
      <c r="B1808" s="36"/>
    </row>
    <row r="1809" spans="2:2">
      <c r="B1809" s="36"/>
    </row>
    <row r="1810" spans="2:2">
      <c r="B1810" s="36"/>
    </row>
    <row r="1811" spans="2:2">
      <c r="B1811" s="36"/>
    </row>
    <row r="1812" spans="2:2">
      <c r="B1812" s="36"/>
    </row>
    <row r="1813" spans="2:2">
      <c r="B1813" s="36"/>
    </row>
    <row r="1814" spans="2:2">
      <c r="B1814" s="36"/>
    </row>
    <row r="1815" spans="2:2">
      <c r="B1815" s="36"/>
    </row>
    <row r="1816" spans="2:2">
      <c r="B1816" s="36"/>
    </row>
    <row r="1817" spans="2:2">
      <c r="B1817" s="36"/>
    </row>
    <row r="1818" spans="2:2">
      <c r="B1818" s="36"/>
    </row>
    <row r="1819" spans="2:2">
      <c r="B1819" s="36"/>
    </row>
    <row r="1820" spans="2:2">
      <c r="B1820" s="36"/>
    </row>
    <row r="1821" spans="2:2">
      <c r="B1821" s="36"/>
    </row>
    <row r="1822" spans="2:2">
      <c r="B1822" s="36"/>
    </row>
    <row r="1823" spans="2:2">
      <c r="B1823" s="36"/>
    </row>
    <row r="1824" spans="2:2">
      <c r="B1824" s="36"/>
    </row>
    <row r="1825" spans="2:2">
      <c r="B1825" s="36"/>
    </row>
    <row r="1826" spans="2:2">
      <c r="B1826" s="36"/>
    </row>
    <row r="1827" spans="2:2">
      <c r="B1827" s="36"/>
    </row>
    <row r="1828" spans="2:2">
      <c r="B1828" s="36"/>
    </row>
    <row r="1829" spans="2:2">
      <c r="B1829" s="36"/>
    </row>
    <row r="1830" spans="2:2">
      <c r="B1830" s="36"/>
    </row>
    <row r="1831" spans="2:2">
      <c r="B1831" s="36"/>
    </row>
    <row r="1832" spans="2:2">
      <c r="B1832" s="36"/>
    </row>
    <row r="1833" spans="2:2">
      <c r="B1833" s="36"/>
    </row>
    <row r="1834" spans="2:2">
      <c r="B1834" s="36"/>
    </row>
    <row r="1835" spans="2:2">
      <c r="B1835" s="36"/>
    </row>
    <row r="1836" spans="2:2">
      <c r="B1836" s="36"/>
    </row>
    <row r="1837" spans="2:2">
      <c r="B1837" s="36"/>
    </row>
    <row r="1838" spans="2:2">
      <c r="B1838" s="36"/>
    </row>
    <row r="1839" spans="2:2">
      <c r="B1839" s="36"/>
    </row>
    <row r="1840" spans="2:2">
      <c r="B1840" s="36"/>
    </row>
    <row r="1841" spans="2:2">
      <c r="B1841" s="36"/>
    </row>
    <row r="1842" spans="2:2">
      <c r="B1842" s="36"/>
    </row>
    <row r="1843" spans="2:2">
      <c r="B1843" s="36"/>
    </row>
    <row r="1844" spans="2:2">
      <c r="B1844" s="36"/>
    </row>
    <row r="1845" spans="2:2">
      <c r="B1845" s="36"/>
    </row>
    <row r="1846" spans="2:2">
      <c r="B1846" s="36"/>
    </row>
    <row r="1847" spans="2:2">
      <c r="B1847" s="36"/>
    </row>
    <row r="1848" spans="2:2">
      <c r="B1848" s="36"/>
    </row>
    <row r="1849" spans="2:2">
      <c r="B1849" s="36"/>
    </row>
    <row r="1850" spans="2:2">
      <c r="B1850" s="36"/>
    </row>
    <row r="1851" spans="2:2">
      <c r="B1851" s="36"/>
    </row>
    <row r="1852" spans="2:2">
      <c r="B1852" s="36"/>
    </row>
    <row r="1853" spans="2:2">
      <c r="B1853" s="36"/>
    </row>
    <row r="1854" spans="2:2">
      <c r="B1854" s="36"/>
    </row>
    <row r="1855" spans="2:2">
      <c r="B1855" s="36"/>
    </row>
    <row r="1856" spans="2:2">
      <c r="B1856" s="36"/>
    </row>
    <row r="1857" spans="2:2">
      <c r="B1857" s="36"/>
    </row>
    <row r="1858" spans="2:2">
      <c r="B1858" s="36"/>
    </row>
    <row r="1859" spans="2:2">
      <c r="B1859" s="36"/>
    </row>
    <row r="1860" spans="2:2">
      <c r="B1860" s="36"/>
    </row>
    <row r="1861" spans="2:2">
      <c r="B1861" s="36"/>
    </row>
    <row r="1862" spans="2:2">
      <c r="B1862" s="36"/>
    </row>
    <row r="1863" spans="2:2">
      <c r="B1863" s="36"/>
    </row>
    <row r="1864" spans="2:2">
      <c r="B1864" s="36"/>
    </row>
    <row r="1865" spans="2:2">
      <c r="B1865" s="36"/>
    </row>
    <row r="1866" spans="2:2">
      <c r="B1866" s="36"/>
    </row>
    <row r="1867" spans="2:2">
      <c r="B1867" s="36"/>
    </row>
    <row r="1868" spans="2:2">
      <c r="B1868" s="36"/>
    </row>
    <row r="1869" spans="2:2">
      <c r="B1869" s="36"/>
    </row>
    <row r="1870" spans="2:2">
      <c r="B1870" s="36"/>
    </row>
    <row r="1871" spans="2:2">
      <c r="B1871" s="36"/>
    </row>
    <row r="1872" spans="2:2">
      <c r="B1872" s="36"/>
    </row>
    <row r="1873" spans="2:2">
      <c r="B1873" s="36"/>
    </row>
    <row r="1874" spans="2:2">
      <c r="B1874" s="36"/>
    </row>
    <row r="1875" spans="2:2">
      <c r="B1875" s="36"/>
    </row>
    <row r="1876" spans="2:2">
      <c r="B1876" s="36"/>
    </row>
    <row r="1877" spans="2:2">
      <c r="B1877" s="36"/>
    </row>
    <row r="1878" spans="2:2">
      <c r="B1878" s="36"/>
    </row>
    <row r="1879" spans="2:2">
      <c r="B1879" s="36"/>
    </row>
    <row r="1880" spans="2:2">
      <c r="B1880" s="36"/>
    </row>
    <row r="1881" spans="2:2">
      <c r="B1881" s="36"/>
    </row>
    <row r="1882" spans="2:2">
      <c r="B1882" s="36"/>
    </row>
    <row r="1883" spans="2:2">
      <c r="B1883" s="36"/>
    </row>
    <row r="1884" spans="2:2">
      <c r="B1884" s="36"/>
    </row>
    <row r="1885" spans="2:2">
      <c r="B1885" s="36"/>
    </row>
    <row r="1886" spans="2:2">
      <c r="B1886" s="36"/>
    </row>
    <row r="1887" spans="2:2">
      <c r="B1887" s="36"/>
    </row>
    <row r="1888" spans="2:2">
      <c r="B1888" s="36"/>
    </row>
    <row r="1889" spans="2:2">
      <c r="B1889" s="36"/>
    </row>
    <row r="1890" spans="2:2">
      <c r="B1890" s="36"/>
    </row>
    <row r="1891" spans="2:2">
      <c r="B1891" s="36"/>
    </row>
    <row r="1892" spans="2:2">
      <c r="B1892" s="36"/>
    </row>
    <row r="1893" spans="2:2">
      <c r="B1893" s="36"/>
    </row>
    <row r="1894" spans="2:2">
      <c r="B1894" s="36"/>
    </row>
    <row r="1895" spans="2:2">
      <c r="B1895" s="36"/>
    </row>
    <row r="1896" spans="2:2">
      <c r="B1896" s="36"/>
    </row>
    <row r="1897" spans="2:2">
      <c r="B1897" s="36"/>
    </row>
    <row r="1898" spans="2:2">
      <c r="B1898" s="36"/>
    </row>
    <row r="1899" spans="2:2">
      <c r="B1899" s="36"/>
    </row>
    <row r="1900" spans="2:2">
      <c r="B1900" s="36"/>
    </row>
    <row r="1901" spans="2:2">
      <c r="B1901" s="36"/>
    </row>
    <row r="1902" spans="2:2">
      <c r="B1902" s="36"/>
    </row>
    <row r="1903" spans="2:2">
      <c r="B1903" s="36"/>
    </row>
    <row r="1904" spans="2:2">
      <c r="B1904" s="36"/>
    </row>
    <row r="1905" spans="2:2">
      <c r="B1905" s="36"/>
    </row>
    <row r="1906" spans="2:2">
      <c r="B1906" s="36"/>
    </row>
    <row r="1907" spans="2:2">
      <c r="B1907" s="36"/>
    </row>
    <row r="1908" spans="2:2">
      <c r="B1908" s="36"/>
    </row>
    <row r="1909" spans="2:2">
      <c r="B1909" s="36"/>
    </row>
    <row r="1910" spans="2:2">
      <c r="B1910" s="36"/>
    </row>
    <row r="1911" spans="2:2">
      <c r="B1911" s="36"/>
    </row>
    <row r="1912" spans="2:2">
      <c r="B1912" s="36"/>
    </row>
    <row r="1913" spans="2:2">
      <c r="B1913" s="36"/>
    </row>
    <row r="1914" spans="2:2">
      <c r="B1914" s="36"/>
    </row>
    <row r="1915" spans="2:2">
      <c r="B1915" s="36"/>
    </row>
    <row r="1916" spans="2:2">
      <c r="B1916" s="36"/>
    </row>
    <row r="1917" spans="2:2">
      <c r="B1917" s="36"/>
    </row>
    <row r="1918" spans="2:2">
      <c r="B1918" s="36"/>
    </row>
    <row r="1919" spans="2:2">
      <c r="B1919" s="36"/>
    </row>
    <row r="1920" spans="2:2">
      <c r="B1920" s="36"/>
    </row>
    <row r="1921" spans="2:2">
      <c r="B1921" s="36"/>
    </row>
    <row r="1922" spans="2:2">
      <c r="B1922" s="36"/>
    </row>
    <row r="1923" spans="2:2">
      <c r="B1923" s="36"/>
    </row>
    <row r="1924" spans="2:2">
      <c r="B1924" s="36"/>
    </row>
    <row r="1925" spans="2:2">
      <c r="B1925" s="36"/>
    </row>
    <row r="1926" spans="2:2">
      <c r="B1926" s="36"/>
    </row>
    <row r="1927" spans="2:2">
      <c r="B1927" s="36"/>
    </row>
    <row r="1928" spans="2:2">
      <c r="B1928" s="36"/>
    </row>
    <row r="1929" spans="2:2">
      <c r="B1929" s="36"/>
    </row>
    <row r="1930" spans="2:2">
      <c r="B1930" s="36"/>
    </row>
    <row r="1931" spans="2:2">
      <c r="B1931" s="36"/>
    </row>
    <row r="1932" spans="2:2">
      <c r="B1932" s="36"/>
    </row>
    <row r="1933" spans="2:2">
      <c r="B1933" s="36"/>
    </row>
    <row r="1934" spans="2:2">
      <c r="B1934" s="36"/>
    </row>
    <row r="1935" spans="2:2">
      <c r="B1935" s="36"/>
    </row>
    <row r="1936" spans="2:2">
      <c r="B1936" s="36"/>
    </row>
    <row r="1937" spans="2:2">
      <c r="B1937" s="36"/>
    </row>
    <row r="1938" spans="2:2">
      <c r="B1938" s="36"/>
    </row>
    <row r="1939" spans="2:2">
      <c r="B1939" s="36"/>
    </row>
    <row r="1940" spans="2:2">
      <c r="B1940" s="36"/>
    </row>
    <row r="1941" spans="2:2">
      <c r="B1941" s="36"/>
    </row>
    <row r="1942" spans="2:2">
      <c r="B1942" s="36"/>
    </row>
    <row r="1943" spans="2:2">
      <c r="B1943" s="36"/>
    </row>
    <row r="1944" spans="2:2">
      <c r="B1944" s="36"/>
    </row>
    <row r="1945" spans="2:2">
      <c r="B1945" s="36"/>
    </row>
    <row r="1946" spans="2:2">
      <c r="B1946" s="36"/>
    </row>
    <row r="1947" spans="2:2">
      <c r="B1947" s="36"/>
    </row>
    <row r="1948" spans="2:2">
      <c r="B1948" s="36"/>
    </row>
    <row r="1949" spans="2:2">
      <c r="B1949" s="36"/>
    </row>
    <row r="1950" spans="2:2">
      <c r="B1950" s="36"/>
    </row>
    <row r="1951" spans="2:2">
      <c r="B1951" s="36"/>
    </row>
    <row r="1952" spans="2:2">
      <c r="B1952" s="36"/>
    </row>
    <row r="1953" spans="2:2">
      <c r="B1953" s="36"/>
    </row>
    <row r="1954" spans="2:2">
      <c r="B1954" s="36"/>
    </row>
    <row r="1955" spans="2:2">
      <c r="B1955" s="36"/>
    </row>
    <row r="1956" spans="2:2">
      <c r="B1956" s="36"/>
    </row>
    <row r="1957" spans="2:2">
      <c r="B1957" s="36"/>
    </row>
    <row r="1958" spans="2:2">
      <c r="B1958" s="36"/>
    </row>
    <row r="1959" spans="2:2">
      <c r="B1959" s="36"/>
    </row>
    <row r="1960" spans="2:2">
      <c r="B1960" s="36"/>
    </row>
    <row r="1961" spans="2:2">
      <c r="B1961" s="36"/>
    </row>
    <row r="1962" spans="2:2">
      <c r="B1962" s="36"/>
    </row>
    <row r="1963" spans="2:2">
      <c r="B1963" s="36"/>
    </row>
    <row r="1964" spans="2:2">
      <c r="B1964" s="36"/>
    </row>
    <row r="1965" spans="2:2">
      <c r="B1965" s="36"/>
    </row>
    <row r="1966" spans="2:2">
      <c r="B1966" s="36"/>
    </row>
    <row r="1967" spans="2:2">
      <c r="B1967" s="36"/>
    </row>
    <row r="1968" spans="2:2">
      <c r="B1968" s="36"/>
    </row>
    <row r="1969" spans="2:2">
      <c r="B1969" s="36"/>
    </row>
    <row r="1970" spans="2:2">
      <c r="B1970" s="36"/>
    </row>
    <row r="1971" spans="2:2">
      <c r="B1971" s="36"/>
    </row>
    <row r="1972" spans="2:2">
      <c r="B1972" s="36"/>
    </row>
    <row r="1973" spans="2:2">
      <c r="B1973" s="36"/>
    </row>
    <row r="1974" spans="2:2">
      <c r="B1974" s="36"/>
    </row>
    <row r="1975" spans="2:2">
      <c r="B1975" s="36"/>
    </row>
    <row r="1976" spans="2:2">
      <c r="B1976" s="36"/>
    </row>
    <row r="1977" spans="2:2">
      <c r="B1977" s="36"/>
    </row>
    <row r="1978" spans="2:2">
      <c r="B1978" s="36"/>
    </row>
    <row r="1979" spans="2:2">
      <c r="B1979" s="36"/>
    </row>
    <row r="1980" spans="2:2">
      <c r="B1980" s="36"/>
    </row>
    <row r="1981" spans="2:2">
      <c r="B1981" s="36"/>
    </row>
    <row r="1982" spans="2:2">
      <c r="B1982" s="36"/>
    </row>
    <row r="1983" spans="2:2">
      <c r="B1983" s="36"/>
    </row>
    <row r="1984" spans="2:2">
      <c r="B1984" s="36"/>
    </row>
    <row r="1985" spans="2:2">
      <c r="B1985" s="36"/>
    </row>
    <row r="1986" spans="2:2">
      <c r="B1986" s="36"/>
    </row>
    <row r="1987" spans="2:2">
      <c r="B1987" s="36"/>
    </row>
    <row r="1988" spans="2:2">
      <c r="B1988" s="36"/>
    </row>
    <row r="1989" spans="2:2">
      <c r="B1989" s="36"/>
    </row>
    <row r="1990" spans="2:2">
      <c r="B1990" s="36"/>
    </row>
    <row r="1991" spans="2:2">
      <c r="B1991" s="36"/>
    </row>
    <row r="1992" spans="2:2">
      <c r="B1992" s="36"/>
    </row>
    <row r="1993" spans="2:2">
      <c r="B1993" s="36"/>
    </row>
    <row r="1994" spans="2:2">
      <c r="B1994" s="36"/>
    </row>
    <row r="1995" spans="2:2">
      <c r="B1995" s="36"/>
    </row>
    <row r="1996" spans="2:2">
      <c r="B1996" s="36"/>
    </row>
    <row r="1997" spans="2:2">
      <c r="B1997" s="36"/>
    </row>
    <row r="1998" spans="2:2">
      <c r="B1998" s="36"/>
    </row>
    <row r="1999" spans="2:2">
      <c r="B1999" s="36"/>
    </row>
    <row r="2000" spans="2:2">
      <c r="B2000" s="36"/>
    </row>
    <row r="2001" spans="2:2">
      <c r="B2001" s="36"/>
    </row>
    <row r="2002" spans="2:2">
      <c r="B2002" s="36"/>
    </row>
    <row r="2003" spans="2:2">
      <c r="B2003" s="36"/>
    </row>
    <row r="2004" spans="2:2">
      <c r="B2004" s="36"/>
    </row>
    <row r="2005" spans="2:2">
      <c r="B2005" s="36"/>
    </row>
    <row r="2006" spans="2:2">
      <c r="B2006" s="36"/>
    </row>
    <row r="2007" spans="2:2">
      <c r="B2007" s="36"/>
    </row>
    <row r="2008" spans="2:2">
      <c r="B2008" s="36"/>
    </row>
    <row r="2009" spans="2:2">
      <c r="B2009" s="36"/>
    </row>
    <row r="2010" spans="2:2">
      <c r="B2010" s="36"/>
    </row>
    <row r="2011" spans="2:2">
      <c r="B2011" s="36"/>
    </row>
    <row r="2012" spans="2:2">
      <c r="B2012" s="36"/>
    </row>
    <row r="2013" spans="2:2">
      <c r="B2013" s="36"/>
    </row>
    <row r="2014" spans="2:2">
      <c r="B2014" s="36"/>
    </row>
    <row r="2015" spans="2:2">
      <c r="B2015" s="36"/>
    </row>
    <row r="2016" spans="2:2">
      <c r="B2016" s="36"/>
    </row>
    <row r="2017" spans="2:2">
      <c r="B2017" s="36"/>
    </row>
    <row r="2018" spans="2:2">
      <c r="B2018" s="36"/>
    </row>
    <row r="2019" spans="2:2">
      <c r="B2019" s="36"/>
    </row>
    <row r="2020" spans="2:2">
      <c r="B2020" s="36"/>
    </row>
    <row r="2021" spans="2:2">
      <c r="B2021" s="36"/>
    </row>
    <row r="2022" spans="2:2">
      <c r="B2022" s="36"/>
    </row>
    <row r="2023" spans="2:2">
      <c r="B2023" s="36"/>
    </row>
    <row r="2024" spans="2:2">
      <c r="B2024" s="36"/>
    </row>
    <row r="2025" spans="2:2">
      <c r="B2025" s="36"/>
    </row>
    <row r="2026" spans="2:2">
      <c r="B2026" s="36"/>
    </row>
    <row r="2027" spans="2:2">
      <c r="B2027" s="36"/>
    </row>
    <row r="2028" spans="2:2">
      <c r="B2028" s="36"/>
    </row>
    <row r="2029" spans="2:2">
      <c r="B2029" s="36"/>
    </row>
    <row r="2030" spans="2:2">
      <c r="B2030" s="36"/>
    </row>
    <row r="2031" spans="2:2">
      <c r="B2031" s="36"/>
    </row>
    <row r="2032" spans="2:2">
      <c r="B2032" s="36"/>
    </row>
    <row r="2033" spans="2:2">
      <c r="B2033" s="36"/>
    </row>
    <row r="2034" spans="2:2">
      <c r="B2034" s="36"/>
    </row>
    <row r="2035" spans="2:2">
      <c r="B2035" s="36"/>
    </row>
    <row r="2036" spans="2:2">
      <c r="B2036" s="36"/>
    </row>
    <row r="2037" spans="2:2">
      <c r="B2037" s="36"/>
    </row>
    <row r="2038" spans="2:2">
      <c r="B2038" s="36"/>
    </row>
    <row r="2039" spans="2:2">
      <c r="B2039" s="36"/>
    </row>
    <row r="2040" spans="2:2">
      <c r="B2040" s="36"/>
    </row>
    <row r="2041" spans="2:2">
      <c r="B2041" s="36"/>
    </row>
    <row r="2042" spans="2:2">
      <c r="B2042" s="36"/>
    </row>
    <row r="2043" spans="2:2">
      <c r="B2043" s="36"/>
    </row>
    <row r="2044" spans="2:2">
      <c r="B2044" s="36"/>
    </row>
    <row r="2045" spans="2:2">
      <c r="B2045" s="36"/>
    </row>
    <row r="2046" spans="2:2">
      <c r="B2046" s="36"/>
    </row>
    <row r="2047" spans="2:2">
      <c r="B2047" s="36"/>
    </row>
    <row r="2048" spans="2:2">
      <c r="B2048" s="36"/>
    </row>
    <row r="2049" spans="2:2">
      <c r="B2049" s="36"/>
    </row>
    <row r="2050" spans="2:2">
      <c r="B2050" s="36"/>
    </row>
    <row r="2051" spans="2:2">
      <c r="B2051" s="36"/>
    </row>
    <row r="2052" spans="2:2">
      <c r="B2052" s="36"/>
    </row>
    <row r="2053" spans="2:2">
      <c r="B2053" s="36"/>
    </row>
    <row r="2054" spans="2:2">
      <c r="B2054" s="36"/>
    </row>
    <row r="2055" spans="2:2">
      <c r="B2055" s="36"/>
    </row>
    <row r="2056" spans="2:2">
      <c r="B2056" s="36"/>
    </row>
    <row r="2057" spans="2:2">
      <c r="B2057" s="36"/>
    </row>
    <row r="2058" spans="2:2">
      <c r="B2058" s="36"/>
    </row>
    <row r="2059" spans="2:2">
      <c r="B2059" s="36"/>
    </row>
    <row r="2060" spans="2:2">
      <c r="B2060" s="36"/>
    </row>
    <row r="2061" spans="2:2">
      <c r="B2061" s="36"/>
    </row>
    <row r="2062" spans="2:2">
      <c r="B2062" s="36"/>
    </row>
    <row r="2063" spans="2:2">
      <c r="B2063" s="36"/>
    </row>
    <row r="2064" spans="2:2">
      <c r="B2064" s="36"/>
    </row>
    <row r="2065" spans="2:2">
      <c r="B2065" s="36"/>
    </row>
    <row r="2066" spans="2:2">
      <c r="B2066" s="36"/>
    </row>
    <row r="2067" spans="2:2">
      <c r="B2067" s="36"/>
    </row>
    <row r="2068" spans="2:2">
      <c r="B2068" s="36"/>
    </row>
    <row r="2069" spans="2:2">
      <c r="B2069" s="36"/>
    </row>
    <row r="2070" spans="2:2">
      <c r="B2070" s="36"/>
    </row>
    <row r="2071" spans="2:2">
      <c r="B2071" s="36"/>
    </row>
    <row r="2072" spans="2:2">
      <c r="B2072" s="36"/>
    </row>
    <row r="2073" spans="2:2">
      <c r="B2073" s="36"/>
    </row>
    <row r="2074" spans="2:2">
      <c r="B2074" s="36"/>
    </row>
    <row r="2075" spans="2:2">
      <c r="B2075" s="36"/>
    </row>
    <row r="2076" spans="2:2">
      <c r="B2076" s="36"/>
    </row>
    <row r="2077" spans="2:2">
      <c r="B2077" s="36"/>
    </row>
    <row r="2078" spans="2:2">
      <c r="B2078" s="36"/>
    </row>
    <row r="2079" spans="2:2">
      <c r="B2079" s="36"/>
    </row>
    <row r="2080" spans="2:2">
      <c r="B2080" s="36"/>
    </row>
    <row r="2081" spans="2:2">
      <c r="B2081" s="36"/>
    </row>
    <row r="2082" spans="2:2">
      <c r="B2082" s="36"/>
    </row>
    <row r="2083" spans="2:2">
      <c r="B2083" s="36"/>
    </row>
    <row r="2084" spans="2:2">
      <c r="B2084" s="36"/>
    </row>
    <row r="2085" spans="2:2">
      <c r="B2085" s="36"/>
    </row>
    <row r="2086" spans="2:2">
      <c r="B2086" s="36"/>
    </row>
    <row r="2087" spans="2:2">
      <c r="B2087" s="36"/>
    </row>
    <row r="2088" spans="2:2">
      <c r="B2088" s="36"/>
    </row>
    <row r="2089" spans="2:2">
      <c r="B2089" s="36"/>
    </row>
    <row r="2090" spans="2:2">
      <c r="B2090" s="36"/>
    </row>
    <row r="2091" spans="2:2">
      <c r="B2091" s="36"/>
    </row>
    <row r="2092" spans="2:2">
      <c r="B2092" s="36"/>
    </row>
    <row r="2093" spans="2:2">
      <c r="B2093" s="36"/>
    </row>
    <row r="2094" spans="2:2">
      <c r="B2094" s="36"/>
    </row>
    <row r="2095" spans="2:2">
      <c r="B2095" s="36"/>
    </row>
    <row r="2096" spans="2:2">
      <c r="B2096" s="36"/>
    </row>
    <row r="2097" spans="2:2">
      <c r="B2097" s="36"/>
    </row>
    <row r="2098" spans="2:2">
      <c r="B2098" s="36"/>
    </row>
    <row r="2099" spans="2:2">
      <c r="B2099" s="36"/>
    </row>
    <row r="2100" spans="2:2">
      <c r="B2100" s="36"/>
    </row>
    <row r="2101" spans="2:2">
      <c r="B2101" s="36"/>
    </row>
    <row r="2102" spans="2:2">
      <c r="B2102" s="36"/>
    </row>
    <row r="2103" spans="2:2">
      <c r="B2103" s="36"/>
    </row>
    <row r="2104" spans="2:2">
      <c r="B2104" s="36"/>
    </row>
    <row r="2105" spans="2:2">
      <c r="B2105" s="36"/>
    </row>
    <row r="2106" spans="2:2">
      <c r="B2106" s="36"/>
    </row>
    <row r="2107" spans="2:2">
      <c r="B2107" s="36"/>
    </row>
    <row r="2108" spans="2:2">
      <c r="B2108" s="36"/>
    </row>
    <row r="2109" spans="2:2">
      <c r="B2109" s="36"/>
    </row>
    <row r="2110" spans="2:2">
      <c r="B2110" s="36"/>
    </row>
    <row r="2111" spans="2:2">
      <c r="B2111" s="36"/>
    </row>
    <row r="2112" spans="2:2">
      <c r="B2112" s="36"/>
    </row>
    <row r="2113" spans="2:2">
      <c r="B2113" s="36"/>
    </row>
    <row r="2114" spans="2:2">
      <c r="B2114" s="36"/>
    </row>
    <row r="2115" spans="2:2">
      <c r="B2115" s="36"/>
    </row>
    <row r="2116" spans="2:2">
      <c r="B2116" s="36"/>
    </row>
    <row r="2117" spans="2:2">
      <c r="B2117" s="36"/>
    </row>
    <row r="2118" spans="2:2">
      <c r="B2118" s="36"/>
    </row>
    <row r="2119" spans="2:2">
      <c r="B2119" s="36"/>
    </row>
    <row r="2120" spans="2:2">
      <c r="B2120" s="36"/>
    </row>
    <row r="2121" spans="2:2">
      <c r="B2121" s="36"/>
    </row>
    <row r="2122" spans="2:2">
      <c r="B2122" s="36"/>
    </row>
    <row r="2123" spans="2:2">
      <c r="B2123" s="36"/>
    </row>
    <row r="2124" spans="2:2">
      <c r="B2124" s="36"/>
    </row>
    <row r="2125" spans="2:2">
      <c r="B2125" s="36"/>
    </row>
    <row r="2126" spans="2:2">
      <c r="B2126" s="36"/>
    </row>
    <row r="2127" spans="2:2">
      <c r="B2127" s="36"/>
    </row>
    <row r="2128" spans="2:2">
      <c r="B2128" s="36"/>
    </row>
    <row r="2129" spans="2:2">
      <c r="B2129" s="36"/>
    </row>
    <row r="2130" spans="2:2">
      <c r="B2130" s="36"/>
    </row>
    <row r="2131" spans="2:2">
      <c r="B2131" s="36"/>
    </row>
    <row r="2132" spans="2:2">
      <c r="B2132" s="36"/>
    </row>
    <row r="2133" spans="2:2">
      <c r="B2133" s="36"/>
    </row>
    <row r="2134" spans="2:2">
      <c r="B2134" s="36"/>
    </row>
    <row r="2135" spans="2:2">
      <c r="B2135" s="36"/>
    </row>
    <row r="2136" spans="2:2">
      <c r="B2136" s="36"/>
    </row>
    <row r="2137" spans="2:2">
      <c r="B2137" s="36"/>
    </row>
    <row r="2138" spans="2:2">
      <c r="B2138" s="36"/>
    </row>
    <row r="2139" spans="2:2">
      <c r="B2139" s="36"/>
    </row>
    <row r="2140" spans="2:2">
      <c r="B2140" s="36"/>
    </row>
    <row r="2141" spans="2:2">
      <c r="B2141" s="36"/>
    </row>
    <row r="2142" spans="2:2">
      <c r="B2142" s="36"/>
    </row>
    <row r="2143" spans="2:2">
      <c r="B2143" s="36"/>
    </row>
    <row r="2144" spans="2:2">
      <c r="B2144" s="36"/>
    </row>
    <row r="2145" spans="2:2">
      <c r="B2145" s="36"/>
    </row>
    <row r="2146" spans="2:2">
      <c r="B2146" s="36"/>
    </row>
    <row r="2147" spans="2:2">
      <c r="B2147" s="36"/>
    </row>
    <row r="2148" spans="2:2">
      <c r="B2148" s="36"/>
    </row>
    <row r="2149" spans="2:2">
      <c r="B2149" s="36"/>
    </row>
    <row r="2150" spans="2:2">
      <c r="B2150" s="36"/>
    </row>
    <row r="2151" spans="2:2">
      <c r="B2151" s="36"/>
    </row>
    <row r="2152" spans="2:2">
      <c r="B2152" s="36"/>
    </row>
    <row r="2153" spans="2:2">
      <c r="B2153" s="36"/>
    </row>
    <row r="2154" spans="2:2">
      <c r="B2154" s="36"/>
    </row>
    <row r="2155" spans="2:2">
      <c r="B2155" s="36"/>
    </row>
    <row r="2156" spans="2:2">
      <c r="B2156" s="36"/>
    </row>
    <row r="2157" spans="2:2">
      <c r="B2157" s="36"/>
    </row>
    <row r="2158" spans="2:2">
      <c r="B2158" s="36"/>
    </row>
    <row r="2159" spans="2:2">
      <c r="B2159" s="36"/>
    </row>
    <row r="2160" spans="2:2">
      <c r="B2160" s="36"/>
    </row>
    <row r="2161" spans="2:2">
      <c r="B2161" s="36"/>
    </row>
    <row r="2162" spans="2:2">
      <c r="B2162" s="36"/>
    </row>
    <row r="2163" spans="2:2">
      <c r="B2163" s="36"/>
    </row>
    <row r="2164" spans="2:2">
      <c r="B2164" s="36"/>
    </row>
    <row r="2165" spans="2:2">
      <c r="B2165" s="36"/>
    </row>
    <row r="2166" spans="2:2">
      <c r="B2166" s="36"/>
    </row>
    <row r="2167" spans="2:2">
      <c r="B2167" s="36"/>
    </row>
    <row r="2168" spans="2:2">
      <c r="B2168" s="36"/>
    </row>
    <row r="2169" spans="2:2">
      <c r="B2169" s="36"/>
    </row>
    <row r="2170" spans="2:2">
      <c r="B2170" s="36"/>
    </row>
    <row r="2171" spans="2:2">
      <c r="B2171" s="36"/>
    </row>
    <row r="2172" spans="2:2">
      <c r="B2172" s="36"/>
    </row>
    <row r="2173" spans="2:2">
      <c r="B2173" s="36"/>
    </row>
    <row r="2174" spans="2:2">
      <c r="B2174" s="36"/>
    </row>
    <row r="2175" spans="2:2">
      <c r="B2175" s="36"/>
    </row>
    <row r="2176" spans="2:2">
      <c r="B2176" s="36"/>
    </row>
    <row r="2177" spans="2:2">
      <c r="B2177" s="36"/>
    </row>
    <row r="2178" spans="2:2">
      <c r="B2178" s="36"/>
    </row>
    <row r="2179" spans="2:2">
      <c r="B2179" s="36"/>
    </row>
    <row r="2180" spans="2:2">
      <c r="B2180" s="36"/>
    </row>
    <row r="2181" spans="2:2">
      <c r="B2181" s="36"/>
    </row>
    <row r="2182" spans="2:2">
      <c r="B2182" s="36"/>
    </row>
    <row r="2183" spans="2:2">
      <c r="B2183" s="36"/>
    </row>
    <row r="2184" spans="2:2">
      <c r="B2184" s="36"/>
    </row>
    <row r="2185" spans="2:2">
      <c r="B2185" s="36"/>
    </row>
    <row r="2186" spans="2:2">
      <c r="B2186" s="36"/>
    </row>
    <row r="2187" spans="2:2">
      <c r="B2187" s="36"/>
    </row>
    <row r="2188" spans="2:2">
      <c r="B2188" s="36"/>
    </row>
    <row r="2189" spans="2:2">
      <c r="B2189" s="36"/>
    </row>
    <row r="2190" spans="2:2">
      <c r="B2190" s="36"/>
    </row>
    <row r="2191" spans="2:2">
      <c r="B2191" s="36"/>
    </row>
    <row r="2192" spans="2:2">
      <c r="B2192" s="36"/>
    </row>
    <row r="2193" spans="2:2">
      <c r="B2193" s="36"/>
    </row>
    <row r="2194" spans="2:2">
      <c r="B2194" s="36"/>
    </row>
    <row r="2195" spans="2:2">
      <c r="B2195" s="36"/>
    </row>
    <row r="2196" spans="2:2">
      <c r="B2196" s="36"/>
    </row>
    <row r="2197" spans="2:2">
      <c r="B2197" s="36"/>
    </row>
    <row r="2198" spans="2:2">
      <c r="B2198" s="36"/>
    </row>
    <row r="2199" spans="2:2">
      <c r="B2199" s="36"/>
    </row>
    <row r="2200" spans="2:2">
      <c r="B2200" s="36"/>
    </row>
    <row r="2201" spans="2:2">
      <c r="B2201" s="36"/>
    </row>
    <row r="2202" spans="2:2">
      <c r="B2202" s="36"/>
    </row>
    <row r="2203" spans="2:2">
      <c r="B2203" s="36"/>
    </row>
    <row r="2204" spans="2:2">
      <c r="B2204" s="36"/>
    </row>
    <row r="2205" spans="2:2">
      <c r="B2205" s="36"/>
    </row>
    <row r="2206" spans="2:2">
      <c r="B2206" s="36"/>
    </row>
    <row r="2207" spans="2:2">
      <c r="B2207" s="36"/>
    </row>
    <row r="2208" spans="2:2">
      <c r="B2208" s="36"/>
    </row>
    <row r="2209" spans="2:2">
      <c r="B2209" s="36"/>
    </row>
    <row r="2210" spans="2:2">
      <c r="B2210" s="36"/>
    </row>
    <row r="2211" spans="2:2">
      <c r="B2211" s="36"/>
    </row>
    <row r="2212" spans="2:2">
      <c r="B2212" s="36"/>
    </row>
    <row r="2213" spans="2:2">
      <c r="B2213" s="36"/>
    </row>
    <row r="2214" spans="2:2">
      <c r="B2214" s="36"/>
    </row>
    <row r="2215" spans="2:2">
      <c r="B2215" s="36"/>
    </row>
    <row r="2216" spans="2:2">
      <c r="B2216" s="36"/>
    </row>
    <row r="2217" spans="2:2">
      <c r="B2217" s="36"/>
    </row>
    <row r="2218" spans="2:2">
      <c r="B2218" s="36"/>
    </row>
    <row r="2219" spans="2:2">
      <c r="B2219" s="36"/>
    </row>
    <row r="2220" spans="2:2">
      <c r="B2220" s="36"/>
    </row>
    <row r="2221" spans="2:2">
      <c r="B2221" s="36"/>
    </row>
    <row r="2222" spans="2:2">
      <c r="B2222" s="36"/>
    </row>
    <row r="2223" spans="2:2">
      <c r="B2223" s="36"/>
    </row>
    <row r="2224" spans="2:2">
      <c r="B2224" s="36"/>
    </row>
    <row r="2225" spans="2:2">
      <c r="B2225" s="36"/>
    </row>
    <row r="2226" spans="2:2">
      <c r="B2226" s="36"/>
    </row>
    <row r="2227" spans="2:2">
      <c r="B2227" s="36"/>
    </row>
    <row r="2228" spans="2:2">
      <c r="B2228" s="36"/>
    </row>
    <row r="2229" spans="2:2">
      <c r="B2229" s="36"/>
    </row>
    <row r="2230" spans="2:2">
      <c r="B2230" s="36"/>
    </row>
    <row r="2231" spans="2:2">
      <c r="B2231" s="36"/>
    </row>
    <row r="2232" spans="2:2">
      <c r="B2232" s="36"/>
    </row>
    <row r="2233" spans="2:2">
      <c r="B2233" s="36"/>
    </row>
    <row r="2234" spans="2:2">
      <c r="B2234" s="36"/>
    </row>
    <row r="2235" spans="2:2">
      <c r="B2235" s="36"/>
    </row>
    <row r="2236" spans="2:2">
      <c r="B2236" s="36"/>
    </row>
    <row r="2237" spans="2:2">
      <c r="B2237" s="36"/>
    </row>
    <row r="2238" spans="2:2">
      <c r="B2238" s="36"/>
    </row>
    <row r="2239" spans="2:2">
      <c r="B2239" s="36"/>
    </row>
    <row r="2240" spans="2:2">
      <c r="B2240" s="36"/>
    </row>
    <row r="2241" spans="2:2">
      <c r="B2241" s="36"/>
    </row>
    <row r="2242" spans="2:2">
      <c r="B2242" s="36"/>
    </row>
    <row r="2243" spans="2:2">
      <c r="B2243" s="36"/>
    </row>
    <row r="2244" spans="2:2">
      <c r="B2244" s="36"/>
    </row>
    <row r="2245" spans="2:2">
      <c r="B2245" s="36"/>
    </row>
    <row r="2246" spans="2:2">
      <c r="B2246" s="36"/>
    </row>
    <row r="2247" spans="2:2">
      <c r="B2247" s="36"/>
    </row>
    <row r="2248" spans="2:2">
      <c r="B2248" s="36"/>
    </row>
    <row r="2249" spans="2:2">
      <c r="B2249" s="36"/>
    </row>
    <row r="2250" spans="2:2">
      <c r="B2250" s="36"/>
    </row>
    <row r="2251" spans="2:2">
      <c r="B2251" s="36"/>
    </row>
    <row r="2252" spans="2:2">
      <c r="B2252" s="36"/>
    </row>
    <row r="2253" spans="2:2">
      <c r="B2253" s="36"/>
    </row>
    <row r="2254" spans="2:2">
      <c r="B2254" s="36"/>
    </row>
    <row r="2255" spans="2:2">
      <c r="B2255" s="36"/>
    </row>
    <row r="2256" spans="2:2">
      <c r="B2256" s="36"/>
    </row>
    <row r="2257" spans="2:2">
      <c r="B2257" s="36"/>
    </row>
    <row r="2258" spans="2:2">
      <c r="B2258" s="36"/>
    </row>
    <row r="2259" spans="2:2">
      <c r="B2259" s="36"/>
    </row>
    <row r="2260" spans="2:2">
      <c r="B2260" s="36"/>
    </row>
    <row r="2261" spans="2:2">
      <c r="B2261" s="36"/>
    </row>
    <row r="2262" spans="2:2">
      <c r="B2262" s="36"/>
    </row>
    <row r="2263" spans="2:2">
      <c r="B2263" s="36"/>
    </row>
    <row r="2264" spans="2:2">
      <c r="B2264" s="36"/>
    </row>
    <row r="2265" spans="2:2">
      <c r="B2265" s="36"/>
    </row>
    <row r="2266" spans="2:2">
      <c r="B2266" s="36"/>
    </row>
    <row r="2267" spans="2:2">
      <c r="B2267" s="36"/>
    </row>
    <row r="2268" spans="2:2">
      <c r="B2268" s="36"/>
    </row>
    <row r="2269" spans="2:2">
      <c r="B2269" s="36"/>
    </row>
    <row r="2270" spans="2:2">
      <c r="B2270" s="36"/>
    </row>
    <row r="2271" spans="2:2">
      <c r="B2271" s="36"/>
    </row>
    <row r="2272" spans="2:2">
      <c r="B2272" s="36"/>
    </row>
    <row r="2273" spans="2:2">
      <c r="B2273" s="36"/>
    </row>
    <row r="2274" spans="2:2">
      <c r="B2274" s="36"/>
    </row>
    <row r="2275" spans="2:2">
      <c r="B2275" s="36"/>
    </row>
    <row r="2276" spans="2:2">
      <c r="B2276" s="36"/>
    </row>
    <row r="2277" spans="2:2">
      <c r="B2277" s="36"/>
    </row>
    <row r="2278" spans="2:2">
      <c r="B2278" s="36"/>
    </row>
    <row r="2279" spans="2:2">
      <c r="B2279" s="36"/>
    </row>
    <row r="2280" spans="2:2">
      <c r="B2280" s="36"/>
    </row>
    <row r="2281" spans="2:2">
      <c r="B2281" s="36"/>
    </row>
    <row r="2282" spans="2:2">
      <c r="B2282" s="36"/>
    </row>
    <row r="2283" spans="2:2">
      <c r="B2283" s="36"/>
    </row>
    <row r="2284" spans="2:2">
      <c r="B2284" s="36"/>
    </row>
    <row r="2285" spans="2:2">
      <c r="B2285" s="36"/>
    </row>
    <row r="2286" spans="2:2">
      <c r="B2286" s="36"/>
    </row>
    <row r="2287" spans="2:2">
      <c r="B2287" s="36"/>
    </row>
    <row r="2288" spans="2:2">
      <c r="B2288" s="36"/>
    </row>
    <row r="2289" spans="2:2">
      <c r="B2289" s="36"/>
    </row>
    <row r="2290" spans="2:2">
      <c r="B2290" s="36"/>
    </row>
    <row r="2291" spans="2:2">
      <c r="B2291" s="36"/>
    </row>
    <row r="2292" spans="2:2">
      <c r="B2292" s="36"/>
    </row>
    <row r="2293" spans="2:2">
      <c r="B2293" s="36"/>
    </row>
    <row r="2294" spans="2:2">
      <c r="B2294" s="36"/>
    </row>
    <row r="2295" spans="2:2">
      <c r="B2295" s="36"/>
    </row>
    <row r="2296" spans="2:2">
      <c r="B2296" s="36"/>
    </row>
    <row r="2297" spans="2:2">
      <c r="B2297" s="36"/>
    </row>
    <row r="2298" spans="2:2">
      <c r="B2298" s="36"/>
    </row>
    <row r="2299" spans="2:2">
      <c r="B2299" s="36"/>
    </row>
    <row r="2300" spans="2:2">
      <c r="B2300" s="36"/>
    </row>
    <row r="2301" spans="2:2">
      <c r="B2301" s="36"/>
    </row>
    <row r="2302" spans="2:2">
      <c r="B2302" s="36"/>
    </row>
    <row r="2303" spans="2:2">
      <c r="B2303" s="36"/>
    </row>
    <row r="2304" spans="2:2">
      <c r="B2304" s="36"/>
    </row>
    <row r="2305" spans="2:2">
      <c r="B2305" s="36"/>
    </row>
    <row r="2306" spans="2:2">
      <c r="B2306" s="36"/>
    </row>
    <row r="2307" spans="2:2">
      <c r="B2307" s="36"/>
    </row>
    <row r="2308" spans="2:2">
      <c r="B2308" s="36"/>
    </row>
    <row r="2309" spans="2:2">
      <c r="B2309" s="36"/>
    </row>
    <row r="2310" spans="2:2">
      <c r="B2310" s="36"/>
    </row>
    <row r="2311" spans="2:2">
      <c r="B2311" s="36"/>
    </row>
    <row r="2312" spans="2:2">
      <c r="B2312" s="36"/>
    </row>
    <row r="2313" spans="2:2">
      <c r="B2313" s="36"/>
    </row>
    <row r="2314" spans="2:2">
      <c r="B2314" s="36"/>
    </row>
    <row r="2315" spans="2:2">
      <c r="B2315" s="36"/>
    </row>
    <row r="2316" spans="2:2">
      <c r="B2316" s="36"/>
    </row>
    <row r="2317" spans="2:2">
      <c r="B2317" s="36"/>
    </row>
    <row r="2318" spans="2:2">
      <c r="B2318" s="36"/>
    </row>
    <row r="2319" spans="2:2">
      <c r="B2319" s="36"/>
    </row>
    <row r="2320" spans="2:2">
      <c r="B2320" s="36"/>
    </row>
    <row r="2321" spans="2:2">
      <c r="B2321" s="36"/>
    </row>
    <row r="2322" spans="2:2">
      <c r="B2322" s="36"/>
    </row>
    <row r="2323" spans="2:2">
      <c r="B2323" s="36"/>
    </row>
    <row r="2324" spans="2:2">
      <c r="B2324" s="36"/>
    </row>
    <row r="2325" spans="2:2">
      <c r="B2325" s="36"/>
    </row>
    <row r="2326" spans="2:2">
      <c r="B2326" s="36"/>
    </row>
    <row r="2327" spans="2:2">
      <c r="B2327" s="36"/>
    </row>
    <row r="2328" spans="2:2">
      <c r="B2328" s="36"/>
    </row>
    <row r="2329" spans="2:2">
      <c r="B2329" s="36"/>
    </row>
    <row r="2330" spans="2:2">
      <c r="B2330" s="36"/>
    </row>
    <row r="2331" spans="2:2">
      <c r="B2331" s="36"/>
    </row>
    <row r="2332" spans="2:2">
      <c r="B2332" s="36"/>
    </row>
    <row r="2333" spans="2:2">
      <c r="B2333" s="36"/>
    </row>
    <row r="2334" spans="2:2">
      <c r="B2334" s="36"/>
    </row>
    <row r="2335" spans="2:2">
      <c r="B2335" s="36"/>
    </row>
    <row r="2336" spans="2:2">
      <c r="B2336" s="36"/>
    </row>
    <row r="2337" spans="2:2">
      <c r="B2337" s="36"/>
    </row>
    <row r="2338" spans="2:2">
      <c r="B2338" s="36"/>
    </row>
    <row r="2339" spans="2:2">
      <c r="B2339" s="36"/>
    </row>
    <row r="2340" spans="2:2">
      <c r="B2340" s="36"/>
    </row>
    <row r="2341" spans="2:2">
      <c r="B2341" s="36"/>
    </row>
    <row r="2342" spans="2:2">
      <c r="B2342" s="36"/>
    </row>
    <row r="2343" spans="2:2">
      <c r="B2343" s="36"/>
    </row>
    <row r="2344" spans="2:2">
      <c r="B2344" s="36"/>
    </row>
    <row r="2345" spans="2:2">
      <c r="B2345" s="36"/>
    </row>
    <row r="2346" spans="2:2">
      <c r="B2346" s="36"/>
    </row>
    <row r="2347" spans="2:2">
      <c r="B2347" s="36"/>
    </row>
    <row r="2348" spans="2:2">
      <c r="B2348" s="36"/>
    </row>
    <row r="2349" spans="2:2">
      <c r="B2349" s="36"/>
    </row>
    <row r="2350" spans="2:2">
      <c r="B2350" s="36"/>
    </row>
    <row r="2351" spans="2:2">
      <c r="B2351" s="36"/>
    </row>
    <row r="2352" spans="2:2">
      <c r="B2352" s="36"/>
    </row>
    <row r="2353" spans="2:2">
      <c r="B2353" s="36"/>
    </row>
    <row r="2354" spans="2:2">
      <c r="B2354" s="36"/>
    </row>
    <row r="2355" spans="2:2">
      <c r="B2355" s="36"/>
    </row>
    <row r="2356" spans="2:2">
      <c r="B2356" s="36"/>
    </row>
    <row r="2357" spans="2:2">
      <c r="B2357" s="36"/>
    </row>
    <row r="2358" spans="2:2">
      <c r="B2358" s="36"/>
    </row>
    <row r="2359" spans="2:2">
      <c r="B2359" s="36"/>
    </row>
    <row r="2360" spans="2:2">
      <c r="B2360" s="36"/>
    </row>
    <row r="2361" spans="2:2">
      <c r="B2361" s="36"/>
    </row>
    <row r="2362" spans="2:2">
      <c r="B2362" s="36"/>
    </row>
    <row r="2363" spans="2:2">
      <c r="B2363" s="36"/>
    </row>
    <row r="2364" spans="2:2">
      <c r="B2364" s="36"/>
    </row>
    <row r="2365" spans="2:2">
      <c r="B2365" s="36"/>
    </row>
    <row r="2366" spans="2:2">
      <c r="B2366" s="36"/>
    </row>
    <row r="2367" spans="2:2">
      <c r="B2367" s="36"/>
    </row>
    <row r="2368" spans="2:2">
      <c r="B2368" s="36"/>
    </row>
    <row r="2369" spans="2:2">
      <c r="B2369" s="36"/>
    </row>
    <row r="2370" spans="2:2">
      <c r="B2370" s="36"/>
    </row>
    <row r="2371" spans="2:2">
      <c r="B2371" s="36"/>
    </row>
    <row r="2372" spans="2:2">
      <c r="B2372" s="36"/>
    </row>
    <row r="2373" spans="2:2">
      <c r="B2373" s="36"/>
    </row>
    <row r="2374" spans="2:2">
      <c r="B2374" s="36"/>
    </row>
    <row r="2375" spans="2:2">
      <c r="B2375" s="36"/>
    </row>
    <row r="2376" spans="2:2">
      <c r="B2376" s="36"/>
    </row>
    <row r="2377" spans="2:2">
      <c r="B2377" s="36"/>
    </row>
    <row r="2378" spans="2:2">
      <c r="B2378" s="36"/>
    </row>
    <row r="2379" spans="2:2">
      <c r="B2379" s="36"/>
    </row>
    <row r="2380" spans="2:2">
      <c r="B2380" s="36"/>
    </row>
    <row r="2381" spans="2:2">
      <c r="B2381" s="36"/>
    </row>
    <row r="2382" spans="2:2">
      <c r="B2382" s="36"/>
    </row>
    <row r="2383" spans="2:2">
      <c r="B2383" s="36"/>
    </row>
    <row r="2384" spans="2:2">
      <c r="B2384" s="36"/>
    </row>
    <row r="2385" spans="2:2">
      <c r="B2385" s="36"/>
    </row>
    <row r="2386" spans="2:2">
      <c r="B2386" s="36"/>
    </row>
    <row r="2387" spans="2:2">
      <c r="B2387" s="36"/>
    </row>
    <row r="2388" spans="2:2">
      <c r="B2388" s="36"/>
    </row>
    <row r="2389" spans="2:2">
      <c r="B2389" s="36"/>
    </row>
    <row r="2390" spans="2:2">
      <c r="B2390" s="36"/>
    </row>
    <row r="2391" spans="2:2">
      <c r="B2391" s="36"/>
    </row>
    <row r="2392" spans="2:2">
      <c r="B2392" s="36"/>
    </row>
    <row r="2393" spans="2:2">
      <c r="B2393" s="36"/>
    </row>
    <row r="2394" spans="2:2">
      <c r="B2394" s="36"/>
    </row>
    <row r="2395" spans="2:2">
      <c r="B2395" s="36"/>
    </row>
    <row r="2396" spans="2:2">
      <c r="B2396" s="36"/>
    </row>
    <row r="2397" spans="2:2">
      <c r="B2397" s="36"/>
    </row>
    <row r="2398" spans="2:2">
      <c r="B2398" s="36"/>
    </row>
    <row r="2399" spans="2:2">
      <c r="B2399" s="36"/>
    </row>
    <row r="2400" spans="2:2">
      <c r="B2400" s="36"/>
    </row>
    <row r="2401" spans="2:2">
      <c r="B2401" s="36"/>
    </row>
    <row r="2402" spans="2:2">
      <c r="B2402" s="36"/>
    </row>
    <row r="2403" spans="2:2">
      <c r="B2403" s="36"/>
    </row>
    <row r="2404" spans="2:2">
      <c r="B2404" s="36"/>
    </row>
    <row r="2405" spans="2:2">
      <c r="B2405" s="36"/>
    </row>
    <row r="2406" spans="2:2">
      <c r="B2406" s="36"/>
    </row>
    <row r="2407" spans="2:2">
      <c r="B2407" s="36"/>
    </row>
    <row r="2408" spans="2:2">
      <c r="B2408" s="36"/>
    </row>
    <row r="2409" spans="2:2">
      <c r="B2409" s="36"/>
    </row>
    <row r="2410" spans="2:2">
      <c r="B2410" s="36"/>
    </row>
    <row r="2411" spans="2:2">
      <c r="B2411" s="36"/>
    </row>
    <row r="2412" spans="2:2">
      <c r="B2412" s="36"/>
    </row>
    <row r="2413" spans="2:2">
      <c r="B2413" s="36"/>
    </row>
    <row r="2414" spans="2:2">
      <c r="B2414" s="36"/>
    </row>
    <row r="2415" spans="2:2">
      <c r="B2415" s="36"/>
    </row>
    <row r="2416" spans="2:2">
      <c r="B2416" s="36"/>
    </row>
    <row r="2417" spans="2:2">
      <c r="B2417" s="36"/>
    </row>
    <row r="2418" spans="2:2">
      <c r="B2418" s="36"/>
    </row>
    <row r="2419" spans="2:2">
      <c r="B2419" s="36"/>
    </row>
    <row r="2420" spans="2:2">
      <c r="B2420" s="36"/>
    </row>
    <row r="2421" spans="2:2">
      <c r="B2421" s="36"/>
    </row>
    <row r="2422" spans="2:2">
      <c r="B2422" s="36"/>
    </row>
    <row r="2423" spans="2:2">
      <c r="B2423" s="36"/>
    </row>
    <row r="2424" spans="2:2">
      <c r="B2424" s="36"/>
    </row>
    <row r="2425" spans="2:2">
      <c r="B2425" s="36"/>
    </row>
    <row r="2426" spans="2:2">
      <c r="B2426" s="36"/>
    </row>
    <row r="2427" spans="2:2">
      <c r="B2427" s="36"/>
    </row>
    <row r="2428" spans="2:2">
      <c r="B2428" s="36"/>
    </row>
    <row r="2429" spans="2:2">
      <c r="B2429" s="36"/>
    </row>
    <row r="2430" spans="2:2">
      <c r="B2430" s="36"/>
    </row>
    <row r="2431" spans="2:2">
      <c r="B2431" s="36"/>
    </row>
    <row r="2432" spans="2:2">
      <c r="B2432" s="36"/>
    </row>
    <row r="2433" spans="2:2">
      <c r="B2433" s="36"/>
    </row>
    <row r="2434" spans="2:2">
      <c r="B2434" s="36"/>
    </row>
    <row r="2435" spans="2:2">
      <c r="B2435" s="36"/>
    </row>
    <row r="2436" spans="2:2">
      <c r="B2436" s="36"/>
    </row>
    <row r="2437" spans="2:2">
      <c r="B2437" s="36"/>
    </row>
    <row r="2438" spans="2:2">
      <c r="B2438" s="36"/>
    </row>
    <row r="2439" spans="2:2">
      <c r="B2439" s="36"/>
    </row>
    <row r="2440" spans="2:2">
      <c r="B2440" s="36"/>
    </row>
    <row r="2441" spans="2:2">
      <c r="B2441" s="36"/>
    </row>
    <row r="2442" spans="2:2">
      <c r="B2442" s="36"/>
    </row>
    <row r="2443" spans="2:2">
      <c r="B2443" s="36"/>
    </row>
    <row r="2444" spans="2:2">
      <c r="B2444" s="36"/>
    </row>
    <row r="2445" spans="2:2">
      <c r="B2445" s="36"/>
    </row>
    <row r="2446" spans="2:2">
      <c r="B2446" s="36"/>
    </row>
    <row r="2447" spans="2:2">
      <c r="B2447" s="36"/>
    </row>
    <row r="2448" spans="2:2">
      <c r="B2448" s="36"/>
    </row>
    <row r="2449" spans="2:2">
      <c r="B2449" s="36"/>
    </row>
    <row r="2450" spans="2:2">
      <c r="B2450" s="36"/>
    </row>
    <row r="2451" spans="2:2">
      <c r="B2451" s="36"/>
    </row>
    <row r="2452" spans="2:2">
      <c r="B2452" s="36"/>
    </row>
    <row r="2453" spans="2:2">
      <c r="B2453" s="36"/>
    </row>
    <row r="2454" spans="2:2">
      <c r="B2454" s="36"/>
    </row>
    <row r="2455" spans="2:2">
      <c r="B2455" s="36"/>
    </row>
    <row r="2456" spans="2:2">
      <c r="B2456" s="36"/>
    </row>
    <row r="2457" spans="2:2">
      <c r="B2457" s="36"/>
    </row>
    <row r="2458" spans="2:2">
      <c r="B2458" s="36"/>
    </row>
    <row r="2459" spans="2:2">
      <c r="B2459" s="36"/>
    </row>
    <row r="2460" spans="2:2">
      <c r="B2460" s="36"/>
    </row>
    <row r="2461" spans="2:2">
      <c r="B2461" s="36"/>
    </row>
    <row r="2462" spans="2:2">
      <c r="B2462" s="36"/>
    </row>
    <row r="2463" spans="2:2">
      <c r="B2463" s="36"/>
    </row>
    <row r="2464" spans="2:2">
      <c r="B2464" s="36"/>
    </row>
    <row r="2465" spans="2:2">
      <c r="B2465" s="36"/>
    </row>
    <row r="2466" spans="2:2">
      <c r="B2466" s="36"/>
    </row>
    <row r="2467" spans="2:2">
      <c r="B2467" s="36"/>
    </row>
    <row r="2468" spans="2:2">
      <c r="B2468" s="36"/>
    </row>
    <row r="2469" spans="2:2">
      <c r="B2469" s="36"/>
    </row>
    <row r="2470" spans="2:2">
      <c r="B2470" s="36"/>
    </row>
    <row r="2471" spans="2:2">
      <c r="B2471" s="36"/>
    </row>
    <row r="2472" spans="2:2">
      <c r="B2472" s="36"/>
    </row>
    <row r="2473" spans="2:2">
      <c r="B2473" s="36"/>
    </row>
    <row r="2474" spans="2:2">
      <c r="B2474" s="36"/>
    </row>
    <row r="2475" spans="2:2">
      <c r="B2475" s="36"/>
    </row>
    <row r="2476" spans="2:2">
      <c r="B2476" s="36"/>
    </row>
    <row r="2477" spans="2:2">
      <c r="B2477" s="36"/>
    </row>
    <row r="2478" spans="2:2">
      <c r="B2478" s="36"/>
    </row>
    <row r="2479" spans="2:2">
      <c r="B2479" s="36"/>
    </row>
    <row r="2480" spans="2:2">
      <c r="B2480" s="36"/>
    </row>
    <row r="2481" spans="2:2">
      <c r="B2481" s="36"/>
    </row>
    <row r="2482" spans="2:2">
      <c r="B2482" s="36"/>
    </row>
    <row r="2483" spans="2:2">
      <c r="B2483" s="36"/>
    </row>
    <row r="2484" spans="2:2">
      <c r="B2484" s="36"/>
    </row>
    <row r="2485" spans="2:2">
      <c r="B2485" s="36"/>
    </row>
    <row r="2486" spans="2:2">
      <c r="B2486" s="36"/>
    </row>
    <row r="2487" spans="2:2">
      <c r="B2487" s="36"/>
    </row>
    <row r="2488" spans="2:2">
      <c r="B2488" s="36"/>
    </row>
    <row r="2489" spans="2:2">
      <c r="B2489" s="36"/>
    </row>
    <row r="2490" spans="2:2">
      <c r="B2490" s="36"/>
    </row>
    <row r="2491" spans="2:2">
      <c r="B2491" s="36"/>
    </row>
    <row r="2492" spans="2:2">
      <c r="B2492" s="36"/>
    </row>
    <row r="2493" spans="2:2">
      <c r="B2493" s="36"/>
    </row>
    <row r="2494" spans="2:2">
      <c r="B2494" s="36"/>
    </row>
    <row r="2495" spans="2:2">
      <c r="B2495" s="36"/>
    </row>
    <row r="2496" spans="2:2">
      <c r="B2496" s="36"/>
    </row>
    <row r="2497" spans="2:2">
      <c r="B2497" s="36"/>
    </row>
    <row r="2498" spans="2:2">
      <c r="B2498" s="36"/>
    </row>
    <row r="2499" spans="2:2">
      <c r="B2499" s="36"/>
    </row>
    <row r="2500" spans="2:2">
      <c r="B2500" s="36"/>
    </row>
    <row r="2501" spans="2:2">
      <c r="B2501" s="36"/>
    </row>
    <row r="2502" spans="2:2">
      <c r="B2502" s="36"/>
    </row>
    <row r="2503" spans="2:2">
      <c r="B2503" s="36"/>
    </row>
    <row r="2504" spans="2:2">
      <c r="B2504" s="36"/>
    </row>
    <row r="2505" spans="2:2">
      <c r="B2505" s="36"/>
    </row>
    <row r="2506" spans="2:2">
      <c r="B2506" s="36"/>
    </row>
    <row r="2507" spans="2:2">
      <c r="B2507" s="36"/>
    </row>
    <row r="2508" spans="2:2">
      <c r="B2508" s="36"/>
    </row>
    <row r="2509" spans="2:2">
      <c r="B2509" s="36"/>
    </row>
    <row r="2510" spans="2:2">
      <c r="B2510" s="36"/>
    </row>
    <row r="2511" spans="2:2">
      <c r="B2511" s="36"/>
    </row>
    <row r="2512" spans="2:2">
      <c r="B2512" s="36"/>
    </row>
    <row r="2513" spans="2:2">
      <c r="B2513" s="36"/>
    </row>
    <row r="2514" spans="2:2">
      <c r="B2514" s="36"/>
    </row>
    <row r="2515" spans="2:2">
      <c r="B2515" s="36"/>
    </row>
    <row r="2516" spans="2:2">
      <c r="B2516" s="36"/>
    </row>
    <row r="2517" spans="2:2">
      <c r="B2517" s="36"/>
    </row>
    <row r="2518" spans="2:2">
      <c r="B2518" s="36"/>
    </row>
    <row r="2519" spans="2:2">
      <c r="B2519" s="36"/>
    </row>
    <row r="2520" spans="2:2">
      <c r="B2520" s="36"/>
    </row>
    <row r="2521" spans="2:2">
      <c r="B2521" s="36"/>
    </row>
    <row r="2522" spans="2:2">
      <c r="B2522" s="36"/>
    </row>
    <row r="2523" spans="2:2">
      <c r="B2523" s="36"/>
    </row>
    <row r="2524" spans="2:2">
      <c r="B2524" s="36"/>
    </row>
    <row r="2525" spans="2:2">
      <c r="B2525" s="36"/>
    </row>
    <row r="2526" spans="2:2">
      <c r="B2526" s="36"/>
    </row>
    <row r="2527" spans="2:2">
      <c r="B2527" s="36"/>
    </row>
    <row r="2528" spans="2:2">
      <c r="B2528" s="36"/>
    </row>
    <row r="2529" spans="2:2">
      <c r="B2529" s="36"/>
    </row>
    <row r="2530" spans="2:2">
      <c r="B2530" s="36"/>
    </row>
    <row r="2531" spans="2:2">
      <c r="B2531" s="36"/>
    </row>
    <row r="2532" spans="2:2">
      <c r="B2532" s="36"/>
    </row>
    <row r="2533" spans="2:2">
      <c r="B2533" s="36"/>
    </row>
    <row r="2534" spans="2:2">
      <c r="B2534" s="36"/>
    </row>
    <row r="2535" spans="2:2">
      <c r="B2535" s="36"/>
    </row>
    <row r="2536" spans="2:2">
      <c r="B2536" s="36"/>
    </row>
    <row r="2537" spans="2:2">
      <c r="B2537" s="36"/>
    </row>
    <row r="2538" spans="2:2">
      <c r="B2538" s="36"/>
    </row>
    <row r="2539" spans="2:2">
      <c r="B2539" s="36"/>
    </row>
    <row r="2540" spans="2:2">
      <c r="B2540" s="36"/>
    </row>
    <row r="2541" spans="2:2">
      <c r="B2541" s="36"/>
    </row>
    <row r="2542" spans="2:2">
      <c r="B2542" s="36"/>
    </row>
    <row r="2543" spans="2:2">
      <c r="B2543" s="36"/>
    </row>
    <row r="2544" spans="2:2">
      <c r="B2544" s="36"/>
    </row>
    <row r="2545" spans="2:2">
      <c r="B2545" s="36"/>
    </row>
    <row r="2546" spans="2:2">
      <c r="B2546" s="36"/>
    </row>
    <row r="2547" spans="2:2">
      <c r="B2547" s="36"/>
    </row>
    <row r="2548" spans="2:2">
      <c r="B2548" s="36"/>
    </row>
    <row r="2549" spans="2:2">
      <c r="B2549" s="36"/>
    </row>
    <row r="2550" spans="2:2">
      <c r="B2550" s="36"/>
    </row>
    <row r="2551" spans="2:2">
      <c r="B2551" s="36"/>
    </row>
    <row r="2552" spans="2:2">
      <c r="B2552" s="36"/>
    </row>
    <row r="2553" spans="2:2">
      <c r="B2553" s="36"/>
    </row>
    <row r="2554" spans="2:2">
      <c r="B2554" s="36"/>
    </row>
    <row r="2555" spans="2:2">
      <c r="B2555" s="36"/>
    </row>
    <row r="2556" spans="2:2">
      <c r="B2556" s="36"/>
    </row>
    <row r="2557" spans="2:2">
      <c r="B2557" s="36"/>
    </row>
    <row r="2558" spans="2:2">
      <c r="B2558" s="36"/>
    </row>
    <row r="2559" spans="2:2">
      <c r="B2559" s="36"/>
    </row>
    <row r="2560" spans="2:2">
      <c r="B2560" s="36"/>
    </row>
    <row r="2561" spans="2:2">
      <c r="B2561" s="36"/>
    </row>
    <row r="2562" spans="2:2">
      <c r="B2562" s="36"/>
    </row>
    <row r="2563" spans="2:2">
      <c r="B2563" s="36"/>
    </row>
    <row r="2564" spans="2:2">
      <c r="B2564" s="36"/>
    </row>
    <row r="2565" spans="2:2">
      <c r="B2565" s="36"/>
    </row>
    <row r="2566" spans="2:2">
      <c r="B2566" s="36"/>
    </row>
    <row r="2567" spans="2:2">
      <c r="B2567" s="36"/>
    </row>
    <row r="2568" spans="2:2">
      <c r="B2568" s="36"/>
    </row>
    <row r="2569" spans="2:2">
      <c r="B2569" s="36"/>
    </row>
    <row r="2570" spans="2:2">
      <c r="B2570" s="36"/>
    </row>
    <row r="2571" spans="2:2">
      <c r="B2571" s="36"/>
    </row>
    <row r="2572" spans="2:2">
      <c r="B2572" s="36"/>
    </row>
    <row r="2573" spans="2:2">
      <c r="B2573" s="36"/>
    </row>
    <row r="2574" spans="2:2">
      <c r="B2574" s="36"/>
    </row>
    <row r="2575" spans="2:2">
      <c r="B2575" s="36"/>
    </row>
    <row r="2576" spans="2:2">
      <c r="B2576" s="36"/>
    </row>
    <row r="2577" spans="2:2">
      <c r="B2577" s="36"/>
    </row>
    <row r="2578" spans="2:2">
      <c r="B2578" s="36"/>
    </row>
    <row r="2579" spans="2:2">
      <c r="B2579" s="36"/>
    </row>
    <row r="2580" spans="2:2">
      <c r="B2580" s="36"/>
    </row>
    <row r="2581" spans="2:2">
      <c r="B2581" s="36"/>
    </row>
    <row r="2582" spans="2:2">
      <c r="B2582" s="36"/>
    </row>
    <row r="2583" spans="2:2">
      <c r="B2583" s="36"/>
    </row>
    <row r="2584" spans="2:2">
      <c r="B2584" s="36"/>
    </row>
    <row r="2585" spans="2:2">
      <c r="B2585" s="36"/>
    </row>
    <row r="2586" spans="2:2">
      <c r="B2586" s="36"/>
    </row>
    <row r="2587" spans="2:2">
      <c r="B2587" s="36"/>
    </row>
    <row r="2588" spans="2:2">
      <c r="B2588" s="36"/>
    </row>
    <row r="2589" spans="2:2">
      <c r="B2589" s="36"/>
    </row>
    <row r="2590" spans="2:2">
      <c r="B2590" s="36"/>
    </row>
    <row r="2591" spans="2:2">
      <c r="B2591" s="36"/>
    </row>
    <row r="2592" spans="2:2">
      <c r="B2592" s="36"/>
    </row>
    <row r="2593" spans="2:2">
      <c r="B2593" s="36"/>
    </row>
    <row r="2594" spans="2:2">
      <c r="B2594" s="36"/>
    </row>
    <row r="2595" spans="2:2">
      <c r="B2595" s="36"/>
    </row>
    <row r="2596" spans="2:2">
      <c r="B2596" s="36"/>
    </row>
    <row r="2597" spans="2:2">
      <c r="B2597" s="36"/>
    </row>
    <row r="2598" spans="2:2">
      <c r="B2598" s="36"/>
    </row>
    <row r="2599" spans="2:2">
      <c r="B2599" s="36"/>
    </row>
    <row r="2600" spans="2:2">
      <c r="B2600" s="36"/>
    </row>
    <row r="2601" spans="2:2">
      <c r="B2601" s="36"/>
    </row>
    <row r="2602" spans="2:2">
      <c r="B2602" s="36"/>
    </row>
    <row r="2603" spans="2:2">
      <c r="B2603" s="36"/>
    </row>
    <row r="2604" spans="2:2">
      <c r="B2604" s="36"/>
    </row>
    <row r="2605" spans="2:2">
      <c r="B2605" s="36"/>
    </row>
    <row r="2606" spans="2:2">
      <c r="B2606" s="36"/>
    </row>
    <row r="2607" spans="2:2">
      <c r="B2607" s="36"/>
    </row>
    <row r="2608" spans="2:2">
      <c r="B2608" s="36"/>
    </row>
    <row r="2609" spans="2:2">
      <c r="B2609" s="36"/>
    </row>
    <row r="2610" spans="2:2">
      <c r="B2610" s="36"/>
    </row>
    <row r="2611" spans="2:2">
      <c r="B2611" s="36"/>
    </row>
    <row r="2612" spans="2:2">
      <c r="B2612" s="36"/>
    </row>
    <row r="2613" spans="2:2">
      <c r="B2613" s="36"/>
    </row>
    <row r="2614" spans="2:2">
      <c r="B2614" s="36"/>
    </row>
    <row r="2615" spans="2:2">
      <c r="B2615" s="36"/>
    </row>
    <row r="2616" spans="2:2">
      <c r="B2616" s="36"/>
    </row>
    <row r="2617" spans="2:2">
      <c r="B2617" s="36"/>
    </row>
    <row r="2618" spans="2:2">
      <c r="B2618" s="36"/>
    </row>
    <row r="2619" spans="2:2">
      <c r="B2619" s="36"/>
    </row>
    <row r="2620" spans="2:2">
      <c r="B2620" s="36"/>
    </row>
    <row r="2621" spans="2:2">
      <c r="B2621" s="36"/>
    </row>
    <row r="2622" spans="2:2">
      <c r="B2622" s="36"/>
    </row>
    <row r="2623" spans="2:2">
      <c r="B2623" s="36"/>
    </row>
    <row r="2624" spans="2:2">
      <c r="B2624" s="36"/>
    </row>
    <row r="2625" spans="2:2">
      <c r="B2625" s="36"/>
    </row>
    <row r="2626" spans="2:2">
      <c r="B2626" s="36"/>
    </row>
    <row r="2627" spans="2:2">
      <c r="B2627" s="36"/>
    </row>
    <row r="2628" spans="2:2">
      <c r="B2628" s="36"/>
    </row>
    <row r="2629" spans="2:2">
      <c r="B2629" s="36"/>
    </row>
    <row r="2630" spans="2:2">
      <c r="B2630" s="36"/>
    </row>
    <row r="2631" spans="2:2">
      <c r="B2631" s="36"/>
    </row>
    <row r="2632" spans="2:2">
      <c r="B2632" s="36"/>
    </row>
    <row r="2633" spans="2:2">
      <c r="B2633" s="36"/>
    </row>
    <row r="2634" spans="2:2">
      <c r="B2634" s="36"/>
    </row>
    <row r="2635" spans="2:2">
      <c r="B2635" s="36"/>
    </row>
    <row r="2636" spans="2:2">
      <c r="B2636" s="36"/>
    </row>
    <row r="2637" spans="2:2">
      <c r="B2637" s="36"/>
    </row>
    <row r="2638" spans="2:2">
      <c r="B2638" s="36"/>
    </row>
    <row r="2639" spans="2:2">
      <c r="B2639" s="36"/>
    </row>
    <row r="2640" spans="2:2">
      <c r="B2640" s="36"/>
    </row>
    <row r="2641" spans="2:2">
      <c r="B2641" s="36"/>
    </row>
    <row r="2642" spans="2:2">
      <c r="B2642" s="36"/>
    </row>
    <row r="2643" spans="2:2">
      <c r="B2643" s="36"/>
    </row>
    <row r="2644" spans="2:2">
      <c r="B2644" s="36"/>
    </row>
    <row r="2645" spans="2:2">
      <c r="B2645" s="36"/>
    </row>
    <row r="2646" spans="2:2">
      <c r="B2646" s="36"/>
    </row>
    <row r="2647" spans="2:2">
      <c r="B2647" s="36"/>
    </row>
    <row r="2648" spans="2:2">
      <c r="B2648" s="36"/>
    </row>
    <row r="2649" spans="2:2">
      <c r="B2649" s="36"/>
    </row>
    <row r="2650" spans="2:2">
      <c r="B2650" s="36"/>
    </row>
    <row r="2651" spans="2:2">
      <c r="B2651" s="36"/>
    </row>
    <row r="2652" spans="2:2">
      <c r="B2652" s="36"/>
    </row>
    <row r="2653" spans="2:2">
      <c r="B2653" s="36"/>
    </row>
    <row r="2654" spans="2:2">
      <c r="B2654" s="36"/>
    </row>
    <row r="2655" spans="2:2">
      <c r="B2655" s="36"/>
    </row>
    <row r="2656" spans="2:2">
      <c r="B2656" s="36"/>
    </row>
    <row r="2657" spans="2:2">
      <c r="B2657" s="36"/>
    </row>
    <row r="2658" spans="2:2">
      <c r="B2658" s="36"/>
    </row>
    <row r="2659" spans="2:2">
      <c r="B2659" s="36"/>
    </row>
    <row r="2660" spans="2:2">
      <c r="B2660" s="36"/>
    </row>
    <row r="2661" spans="2:2">
      <c r="B2661" s="36"/>
    </row>
    <row r="2662" spans="2:2">
      <c r="B2662" s="36"/>
    </row>
    <row r="2663" spans="2:2">
      <c r="B2663" s="36"/>
    </row>
    <row r="2664" spans="2:2">
      <c r="B2664" s="36"/>
    </row>
    <row r="2665" spans="2:2">
      <c r="B2665" s="36"/>
    </row>
    <row r="2666" spans="2:2">
      <c r="B2666" s="36"/>
    </row>
    <row r="2667" spans="2:2">
      <c r="B2667" s="36"/>
    </row>
    <row r="2668" spans="2:2">
      <c r="B2668" s="36"/>
    </row>
    <row r="2669" spans="2:2">
      <c r="B2669" s="36"/>
    </row>
    <row r="2670" spans="2:2">
      <c r="B2670" s="36"/>
    </row>
    <row r="2671" spans="2:2">
      <c r="B2671" s="36"/>
    </row>
    <row r="2672" spans="2:2">
      <c r="B2672" s="36"/>
    </row>
    <row r="2673" spans="2:2">
      <c r="B2673" s="36"/>
    </row>
    <row r="2674" spans="2:2">
      <c r="B2674" s="36"/>
    </row>
    <row r="2675" spans="2:2">
      <c r="B2675" s="36"/>
    </row>
    <row r="2676" spans="2:2">
      <c r="B2676" s="36"/>
    </row>
    <row r="2677" spans="2:2">
      <c r="B2677" s="36"/>
    </row>
    <row r="2678" spans="2:2">
      <c r="B2678" s="36"/>
    </row>
    <row r="2679" spans="2:2">
      <c r="B2679" s="36"/>
    </row>
    <row r="2680" spans="2:2">
      <c r="B2680" s="36"/>
    </row>
    <row r="2681" spans="2:2">
      <c r="B2681" s="36"/>
    </row>
    <row r="2682" spans="2:2">
      <c r="B2682" s="36"/>
    </row>
    <row r="2683" spans="2:2">
      <c r="B2683" s="36"/>
    </row>
    <row r="2684" spans="2:2">
      <c r="B2684" s="36"/>
    </row>
    <row r="2685" spans="2:2">
      <c r="B2685" s="36"/>
    </row>
    <row r="2686" spans="2:2">
      <c r="B2686" s="36"/>
    </row>
    <row r="2687" spans="2:2">
      <c r="B2687" s="36"/>
    </row>
    <row r="2688" spans="2:2">
      <c r="B2688" s="36"/>
    </row>
    <row r="2689" spans="2:2">
      <c r="B2689" s="36"/>
    </row>
    <row r="2690" spans="2:2">
      <c r="B2690" s="36"/>
    </row>
    <row r="2691" spans="2:2">
      <c r="B2691" s="36"/>
    </row>
    <row r="2692" spans="2:2">
      <c r="B2692" s="36"/>
    </row>
    <row r="2693" spans="2:2">
      <c r="B2693" s="36"/>
    </row>
    <row r="2694" spans="2:2">
      <c r="B2694" s="36"/>
    </row>
    <row r="2695" spans="2:2">
      <c r="B2695" s="36"/>
    </row>
    <row r="2696" spans="2:2">
      <c r="B2696" s="36"/>
    </row>
    <row r="2697" spans="2:2">
      <c r="B2697" s="36"/>
    </row>
    <row r="2698" spans="2:2">
      <c r="B2698" s="36"/>
    </row>
    <row r="2699" spans="2:2">
      <c r="B2699" s="36"/>
    </row>
    <row r="2700" spans="2:2">
      <c r="B2700" s="36"/>
    </row>
    <row r="2701" spans="2:2">
      <c r="B2701" s="36"/>
    </row>
    <row r="2702" spans="2:2">
      <c r="B2702" s="36"/>
    </row>
    <row r="2703" spans="2:2">
      <c r="B2703" s="36"/>
    </row>
    <row r="2704" spans="2:2">
      <c r="B2704" s="36"/>
    </row>
    <row r="2705" spans="2:2">
      <c r="B2705" s="36"/>
    </row>
    <row r="2706" spans="2:2">
      <c r="B2706" s="36"/>
    </row>
    <row r="2707" spans="2:2">
      <c r="B2707" s="36"/>
    </row>
    <row r="2708" spans="2:2">
      <c r="B2708" s="36"/>
    </row>
    <row r="2709" spans="2:2">
      <c r="B2709" s="36"/>
    </row>
    <row r="2710" spans="2:2">
      <c r="B2710" s="36"/>
    </row>
    <row r="2711" spans="2:2">
      <c r="B2711" s="36"/>
    </row>
    <row r="2712" spans="2:2">
      <c r="B2712" s="36"/>
    </row>
    <row r="2713" spans="2:2">
      <c r="B2713" s="36"/>
    </row>
    <row r="2714" spans="2:2">
      <c r="B2714" s="36"/>
    </row>
    <row r="2715" spans="2:2">
      <c r="B2715" s="36"/>
    </row>
    <row r="2716" spans="2:2">
      <c r="B2716" s="36"/>
    </row>
    <row r="2717" spans="2:2">
      <c r="B2717" s="36"/>
    </row>
    <row r="2718" spans="2:2">
      <c r="B2718" s="36"/>
    </row>
    <row r="2719" spans="2:2">
      <c r="B2719" s="36"/>
    </row>
    <row r="2720" spans="2:2">
      <c r="B2720" s="36"/>
    </row>
    <row r="2721" spans="2:2">
      <c r="B2721" s="36"/>
    </row>
    <row r="2722" spans="2:2">
      <c r="B2722" s="36"/>
    </row>
    <row r="2723" spans="2:2">
      <c r="B2723" s="36"/>
    </row>
    <row r="2724" spans="2:2">
      <c r="B2724" s="36"/>
    </row>
    <row r="2725" spans="2:2">
      <c r="B2725" s="36"/>
    </row>
    <row r="2726" spans="2:2">
      <c r="B2726" s="36"/>
    </row>
    <row r="2727" spans="2:2">
      <c r="B2727" s="36"/>
    </row>
    <row r="2728" spans="2:2">
      <c r="B2728" s="36"/>
    </row>
    <row r="2729" spans="2:2">
      <c r="B2729" s="36"/>
    </row>
    <row r="2730" spans="2:2">
      <c r="B2730" s="36"/>
    </row>
    <row r="2731" spans="2:2">
      <c r="B2731" s="36"/>
    </row>
    <row r="2732" spans="2:2">
      <c r="B2732" s="36"/>
    </row>
    <row r="2733" spans="2:2">
      <c r="B2733" s="36"/>
    </row>
    <row r="2734" spans="2:2">
      <c r="B2734" s="36"/>
    </row>
    <row r="2735" spans="2:2">
      <c r="B2735" s="36"/>
    </row>
    <row r="2736" spans="2:2">
      <c r="B2736" s="36"/>
    </row>
    <row r="2737" spans="2:2">
      <c r="B2737" s="36"/>
    </row>
    <row r="2738" spans="2:2">
      <c r="B2738" s="36"/>
    </row>
    <row r="2739" spans="2:2">
      <c r="B2739" s="36"/>
    </row>
    <row r="2740" spans="2:2">
      <c r="B2740" s="36"/>
    </row>
    <row r="2741" spans="2:2">
      <c r="B2741" s="36"/>
    </row>
    <row r="2742" spans="2:2">
      <c r="B2742" s="36"/>
    </row>
    <row r="2743" spans="2:2">
      <c r="B2743" s="36"/>
    </row>
    <row r="2744" spans="2:2">
      <c r="B2744" s="36"/>
    </row>
    <row r="2745" spans="2:2">
      <c r="B2745" s="36"/>
    </row>
    <row r="2746" spans="2:2">
      <c r="B2746" s="36"/>
    </row>
    <row r="2747" spans="2:2">
      <c r="B2747" s="36"/>
    </row>
    <row r="2748" spans="2:2">
      <c r="B2748" s="36"/>
    </row>
    <row r="2749" spans="2:2">
      <c r="B2749" s="36"/>
    </row>
    <row r="2750" spans="2:2">
      <c r="B2750" s="36"/>
    </row>
    <row r="2751" spans="2:2">
      <c r="B2751" s="36"/>
    </row>
    <row r="2752" spans="2:2">
      <c r="B2752" s="36"/>
    </row>
    <row r="2753" spans="2:2">
      <c r="B2753" s="36"/>
    </row>
    <row r="2754" spans="2:2">
      <c r="B2754" s="36"/>
    </row>
    <row r="2755" spans="2:2">
      <c r="B2755" s="36"/>
    </row>
    <row r="2756" spans="2:2">
      <c r="B2756" s="36"/>
    </row>
    <row r="2757" spans="2:2">
      <c r="B2757" s="36"/>
    </row>
    <row r="2758" spans="2:2">
      <c r="B2758" s="36"/>
    </row>
    <row r="2759" spans="2:2">
      <c r="B2759" s="36"/>
    </row>
    <row r="2760" spans="2:2">
      <c r="B2760" s="36"/>
    </row>
    <row r="2761" spans="2:2">
      <c r="B2761" s="36"/>
    </row>
    <row r="2762" spans="2:2">
      <c r="B2762" s="36"/>
    </row>
    <row r="2763" spans="2:2">
      <c r="B2763" s="36"/>
    </row>
    <row r="2764" spans="2:2">
      <c r="B2764" s="36"/>
    </row>
    <row r="2765" spans="2:2">
      <c r="B2765" s="36"/>
    </row>
    <row r="2766" spans="2:2">
      <c r="B2766" s="36"/>
    </row>
    <row r="2767" spans="2:2">
      <c r="B2767" s="36"/>
    </row>
    <row r="2768" spans="2:2">
      <c r="B2768" s="36"/>
    </row>
    <row r="2769" spans="2:2">
      <c r="B2769" s="36"/>
    </row>
    <row r="2770" spans="2:2">
      <c r="B2770" s="36"/>
    </row>
    <row r="2771" spans="2:2">
      <c r="B2771" s="36"/>
    </row>
    <row r="2772" spans="2:2">
      <c r="B2772" s="36"/>
    </row>
    <row r="2773" spans="2:2">
      <c r="B2773" s="36"/>
    </row>
    <row r="2774" spans="2:2">
      <c r="B2774" s="36"/>
    </row>
    <row r="2775" spans="2:2">
      <c r="B2775" s="36"/>
    </row>
    <row r="2776" spans="2:2">
      <c r="B2776" s="36"/>
    </row>
    <row r="2777" spans="2:2">
      <c r="B2777" s="36"/>
    </row>
    <row r="2778" spans="2:2">
      <c r="B2778" s="36"/>
    </row>
    <row r="2779" spans="2:2">
      <c r="B2779" s="36"/>
    </row>
    <row r="2780" spans="2:2">
      <c r="B2780" s="36"/>
    </row>
    <row r="2781" spans="2:2">
      <c r="B2781" s="36"/>
    </row>
    <row r="2782" spans="2:2">
      <c r="B2782" s="36"/>
    </row>
    <row r="2783" spans="2:2">
      <c r="B2783" s="36"/>
    </row>
    <row r="2784" spans="2:2">
      <c r="B2784" s="36"/>
    </row>
    <row r="2785" spans="2:2">
      <c r="B2785" s="36"/>
    </row>
    <row r="2786" spans="2:2">
      <c r="B2786" s="36"/>
    </row>
    <row r="2787" spans="2:2">
      <c r="B2787" s="36"/>
    </row>
    <row r="2788" spans="2:2">
      <c r="B2788" s="36"/>
    </row>
    <row r="2789" spans="2:2">
      <c r="B2789" s="36"/>
    </row>
    <row r="2790" spans="2:2">
      <c r="B2790" s="36"/>
    </row>
    <row r="2791" spans="2:2">
      <c r="B2791" s="36"/>
    </row>
    <row r="2792" spans="2:2">
      <c r="B2792" s="36"/>
    </row>
    <row r="2793" spans="2:2">
      <c r="B2793" s="36"/>
    </row>
    <row r="2794" spans="2:2">
      <c r="B2794" s="36"/>
    </row>
    <row r="2795" spans="2:2">
      <c r="B2795" s="36"/>
    </row>
    <row r="2796" spans="2:2">
      <c r="B2796" s="36"/>
    </row>
    <row r="2797" spans="2:2">
      <c r="B2797" s="36"/>
    </row>
    <row r="2798" spans="2:2">
      <c r="B2798" s="36"/>
    </row>
    <row r="2799" spans="2:2">
      <c r="B2799" s="36"/>
    </row>
    <row r="2800" spans="2:2">
      <c r="B2800" s="36"/>
    </row>
    <row r="2801" spans="2:2">
      <c r="B2801" s="36"/>
    </row>
    <row r="2802" spans="2:2">
      <c r="B2802" s="36"/>
    </row>
    <row r="2803" spans="2:2">
      <c r="B2803" s="36"/>
    </row>
    <row r="2804" spans="2:2">
      <c r="B2804" s="36"/>
    </row>
    <row r="2805" spans="2:2">
      <c r="B2805" s="36"/>
    </row>
    <row r="2806" spans="2:2">
      <c r="B2806" s="36"/>
    </row>
    <row r="2807" spans="2:2">
      <c r="B2807" s="36"/>
    </row>
    <row r="2808" spans="2:2">
      <c r="B2808" s="36"/>
    </row>
    <row r="2809" spans="2:2">
      <c r="B2809" s="36"/>
    </row>
    <row r="2810" spans="2:2">
      <c r="B2810" s="36"/>
    </row>
    <row r="2811" spans="2:2">
      <c r="B2811" s="36"/>
    </row>
    <row r="2812" spans="2:2">
      <c r="B2812" s="36"/>
    </row>
    <row r="2813" spans="2:2">
      <c r="B2813" s="36"/>
    </row>
    <row r="2814" spans="2:2">
      <c r="B2814" s="36"/>
    </row>
    <row r="2815" spans="2:2">
      <c r="B2815" s="36"/>
    </row>
    <row r="2816" spans="2:2">
      <c r="B2816" s="36"/>
    </row>
    <row r="2817" spans="2:2">
      <c r="B2817" s="36"/>
    </row>
    <row r="2818" spans="2:2">
      <c r="B2818" s="36"/>
    </row>
    <row r="2819" spans="2:2">
      <c r="B2819" s="36"/>
    </row>
    <row r="2820" spans="2:2">
      <c r="B2820" s="36"/>
    </row>
    <row r="2821" spans="2:2">
      <c r="B2821" s="36"/>
    </row>
    <row r="2822" spans="2:2">
      <c r="B2822" s="36"/>
    </row>
    <row r="2823" spans="2:2">
      <c r="B2823" s="36"/>
    </row>
    <row r="2824" spans="2:2">
      <c r="B2824" s="36"/>
    </row>
    <row r="2825" spans="2:2">
      <c r="B2825" s="36"/>
    </row>
    <row r="2826" spans="2:2">
      <c r="B2826" s="36"/>
    </row>
    <row r="2827" spans="2:2">
      <c r="B2827" s="36"/>
    </row>
    <row r="2828" spans="2:2">
      <c r="B2828" s="36"/>
    </row>
    <row r="2829" spans="2:2">
      <c r="B2829" s="36"/>
    </row>
    <row r="2830" spans="2:2">
      <c r="B2830" s="36"/>
    </row>
    <row r="2831" spans="2:2">
      <c r="B2831" s="36"/>
    </row>
    <row r="2832" spans="2:2">
      <c r="B2832" s="36"/>
    </row>
    <row r="2833" spans="2:2">
      <c r="B2833" s="36"/>
    </row>
    <row r="2834" spans="2:2">
      <c r="B2834" s="36"/>
    </row>
    <row r="2835" spans="2:2">
      <c r="B2835" s="36"/>
    </row>
    <row r="2836" spans="2:2">
      <c r="B2836" s="36"/>
    </row>
    <row r="2837" spans="2:2">
      <c r="B2837" s="36"/>
    </row>
    <row r="2838" spans="2:2">
      <c r="B2838" s="36"/>
    </row>
    <row r="2839" spans="2:2">
      <c r="B2839" s="36"/>
    </row>
    <row r="2840" spans="2:2">
      <c r="B2840" s="36"/>
    </row>
    <row r="2841" spans="2:2">
      <c r="B2841" s="36"/>
    </row>
    <row r="2842" spans="2:2">
      <c r="B2842" s="36"/>
    </row>
    <row r="2843" spans="2:2">
      <c r="B2843" s="36"/>
    </row>
    <row r="2844" spans="2:2">
      <c r="B2844" s="36"/>
    </row>
    <row r="2845" spans="2:2">
      <c r="B2845" s="36"/>
    </row>
    <row r="2846" spans="2:2">
      <c r="B2846" s="36"/>
    </row>
    <row r="2847" spans="2:2">
      <c r="B2847" s="36"/>
    </row>
    <row r="2848" spans="2:2">
      <c r="B2848" s="36"/>
    </row>
    <row r="2849" spans="2:2">
      <c r="B2849" s="36"/>
    </row>
    <row r="2850" spans="2:2">
      <c r="B2850" s="36"/>
    </row>
    <row r="2851" spans="2:2">
      <c r="B2851" s="36"/>
    </row>
    <row r="2852" spans="2:2">
      <c r="B2852" s="36"/>
    </row>
    <row r="2853" spans="2:2">
      <c r="B2853" s="36"/>
    </row>
    <row r="2854" spans="2:2">
      <c r="B2854" s="36"/>
    </row>
    <row r="2855" spans="2:2">
      <c r="B2855" s="36"/>
    </row>
    <row r="2856" spans="2:2">
      <c r="B2856" s="36"/>
    </row>
    <row r="2857" spans="2:2">
      <c r="B2857" s="36"/>
    </row>
    <row r="2858" spans="2:2">
      <c r="B2858" s="36"/>
    </row>
    <row r="2859" spans="2:2">
      <c r="B2859" s="36"/>
    </row>
    <row r="2860" spans="2:2">
      <c r="B2860" s="36"/>
    </row>
    <row r="2861" spans="2:2">
      <c r="B2861" s="36"/>
    </row>
    <row r="2862" spans="2:2">
      <c r="B2862" s="36"/>
    </row>
    <row r="2863" spans="2:2">
      <c r="B2863" s="36"/>
    </row>
    <row r="2864" spans="2:2">
      <c r="B2864" s="36"/>
    </row>
    <row r="2865" spans="2:2">
      <c r="B2865" s="36"/>
    </row>
    <row r="2866" spans="2:2">
      <c r="B2866" s="36"/>
    </row>
    <row r="2867" spans="2:2">
      <c r="B2867" s="36"/>
    </row>
    <row r="2868" spans="2:2">
      <c r="B2868" s="36"/>
    </row>
    <row r="2869" spans="2:2">
      <c r="B2869" s="36"/>
    </row>
    <row r="2870" spans="2:2">
      <c r="B2870" s="36"/>
    </row>
    <row r="2871" spans="2:2">
      <c r="B2871" s="36"/>
    </row>
    <row r="2872" spans="2:2">
      <c r="B2872" s="36"/>
    </row>
    <row r="2873" spans="2:2">
      <c r="B2873" s="36"/>
    </row>
    <row r="2874" spans="2:2">
      <c r="B2874" s="36"/>
    </row>
    <row r="2875" spans="2:2">
      <c r="B2875" s="36"/>
    </row>
    <row r="2876" spans="2:2">
      <c r="B2876" s="36"/>
    </row>
    <row r="2877" spans="2:2">
      <c r="B2877" s="36"/>
    </row>
    <row r="2878" spans="2:2">
      <c r="B2878" s="36"/>
    </row>
    <row r="2879" spans="2:2">
      <c r="B2879" s="36"/>
    </row>
    <row r="2880" spans="2:2">
      <c r="B2880" s="36"/>
    </row>
    <row r="2881" spans="2:2">
      <c r="B2881" s="36"/>
    </row>
    <row r="2882" spans="2:2">
      <c r="B2882" s="36"/>
    </row>
    <row r="2883" spans="2:2">
      <c r="B2883" s="36"/>
    </row>
    <row r="2884" spans="2:2">
      <c r="B2884" s="36"/>
    </row>
    <row r="2885" spans="2:2">
      <c r="B2885" s="36"/>
    </row>
    <row r="2886" spans="2:2">
      <c r="B2886" s="36"/>
    </row>
    <row r="2887" spans="2:2">
      <c r="B2887" s="36"/>
    </row>
    <row r="2888" spans="2:2">
      <c r="B2888" s="36"/>
    </row>
    <row r="2889" spans="2:2">
      <c r="B2889" s="36"/>
    </row>
    <row r="2890" spans="2:2">
      <c r="B2890" s="36"/>
    </row>
    <row r="2891" spans="2:2">
      <c r="B2891" s="36"/>
    </row>
    <row r="2892" spans="2:2">
      <c r="B2892" s="36"/>
    </row>
    <row r="2893" spans="2:2">
      <c r="B2893" s="36"/>
    </row>
    <row r="2894" spans="2:2">
      <c r="B2894" s="36"/>
    </row>
    <row r="2895" spans="2:2">
      <c r="B2895" s="36"/>
    </row>
    <row r="2896" spans="2:2">
      <c r="B2896" s="36"/>
    </row>
    <row r="2897" spans="2:2">
      <c r="B2897" s="36"/>
    </row>
    <row r="2898" spans="2:2">
      <c r="B2898" s="36"/>
    </row>
    <row r="2899" spans="2:2">
      <c r="B2899" s="36"/>
    </row>
    <row r="2900" spans="2:2">
      <c r="B2900" s="36"/>
    </row>
    <row r="2901" spans="2:2">
      <c r="B2901" s="36"/>
    </row>
    <row r="2902" spans="2:2">
      <c r="B2902" s="36"/>
    </row>
    <row r="2903" spans="2:2">
      <c r="B2903" s="36"/>
    </row>
    <row r="2904" spans="2:2">
      <c r="B2904" s="36"/>
    </row>
    <row r="2905" spans="2:2">
      <c r="B2905" s="36"/>
    </row>
    <row r="2906" spans="2:2">
      <c r="B2906" s="36"/>
    </row>
    <row r="2907" spans="2:2">
      <c r="B2907" s="36"/>
    </row>
    <row r="2908" spans="2:2">
      <c r="B2908" s="36"/>
    </row>
    <row r="2909" spans="2:2">
      <c r="B2909" s="36"/>
    </row>
    <row r="2910" spans="2:2">
      <c r="B2910" s="36"/>
    </row>
    <row r="2911" spans="2:2">
      <c r="B2911" s="36"/>
    </row>
    <row r="2912" spans="2:2">
      <c r="B2912" s="36"/>
    </row>
    <row r="2913" spans="2:2">
      <c r="B2913" s="36"/>
    </row>
    <row r="2914" spans="2:2">
      <c r="B2914" s="36"/>
    </row>
    <row r="2915" spans="2:2">
      <c r="B2915" s="36"/>
    </row>
    <row r="2916" spans="2:2">
      <c r="B2916" s="36"/>
    </row>
    <row r="2917" spans="2:2">
      <c r="B2917" s="36"/>
    </row>
    <row r="2918" spans="2:2">
      <c r="B2918" s="36"/>
    </row>
    <row r="2919" spans="2:2">
      <c r="B2919" s="36"/>
    </row>
    <row r="2920" spans="2:2">
      <c r="B2920" s="36"/>
    </row>
    <row r="2921" spans="2:2">
      <c r="B2921" s="36"/>
    </row>
    <row r="2922" spans="2:2">
      <c r="B2922" s="36"/>
    </row>
    <row r="2923" spans="2:2">
      <c r="B2923" s="36"/>
    </row>
    <row r="2924" spans="2:2">
      <c r="B2924" s="36"/>
    </row>
    <row r="2925" spans="2:2">
      <c r="B2925" s="36"/>
    </row>
    <row r="2926" spans="2:2">
      <c r="B2926" s="36"/>
    </row>
    <row r="2927" spans="2:2">
      <c r="B2927" s="36"/>
    </row>
    <row r="2928" spans="2:2">
      <c r="B2928" s="36"/>
    </row>
    <row r="2929" spans="2:2">
      <c r="B2929" s="36"/>
    </row>
    <row r="2930" spans="2:2">
      <c r="B2930" s="36"/>
    </row>
    <row r="2931" spans="2:2">
      <c r="B2931" s="36"/>
    </row>
    <row r="2932" spans="2:2">
      <c r="B2932" s="36"/>
    </row>
    <row r="2933" spans="2:2">
      <c r="B2933" s="36"/>
    </row>
    <row r="2934" spans="2:2">
      <c r="B2934" s="36"/>
    </row>
    <row r="2935" spans="2:2">
      <c r="B2935" s="36"/>
    </row>
    <row r="2936" spans="2:2">
      <c r="B2936" s="36"/>
    </row>
    <row r="2937" spans="2:2">
      <c r="B2937" s="36"/>
    </row>
    <row r="2938" spans="2:2">
      <c r="B2938" s="36"/>
    </row>
    <row r="2939" spans="2:2">
      <c r="B2939" s="36"/>
    </row>
    <row r="2940" spans="2:2">
      <c r="B2940" s="36"/>
    </row>
    <row r="2941" spans="2:2">
      <c r="B2941" s="36"/>
    </row>
    <row r="2942" spans="2:2">
      <c r="B2942" s="36"/>
    </row>
    <row r="2943" spans="2:2">
      <c r="B2943" s="36"/>
    </row>
    <row r="2944" spans="2:2">
      <c r="B2944" s="36"/>
    </row>
    <row r="2945" spans="2:2">
      <c r="B2945" s="36"/>
    </row>
    <row r="2946" spans="2:2">
      <c r="B2946" s="36"/>
    </row>
    <row r="2947" spans="2:2">
      <c r="B2947" s="36"/>
    </row>
    <row r="2948" spans="2:2">
      <c r="B2948" s="36"/>
    </row>
    <row r="2949" spans="2:2">
      <c r="B2949" s="36"/>
    </row>
    <row r="2950" spans="2:2">
      <c r="B2950" s="36"/>
    </row>
    <row r="2951" spans="2:2">
      <c r="B2951" s="36"/>
    </row>
    <row r="2952" spans="2:2">
      <c r="B2952" s="36"/>
    </row>
    <row r="2953" spans="2:2">
      <c r="B2953" s="36"/>
    </row>
    <row r="2954" spans="2:2">
      <c r="B2954" s="36"/>
    </row>
    <row r="2955" spans="2:2">
      <c r="B2955" s="36"/>
    </row>
    <row r="2956" spans="2:2">
      <c r="B2956" s="36"/>
    </row>
    <row r="2957" spans="2:2">
      <c r="B2957" s="36"/>
    </row>
    <row r="2958" spans="2:2">
      <c r="B2958" s="36"/>
    </row>
    <row r="2959" spans="2:2">
      <c r="B2959" s="36"/>
    </row>
    <row r="2960" spans="2:2">
      <c r="B2960" s="36"/>
    </row>
    <row r="2961" spans="2:2">
      <c r="B2961" s="36"/>
    </row>
    <row r="2962" spans="2:2">
      <c r="B2962" s="36"/>
    </row>
    <row r="2963" spans="2:2">
      <c r="B2963" s="36"/>
    </row>
    <row r="2964" spans="2:2">
      <c r="B2964" s="36"/>
    </row>
    <row r="2965" spans="2:2">
      <c r="B2965" s="36"/>
    </row>
    <row r="2966" spans="2:2">
      <c r="B2966" s="36"/>
    </row>
    <row r="2967" spans="2:2">
      <c r="B2967" s="36"/>
    </row>
    <row r="2968" spans="2:2">
      <c r="B2968" s="36"/>
    </row>
    <row r="2969" spans="2:2">
      <c r="B2969" s="36"/>
    </row>
    <row r="2970" spans="2:2">
      <c r="B2970" s="36"/>
    </row>
    <row r="2971" spans="2:2">
      <c r="B2971" s="36"/>
    </row>
    <row r="2972" spans="2:2">
      <c r="B2972" s="36"/>
    </row>
    <row r="2973" spans="2:2">
      <c r="B2973" s="36"/>
    </row>
    <row r="2974" spans="2:2">
      <c r="B2974" s="36"/>
    </row>
    <row r="2975" spans="2:2">
      <c r="B2975" s="36"/>
    </row>
    <row r="2976" spans="2:2">
      <c r="B2976" s="36"/>
    </row>
    <row r="2977" spans="2:2">
      <c r="B2977" s="36"/>
    </row>
    <row r="2978" spans="2:2">
      <c r="B2978" s="36"/>
    </row>
    <row r="2979" spans="2:2">
      <c r="B2979" s="36"/>
    </row>
    <row r="2980" spans="2:2">
      <c r="B2980" s="36"/>
    </row>
    <row r="2981" spans="2:2">
      <c r="B2981" s="36"/>
    </row>
    <row r="2982" spans="2:2">
      <c r="B2982" s="36"/>
    </row>
    <row r="2983" spans="2:2">
      <c r="B2983" s="36"/>
    </row>
    <row r="2984" spans="2:2">
      <c r="B2984" s="36"/>
    </row>
    <row r="2985" spans="2:2">
      <c r="B2985" s="36"/>
    </row>
    <row r="2986" spans="2:2">
      <c r="B2986" s="36"/>
    </row>
    <row r="2987" spans="2:2">
      <c r="B2987" s="36"/>
    </row>
    <row r="2988" spans="2:2">
      <c r="B2988" s="36"/>
    </row>
    <row r="2989" spans="2:2">
      <c r="B2989" s="36"/>
    </row>
    <row r="2990" spans="2:2">
      <c r="B2990" s="36"/>
    </row>
    <row r="2991" spans="2:2">
      <c r="B2991" s="36"/>
    </row>
    <row r="2992" spans="2:2">
      <c r="B2992" s="36"/>
    </row>
    <row r="2993" spans="2:2">
      <c r="B2993" s="36"/>
    </row>
    <row r="2994" spans="2:2">
      <c r="B2994" s="36"/>
    </row>
    <row r="2995" spans="2:2">
      <c r="B2995" s="36"/>
    </row>
    <row r="2996" spans="2:2">
      <c r="B2996" s="36"/>
    </row>
    <row r="2997" spans="2:2">
      <c r="B2997" s="36"/>
    </row>
    <row r="2998" spans="2:2">
      <c r="B2998" s="36"/>
    </row>
    <row r="2999" spans="2:2">
      <c r="B2999" s="36"/>
    </row>
    <row r="3000" spans="2:2">
      <c r="B3000" s="36"/>
    </row>
    <row r="3001" spans="2:2">
      <c r="B3001" s="36"/>
    </row>
    <row r="3002" spans="2:2">
      <c r="B3002" s="36"/>
    </row>
    <row r="3003" spans="2:2">
      <c r="B3003" s="36"/>
    </row>
    <row r="3004" spans="2:2">
      <c r="B3004" s="36"/>
    </row>
    <row r="3005" spans="2:2">
      <c r="B3005" s="36"/>
    </row>
    <row r="3006" spans="2:2">
      <c r="B3006" s="36"/>
    </row>
    <row r="3007" spans="2:2">
      <c r="B3007" s="36"/>
    </row>
    <row r="3008" spans="2:2">
      <c r="B3008" s="36"/>
    </row>
    <row r="3009" spans="2:2">
      <c r="B3009" s="36"/>
    </row>
    <row r="3010" spans="2:2">
      <c r="B3010" s="36"/>
    </row>
    <row r="3011" spans="2:2">
      <c r="B3011" s="36"/>
    </row>
    <row r="3012" spans="2:2">
      <c r="B3012" s="36"/>
    </row>
    <row r="3013" spans="2:2">
      <c r="B3013" s="36"/>
    </row>
    <row r="3014" spans="2:2">
      <c r="B3014" s="36"/>
    </row>
    <row r="3015" spans="2:2">
      <c r="B3015" s="36"/>
    </row>
    <row r="3016" spans="2:2">
      <c r="B3016" s="36"/>
    </row>
    <row r="3017" spans="2:2">
      <c r="B3017" s="36"/>
    </row>
    <row r="3018" spans="2:2">
      <c r="B3018" s="36"/>
    </row>
    <row r="3019" spans="2:2">
      <c r="B3019" s="36"/>
    </row>
    <row r="3020" spans="2:2">
      <c r="B3020" s="36"/>
    </row>
    <row r="3021" spans="2:2">
      <c r="B3021" s="36"/>
    </row>
    <row r="3022" spans="2:2">
      <c r="B3022" s="36"/>
    </row>
    <row r="3023" spans="2:2">
      <c r="B3023" s="36"/>
    </row>
    <row r="3024" spans="2:2">
      <c r="B3024" s="36"/>
    </row>
    <row r="3025" spans="2:2">
      <c r="B3025" s="36"/>
    </row>
    <row r="3026" spans="2:2">
      <c r="B3026" s="36"/>
    </row>
    <row r="3027" spans="2:2">
      <c r="B3027" s="36"/>
    </row>
    <row r="3028" spans="2:2">
      <c r="B3028" s="36"/>
    </row>
    <row r="3029" spans="2:2">
      <c r="B3029" s="36"/>
    </row>
    <row r="3030" spans="2:2">
      <c r="B3030" s="36"/>
    </row>
    <row r="3031" spans="2:2">
      <c r="B3031" s="36"/>
    </row>
    <row r="3032" spans="2:2">
      <c r="B3032" s="36"/>
    </row>
    <row r="3033" spans="2:2">
      <c r="B3033" s="36"/>
    </row>
    <row r="3034" spans="2:2">
      <c r="B3034" s="36"/>
    </row>
    <row r="3035" spans="2:2">
      <c r="B3035" s="36"/>
    </row>
    <row r="3036" spans="2:2">
      <c r="B3036" s="36"/>
    </row>
    <row r="3037" spans="2:2">
      <c r="B3037" s="36"/>
    </row>
    <row r="3038" spans="2:2">
      <c r="B3038" s="36"/>
    </row>
    <row r="3039" spans="2:2">
      <c r="B3039" s="36"/>
    </row>
    <row r="3040" spans="2:2">
      <c r="B3040" s="36"/>
    </row>
    <row r="3041" spans="2:2">
      <c r="B3041" s="36"/>
    </row>
    <row r="3042" spans="2:2">
      <c r="B3042" s="36"/>
    </row>
    <row r="3043" spans="2:2">
      <c r="B3043" s="36"/>
    </row>
    <row r="3044" spans="2:2">
      <c r="B3044" s="36"/>
    </row>
    <row r="3045" spans="2:2">
      <c r="B3045" s="36"/>
    </row>
    <row r="3046" spans="2:2">
      <c r="B3046" s="36"/>
    </row>
    <row r="3047" spans="2:2">
      <c r="B3047" s="36"/>
    </row>
    <row r="3048" spans="2:2">
      <c r="B3048" s="36"/>
    </row>
    <row r="3049" spans="2:2">
      <c r="B3049" s="36"/>
    </row>
    <row r="3050" spans="2:2">
      <c r="B3050" s="36"/>
    </row>
    <row r="3051" spans="2:2">
      <c r="B3051" s="36"/>
    </row>
    <row r="3052" spans="2:2">
      <c r="B3052" s="36"/>
    </row>
    <row r="3053" spans="2:2">
      <c r="B3053" s="36"/>
    </row>
    <row r="3054" spans="2:2">
      <c r="B3054" s="36"/>
    </row>
    <row r="3055" spans="2:2">
      <c r="B3055" s="36"/>
    </row>
    <row r="3056" spans="2:2">
      <c r="B3056" s="36"/>
    </row>
    <row r="3057" spans="2:2">
      <c r="B3057" s="36"/>
    </row>
    <row r="3058" spans="2:2">
      <c r="B3058" s="36"/>
    </row>
    <row r="3059" spans="2:2">
      <c r="B3059" s="36"/>
    </row>
    <row r="3060" spans="2:2">
      <c r="B3060" s="36"/>
    </row>
    <row r="3061" spans="2:2">
      <c r="B3061" s="36"/>
    </row>
    <row r="3062" spans="2:2">
      <c r="B3062" s="36"/>
    </row>
    <row r="3063" spans="2:2">
      <c r="B3063" s="36"/>
    </row>
    <row r="3064" spans="2:2">
      <c r="B3064" s="36"/>
    </row>
    <row r="3065" spans="2:2">
      <c r="B3065" s="36"/>
    </row>
    <row r="3066" spans="2:2">
      <c r="B3066" s="36"/>
    </row>
    <row r="3067" spans="2:2">
      <c r="B3067" s="36"/>
    </row>
    <row r="3068" spans="2:2">
      <c r="B3068" s="36"/>
    </row>
    <row r="3069" spans="2:2">
      <c r="B3069" s="36"/>
    </row>
    <row r="3070" spans="2:2">
      <c r="B3070" s="36"/>
    </row>
    <row r="3071" spans="2:2">
      <c r="B3071" s="36"/>
    </row>
    <row r="3072" spans="2:2">
      <c r="B3072" s="36"/>
    </row>
    <row r="3073" spans="2:2">
      <c r="B3073" s="36"/>
    </row>
    <row r="3074" spans="2:2">
      <c r="B3074" s="36"/>
    </row>
    <row r="3075" spans="2:2">
      <c r="B3075" s="36"/>
    </row>
    <row r="3076" spans="2:2">
      <c r="B3076" s="36"/>
    </row>
    <row r="3077" spans="2:2">
      <c r="B3077" s="36"/>
    </row>
    <row r="3078" spans="2:2">
      <c r="B3078" s="36"/>
    </row>
    <row r="3079" spans="2:2">
      <c r="B3079" s="36"/>
    </row>
    <row r="3080" spans="2:2">
      <c r="B3080" s="36"/>
    </row>
    <row r="3081" spans="2:2">
      <c r="B3081" s="36"/>
    </row>
    <row r="3082" spans="2:2">
      <c r="B3082" s="36"/>
    </row>
    <row r="3083" spans="2:2">
      <c r="B3083" s="36"/>
    </row>
    <row r="3084" spans="2:2">
      <c r="B3084" s="36"/>
    </row>
    <row r="3085" spans="2:2">
      <c r="B3085" s="36"/>
    </row>
    <row r="3086" spans="2:2">
      <c r="B3086" s="36"/>
    </row>
    <row r="3087" spans="2:2">
      <c r="B3087" s="36"/>
    </row>
    <row r="3088" spans="2:2">
      <c r="B3088" s="36"/>
    </row>
    <row r="3089" spans="2:2">
      <c r="B3089" s="36"/>
    </row>
    <row r="3090" spans="2:2">
      <c r="B3090" s="36"/>
    </row>
    <row r="3091" spans="2:2">
      <c r="B3091" s="36"/>
    </row>
    <row r="3092" spans="2:2">
      <c r="B3092" s="36"/>
    </row>
    <row r="3093" spans="2:2">
      <c r="B3093" s="36"/>
    </row>
    <row r="3094" spans="2:2">
      <c r="B3094" s="36"/>
    </row>
    <row r="3095" spans="2:2">
      <c r="B3095" s="36"/>
    </row>
    <row r="3096" spans="2:2">
      <c r="B3096" s="36"/>
    </row>
    <row r="3097" spans="2:2">
      <c r="B3097" s="36"/>
    </row>
    <row r="3098" spans="2:2">
      <c r="B3098" s="36"/>
    </row>
    <row r="3099" spans="2:2">
      <c r="B3099" s="36"/>
    </row>
    <row r="3100" spans="2:2">
      <c r="B3100" s="36"/>
    </row>
    <row r="3101" spans="2:2">
      <c r="B3101" s="36"/>
    </row>
    <row r="3102" spans="2:2">
      <c r="B3102" s="36"/>
    </row>
    <row r="3103" spans="2:2">
      <c r="B3103" s="36"/>
    </row>
    <row r="3104" spans="2:2">
      <c r="B3104" s="36"/>
    </row>
    <row r="3105" spans="2:2">
      <c r="B3105" s="36"/>
    </row>
    <row r="3106" spans="2:2">
      <c r="B3106" s="36"/>
    </row>
    <row r="3107" spans="2:2">
      <c r="B3107" s="36"/>
    </row>
    <row r="3108" spans="2:2">
      <c r="B3108" s="36"/>
    </row>
    <row r="3109" spans="2:2">
      <c r="B3109" s="36"/>
    </row>
    <row r="3110" spans="2:2">
      <c r="B3110" s="36"/>
    </row>
    <row r="3111" spans="2:2">
      <c r="B3111" s="36"/>
    </row>
    <row r="3112" spans="2:2">
      <c r="B3112" s="36"/>
    </row>
    <row r="3113" spans="2:2">
      <c r="B3113" s="36"/>
    </row>
    <row r="3114" spans="2:2">
      <c r="B3114" s="36"/>
    </row>
    <row r="3115" spans="2:2">
      <c r="B3115" s="36"/>
    </row>
    <row r="3116" spans="2:2">
      <c r="B3116" s="36"/>
    </row>
    <row r="3117" spans="2:2">
      <c r="B3117" s="36"/>
    </row>
    <row r="3118" spans="2:2">
      <c r="B3118" s="36"/>
    </row>
    <row r="3119" spans="2:2">
      <c r="B3119" s="36"/>
    </row>
    <row r="3120" spans="2:2">
      <c r="B3120" s="36"/>
    </row>
    <row r="3121" spans="2:2">
      <c r="B3121" s="36"/>
    </row>
    <row r="3122" spans="2:2">
      <c r="B3122" s="36"/>
    </row>
    <row r="3123" spans="2:2">
      <c r="B3123" s="36"/>
    </row>
    <row r="3124" spans="2:2">
      <c r="B3124" s="36"/>
    </row>
    <row r="3125" spans="2:2">
      <c r="B3125" s="36"/>
    </row>
    <row r="3126" spans="2:2">
      <c r="B3126" s="36"/>
    </row>
    <row r="3127" spans="2:2">
      <c r="B3127" s="36"/>
    </row>
    <row r="3128" spans="2:2">
      <c r="B3128" s="36"/>
    </row>
    <row r="3129" spans="2:2">
      <c r="B3129" s="36"/>
    </row>
    <row r="3130" spans="2:2">
      <c r="B3130" s="36"/>
    </row>
    <row r="3131" spans="2:2">
      <c r="B3131" s="36"/>
    </row>
    <row r="3132" spans="2:2">
      <c r="B3132" s="36"/>
    </row>
    <row r="3133" spans="2:2">
      <c r="B3133" s="36"/>
    </row>
    <row r="3134" spans="2:2">
      <c r="B3134" s="36"/>
    </row>
    <row r="3135" spans="2:2">
      <c r="B3135" s="36"/>
    </row>
    <row r="3136" spans="2:2">
      <c r="B3136" s="36"/>
    </row>
    <row r="3137" spans="2:2">
      <c r="B3137" s="36"/>
    </row>
    <row r="3138" spans="2:2">
      <c r="B3138" s="36"/>
    </row>
    <row r="3139" spans="2:2">
      <c r="B3139" s="36"/>
    </row>
    <row r="3140" spans="2:2">
      <c r="B3140" s="36"/>
    </row>
    <row r="3141" spans="2:2">
      <c r="B3141" s="36"/>
    </row>
    <row r="3142" spans="2:2">
      <c r="B3142" s="36"/>
    </row>
    <row r="3143" spans="2:2">
      <c r="B3143" s="36"/>
    </row>
    <row r="3144" spans="2:2">
      <c r="B3144" s="36"/>
    </row>
    <row r="3145" spans="2:2">
      <c r="B3145" s="36"/>
    </row>
    <row r="3146" spans="2:2">
      <c r="B3146" s="36"/>
    </row>
    <row r="3147" spans="2:2">
      <c r="B3147" s="36"/>
    </row>
    <row r="3148" spans="2:2">
      <c r="B3148" s="36"/>
    </row>
    <row r="3149" spans="2:2">
      <c r="B3149" s="36"/>
    </row>
    <row r="3150" spans="2:2">
      <c r="B3150" s="36"/>
    </row>
    <row r="3151" spans="2:2">
      <c r="B3151" s="36"/>
    </row>
    <row r="3152" spans="2:2">
      <c r="B3152" s="36"/>
    </row>
    <row r="3153" spans="2:2">
      <c r="B3153" s="36"/>
    </row>
    <row r="3154" spans="2:2">
      <c r="B3154" s="36"/>
    </row>
    <row r="3155" spans="2:2">
      <c r="B3155" s="36"/>
    </row>
    <row r="3156" spans="2:2">
      <c r="B3156" s="36"/>
    </row>
    <row r="3157" spans="2:2">
      <c r="B3157" s="36"/>
    </row>
    <row r="3158" spans="2:2">
      <c r="B3158" s="36"/>
    </row>
    <row r="3159" spans="2:2">
      <c r="B3159" s="36"/>
    </row>
    <row r="3160" spans="2:2">
      <c r="B3160" s="36"/>
    </row>
    <row r="3161" spans="2:2">
      <c r="B3161" s="36"/>
    </row>
    <row r="3162" spans="2:2">
      <c r="B3162" s="36"/>
    </row>
    <row r="3163" spans="2:2">
      <c r="B3163" s="36"/>
    </row>
    <row r="3164" spans="2:2">
      <c r="B3164" s="36"/>
    </row>
    <row r="3165" spans="2:2">
      <c r="B3165" s="36"/>
    </row>
    <row r="3166" spans="2:2">
      <c r="B3166" s="36"/>
    </row>
    <row r="3167" spans="2:2">
      <c r="B3167" s="36"/>
    </row>
    <row r="3168" spans="2:2">
      <c r="B3168" s="36"/>
    </row>
    <row r="3169" spans="2:2">
      <c r="B3169" s="36"/>
    </row>
    <row r="3170" spans="2:2">
      <c r="B3170" s="36"/>
    </row>
    <row r="3171" spans="2:2">
      <c r="B3171" s="36"/>
    </row>
    <row r="3172" spans="2:2">
      <c r="B3172" s="36"/>
    </row>
    <row r="3173" spans="2:2">
      <c r="B3173" s="36"/>
    </row>
    <row r="3174" spans="2:2">
      <c r="B3174" s="36"/>
    </row>
    <row r="3175" spans="2:2">
      <c r="B3175" s="36"/>
    </row>
    <row r="3176" spans="2:2">
      <c r="B3176" s="36"/>
    </row>
    <row r="3177" spans="2:2">
      <c r="B3177" s="36"/>
    </row>
    <row r="3178" spans="2:2">
      <c r="B3178" s="36"/>
    </row>
    <row r="3179" spans="2:2">
      <c r="B3179" s="36"/>
    </row>
    <row r="3180" spans="2:2">
      <c r="B3180" s="36"/>
    </row>
    <row r="3181" spans="2:2">
      <c r="B3181" s="36"/>
    </row>
    <row r="3182" spans="2:2">
      <c r="B3182" s="36"/>
    </row>
    <row r="3183" spans="2:2">
      <c r="B3183" s="36"/>
    </row>
    <row r="3184" spans="2:2">
      <c r="B3184" s="36"/>
    </row>
    <row r="3185" spans="2:2">
      <c r="B3185" s="36"/>
    </row>
    <row r="3186" spans="2:2">
      <c r="B3186" s="36"/>
    </row>
    <row r="3187" spans="2:2">
      <c r="B3187" s="36"/>
    </row>
    <row r="3188" spans="2:2">
      <c r="B3188" s="36"/>
    </row>
    <row r="3189" spans="2:2">
      <c r="B3189" s="36"/>
    </row>
    <row r="3190" spans="2:2">
      <c r="B3190" s="36"/>
    </row>
    <row r="3191" spans="2:2">
      <c r="B3191" s="36"/>
    </row>
    <row r="3192" spans="2:2">
      <c r="B3192" s="36"/>
    </row>
    <row r="3193" spans="2:2">
      <c r="B3193" s="36"/>
    </row>
    <row r="3194" spans="2:2">
      <c r="B3194" s="36"/>
    </row>
    <row r="3195" spans="2:2">
      <c r="B3195" s="36"/>
    </row>
    <row r="3196" spans="2:2">
      <c r="B3196" s="36"/>
    </row>
    <row r="3197" spans="2:2">
      <c r="B3197" s="36"/>
    </row>
    <row r="3198" spans="2:2">
      <c r="B3198" s="36"/>
    </row>
    <row r="3199" spans="2:2">
      <c r="B3199" s="36"/>
    </row>
    <row r="3200" spans="2:2">
      <c r="B3200" s="36"/>
    </row>
    <row r="3201" spans="2:2">
      <c r="B3201" s="36"/>
    </row>
    <row r="3202" spans="2:2">
      <c r="B3202" s="36"/>
    </row>
    <row r="3203" spans="2:2">
      <c r="B3203" s="36"/>
    </row>
    <row r="3204" spans="2:2">
      <c r="B3204" s="36"/>
    </row>
    <row r="3205" spans="2:2">
      <c r="B3205" s="36"/>
    </row>
    <row r="3206" spans="2:2">
      <c r="B3206" s="36"/>
    </row>
    <row r="3207" spans="2:2">
      <c r="B3207" s="36"/>
    </row>
    <row r="3208" spans="2:2">
      <c r="B3208" s="36"/>
    </row>
    <row r="3209" spans="2:2">
      <c r="B3209" s="36"/>
    </row>
    <row r="3210" spans="2:2">
      <c r="B3210" s="36"/>
    </row>
    <row r="3211" spans="2:2">
      <c r="B3211" s="36"/>
    </row>
    <row r="3212" spans="2:2">
      <c r="B3212" s="36"/>
    </row>
    <row r="3213" spans="2:2">
      <c r="B3213" s="36"/>
    </row>
    <row r="3214" spans="2:2">
      <c r="B3214" s="36"/>
    </row>
    <row r="3215" spans="2:2">
      <c r="B3215" s="36"/>
    </row>
    <row r="3216" spans="2:2">
      <c r="B3216" s="36"/>
    </row>
    <row r="3217" spans="2:2">
      <c r="B3217" s="36"/>
    </row>
    <row r="3218" spans="2:2">
      <c r="B3218" s="36"/>
    </row>
    <row r="3219" spans="2:2">
      <c r="B3219" s="36"/>
    </row>
    <row r="3220" spans="2:2">
      <c r="B3220" s="36"/>
    </row>
    <row r="3221" spans="2:2">
      <c r="B3221" s="36"/>
    </row>
    <row r="3222" spans="2:2">
      <c r="B3222" s="36"/>
    </row>
    <row r="3223" spans="2:2">
      <c r="B3223" s="36"/>
    </row>
    <row r="3224" spans="2:2">
      <c r="B3224" s="36"/>
    </row>
    <row r="3225" spans="2:2">
      <c r="B3225" s="36"/>
    </row>
    <row r="3226" spans="2:2">
      <c r="B3226" s="36"/>
    </row>
    <row r="3227" spans="2:2">
      <c r="B3227" s="36"/>
    </row>
    <row r="3228" spans="2:2">
      <c r="B3228" s="36"/>
    </row>
    <row r="3229" spans="2:2">
      <c r="B3229" s="36"/>
    </row>
    <row r="3230" spans="2:2">
      <c r="B3230" s="36"/>
    </row>
    <row r="3231" spans="2:2">
      <c r="B3231" s="36"/>
    </row>
    <row r="3232" spans="2:2">
      <c r="B3232" s="36"/>
    </row>
    <row r="3233" spans="2:2">
      <c r="B3233" s="36"/>
    </row>
    <row r="3234" spans="2:2">
      <c r="B3234" s="36"/>
    </row>
    <row r="3235" spans="2:2">
      <c r="B3235" s="36"/>
    </row>
    <row r="3236" spans="2:2">
      <c r="B3236" s="36"/>
    </row>
    <row r="3237" spans="2:2">
      <c r="B3237" s="36"/>
    </row>
    <row r="3238" spans="2:2">
      <c r="B3238" s="36"/>
    </row>
    <row r="3239" spans="2:2">
      <c r="B3239" s="36"/>
    </row>
    <row r="3240" spans="2:2">
      <c r="B3240" s="36"/>
    </row>
    <row r="3241" spans="2:2">
      <c r="B3241" s="36"/>
    </row>
    <row r="3242" spans="2:2">
      <c r="B3242" s="36"/>
    </row>
    <row r="3243" spans="2:2">
      <c r="B3243" s="36"/>
    </row>
    <row r="3244" spans="2:2">
      <c r="B3244" s="36"/>
    </row>
    <row r="3245" spans="2:2">
      <c r="B3245" s="36"/>
    </row>
    <row r="3246" spans="2:2">
      <c r="B3246" s="36"/>
    </row>
    <row r="3247" spans="2:2">
      <c r="B3247" s="36"/>
    </row>
    <row r="3248" spans="2:2">
      <c r="B3248" s="36"/>
    </row>
    <row r="3249" spans="2:2">
      <c r="B3249" s="36"/>
    </row>
    <row r="3250" spans="2:2">
      <c r="B3250" s="36"/>
    </row>
    <row r="3251" spans="2:2">
      <c r="B3251" s="36"/>
    </row>
    <row r="3252" spans="2:2">
      <c r="B3252" s="36"/>
    </row>
    <row r="3253" spans="2:2">
      <c r="B3253" s="36"/>
    </row>
    <row r="3254" spans="2:2">
      <c r="B3254" s="36"/>
    </row>
    <row r="3255" spans="2:2">
      <c r="B3255" s="36"/>
    </row>
    <row r="3256" spans="2:2">
      <c r="B3256" s="36"/>
    </row>
    <row r="3257" spans="2:2">
      <c r="B3257" s="36"/>
    </row>
    <row r="3258" spans="2:2">
      <c r="B3258" s="36"/>
    </row>
    <row r="3259" spans="2:2">
      <c r="B3259" s="36"/>
    </row>
    <row r="3260" spans="2:2">
      <c r="B3260" s="36"/>
    </row>
    <row r="3261" spans="2:2">
      <c r="B3261" s="36"/>
    </row>
    <row r="3262" spans="2:2">
      <c r="B3262" s="36"/>
    </row>
    <row r="3263" spans="2:2">
      <c r="B3263" s="36"/>
    </row>
    <row r="3264" spans="2:2">
      <c r="B3264" s="36"/>
    </row>
    <row r="3265" spans="2:2">
      <c r="B3265" s="36"/>
    </row>
    <row r="3266" spans="2:2">
      <c r="B3266" s="36"/>
    </row>
    <row r="3267" spans="2:2">
      <c r="B3267" s="36"/>
    </row>
    <row r="3268" spans="2:2">
      <c r="B3268" s="36"/>
    </row>
    <row r="3269" spans="2:2">
      <c r="B3269" s="36"/>
    </row>
    <row r="3270" spans="2:2">
      <c r="B3270" s="36"/>
    </row>
    <row r="3271" spans="2:2">
      <c r="B3271" s="36"/>
    </row>
    <row r="3272" spans="2:2">
      <c r="B3272" s="36"/>
    </row>
    <row r="3273" spans="2:2">
      <c r="B3273" s="36"/>
    </row>
    <row r="3274" spans="2:2">
      <c r="B3274" s="36"/>
    </row>
    <row r="3275" spans="2:2">
      <c r="B3275" s="36"/>
    </row>
    <row r="3276" spans="2:2">
      <c r="B3276" s="36"/>
    </row>
    <row r="3277" spans="2:2">
      <c r="B3277" s="36"/>
    </row>
    <row r="3278" spans="2:2">
      <c r="B3278" s="36"/>
    </row>
    <row r="3279" spans="2:2">
      <c r="B3279" s="36"/>
    </row>
    <row r="3280" spans="2:2">
      <c r="B3280" s="36"/>
    </row>
    <row r="3281" spans="2:2">
      <c r="B3281" s="36"/>
    </row>
    <row r="3282" spans="2:2">
      <c r="B3282" s="36"/>
    </row>
    <row r="3283" spans="2:2">
      <c r="B3283" s="36"/>
    </row>
    <row r="3284" spans="2:2">
      <c r="B3284" s="36"/>
    </row>
    <row r="3285" spans="2:2">
      <c r="B3285" s="36"/>
    </row>
    <row r="3286" spans="2:2">
      <c r="B3286" s="36"/>
    </row>
    <row r="3287" spans="2:2">
      <c r="B3287" s="36"/>
    </row>
    <row r="3288" spans="2:2">
      <c r="B3288" s="36"/>
    </row>
    <row r="3289" spans="2:2">
      <c r="B3289" s="36"/>
    </row>
    <row r="3290" spans="2:2">
      <c r="B3290" s="36"/>
    </row>
    <row r="3291" spans="2:2">
      <c r="B3291" s="36"/>
    </row>
    <row r="3292" spans="2:2">
      <c r="B3292" s="36"/>
    </row>
    <row r="3293" spans="2:2">
      <c r="B3293" s="36"/>
    </row>
    <row r="3294" spans="2:2">
      <c r="B3294" s="36"/>
    </row>
    <row r="3295" spans="2:2">
      <c r="B3295" s="36"/>
    </row>
    <row r="3296" spans="2:2">
      <c r="B3296" s="36"/>
    </row>
    <row r="3297" spans="2:2">
      <c r="B3297" s="36"/>
    </row>
    <row r="3298" spans="2:2">
      <c r="B3298" s="36"/>
    </row>
    <row r="3299" spans="2:2">
      <c r="B3299" s="36"/>
    </row>
    <row r="3300" spans="2:2">
      <c r="B3300" s="36"/>
    </row>
    <row r="3301" spans="2:2">
      <c r="B3301" s="36"/>
    </row>
    <row r="3302" spans="2:2">
      <c r="B3302" s="36"/>
    </row>
    <row r="3303" spans="2:2">
      <c r="B3303" s="36"/>
    </row>
    <row r="3304" spans="2:2">
      <c r="B3304" s="36"/>
    </row>
    <row r="3305" spans="2:2">
      <c r="B3305" s="36"/>
    </row>
    <row r="3306" spans="2:2">
      <c r="B3306" s="36"/>
    </row>
    <row r="3307" spans="2:2">
      <c r="B3307" s="36"/>
    </row>
    <row r="3308" spans="2:2">
      <c r="B3308" s="36"/>
    </row>
    <row r="3309" spans="2:2">
      <c r="B3309" s="36"/>
    </row>
    <row r="3310" spans="2:2">
      <c r="B3310" s="36"/>
    </row>
    <row r="3311" spans="2:2">
      <c r="B3311" s="36"/>
    </row>
    <row r="3312" spans="2:2">
      <c r="B3312" s="36"/>
    </row>
    <row r="3313" spans="2:2">
      <c r="B3313" s="36"/>
    </row>
    <row r="3314" spans="2:2">
      <c r="B3314" s="36"/>
    </row>
    <row r="3315" spans="2:2">
      <c r="B3315" s="36"/>
    </row>
    <row r="3316" spans="2:2">
      <c r="B3316" s="36"/>
    </row>
    <row r="3317" spans="2:2">
      <c r="B3317" s="36"/>
    </row>
    <row r="3318" spans="2:2">
      <c r="B3318" s="36"/>
    </row>
    <row r="3319" spans="2:2">
      <c r="B3319" s="36"/>
    </row>
    <row r="3320" spans="2:2">
      <c r="B3320" s="36"/>
    </row>
    <row r="3321" spans="2:2">
      <c r="B3321" s="36"/>
    </row>
    <row r="3322" spans="2:2">
      <c r="B3322" s="36"/>
    </row>
    <row r="3323" spans="2:2">
      <c r="B3323" s="36"/>
    </row>
    <row r="3324" spans="2:2">
      <c r="B3324" s="36"/>
    </row>
    <row r="3325" spans="2:2">
      <c r="B3325" s="36"/>
    </row>
    <row r="3326" spans="2:2">
      <c r="B3326" s="36"/>
    </row>
    <row r="3327" spans="2:2">
      <c r="B3327" s="36"/>
    </row>
    <row r="3328" spans="2:2">
      <c r="B3328" s="36"/>
    </row>
    <row r="3329" spans="2:2">
      <c r="B3329" s="36"/>
    </row>
    <row r="3330" spans="2:2">
      <c r="B3330" s="36"/>
    </row>
    <row r="3331" spans="2:2">
      <c r="B3331" s="36"/>
    </row>
    <row r="3332" spans="2:2">
      <c r="B3332" s="36"/>
    </row>
    <row r="3333" spans="2:2">
      <c r="B3333" s="36"/>
    </row>
    <row r="3334" spans="2:2">
      <c r="B3334" s="36"/>
    </row>
    <row r="3335" spans="2:2">
      <c r="B3335" s="36"/>
    </row>
    <row r="3336" spans="2:2">
      <c r="B3336" s="36"/>
    </row>
    <row r="3337" spans="2:2">
      <c r="B3337" s="36"/>
    </row>
    <row r="3338" spans="2:2">
      <c r="B3338" s="36"/>
    </row>
    <row r="3339" spans="2:2">
      <c r="B3339" s="36"/>
    </row>
    <row r="3340" spans="2:2">
      <c r="B3340" s="36"/>
    </row>
    <row r="3341" spans="2:2">
      <c r="B3341" s="36"/>
    </row>
    <row r="3342" spans="2:2">
      <c r="B3342" s="36"/>
    </row>
    <row r="3343" spans="2:2">
      <c r="B3343" s="36"/>
    </row>
    <row r="3344" spans="2:2">
      <c r="B3344" s="36"/>
    </row>
    <row r="3345" spans="2:2">
      <c r="B3345" s="36"/>
    </row>
    <row r="3346" spans="2:2">
      <c r="B3346" s="36"/>
    </row>
    <row r="3347" spans="2:2">
      <c r="B3347" s="36"/>
    </row>
    <row r="3348" spans="2:2">
      <c r="B3348" s="36"/>
    </row>
    <row r="3349" spans="2:2">
      <c r="B3349" s="36"/>
    </row>
    <row r="3350" spans="2:2">
      <c r="B3350" s="36"/>
    </row>
    <row r="3351" spans="2:2">
      <c r="B3351" s="36"/>
    </row>
    <row r="3352" spans="2:2">
      <c r="B3352" s="36"/>
    </row>
    <row r="3353" spans="2:2">
      <c r="B3353" s="36"/>
    </row>
    <row r="3354" spans="2:2">
      <c r="B3354" s="36"/>
    </row>
    <row r="3355" spans="2:2">
      <c r="B3355" s="36"/>
    </row>
    <row r="3356" spans="2:2">
      <c r="B3356" s="36"/>
    </row>
    <row r="3357" spans="2:2">
      <c r="B3357" s="36"/>
    </row>
    <row r="3358" spans="2:2">
      <c r="B3358" s="36"/>
    </row>
    <row r="3359" spans="2:2">
      <c r="B3359" s="36"/>
    </row>
    <row r="3360" spans="2:2">
      <c r="B3360" s="36"/>
    </row>
    <row r="3361" spans="2:2">
      <c r="B3361" s="36"/>
    </row>
    <row r="3362" spans="2:2">
      <c r="B3362" s="36"/>
    </row>
    <row r="3363" spans="2:2">
      <c r="B3363" s="36"/>
    </row>
    <row r="3364" spans="2:2">
      <c r="B3364" s="36"/>
    </row>
    <row r="3365" spans="2:2">
      <c r="B3365" s="36"/>
    </row>
    <row r="3366" spans="2:2">
      <c r="B3366" s="36"/>
    </row>
    <row r="3367" spans="2:2">
      <c r="B3367" s="36"/>
    </row>
    <row r="3368" spans="2:2">
      <c r="B3368" s="36"/>
    </row>
    <row r="3369" spans="2:2">
      <c r="B3369" s="36"/>
    </row>
    <row r="3370" spans="2:2">
      <c r="B3370" s="36"/>
    </row>
    <row r="3371" spans="2:2">
      <c r="B3371" s="36"/>
    </row>
    <row r="3372" spans="2:2">
      <c r="B3372" s="36"/>
    </row>
    <row r="3373" spans="2:2">
      <c r="B3373" s="36"/>
    </row>
    <row r="3374" spans="2:2">
      <c r="B3374" s="36"/>
    </row>
    <row r="3375" spans="2:2">
      <c r="B3375" s="36"/>
    </row>
    <row r="3376" spans="2:2">
      <c r="B3376" s="36"/>
    </row>
    <row r="3377" spans="2:2">
      <c r="B3377" s="36"/>
    </row>
    <row r="3378" spans="2:2">
      <c r="B3378" s="36"/>
    </row>
    <row r="3379" spans="2:2">
      <c r="B3379" s="36"/>
    </row>
    <row r="3380" spans="2:2">
      <c r="B3380" s="36"/>
    </row>
    <row r="3381" spans="2:2">
      <c r="B3381" s="36"/>
    </row>
    <row r="3382" spans="2:2">
      <c r="B3382" s="36"/>
    </row>
    <row r="3383" spans="2:2">
      <c r="B3383" s="36"/>
    </row>
    <row r="3384" spans="2:2">
      <c r="B3384" s="36"/>
    </row>
    <row r="3385" spans="2:2">
      <c r="B3385" s="36"/>
    </row>
    <row r="3386" spans="2:2">
      <c r="B3386" s="36"/>
    </row>
    <row r="3387" spans="2:2">
      <c r="B3387" s="36"/>
    </row>
    <row r="3388" spans="2:2">
      <c r="B3388" s="36"/>
    </row>
    <row r="3389" spans="2:2">
      <c r="B3389" s="36"/>
    </row>
    <row r="3390" spans="2:2">
      <c r="B3390" s="36"/>
    </row>
    <row r="3391" spans="2:2">
      <c r="B3391" s="36"/>
    </row>
    <row r="3392" spans="2:2">
      <c r="B3392" s="36"/>
    </row>
    <row r="3393" spans="2:2">
      <c r="B3393" s="36"/>
    </row>
    <row r="3394" spans="2:2">
      <c r="B3394" s="36"/>
    </row>
    <row r="3395" spans="2:2">
      <c r="B3395" s="36"/>
    </row>
    <row r="3396" spans="2:2">
      <c r="B3396" s="36"/>
    </row>
    <row r="3397" spans="2:2">
      <c r="B3397" s="36"/>
    </row>
    <row r="3398" spans="2:2">
      <c r="B3398" s="36"/>
    </row>
    <row r="3399" spans="2:2">
      <c r="B3399" s="36"/>
    </row>
    <row r="3400" spans="2:2">
      <c r="B3400" s="36"/>
    </row>
    <row r="3401" spans="2:2">
      <c r="B3401" s="36"/>
    </row>
    <row r="3402" spans="2:2">
      <c r="B3402" s="36"/>
    </row>
    <row r="3403" spans="2:2">
      <c r="B3403" s="36"/>
    </row>
    <row r="3404" spans="2:2">
      <c r="B3404" s="36"/>
    </row>
    <row r="3405" spans="2:2">
      <c r="B3405" s="36"/>
    </row>
    <row r="3406" spans="2:2">
      <c r="B3406" s="36"/>
    </row>
    <row r="3407" spans="2:2">
      <c r="B3407" s="36"/>
    </row>
    <row r="3408" spans="2:2">
      <c r="B3408" s="36"/>
    </row>
    <row r="3409" spans="2:2">
      <c r="B3409" s="36"/>
    </row>
    <row r="3410" spans="2:2">
      <c r="B3410" s="36"/>
    </row>
    <row r="3411" spans="2:2">
      <c r="B3411" s="36"/>
    </row>
    <row r="3412" spans="2:2">
      <c r="B3412" s="36"/>
    </row>
    <row r="3413" spans="2:2">
      <c r="B3413" s="36"/>
    </row>
    <row r="3414" spans="2:2">
      <c r="B3414" s="36"/>
    </row>
    <row r="3415" spans="2:2">
      <c r="B3415" s="36"/>
    </row>
    <row r="3416" spans="2:2">
      <c r="B3416" s="36"/>
    </row>
    <row r="3417" spans="2:2">
      <c r="B3417" s="36"/>
    </row>
    <row r="3418" spans="2:2">
      <c r="B3418" s="36"/>
    </row>
    <row r="3419" spans="2:2">
      <c r="B3419" s="36"/>
    </row>
    <row r="3420" spans="2:2">
      <c r="B3420" s="36"/>
    </row>
    <row r="3421" spans="2:2">
      <c r="B3421" s="36"/>
    </row>
    <row r="3422" spans="2:2">
      <c r="B3422" s="36"/>
    </row>
    <row r="3423" spans="2:2">
      <c r="B3423" s="36"/>
    </row>
    <row r="3424" spans="2:2">
      <c r="B3424" s="36"/>
    </row>
    <row r="3425" spans="2:2">
      <c r="B3425" s="36"/>
    </row>
    <row r="3426" spans="2:2">
      <c r="B3426" s="36"/>
    </row>
    <row r="3427" spans="2:2">
      <c r="B3427" s="36"/>
    </row>
    <row r="3428" spans="2:2">
      <c r="B3428" s="36"/>
    </row>
    <row r="3429" spans="2:2">
      <c r="B3429" s="36"/>
    </row>
    <row r="3430" spans="2:2">
      <c r="B3430" s="36"/>
    </row>
    <row r="3431" spans="2:2">
      <c r="B3431" s="36"/>
    </row>
    <row r="3432" spans="2:2">
      <c r="B3432" s="36"/>
    </row>
    <row r="3433" spans="2:2">
      <c r="B3433" s="36"/>
    </row>
    <row r="3434" spans="2:2">
      <c r="B3434" s="36"/>
    </row>
    <row r="3435" spans="2:2">
      <c r="B3435" s="36"/>
    </row>
    <row r="3436" spans="2:2">
      <c r="B3436" s="36"/>
    </row>
    <row r="3437" spans="2:2">
      <c r="B3437" s="36"/>
    </row>
    <row r="3438" spans="2:2">
      <c r="B3438" s="36"/>
    </row>
    <row r="3439" spans="2:2">
      <c r="B3439" s="36"/>
    </row>
    <row r="3440" spans="2:2">
      <c r="B3440" s="36"/>
    </row>
    <row r="3441" spans="2:2">
      <c r="B3441" s="36"/>
    </row>
    <row r="3442" spans="2:2">
      <c r="B3442" s="36"/>
    </row>
    <row r="3443" spans="2:2">
      <c r="B3443" s="36"/>
    </row>
    <row r="3444" spans="2:2">
      <c r="B3444" s="36"/>
    </row>
    <row r="3445" spans="2:2">
      <c r="B3445" s="36"/>
    </row>
    <row r="3446" spans="2:2">
      <c r="B3446" s="36"/>
    </row>
    <row r="3447" spans="2:2">
      <c r="B3447" s="36"/>
    </row>
    <row r="3448" spans="2:2">
      <c r="B3448" s="36"/>
    </row>
    <row r="3449" spans="2:2">
      <c r="B3449" s="36"/>
    </row>
    <row r="3450" spans="2:2">
      <c r="B3450" s="36"/>
    </row>
    <row r="3451" spans="2:2">
      <c r="B3451" s="36"/>
    </row>
    <row r="3452" spans="2:2">
      <c r="B3452" s="36"/>
    </row>
    <row r="3453" spans="2:2">
      <c r="B3453" s="36"/>
    </row>
    <row r="3454" spans="2:2">
      <c r="B3454" s="36"/>
    </row>
    <row r="3455" spans="2:2">
      <c r="B3455" s="36"/>
    </row>
    <row r="3456" spans="2:2">
      <c r="B3456" s="36"/>
    </row>
    <row r="3457" spans="2:2">
      <c r="B3457" s="36"/>
    </row>
    <row r="3458" spans="2:2">
      <c r="B3458" s="36"/>
    </row>
    <row r="3459" spans="2:2">
      <c r="B3459" s="36"/>
    </row>
    <row r="3460" spans="2:2">
      <c r="B3460" s="36"/>
    </row>
    <row r="3461" spans="2:2">
      <c r="B3461" s="36"/>
    </row>
    <row r="3462" spans="2:2">
      <c r="B3462" s="36"/>
    </row>
    <row r="3463" spans="2:2">
      <c r="B3463" s="36"/>
    </row>
    <row r="3464" spans="2:2">
      <c r="B3464" s="36"/>
    </row>
    <row r="3465" spans="2:2">
      <c r="B3465" s="36"/>
    </row>
    <row r="3466" spans="2:2">
      <c r="B3466" s="36"/>
    </row>
    <row r="3467" spans="2:2">
      <c r="B3467" s="36"/>
    </row>
    <row r="3468" spans="2:2">
      <c r="B3468" s="36"/>
    </row>
    <row r="3469" spans="2:2">
      <c r="B3469" s="36"/>
    </row>
    <row r="3470" spans="2:2">
      <c r="B3470" s="36"/>
    </row>
    <row r="3471" spans="2:2">
      <c r="B3471" s="36"/>
    </row>
    <row r="3472" spans="2:2">
      <c r="B3472" s="36"/>
    </row>
    <row r="3473" spans="2:2">
      <c r="B3473" s="36"/>
    </row>
    <row r="3474" spans="2:2">
      <c r="B3474" s="36"/>
    </row>
    <row r="3475" spans="2:2">
      <c r="B3475" s="36"/>
    </row>
    <row r="3476" spans="2:2">
      <c r="B3476" s="36"/>
    </row>
    <row r="3477" spans="2:2">
      <c r="B3477" s="36"/>
    </row>
    <row r="3478" spans="2:2">
      <c r="B3478" s="36"/>
    </row>
    <row r="3479" spans="2:2">
      <c r="B3479" s="36"/>
    </row>
    <row r="3480" spans="2:2">
      <c r="B3480" s="36"/>
    </row>
    <row r="3481" spans="2:2">
      <c r="B3481" s="36"/>
    </row>
    <row r="3482" spans="2:2">
      <c r="B3482" s="36"/>
    </row>
    <row r="3483" spans="2:2">
      <c r="B3483" s="36"/>
    </row>
    <row r="3484" spans="2:2">
      <c r="B3484" s="36"/>
    </row>
    <row r="3485" spans="2:2">
      <c r="B3485" s="36"/>
    </row>
    <row r="3486" spans="2:2">
      <c r="B3486" s="36"/>
    </row>
    <row r="3487" spans="2:2">
      <c r="B3487" s="36"/>
    </row>
    <row r="3488" spans="2:2">
      <c r="B3488" s="36"/>
    </row>
    <row r="3489" spans="2:2">
      <c r="B3489" s="36"/>
    </row>
    <row r="3490" spans="2:2">
      <c r="B3490" s="36"/>
    </row>
    <row r="3491" spans="2:2">
      <c r="B3491" s="36"/>
    </row>
    <row r="3492" spans="2:2">
      <c r="B3492" s="36"/>
    </row>
    <row r="3493" spans="2:2">
      <c r="B3493" s="36"/>
    </row>
    <row r="3494" spans="2:2">
      <c r="B3494" s="36"/>
    </row>
    <row r="3495" spans="2:2">
      <c r="B3495" s="36"/>
    </row>
    <row r="3496" spans="2:2">
      <c r="B3496" s="36"/>
    </row>
    <row r="3497" spans="2:2">
      <c r="B3497" s="36"/>
    </row>
    <row r="3498" spans="2:2">
      <c r="B3498" s="36"/>
    </row>
    <row r="3499" spans="2:2">
      <c r="B3499" s="36"/>
    </row>
    <row r="3500" spans="2:2">
      <c r="B3500" s="36"/>
    </row>
    <row r="3501" spans="2:2">
      <c r="B3501" s="36"/>
    </row>
    <row r="3502" spans="2:2">
      <c r="B3502" s="36"/>
    </row>
    <row r="3503" spans="2:2">
      <c r="B3503" s="36"/>
    </row>
    <row r="3504" spans="2:2">
      <c r="B3504" s="36"/>
    </row>
    <row r="3505" spans="2:2">
      <c r="B3505" s="36"/>
    </row>
    <row r="3506" spans="2:2">
      <c r="B3506" s="36"/>
    </row>
    <row r="3507" spans="2:2">
      <c r="B3507" s="36"/>
    </row>
    <row r="3508" spans="2:2">
      <c r="B3508" s="36"/>
    </row>
    <row r="3509" spans="2:2">
      <c r="B3509" s="36"/>
    </row>
    <row r="3510" spans="2:2">
      <c r="B3510" s="36"/>
    </row>
    <row r="3511" spans="2:2">
      <c r="B3511" s="36"/>
    </row>
    <row r="3512" spans="2:2">
      <c r="B3512" s="36"/>
    </row>
    <row r="3513" spans="2:2">
      <c r="B3513" s="36"/>
    </row>
    <row r="3514" spans="2:2">
      <c r="B3514" s="36"/>
    </row>
    <row r="3515" spans="2:2">
      <c r="B3515" s="36"/>
    </row>
    <row r="3516" spans="2:2">
      <c r="B3516" s="36"/>
    </row>
    <row r="3517" spans="2:2">
      <c r="B3517" s="36"/>
    </row>
    <row r="3518" spans="2:2">
      <c r="B3518" s="36"/>
    </row>
    <row r="3519" spans="2:2">
      <c r="B3519" s="36"/>
    </row>
    <row r="3520" spans="2:2">
      <c r="B3520" s="36"/>
    </row>
    <row r="3521" spans="2:2">
      <c r="B3521" s="36"/>
    </row>
    <row r="3522" spans="2:2">
      <c r="B3522" s="36"/>
    </row>
    <row r="3523" spans="2:2">
      <c r="B3523" s="36"/>
    </row>
    <row r="3524" spans="2:2">
      <c r="B3524" s="36"/>
    </row>
    <row r="3525" spans="2:2">
      <c r="B3525" s="36"/>
    </row>
    <row r="3526" spans="2:2">
      <c r="B3526" s="36"/>
    </row>
    <row r="3527" spans="2:2">
      <c r="B3527" s="36"/>
    </row>
    <row r="3528" spans="2:2">
      <c r="B3528" s="36"/>
    </row>
    <row r="3529" spans="2:2">
      <c r="B3529" s="36"/>
    </row>
    <row r="3530" spans="2:2">
      <c r="B3530" s="36"/>
    </row>
    <row r="3531" spans="2:2">
      <c r="B3531" s="36"/>
    </row>
    <row r="3532" spans="2:2">
      <c r="B3532" s="36"/>
    </row>
    <row r="3533" spans="2:2">
      <c r="B3533" s="36"/>
    </row>
    <row r="3534" spans="2:2">
      <c r="B3534" s="36"/>
    </row>
    <row r="3535" spans="2:2">
      <c r="B3535" s="36"/>
    </row>
    <row r="3536" spans="2:2">
      <c r="B3536" s="36"/>
    </row>
    <row r="3537" spans="2:2">
      <c r="B3537" s="36"/>
    </row>
    <row r="3538" spans="2:2">
      <c r="B3538" s="36"/>
    </row>
    <row r="3539" spans="2:2">
      <c r="B3539" s="36"/>
    </row>
    <row r="3540" spans="2:2">
      <c r="B3540" s="36"/>
    </row>
    <row r="3541" spans="2:2">
      <c r="B3541" s="36"/>
    </row>
    <row r="3542" spans="2:2">
      <c r="B3542" s="36"/>
    </row>
    <row r="3543" spans="2:2">
      <c r="B3543" s="36"/>
    </row>
    <row r="3544" spans="2:2">
      <c r="B3544" s="36"/>
    </row>
    <row r="3545" spans="2:2">
      <c r="B3545" s="36"/>
    </row>
    <row r="3546" spans="2:2">
      <c r="B3546" s="36"/>
    </row>
    <row r="3547" spans="2:2">
      <c r="B3547" s="36"/>
    </row>
    <row r="3548" spans="2:2">
      <c r="B3548" s="36"/>
    </row>
    <row r="3549" spans="2:2">
      <c r="B3549" s="36"/>
    </row>
    <row r="3550" spans="2:2">
      <c r="B3550" s="36"/>
    </row>
    <row r="3551" spans="2:2">
      <c r="B3551" s="36"/>
    </row>
    <row r="3552" spans="2:2">
      <c r="B3552" s="36"/>
    </row>
    <row r="3553" spans="2:2">
      <c r="B3553" s="36"/>
    </row>
    <row r="3554" spans="2:2">
      <c r="B3554" s="36"/>
    </row>
    <row r="3555" spans="2:2">
      <c r="B3555" s="36"/>
    </row>
    <row r="3556" spans="2:2">
      <c r="B3556" s="36"/>
    </row>
    <row r="3557" spans="2:2">
      <c r="B3557" s="36"/>
    </row>
    <row r="3558" spans="2:2">
      <c r="B3558" s="36"/>
    </row>
    <row r="3559" spans="2:2">
      <c r="B3559" s="36"/>
    </row>
    <row r="3560" spans="2:2">
      <c r="B3560" s="36"/>
    </row>
    <row r="3561" spans="2:2">
      <c r="B3561" s="36"/>
    </row>
    <row r="3562" spans="2:2">
      <c r="B3562" s="36"/>
    </row>
    <row r="3563" spans="2:2">
      <c r="B3563" s="36"/>
    </row>
    <row r="3564" spans="2:2">
      <c r="B3564" s="36"/>
    </row>
    <row r="3565" spans="2:2">
      <c r="B3565" s="36"/>
    </row>
    <row r="3566" spans="2:2">
      <c r="B3566" s="36"/>
    </row>
    <row r="3567" spans="2:2">
      <c r="B3567" s="36"/>
    </row>
    <row r="3568" spans="2:2">
      <c r="B3568" s="36"/>
    </row>
    <row r="3569" spans="2:2">
      <c r="B3569" s="36"/>
    </row>
    <row r="3570" spans="2:2">
      <c r="B3570" s="36"/>
    </row>
    <row r="3571" spans="2:2">
      <c r="B3571" s="36"/>
    </row>
    <row r="3572" spans="2:2">
      <c r="B3572" s="36"/>
    </row>
    <row r="3573" spans="2:2">
      <c r="B3573" s="36"/>
    </row>
    <row r="3574" spans="2:2">
      <c r="B3574" s="36"/>
    </row>
    <row r="3575" spans="2:2">
      <c r="B3575" s="36"/>
    </row>
    <row r="3576" spans="2:2">
      <c r="B3576" s="36"/>
    </row>
    <row r="3577" spans="2:2">
      <c r="B3577" s="36"/>
    </row>
    <row r="3578" spans="2:2">
      <c r="B3578" s="36"/>
    </row>
    <row r="3579" spans="2:2">
      <c r="B3579" s="36"/>
    </row>
    <row r="3580" spans="2:2">
      <c r="B3580" s="36"/>
    </row>
    <row r="3581" spans="2:2">
      <c r="B3581" s="36"/>
    </row>
    <row r="3582" spans="2:2">
      <c r="B3582" s="36"/>
    </row>
    <row r="3583" spans="2:2">
      <c r="B3583" s="36"/>
    </row>
    <row r="3584" spans="2:2">
      <c r="B3584" s="36"/>
    </row>
    <row r="3585" spans="2:2">
      <c r="B3585" s="36"/>
    </row>
    <row r="3586" spans="2:2">
      <c r="B3586" s="36"/>
    </row>
    <row r="3587" spans="2:2">
      <c r="B3587" s="36"/>
    </row>
    <row r="3588" spans="2:2">
      <c r="B3588" s="36"/>
    </row>
    <row r="3589" spans="2:2">
      <c r="B3589" s="36"/>
    </row>
    <row r="3590" spans="2:2">
      <c r="B3590" s="36"/>
    </row>
    <row r="3591" spans="2:2">
      <c r="B3591" s="36"/>
    </row>
    <row r="3592" spans="2:2">
      <c r="B3592" s="36"/>
    </row>
    <row r="3593" spans="2:2">
      <c r="B3593" s="36"/>
    </row>
    <row r="3594" spans="2:2">
      <c r="B3594" s="36"/>
    </row>
    <row r="3595" spans="2:2">
      <c r="B3595" s="36"/>
    </row>
    <row r="3596" spans="2:2">
      <c r="B3596" s="36"/>
    </row>
    <row r="3597" spans="2:2">
      <c r="B3597" s="36"/>
    </row>
    <row r="3598" spans="2:2">
      <c r="B3598" s="36"/>
    </row>
    <row r="3599" spans="2:2">
      <c r="B3599" s="36"/>
    </row>
    <row r="3600" spans="2:2">
      <c r="B3600" s="36"/>
    </row>
    <row r="3601" spans="2:2">
      <c r="B3601" s="36"/>
    </row>
    <row r="3602" spans="2:2">
      <c r="B3602" s="36"/>
    </row>
    <row r="3603" spans="2:2">
      <c r="B3603" s="36"/>
    </row>
    <row r="3604" spans="2:2">
      <c r="B3604" s="36"/>
    </row>
    <row r="3605" spans="2:2">
      <c r="B3605" s="36"/>
    </row>
    <row r="3606" spans="2:2">
      <c r="B3606" s="36"/>
    </row>
    <row r="3607" spans="2:2">
      <c r="B3607" s="36"/>
    </row>
    <row r="3608" spans="2:2">
      <c r="B3608" s="36"/>
    </row>
    <row r="3609" spans="2:2">
      <c r="B3609" s="36"/>
    </row>
    <row r="3610" spans="2:2">
      <c r="B3610" s="36"/>
    </row>
    <row r="3611" spans="2:2">
      <c r="B3611" s="36"/>
    </row>
    <row r="3612" spans="2:2">
      <c r="B3612" s="36"/>
    </row>
    <row r="3613" spans="2:2">
      <c r="B3613" s="36"/>
    </row>
    <row r="3614" spans="2:2">
      <c r="B3614" s="36"/>
    </row>
    <row r="3615" spans="2:2">
      <c r="B3615" s="36"/>
    </row>
    <row r="3616" spans="2:2">
      <c r="B3616" s="36"/>
    </row>
    <row r="3617" spans="2:2">
      <c r="B3617" s="36"/>
    </row>
    <row r="3618" spans="2:2">
      <c r="B3618" s="36"/>
    </row>
    <row r="3619" spans="2:2">
      <c r="B3619" s="36"/>
    </row>
    <row r="3620" spans="2:2">
      <c r="B3620" s="36"/>
    </row>
    <row r="3621" spans="2:2">
      <c r="B3621" s="36"/>
    </row>
    <row r="3622" spans="2:2">
      <c r="B3622" s="36"/>
    </row>
    <row r="3623" spans="2:2">
      <c r="B3623" s="36"/>
    </row>
    <row r="3624" spans="2:2">
      <c r="B3624" s="36"/>
    </row>
    <row r="3625" spans="2:2">
      <c r="B3625" s="36"/>
    </row>
    <row r="3626" spans="2:2">
      <c r="B3626" s="36"/>
    </row>
    <row r="3627" spans="2:2">
      <c r="B3627" s="36"/>
    </row>
    <row r="3628" spans="2:2">
      <c r="B3628" s="36"/>
    </row>
    <row r="3629" spans="2:2">
      <c r="B3629" s="36"/>
    </row>
    <row r="3630" spans="2:2">
      <c r="B3630" s="36"/>
    </row>
    <row r="3631" spans="2:2">
      <c r="B3631" s="36"/>
    </row>
    <row r="3632" spans="2:2">
      <c r="B3632" s="36"/>
    </row>
    <row r="3633" spans="2:2">
      <c r="B3633" s="36"/>
    </row>
    <row r="3634" spans="2:2">
      <c r="B3634" s="36"/>
    </row>
    <row r="3635" spans="2:2">
      <c r="B3635" s="36"/>
    </row>
    <row r="3636" spans="2:2">
      <c r="B3636" s="36"/>
    </row>
    <row r="3637" spans="2:2">
      <c r="B3637" s="36"/>
    </row>
    <row r="3638" spans="2:2">
      <c r="B3638" s="36"/>
    </row>
    <row r="3639" spans="2:2">
      <c r="B3639" s="36"/>
    </row>
    <row r="3640" spans="2:2">
      <c r="B3640" s="36"/>
    </row>
    <row r="3641" spans="2:2">
      <c r="B3641" s="36"/>
    </row>
    <row r="3642" spans="2:2">
      <c r="B3642" s="36"/>
    </row>
    <row r="3643" spans="2:2">
      <c r="B3643" s="36"/>
    </row>
    <row r="3644" spans="2:2">
      <c r="B3644" s="36"/>
    </row>
    <row r="3645" spans="2:2">
      <c r="B3645" s="36"/>
    </row>
    <row r="3646" spans="2:2">
      <c r="B3646" s="36"/>
    </row>
    <row r="3647" spans="2:2">
      <c r="B3647" s="36"/>
    </row>
    <row r="3648" spans="2:2">
      <c r="B3648" s="36"/>
    </row>
    <row r="3649" spans="2:2">
      <c r="B3649" s="36"/>
    </row>
    <row r="3650" spans="2:2">
      <c r="B3650" s="36"/>
    </row>
    <row r="3651" spans="2:2">
      <c r="B3651" s="36"/>
    </row>
    <row r="3652" spans="2:2">
      <c r="B3652" s="36"/>
    </row>
    <row r="3653" spans="2:2">
      <c r="B3653" s="36"/>
    </row>
    <row r="3654" spans="2:2">
      <c r="B3654" s="36"/>
    </row>
    <row r="3655" spans="2:2">
      <c r="B3655" s="36"/>
    </row>
    <row r="3656" spans="2:2">
      <c r="B3656" s="36"/>
    </row>
    <row r="3657" spans="2:2">
      <c r="B3657" s="36"/>
    </row>
    <row r="3658" spans="2:2">
      <c r="B3658" s="36"/>
    </row>
    <row r="3659" spans="2:2">
      <c r="B3659" s="36"/>
    </row>
    <row r="3660" spans="2:2">
      <c r="B3660" s="36"/>
    </row>
    <row r="3661" spans="2:2">
      <c r="B3661" s="36"/>
    </row>
    <row r="3662" spans="2:2">
      <c r="B3662" s="36"/>
    </row>
    <row r="3663" spans="2:2">
      <c r="B3663" s="36"/>
    </row>
    <row r="3664" spans="2:2">
      <c r="B3664" s="36"/>
    </row>
    <row r="3665" spans="2:2">
      <c r="B3665" s="36"/>
    </row>
    <row r="3666" spans="2:2">
      <c r="B3666" s="36"/>
    </row>
    <row r="3667" spans="2:2">
      <c r="B3667" s="36"/>
    </row>
    <row r="3668" spans="2:2">
      <c r="B3668" s="36"/>
    </row>
    <row r="3669" spans="2:2">
      <c r="B3669" s="36"/>
    </row>
    <row r="3670" spans="2:2">
      <c r="B3670" s="36"/>
    </row>
    <row r="3671" spans="2:2">
      <c r="B3671" s="36"/>
    </row>
    <row r="3672" spans="2:2">
      <c r="B3672" s="36"/>
    </row>
    <row r="3673" spans="2:2">
      <c r="B3673" s="36"/>
    </row>
    <row r="3674" spans="2:2">
      <c r="B3674" s="36"/>
    </row>
    <row r="3675" spans="2:2">
      <c r="B3675" s="36"/>
    </row>
    <row r="3676" spans="2:2">
      <c r="B3676" s="36"/>
    </row>
    <row r="3677" spans="2:2">
      <c r="B3677" s="36"/>
    </row>
    <row r="3678" spans="2:2">
      <c r="B3678" s="36"/>
    </row>
    <row r="3679" spans="2:2">
      <c r="B3679" s="36"/>
    </row>
    <row r="3680" spans="2:2">
      <c r="B3680" s="36"/>
    </row>
    <row r="3681" spans="2:2">
      <c r="B3681" s="36"/>
    </row>
    <row r="3682" spans="2:2">
      <c r="B3682" s="36"/>
    </row>
    <row r="3683" spans="2:2">
      <c r="B3683" s="36"/>
    </row>
    <row r="3684" spans="2:2">
      <c r="B3684" s="36"/>
    </row>
    <row r="3685" spans="2:2">
      <c r="B3685" s="36"/>
    </row>
    <row r="3686" spans="2:2">
      <c r="B3686" s="36"/>
    </row>
    <row r="3687" spans="2:2">
      <c r="B3687" s="36"/>
    </row>
    <row r="3688" spans="2:2">
      <c r="B3688" s="36"/>
    </row>
    <row r="3689" spans="2:2">
      <c r="B3689" s="36"/>
    </row>
    <row r="3690" spans="2:2">
      <c r="B3690" s="36"/>
    </row>
    <row r="3691" spans="2:2">
      <c r="B3691" s="36"/>
    </row>
    <row r="3692" spans="2:2">
      <c r="B3692" s="36"/>
    </row>
    <row r="3693" spans="2:2">
      <c r="B3693" s="36"/>
    </row>
    <row r="3694" spans="2:2">
      <c r="B3694" s="36"/>
    </row>
    <row r="3695" spans="2:2">
      <c r="B3695" s="36"/>
    </row>
    <row r="3696" spans="2:2">
      <c r="B3696" s="36"/>
    </row>
    <row r="3697" spans="2:2">
      <c r="B3697" s="36"/>
    </row>
    <row r="3698" spans="2:2">
      <c r="B3698" s="36"/>
    </row>
    <row r="3699" spans="2:2">
      <c r="B3699" s="36"/>
    </row>
    <row r="3700" spans="2:2">
      <c r="B3700" s="36"/>
    </row>
    <row r="3701" spans="2:2">
      <c r="B3701" s="36"/>
    </row>
    <row r="3702" spans="2:2">
      <c r="B3702" s="36"/>
    </row>
    <row r="3703" spans="2:2">
      <c r="B3703" s="36"/>
    </row>
    <row r="3704" spans="2:2">
      <c r="B3704" s="36"/>
    </row>
    <row r="3705" spans="2:2">
      <c r="B3705" s="36"/>
    </row>
    <row r="3706" spans="2:2">
      <c r="B3706" s="36"/>
    </row>
    <row r="3707" spans="2:2">
      <c r="B3707" s="36"/>
    </row>
    <row r="3708" spans="2:2">
      <c r="B3708" s="36"/>
    </row>
    <row r="3709" spans="2:2">
      <c r="B3709" s="36"/>
    </row>
    <row r="3710" spans="2:2">
      <c r="B3710" s="36"/>
    </row>
    <row r="3711" spans="2:2">
      <c r="B3711" s="36"/>
    </row>
    <row r="3712" spans="2:2">
      <c r="B3712" s="36"/>
    </row>
    <row r="3713" spans="2:2">
      <c r="B3713" s="36"/>
    </row>
    <row r="3714" spans="2:2">
      <c r="B3714" s="36"/>
    </row>
    <row r="3715" spans="2:2">
      <c r="B3715" s="36"/>
    </row>
    <row r="3716" spans="2:2">
      <c r="B3716" s="36"/>
    </row>
    <row r="3717" spans="2:2">
      <c r="B3717" s="36"/>
    </row>
    <row r="3718" spans="2:2">
      <c r="B3718" s="36"/>
    </row>
    <row r="3719" spans="2:2">
      <c r="B3719" s="36"/>
    </row>
    <row r="3720" spans="2:2">
      <c r="B3720" s="36"/>
    </row>
    <row r="3721" spans="2:2">
      <c r="B3721" s="36"/>
    </row>
    <row r="3722" spans="2:2">
      <c r="B3722" s="36"/>
    </row>
    <row r="3723" spans="2:2">
      <c r="B3723" s="36"/>
    </row>
    <row r="3724" spans="2:2">
      <c r="B3724" s="36"/>
    </row>
    <row r="3725" spans="2:2">
      <c r="B3725" s="36"/>
    </row>
    <row r="3726" spans="2:2">
      <c r="B3726" s="36"/>
    </row>
    <row r="3727" spans="2:2">
      <c r="B3727" s="36"/>
    </row>
    <row r="3728" spans="2:2">
      <c r="B3728" s="36"/>
    </row>
    <row r="3729" spans="2:2">
      <c r="B3729" s="36"/>
    </row>
    <row r="3730" spans="2:2">
      <c r="B3730" s="36"/>
    </row>
    <row r="3731" spans="2:2">
      <c r="B3731" s="36"/>
    </row>
    <row r="3732" spans="2:2">
      <c r="B3732" s="36"/>
    </row>
    <row r="3733" spans="2:2">
      <c r="B3733" s="36"/>
    </row>
    <row r="3734" spans="2:2">
      <c r="B3734" s="36"/>
    </row>
    <row r="3735" spans="2:2">
      <c r="B3735" s="36"/>
    </row>
    <row r="3736" spans="2:2">
      <c r="B3736" s="36"/>
    </row>
    <row r="3737" spans="2:2">
      <c r="B3737" s="36"/>
    </row>
    <row r="3738" spans="2:2">
      <c r="B3738" s="36"/>
    </row>
    <row r="3739" spans="2:2">
      <c r="B3739" s="36"/>
    </row>
    <row r="3740" spans="2:2">
      <c r="B3740" s="36"/>
    </row>
    <row r="3741" spans="2:2">
      <c r="B3741" s="36"/>
    </row>
    <row r="3742" spans="2:2">
      <c r="B3742" s="36"/>
    </row>
    <row r="3743" spans="2:2">
      <c r="B3743" s="36"/>
    </row>
    <row r="3744" spans="2:2">
      <c r="B3744" s="36"/>
    </row>
    <row r="3745" spans="2:2">
      <c r="B3745" s="36"/>
    </row>
    <row r="3746" spans="2:2">
      <c r="B3746" s="36"/>
    </row>
    <row r="3747" spans="2:2">
      <c r="B3747" s="36"/>
    </row>
    <row r="3748" spans="2:2">
      <c r="B3748" s="36"/>
    </row>
    <row r="3749" spans="2:2">
      <c r="B3749" s="36"/>
    </row>
    <row r="3750" spans="2:2">
      <c r="B3750" s="36"/>
    </row>
    <row r="3751" spans="2:2">
      <c r="B3751" s="36"/>
    </row>
    <row r="3752" spans="2:2">
      <c r="B3752" s="36"/>
    </row>
    <row r="3753" spans="2:2">
      <c r="B3753" s="36"/>
    </row>
    <row r="3754" spans="2:2">
      <c r="B3754" s="36"/>
    </row>
    <row r="3755" spans="2:2">
      <c r="B3755" s="36"/>
    </row>
    <row r="3756" spans="2:2">
      <c r="B3756" s="36"/>
    </row>
    <row r="3757" spans="2:2">
      <c r="B3757" s="36"/>
    </row>
    <row r="3758" spans="2:2">
      <c r="B3758" s="36"/>
    </row>
    <row r="3759" spans="2:2">
      <c r="B3759" s="36"/>
    </row>
    <row r="3760" spans="2:2">
      <c r="B3760" s="36"/>
    </row>
    <row r="3761" spans="2:2">
      <c r="B3761" s="36"/>
    </row>
    <row r="3762" spans="2:2">
      <c r="B3762" s="36"/>
    </row>
    <row r="3763" spans="2:2">
      <c r="B3763" s="36"/>
    </row>
    <row r="3764" spans="2:2">
      <c r="B3764" s="36"/>
    </row>
    <row r="3765" spans="2:2">
      <c r="B3765" s="36"/>
    </row>
    <row r="3766" spans="2:2">
      <c r="B3766" s="36"/>
    </row>
    <row r="3767" spans="2:2">
      <c r="B3767" s="36"/>
    </row>
    <row r="3768" spans="2:2">
      <c r="B3768" s="36"/>
    </row>
    <row r="3769" spans="2:2">
      <c r="B3769" s="36"/>
    </row>
    <row r="3770" spans="2:2">
      <c r="B3770" s="36"/>
    </row>
    <row r="3771" spans="2:2">
      <c r="B3771" s="36"/>
    </row>
    <row r="3772" spans="2:2">
      <c r="B3772" s="36"/>
    </row>
    <row r="3773" spans="2:2">
      <c r="B3773" s="36"/>
    </row>
    <row r="3774" spans="2:2">
      <c r="B3774" s="36"/>
    </row>
    <row r="3775" spans="2:2">
      <c r="B3775" s="36"/>
    </row>
    <row r="3776" spans="2:2">
      <c r="B3776" s="36"/>
    </row>
    <row r="3777" spans="2:2">
      <c r="B3777" s="36"/>
    </row>
    <row r="3778" spans="2:2">
      <c r="B3778" s="36"/>
    </row>
    <row r="3779" spans="2:2">
      <c r="B3779" s="36"/>
    </row>
    <row r="3780" spans="2:2">
      <c r="B3780" s="36"/>
    </row>
    <row r="3781" spans="2:2">
      <c r="B3781" s="36"/>
    </row>
    <row r="3782" spans="2:2">
      <c r="B3782" s="36"/>
    </row>
    <row r="3783" spans="2:2">
      <c r="B3783" s="36"/>
    </row>
    <row r="3784" spans="2:2">
      <c r="B3784" s="36"/>
    </row>
    <row r="3785" spans="2:2">
      <c r="B3785" s="36"/>
    </row>
    <row r="3786" spans="2:2">
      <c r="B3786" s="36"/>
    </row>
    <row r="3787" spans="2:2">
      <c r="B3787" s="36"/>
    </row>
    <row r="3788" spans="2:2">
      <c r="B3788" s="36"/>
    </row>
    <row r="3789" spans="2:2">
      <c r="B3789" s="36"/>
    </row>
    <row r="3790" spans="2:2">
      <c r="B3790" s="36"/>
    </row>
    <row r="3791" spans="2:2">
      <c r="B3791" s="36"/>
    </row>
    <row r="3792" spans="2:2">
      <c r="B3792" s="36"/>
    </row>
    <row r="3793" spans="2:2">
      <c r="B3793" s="36"/>
    </row>
    <row r="3794" spans="2:2">
      <c r="B3794" s="36"/>
    </row>
    <row r="3795" spans="2:2">
      <c r="B3795" s="36"/>
    </row>
    <row r="3796" spans="2:2">
      <c r="B3796" s="36"/>
    </row>
    <row r="3797" spans="2:2">
      <c r="B3797" s="36"/>
    </row>
    <row r="3798" spans="2:2">
      <c r="B3798" s="36"/>
    </row>
    <row r="3799" spans="2:2">
      <c r="B3799" s="36"/>
    </row>
    <row r="3800" spans="2:2">
      <c r="B3800" s="36"/>
    </row>
    <row r="3801" spans="2:2">
      <c r="B3801" s="36"/>
    </row>
    <row r="3802" spans="2:2">
      <c r="B3802" s="36"/>
    </row>
    <row r="3803" spans="2:2">
      <c r="B3803" s="36"/>
    </row>
    <row r="3804" spans="2:2">
      <c r="B3804" s="36"/>
    </row>
    <row r="3805" spans="2:2">
      <c r="B3805" s="36"/>
    </row>
    <row r="3806" spans="2:2">
      <c r="B3806" s="36"/>
    </row>
    <row r="3807" spans="2:2">
      <c r="B3807" s="36"/>
    </row>
    <row r="3808" spans="2:2">
      <c r="B3808" s="36"/>
    </row>
    <row r="3809" spans="2:2">
      <c r="B3809" s="36"/>
    </row>
    <row r="3810" spans="2:2">
      <c r="B3810" s="36"/>
    </row>
    <row r="3811" spans="2:2">
      <c r="B3811" s="36"/>
    </row>
    <row r="3812" spans="2:2">
      <c r="B3812" s="36"/>
    </row>
    <row r="3813" spans="2:2">
      <c r="B3813" s="36"/>
    </row>
    <row r="3814" spans="2:2">
      <c r="B3814" s="36"/>
    </row>
    <row r="3815" spans="2:2">
      <c r="B3815" s="36"/>
    </row>
    <row r="3816" spans="2:2">
      <c r="B3816" s="36"/>
    </row>
    <row r="3817" spans="2:2">
      <c r="B3817" s="36"/>
    </row>
    <row r="3818" spans="2:2">
      <c r="B3818" s="36"/>
    </row>
    <row r="3819" spans="2:2">
      <c r="B3819" s="36"/>
    </row>
    <row r="3820" spans="2:2">
      <c r="B3820" s="36"/>
    </row>
    <row r="3821" spans="2:2">
      <c r="B3821" s="36"/>
    </row>
    <row r="3822" spans="2:2">
      <c r="B3822" s="36"/>
    </row>
    <row r="3823" spans="2:2">
      <c r="B3823" s="36"/>
    </row>
    <row r="3824" spans="2:2">
      <c r="B3824" s="36"/>
    </row>
    <row r="3825" spans="2:2">
      <c r="B3825" s="36"/>
    </row>
    <row r="3826" spans="2:2">
      <c r="B3826" s="36"/>
    </row>
    <row r="3827" spans="2:2">
      <c r="B3827" s="36"/>
    </row>
    <row r="3828" spans="2:2">
      <c r="B3828" s="36"/>
    </row>
    <row r="3829" spans="2:2">
      <c r="B3829" s="36"/>
    </row>
    <row r="3830" spans="2:2">
      <c r="B3830" s="36"/>
    </row>
    <row r="3831" spans="2:2">
      <c r="B3831" s="36"/>
    </row>
    <row r="3832" spans="2:2">
      <c r="B3832" s="36"/>
    </row>
    <row r="3833" spans="2:2">
      <c r="B3833" s="36"/>
    </row>
    <row r="3834" spans="2:2">
      <c r="B3834" s="36"/>
    </row>
    <row r="3835" spans="2:2">
      <c r="B3835" s="36"/>
    </row>
    <row r="3836" spans="2:2">
      <c r="B3836" s="36"/>
    </row>
    <row r="3837" spans="2:2">
      <c r="B3837" s="36"/>
    </row>
    <row r="3838" spans="2:2">
      <c r="B3838" s="36"/>
    </row>
    <row r="3839" spans="2:2">
      <c r="B3839" s="36"/>
    </row>
    <row r="3840" spans="2:2">
      <c r="B3840" s="36"/>
    </row>
    <row r="3841" spans="2:2">
      <c r="B3841" s="36"/>
    </row>
    <row r="3842" spans="2:2">
      <c r="B3842" s="36"/>
    </row>
    <row r="3843" spans="2:2">
      <c r="B3843" s="36"/>
    </row>
    <row r="3844" spans="2:2">
      <c r="B3844" s="36"/>
    </row>
    <row r="3845" spans="2:2">
      <c r="B3845" s="36"/>
    </row>
    <row r="3846" spans="2:2">
      <c r="B3846" s="36"/>
    </row>
    <row r="3847" spans="2:2">
      <c r="B3847" s="36"/>
    </row>
    <row r="3848" spans="2:2">
      <c r="B3848" s="36"/>
    </row>
    <row r="3849" spans="2:2">
      <c r="B3849" s="36"/>
    </row>
    <row r="3850" spans="2:2">
      <c r="B3850" s="36"/>
    </row>
    <row r="3851" spans="2:2">
      <c r="B3851" s="36"/>
    </row>
    <row r="3852" spans="2:2">
      <c r="B3852" s="36"/>
    </row>
    <row r="3853" spans="2:2">
      <c r="B3853" s="36"/>
    </row>
    <row r="3854" spans="2:2">
      <c r="B3854" s="36"/>
    </row>
    <row r="3855" spans="2:2">
      <c r="B3855" s="36"/>
    </row>
    <row r="3856" spans="2:2">
      <c r="B3856" s="36"/>
    </row>
    <row r="3857" spans="2:2">
      <c r="B3857" s="36"/>
    </row>
    <row r="3858" spans="2:2">
      <c r="B3858" s="36"/>
    </row>
    <row r="3859" spans="2:2">
      <c r="B3859" s="36"/>
    </row>
    <row r="3860" spans="2:2">
      <c r="B3860" s="36"/>
    </row>
    <row r="3861" spans="2:2">
      <c r="B3861" s="36"/>
    </row>
    <row r="3862" spans="2:2">
      <c r="B3862" s="36"/>
    </row>
    <row r="3863" spans="2:2">
      <c r="B3863" s="36"/>
    </row>
    <row r="3864" spans="2:2">
      <c r="B3864" s="36"/>
    </row>
    <row r="3865" spans="2:2">
      <c r="B3865" s="36"/>
    </row>
    <row r="3866" spans="2:2">
      <c r="B3866" s="36"/>
    </row>
    <row r="3867" spans="2:2">
      <c r="B3867" s="36"/>
    </row>
    <row r="3868" spans="2:2">
      <c r="B3868" s="36"/>
    </row>
    <row r="3869" spans="2:2">
      <c r="B3869" s="36"/>
    </row>
    <row r="3870" spans="2:2">
      <c r="B3870" s="36"/>
    </row>
    <row r="3871" spans="2:2">
      <c r="B3871" s="36"/>
    </row>
    <row r="3872" spans="2:2">
      <c r="B3872" s="36"/>
    </row>
    <row r="3873" spans="2:2">
      <c r="B3873" s="36"/>
    </row>
    <row r="3874" spans="2:2">
      <c r="B3874" s="36"/>
    </row>
    <row r="3875" spans="2:2">
      <c r="B3875" s="36"/>
    </row>
    <row r="3876" spans="2:2">
      <c r="B3876" s="36"/>
    </row>
    <row r="3877" spans="2:2">
      <c r="B3877" s="36"/>
    </row>
    <row r="3878" spans="2:2">
      <c r="B3878" s="36"/>
    </row>
    <row r="3879" spans="2:2">
      <c r="B3879" s="36"/>
    </row>
    <row r="3880" spans="2:2">
      <c r="B3880" s="36"/>
    </row>
    <row r="3881" spans="2:2">
      <c r="B3881" s="36"/>
    </row>
    <row r="3882" spans="2:2">
      <c r="B3882" s="36"/>
    </row>
    <row r="3883" spans="2:2">
      <c r="B3883" s="36"/>
    </row>
    <row r="3884" spans="2:2">
      <c r="B3884" s="36"/>
    </row>
    <row r="3885" spans="2:2">
      <c r="B3885" s="36"/>
    </row>
    <row r="3886" spans="2:2">
      <c r="B3886" s="36"/>
    </row>
    <row r="3887" spans="2:2">
      <c r="B3887" s="36"/>
    </row>
    <row r="3888" spans="2:2">
      <c r="B3888" s="36"/>
    </row>
    <row r="3889" spans="2:2">
      <c r="B3889" s="36"/>
    </row>
    <row r="3890" spans="2:2">
      <c r="B3890" s="36"/>
    </row>
    <row r="3891" spans="2:2">
      <c r="B3891" s="36"/>
    </row>
    <row r="3892" spans="2:2">
      <c r="B3892" s="36"/>
    </row>
    <row r="3893" spans="2:2">
      <c r="B3893" s="36"/>
    </row>
    <row r="3894" spans="2:2">
      <c r="B3894" s="36"/>
    </row>
    <row r="3895" spans="2:2">
      <c r="B3895" s="36"/>
    </row>
    <row r="3896" spans="2:2">
      <c r="B3896" s="36"/>
    </row>
    <row r="3897" spans="2:2">
      <c r="B3897" s="36"/>
    </row>
    <row r="3898" spans="2:2">
      <c r="B3898" s="36"/>
    </row>
    <row r="3899" spans="2:2">
      <c r="B3899" s="36"/>
    </row>
    <row r="3900" spans="2:2">
      <c r="B3900" s="36"/>
    </row>
    <row r="3901" spans="2:2">
      <c r="B3901" s="36"/>
    </row>
    <row r="3902" spans="2:2">
      <c r="B3902" s="36"/>
    </row>
    <row r="3903" spans="2:2">
      <c r="B3903" s="36"/>
    </row>
    <row r="3904" spans="2:2">
      <c r="B3904" s="36"/>
    </row>
    <row r="3905" spans="2:2">
      <c r="B3905" s="36"/>
    </row>
    <row r="3906" spans="2:2">
      <c r="B3906" s="36"/>
    </row>
    <row r="3907" spans="2:2">
      <c r="B3907" s="36"/>
    </row>
    <row r="3908" spans="2:2">
      <c r="B3908" s="36"/>
    </row>
    <row r="3909" spans="2:2">
      <c r="B3909" s="36"/>
    </row>
    <row r="3910" spans="2:2">
      <c r="B3910" s="36"/>
    </row>
    <row r="3911" spans="2:2">
      <c r="B3911" s="36"/>
    </row>
    <row r="3912" spans="2:2">
      <c r="B3912" s="36"/>
    </row>
    <row r="3913" spans="2:2">
      <c r="B3913" s="36"/>
    </row>
    <row r="3914" spans="2:2">
      <c r="B3914" s="36"/>
    </row>
    <row r="3915" spans="2:2">
      <c r="B3915" s="36"/>
    </row>
    <row r="3916" spans="2:2">
      <c r="B3916" s="36"/>
    </row>
    <row r="3917" spans="2:2">
      <c r="B3917" s="36"/>
    </row>
    <row r="3918" spans="2:2">
      <c r="B3918" s="36"/>
    </row>
    <row r="3919" spans="2:2">
      <c r="B3919" s="36"/>
    </row>
    <row r="3920" spans="2:2">
      <c r="B3920" s="36"/>
    </row>
    <row r="3921" spans="2:2">
      <c r="B3921" s="36"/>
    </row>
    <row r="3922" spans="2:2">
      <c r="B3922" s="36"/>
    </row>
    <row r="3923" spans="2:2">
      <c r="B3923" s="36"/>
    </row>
    <row r="3924" spans="2:2">
      <c r="B3924" s="36"/>
    </row>
    <row r="3925" spans="2:2">
      <c r="B3925" s="36"/>
    </row>
    <row r="3926" spans="2:2">
      <c r="B3926" s="36"/>
    </row>
    <row r="3927" spans="2:2">
      <c r="B3927" s="36"/>
    </row>
    <row r="3928" spans="2:2">
      <c r="B3928" s="36"/>
    </row>
    <row r="3929" spans="2:2">
      <c r="B3929" s="36"/>
    </row>
    <row r="3930" spans="2:2">
      <c r="B3930" s="36"/>
    </row>
    <row r="3931" spans="2:2">
      <c r="B3931" s="36"/>
    </row>
    <row r="3932" spans="2:2">
      <c r="B3932" s="36"/>
    </row>
    <row r="3933" spans="2:2">
      <c r="B3933" s="36"/>
    </row>
    <row r="3934" spans="2:2">
      <c r="B3934" s="36"/>
    </row>
    <row r="3935" spans="2:2">
      <c r="B3935" s="36"/>
    </row>
    <row r="3936" spans="2:2">
      <c r="B3936" s="36"/>
    </row>
    <row r="3937" spans="2:2">
      <c r="B3937" s="36"/>
    </row>
    <row r="3938" spans="2:2">
      <c r="B3938" s="36"/>
    </row>
    <row r="3939" spans="2:2">
      <c r="B3939" s="36"/>
    </row>
    <row r="3940" spans="2:2">
      <c r="B3940" s="36"/>
    </row>
    <row r="3941" spans="2:2">
      <c r="B3941" s="36"/>
    </row>
    <row r="3942" spans="2:2">
      <c r="B3942" s="36"/>
    </row>
    <row r="3943" spans="2:2">
      <c r="B3943" s="36"/>
    </row>
    <row r="3944" spans="2:2">
      <c r="B3944" s="36"/>
    </row>
    <row r="3945" spans="2:2">
      <c r="B3945" s="36"/>
    </row>
    <row r="3946" spans="2:2">
      <c r="B3946" s="36"/>
    </row>
    <row r="3947" spans="2:2">
      <c r="B3947" s="36"/>
    </row>
    <row r="3948" spans="2:2">
      <c r="B3948" s="36"/>
    </row>
    <row r="3949" spans="2:2">
      <c r="B3949" s="36"/>
    </row>
    <row r="3950" spans="2:2">
      <c r="B3950" s="36"/>
    </row>
    <row r="3951" spans="2:2">
      <c r="B3951" s="36"/>
    </row>
    <row r="3952" spans="2:2">
      <c r="B3952" s="36"/>
    </row>
    <row r="3953" spans="2:2">
      <c r="B3953" s="36"/>
    </row>
    <row r="3954" spans="2:2">
      <c r="B3954" s="36"/>
    </row>
    <row r="3955" spans="2:2">
      <c r="B3955" s="36"/>
    </row>
    <row r="3956" spans="2:2">
      <c r="B3956" s="36"/>
    </row>
    <row r="3957" spans="2:2">
      <c r="B3957" s="36"/>
    </row>
    <row r="3958" spans="2:2">
      <c r="B3958" s="36"/>
    </row>
    <row r="3959" spans="2:2">
      <c r="B3959" s="36"/>
    </row>
    <row r="3960" spans="2:2">
      <c r="B3960" s="36"/>
    </row>
    <row r="3961" spans="2:2">
      <c r="B3961" s="36"/>
    </row>
    <row r="3962" spans="2:2">
      <c r="B3962" s="36"/>
    </row>
    <row r="3963" spans="2:2">
      <c r="B3963" s="36"/>
    </row>
    <row r="3964" spans="2:2">
      <c r="B3964" s="36"/>
    </row>
    <row r="3965" spans="2:2">
      <c r="B3965" s="36"/>
    </row>
    <row r="3966" spans="2:2">
      <c r="B3966" s="36"/>
    </row>
    <row r="3967" spans="2:2">
      <c r="B3967" s="36"/>
    </row>
    <row r="3968" spans="2:2">
      <c r="B3968" s="36"/>
    </row>
    <row r="3969" spans="2:2">
      <c r="B3969" s="36"/>
    </row>
    <row r="3970" spans="2:2">
      <c r="B3970" s="36"/>
    </row>
    <row r="3971" spans="2:2">
      <c r="B3971" s="36"/>
    </row>
    <row r="3972" spans="2:2">
      <c r="B3972" s="36"/>
    </row>
    <row r="3973" spans="2:2">
      <c r="B3973" s="36"/>
    </row>
    <row r="3974" spans="2:2">
      <c r="B3974" s="36"/>
    </row>
    <row r="3975" spans="2:2">
      <c r="B3975" s="36"/>
    </row>
    <row r="3976" spans="2:2">
      <c r="B3976" s="36"/>
    </row>
    <row r="3977" spans="2:2">
      <c r="B3977" s="36"/>
    </row>
    <row r="3978" spans="2:2">
      <c r="B3978" s="36"/>
    </row>
    <row r="3979" spans="2:2">
      <c r="B3979" s="36"/>
    </row>
    <row r="3980" spans="2:2">
      <c r="B3980" s="36"/>
    </row>
    <row r="3981" spans="2:2">
      <c r="B3981" s="36"/>
    </row>
    <row r="3982" spans="2:2">
      <c r="B3982" s="36"/>
    </row>
    <row r="3983" spans="2:2">
      <c r="B3983" s="36"/>
    </row>
    <row r="3984" spans="2:2">
      <c r="B3984" s="36"/>
    </row>
    <row r="3985" spans="2:2">
      <c r="B3985" s="36"/>
    </row>
    <row r="3986" spans="2:2">
      <c r="B3986" s="36"/>
    </row>
    <row r="3987" spans="2:2">
      <c r="B3987" s="36"/>
    </row>
    <row r="3988" spans="2:2">
      <c r="B3988" s="36"/>
    </row>
    <row r="3989" spans="2:2">
      <c r="B3989" s="36"/>
    </row>
    <row r="3990" spans="2:2">
      <c r="B3990" s="36"/>
    </row>
    <row r="3991" spans="2:2">
      <c r="B3991" s="36"/>
    </row>
    <row r="3992" spans="2:2">
      <c r="B3992" s="36"/>
    </row>
    <row r="3993" spans="2:2">
      <c r="B3993" s="36"/>
    </row>
    <row r="3994" spans="2:2">
      <c r="B3994" s="36"/>
    </row>
    <row r="3995" spans="2:2">
      <c r="B3995" s="36"/>
    </row>
    <row r="3996" spans="2:2">
      <c r="B3996" s="36"/>
    </row>
    <row r="3997" spans="2:2">
      <c r="B3997" s="36"/>
    </row>
    <row r="3998" spans="2:2">
      <c r="B3998" s="36"/>
    </row>
    <row r="3999" spans="2:2">
      <c r="B3999" s="36"/>
    </row>
    <row r="4000" spans="2:2">
      <c r="B4000" s="36"/>
    </row>
    <row r="4001" spans="2:2">
      <c r="B4001" s="36"/>
    </row>
    <row r="4002" spans="2:2">
      <c r="B4002" s="36"/>
    </row>
    <row r="4003" spans="2:2">
      <c r="B4003" s="36"/>
    </row>
    <row r="4004" spans="2:2">
      <c r="B4004" s="36"/>
    </row>
    <row r="4005" spans="2:2">
      <c r="B4005" s="36"/>
    </row>
    <row r="4006" spans="2:2">
      <c r="B4006" s="36"/>
    </row>
    <row r="4007" spans="2:2">
      <c r="B4007" s="36"/>
    </row>
    <row r="4008" spans="2:2">
      <c r="B4008" s="36"/>
    </row>
    <row r="4009" spans="2:2">
      <c r="B4009" s="36"/>
    </row>
    <row r="4010" spans="2:2">
      <c r="B4010" s="36"/>
    </row>
    <row r="4011" spans="2:2">
      <c r="B4011" s="36"/>
    </row>
    <row r="4012" spans="2:2">
      <c r="B4012" s="36"/>
    </row>
    <row r="4013" spans="2:2">
      <c r="B4013" s="36"/>
    </row>
    <row r="4014" spans="2:2">
      <c r="B4014" s="36"/>
    </row>
    <row r="4015" spans="2:2">
      <c r="B4015" s="36"/>
    </row>
    <row r="4016" spans="2:2">
      <c r="B4016" s="36"/>
    </row>
    <row r="4017" spans="2:2">
      <c r="B4017" s="36"/>
    </row>
    <row r="4018" spans="2:2">
      <c r="B4018" s="36"/>
    </row>
    <row r="4019" spans="2:2">
      <c r="B4019" s="36"/>
    </row>
    <row r="4020" spans="2:2">
      <c r="B4020" s="36"/>
    </row>
    <row r="4021" spans="2:2">
      <c r="B4021" s="36"/>
    </row>
    <row r="4022" spans="2:2">
      <c r="B4022" s="36"/>
    </row>
    <row r="4023" spans="2:2">
      <c r="B4023" s="36"/>
    </row>
    <row r="4024" spans="2:2">
      <c r="B4024" s="36"/>
    </row>
    <row r="4025" spans="2:2">
      <c r="B4025" s="36"/>
    </row>
    <row r="4026" spans="2:2">
      <c r="B4026" s="36"/>
    </row>
    <row r="4027" spans="2:2">
      <c r="B4027" s="36"/>
    </row>
    <row r="4028" spans="2:2">
      <c r="B4028" s="36"/>
    </row>
    <row r="4029" spans="2:2">
      <c r="B4029" s="36"/>
    </row>
    <row r="4030" spans="2:2">
      <c r="B4030" s="36"/>
    </row>
    <row r="4031" spans="2:2">
      <c r="B4031" s="36"/>
    </row>
    <row r="4032" spans="2:2">
      <c r="B4032" s="36"/>
    </row>
    <row r="4033" spans="2:2">
      <c r="B4033" s="36"/>
    </row>
    <row r="4034" spans="2:2">
      <c r="B4034" s="36"/>
    </row>
    <row r="4035" spans="2:2">
      <c r="B4035" s="36"/>
    </row>
    <row r="4036" spans="2:2">
      <c r="B4036" s="36"/>
    </row>
    <row r="4037" spans="2:2">
      <c r="B4037" s="36"/>
    </row>
    <row r="4038" spans="2:2">
      <c r="B4038" s="36"/>
    </row>
    <row r="4039" spans="2:2">
      <c r="B4039" s="36"/>
    </row>
    <row r="4040" spans="2:2">
      <c r="B4040" s="36"/>
    </row>
    <row r="4041" spans="2:2">
      <c r="B4041" s="36"/>
    </row>
    <row r="4042" spans="2:2">
      <c r="B4042" s="36"/>
    </row>
    <row r="4043" spans="2:2">
      <c r="B4043" s="36"/>
    </row>
    <row r="4044" spans="2:2">
      <c r="B4044" s="36"/>
    </row>
    <row r="4045" spans="2:2">
      <c r="B4045" s="36"/>
    </row>
    <row r="4046" spans="2:2">
      <c r="B4046" s="36"/>
    </row>
    <row r="4047" spans="2:2">
      <c r="B4047" s="36"/>
    </row>
    <row r="4048" spans="2:2">
      <c r="B4048" s="36"/>
    </row>
    <row r="4049" spans="2:2">
      <c r="B4049" s="36"/>
    </row>
    <row r="4050" spans="2:2">
      <c r="B4050" s="36"/>
    </row>
    <row r="4051" spans="2:2">
      <c r="B4051" s="36"/>
    </row>
    <row r="4052" spans="2:2">
      <c r="B4052" s="36"/>
    </row>
    <row r="4053" spans="2:2">
      <c r="B4053" s="36"/>
    </row>
    <row r="4054" spans="2:2">
      <c r="B4054" s="36"/>
    </row>
    <row r="4055" spans="2:2">
      <c r="B4055" s="36"/>
    </row>
    <row r="4056" spans="2:2">
      <c r="B4056" s="36"/>
    </row>
    <row r="4057" spans="2:2">
      <c r="B4057" s="36"/>
    </row>
    <row r="4058" spans="2:2">
      <c r="B4058" s="36"/>
    </row>
    <row r="4059" spans="2:2">
      <c r="B4059" s="36"/>
    </row>
    <row r="4060" spans="2:2">
      <c r="B4060" s="36"/>
    </row>
    <row r="4061" spans="2:2">
      <c r="B4061" s="36"/>
    </row>
    <row r="4062" spans="2:2">
      <c r="B4062" s="36"/>
    </row>
    <row r="4063" spans="2:2">
      <c r="B4063" s="36"/>
    </row>
    <row r="4064" spans="2:2">
      <c r="B4064" s="36"/>
    </row>
    <row r="4065" spans="2:2">
      <c r="B4065" s="36"/>
    </row>
    <row r="4066" spans="2:2">
      <c r="B4066" s="36"/>
    </row>
    <row r="4067" spans="2:2">
      <c r="B4067" s="36"/>
    </row>
    <row r="4068" spans="2:2">
      <c r="B4068" s="36"/>
    </row>
    <row r="4069" spans="2:2">
      <c r="B4069" s="36"/>
    </row>
    <row r="4070" spans="2:2">
      <c r="B4070" s="36"/>
    </row>
    <row r="4071" spans="2:2">
      <c r="B4071" s="36"/>
    </row>
    <row r="4072" spans="2:2">
      <c r="B4072" s="36"/>
    </row>
    <row r="4073" spans="2:2">
      <c r="B4073" s="36"/>
    </row>
    <row r="4074" spans="2:2">
      <c r="B4074" s="36"/>
    </row>
    <row r="4075" spans="2:2">
      <c r="B4075" s="36"/>
    </row>
    <row r="4076" spans="2:2">
      <c r="B4076" s="36"/>
    </row>
    <row r="4077" spans="2:2">
      <c r="B4077" s="36"/>
    </row>
    <row r="4078" spans="2:2">
      <c r="B4078" s="36"/>
    </row>
    <row r="4079" spans="2:2">
      <c r="B4079" s="36"/>
    </row>
    <row r="4080" spans="2:2">
      <c r="B4080" s="36"/>
    </row>
    <row r="4081" spans="2:2">
      <c r="B4081" s="36"/>
    </row>
    <row r="4082" spans="2:2">
      <c r="B4082" s="36"/>
    </row>
    <row r="4083" spans="2:2">
      <c r="B4083" s="36"/>
    </row>
    <row r="4084" spans="2:2">
      <c r="B4084" s="36"/>
    </row>
    <row r="4085" spans="2:2">
      <c r="B4085" s="36"/>
    </row>
    <row r="4086" spans="2:2">
      <c r="B4086" s="36"/>
    </row>
    <row r="4087" spans="2:2">
      <c r="B4087" s="36"/>
    </row>
    <row r="4088" spans="2:2">
      <c r="B4088" s="36"/>
    </row>
    <row r="4089" spans="2:2">
      <c r="B4089" s="36"/>
    </row>
    <row r="4090" spans="2:2">
      <c r="B4090" s="36"/>
    </row>
    <row r="4091" spans="2:2">
      <c r="B4091" s="36"/>
    </row>
    <row r="4092" spans="2:2">
      <c r="B4092" s="36"/>
    </row>
    <row r="4093" spans="2:2">
      <c r="B4093" s="36"/>
    </row>
    <row r="4094" spans="2:2">
      <c r="B4094" s="36"/>
    </row>
    <row r="4095" spans="2:2">
      <c r="B4095" s="36"/>
    </row>
    <row r="4096" spans="2:2">
      <c r="B4096" s="36"/>
    </row>
    <row r="4097" spans="2:2">
      <c r="B4097" s="36"/>
    </row>
    <row r="4098" spans="2:2">
      <c r="B4098" s="36"/>
    </row>
    <row r="4099" spans="2:2">
      <c r="B4099" s="36"/>
    </row>
    <row r="4100" spans="2:2">
      <c r="B4100" s="36"/>
    </row>
    <row r="4101" spans="2:2">
      <c r="B4101" s="36"/>
    </row>
    <row r="4102" spans="2:2">
      <c r="B4102" s="36"/>
    </row>
    <row r="4103" spans="2:2">
      <c r="B4103" s="36"/>
    </row>
    <row r="4104" spans="2:2">
      <c r="B4104" s="36"/>
    </row>
    <row r="4105" spans="2:2">
      <c r="B4105" s="36"/>
    </row>
    <row r="4106" spans="2:2">
      <c r="B4106" s="36"/>
    </row>
    <row r="4107" spans="2:2">
      <c r="B4107" s="36"/>
    </row>
    <row r="4108" spans="2:2">
      <c r="B4108" s="36"/>
    </row>
    <row r="4109" spans="2:2">
      <c r="B4109" s="36"/>
    </row>
    <row r="4110" spans="2:2">
      <c r="B4110" s="36"/>
    </row>
    <row r="4111" spans="2:2">
      <c r="B4111" s="36"/>
    </row>
    <row r="4112" spans="2:2">
      <c r="B4112" s="36"/>
    </row>
    <row r="4113" spans="2:2">
      <c r="B4113" s="36"/>
    </row>
    <row r="4114" spans="2:2">
      <c r="B4114" s="36"/>
    </row>
    <row r="4115" spans="2:2">
      <c r="B4115" s="36"/>
    </row>
    <row r="4116" spans="2:2">
      <c r="B4116" s="36"/>
    </row>
    <row r="4117" spans="2:2">
      <c r="B4117" s="36"/>
    </row>
    <row r="4118" spans="2:2">
      <c r="B4118" s="36"/>
    </row>
    <row r="4119" spans="2:2">
      <c r="B4119" s="36"/>
    </row>
    <row r="4120" spans="2:2">
      <c r="B4120" s="36"/>
    </row>
    <row r="4121" spans="2:2">
      <c r="B4121" s="36"/>
    </row>
    <row r="4122" spans="2:2">
      <c r="B4122" s="36"/>
    </row>
    <row r="4123" spans="2:2">
      <c r="B4123" s="36"/>
    </row>
    <row r="4124" spans="2:2">
      <c r="B4124" s="36"/>
    </row>
    <row r="4125" spans="2:2">
      <c r="B4125" s="36"/>
    </row>
    <row r="4126" spans="2:2">
      <c r="B4126" s="36"/>
    </row>
    <row r="4127" spans="2:2">
      <c r="B4127" s="36"/>
    </row>
    <row r="4128" spans="2:2">
      <c r="B4128" s="36"/>
    </row>
    <row r="4129" spans="2:2">
      <c r="B4129" s="36"/>
    </row>
    <row r="4130" spans="2:2">
      <c r="B4130" s="36"/>
    </row>
    <row r="4131" spans="2:2">
      <c r="B4131" s="36"/>
    </row>
    <row r="4132" spans="2:2">
      <c r="B4132" s="36"/>
    </row>
    <row r="4133" spans="2:2">
      <c r="B4133" s="36"/>
    </row>
    <row r="4134" spans="2:2">
      <c r="B4134" s="36"/>
    </row>
    <row r="4135" spans="2:2">
      <c r="B4135" s="36"/>
    </row>
    <row r="4136" spans="2:2">
      <c r="B4136" s="36"/>
    </row>
    <row r="4137" spans="2:2">
      <c r="B4137" s="36"/>
    </row>
    <row r="4138" spans="2:2">
      <c r="B4138" s="36"/>
    </row>
    <row r="4139" spans="2:2">
      <c r="B4139" s="36"/>
    </row>
    <row r="4140" spans="2:2">
      <c r="B4140" s="36"/>
    </row>
    <row r="4141" spans="2:2">
      <c r="B4141" s="36"/>
    </row>
    <row r="4142" spans="2:2">
      <c r="B4142" s="36"/>
    </row>
    <row r="4143" spans="2:2">
      <c r="B4143" s="36"/>
    </row>
    <row r="4144" spans="2:2">
      <c r="B4144" s="36"/>
    </row>
    <row r="4145" spans="2:2">
      <c r="B4145" s="36"/>
    </row>
    <row r="4146" spans="2:2">
      <c r="B4146" s="36"/>
    </row>
    <row r="4147" spans="2:2">
      <c r="B4147" s="36"/>
    </row>
    <row r="4148" spans="2:2">
      <c r="B4148" s="36"/>
    </row>
    <row r="4149" spans="2:2">
      <c r="B4149" s="36"/>
    </row>
    <row r="4150" spans="2:2">
      <c r="B4150" s="36"/>
    </row>
    <row r="4151" spans="2:2">
      <c r="B4151" s="36"/>
    </row>
    <row r="4152" spans="2:2">
      <c r="B4152" s="36"/>
    </row>
    <row r="4153" spans="2:2">
      <c r="B4153" s="36"/>
    </row>
    <row r="4154" spans="2:2">
      <c r="B4154" s="36"/>
    </row>
    <row r="4155" spans="2:2">
      <c r="B4155" s="36"/>
    </row>
    <row r="4156" spans="2:2">
      <c r="B4156" s="36"/>
    </row>
    <row r="4157" spans="2:2">
      <c r="B4157" s="36"/>
    </row>
    <row r="4158" spans="2:2">
      <c r="B4158" s="36"/>
    </row>
    <row r="4159" spans="2:2">
      <c r="B4159" s="36"/>
    </row>
    <row r="4160" spans="2:2">
      <c r="B4160" s="36"/>
    </row>
    <row r="4161" spans="2:2">
      <c r="B4161" s="36"/>
    </row>
    <row r="4162" spans="2:2">
      <c r="B4162" s="36"/>
    </row>
    <row r="4163" spans="2:2">
      <c r="B4163" s="36"/>
    </row>
    <row r="4164" spans="2:2">
      <c r="B4164" s="36"/>
    </row>
    <row r="4165" spans="2:2">
      <c r="B4165" s="36"/>
    </row>
    <row r="4166" spans="2:2">
      <c r="B4166" s="36"/>
    </row>
    <row r="4167" spans="2:2">
      <c r="B4167" s="36"/>
    </row>
    <row r="4168" spans="2:2">
      <c r="B4168" s="36"/>
    </row>
    <row r="4169" spans="2:2">
      <c r="B4169" s="36"/>
    </row>
    <row r="4170" spans="2:2">
      <c r="B4170" s="36"/>
    </row>
    <row r="4171" spans="2:2">
      <c r="B4171" s="36"/>
    </row>
    <row r="4172" spans="2:2">
      <c r="B4172" s="36"/>
    </row>
    <row r="4173" spans="2:2">
      <c r="B4173" s="36"/>
    </row>
    <row r="4174" spans="2:2">
      <c r="B4174" s="36"/>
    </row>
    <row r="4175" spans="2:2">
      <c r="B4175" s="36"/>
    </row>
    <row r="4176" spans="2:2">
      <c r="B4176" s="36"/>
    </row>
    <row r="4177" spans="2:2">
      <c r="B4177" s="36"/>
    </row>
    <row r="4178" spans="2:2">
      <c r="B4178" s="36"/>
    </row>
    <row r="4179" spans="2:2">
      <c r="B4179" s="36"/>
    </row>
    <row r="4180" spans="2:2">
      <c r="B4180" s="36"/>
    </row>
    <row r="4181" spans="2:2">
      <c r="B4181" s="36"/>
    </row>
    <row r="4182" spans="2:2">
      <c r="B4182" s="36"/>
    </row>
    <row r="4183" spans="2:2">
      <c r="B4183" s="36"/>
    </row>
    <row r="4184" spans="2:2">
      <c r="B4184" s="36"/>
    </row>
    <row r="4185" spans="2:2">
      <c r="B4185" s="36"/>
    </row>
    <row r="4186" spans="2:2">
      <c r="B4186" s="36"/>
    </row>
    <row r="4187" spans="2:2">
      <c r="B4187" s="36"/>
    </row>
    <row r="4188" spans="2:2">
      <c r="B4188" s="36"/>
    </row>
    <row r="4189" spans="2:2">
      <c r="B4189" s="36"/>
    </row>
    <row r="4190" spans="2:2">
      <c r="B4190" s="36"/>
    </row>
    <row r="4191" spans="2:2">
      <c r="B4191" s="36"/>
    </row>
    <row r="4192" spans="2:2">
      <c r="B4192" s="36"/>
    </row>
    <row r="4193" spans="2:2">
      <c r="B4193" s="36"/>
    </row>
    <row r="4194" spans="2:2">
      <c r="B4194" s="36"/>
    </row>
    <row r="4195" spans="2:2">
      <c r="B4195" s="36"/>
    </row>
    <row r="4196" spans="2:2">
      <c r="B4196" s="36"/>
    </row>
    <row r="4197" spans="2:2">
      <c r="B4197" s="36"/>
    </row>
    <row r="4198" spans="2:2">
      <c r="B4198" s="36"/>
    </row>
    <row r="4199" spans="2:2">
      <c r="B4199" s="36"/>
    </row>
    <row r="4200" spans="2:2">
      <c r="B4200" s="36"/>
    </row>
    <row r="4201" spans="2:2">
      <c r="B4201" s="36"/>
    </row>
    <row r="4202" spans="2:2">
      <c r="B4202" s="36"/>
    </row>
    <row r="4203" spans="2:2">
      <c r="B4203" s="36"/>
    </row>
    <row r="4204" spans="2:2">
      <c r="B4204" s="36"/>
    </row>
    <row r="4205" spans="2:2">
      <c r="B4205" s="36"/>
    </row>
    <row r="4206" spans="2:2">
      <c r="B4206" s="36"/>
    </row>
    <row r="4207" spans="2:2">
      <c r="B4207" s="36"/>
    </row>
    <row r="4208" spans="2:2">
      <c r="B4208" s="36"/>
    </row>
    <row r="4209" spans="2:2">
      <c r="B4209" s="36"/>
    </row>
    <row r="4210" spans="2:2">
      <c r="B4210" s="36"/>
    </row>
    <row r="4211" spans="2:2">
      <c r="B4211" s="36"/>
    </row>
    <row r="4212" spans="2:2">
      <c r="B4212" s="36"/>
    </row>
    <row r="4213" spans="2:2">
      <c r="B4213" s="36"/>
    </row>
    <row r="4214" spans="2:2">
      <c r="B4214" s="36"/>
    </row>
    <row r="4215" spans="2:2">
      <c r="B4215" s="36"/>
    </row>
    <row r="4216" spans="2:2">
      <c r="B4216" s="36"/>
    </row>
    <row r="4217" spans="2:2">
      <c r="B4217" s="36"/>
    </row>
    <row r="4218" spans="2:2">
      <c r="B4218" s="36"/>
    </row>
    <row r="4219" spans="2:2">
      <c r="B4219" s="36"/>
    </row>
    <row r="4220" spans="2:2">
      <c r="B4220" s="36"/>
    </row>
    <row r="4221" spans="2:2">
      <c r="B4221" s="36"/>
    </row>
    <row r="4222" spans="2:2">
      <c r="B4222" s="36"/>
    </row>
    <row r="4223" spans="2:2">
      <c r="B4223" s="36"/>
    </row>
    <row r="4224" spans="2:2">
      <c r="B4224" s="36"/>
    </row>
    <row r="4225" spans="2:2">
      <c r="B4225" s="36"/>
    </row>
    <row r="4226" spans="2:2">
      <c r="B4226" s="36"/>
    </row>
    <row r="4227" spans="2:2">
      <c r="B4227" s="36"/>
    </row>
    <row r="4228" spans="2:2">
      <c r="B4228" s="36"/>
    </row>
    <row r="4229" spans="2:2">
      <c r="B4229" s="36"/>
    </row>
    <row r="4230" spans="2:2">
      <c r="B4230" s="36"/>
    </row>
    <row r="4231" spans="2:2">
      <c r="B4231" s="36"/>
    </row>
    <row r="4232" spans="2:2">
      <c r="B4232" s="36"/>
    </row>
    <row r="4233" spans="2:2">
      <c r="B4233" s="36"/>
    </row>
    <row r="4234" spans="2:2">
      <c r="B4234" s="36"/>
    </row>
    <row r="4235" spans="2:2">
      <c r="B4235" s="36"/>
    </row>
    <row r="4236" spans="2:2">
      <c r="B4236" s="36"/>
    </row>
    <row r="4237" spans="2:2">
      <c r="B4237" s="36"/>
    </row>
    <row r="4238" spans="2:2">
      <c r="B4238" s="36"/>
    </row>
    <row r="4239" spans="2:2">
      <c r="B4239" s="36"/>
    </row>
    <row r="4240" spans="2:2">
      <c r="B4240" s="36"/>
    </row>
    <row r="4241" spans="2:2">
      <c r="B4241" s="36"/>
    </row>
    <row r="4242" spans="2:2">
      <c r="B4242" s="36"/>
    </row>
    <row r="4243" spans="2:2">
      <c r="B4243" s="36"/>
    </row>
    <row r="4244" spans="2:2">
      <c r="B4244" s="36"/>
    </row>
    <row r="4245" spans="2:2">
      <c r="B4245" s="36"/>
    </row>
    <row r="4246" spans="2:2">
      <c r="B4246" s="36"/>
    </row>
    <row r="4247" spans="2:2">
      <c r="B4247" s="36"/>
    </row>
    <row r="4248" spans="2:2">
      <c r="B4248" s="36"/>
    </row>
    <row r="4249" spans="2:2">
      <c r="B4249" s="36"/>
    </row>
    <row r="4250" spans="2:2">
      <c r="B4250" s="36"/>
    </row>
    <row r="4251" spans="2:2">
      <c r="B4251" s="36"/>
    </row>
    <row r="4252" spans="2:2">
      <c r="B4252" s="36"/>
    </row>
    <row r="4253" spans="2:2">
      <c r="B4253" s="36"/>
    </row>
    <row r="4254" spans="2:2">
      <c r="B4254" s="36"/>
    </row>
    <row r="4255" spans="2:2">
      <c r="B4255" s="36"/>
    </row>
    <row r="4256" spans="2:2">
      <c r="B4256" s="36"/>
    </row>
    <row r="4257" spans="2:2">
      <c r="B4257" s="36"/>
    </row>
    <row r="4258" spans="2:2">
      <c r="B4258" s="36"/>
    </row>
    <row r="4259" spans="2:2">
      <c r="B4259" s="36"/>
    </row>
    <row r="4260" spans="2:2">
      <c r="B4260" s="36"/>
    </row>
    <row r="4261" spans="2:2">
      <c r="B4261" s="36"/>
    </row>
    <row r="4262" spans="2:2">
      <c r="B4262" s="36"/>
    </row>
    <row r="4263" spans="2:2">
      <c r="B4263" s="36"/>
    </row>
    <row r="4264" spans="2:2">
      <c r="B4264" s="36"/>
    </row>
    <row r="4265" spans="2:2">
      <c r="B4265" s="36"/>
    </row>
    <row r="4266" spans="2:2">
      <c r="B4266" s="36"/>
    </row>
    <row r="4267" spans="2:2">
      <c r="B4267" s="36"/>
    </row>
    <row r="4268" spans="2:2">
      <c r="B4268" s="36"/>
    </row>
    <row r="4269" spans="2:2">
      <c r="B4269" s="36"/>
    </row>
    <row r="4270" spans="2:2">
      <c r="B4270" s="36"/>
    </row>
    <row r="4271" spans="2:2">
      <c r="B4271" s="36"/>
    </row>
    <row r="4272" spans="2:2">
      <c r="B4272" s="36"/>
    </row>
    <row r="4273" spans="2:2">
      <c r="B4273" s="36"/>
    </row>
    <row r="4274" spans="2:2">
      <c r="B4274" s="36"/>
    </row>
    <row r="4275" spans="2:2">
      <c r="B4275" s="36"/>
    </row>
    <row r="4276" spans="2:2">
      <c r="B4276" s="36"/>
    </row>
    <row r="4277" spans="2:2">
      <c r="B4277" s="36"/>
    </row>
    <row r="4278" spans="2:2">
      <c r="B4278" s="36"/>
    </row>
    <row r="4279" spans="2:2">
      <c r="B4279" s="36"/>
    </row>
    <row r="4280" spans="2:2">
      <c r="B4280" s="36"/>
    </row>
    <row r="4281" spans="2:2">
      <c r="B4281" s="36"/>
    </row>
    <row r="4282" spans="2:2">
      <c r="B4282" s="36"/>
    </row>
    <row r="4283" spans="2:2">
      <c r="B4283" s="36"/>
    </row>
    <row r="4284" spans="2:2">
      <c r="B4284" s="36"/>
    </row>
    <row r="4285" spans="2:2">
      <c r="B4285" s="36"/>
    </row>
    <row r="4286" spans="2:2">
      <c r="B4286" s="36"/>
    </row>
    <row r="4287" spans="2:2">
      <c r="B4287" s="36"/>
    </row>
    <row r="4288" spans="2:2">
      <c r="B4288" s="36"/>
    </row>
    <row r="4289" spans="2:2">
      <c r="B4289" s="36"/>
    </row>
    <row r="4290" spans="2:2">
      <c r="B4290" s="36"/>
    </row>
    <row r="4291" spans="2:2">
      <c r="B4291" s="36"/>
    </row>
    <row r="4292" spans="2:2">
      <c r="B4292" s="36"/>
    </row>
    <row r="4293" spans="2:2">
      <c r="B4293" s="36"/>
    </row>
    <row r="4294" spans="2:2">
      <c r="B4294" s="36"/>
    </row>
    <row r="4295" spans="2:2">
      <c r="B4295" s="36"/>
    </row>
    <row r="4296" spans="2:2">
      <c r="B4296" s="36"/>
    </row>
    <row r="4297" spans="2:2">
      <c r="B4297" s="36"/>
    </row>
    <row r="4298" spans="2:2">
      <c r="B4298" s="36"/>
    </row>
    <row r="4299" spans="2:2">
      <c r="B4299" s="36"/>
    </row>
    <row r="4300" spans="2:2">
      <c r="B4300" s="36"/>
    </row>
    <row r="4301" spans="2:2">
      <c r="B4301" s="36"/>
    </row>
    <row r="4302" spans="2:2">
      <c r="B4302" s="36"/>
    </row>
    <row r="4303" spans="2:2">
      <c r="B4303" s="36"/>
    </row>
    <row r="4304" spans="2:2">
      <c r="B4304" s="36"/>
    </row>
    <row r="4305" spans="2:2">
      <c r="B4305" s="36"/>
    </row>
    <row r="4306" spans="2:2">
      <c r="B4306" s="36"/>
    </row>
    <row r="4307" spans="2:2">
      <c r="B4307" s="36"/>
    </row>
    <row r="4308" spans="2:2">
      <c r="B4308" s="36"/>
    </row>
    <row r="4309" spans="2:2">
      <c r="B4309" s="36"/>
    </row>
    <row r="4310" spans="2:2">
      <c r="B4310" s="36"/>
    </row>
    <row r="4311" spans="2:2">
      <c r="B4311" s="36"/>
    </row>
    <row r="4312" spans="2:2">
      <c r="B4312" s="36"/>
    </row>
    <row r="4313" spans="2:2">
      <c r="B4313" s="36"/>
    </row>
    <row r="4314" spans="2:2">
      <c r="B4314" s="36"/>
    </row>
    <row r="4315" spans="2:2">
      <c r="B4315" s="36"/>
    </row>
    <row r="4316" spans="2:2">
      <c r="B4316" s="36"/>
    </row>
    <row r="4317" spans="2:2">
      <c r="B4317" s="36"/>
    </row>
    <row r="4318" spans="2:2">
      <c r="B4318" s="36"/>
    </row>
    <row r="4319" spans="2:2">
      <c r="B4319" s="36"/>
    </row>
    <row r="4320" spans="2:2">
      <c r="B4320" s="36"/>
    </row>
    <row r="4321" spans="2:2">
      <c r="B4321" s="36"/>
    </row>
    <row r="4322" spans="2:2">
      <c r="B4322" s="36"/>
    </row>
    <row r="4323" spans="2:2">
      <c r="B4323" s="36"/>
    </row>
    <row r="4324" spans="2:2">
      <c r="B4324" s="36"/>
    </row>
    <row r="4325" spans="2:2">
      <c r="B4325" s="36"/>
    </row>
    <row r="4326" spans="2:2">
      <c r="B4326" s="36"/>
    </row>
    <row r="4327" spans="2:2">
      <c r="B4327" s="36"/>
    </row>
    <row r="4328" spans="2:2">
      <c r="B4328" s="36"/>
    </row>
    <row r="4329" spans="2:2">
      <c r="B4329" s="36"/>
    </row>
    <row r="4330" spans="2:2">
      <c r="B4330" s="36"/>
    </row>
    <row r="4331" spans="2:2">
      <c r="B4331" s="36"/>
    </row>
    <row r="4332" spans="2:2">
      <c r="B4332" s="36"/>
    </row>
    <row r="4333" spans="2:2">
      <c r="B4333" s="36"/>
    </row>
    <row r="4334" spans="2:2">
      <c r="B4334" s="36"/>
    </row>
    <row r="4335" spans="2:2">
      <c r="B4335" s="36"/>
    </row>
    <row r="4336" spans="2:2">
      <c r="B4336" s="36"/>
    </row>
    <row r="4337" spans="2:2">
      <c r="B4337" s="36"/>
    </row>
    <row r="4338" spans="2:2">
      <c r="B4338" s="36"/>
    </row>
    <row r="4339" spans="2:2">
      <c r="B4339" s="36"/>
    </row>
    <row r="4340" spans="2:2">
      <c r="B4340" s="36"/>
    </row>
    <row r="4341" spans="2:2">
      <c r="B4341" s="36"/>
    </row>
    <row r="4342" spans="2:2">
      <c r="B4342" s="36"/>
    </row>
    <row r="4343" spans="2:2">
      <c r="B4343" s="36"/>
    </row>
    <row r="4344" spans="2:2">
      <c r="B4344" s="36"/>
    </row>
    <row r="4345" spans="2:2">
      <c r="B4345" s="36"/>
    </row>
    <row r="4346" spans="2:2">
      <c r="B4346" s="36"/>
    </row>
    <row r="4347" spans="2:2">
      <c r="B4347" s="36"/>
    </row>
    <row r="4348" spans="2:2">
      <c r="B4348" s="36"/>
    </row>
    <row r="4349" spans="2:2">
      <c r="B4349" s="36"/>
    </row>
    <row r="4350" spans="2:2">
      <c r="B4350" s="36"/>
    </row>
    <row r="4351" spans="2:2">
      <c r="B4351" s="36"/>
    </row>
    <row r="4352" spans="2:2">
      <c r="B4352" s="36"/>
    </row>
    <row r="4353" spans="2:2">
      <c r="B4353" s="36"/>
    </row>
    <row r="4354" spans="2:2">
      <c r="B4354" s="36"/>
    </row>
    <row r="4355" spans="2:2">
      <c r="B4355" s="36"/>
    </row>
    <row r="4356" spans="2:2">
      <c r="B4356" s="36"/>
    </row>
    <row r="4357" spans="2:2">
      <c r="B4357" s="36"/>
    </row>
    <row r="4358" spans="2:2">
      <c r="B4358" s="36"/>
    </row>
    <row r="4359" spans="2:2">
      <c r="B4359" s="36"/>
    </row>
    <row r="4360" spans="2:2">
      <c r="B4360" s="36"/>
    </row>
    <row r="4361" spans="2:2">
      <c r="B4361" s="36"/>
    </row>
    <row r="4362" spans="2:2">
      <c r="B4362" s="36"/>
    </row>
    <row r="4363" spans="2:2">
      <c r="B4363" s="36"/>
    </row>
    <row r="4364" spans="2:2">
      <c r="B4364" s="36"/>
    </row>
    <row r="4365" spans="2:2">
      <c r="B4365" s="36"/>
    </row>
    <row r="4366" spans="2:2">
      <c r="B4366" s="36"/>
    </row>
    <row r="4367" spans="2:2">
      <c r="B4367" s="36"/>
    </row>
    <row r="4368" spans="2:2">
      <c r="B4368" s="36"/>
    </row>
    <row r="4369" spans="2:2">
      <c r="B4369" s="36"/>
    </row>
    <row r="4370" spans="2:2">
      <c r="B4370" s="36"/>
    </row>
    <row r="4371" spans="2:2">
      <c r="B4371" s="36"/>
    </row>
    <row r="4372" spans="2:2">
      <c r="B4372" s="36"/>
    </row>
    <row r="4373" spans="2:2">
      <c r="B4373" s="36"/>
    </row>
    <row r="4374" spans="2:2">
      <c r="B4374" s="36"/>
    </row>
    <row r="4375" spans="2:2">
      <c r="B4375" s="36"/>
    </row>
    <row r="4376" spans="2:2">
      <c r="B4376" s="36"/>
    </row>
    <row r="4377" spans="2:2">
      <c r="B4377" s="36"/>
    </row>
    <row r="4378" spans="2:2">
      <c r="B4378" s="36"/>
    </row>
    <row r="4379" spans="2:2">
      <c r="B4379" s="36"/>
    </row>
    <row r="4380" spans="2:2">
      <c r="B4380" s="36"/>
    </row>
    <row r="4381" spans="2:2">
      <c r="B4381" s="36"/>
    </row>
    <row r="4382" spans="2:2">
      <c r="B4382" s="36"/>
    </row>
    <row r="4383" spans="2:2">
      <c r="B4383" s="36"/>
    </row>
    <row r="4384" spans="2:2">
      <c r="B4384" s="36"/>
    </row>
    <row r="4385" spans="2:2">
      <c r="B4385" s="36"/>
    </row>
    <row r="4386" spans="2:2">
      <c r="B4386" s="36"/>
    </row>
    <row r="4387" spans="2:2">
      <c r="B4387" s="36"/>
    </row>
    <row r="4388" spans="2:2">
      <c r="B4388" s="36"/>
    </row>
    <row r="4389" spans="2:2">
      <c r="B4389" s="36"/>
    </row>
    <row r="4390" spans="2:2">
      <c r="B4390" s="36"/>
    </row>
    <row r="4391" spans="2:2">
      <c r="B4391" s="36"/>
    </row>
    <row r="4392" spans="2:2">
      <c r="B4392" s="36"/>
    </row>
    <row r="4393" spans="2:2">
      <c r="B4393" s="36"/>
    </row>
    <row r="4394" spans="2:2">
      <c r="B4394" s="36"/>
    </row>
    <row r="4395" spans="2:2">
      <c r="B4395" s="36"/>
    </row>
    <row r="4396" spans="2:2">
      <c r="B4396" s="36"/>
    </row>
    <row r="4397" spans="2:2">
      <c r="B4397" s="36"/>
    </row>
    <row r="4398" spans="2:2">
      <c r="B4398" s="36"/>
    </row>
    <row r="4399" spans="2:2">
      <c r="B4399" s="36"/>
    </row>
    <row r="4400" spans="2:2">
      <c r="B4400" s="36"/>
    </row>
    <row r="4401" spans="2:2">
      <c r="B4401" s="36"/>
    </row>
    <row r="4402" spans="2:2">
      <c r="B4402" s="36"/>
    </row>
    <row r="4403" spans="2:2">
      <c r="B4403" s="36"/>
    </row>
    <row r="4404" spans="2:2">
      <c r="B4404" s="36"/>
    </row>
    <row r="4405" spans="2:2">
      <c r="B4405" s="36"/>
    </row>
    <row r="4406" spans="2:2">
      <c r="B4406" s="36"/>
    </row>
    <row r="4407" spans="2:2">
      <c r="B4407" s="36"/>
    </row>
    <row r="4408" spans="2:2">
      <c r="B4408" s="36"/>
    </row>
    <row r="4409" spans="2:2">
      <c r="B4409" s="36"/>
    </row>
    <row r="4410" spans="2:2">
      <c r="B4410" s="36"/>
    </row>
    <row r="4411" spans="2:2">
      <c r="B4411" s="36"/>
    </row>
    <row r="4412" spans="2:2">
      <c r="B4412" s="36"/>
    </row>
    <row r="4413" spans="2:2">
      <c r="B4413" s="36"/>
    </row>
    <row r="4414" spans="2:2">
      <c r="B4414" s="36"/>
    </row>
    <row r="4415" spans="2:2">
      <c r="B4415" s="36"/>
    </row>
    <row r="4416" spans="2:2">
      <c r="B4416" s="36"/>
    </row>
    <row r="4417" spans="2:2">
      <c r="B4417" s="36"/>
    </row>
    <row r="4418" spans="2:2">
      <c r="B4418" s="36"/>
    </row>
    <row r="4419" spans="2:2">
      <c r="B4419" s="36"/>
    </row>
    <row r="4420" spans="2:2">
      <c r="B4420" s="36"/>
    </row>
    <row r="4421" spans="2:2">
      <c r="B4421" s="36"/>
    </row>
    <row r="4422" spans="2:2">
      <c r="B4422" s="36"/>
    </row>
    <row r="4423" spans="2:2">
      <c r="B4423" s="36"/>
    </row>
    <row r="4424" spans="2:2">
      <c r="B4424" s="36"/>
    </row>
    <row r="4425" spans="2:2">
      <c r="B4425" s="36"/>
    </row>
    <row r="4426" spans="2:2">
      <c r="B4426" s="36"/>
    </row>
    <row r="4427" spans="2:2">
      <c r="B4427" s="36"/>
    </row>
    <row r="4428" spans="2:2">
      <c r="B4428" s="36"/>
    </row>
    <row r="4429" spans="2:2">
      <c r="B4429" s="36"/>
    </row>
    <row r="4430" spans="2:2">
      <c r="B4430" s="36"/>
    </row>
    <row r="4431" spans="2:2">
      <c r="B4431" s="36"/>
    </row>
    <row r="4432" spans="2:2">
      <c r="B4432" s="36"/>
    </row>
    <row r="4433" spans="2:2">
      <c r="B4433" s="36"/>
    </row>
    <row r="4434" spans="2:2">
      <c r="B4434" s="36"/>
    </row>
    <row r="4435" spans="2:2">
      <c r="B4435" s="36"/>
    </row>
    <row r="4436" spans="2:2">
      <c r="B4436" s="36"/>
    </row>
    <row r="4437" spans="2:2">
      <c r="B4437" s="36"/>
    </row>
    <row r="4438" spans="2:2">
      <c r="B4438" s="36"/>
    </row>
    <row r="4439" spans="2:2">
      <c r="B4439" s="36"/>
    </row>
    <row r="4440" spans="2:2">
      <c r="B4440" s="36"/>
    </row>
    <row r="4441" spans="2:2">
      <c r="B4441" s="36"/>
    </row>
    <row r="4442" spans="2:2">
      <c r="B4442" s="36"/>
    </row>
    <row r="4443" spans="2:2">
      <c r="B4443" s="36"/>
    </row>
    <row r="4444" spans="2:2">
      <c r="B4444" s="36"/>
    </row>
    <row r="4445" spans="2:2">
      <c r="B4445" s="36"/>
    </row>
    <row r="4446" spans="2:2">
      <c r="B4446" s="36"/>
    </row>
    <row r="4447" spans="2:2">
      <c r="B4447" s="36"/>
    </row>
    <row r="4448" spans="2:2">
      <c r="B4448" s="36"/>
    </row>
    <row r="4449" spans="2:2">
      <c r="B4449" s="36"/>
    </row>
    <row r="4450" spans="2:2">
      <c r="B4450" s="36"/>
    </row>
    <row r="4451" spans="2:2">
      <c r="B4451" s="36"/>
    </row>
    <row r="4452" spans="2:2">
      <c r="B4452" s="36"/>
    </row>
    <row r="4453" spans="2:2">
      <c r="B4453" s="36"/>
    </row>
    <row r="4454" spans="2:2">
      <c r="B4454" s="36"/>
    </row>
    <row r="4455" spans="2:2">
      <c r="B4455" s="36"/>
    </row>
    <row r="4456" spans="2:2">
      <c r="B4456" s="36"/>
    </row>
    <row r="4457" spans="2:2">
      <c r="B4457" s="36"/>
    </row>
    <row r="4458" spans="2:2">
      <c r="B4458" s="36"/>
    </row>
    <row r="4459" spans="2:2">
      <c r="B4459" s="36"/>
    </row>
    <row r="4460" spans="2:2">
      <c r="B4460" s="36"/>
    </row>
    <row r="4461" spans="2:2">
      <c r="B4461" s="36"/>
    </row>
    <row r="4462" spans="2:2">
      <c r="B4462" s="36"/>
    </row>
    <row r="4463" spans="2:2">
      <c r="B4463" s="36"/>
    </row>
    <row r="4464" spans="2:2">
      <c r="B4464" s="36"/>
    </row>
    <row r="4465" spans="2:2">
      <c r="B4465" s="36"/>
    </row>
    <row r="4466" spans="2:2">
      <c r="B4466" s="36"/>
    </row>
    <row r="4467" spans="2:2">
      <c r="B4467" s="36"/>
    </row>
    <row r="4468" spans="2:2">
      <c r="B4468" s="36"/>
    </row>
    <row r="4469" spans="2:2">
      <c r="B4469" s="36"/>
    </row>
    <row r="4470" spans="2:2">
      <c r="B4470" s="36"/>
    </row>
    <row r="4471" spans="2:2">
      <c r="B4471" s="36"/>
    </row>
    <row r="4472" spans="2:2">
      <c r="B4472" s="36"/>
    </row>
    <row r="4473" spans="2:2">
      <c r="B4473" s="36"/>
    </row>
    <row r="4474" spans="2:2">
      <c r="B4474" s="36"/>
    </row>
    <row r="4475" spans="2:2">
      <c r="B4475" s="36"/>
    </row>
    <row r="4476" spans="2:2">
      <c r="B4476" s="36"/>
    </row>
    <row r="4477" spans="2:2">
      <c r="B4477" s="36"/>
    </row>
    <row r="4478" spans="2:2">
      <c r="B4478" s="36"/>
    </row>
    <row r="4479" spans="2:2">
      <c r="B4479" s="36"/>
    </row>
    <row r="4480" spans="2:2">
      <c r="B4480" s="36"/>
    </row>
    <row r="4481" spans="2:2">
      <c r="B4481" s="36"/>
    </row>
    <row r="4482" spans="2:2">
      <c r="B4482" s="36"/>
    </row>
    <row r="4483" spans="2:2">
      <c r="B4483" s="36"/>
    </row>
    <row r="4484" spans="2:2">
      <c r="B4484" s="36"/>
    </row>
    <row r="4485" spans="2:2">
      <c r="B4485" s="36"/>
    </row>
    <row r="4486" spans="2:2">
      <c r="B4486" s="36"/>
    </row>
    <row r="4487" spans="2:2">
      <c r="B4487" s="36"/>
    </row>
    <row r="4488" spans="2:2">
      <c r="B4488" s="36"/>
    </row>
    <row r="4489" spans="2:2">
      <c r="B4489" s="36"/>
    </row>
    <row r="4490" spans="2:2">
      <c r="B4490" s="36"/>
    </row>
    <row r="4491" spans="2:2">
      <c r="B4491" s="36"/>
    </row>
    <row r="4492" spans="2:2">
      <c r="B4492" s="36"/>
    </row>
    <row r="4493" spans="2:2">
      <c r="B4493" s="36"/>
    </row>
    <row r="4494" spans="2:2">
      <c r="B4494" s="36"/>
    </row>
    <row r="4495" spans="2:2">
      <c r="B4495" s="36"/>
    </row>
    <row r="4496" spans="2:2">
      <c r="B4496" s="36"/>
    </row>
    <row r="4497" spans="2:2">
      <c r="B4497" s="36"/>
    </row>
    <row r="4498" spans="2:2">
      <c r="B4498" s="36"/>
    </row>
    <row r="4499" spans="2:2">
      <c r="B4499" s="36"/>
    </row>
    <row r="4500" spans="2:2">
      <c r="B4500" s="36"/>
    </row>
    <row r="4501" spans="2:2">
      <c r="B4501" s="36"/>
    </row>
    <row r="4502" spans="2:2">
      <c r="B4502" s="36"/>
    </row>
    <row r="4503" spans="2:2">
      <c r="B4503" s="36"/>
    </row>
    <row r="4504" spans="2:2">
      <c r="B4504" s="36"/>
    </row>
    <row r="4505" spans="2:2">
      <c r="B4505" s="36"/>
    </row>
    <row r="4506" spans="2:2">
      <c r="B4506" s="36"/>
    </row>
    <row r="4507" spans="2:2">
      <c r="B4507" s="36"/>
    </row>
    <row r="4508" spans="2:2">
      <c r="B4508" s="36"/>
    </row>
    <row r="4509" spans="2:2">
      <c r="B4509" s="36"/>
    </row>
    <row r="4510" spans="2:2">
      <c r="B4510" s="36"/>
    </row>
    <row r="4511" spans="2:2">
      <c r="B4511" s="36"/>
    </row>
    <row r="4512" spans="2:2">
      <c r="B4512" s="36"/>
    </row>
    <row r="4513" spans="2:2">
      <c r="B4513" s="36"/>
    </row>
    <row r="4514" spans="2:2">
      <c r="B4514" s="36"/>
    </row>
    <row r="4515" spans="2:2">
      <c r="B4515" s="36"/>
    </row>
    <row r="4516" spans="2:2">
      <c r="B4516" s="36"/>
    </row>
    <row r="4517" spans="2:2">
      <c r="B4517" s="36"/>
    </row>
    <row r="4518" spans="2:2">
      <c r="B4518" s="36"/>
    </row>
    <row r="4519" spans="2:2">
      <c r="B4519" s="36"/>
    </row>
    <row r="4520" spans="2:2">
      <c r="B4520" s="36"/>
    </row>
    <row r="4521" spans="2:2">
      <c r="B4521" s="36"/>
    </row>
    <row r="4522" spans="2:2">
      <c r="B4522" s="36"/>
    </row>
    <row r="4523" spans="2:2">
      <c r="B4523" s="36"/>
    </row>
    <row r="4524" spans="2:2">
      <c r="B4524" s="36"/>
    </row>
    <row r="4525" spans="2:2">
      <c r="B4525" s="36"/>
    </row>
    <row r="4526" spans="2:2">
      <c r="B4526" s="36"/>
    </row>
    <row r="4527" spans="2:2">
      <c r="B4527" s="36"/>
    </row>
    <row r="4528" spans="2:2">
      <c r="B4528" s="36"/>
    </row>
    <row r="4529" spans="2:2">
      <c r="B4529" s="36"/>
    </row>
    <row r="4530" spans="2:2">
      <c r="B4530" s="36"/>
    </row>
    <row r="4531" spans="2:2">
      <c r="B4531" s="36"/>
    </row>
    <row r="4532" spans="2:2">
      <c r="B4532" s="36"/>
    </row>
    <row r="4533" spans="2:2">
      <c r="B4533" s="36"/>
    </row>
    <row r="4534" spans="2:2">
      <c r="B4534" s="36"/>
    </row>
    <row r="4535" spans="2:2">
      <c r="B4535" s="36"/>
    </row>
    <row r="4536" spans="2:2">
      <c r="B4536" s="36"/>
    </row>
    <row r="4537" spans="2:2">
      <c r="B4537" s="36"/>
    </row>
    <row r="4538" spans="2:2">
      <c r="B4538" s="36"/>
    </row>
    <row r="4539" spans="2:2">
      <c r="B4539" s="36"/>
    </row>
    <row r="4540" spans="2:2">
      <c r="B4540" s="36"/>
    </row>
    <row r="4541" spans="2:2">
      <c r="B4541" s="36"/>
    </row>
    <row r="4542" spans="2:2">
      <c r="B4542" s="36"/>
    </row>
    <row r="4543" spans="2:2">
      <c r="B4543" s="36"/>
    </row>
    <row r="4544" spans="2:2">
      <c r="B4544" s="36"/>
    </row>
    <row r="4545" spans="2:2">
      <c r="B4545" s="36"/>
    </row>
    <row r="4546" spans="2:2">
      <c r="B4546" s="36"/>
    </row>
    <row r="4547" spans="2:2">
      <c r="B4547" s="36"/>
    </row>
    <row r="4548" spans="2:2">
      <c r="B4548" s="36"/>
    </row>
    <row r="4549" spans="2:2">
      <c r="B4549" s="36"/>
    </row>
    <row r="4550" spans="2:2">
      <c r="B4550" s="36"/>
    </row>
    <row r="4551" spans="2:2">
      <c r="B4551" s="36"/>
    </row>
    <row r="4552" spans="2:2">
      <c r="B4552" s="36"/>
    </row>
    <row r="4553" spans="2:2">
      <c r="B4553" s="36"/>
    </row>
    <row r="4554" spans="2:2">
      <c r="B4554" s="36"/>
    </row>
    <row r="4555" spans="2:2">
      <c r="B4555" s="36"/>
    </row>
    <row r="4556" spans="2:2">
      <c r="B4556" s="36"/>
    </row>
    <row r="4557" spans="2:2">
      <c r="B4557" s="36"/>
    </row>
    <row r="4558" spans="2:2">
      <c r="B4558" s="36"/>
    </row>
    <row r="4559" spans="2:2">
      <c r="B4559" s="36"/>
    </row>
    <row r="4560" spans="2:2">
      <c r="B4560" s="36"/>
    </row>
    <row r="4561" spans="2:2">
      <c r="B4561" s="36"/>
    </row>
    <row r="4562" spans="2:2">
      <c r="B4562" s="36"/>
    </row>
    <row r="4563" spans="2:2">
      <c r="B4563" s="36"/>
    </row>
    <row r="4564" spans="2:2">
      <c r="B4564" s="36"/>
    </row>
    <row r="4565" spans="2:2">
      <c r="B4565" s="36"/>
    </row>
    <row r="4566" spans="2:2">
      <c r="B4566" s="36"/>
    </row>
    <row r="4567" spans="2:2">
      <c r="B4567" s="36"/>
    </row>
    <row r="4568" spans="2:2">
      <c r="B4568" s="36"/>
    </row>
    <row r="4569" spans="2:2">
      <c r="B4569" s="36"/>
    </row>
    <row r="4570" spans="2:2">
      <c r="B4570" s="36"/>
    </row>
    <row r="4571" spans="2:2">
      <c r="B4571" s="36"/>
    </row>
    <row r="4572" spans="2:2">
      <c r="B4572" s="36"/>
    </row>
    <row r="4573" spans="2:2">
      <c r="B4573" s="36"/>
    </row>
    <row r="4574" spans="2:2">
      <c r="B4574" s="36"/>
    </row>
    <row r="4575" spans="2:2">
      <c r="B4575" s="36"/>
    </row>
    <row r="4576" spans="2:2">
      <c r="B4576" s="36"/>
    </row>
    <row r="4577" spans="2:2">
      <c r="B4577" s="36"/>
    </row>
    <row r="4578" spans="2:2">
      <c r="B4578" s="36"/>
    </row>
    <row r="4579" spans="2:2">
      <c r="B4579" s="36"/>
    </row>
    <row r="4580" spans="2:2">
      <c r="B4580" s="36"/>
    </row>
    <row r="4581" spans="2:2">
      <c r="B4581" s="36"/>
    </row>
    <row r="4582" spans="2:2">
      <c r="B4582" s="36"/>
    </row>
    <row r="4583" spans="2:2">
      <c r="B4583" s="36"/>
    </row>
    <row r="4584" spans="2:2">
      <c r="B4584" s="36"/>
    </row>
    <row r="4585" spans="2:2">
      <c r="B4585" s="36"/>
    </row>
    <row r="4586" spans="2:2">
      <c r="B4586" s="36"/>
    </row>
    <row r="4587" spans="2:2">
      <c r="B4587" s="36"/>
    </row>
    <row r="4588" spans="2:2">
      <c r="B4588" s="36"/>
    </row>
    <row r="4589" spans="2:2">
      <c r="B4589" s="36"/>
    </row>
    <row r="4590" spans="2:2">
      <c r="B4590" s="36"/>
    </row>
    <row r="4591" spans="2:2">
      <c r="B4591" s="36"/>
    </row>
    <row r="4592" spans="2:2">
      <c r="B4592" s="36"/>
    </row>
    <row r="4593" spans="2:2">
      <c r="B4593" s="36"/>
    </row>
    <row r="4594" spans="2:2">
      <c r="B4594" s="36"/>
    </row>
    <row r="4595" spans="2:2">
      <c r="B4595" s="36"/>
    </row>
    <row r="4596" spans="2:2">
      <c r="B4596" s="36"/>
    </row>
    <row r="4597" spans="2:2">
      <c r="B4597" s="36"/>
    </row>
    <row r="4598" spans="2:2">
      <c r="B4598" s="36"/>
    </row>
    <row r="4599" spans="2:2">
      <c r="B4599" s="36"/>
    </row>
    <row r="4600" spans="2:2">
      <c r="B4600" s="36"/>
    </row>
    <row r="4601" spans="2:2">
      <c r="B4601" s="36"/>
    </row>
    <row r="4602" spans="2:2">
      <c r="B4602" s="36"/>
    </row>
    <row r="4603" spans="2:2">
      <c r="B4603" s="36"/>
    </row>
    <row r="4604" spans="2:2">
      <c r="B4604" s="36"/>
    </row>
    <row r="4605" spans="2:2">
      <c r="B4605" s="36"/>
    </row>
    <row r="4606" spans="2:2">
      <c r="B4606" s="36"/>
    </row>
    <row r="4607" spans="2:2">
      <c r="B4607" s="36"/>
    </row>
    <row r="4608" spans="2:2">
      <c r="B4608" s="36"/>
    </row>
    <row r="4609" spans="2:2">
      <c r="B4609" s="36"/>
    </row>
    <row r="4610" spans="2:2">
      <c r="B4610" s="36"/>
    </row>
    <row r="4611" spans="2:2">
      <c r="B4611" s="36"/>
    </row>
    <row r="4612" spans="2:2">
      <c r="B4612" s="36"/>
    </row>
    <row r="4613" spans="2:2">
      <c r="B4613" s="36"/>
    </row>
    <row r="4614" spans="2:2">
      <c r="B4614" s="36"/>
    </row>
    <row r="4615" spans="2:2">
      <c r="B4615" s="36"/>
    </row>
    <row r="4616" spans="2:2">
      <c r="B4616" s="36"/>
    </row>
    <row r="4617" spans="2:2">
      <c r="B4617" s="36"/>
    </row>
    <row r="4618" spans="2:2">
      <c r="B4618" s="36"/>
    </row>
    <row r="4619" spans="2:2">
      <c r="B4619" s="36"/>
    </row>
    <row r="4620" spans="2:2">
      <c r="B4620" s="36"/>
    </row>
    <row r="4621" spans="2:2">
      <c r="B4621" s="36"/>
    </row>
    <row r="4622" spans="2:2">
      <c r="B4622" s="36"/>
    </row>
    <row r="4623" spans="2:2">
      <c r="B4623" s="36"/>
    </row>
    <row r="4624" spans="2:2">
      <c r="B4624" s="36"/>
    </row>
    <row r="4625" spans="2:2">
      <c r="B4625" s="36"/>
    </row>
    <row r="4626" spans="2:2">
      <c r="B4626" s="36"/>
    </row>
    <row r="4627" spans="2:2">
      <c r="B4627" s="36"/>
    </row>
    <row r="4628" spans="2:2">
      <c r="B4628" s="36"/>
    </row>
    <row r="4629" spans="2:2">
      <c r="B4629" s="36"/>
    </row>
    <row r="4630" spans="2:2">
      <c r="B4630" s="36"/>
    </row>
    <row r="4631" spans="2:2">
      <c r="B4631" s="36"/>
    </row>
    <row r="4632" spans="2:2">
      <c r="B4632" s="36"/>
    </row>
    <row r="4633" spans="2:2">
      <c r="B4633" s="36"/>
    </row>
    <row r="4634" spans="2:2">
      <c r="B4634" s="36"/>
    </row>
    <row r="4635" spans="2:2">
      <c r="B4635" s="36"/>
    </row>
    <row r="4636" spans="2:2">
      <c r="B4636" s="36"/>
    </row>
    <row r="4637" spans="2:2">
      <c r="B4637" s="36"/>
    </row>
    <row r="4638" spans="2:2">
      <c r="B4638" s="36"/>
    </row>
    <row r="4639" spans="2:2">
      <c r="B4639" s="36"/>
    </row>
    <row r="4640" spans="2:2">
      <c r="B4640" s="36"/>
    </row>
    <row r="4641" spans="2:2">
      <c r="B4641" s="36"/>
    </row>
    <row r="4642" spans="2:2">
      <c r="B4642" s="36"/>
    </row>
    <row r="4643" spans="2:2">
      <c r="B4643" s="36"/>
    </row>
    <row r="4644" spans="2:2">
      <c r="B4644" s="36"/>
    </row>
    <row r="4645" spans="2:2">
      <c r="B4645" s="36"/>
    </row>
    <row r="4646" spans="2:2">
      <c r="B4646" s="36"/>
    </row>
    <row r="4647" spans="2:2">
      <c r="B4647" s="36"/>
    </row>
    <row r="4648" spans="2:2">
      <c r="B4648" s="36"/>
    </row>
    <row r="4649" spans="2:2">
      <c r="B4649" s="36"/>
    </row>
    <row r="4650" spans="2:2">
      <c r="B4650" s="36"/>
    </row>
    <row r="4651" spans="2:2">
      <c r="B4651" s="36"/>
    </row>
    <row r="4652" spans="2:2">
      <c r="B4652" s="36"/>
    </row>
    <row r="4653" spans="2:2">
      <c r="B4653" s="36"/>
    </row>
    <row r="4654" spans="2:2">
      <c r="B4654" s="36"/>
    </row>
    <row r="4655" spans="2:2">
      <c r="B4655" s="36"/>
    </row>
    <row r="4656" spans="2:2">
      <c r="B4656" s="36"/>
    </row>
    <row r="4657" spans="2:2">
      <c r="B4657" s="36"/>
    </row>
    <row r="4658" spans="2:2">
      <c r="B4658" s="36"/>
    </row>
    <row r="4659" spans="2:2">
      <c r="B4659" s="36"/>
    </row>
    <row r="4660" spans="2:2">
      <c r="B4660" s="36"/>
    </row>
    <row r="4661" spans="2:2">
      <c r="B4661" s="36"/>
    </row>
    <row r="4662" spans="2:2">
      <c r="B4662" s="36"/>
    </row>
    <row r="4663" spans="2:2">
      <c r="B4663" s="36"/>
    </row>
    <row r="4664" spans="2:2">
      <c r="B4664" s="36"/>
    </row>
    <row r="4665" spans="2:2">
      <c r="B4665" s="36"/>
    </row>
    <row r="4666" spans="2:2">
      <c r="B4666" s="36"/>
    </row>
    <row r="4667" spans="2:2">
      <c r="B4667" s="36"/>
    </row>
    <row r="4668" spans="2:2">
      <c r="B4668" s="36"/>
    </row>
    <row r="4669" spans="2:2">
      <c r="B4669" s="36"/>
    </row>
    <row r="4670" spans="2:2">
      <c r="B4670" s="36"/>
    </row>
    <row r="4671" spans="2:2">
      <c r="B4671" s="36"/>
    </row>
    <row r="4672" spans="2:2">
      <c r="B4672" s="36"/>
    </row>
    <row r="4673" spans="2:2">
      <c r="B4673" s="36"/>
    </row>
    <row r="4674" spans="2:2">
      <c r="B4674" s="36"/>
    </row>
    <row r="4675" spans="2:2">
      <c r="B4675" s="36"/>
    </row>
    <row r="4676" spans="2:2">
      <c r="B4676" s="36"/>
    </row>
    <row r="4677" spans="2:2">
      <c r="B4677" s="36"/>
    </row>
    <row r="4678" spans="2:2">
      <c r="B4678" s="36"/>
    </row>
    <row r="4679" spans="2:2">
      <c r="B4679" s="36"/>
    </row>
    <row r="4680" spans="2:2">
      <c r="B4680" s="36"/>
    </row>
    <row r="4681" spans="2:2">
      <c r="B4681" s="36"/>
    </row>
    <row r="4682" spans="2:2">
      <c r="B4682" s="36"/>
    </row>
    <row r="4683" spans="2:2">
      <c r="B4683" s="36"/>
    </row>
    <row r="4684" spans="2:2">
      <c r="B4684" s="36"/>
    </row>
    <row r="4685" spans="2:2">
      <c r="B4685" s="36"/>
    </row>
    <row r="4686" spans="2:2">
      <c r="B4686" s="36"/>
    </row>
    <row r="4687" spans="2:2">
      <c r="B4687" s="36"/>
    </row>
    <row r="4688" spans="2:2">
      <c r="B4688" s="36"/>
    </row>
    <row r="4689" spans="2:2">
      <c r="B4689" s="36"/>
    </row>
    <row r="4690" spans="2:2">
      <c r="B4690" s="36"/>
    </row>
    <row r="4691" spans="2:2">
      <c r="B4691" s="36"/>
    </row>
    <row r="4692" spans="2:2">
      <c r="B4692" s="36"/>
    </row>
    <row r="4693" spans="2:2">
      <c r="B4693" s="36"/>
    </row>
    <row r="4694" spans="2:2">
      <c r="B4694" s="36"/>
    </row>
    <row r="4695" spans="2:2">
      <c r="B4695" s="36"/>
    </row>
    <row r="4696" spans="2:2">
      <c r="B4696" s="36"/>
    </row>
    <row r="4697" spans="2:2">
      <c r="B4697" s="36"/>
    </row>
    <row r="4698" spans="2:2">
      <c r="B4698" s="36"/>
    </row>
    <row r="4699" spans="2:2">
      <c r="B4699" s="36"/>
    </row>
    <row r="4700" spans="2:2">
      <c r="B4700" s="36"/>
    </row>
    <row r="4701" spans="2:2">
      <c r="B4701" s="36"/>
    </row>
    <row r="4702" spans="2:2">
      <c r="B4702" s="36"/>
    </row>
    <row r="4703" spans="2:2">
      <c r="B4703" s="36"/>
    </row>
    <row r="4704" spans="2:2">
      <c r="B4704" s="36"/>
    </row>
    <row r="4705" spans="2:2">
      <c r="B4705" s="36"/>
    </row>
    <row r="4706" spans="2:2">
      <c r="B4706" s="36"/>
    </row>
    <row r="4707" spans="2:2">
      <c r="B4707" s="36"/>
    </row>
    <row r="4708" spans="2:2">
      <c r="B4708" s="36"/>
    </row>
    <row r="4709" spans="2:2">
      <c r="B4709" s="36"/>
    </row>
    <row r="4710" spans="2:2">
      <c r="B4710" s="36"/>
    </row>
    <row r="4711" spans="2:2">
      <c r="B4711" s="36"/>
    </row>
    <row r="4712" spans="2:2">
      <c r="B4712" s="36"/>
    </row>
    <row r="4713" spans="2:2">
      <c r="B4713" s="36"/>
    </row>
    <row r="4714" spans="2:2">
      <c r="B4714" s="36"/>
    </row>
    <row r="4715" spans="2:2">
      <c r="B4715" s="36"/>
    </row>
    <row r="4716" spans="2:2">
      <c r="B4716" s="36"/>
    </row>
    <row r="4717" spans="2:2">
      <c r="B4717" s="36"/>
    </row>
    <row r="4718" spans="2:2">
      <c r="B4718" s="36"/>
    </row>
    <row r="4719" spans="2:2">
      <c r="B4719" s="36"/>
    </row>
    <row r="4720" spans="2:2">
      <c r="B4720" s="36"/>
    </row>
    <row r="4721" spans="2:2">
      <c r="B4721" s="36"/>
    </row>
    <row r="4722" spans="2:2">
      <c r="B4722" s="36"/>
    </row>
    <row r="4723" spans="2:2">
      <c r="B4723" s="36"/>
    </row>
    <row r="4724" spans="2:2">
      <c r="B4724" s="36"/>
    </row>
    <row r="4725" spans="2:2">
      <c r="B4725" s="36"/>
    </row>
    <row r="4726" spans="2:2">
      <c r="B4726" s="36"/>
    </row>
    <row r="4727" spans="2:2">
      <c r="B4727" s="36"/>
    </row>
    <row r="4728" spans="2:2">
      <c r="B4728" s="36"/>
    </row>
    <row r="4729" spans="2:2">
      <c r="B4729" s="36"/>
    </row>
    <row r="4730" spans="2:2">
      <c r="B4730" s="36"/>
    </row>
    <row r="4731" spans="2:2">
      <c r="B4731" s="36"/>
    </row>
    <row r="4732" spans="2:2">
      <c r="B4732" s="36"/>
    </row>
    <row r="4733" spans="2:2">
      <c r="B4733" s="36"/>
    </row>
    <row r="4734" spans="2:2">
      <c r="B4734" s="36"/>
    </row>
    <row r="4735" spans="2:2">
      <c r="B4735" s="36"/>
    </row>
    <row r="4736" spans="2:2">
      <c r="B4736" s="36"/>
    </row>
    <row r="4737" spans="2:2">
      <c r="B4737" s="36"/>
    </row>
    <row r="4738" spans="2:2">
      <c r="B4738" s="36"/>
    </row>
    <row r="4739" spans="2:2">
      <c r="B4739" s="36"/>
    </row>
    <row r="4740" spans="2:2">
      <c r="B4740" s="36"/>
    </row>
    <row r="4741" spans="2:2">
      <c r="B4741" s="36"/>
    </row>
    <row r="4742" spans="2:2">
      <c r="B4742" s="36"/>
    </row>
    <row r="4743" spans="2:2">
      <c r="B4743" s="36"/>
    </row>
    <row r="4744" spans="2:2">
      <c r="B4744" s="36"/>
    </row>
    <row r="4745" spans="2:2">
      <c r="B4745" s="36"/>
    </row>
    <row r="4746" spans="2:2">
      <c r="B4746" s="36"/>
    </row>
    <row r="4747" spans="2:2">
      <c r="B4747" s="36"/>
    </row>
    <row r="4748" spans="2:2">
      <c r="B4748" s="36"/>
    </row>
    <row r="4749" spans="2:2">
      <c r="B4749" s="36"/>
    </row>
    <row r="4750" spans="2:2">
      <c r="B4750" s="36"/>
    </row>
    <row r="4751" spans="2:2">
      <c r="B4751" s="36"/>
    </row>
    <row r="4752" spans="2:2">
      <c r="B4752" s="36"/>
    </row>
    <row r="4753" spans="2:2">
      <c r="B4753" s="36"/>
    </row>
    <row r="4754" spans="2:2">
      <c r="B4754" s="36"/>
    </row>
    <row r="4755" spans="2:2">
      <c r="B4755" s="36"/>
    </row>
    <row r="4756" spans="2:2">
      <c r="B4756" s="36"/>
    </row>
    <row r="4757" spans="2:2">
      <c r="B4757" s="36"/>
    </row>
    <row r="4758" spans="2:2">
      <c r="B4758" s="36"/>
    </row>
    <row r="4759" spans="2:2">
      <c r="B4759" s="36"/>
    </row>
    <row r="4760" spans="2:2">
      <c r="B4760" s="36"/>
    </row>
    <row r="4761" spans="2:2">
      <c r="B4761" s="36"/>
    </row>
    <row r="4762" spans="2:2">
      <c r="B4762" s="36"/>
    </row>
    <row r="4763" spans="2:2">
      <c r="B4763" s="36"/>
    </row>
    <row r="4764" spans="2:2">
      <c r="B4764" s="36"/>
    </row>
    <row r="4765" spans="2:2">
      <c r="B4765" s="36"/>
    </row>
    <row r="4766" spans="2:2">
      <c r="B4766" s="36"/>
    </row>
    <row r="4767" spans="2:2">
      <c r="B4767" s="36"/>
    </row>
    <row r="4768" spans="2:2">
      <c r="B4768" s="36"/>
    </row>
    <row r="4769" spans="2:2">
      <c r="B4769" s="36"/>
    </row>
    <row r="4770" spans="2:2">
      <c r="B4770" s="36"/>
    </row>
    <row r="4771" spans="2:2">
      <c r="B4771" s="36"/>
    </row>
    <row r="4772" spans="2:2">
      <c r="B4772" s="36"/>
    </row>
    <row r="4773" spans="2:2">
      <c r="B4773" s="36"/>
    </row>
    <row r="4774" spans="2:2">
      <c r="B4774" s="36"/>
    </row>
    <row r="4775" spans="2:2">
      <c r="B4775" s="36"/>
    </row>
    <row r="4776" spans="2:2">
      <c r="B4776" s="36"/>
    </row>
    <row r="4777" spans="2:2">
      <c r="B4777" s="36"/>
    </row>
    <row r="4778" spans="2:2">
      <c r="B4778" s="36"/>
    </row>
    <row r="4779" spans="2:2">
      <c r="B4779" s="36"/>
    </row>
    <row r="4780" spans="2:2">
      <c r="B4780" s="36"/>
    </row>
    <row r="4781" spans="2:2">
      <c r="B4781" s="36"/>
    </row>
    <row r="4782" spans="2:2">
      <c r="B4782" s="36"/>
    </row>
    <row r="4783" spans="2:2">
      <c r="B4783" s="36"/>
    </row>
    <row r="4784" spans="2:2">
      <c r="B4784" s="36"/>
    </row>
    <row r="4785" spans="2:2">
      <c r="B4785" s="36"/>
    </row>
    <row r="4786" spans="2:2">
      <c r="B4786" s="36"/>
    </row>
    <row r="4787" spans="2:2">
      <c r="B4787" s="36"/>
    </row>
    <row r="4788" spans="2:2">
      <c r="B4788" s="36"/>
    </row>
    <row r="4789" spans="2:2">
      <c r="B4789" s="36"/>
    </row>
    <row r="4790" spans="2:2">
      <c r="B4790" s="36"/>
    </row>
    <row r="4791" spans="2:2">
      <c r="B4791" s="36"/>
    </row>
    <row r="4792" spans="2:2">
      <c r="B4792" s="36"/>
    </row>
    <row r="4793" spans="2:2">
      <c r="B4793" s="36"/>
    </row>
    <row r="4794" spans="2:2">
      <c r="B4794" s="36"/>
    </row>
    <row r="4795" spans="2:2">
      <c r="B4795" s="36"/>
    </row>
    <row r="4796" spans="2:2">
      <c r="B4796" s="36"/>
    </row>
    <row r="4797" spans="2:2">
      <c r="B4797" s="36"/>
    </row>
    <row r="4798" spans="2:2">
      <c r="B4798" s="36"/>
    </row>
    <row r="4799" spans="2:2">
      <c r="B4799" s="36"/>
    </row>
    <row r="4800" spans="2:2">
      <c r="B4800" s="36"/>
    </row>
    <row r="4801" spans="2:2">
      <c r="B4801" s="36"/>
    </row>
    <row r="4802" spans="2:2">
      <c r="B4802" s="36"/>
    </row>
    <row r="4803" spans="2:2">
      <c r="B4803" s="36"/>
    </row>
    <row r="4804" spans="2:2">
      <c r="B4804" s="36"/>
    </row>
    <row r="4805" spans="2:2">
      <c r="B4805" s="36"/>
    </row>
    <row r="4806" spans="2:2">
      <c r="B4806" s="36"/>
    </row>
    <row r="4807" spans="2:2">
      <c r="B4807" s="36"/>
    </row>
    <row r="4808" spans="2:2">
      <c r="B4808" s="36"/>
    </row>
    <row r="4809" spans="2:2">
      <c r="B4809" s="36"/>
    </row>
    <row r="4810" spans="2:2">
      <c r="B4810" s="36"/>
    </row>
    <row r="4811" spans="2:2">
      <c r="B4811" s="36"/>
    </row>
    <row r="4812" spans="2:2">
      <c r="B4812" s="36"/>
    </row>
    <row r="4813" spans="2:2">
      <c r="B4813" s="36"/>
    </row>
    <row r="4814" spans="2:2">
      <c r="B4814" s="36"/>
    </row>
    <row r="4815" spans="2:2">
      <c r="B4815" s="36"/>
    </row>
    <row r="4816" spans="2:2">
      <c r="B4816" s="36"/>
    </row>
    <row r="4817" spans="2:2">
      <c r="B4817" s="36"/>
    </row>
    <row r="4818" spans="2:2">
      <c r="B4818" s="36"/>
    </row>
    <row r="4819" spans="2:2">
      <c r="B4819" s="36"/>
    </row>
    <row r="4820" spans="2:2">
      <c r="B4820" s="36"/>
    </row>
    <row r="4821" spans="2:2">
      <c r="B4821" s="36"/>
    </row>
    <row r="4822" spans="2:2">
      <c r="B4822" s="36"/>
    </row>
    <row r="4823" spans="2:2">
      <c r="B4823" s="36"/>
    </row>
    <row r="4824" spans="2:2">
      <c r="B4824" s="36"/>
    </row>
    <row r="4825" spans="2:2">
      <c r="B4825" s="36"/>
    </row>
    <row r="4826" spans="2:2">
      <c r="B4826" s="36"/>
    </row>
    <row r="4827" spans="2:2">
      <c r="B4827" s="36"/>
    </row>
    <row r="4828" spans="2:2">
      <c r="B4828" s="36"/>
    </row>
    <row r="4829" spans="2:2">
      <c r="B4829" s="36"/>
    </row>
    <row r="4830" spans="2:2">
      <c r="B4830" s="36"/>
    </row>
    <row r="4831" spans="2:2">
      <c r="B4831" s="36"/>
    </row>
    <row r="4832" spans="2:2">
      <c r="B4832" s="36"/>
    </row>
    <row r="4833" spans="2:2">
      <c r="B4833" s="36"/>
    </row>
    <row r="4834" spans="2:2">
      <c r="B4834" s="36"/>
    </row>
    <row r="4835" spans="2:2">
      <c r="B4835" s="36"/>
    </row>
    <row r="4836" spans="2:2">
      <c r="B4836" s="36"/>
    </row>
    <row r="4837" spans="2:2">
      <c r="B4837" s="36"/>
    </row>
    <row r="4838" spans="2:2">
      <c r="B4838" s="36"/>
    </row>
    <row r="4839" spans="2:2">
      <c r="B4839" s="36"/>
    </row>
    <row r="4840" spans="2:2">
      <c r="B4840" s="36"/>
    </row>
    <row r="4841" spans="2:2">
      <c r="B4841" s="36"/>
    </row>
    <row r="4842" spans="2:2">
      <c r="B4842" s="36"/>
    </row>
    <row r="4843" spans="2:2">
      <c r="B4843" s="36"/>
    </row>
    <row r="4844" spans="2:2">
      <c r="B4844" s="36"/>
    </row>
    <row r="4845" spans="2:2">
      <c r="B4845" s="36"/>
    </row>
    <row r="4846" spans="2:2">
      <c r="B4846" s="36"/>
    </row>
    <row r="4847" spans="2:2">
      <c r="B4847" s="36"/>
    </row>
    <row r="4848" spans="2:2">
      <c r="B4848" s="36"/>
    </row>
    <row r="4849" spans="2:2">
      <c r="B4849" s="36"/>
    </row>
    <row r="4850" spans="2:2">
      <c r="B4850" s="36"/>
    </row>
    <row r="4851" spans="2:2">
      <c r="B4851" s="36"/>
    </row>
    <row r="4852" spans="2:2">
      <c r="B4852" s="36"/>
    </row>
    <row r="4853" spans="2:2">
      <c r="B4853" s="36"/>
    </row>
    <row r="4854" spans="2:2">
      <c r="B4854" s="36"/>
    </row>
    <row r="4855" spans="2:2">
      <c r="B4855" s="36"/>
    </row>
    <row r="4856" spans="2:2">
      <c r="B4856" s="36"/>
    </row>
    <row r="4857" spans="2:2">
      <c r="B4857" s="36"/>
    </row>
    <row r="4858" spans="2:2">
      <c r="B4858" s="36"/>
    </row>
    <row r="4859" spans="2:2">
      <c r="B4859" s="36"/>
    </row>
    <row r="4860" spans="2:2">
      <c r="B4860" s="36"/>
    </row>
    <row r="4861" spans="2:2">
      <c r="B4861" s="36"/>
    </row>
    <row r="4862" spans="2:2">
      <c r="B4862" s="36"/>
    </row>
    <row r="4863" spans="2:2">
      <c r="B4863" s="36"/>
    </row>
    <row r="4864" spans="2:2">
      <c r="B4864" s="36"/>
    </row>
    <row r="4865" spans="2:2">
      <c r="B4865" s="36"/>
    </row>
    <row r="4866" spans="2:2">
      <c r="B4866" s="36"/>
    </row>
    <row r="4867" spans="2:2">
      <c r="B4867" s="36"/>
    </row>
    <row r="4868" spans="2:2">
      <c r="B4868" s="36"/>
    </row>
    <row r="4869" spans="2:2">
      <c r="B4869" s="36"/>
    </row>
    <row r="4870" spans="2:2">
      <c r="B4870" s="36"/>
    </row>
    <row r="4871" spans="2:2">
      <c r="B4871" s="36"/>
    </row>
    <row r="4872" spans="2:2">
      <c r="B4872" s="36"/>
    </row>
    <row r="4873" spans="2:2">
      <c r="B4873" s="36"/>
    </row>
    <row r="4874" spans="2:2">
      <c r="B4874" s="36"/>
    </row>
    <row r="4875" spans="2:2">
      <c r="B4875" s="36"/>
    </row>
    <row r="4876" spans="2:2">
      <c r="B4876" s="36"/>
    </row>
    <row r="4877" spans="2:2">
      <c r="B4877" s="36"/>
    </row>
    <row r="4878" spans="2:2">
      <c r="B4878" s="36"/>
    </row>
    <row r="4879" spans="2:2">
      <c r="B4879" s="36"/>
    </row>
    <row r="4880" spans="2:2">
      <c r="B4880" s="36"/>
    </row>
    <row r="4881" spans="2:2">
      <c r="B4881" s="36"/>
    </row>
    <row r="4882" spans="2:2">
      <c r="B4882" s="36"/>
    </row>
    <row r="4883" spans="2:2">
      <c r="B4883" s="36"/>
    </row>
    <row r="4884" spans="2:2">
      <c r="B4884" s="36"/>
    </row>
    <row r="4885" spans="2:2">
      <c r="B4885" s="36"/>
    </row>
    <row r="4886" spans="2:2">
      <c r="B4886" s="36"/>
    </row>
    <row r="4887" spans="2:2">
      <c r="B4887" s="36"/>
    </row>
    <row r="4888" spans="2:2">
      <c r="B4888" s="36"/>
    </row>
    <row r="4889" spans="2:2">
      <c r="B4889" s="36"/>
    </row>
    <row r="4890" spans="2:2">
      <c r="B4890" s="36"/>
    </row>
    <row r="4891" spans="2:2">
      <c r="B4891" s="36"/>
    </row>
    <row r="4892" spans="2:2">
      <c r="B4892" s="36"/>
    </row>
    <row r="4893" spans="2:2">
      <c r="B4893" s="36"/>
    </row>
    <row r="4894" spans="2:2">
      <c r="B4894" s="36"/>
    </row>
    <row r="4895" spans="2:2">
      <c r="B4895" s="36"/>
    </row>
    <row r="4896" spans="2:2">
      <c r="B4896" s="36"/>
    </row>
    <row r="4897" spans="2:2">
      <c r="B4897" s="36"/>
    </row>
    <row r="4898" spans="2:2">
      <c r="B4898" s="36"/>
    </row>
    <row r="4899" spans="2:2">
      <c r="B4899" s="36"/>
    </row>
    <row r="4900" spans="2:2">
      <c r="B4900" s="36"/>
    </row>
    <row r="4901" spans="2:2">
      <c r="B4901" s="36"/>
    </row>
    <row r="4902" spans="2:2">
      <c r="B4902" s="36"/>
    </row>
    <row r="4903" spans="2:2">
      <c r="B4903" s="36"/>
    </row>
    <row r="4904" spans="2:2">
      <c r="B4904" s="36"/>
    </row>
    <row r="4905" spans="2:2">
      <c r="B4905" s="36"/>
    </row>
    <row r="4906" spans="2:2">
      <c r="B4906" s="36"/>
    </row>
    <row r="4907" spans="2:2">
      <c r="B4907" s="36"/>
    </row>
    <row r="4908" spans="2:2">
      <c r="B4908" s="36"/>
    </row>
    <row r="4909" spans="2:2">
      <c r="B4909" s="36"/>
    </row>
    <row r="4910" spans="2:2">
      <c r="B4910" s="36"/>
    </row>
    <row r="4911" spans="2:2">
      <c r="B4911" s="36"/>
    </row>
    <row r="4912" spans="2:2">
      <c r="B4912" s="36"/>
    </row>
    <row r="4913" spans="2:2">
      <c r="B4913" s="36"/>
    </row>
    <row r="4914" spans="2:2">
      <c r="B4914" s="36"/>
    </row>
    <row r="4915" spans="2:2">
      <c r="B4915" s="36"/>
    </row>
    <row r="4916" spans="2:2">
      <c r="B4916" s="36"/>
    </row>
    <row r="4917" spans="2:2">
      <c r="B4917" s="36"/>
    </row>
    <row r="4918" spans="2:2">
      <c r="B4918" s="36"/>
    </row>
    <row r="4919" spans="2:2">
      <c r="B4919" s="36"/>
    </row>
    <row r="4920" spans="2:2">
      <c r="B4920" s="36"/>
    </row>
    <row r="4921" spans="2:2">
      <c r="B4921" s="36"/>
    </row>
    <row r="4922" spans="2:2">
      <c r="B4922" s="36"/>
    </row>
    <row r="4923" spans="2:2">
      <c r="B4923" s="36"/>
    </row>
    <row r="4924" spans="2:2">
      <c r="B4924" s="36"/>
    </row>
    <row r="4925" spans="2:2">
      <c r="B4925" s="36"/>
    </row>
    <row r="4926" spans="2:2">
      <c r="B4926" s="36"/>
    </row>
    <row r="4927" spans="2:2">
      <c r="B4927" s="36"/>
    </row>
    <row r="4928" spans="2:2">
      <c r="B4928" s="36"/>
    </row>
    <row r="4929" spans="2:2">
      <c r="B4929" s="36"/>
    </row>
    <row r="4930" spans="2:2">
      <c r="B4930" s="36"/>
    </row>
    <row r="4931" spans="2:2">
      <c r="B4931" s="36"/>
    </row>
    <row r="4932" spans="2:2">
      <c r="B4932" s="36"/>
    </row>
    <row r="4933" spans="2:2">
      <c r="B4933" s="36"/>
    </row>
    <row r="4934" spans="2:2">
      <c r="B4934" s="36"/>
    </row>
    <row r="4935" spans="2:2">
      <c r="B4935" s="36"/>
    </row>
    <row r="4936" spans="2:2">
      <c r="B4936" s="36"/>
    </row>
    <row r="4937" spans="2:2">
      <c r="B4937" s="36"/>
    </row>
    <row r="4938" spans="2:2">
      <c r="B4938" s="36"/>
    </row>
    <row r="4939" spans="2:2">
      <c r="B4939" s="36"/>
    </row>
    <row r="4940" spans="2:2">
      <c r="B4940" s="36"/>
    </row>
    <row r="4941" spans="2:2">
      <c r="B4941" s="36"/>
    </row>
    <row r="4942" spans="2:2">
      <c r="B4942" s="36"/>
    </row>
    <row r="4943" spans="2:2">
      <c r="B4943" s="36"/>
    </row>
    <row r="4944" spans="2:2">
      <c r="B4944" s="36"/>
    </row>
    <row r="4945" spans="2:2">
      <c r="B4945" s="36"/>
    </row>
    <row r="4946" spans="2:2">
      <c r="B4946" s="36"/>
    </row>
    <row r="4947" spans="2:2">
      <c r="B4947" s="36"/>
    </row>
    <row r="4948" spans="2:2">
      <c r="B4948" s="36"/>
    </row>
    <row r="4949" spans="2:2">
      <c r="B4949" s="36"/>
    </row>
    <row r="4950" spans="2:2">
      <c r="B4950" s="36"/>
    </row>
    <row r="4951" spans="2:2">
      <c r="B4951" s="36"/>
    </row>
    <row r="4952" spans="2:2">
      <c r="B4952" s="36"/>
    </row>
    <row r="4953" spans="2:2">
      <c r="B4953" s="36"/>
    </row>
    <row r="4954" spans="2:2">
      <c r="B4954" s="36"/>
    </row>
    <row r="4955" spans="2:2">
      <c r="B4955" s="36"/>
    </row>
    <row r="4956" spans="2:2">
      <c r="B4956" s="36"/>
    </row>
    <row r="4957" spans="2:2">
      <c r="B4957" s="36"/>
    </row>
    <row r="4958" spans="2:2">
      <c r="B4958" s="36"/>
    </row>
    <row r="4959" spans="2:2">
      <c r="B4959" s="36"/>
    </row>
    <row r="4960" spans="2:2">
      <c r="B4960" s="36"/>
    </row>
    <row r="4961" spans="2:2">
      <c r="B4961" s="36"/>
    </row>
    <row r="4962" spans="2:2">
      <c r="B4962" s="36"/>
    </row>
    <row r="4963" spans="2:2">
      <c r="B4963" s="36"/>
    </row>
    <row r="4964" spans="2:2">
      <c r="B4964" s="36"/>
    </row>
    <row r="4965" spans="2:2">
      <c r="B4965" s="36"/>
    </row>
    <row r="4966" spans="2:2">
      <c r="B4966" s="36"/>
    </row>
    <row r="4967" spans="2:2">
      <c r="B4967" s="36"/>
    </row>
    <row r="4968" spans="2:2">
      <c r="B4968" s="36"/>
    </row>
    <row r="4969" spans="2:2">
      <c r="B4969" s="36"/>
    </row>
    <row r="4970" spans="2:2">
      <c r="B4970" s="36"/>
    </row>
    <row r="4971" spans="2:2">
      <c r="B4971" s="36"/>
    </row>
    <row r="4972" spans="2:2">
      <c r="B4972" s="36"/>
    </row>
    <row r="4973" spans="2:2">
      <c r="B4973" s="36"/>
    </row>
    <row r="4974" spans="2:2">
      <c r="B4974" s="36"/>
    </row>
    <row r="4975" spans="2:2">
      <c r="B4975" s="36"/>
    </row>
    <row r="4976" spans="2:2">
      <c r="B4976" s="36"/>
    </row>
    <row r="4977" spans="2:2">
      <c r="B4977" s="36"/>
    </row>
    <row r="4978" spans="2:2">
      <c r="B4978" s="36"/>
    </row>
    <row r="4979" spans="2:2">
      <c r="B4979" s="36"/>
    </row>
    <row r="4980" spans="2:2">
      <c r="B4980" s="36"/>
    </row>
    <row r="4981" spans="2:2">
      <c r="B4981" s="36"/>
    </row>
    <row r="4982" spans="2:2">
      <c r="B4982" s="36"/>
    </row>
    <row r="4983" spans="2:2">
      <c r="B4983" s="36"/>
    </row>
    <row r="4984" spans="2:2">
      <c r="B4984" s="36"/>
    </row>
    <row r="4985" spans="2:2">
      <c r="B4985" s="36"/>
    </row>
    <row r="4986" spans="2:2">
      <c r="B4986" s="36"/>
    </row>
    <row r="4987" spans="2:2">
      <c r="B4987" s="36"/>
    </row>
    <row r="4988" spans="2:2">
      <c r="B4988" s="36"/>
    </row>
    <row r="4989" spans="2:2">
      <c r="B4989" s="36"/>
    </row>
    <row r="4990" spans="2:2">
      <c r="B4990" s="36"/>
    </row>
    <row r="4991" spans="2:2">
      <c r="B4991" s="36"/>
    </row>
    <row r="4992" spans="2:2">
      <c r="B4992" s="36"/>
    </row>
    <row r="4993" spans="2:2">
      <c r="B4993" s="36"/>
    </row>
    <row r="4994" spans="2:2">
      <c r="B4994" s="36"/>
    </row>
    <row r="4995" spans="2:2">
      <c r="B4995" s="36"/>
    </row>
    <row r="4996" spans="2:2">
      <c r="B4996" s="36"/>
    </row>
    <row r="4997" spans="2:2">
      <c r="B4997" s="36"/>
    </row>
    <row r="4998" spans="2:2">
      <c r="B4998" s="36"/>
    </row>
    <row r="4999" spans="2:2">
      <c r="B4999" s="36"/>
    </row>
    <row r="5000" spans="2:2">
      <c r="B5000" s="36"/>
    </row>
    <row r="5001" spans="2:2">
      <c r="B5001" s="36"/>
    </row>
    <row r="5002" spans="2:2">
      <c r="B5002" s="36"/>
    </row>
    <row r="5003" spans="2:2">
      <c r="B5003" s="36"/>
    </row>
    <row r="5004" spans="2:2">
      <c r="B5004" s="36"/>
    </row>
    <row r="5005" spans="2:2">
      <c r="B5005" s="36"/>
    </row>
    <row r="5006" spans="2:2">
      <c r="B5006" s="36"/>
    </row>
    <row r="5007" spans="2:2">
      <c r="B5007" s="36"/>
    </row>
    <row r="5008" spans="2:2">
      <c r="B5008" s="36"/>
    </row>
    <row r="5009" spans="2:2">
      <c r="B5009" s="36"/>
    </row>
    <row r="5010" spans="2:2">
      <c r="B5010" s="36"/>
    </row>
    <row r="5011" spans="2:2">
      <c r="B5011" s="36"/>
    </row>
    <row r="5012" spans="2:2">
      <c r="B5012" s="36"/>
    </row>
    <row r="5013" spans="2:2">
      <c r="B5013" s="36"/>
    </row>
    <row r="5014" spans="2:2">
      <c r="B5014" s="36"/>
    </row>
    <row r="5015" spans="2:2">
      <c r="B5015" s="36"/>
    </row>
    <row r="5016" spans="2:2">
      <c r="B5016" s="36"/>
    </row>
    <row r="5017" spans="2:2">
      <c r="B5017" s="36"/>
    </row>
    <row r="5018" spans="2:2">
      <c r="B5018" s="36"/>
    </row>
    <row r="5019" spans="2:2">
      <c r="B5019" s="36"/>
    </row>
    <row r="5020" spans="2:2">
      <c r="B5020" s="36"/>
    </row>
    <row r="5021" spans="2:2">
      <c r="B5021" s="36"/>
    </row>
    <row r="5022" spans="2:2">
      <c r="B5022" s="36"/>
    </row>
    <row r="5023" spans="2:2">
      <c r="B5023" s="36"/>
    </row>
    <row r="5024" spans="2:2">
      <c r="B5024" s="36"/>
    </row>
    <row r="5025" spans="2:2">
      <c r="B5025" s="36"/>
    </row>
    <row r="5026" spans="2:2">
      <c r="B5026" s="36"/>
    </row>
    <row r="5027" spans="2:2">
      <c r="B5027" s="36"/>
    </row>
    <row r="5028" spans="2:2">
      <c r="B5028" s="36"/>
    </row>
    <row r="5029" spans="2:2">
      <c r="B5029" s="36"/>
    </row>
    <row r="5030" spans="2:2">
      <c r="B5030" s="36"/>
    </row>
    <row r="5031" spans="2:2">
      <c r="B5031" s="36"/>
    </row>
    <row r="5032" spans="2:2">
      <c r="B5032" s="36"/>
    </row>
    <row r="5033" spans="2:2">
      <c r="B5033" s="36"/>
    </row>
    <row r="5034" spans="2:2">
      <c r="B5034" s="36"/>
    </row>
    <row r="5035" spans="2:2">
      <c r="B5035" s="36"/>
    </row>
    <row r="5036" spans="2:2">
      <c r="B5036" s="36"/>
    </row>
    <row r="5037" spans="2:2">
      <c r="B5037" s="36"/>
    </row>
    <row r="5038" spans="2:2">
      <c r="B5038" s="36"/>
    </row>
    <row r="5039" spans="2:2">
      <c r="B5039" s="36"/>
    </row>
    <row r="5040" spans="2:2">
      <c r="B5040" s="36"/>
    </row>
    <row r="5041" spans="2:2">
      <c r="B5041" s="36"/>
    </row>
    <row r="5042" spans="2:2">
      <c r="B5042" s="36"/>
    </row>
    <row r="5043" spans="2:2">
      <c r="B5043" s="36"/>
    </row>
    <row r="5044" spans="2:2">
      <c r="B5044" s="36"/>
    </row>
    <row r="5045" spans="2:2">
      <c r="B5045" s="36"/>
    </row>
    <row r="5046" spans="2:2">
      <c r="B5046" s="36"/>
    </row>
    <row r="5047" spans="2:2">
      <c r="B5047" s="36"/>
    </row>
    <row r="5048" spans="2:2">
      <c r="B5048" s="36"/>
    </row>
    <row r="5049" spans="2:2">
      <c r="B5049" s="36"/>
    </row>
    <row r="5050" spans="2:2">
      <c r="B5050" s="36"/>
    </row>
    <row r="5051" spans="2:2">
      <c r="B5051" s="36"/>
    </row>
    <row r="5052" spans="2:2">
      <c r="B5052" s="36"/>
    </row>
    <row r="5053" spans="2:2">
      <c r="B5053" s="36"/>
    </row>
    <row r="5054" spans="2:2">
      <c r="B5054" s="36"/>
    </row>
    <row r="5055" spans="2:2">
      <c r="B5055" s="36"/>
    </row>
    <row r="5056" spans="2:2">
      <c r="B5056" s="36"/>
    </row>
    <row r="5057" spans="2:2">
      <c r="B5057" s="36"/>
    </row>
    <row r="5058" spans="2:2">
      <c r="B5058" s="36"/>
    </row>
    <row r="5059" spans="2:2">
      <c r="B5059" s="36"/>
    </row>
    <row r="5060" spans="2:2">
      <c r="B5060" s="36"/>
    </row>
    <row r="5061" spans="2:2">
      <c r="B5061" s="36"/>
    </row>
    <row r="5062" spans="2:2">
      <c r="B5062" s="36"/>
    </row>
    <row r="5063" spans="2:2">
      <c r="B5063" s="36"/>
    </row>
    <row r="5064" spans="2:2">
      <c r="B5064" s="36"/>
    </row>
    <row r="5065" spans="2:2">
      <c r="B5065" s="36"/>
    </row>
    <row r="5066" spans="2:2">
      <c r="B5066" s="36"/>
    </row>
    <row r="5067" spans="2:2">
      <c r="B5067" s="36"/>
    </row>
    <row r="5068" spans="2:2">
      <c r="B5068" s="36"/>
    </row>
    <row r="5069" spans="2:2">
      <c r="B5069" s="36"/>
    </row>
    <row r="5070" spans="2:2">
      <c r="B5070" s="36"/>
    </row>
    <row r="5071" spans="2:2">
      <c r="B5071" s="36"/>
    </row>
    <row r="5072" spans="2:2">
      <c r="B5072" s="36"/>
    </row>
    <row r="5073" spans="2:2">
      <c r="B5073" s="36"/>
    </row>
    <row r="5074" spans="2:2">
      <c r="B5074" s="36"/>
    </row>
    <row r="5075" spans="2:2">
      <c r="B5075" s="36"/>
    </row>
    <row r="5076" spans="2:2">
      <c r="B5076" s="36"/>
    </row>
    <row r="5077" spans="2:2">
      <c r="B5077" s="36"/>
    </row>
    <row r="5078" spans="2:2">
      <c r="B5078" s="36"/>
    </row>
    <row r="5079" spans="2:2">
      <c r="B5079" s="36"/>
    </row>
    <row r="5080" spans="2:2">
      <c r="B5080" s="36"/>
    </row>
    <row r="5081" spans="2:2">
      <c r="B5081" s="36"/>
    </row>
    <row r="5082" spans="2:2">
      <c r="B5082" s="36"/>
    </row>
    <row r="5083" spans="2:2">
      <c r="B5083" s="36"/>
    </row>
    <row r="5084" spans="2:2">
      <c r="B5084" s="36"/>
    </row>
    <row r="5085" spans="2:2">
      <c r="B5085" s="36"/>
    </row>
    <row r="5086" spans="2:2">
      <c r="B5086" s="36"/>
    </row>
    <row r="5087" spans="2:2">
      <c r="B5087" s="36"/>
    </row>
    <row r="5088" spans="2:2">
      <c r="B5088" s="36"/>
    </row>
    <row r="5089" spans="2:2">
      <c r="B5089" s="36"/>
    </row>
    <row r="5090" spans="2:2">
      <c r="B5090" s="36"/>
    </row>
    <row r="5091" spans="2:2">
      <c r="B5091" s="36"/>
    </row>
    <row r="5092" spans="2:2">
      <c r="B5092" s="36"/>
    </row>
    <row r="5093" spans="2:2">
      <c r="B5093" s="36"/>
    </row>
    <row r="5094" spans="2:2">
      <c r="B5094" s="36"/>
    </row>
    <row r="5095" spans="2:2">
      <c r="B5095" s="36"/>
    </row>
    <row r="5096" spans="2:2">
      <c r="B5096" s="36"/>
    </row>
    <row r="5097" spans="2:2">
      <c r="B5097" s="36"/>
    </row>
    <row r="5098" spans="2:2">
      <c r="B5098" s="36"/>
    </row>
    <row r="5099" spans="2:2">
      <c r="B5099" s="36"/>
    </row>
    <row r="5100" spans="2:2">
      <c r="B5100" s="36"/>
    </row>
    <row r="5101" spans="2:2">
      <c r="B5101" s="36"/>
    </row>
    <row r="5102" spans="2:2">
      <c r="B5102" s="36"/>
    </row>
    <row r="5103" spans="2:2">
      <c r="B5103" s="36"/>
    </row>
    <row r="5104" spans="2:2">
      <c r="B5104" s="36"/>
    </row>
    <row r="5105" spans="2:2">
      <c r="B5105" s="36"/>
    </row>
    <row r="5106" spans="2:2">
      <c r="B5106" s="36"/>
    </row>
    <row r="5107" spans="2:2">
      <c r="B5107" s="36"/>
    </row>
    <row r="5108" spans="2:2">
      <c r="B5108" s="36"/>
    </row>
    <row r="5109" spans="2:2">
      <c r="B5109" s="36"/>
    </row>
    <row r="5110" spans="2:2">
      <c r="B5110" s="36"/>
    </row>
    <row r="5111" spans="2:2">
      <c r="B5111" s="36"/>
    </row>
    <row r="5112" spans="2:2">
      <c r="B5112" s="36"/>
    </row>
    <row r="5113" spans="2:2">
      <c r="B5113" s="36"/>
    </row>
    <row r="5114" spans="2:2">
      <c r="B5114" s="36"/>
    </row>
    <row r="5115" spans="2:2">
      <c r="B5115" s="36"/>
    </row>
    <row r="5116" spans="2:2">
      <c r="B5116" s="36"/>
    </row>
    <row r="5117" spans="2:2">
      <c r="B5117" s="36"/>
    </row>
    <row r="5118" spans="2:2">
      <c r="B5118" s="36"/>
    </row>
    <row r="5119" spans="2:2">
      <c r="B5119" s="36"/>
    </row>
    <row r="5120" spans="2:2">
      <c r="B5120" s="36"/>
    </row>
    <row r="5121" spans="2:2">
      <c r="B5121" s="36"/>
    </row>
    <row r="5122" spans="2:2">
      <c r="B5122" s="36"/>
    </row>
    <row r="5123" spans="2:2">
      <c r="B5123" s="36"/>
    </row>
    <row r="5124" spans="2:2">
      <c r="B5124" s="36"/>
    </row>
    <row r="5125" spans="2:2">
      <c r="B5125" s="36"/>
    </row>
    <row r="5126" spans="2:2">
      <c r="B5126" s="36"/>
    </row>
    <row r="5127" spans="2:2">
      <c r="B5127" s="36"/>
    </row>
    <row r="5128" spans="2:2">
      <c r="B5128" s="36"/>
    </row>
    <row r="5129" spans="2:2">
      <c r="B5129" s="36"/>
    </row>
    <row r="5130" spans="2:2">
      <c r="B5130" s="36"/>
    </row>
    <row r="5131" spans="2:2">
      <c r="B5131" s="36"/>
    </row>
    <row r="5132" spans="2:2">
      <c r="B5132" s="36"/>
    </row>
    <row r="5133" spans="2:2">
      <c r="B5133" s="36"/>
    </row>
    <row r="5134" spans="2:2">
      <c r="B5134" s="36"/>
    </row>
    <row r="5135" spans="2:2">
      <c r="B5135" s="36"/>
    </row>
    <row r="5136" spans="2:2">
      <c r="B5136" s="36"/>
    </row>
    <row r="5137" spans="2:2">
      <c r="B5137" s="36"/>
    </row>
    <row r="5138" spans="2:2">
      <c r="B5138" s="36"/>
    </row>
    <row r="5139" spans="2:2">
      <c r="B5139" s="36"/>
    </row>
    <row r="5140" spans="2:2">
      <c r="B5140" s="36"/>
    </row>
    <row r="5141" spans="2:2">
      <c r="B5141" s="36"/>
    </row>
    <row r="5142" spans="2:2">
      <c r="B5142" s="36"/>
    </row>
    <row r="5143" spans="2:2">
      <c r="B5143" s="36"/>
    </row>
    <row r="5144" spans="2:2">
      <c r="B5144" s="36"/>
    </row>
    <row r="5145" spans="2:2">
      <c r="B5145" s="36"/>
    </row>
    <row r="5146" spans="2:2">
      <c r="B5146" s="36"/>
    </row>
    <row r="5147" spans="2:2">
      <c r="B5147" s="36"/>
    </row>
    <row r="5148" spans="2:2">
      <c r="B5148" s="36"/>
    </row>
    <row r="5149" spans="2:2">
      <c r="B5149" s="36"/>
    </row>
    <row r="5150" spans="2:2">
      <c r="B5150" s="36"/>
    </row>
    <row r="5151" spans="2:2">
      <c r="B5151" s="36"/>
    </row>
    <row r="5152" spans="2:2">
      <c r="B5152" s="36"/>
    </row>
    <row r="5153" spans="2:2">
      <c r="B5153" s="36"/>
    </row>
    <row r="5154" spans="2:2">
      <c r="B5154" s="36"/>
    </row>
    <row r="5155" spans="2:2">
      <c r="B5155" s="36"/>
    </row>
    <row r="5156" spans="2:2">
      <c r="B5156" s="36"/>
    </row>
    <row r="5157" spans="2:2">
      <c r="B5157" s="36"/>
    </row>
    <row r="5158" spans="2:2">
      <c r="B5158" s="36"/>
    </row>
    <row r="5159" spans="2:2">
      <c r="B5159" s="36"/>
    </row>
    <row r="5160" spans="2:2">
      <c r="B5160" s="36"/>
    </row>
    <row r="5161" spans="2:2">
      <c r="B5161" s="36"/>
    </row>
    <row r="5162" spans="2:2">
      <c r="B5162" s="36"/>
    </row>
    <row r="5163" spans="2:2">
      <c r="B5163" s="36"/>
    </row>
    <row r="5164" spans="2:2">
      <c r="B5164" s="36"/>
    </row>
    <row r="5165" spans="2:2">
      <c r="B5165" s="36"/>
    </row>
    <row r="5166" spans="2:2">
      <c r="B5166" s="36"/>
    </row>
    <row r="5167" spans="2:2">
      <c r="B5167" s="36"/>
    </row>
    <row r="5168" spans="2:2">
      <c r="B5168" s="36"/>
    </row>
    <row r="5169" spans="2:2">
      <c r="B5169" s="36"/>
    </row>
    <row r="5170" spans="2:2">
      <c r="B5170" s="36"/>
    </row>
    <row r="5171" spans="2:2">
      <c r="B5171" s="36"/>
    </row>
    <row r="5172" spans="2:2">
      <c r="B5172" s="36"/>
    </row>
    <row r="5173" spans="2:2">
      <c r="B5173" s="36"/>
    </row>
    <row r="5174" spans="2:2">
      <c r="B5174" s="36"/>
    </row>
    <row r="5175" spans="2:2">
      <c r="B5175" s="36"/>
    </row>
    <row r="5176" spans="2:2">
      <c r="B5176" s="36"/>
    </row>
    <row r="5177" spans="2:2">
      <c r="B5177" s="36"/>
    </row>
    <row r="5178" spans="2:2">
      <c r="B5178" s="36"/>
    </row>
    <row r="5179" spans="2:2">
      <c r="B5179" s="36"/>
    </row>
    <row r="5180" spans="2:2">
      <c r="B5180" s="36"/>
    </row>
    <row r="5181" spans="2:2">
      <c r="B5181" s="36"/>
    </row>
    <row r="5182" spans="2:2">
      <c r="B5182" s="36"/>
    </row>
    <row r="5183" spans="2:2">
      <c r="B5183" s="36"/>
    </row>
    <row r="5184" spans="2:2">
      <c r="B5184" s="36"/>
    </row>
    <row r="5185" spans="2:2">
      <c r="B5185" s="36"/>
    </row>
    <row r="5186" spans="2:2">
      <c r="B5186" s="36"/>
    </row>
    <row r="5187" spans="2:2">
      <c r="B5187" s="36"/>
    </row>
    <row r="5188" spans="2:2">
      <c r="B5188" s="36"/>
    </row>
    <row r="5189" spans="2:2">
      <c r="B5189" s="36"/>
    </row>
    <row r="5190" spans="2:2">
      <c r="B5190" s="36"/>
    </row>
    <row r="5191" spans="2:2">
      <c r="B5191" s="36"/>
    </row>
    <row r="5192" spans="2:2">
      <c r="B5192" s="36"/>
    </row>
    <row r="5193" spans="2:2">
      <c r="B5193" s="36"/>
    </row>
    <row r="5194" spans="2:2">
      <c r="B5194" s="36"/>
    </row>
    <row r="5195" spans="2:2">
      <c r="B5195" s="36"/>
    </row>
    <row r="5196" spans="2:2">
      <c r="B5196" s="36"/>
    </row>
    <row r="5197" spans="2:2">
      <c r="B5197" s="36"/>
    </row>
    <row r="5198" spans="2:2">
      <c r="B5198" s="36"/>
    </row>
    <row r="5199" spans="2:2">
      <c r="B5199" s="36"/>
    </row>
    <row r="5200" spans="2:2">
      <c r="B5200" s="36"/>
    </row>
    <row r="5201" spans="2:2">
      <c r="B5201" s="36"/>
    </row>
    <row r="5202" spans="2:2">
      <c r="B5202" s="36"/>
    </row>
    <row r="5203" spans="2:2">
      <c r="B5203" s="36"/>
    </row>
    <row r="5204" spans="2:2">
      <c r="B5204" s="36"/>
    </row>
    <row r="5205" spans="2:2">
      <c r="B5205" s="36"/>
    </row>
    <row r="5206" spans="2:2">
      <c r="B5206" s="36"/>
    </row>
    <row r="5207" spans="2:2">
      <c r="B5207" s="36"/>
    </row>
    <row r="5208" spans="2:2">
      <c r="B5208" s="36"/>
    </row>
    <row r="5209" spans="2:2">
      <c r="B5209" s="36"/>
    </row>
    <row r="5210" spans="2:2">
      <c r="B5210" s="36"/>
    </row>
    <row r="5211" spans="2:2">
      <c r="B5211" s="36"/>
    </row>
    <row r="5212" spans="2:2">
      <c r="B5212" s="36"/>
    </row>
    <row r="5213" spans="2:2">
      <c r="B5213" s="36"/>
    </row>
    <row r="5214" spans="2:2">
      <c r="B5214" s="36"/>
    </row>
    <row r="5215" spans="2:2">
      <c r="B5215" s="36"/>
    </row>
    <row r="5216" spans="2:2">
      <c r="B5216" s="36"/>
    </row>
    <row r="5217" spans="2:2">
      <c r="B5217" s="36"/>
    </row>
    <row r="5218" spans="2:2">
      <c r="B5218" s="36"/>
    </row>
    <row r="5219" spans="2:2">
      <c r="B5219" s="36"/>
    </row>
    <row r="5220" spans="2:2">
      <c r="B5220" s="36"/>
    </row>
    <row r="5221" spans="2:2">
      <c r="B5221" s="36"/>
    </row>
    <row r="5222" spans="2:2">
      <c r="B5222" s="36"/>
    </row>
    <row r="5223" spans="2:2">
      <c r="B5223" s="36"/>
    </row>
    <row r="5224" spans="2:2">
      <c r="B5224" s="36"/>
    </row>
    <row r="5225" spans="2:2">
      <c r="B5225" s="36"/>
    </row>
    <row r="5226" spans="2:2">
      <c r="B5226" s="36"/>
    </row>
    <row r="5227" spans="2:2">
      <c r="B5227" s="36"/>
    </row>
    <row r="5228" spans="2:2">
      <c r="B5228" s="36"/>
    </row>
    <row r="5229" spans="2:2">
      <c r="B5229" s="36"/>
    </row>
    <row r="5230" spans="2:2">
      <c r="B5230" s="36"/>
    </row>
    <row r="5231" spans="2:2">
      <c r="B5231" s="36"/>
    </row>
    <row r="5232" spans="2:2">
      <c r="B5232" s="36"/>
    </row>
    <row r="5233" spans="2:2">
      <c r="B5233" s="36"/>
    </row>
    <row r="5234" spans="2:2">
      <c r="B5234" s="36"/>
    </row>
    <row r="5235" spans="2:2">
      <c r="B5235" s="36"/>
    </row>
    <row r="5236" spans="2:2">
      <c r="B5236" s="36"/>
    </row>
    <row r="5237" spans="2:2">
      <c r="B5237" s="36"/>
    </row>
    <row r="5238" spans="2:2">
      <c r="B5238" s="36"/>
    </row>
    <row r="5239" spans="2:2">
      <c r="B5239" s="36"/>
    </row>
    <row r="5240" spans="2:2">
      <c r="B5240" s="36"/>
    </row>
    <row r="5241" spans="2:2">
      <c r="B5241" s="36"/>
    </row>
    <row r="5242" spans="2:2">
      <c r="B5242" s="36"/>
    </row>
    <row r="5243" spans="2:2">
      <c r="B5243" s="36"/>
    </row>
    <row r="5244" spans="2:2">
      <c r="B5244" s="36"/>
    </row>
    <row r="5245" spans="2:2">
      <c r="B5245" s="36"/>
    </row>
    <row r="5246" spans="2:2">
      <c r="B5246" s="36"/>
    </row>
    <row r="5247" spans="2:2">
      <c r="B5247" s="36"/>
    </row>
    <row r="5248" spans="2:2">
      <c r="B5248" s="36"/>
    </row>
    <row r="5249" spans="2:2">
      <c r="B5249" s="36"/>
    </row>
    <row r="5250" spans="2:2">
      <c r="B5250" s="36"/>
    </row>
    <row r="5251" spans="2:2">
      <c r="B5251" s="36"/>
    </row>
    <row r="5252" spans="2:2">
      <c r="B5252" s="36"/>
    </row>
    <row r="5253" spans="2:2">
      <c r="B5253" s="36"/>
    </row>
    <row r="5254" spans="2:2">
      <c r="B5254" s="36"/>
    </row>
    <row r="5255" spans="2:2">
      <c r="B5255" s="36"/>
    </row>
    <row r="5256" spans="2:2">
      <c r="B5256" s="36"/>
    </row>
    <row r="5257" spans="2:2">
      <c r="B5257" s="36"/>
    </row>
    <row r="5258" spans="2:2">
      <c r="B5258" s="36"/>
    </row>
    <row r="5259" spans="2:2">
      <c r="B5259" s="36"/>
    </row>
    <row r="5260" spans="2:2">
      <c r="B5260" s="36"/>
    </row>
    <row r="5261" spans="2:2">
      <c r="B5261" s="36"/>
    </row>
    <row r="5262" spans="2:2">
      <c r="B5262" s="36"/>
    </row>
    <row r="5263" spans="2:2">
      <c r="B5263" s="36"/>
    </row>
    <row r="5264" spans="2:2">
      <c r="B5264" s="36"/>
    </row>
    <row r="5265" spans="2:2">
      <c r="B5265" s="36"/>
    </row>
    <row r="5266" spans="2:2">
      <c r="B5266" s="36"/>
    </row>
    <row r="5267" spans="2:2">
      <c r="B5267" s="36"/>
    </row>
    <row r="5268" spans="2:2">
      <c r="B5268" s="36"/>
    </row>
    <row r="5269" spans="2:2">
      <c r="B5269" s="36"/>
    </row>
    <row r="5270" spans="2:2">
      <c r="B5270" s="36"/>
    </row>
    <row r="5271" spans="2:2">
      <c r="B5271" s="36"/>
    </row>
    <row r="5272" spans="2:2">
      <c r="B5272" s="36"/>
    </row>
    <row r="5273" spans="2:2">
      <c r="B5273" s="36"/>
    </row>
    <row r="5274" spans="2:2">
      <c r="B5274" s="36"/>
    </row>
    <row r="5275" spans="2:2">
      <c r="B5275" s="36"/>
    </row>
    <row r="5276" spans="2:2">
      <c r="B5276" s="36"/>
    </row>
    <row r="5277" spans="2:2">
      <c r="B5277" s="36"/>
    </row>
    <row r="5278" spans="2:2">
      <c r="B5278" s="36"/>
    </row>
    <row r="5279" spans="2:2">
      <c r="B5279" s="36"/>
    </row>
    <row r="5280" spans="2:2">
      <c r="B5280" s="36"/>
    </row>
    <row r="5281" spans="2:2">
      <c r="B5281" s="36"/>
    </row>
    <row r="5282" spans="2:2">
      <c r="B5282" s="36"/>
    </row>
    <row r="5283" spans="2:2">
      <c r="B5283" s="36"/>
    </row>
    <row r="5284" spans="2:2">
      <c r="B5284" s="36"/>
    </row>
    <row r="5285" spans="2:2">
      <c r="B5285" s="36"/>
    </row>
    <row r="5286" spans="2:2">
      <c r="B5286" s="36"/>
    </row>
    <row r="5287" spans="2:2">
      <c r="B5287" s="36"/>
    </row>
    <row r="5288" spans="2:2">
      <c r="B5288" s="36"/>
    </row>
    <row r="5289" spans="2:2">
      <c r="B5289" s="36"/>
    </row>
    <row r="5290" spans="2:2">
      <c r="B5290" s="36"/>
    </row>
    <row r="5291" spans="2:2">
      <c r="B5291" s="36"/>
    </row>
    <row r="5292" spans="2:2">
      <c r="B5292" s="36"/>
    </row>
    <row r="5293" spans="2:2">
      <c r="B5293" s="36"/>
    </row>
    <row r="5294" spans="2:2">
      <c r="B5294" s="36"/>
    </row>
    <row r="5295" spans="2:2">
      <c r="B5295" s="36"/>
    </row>
    <row r="5296" spans="2:2">
      <c r="B5296" s="36"/>
    </row>
    <row r="5297" spans="2:2">
      <c r="B5297" s="36"/>
    </row>
    <row r="5298" spans="2:2">
      <c r="B5298" s="36"/>
    </row>
    <row r="5299" spans="2:2">
      <c r="B5299" s="36"/>
    </row>
    <row r="5300" spans="2:2">
      <c r="B5300" s="36"/>
    </row>
    <row r="5301" spans="2:2">
      <c r="B5301" s="36"/>
    </row>
    <row r="5302" spans="2:2">
      <c r="B5302" s="36"/>
    </row>
    <row r="5303" spans="2:2">
      <c r="B5303" s="36"/>
    </row>
    <row r="5304" spans="2:2">
      <c r="B5304" s="36"/>
    </row>
    <row r="5305" spans="2:2">
      <c r="B5305" s="36"/>
    </row>
    <row r="5306" spans="2:2">
      <c r="B5306" s="36"/>
    </row>
    <row r="5307" spans="2:2">
      <c r="B5307" s="36"/>
    </row>
    <row r="5308" spans="2:2">
      <c r="B5308" s="36"/>
    </row>
    <row r="5309" spans="2:2">
      <c r="B5309" s="36"/>
    </row>
    <row r="5310" spans="2:2">
      <c r="B5310" s="36"/>
    </row>
    <row r="5311" spans="2:2">
      <c r="B5311" s="36"/>
    </row>
    <row r="5312" spans="2:2">
      <c r="B5312" s="36"/>
    </row>
    <row r="5313" spans="2:2">
      <c r="B5313" s="36"/>
    </row>
    <row r="5314" spans="2:2">
      <c r="B5314" s="36"/>
    </row>
    <row r="5315" spans="2:2">
      <c r="B5315" s="36"/>
    </row>
    <row r="5316" spans="2:2">
      <c r="B5316" s="36"/>
    </row>
    <row r="5317" spans="2:2">
      <c r="B5317" s="36"/>
    </row>
    <row r="5318" spans="2:2">
      <c r="B5318" s="36"/>
    </row>
    <row r="5319" spans="2:2">
      <c r="B5319" s="36"/>
    </row>
    <row r="5320" spans="2:2">
      <c r="B5320" s="36"/>
    </row>
    <row r="5321" spans="2:2">
      <c r="B5321" s="36"/>
    </row>
    <row r="5322" spans="2:2">
      <c r="B5322" s="36"/>
    </row>
    <row r="5323" spans="2:2">
      <c r="B5323" s="36"/>
    </row>
    <row r="5324" spans="2:2">
      <c r="B5324" s="36"/>
    </row>
    <row r="5325" spans="2:2">
      <c r="B5325" s="36"/>
    </row>
    <row r="5326" spans="2:2">
      <c r="B5326" s="36"/>
    </row>
    <row r="5327" spans="2:2">
      <c r="B5327" s="36"/>
    </row>
    <row r="5328" spans="2:2">
      <c r="B5328" s="36"/>
    </row>
    <row r="5329" spans="2:2">
      <c r="B5329" s="36"/>
    </row>
    <row r="5330" spans="2:2">
      <c r="B5330" s="36"/>
    </row>
    <row r="5331" spans="2:2">
      <c r="B5331" s="36"/>
    </row>
    <row r="5332" spans="2:2">
      <c r="B5332" s="36"/>
    </row>
    <row r="5333" spans="2:2">
      <c r="B5333" s="36"/>
    </row>
    <row r="5334" spans="2:2">
      <c r="B5334" s="36"/>
    </row>
    <row r="5335" spans="2:2">
      <c r="B5335" s="36"/>
    </row>
    <row r="5336" spans="2:2">
      <c r="B5336" s="36"/>
    </row>
    <row r="5337" spans="2:2">
      <c r="B5337" s="36"/>
    </row>
    <row r="5338" spans="2:2">
      <c r="B5338" s="36"/>
    </row>
    <row r="5339" spans="2:2">
      <c r="B5339" s="36"/>
    </row>
    <row r="5340" spans="2:2">
      <c r="B5340" s="36"/>
    </row>
    <row r="5341" spans="2:2">
      <c r="B5341" s="36"/>
    </row>
    <row r="5342" spans="2:2">
      <c r="B5342" s="36"/>
    </row>
    <row r="5343" spans="2:2">
      <c r="B5343" s="36"/>
    </row>
    <row r="5344" spans="2:2">
      <c r="B5344" s="36"/>
    </row>
    <row r="5345" spans="2:2">
      <c r="B5345" s="36"/>
    </row>
    <row r="5346" spans="2:2">
      <c r="B5346" s="36"/>
    </row>
    <row r="5347" spans="2:2">
      <c r="B5347" s="36"/>
    </row>
    <row r="5348" spans="2:2">
      <c r="B5348" s="36"/>
    </row>
    <row r="5349" spans="2:2">
      <c r="B5349" s="36"/>
    </row>
    <row r="5350" spans="2:2">
      <c r="B5350" s="36"/>
    </row>
    <row r="5351" spans="2:2">
      <c r="B5351" s="36"/>
    </row>
    <row r="5352" spans="2:2">
      <c r="B5352" s="36"/>
    </row>
    <row r="5353" spans="2:2">
      <c r="B5353" s="36"/>
    </row>
    <row r="5354" spans="2:2">
      <c r="B5354" s="36"/>
    </row>
    <row r="5355" spans="2:2">
      <c r="B5355" s="36"/>
    </row>
    <row r="5356" spans="2:2">
      <c r="B5356" s="36"/>
    </row>
    <row r="5357" spans="2:2">
      <c r="B5357" s="36"/>
    </row>
    <row r="5358" spans="2:2">
      <c r="B5358" s="36"/>
    </row>
    <row r="5359" spans="2:2">
      <c r="B5359" s="36"/>
    </row>
    <row r="5360" spans="2:2">
      <c r="B5360" s="36"/>
    </row>
    <row r="5361" spans="2:2">
      <c r="B5361" s="36"/>
    </row>
    <row r="5362" spans="2:2">
      <c r="B5362" s="36"/>
    </row>
    <row r="5363" spans="2:2">
      <c r="B5363" s="36"/>
    </row>
    <row r="5364" spans="2:2">
      <c r="B5364" s="36"/>
    </row>
    <row r="5365" spans="2:2">
      <c r="B5365" s="36"/>
    </row>
    <row r="5366" spans="2:2">
      <c r="B5366" s="36"/>
    </row>
    <row r="5367" spans="2:2">
      <c r="B5367" s="36"/>
    </row>
    <row r="5368" spans="2:2">
      <c r="B5368" s="36"/>
    </row>
    <row r="5369" spans="2:2">
      <c r="B5369" s="36"/>
    </row>
    <row r="5370" spans="2:2">
      <c r="B5370" s="36"/>
    </row>
    <row r="5371" spans="2:2">
      <c r="B5371" s="36"/>
    </row>
    <row r="5372" spans="2:2">
      <c r="B5372" s="36"/>
    </row>
    <row r="5373" spans="2:2">
      <c r="B5373" s="36"/>
    </row>
    <row r="5374" spans="2:2">
      <c r="B5374" s="36"/>
    </row>
    <row r="5375" spans="2:2">
      <c r="B5375" s="36"/>
    </row>
    <row r="5376" spans="2:2">
      <c r="B5376" s="36"/>
    </row>
    <row r="5377" spans="2:2">
      <c r="B5377" s="36"/>
    </row>
    <row r="5378" spans="2:2">
      <c r="B5378" s="36"/>
    </row>
    <row r="5379" spans="2:2">
      <c r="B5379" s="36"/>
    </row>
    <row r="5380" spans="2:2">
      <c r="B5380" s="36"/>
    </row>
    <row r="5381" spans="2:2">
      <c r="B5381" s="36"/>
    </row>
    <row r="5382" spans="2:2">
      <c r="B5382" s="36"/>
    </row>
    <row r="5383" spans="2:2">
      <c r="B5383" s="36"/>
    </row>
    <row r="5384" spans="2:2">
      <c r="B5384" s="36"/>
    </row>
    <row r="5385" spans="2:2">
      <c r="B5385" s="36"/>
    </row>
    <row r="5386" spans="2:2">
      <c r="B5386" s="36"/>
    </row>
    <row r="5387" spans="2:2">
      <c r="B5387" s="36"/>
    </row>
    <row r="5388" spans="2:2">
      <c r="B5388" s="36"/>
    </row>
    <row r="5389" spans="2:2">
      <c r="B5389" s="36"/>
    </row>
    <row r="5390" spans="2:2">
      <c r="B5390" s="36"/>
    </row>
    <row r="5391" spans="2:2">
      <c r="B5391" s="36"/>
    </row>
    <row r="5392" spans="2:2">
      <c r="B5392" s="36"/>
    </row>
    <row r="5393" spans="2:2">
      <c r="B5393" s="36"/>
    </row>
    <row r="5394" spans="2:2">
      <c r="B5394" s="36"/>
    </row>
    <row r="5395" spans="2:2">
      <c r="B5395" s="36"/>
    </row>
    <row r="5396" spans="2:2">
      <c r="B5396" s="36"/>
    </row>
    <row r="5397" spans="2:2">
      <c r="B5397" s="36"/>
    </row>
    <row r="5398" spans="2:2">
      <c r="B5398" s="36"/>
    </row>
    <row r="5399" spans="2:2">
      <c r="B5399" s="36"/>
    </row>
    <row r="5400" spans="2:2">
      <c r="B5400" s="36"/>
    </row>
    <row r="5401" spans="2:2">
      <c r="B5401" s="36"/>
    </row>
    <row r="5402" spans="2:2">
      <c r="B5402" s="36"/>
    </row>
    <row r="5403" spans="2:2">
      <c r="B5403" s="36"/>
    </row>
    <row r="5404" spans="2:2">
      <c r="B5404" s="36"/>
    </row>
    <row r="5405" spans="2:2">
      <c r="B5405" s="36"/>
    </row>
    <row r="5406" spans="2:2">
      <c r="B5406" s="36"/>
    </row>
    <row r="5407" spans="2:2">
      <c r="B5407" s="36"/>
    </row>
    <row r="5408" spans="2:2">
      <c r="B5408" s="36"/>
    </row>
    <row r="5409" spans="2:2">
      <c r="B5409" s="36"/>
    </row>
    <row r="5410" spans="2:2">
      <c r="B5410" s="36"/>
    </row>
    <row r="5411" spans="2:2">
      <c r="B5411" s="36"/>
    </row>
    <row r="5412" spans="2:2">
      <c r="B5412" s="36"/>
    </row>
    <row r="5413" spans="2:2">
      <c r="B5413" s="36"/>
    </row>
    <row r="5414" spans="2:2">
      <c r="B5414" s="36"/>
    </row>
    <row r="5415" spans="2:2">
      <c r="B5415" s="36"/>
    </row>
    <row r="5416" spans="2:2">
      <c r="B5416" s="36"/>
    </row>
    <row r="5417" spans="2:2">
      <c r="B5417" s="36"/>
    </row>
    <row r="5418" spans="2:2">
      <c r="B5418" s="36"/>
    </row>
    <row r="5419" spans="2:2">
      <c r="B5419" s="36"/>
    </row>
    <row r="5420" spans="2:2">
      <c r="B5420" s="36"/>
    </row>
    <row r="5421" spans="2:2">
      <c r="B5421" s="36"/>
    </row>
    <row r="5422" spans="2:2">
      <c r="B5422" s="36"/>
    </row>
    <row r="5423" spans="2:2">
      <c r="B5423" s="36"/>
    </row>
    <row r="5424" spans="2:2">
      <c r="B5424" s="36"/>
    </row>
    <row r="5425" spans="2:2">
      <c r="B5425" s="36"/>
    </row>
    <row r="5426" spans="2:2">
      <c r="B5426" s="36"/>
    </row>
    <row r="5427" spans="2:2">
      <c r="B5427" s="36"/>
    </row>
    <row r="5428" spans="2:2">
      <c r="B5428" s="36"/>
    </row>
    <row r="5429" spans="2:2">
      <c r="B5429" s="36"/>
    </row>
    <row r="5430" spans="2:2">
      <c r="B5430" s="36"/>
    </row>
    <row r="5431" spans="2:2">
      <c r="B5431" s="36"/>
    </row>
    <row r="5432" spans="2:2">
      <c r="B5432" s="36"/>
    </row>
    <row r="5433" spans="2:2">
      <c r="B5433" s="36"/>
    </row>
    <row r="5434" spans="2:2">
      <c r="B5434" s="36"/>
    </row>
    <row r="5435" spans="2:2">
      <c r="B5435" s="36"/>
    </row>
    <row r="5436" spans="2:2">
      <c r="B5436" s="36"/>
    </row>
    <row r="5437" spans="2:2">
      <c r="B5437" s="36"/>
    </row>
    <row r="5438" spans="2:2">
      <c r="B5438" s="36"/>
    </row>
    <row r="5439" spans="2:2">
      <c r="B5439" s="36"/>
    </row>
    <row r="5440" spans="2:2">
      <c r="B5440" s="36"/>
    </row>
    <row r="5441" spans="2:2">
      <c r="B5441" s="36"/>
    </row>
    <row r="5442" spans="2:2">
      <c r="B5442" s="36"/>
    </row>
    <row r="5443" spans="2:2">
      <c r="B5443" s="36"/>
    </row>
    <row r="5444" spans="2:2">
      <c r="B5444" s="36"/>
    </row>
    <row r="5445" spans="2:2">
      <c r="B5445" s="36"/>
    </row>
    <row r="5446" spans="2:2">
      <c r="B5446" s="36"/>
    </row>
    <row r="5447" spans="2:2">
      <c r="B5447" s="36"/>
    </row>
    <row r="5448" spans="2:2">
      <c r="B5448" s="36"/>
    </row>
    <row r="5449" spans="2:2">
      <c r="B5449" s="36"/>
    </row>
    <row r="5450" spans="2:2">
      <c r="B5450" s="36"/>
    </row>
    <row r="5451" spans="2:2">
      <c r="B5451" s="36"/>
    </row>
    <row r="5452" spans="2:2">
      <c r="B5452" s="36"/>
    </row>
    <row r="5453" spans="2:2">
      <c r="B5453" s="36"/>
    </row>
    <row r="5454" spans="2:2">
      <c r="B5454" s="36"/>
    </row>
    <row r="5455" spans="2:2">
      <c r="B5455" s="36"/>
    </row>
    <row r="5456" spans="2:2">
      <c r="B5456" s="36"/>
    </row>
    <row r="5457" spans="2:2">
      <c r="B5457" s="36"/>
    </row>
    <row r="5458" spans="2:2">
      <c r="B5458" s="36"/>
    </row>
    <row r="5459" spans="2:2">
      <c r="B5459" s="36"/>
    </row>
    <row r="5460" spans="2:2">
      <c r="B5460" s="36"/>
    </row>
    <row r="5461" spans="2:2">
      <c r="B5461" s="36"/>
    </row>
    <row r="5462" spans="2:2">
      <c r="B5462" s="36"/>
    </row>
    <row r="5463" spans="2:2">
      <c r="B5463" s="36"/>
    </row>
    <row r="5464" spans="2:2">
      <c r="B5464" s="36"/>
    </row>
    <row r="5465" spans="2:2">
      <c r="B5465" s="36"/>
    </row>
    <row r="5466" spans="2:2">
      <c r="B5466" s="36"/>
    </row>
    <row r="5467" spans="2:2">
      <c r="B5467" s="36"/>
    </row>
    <row r="5468" spans="2:2">
      <c r="B5468" s="36"/>
    </row>
    <row r="5469" spans="2:2">
      <c r="B5469" s="36"/>
    </row>
    <row r="5470" spans="2:2">
      <c r="B5470" s="36"/>
    </row>
    <row r="5471" spans="2:2">
      <c r="B5471" s="36"/>
    </row>
    <row r="5472" spans="2:2">
      <c r="B5472" s="36"/>
    </row>
    <row r="5473" spans="2:2">
      <c r="B5473" s="36"/>
    </row>
    <row r="5474" spans="2:2">
      <c r="B5474" s="36"/>
    </row>
    <row r="5475" spans="2:2">
      <c r="B5475" s="36"/>
    </row>
    <row r="5476" spans="2:2">
      <c r="B5476" s="36"/>
    </row>
    <row r="5477" spans="2:2">
      <c r="B5477" s="36"/>
    </row>
    <row r="5478" spans="2:2">
      <c r="B5478" s="36"/>
    </row>
    <row r="5479" spans="2:2">
      <c r="B5479" s="36"/>
    </row>
    <row r="5480" spans="2:2">
      <c r="B5480" s="36"/>
    </row>
    <row r="5481" spans="2:2">
      <c r="B5481" s="36"/>
    </row>
    <row r="5482" spans="2:2">
      <c r="B5482" s="36"/>
    </row>
    <row r="5483" spans="2:2">
      <c r="B5483" s="36"/>
    </row>
    <row r="5484" spans="2:2">
      <c r="B5484" s="36"/>
    </row>
    <row r="5485" spans="2:2">
      <c r="B5485" s="36"/>
    </row>
    <row r="5486" spans="2:2">
      <c r="B5486" s="36"/>
    </row>
    <row r="5487" spans="2:2">
      <c r="B5487" s="36"/>
    </row>
    <row r="5488" spans="2:2">
      <c r="B5488" s="36"/>
    </row>
    <row r="5489" spans="2:2">
      <c r="B5489" s="36"/>
    </row>
    <row r="5490" spans="2:2">
      <c r="B5490" s="36"/>
    </row>
    <row r="5491" spans="2:2">
      <c r="B5491" s="36"/>
    </row>
    <row r="5492" spans="2:2">
      <c r="B5492" s="36"/>
    </row>
    <row r="5493" spans="2:2">
      <c r="B5493" s="36"/>
    </row>
    <row r="5494" spans="2:2">
      <c r="B5494" s="36"/>
    </row>
    <row r="5495" spans="2:2">
      <c r="B5495" s="36"/>
    </row>
    <row r="5496" spans="2:2">
      <c r="B5496" s="36"/>
    </row>
    <row r="5497" spans="2:2">
      <c r="B5497" s="36"/>
    </row>
    <row r="5498" spans="2:2">
      <c r="B5498" s="36"/>
    </row>
    <row r="5499" spans="2:2">
      <c r="B5499" s="36"/>
    </row>
    <row r="5500" spans="2:2">
      <c r="B5500" s="36"/>
    </row>
    <row r="5501" spans="2:2">
      <c r="B5501" s="36"/>
    </row>
    <row r="5502" spans="2:2">
      <c r="B5502" s="36"/>
    </row>
    <row r="5503" spans="2:2">
      <c r="B5503" s="36"/>
    </row>
    <row r="5504" spans="2:2">
      <c r="B5504" s="36"/>
    </row>
    <row r="5505" spans="2:2">
      <c r="B5505" s="36"/>
    </row>
    <row r="5506" spans="2:2">
      <c r="B5506" s="36"/>
    </row>
    <row r="5507" spans="2:2">
      <c r="B5507" s="36"/>
    </row>
    <row r="5508" spans="2:2">
      <c r="B5508" s="36"/>
    </row>
    <row r="5509" spans="2:2">
      <c r="B5509" s="36"/>
    </row>
    <row r="5510" spans="2:2">
      <c r="B5510" s="36"/>
    </row>
    <row r="5511" spans="2:2">
      <c r="B5511" s="36"/>
    </row>
    <row r="5512" spans="2:2">
      <c r="B5512" s="36"/>
    </row>
    <row r="5513" spans="2:2">
      <c r="B5513" s="36"/>
    </row>
    <row r="5514" spans="2:2">
      <c r="B5514" s="36"/>
    </row>
    <row r="5515" spans="2:2">
      <c r="B5515" s="36"/>
    </row>
    <row r="5516" spans="2:2">
      <c r="B5516" s="36"/>
    </row>
    <row r="5517" spans="2:2">
      <c r="B5517" s="36"/>
    </row>
    <row r="5518" spans="2:2">
      <c r="B5518" s="36"/>
    </row>
    <row r="5519" spans="2:2">
      <c r="B5519" s="36"/>
    </row>
    <row r="5520" spans="2:2">
      <c r="B5520" s="36"/>
    </row>
    <row r="5521" spans="2:2">
      <c r="B5521" s="36"/>
    </row>
    <row r="5522" spans="2:2">
      <c r="B5522" s="36"/>
    </row>
    <row r="5523" spans="2:2">
      <c r="B5523" s="36"/>
    </row>
    <row r="5524" spans="2:2">
      <c r="B5524" s="36"/>
    </row>
    <row r="5525" spans="2:2">
      <c r="B5525" s="36"/>
    </row>
    <row r="5526" spans="2:2">
      <c r="B5526" s="36"/>
    </row>
    <row r="5527" spans="2:2">
      <c r="B5527" s="36"/>
    </row>
    <row r="5528" spans="2:2">
      <c r="B5528" s="36"/>
    </row>
    <row r="5529" spans="2:2">
      <c r="B5529" s="36"/>
    </row>
    <row r="5530" spans="2:2">
      <c r="B5530" s="36"/>
    </row>
    <row r="5531" spans="2:2">
      <c r="B5531" s="36"/>
    </row>
    <row r="5532" spans="2:2">
      <c r="B5532" s="36"/>
    </row>
    <row r="5533" spans="2:2">
      <c r="B5533" s="36"/>
    </row>
    <row r="5534" spans="2:2">
      <c r="B5534" s="36"/>
    </row>
    <row r="5535" spans="2:2">
      <c r="B5535" s="36"/>
    </row>
    <row r="5536" spans="2:2">
      <c r="B5536" s="36"/>
    </row>
    <row r="5537" spans="2:2">
      <c r="B5537" s="36"/>
    </row>
    <row r="5538" spans="2:2">
      <c r="B5538" s="36"/>
    </row>
    <row r="5539" spans="2:2">
      <c r="B5539" s="36"/>
    </row>
    <row r="5540" spans="2:2">
      <c r="B5540" s="36"/>
    </row>
    <row r="5541" spans="2:2">
      <c r="B5541" s="36"/>
    </row>
    <row r="5542" spans="2:2">
      <c r="B5542" s="36"/>
    </row>
    <row r="5543" spans="2:2">
      <c r="B5543" s="36"/>
    </row>
    <row r="5544" spans="2:2">
      <c r="B5544" s="36"/>
    </row>
    <row r="5545" spans="2:2">
      <c r="B5545" s="36"/>
    </row>
    <row r="5546" spans="2:2">
      <c r="B5546" s="36"/>
    </row>
    <row r="5547" spans="2:2">
      <c r="B5547" s="36"/>
    </row>
    <row r="5548" spans="2:2">
      <c r="B5548" s="36"/>
    </row>
    <row r="5549" spans="2:2">
      <c r="B5549" s="36"/>
    </row>
    <row r="5550" spans="2:2">
      <c r="B5550" s="36"/>
    </row>
    <row r="5551" spans="2:2">
      <c r="B5551" s="36"/>
    </row>
    <row r="5552" spans="2:2">
      <c r="B5552" s="36"/>
    </row>
    <row r="5553" spans="2:2">
      <c r="B5553" s="36"/>
    </row>
    <row r="5554" spans="2:2">
      <c r="B5554" s="36"/>
    </row>
    <row r="5555" spans="2:2">
      <c r="B5555" s="36"/>
    </row>
    <row r="5556" spans="2:2">
      <c r="B5556" s="36"/>
    </row>
    <row r="5557" spans="2:2">
      <c r="B5557" s="36"/>
    </row>
    <row r="5558" spans="2:2">
      <c r="B5558" s="36"/>
    </row>
    <row r="5559" spans="2:2">
      <c r="B5559" s="36"/>
    </row>
    <row r="5560" spans="2:2">
      <c r="B5560" s="36"/>
    </row>
    <row r="5561" spans="2:2">
      <c r="B5561" s="36"/>
    </row>
    <row r="5562" spans="2:2">
      <c r="B5562" s="36"/>
    </row>
    <row r="5563" spans="2:2">
      <c r="B5563" s="36"/>
    </row>
    <row r="5564" spans="2:2">
      <c r="B5564" s="36"/>
    </row>
    <row r="5565" spans="2:2">
      <c r="B5565" s="36"/>
    </row>
    <row r="5566" spans="2:2">
      <c r="B5566" s="36"/>
    </row>
    <row r="5567" spans="2:2">
      <c r="B5567" s="36"/>
    </row>
    <row r="5568" spans="2:2">
      <c r="B5568" s="36"/>
    </row>
    <row r="5569" spans="2:2">
      <c r="B5569" s="36"/>
    </row>
    <row r="5570" spans="2:2">
      <c r="B5570" s="36"/>
    </row>
    <row r="5571" spans="2:2">
      <c r="B5571" s="36"/>
    </row>
    <row r="5572" spans="2:2">
      <c r="B5572" s="36"/>
    </row>
    <row r="5573" spans="2:2">
      <c r="B5573" s="36"/>
    </row>
    <row r="5574" spans="2:2">
      <c r="B5574" s="36"/>
    </row>
    <row r="5575" spans="2:2">
      <c r="B5575" s="36"/>
    </row>
    <row r="5576" spans="2:2">
      <c r="B5576" s="36"/>
    </row>
    <row r="5577" spans="2:2">
      <c r="B5577" s="36"/>
    </row>
    <row r="5578" spans="2:2">
      <c r="B5578" s="36"/>
    </row>
    <row r="5579" spans="2:2">
      <c r="B5579" s="36"/>
    </row>
    <row r="5580" spans="2:2">
      <c r="B5580" s="36"/>
    </row>
    <row r="5581" spans="2:2">
      <c r="B5581" s="36"/>
    </row>
    <row r="5582" spans="2:2">
      <c r="B5582" s="36"/>
    </row>
    <row r="5583" spans="2:2">
      <c r="B5583" s="36"/>
    </row>
    <row r="5584" spans="2:2">
      <c r="B5584" s="36"/>
    </row>
    <row r="5585" spans="2:2">
      <c r="B5585" s="36"/>
    </row>
    <row r="5586" spans="2:2">
      <c r="B5586" s="36"/>
    </row>
    <row r="5587" spans="2:2">
      <c r="B5587" s="36"/>
    </row>
    <row r="5588" spans="2:2">
      <c r="B5588" s="36"/>
    </row>
    <row r="5589" spans="2:2">
      <c r="B5589" s="36"/>
    </row>
    <row r="5590" spans="2:2">
      <c r="B5590" s="36"/>
    </row>
    <row r="5591" spans="2:2">
      <c r="B5591" s="36"/>
    </row>
    <row r="5592" spans="2:2">
      <c r="B5592" s="36"/>
    </row>
    <row r="5593" spans="2:2">
      <c r="B5593" s="36"/>
    </row>
    <row r="5594" spans="2:2">
      <c r="B5594" s="36"/>
    </row>
    <row r="5595" spans="2:2">
      <c r="B5595" s="36"/>
    </row>
    <row r="5596" spans="2:2">
      <c r="B5596" s="36"/>
    </row>
    <row r="5597" spans="2:2">
      <c r="B5597" s="36"/>
    </row>
    <row r="5598" spans="2:2">
      <c r="B5598" s="36"/>
    </row>
    <row r="5599" spans="2:2">
      <c r="B5599" s="36"/>
    </row>
    <row r="5600" spans="2:2">
      <c r="B5600" s="36"/>
    </row>
    <row r="5601" spans="2:2">
      <c r="B5601" s="36"/>
    </row>
    <row r="5602" spans="2:2">
      <c r="B5602" s="36"/>
    </row>
    <row r="5603" spans="2:2">
      <c r="B5603" s="36"/>
    </row>
    <row r="5604" spans="2:2">
      <c r="B5604" s="36"/>
    </row>
    <row r="5605" spans="2:2">
      <c r="B5605" s="36"/>
    </row>
    <row r="5606" spans="2:2">
      <c r="B5606" s="36"/>
    </row>
    <row r="5607" spans="2:2">
      <c r="B5607" s="36"/>
    </row>
    <row r="5608" spans="2:2">
      <c r="B5608" s="36"/>
    </row>
    <row r="5609" spans="2:2">
      <c r="B5609" s="36"/>
    </row>
    <row r="5610" spans="2:2">
      <c r="B5610" s="36"/>
    </row>
    <row r="5611" spans="2:2">
      <c r="B5611" s="36"/>
    </row>
    <row r="5612" spans="2:2">
      <c r="B5612" s="36"/>
    </row>
    <row r="5613" spans="2:2">
      <c r="B5613" s="36"/>
    </row>
    <row r="5614" spans="2:2">
      <c r="B5614" s="36"/>
    </row>
    <row r="5615" spans="2:2">
      <c r="B5615" s="36"/>
    </row>
    <row r="5616" spans="2:2">
      <c r="B5616" s="36"/>
    </row>
    <row r="5617" spans="2:2">
      <c r="B5617" s="36"/>
    </row>
    <row r="5618" spans="2:2">
      <c r="B5618" s="36"/>
    </row>
    <row r="5619" spans="2:2">
      <c r="B5619" s="36"/>
    </row>
    <row r="5620" spans="2:2">
      <c r="B5620" s="36"/>
    </row>
    <row r="5621" spans="2:2">
      <c r="B5621" s="36"/>
    </row>
    <row r="5622" spans="2:2">
      <c r="B5622" s="36"/>
    </row>
    <row r="5623" spans="2:2">
      <c r="B5623" s="36"/>
    </row>
    <row r="5624" spans="2:2">
      <c r="B5624" s="36"/>
    </row>
    <row r="5625" spans="2:2">
      <c r="B5625" s="36"/>
    </row>
    <row r="5626" spans="2:2">
      <c r="B5626" s="36"/>
    </row>
    <row r="5627" spans="2:2">
      <c r="B5627" s="36"/>
    </row>
    <row r="5628" spans="2:2">
      <c r="B5628" s="36"/>
    </row>
    <row r="5629" spans="2:2">
      <c r="B5629" s="36"/>
    </row>
    <row r="5630" spans="2:2">
      <c r="B5630" s="36"/>
    </row>
    <row r="5631" spans="2:2">
      <c r="B5631" s="36"/>
    </row>
    <row r="5632" spans="2:2">
      <c r="B5632" s="36"/>
    </row>
    <row r="5633" spans="2:2">
      <c r="B5633" s="36"/>
    </row>
    <row r="5634" spans="2:2">
      <c r="B5634" s="36"/>
    </row>
    <row r="5635" spans="2:2">
      <c r="B5635" s="36"/>
    </row>
    <row r="5636" spans="2:2">
      <c r="B5636" s="36"/>
    </row>
    <row r="5637" spans="2:2">
      <c r="B5637" s="36"/>
    </row>
    <row r="5638" spans="2:2">
      <c r="B5638" s="36"/>
    </row>
    <row r="5639" spans="2:2">
      <c r="B5639" s="36"/>
    </row>
    <row r="5640" spans="2:2">
      <c r="B5640" s="36"/>
    </row>
    <row r="5641" spans="2:2">
      <c r="B5641" s="36"/>
    </row>
    <row r="5642" spans="2:2">
      <c r="B5642" s="36"/>
    </row>
    <row r="5643" spans="2:2">
      <c r="B5643" s="36"/>
    </row>
    <row r="5644" spans="2:2">
      <c r="B5644" s="36"/>
    </row>
    <row r="5645" spans="2:2">
      <c r="B5645" s="36"/>
    </row>
    <row r="5646" spans="2:2">
      <c r="B5646" s="36"/>
    </row>
    <row r="5647" spans="2:2">
      <c r="B5647" s="36"/>
    </row>
    <row r="5648" spans="2:2">
      <c r="B5648" s="36"/>
    </row>
    <row r="5649" spans="2:2">
      <c r="B5649" s="36"/>
    </row>
    <row r="5650" spans="2:2">
      <c r="B5650" s="36"/>
    </row>
    <row r="5651" spans="2:2">
      <c r="B5651" s="36"/>
    </row>
    <row r="5652" spans="2:2">
      <c r="B5652" s="36"/>
    </row>
    <row r="5653" spans="2:2">
      <c r="B5653" s="36"/>
    </row>
    <row r="5654" spans="2:2">
      <c r="B5654" s="36"/>
    </row>
    <row r="5655" spans="2:2">
      <c r="B5655" s="36"/>
    </row>
    <row r="5656" spans="2:2">
      <c r="B5656" s="36"/>
    </row>
    <row r="5657" spans="2:2">
      <c r="B5657" s="36"/>
    </row>
    <row r="5658" spans="2:2">
      <c r="B5658" s="36"/>
    </row>
    <row r="5659" spans="2:2">
      <c r="B5659" s="36"/>
    </row>
    <row r="5660" spans="2:2">
      <c r="B5660" s="36"/>
    </row>
    <row r="5661" spans="2:2">
      <c r="B5661" s="36"/>
    </row>
    <row r="5662" spans="2:2">
      <c r="B5662" s="36"/>
    </row>
    <row r="5663" spans="2:2">
      <c r="B5663" s="36"/>
    </row>
    <row r="5664" spans="2:2">
      <c r="B5664" s="36"/>
    </row>
    <row r="5665" spans="2:2">
      <c r="B5665" s="36"/>
    </row>
    <row r="5666" spans="2:2">
      <c r="B5666" s="36"/>
    </row>
    <row r="5667" spans="2:2">
      <c r="B5667" s="36"/>
    </row>
    <row r="5668" spans="2:2">
      <c r="B5668" s="36"/>
    </row>
    <row r="5669" spans="2:2">
      <c r="B5669" s="36"/>
    </row>
    <row r="5670" spans="2:2">
      <c r="B5670" s="36"/>
    </row>
    <row r="5671" spans="2:2">
      <c r="B5671" s="36"/>
    </row>
    <row r="5672" spans="2:2">
      <c r="B5672" s="36"/>
    </row>
    <row r="5673" spans="2:2">
      <c r="B5673" s="36"/>
    </row>
    <row r="5674" spans="2:2">
      <c r="B5674" s="36"/>
    </row>
    <row r="5675" spans="2:2">
      <c r="B5675" s="36"/>
    </row>
    <row r="5676" spans="2:2">
      <c r="B5676" s="36"/>
    </row>
    <row r="5677" spans="2:2">
      <c r="B5677" s="36"/>
    </row>
    <row r="5678" spans="2:2">
      <c r="B5678" s="36"/>
    </row>
    <row r="5679" spans="2:2">
      <c r="B5679" s="36"/>
    </row>
    <row r="5680" spans="2:2">
      <c r="B5680" s="36"/>
    </row>
    <row r="5681" spans="2:2">
      <c r="B5681" s="36"/>
    </row>
    <row r="5682" spans="2:2">
      <c r="B5682" s="36"/>
    </row>
    <row r="5683" spans="2:2">
      <c r="B5683" s="36"/>
    </row>
    <row r="5684" spans="2:2">
      <c r="B5684" s="36"/>
    </row>
    <row r="5685" spans="2:2">
      <c r="B5685" s="36"/>
    </row>
    <row r="5686" spans="2:2">
      <c r="B5686" s="36"/>
    </row>
    <row r="5687" spans="2:2">
      <c r="B5687" s="36"/>
    </row>
    <row r="5688" spans="2:2">
      <c r="B5688" s="36"/>
    </row>
    <row r="5689" spans="2:2">
      <c r="B5689" s="36"/>
    </row>
    <row r="5690" spans="2:2">
      <c r="B5690" s="36"/>
    </row>
    <row r="5691" spans="2:2">
      <c r="B5691" s="36"/>
    </row>
    <row r="5692" spans="2:2">
      <c r="B5692" s="36"/>
    </row>
    <row r="5693" spans="2:2">
      <c r="B5693" s="36"/>
    </row>
    <row r="5694" spans="2:2">
      <c r="B5694" s="36"/>
    </row>
    <row r="5695" spans="2:2">
      <c r="B5695" s="36"/>
    </row>
    <row r="5696" spans="2:2">
      <c r="B5696" s="36"/>
    </row>
    <row r="5697" spans="2:2">
      <c r="B5697" s="36"/>
    </row>
    <row r="5698" spans="2:2">
      <c r="B5698" s="36"/>
    </row>
    <row r="5699" spans="2:2">
      <c r="B5699" s="36"/>
    </row>
    <row r="5700" spans="2:2">
      <c r="B5700" s="36"/>
    </row>
    <row r="5701" spans="2:2">
      <c r="B5701" s="36"/>
    </row>
    <row r="5702" spans="2:2">
      <c r="B5702" s="36"/>
    </row>
    <row r="5703" spans="2:2">
      <c r="B5703" s="36"/>
    </row>
    <row r="5704" spans="2:2">
      <c r="B5704" s="36"/>
    </row>
    <row r="5705" spans="2:2">
      <c r="B5705" s="36"/>
    </row>
    <row r="5706" spans="2:2">
      <c r="B5706" s="36"/>
    </row>
    <row r="5707" spans="2:2">
      <c r="B5707" s="36"/>
    </row>
    <row r="5708" spans="2:2">
      <c r="B5708" s="36"/>
    </row>
    <row r="5709" spans="2:2">
      <c r="B5709" s="36"/>
    </row>
    <row r="5710" spans="2:2">
      <c r="B5710" s="36"/>
    </row>
    <row r="5711" spans="2:2">
      <c r="B5711" s="36"/>
    </row>
    <row r="5712" spans="2:2">
      <c r="B5712" s="36"/>
    </row>
    <row r="5713" spans="2:2">
      <c r="B5713" s="36"/>
    </row>
    <row r="5714" spans="2:2">
      <c r="B5714" s="36"/>
    </row>
    <row r="5715" spans="2:2">
      <c r="B5715" s="36"/>
    </row>
    <row r="5716" spans="2:2">
      <c r="B5716" s="36"/>
    </row>
    <row r="5717" spans="2:2">
      <c r="B5717" s="36"/>
    </row>
    <row r="5718" spans="2:2">
      <c r="B5718" s="36"/>
    </row>
    <row r="5719" spans="2:2">
      <c r="B5719" s="36"/>
    </row>
    <row r="5720" spans="2:2">
      <c r="B5720" s="36"/>
    </row>
    <row r="5721" spans="2:2">
      <c r="B5721" s="36"/>
    </row>
    <row r="5722" spans="2:2">
      <c r="B5722" s="36"/>
    </row>
    <row r="5723" spans="2:2">
      <c r="B5723" s="36"/>
    </row>
    <row r="5724" spans="2:2">
      <c r="B5724" s="36"/>
    </row>
    <row r="5725" spans="2:2">
      <c r="B5725" s="36"/>
    </row>
    <row r="5726" spans="2:2">
      <c r="B5726" s="36"/>
    </row>
    <row r="5727" spans="2:2">
      <c r="B5727" s="36"/>
    </row>
    <row r="5728" spans="2:2">
      <c r="B5728" s="36"/>
    </row>
    <row r="5729" spans="2:2">
      <c r="B5729" s="36"/>
    </row>
    <row r="5730" spans="2:2">
      <c r="B5730" s="36"/>
    </row>
    <row r="5731" spans="2:2">
      <c r="B5731" s="36"/>
    </row>
    <row r="5732" spans="2:2">
      <c r="B5732" s="36"/>
    </row>
    <row r="5733" spans="2:2">
      <c r="B5733" s="36"/>
    </row>
    <row r="5734" spans="2:2">
      <c r="B5734" s="36"/>
    </row>
    <row r="5735" spans="2:2">
      <c r="B5735" s="36"/>
    </row>
    <row r="5736" spans="2:2">
      <c r="B5736" s="36"/>
    </row>
    <row r="5737" spans="2:2">
      <c r="B5737" s="36"/>
    </row>
    <row r="5738" spans="2:2">
      <c r="B5738" s="36"/>
    </row>
    <row r="5739" spans="2:2">
      <c r="B5739" s="36"/>
    </row>
    <row r="5740" spans="2:2">
      <c r="B5740" s="36"/>
    </row>
    <row r="5741" spans="2:2">
      <c r="B5741" s="36"/>
    </row>
    <row r="5742" spans="2:2">
      <c r="B5742" s="36"/>
    </row>
    <row r="5743" spans="2:2">
      <c r="B5743" s="36"/>
    </row>
    <row r="5744" spans="2:2">
      <c r="B5744" s="36"/>
    </row>
    <row r="5745" spans="2:2">
      <c r="B5745" s="36"/>
    </row>
    <row r="5746" spans="2:2">
      <c r="B5746" s="36"/>
    </row>
    <row r="5747" spans="2:2">
      <c r="B5747" s="36"/>
    </row>
    <row r="5748" spans="2:2">
      <c r="B5748" s="36"/>
    </row>
    <row r="5749" spans="2:2">
      <c r="B5749" s="36"/>
    </row>
    <row r="5750" spans="2:2">
      <c r="B5750" s="36"/>
    </row>
    <row r="5751" spans="2:2">
      <c r="B5751" s="36"/>
    </row>
    <row r="5752" spans="2:2">
      <c r="B5752" s="36"/>
    </row>
    <row r="5753" spans="2:2">
      <c r="B5753" s="36"/>
    </row>
    <row r="5754" spans="2:2">
      <c r="B5754" s="36"/>
    </row>
    <row r="5755" spans="2:2">
      <c r="B5755" s="36"/>
    </row>
    <row r="5756" spans="2:2">
      <c r="B5756" s="36"/>
    </row>
    <row r="5757" spans="2:2">
      <c r="B5757" s="36"/>
    </row>
    <row r="5758" spans="2:2">
      <c r="B5758" s="36"/>
    </row>
    <row r="5759" spans="2:2">
      <c r="B5759" s="36"/>
    </row>
    <row r="5760" spans="2:2">
      <c r="B5760" s="36"/>
    </row>
    <row r="5761" spans="2:2">
      <c r="B5761" s="36"/>
    </row>
    <row r="5762" spans="2:2">
      <c r="B5762" s="36"/>
    </row>
    <row r="5763" spans="2:2">
      <c r="B5763" s="36"/>
    </row>
    <row r="5764" spans="2:2">
      <c r="B5764" s="36"/>
    </row>
    <row r="5765" spans="2:2">
      <c r="B5765" s="36"/>
    </row>
    <row r="5766" spans="2:2">
      <c r="B5766" s="36"/>
    </row>
    <row r="5767" spans="2:2">
      <c r="B5767" s="36"/>
    </row>
    <row r="5768" spans="2:2">
      <c r="B5768" s="36"/>
    </row>
    <row r="5769" spans="2:2">
      <c r="B5769" s="36"/>
    </row>
    <row r="5770" spans="2:2">
      <c r="B5770" s="36"/>
    </row>
    <row r="5771" spans="2:2">
      <c r="B5771" s="36"/>
    </row>
    <row r="5772" spans="2:2">
      <c r="B5772" s="36"/>
    </row>
    <row r="5773" spans="2:2">
      <c r="B5773" s="36"/>
    </row>
    <row r="5774" spans="2:2">
      <c r="B5774" s="36"/>
    </row>
    <row r="5775" spans="2:2">
      <c r="B5775" s="36"/>
    </row>
    <row r="5776" spans="2:2">
      <c r="B5776" s="36"/>
    </row>
    <row r="5777" spans="2:2">
      <c r="B5777" s="36"/>
    </row>
    <row r="5778" spans="2:2">
      <c r="B5778" s="36"/>
    </row>
    <row r="5779" spans="2:2">
      <c r="B5779" s="36"/>
    </row>
    <row r="5780" spans="2:2">
      <c r="B5780" s="36"/>
    </row>
    <row r="5781" spans="2:2">
      <c r="B5781" s="36"/>
    </row>
    <row r="5782" spans="2:2">
      <c r="B5782" s="36"/>
    </row>
    <row r="5783" spans="2:2">
      <c r="B5783" s="36"/>
    </row>
    <row r="5784" spans="2:2">
      <c r="B5784" s="36"/>
    </row>
    <row r="5785" spans="2:2">
      <c r="B5785" s="36"/>
    </row>
    <row r="5786" spans="2:2">
      <c r="B5786" s="36"/>
    </row>
    <row r="5787" spans="2:2">
      <c r="B5787" s="36"/>
    </row>
    <row r="5788" spans="2:2">
      <c r="B5788" s="36"/>
    </row>
    <row r="5789" spans="2:2">
      <c r="B5789" s="36"/>
    </row>
    <row r="5790" spans="2:2">
      <c r="B5790" s="36"/>
    </row>
    <row r="5791" spans="2:2">
      <c r="B5791" s="36"/>
    </row>
    <row r="5792" spans="2:2">
      <c r="B5792" s="36"/>
    </row>
    <row r="5793" spans="2:2">
      <c r="B5793" s="36"/>
    </row>
    <row r="5794" spans="2:2">
      <c r="B5794" s="36"/>
    </row>
    <row r="5795" spans="2:2">
      <c r="B5795" s="36"/>
    </row>
    <row r="5796" spans="2:2">
      <c r="B5796" s="36"/>
    </row>
    <row r="5797" spans="2:2">
      <c r="B5797" s="36"/>
    </row>
    <row r="5798" spans="2:2">
      <c r="B5798" s="36"/>
    </row>
    <row r="5799" spans="2:2">
      <c r="B5799" s="36"/>
    </row>
    <row r="5800" spans="2:2">
      <c r="B5800" s="36"/>
    </row>
    <row r="5801" spans="2:2">
      <c r="B5801" s="36"/>
    </row>
    <row r="5802" spans="2:2">
      <c r="B5802" s="36"/>
    </row>
    <row r="5803" spans="2:2">
      <c r="B5803" s="36"/>
    </row>
    <row r="5804" spans="2:2">
      <c r="B5804" s="36"/>
    </row>
    <row r="5805" spans="2:2">
      <c r="B5805" s="36"/>
    </row>
    <row r="5806" spans="2:2">
      <c r="B5806" s="36"/>
    </row>
    <row r="5807" spans="2:2">
      <c r="B5807" s="36"/>
    </row>
    <row r="5808" spans="2:2">
      <c r="B5808" s="36"/>
    </row>
    <row r="5809" spans="2:2">
      <c r="B5809" s="36"/>
    </row>
    <row r="5810" spans="2:2">
      <c r="B5810" s="36"/>
    </row>
    <row r="5811" spans="2:2">
      <c r="B5811" s="36"/>
    </row>
    <row r="5812" spans="2:2">
      <c r="B5812" s="36"/>
    </row>
    <row r="5813" spans="2:2">
      <c r="B5813" s="36"/>
    </row>
    <row r="5814" spans="2:2">
      <c r="B5814" s="36"/>
    </row>
    <row r="5815" spans="2:2">
      <c r="B5815" s="36"/>
    </row>
    <row r="5816" spans="2:2">
      <c r="B5816" s="36"/>
    </row>
    <row r="5817" spans="2:2">
      <c r="B5817" s="36"/>
    </row>
    <row r="5818" spans="2:2">
      <c r="B5818" s="36"/>
    </row>
    <row r="5819" spans="2:2">
      <c r="B5819" s="36"/>
    </row>
    <row r="5820" spans="2:2">
      <c r="B5820" s="36"/>
    </row>
    <row r="5821" spans="2:2">
      <c r="B5821" s="36"/>
    </row>
    <row r="5822" spans="2:2">
      <c r="B5822" s="36"/>
    </row>
    <row r="5823" spans="2:2">
      <c r="B5823" s="36"/>
    </row>
    <row r="5824" spans="2:2">
      <c r="B5824" s="36"/>
    </row>
    <row r="5825" spans="2:2">
      <c r="B5825" s="36"/>
    </row>
    <row r="5826" spans="2:2">
      <c r="B5826" s="36"/>
    </row>
    <row r="5827" spans="2:2">
      <c r="B5827" s="36"/>
    </row>
    <row r="5828" spans="2:2">
      <c r="B5828" s="36"/>
    </row>
    <row r="5829" spans="2:2">
      <c r="B5829" s="36"/>
    </row>
    <row r="5830" spans="2:2">
      <c r="B5830" s="36"/>
    </row>
    <row r="5831" spans="2:2">
      <c r="B5831" s="36"/>
    </row>
    <row r="5832" spans="2:2">
      <c r="B5832" s="36"/>
    </row>
    <row r="5833" spans="2:2">
      <c r="B5833" s="36"/>
    </row>
    <row r="5834" spans="2:2">
      <c r="B5834" s="36"/>
    </row>
    <row r="5835" spans="2:2">
      <c r="B5835" s="36"/>
    </row>
    <row r="5836" spans="2:2">
      <c r="B5836" s="36"/>
    </row>
    <row r="5837" spans="2:2">
      <c r="B5837" s="36"/>
    </row>
    <row r="5838" spans="2:2">
      <c r="B5838" s="36"/>
    </row>
    <row r="5839" spans="2:2">
      <c r="B5839" s="36"/>
    </row>
    <row r="5840" spans="2:2">
      <c r="B5840" s="36"/>
    </row>
    <row r="5841" spans="2:2">
      <c r="B5841" s="36"/>
    </row>
    <row r="5842" spans="2:2">
      <c r="B5842" s="36"/>
    </row>
    <row r="5843" spans="2:2">
      <c r="B5843" s="36"/>
    </row>
    <row r="5844" spans="2:2">
      <c r="B5844" s="36"/>
    </row>
    <row r="5845" spans="2:2">
      <c r="B5845" s="36"/>
    </row>
    <row r="5846" spans="2:2">
      <c r="B5846" s="36"/>
    </row>
    <row r="5847" spans="2:2">
      <c r="B5847" s="36"/>
    </row>
    <row r="5848" spans="2:2">
      <c r="B5848" s="36"/>
    </row>
    <row r="5849" spans="2:2">
      <c r="B5849" s="36"/>
    </row>
    <row r="5850" spans="2:2">
      <c r="B5850" s="36"/>
    </row>
    <row r="5851" spans="2:2">
      <c r="B5851" s="36"/>
    </row>
    <row r="5852" spans="2:2">
      <c r="B5852" s="36"/>
    </row>
    <row r="5853" spans="2:2">
      <c r="B5853" s="36"/>
    </row>
    <row r="5854" spans="2:2">
      <c r="B5854" s="36"/>
    </row>
    <row r="5855" spans="2:2">
      <c r="B5855" s="36"/>
    </row>
    <row r="5856" spans="2:2">
      <c r="B5856" s="36"/>
    </row>
    <row r="5857" spans="2:2">
      <c r="B5857" s="36"/>
    </row>
    <row r="5858" spans="2:2">
      <c r="B5858" s="36"/>
    </row>
    <row r="5859" spans="2:2">
      <c r="B5859" s="36"/>
    </row>
    <row r="5860" spans="2:2">
      <c r="B5860" s="36"/>
    </row>
    <row r="5861" spans="2:2">
      <c r="B5861" s="36"/>
    </row>
    <row r="5862" spans="2:2">
      <c r="B5862" s="36"/>
    </row>
    <row r="5863" spans="2:2">
      <c r="B5863" s="36"/>
    </row>
    <row r="5864" spans="2:2">
      <c r="B5864" s="36"/>
    </row>
    <row r="5865" spans="2:2">
      <c r="B5865" s="36"/>
    </row>
    <row r="5866" spans="2:2">
      <c r="B5866" s="36"/>
    </row>
    <row r="5867" spans="2:2">
      <c r="B5867" s="36"/>
    </row>
    <row r="5868" spans="2:2">
      <c r="B5868" s="36"/>
    </row>
    <row r="5869" spans="2:2">
      <c r="B5869" s="36"/>
    </row>
    <row r="5870" spans="2:2">
      <c r="B5870" s="36"/>
    </row>
    <row r="5871" spans="2:2">
      <c r="B5871" s="36"/>
    </row>
    <row r="5872" spans="2:2">
      <c r="B5872" s="36"/>
    </row>
    <row r="5873" spans="2:2">
      <c r="B5873" s="36"/>
    </row>
    <row r="5874" spans="2:2">
      <c r="B5874" s="36"/>
    </row>
    <row r="5875" spans="2:2">
      <c r="B5875" s="36"/>
    </row>
    <row r="5876" spans="2:2">
      <c r="B5876" s="36"/>
    </row>
    <row r="5877" spans="2:2">
      <c r="B5877" s="36"/>
    </row>
    <row r="5878" spans="2:2">
      <c r="B5878" s="36"/>
    </row>
    <row r="5879" spans="2:2">
      <c r="B5879" s="36"/>
    </row>
    <row r="5880" spans="2:2">
      <c r="B5880" s="36"/>
    </row>
    <row r="5881" spans="2:2">
      <c r="B5881" s="36"/>
    </row>
    <row r="5882" spans="2:2">
      <c r="B5882" s="36"/>
    </row>
    <row r="5883" spans="2:2">
      <c r="B5883" s="36"/>
    </row>
    <row r="5884" spans="2:2">
      <c r="B5884" s="36"/>
    </row>
    <row r="5885" spans="2:2">
      <c r="B5885" s="36"/>
    </row>
    <row r="5886" spans="2:2">
      <c r="B5886" s="36"/>
    </row>
    <row r="5887" spans="2:2">
      <c r="B5887" s="36"/>
    </row>
    <row r="5888" spans="2:2">
      <c r="B5888" s="36"/>
    </row>
    <row r="5889" spans="2:2">
      <c r="B5889" s="36"/>
    </row>
    <row r="5890" spans="2:2">
      <c r="B5890" s="36"/>
    </row>
    <row r="5891" spans="2:2">
      <c r="B5891" s="36"/>
    </row>
    <row r="5892" spans="2:2">
      <c r="B5892" s="36"/>
    </row>
    <row r="5893" spans="2:2">
      <c r="B5893" s="36"/>
    </row>
    <row r="5894" spans="2:2">
      <c r="B5894" s="36"/>
    </row>
    <row r="5895" spans="2:2">
      <c r="B5895" s="36"/>
    </row>
    <row r="5896" spans="2:2">
      <c r="B5896" s="36"/>
    </row>
    <row r="5897" spans="2:2">
      <c r="B5897" s="36"/>
    </row>
    <row r="5898" spans="2:2">
      <c r="B5898" s="36"/>
    </row>
    <row r="5899" spans="2:2">
      <c r="B5899" s="36"/>
    </row>
    <row r="5900" spans="2:2">
      <c r="B5900" s="36"/>
    </row>
    <row r="5901" spans="2:2">
      <c r="B5901" s="36"/>
    </row>
    <row r="5902" spans="2:2">
      <c r="B5902" s="36"/>
    </row>
    <row r="5903" spans="2:2">
      <c r="B5903" s="36"/>
    </row>
    <row r="5904" spans="2:2">
      <c r="B5904" s="36"/>
    </row>
    <row r="5905" spans="2:2">
      <c r="B5905" s="36"/>
    </row>
    <row r="5906" spans="2:2">
      <c r="B5906" s="36"/>
    </row>
    <row r="5907" spans="2:2">
      <c r="B5907" s="36"/>
    </row>
    <row r="5908" spans="2:2">
      <c r="B5908" s="36"/>
    </row>
    <row r="5909" spans="2:2">
      <c r="B5909" s="36"/>
    </row>
    <row r="5910" spans="2:2">
      <c r="B5910" s="36"/>
    </row>
    <row r="5911" spans="2:2">
      <c r="B5911" s="36"/>
    </row>
    <row r="5912" spans="2:2">
      <c r="B5912" s="36"/>
    </row>
    <row r="5913" spans="2:2">
      <c r="B5913" s="36"/>
    </row>
    <row r="5914" spans="2:2">
      <c r="B5914" s="36"/>
    </row>
    <row r="5915" spans="2:2">
      <c r="B5915" s="36"/>
    </row>
    <row r="5916" spans="2:2">
      <c r="B5916" s="36"/>
    </row>
    <row r="5917" spans="2:2">
      <c r="B5917" s="36"/>
    </row>
    <row r="5918" spans="2:2">
      <c r="B5918" s="36"/>
    </row>
    <row r="5919" spans="2:2">
      <c r="B5919" s="36"/>
    </row>
    <row r="5920" spans="2:2">
      <c r="B5920" s="36"/>
    </row>
    <row r="5921" spans="2:2">
      <c r="B5921" s="36"/>
    </row>
    <row r="5922" spans="2:2">
      <c r="B5922" s="36"/>
    </row>
    <row r="5923" spans="2:2">
      <c r="B5923" s="36"/>
    </row>
    <row r="5924" spans="2:2">
      <c r="B5924" s="36"/>
    </row>
    <row r="5925" spans="2:2">
      <c r="B5925" s="36"/>
    </row>
    <row r="5926" spans="2:2">
      <c r="B5926" s="36"/>
    </row>
    <row r="5927" spans="2:2">
      <c r="B5927" s="36"/>
    </row>
    <row r="5928" spans="2:2">
      <c r="B5928" s="36"/>
    </row>
    <row r="5929" spans="2:2">
      <c r="B5929" s="36"/>
    </row>
    <row r="5930" spans="2:2">
      <c r="B5930" s="36"/>
    </row>
    <row r="5931" spans="2:2">
      <c r="B5931" s="36"/>
    </row>
    <row r="5932" spans="2:2">
      <c r="B5932" s="36"/>
    </row>
    <row r="5933" spans="2:2">
      <c r="B5933" s="36"/>
    </row>
    <row r="5934" spans="2:2">
      <c r="B5934" s="36"/>
    </row>
    <row r="5935" spans="2:2">
      <c r="B5935" s="36"/>
    </row>
    <row r="5936" spans="2:2">
      <c r="B5936" s="36"/>
    </row>
    <row r="5937" spans="2:2">
      <c r="B5937" s="36"/>
    </row>
    <row r="5938" spans="2:2">
      <c r="B5938" s="36"/>
    </row>
    <row r="5939" spans="2:2">
      <c r="B5939" s="36"/>
    </row>
    <row r="5940" spans="2:2">
      <c r="B5940" s="36"/>
    </row>
    <row r="5941" spans="2:2">
      <c r="B5941" s="36"/>
    </row>
    <row r="5942" spans="2:2">
      <c r="B5942" s="36"/>
    </row>
    <row r="5943" spans="2:2">
      <c r="B5943" s="36"/>
    </row>
    <row r="5944" spans="2:2">
      <c r="B5944" s="36"/>
    </row>
    <row r="5945" spans="2:2">
      <c r="B5945" s="36"/>
    </row>
    <row r="5946" spans="2:2">
      <c r="B5946" s="36"/>
    </row>
    <row r="5947" spans="2:2">
      <c r="B5947" s="36"/>
    </row>
    <row r="5948" spans="2:2">
      <c r="B5948" s="36"/>
    </row>
    <row r="5949" spans="2:2">
      <c r="B5949" s="36"/>
    </row>
    <row r="5950" spans="2:2">
      <c r="B5950" s="36"/>
    </row>
    <row r="5951" spans="2:2">
      <c r="B5951" s="36"/>
    </row>
    <row r="5952" spans="2:2">
      <c r="B5952" s="36"/>
    </row>
    <row r="5953" spans="2:2">
      <c r="B5953" s="36"/>
    </row>
    <row r="5954" spans="2:2">
      <c r="B5954" s="36"/>
    </row>
    <row r="5955" spans="2:2">
      <c r="B5955" s="36"/>
    </row>
    <row r="5956" spans="2:2">
      <c r="B5956" s="36"/>
    </row>
    <row r="5957" spans="2:2">
      <c r="B5957" s="36"/>
    </row>
    <row r="5958" spans="2:2">
      <c r="B5958" s="36"/>
    </row>
    <row r="5959" spans="2:2">
      <c r="B5959" s="36"/>
    </row>
    <row r="5960" spans="2:2">
      <c r="B5960" s="36"/>
    </row>
    <row r="5961" spans="2:2">
      <c r="B5961" s="36"/>
    </row>
    <row r="5962" spans="2:2">
      <c r="B5962" s="36"/>
    </row>
    <row r="5963" spans="2:2">
      <c r="B5963" s="36"/>
    </row>
    <row r="5964" spans="2:2">
      <c r="B5964" s="36"/>
    </row>
    <row r="5965" spans="2:2">
      <c r="B5965" s="36"/>
    </row>
    <row r="5966" spans="2:2">
      <c r="B5966" s="36"/>
    </row>
    <row r="5967" spans="2:2">
      <c r="B5967" s="36"/>
    </row>
    <row r="5968" spans="2:2">
      <c r="B5968" s="36"/>
    </row>
    <row r="5969" spans="2:2">
      <c r="B5969" s="36"/>
    </row>
    <row r="5970" spans="2:2">
      <c r="B5970" s="36"/>
    </row>
    <row r="5971" spans="2:2">
      <c r="B5971" s="36"/>
    </row>
    <row r="5972" spans="2:2">
      <c r="B5972" s="36"/>
    </row>
    <row r="5973" spans="2:2">
      <c r="B5973" s="36"/>
    </row>
    <row r="5974" spans="2:2">
      <c r="B5974" s="36"/>
    </row>
    <row r="5975" spans="2:2">
      <c r="B5975" s="36"/>
    </row>
    <row r="5976" spans="2:2">
      <c r="B5976" s="36"/>
    </row>
    <row r="5977" spans="2:2">
      <c r="B5977" s="36"/>
    </row>
    <row r="5978" spans="2:2">
      <c r="B5978" s="36"/>
    </row>
    <row r="5979" spans="2:2">
      <c r="B5979" s="36"/>
    </row>
    <row r="5980" spans="2:2">
      <c r="B5980" s="36"/>
    </row>
    <row r="5981" spans="2:2">
      <c r="B5981" s="36"/>
    </row>
    <row r="5982" spans="2:2">
      <c r="B5982" s="36"/>
    </row>
    <row r="5983" spans="2:2">
      <c r="B5983" s="36"/>
    </row>
    <row r="5984" spans="2:2">
      <c r="B5984" s="36"/>
    </row>
    <row r="5985" spans="2:2">
      <c r="B5985" s="36"/>
    </row>
    <row r="5986" spans="2:2">
      <c r="B5986" s="36"/>
    </row>
    <row r="5987" spans="2:2">
      <c r="B5987" s="36"/>
    </row>
    <row r="5988" spans="2:2">
      <c r="B5988" s="36"/>
    </row>
    <row r="5989" spans="2:2">
      <c r="B5989" s="36"/>
    </row>
    <row r="5990" spans="2:2">
      <c r="B5990" s="36"/>
    </row>
    <row r="5991" spans="2:2">
      <c r="B5991" s="36"/>
    </row>
    <row r="5992" spans="2:2">
      <c r="B5992" s="36"/>
    </row>
    <row r="5993" spans="2:2">
      <c r="B5993" s="36"/>
    </row>
    <row r="5994" spans="2:2">
      <c r="B5994" s="36"/>
    </row>
    <row r="5995" spans="2:2">
      <c r="B5995" s="36"/>
    </row>
    <row r="5996" spans="2:2">
      <c r="B5996" s="36"/>
    </row>
    <row r="5997" spans="2:2">
      <c r="B5997" s="36"/>
    </row>
    <row r="5998" spans="2:2">
      <c r="B5998" s="36"/>
    </row>
    <row r="5999" spans="2:2">
      <c r="B5999" s="36"/>
    </row>
    <row r="6000" spans="2:2">
      <c r="B6000" s="36"/>
    </row>
    <row r="6001" spans="2:2">
      <c r="B6001" s="36"/>
    </row>
    <row r="6002" spans="2:2">
      <c r="B6002" s="36"/>
    </row>
    <row r="6003" spans="2:2">
      <c r="B6003" s="36"/>
    </row>
    <row r="6004" spans="2:2">
      <c r="B6004" s="36"/>
    </row>
    <row r="6005" spans="2:2">
      <c r="B6005" s="36"/>
    </row>
    <row r="6006" spans="2:2">
      <c r="B6006" s="36"/>
    </row>
    <row r="6007" spans="2:2">
      <c r="B6007" s="36"/>
    </row>
    <row r="6008" spans="2:2">
      <c r="B6008" s="36"/>
    </row>
    <row r="6009" spans="2:2">
      <c r="B6009" s="36"/>
    </row>
    <row r="6010" spans="2:2">
      <c r="B6010" s="36"/>
    </row>
    <row r="6011" spans="2:2">
      <c r="B6011" s="36"/>
    </row>
    <row r="6012" spans="2:2">
      <c r="B6012" s="36"/>
    </row>
    <row r="6013" spans="2:2">
      <c r="B6013" s="36"/>
    </row>
    <row r="6014" spans="2:2">
      <c r="B6014" s="36"/>
    </row>
    <row r="6015" spans="2:2">
      <c r="B6015" s="36"/>
    </row>
    <row r="6016" spans="2:2">
      <c r="B6016" s="36"/>
    </row>
    <row r="6017" spans="2:2">
      <c r="B6017" s="36"/>
    </row>
    <row r="6018" spans="2:2">
      <c r="B6018" s="36"/>
    </row>
    <row r="6019" spans="2:2">
      <c r="B6019" s="36"/>
    </row>
    <row r="6020" spans="2:2">
      <c r="B6020" s="36"/>
    </row>
    <row r="6021" spans="2:2">
      <c r="B6021" s="36"/>
    </row>
    <row r="6022" spans="2:2">
      <c r="B6022" s="36"/>
    </row>
    <row r="6023" spans="2:2">
      <c r="B6023" s="36"/>
    </row>
    <row r="6024" spans="2:2">
      <c r="B6024" s="36"/>
    </row>
    <row r="6025" spans="2:2">
      <c r="B6025" s="36"/>
    </row>
    <row r="6026" spans="2:2">
      <c r="B6026" s="36"/>
    </row>
    <row r="6027" spans="2:2">
      <c r="B6027" s="36"/>
    </row>
    <row r="6028" spans="2:2">
      <c r="B6028" s="36"/>
    </row>
    <row r="6029" spans="2:2">
      <c r="B6029" s="36"/>
    </row>
    <row r="6030" spans="2:2">
      <c r="B6030" s="36"/>
    </row>
    <row r="6031" spans="2:2">
      <c r="B6031" s="36"/>
    </row>
    <row r="6032" spans="2:2">
      <c r="B6032" s="36"/>
    </row>
    <row r="6033" spans="2:2">
      <c r="B6033" s="36"/>
    </row>
    <row r="6034" spans="2:2">
      <c r="B6034" s="36"/>
    </row>
    <row r="6035" spans="2:2">
      <c r="B6035" s="36"/>
    </row>
    <row r="6036" spans="2:2">
      <c r="B6036" s="36"/>
    </row>
    <row r="6037" spans="2:2">
      <c r="B6037" s="36"/>
    </row>
    <row r="6038" spans="2:2">
      <c r="B6038" s="36"/>
    </row>
    <row r="6039" spans="2:2">
      <c r="B6039" s="36"/>
    </row>
    <row r="6040" spans="2:2">
      <c r="B6040" s="36"/>
    </row>
    <row r="6041" spans="2:2">
      <c r="B6041" s="36"/>
    </row>
    <row r="6042" spans="2:2">
      <c r="B6042" s="36"/>
    </row>
    <row r="6043" spans="2:2">
      <c r="B6043" s="36"/>
    </row>
    <row r="6044" spans="2:2">
      <c r="B6044" s="36"/>
    </row>
    <row r="6045" spans="2:2">
      <c r="B6045" s="36"/>
    </row>
    <row r="6046" spans="2:2">
      <c r="B6046" s="36"/>
    </row>
    <row r="6047" spans="2:2">
      <c r="B6047" s="36"/>
    </row>
    <row r="6048" spans="2:2">
      <c r="B6048" s="36"/>
    </row>
    <row r="6049" spans="2:2">
      <c r="B6049" s="36"/>
    </row>
    <row r="6050" spans="2:2">
      <c r="B6050" s="36"/>
    </row>
    <row r="6051" spans="2:2">
      <c r="B6051" s="36"/>
    </row>
    <row r="6052" spans="2:2">
      <c r="B6052" s="36"/>
    </row>
    <row r="6053" spans="2:2">
      <c r="B6053" s="36"/>
    </row>
    <row r="6054" spans="2:2">
      <c r="B6054" s="36"/>
    </row>
    <row r="6055" spans="2:2">
      <c r="B6055" s="36"/>
    </row>
    <row r="6056" spans="2:2">
      <c r="B6056" s="36"/>
    </row>
    <row r="6057" spans="2:2">
      <c r="B6057" s="36"/>
    </row>
    <row r="6058" spans="2:2">
      <c r="B6058" s="36"/>
    </row>
    <row r="6059" spans="2:2">
      <c r="B6059" s="36"/>
    </row>
    <row r="6060" spans="2:2">
      <c r="B6060" s="36"/>
    </row>
    <row r="6061" spans="2:2">
      <c r="B6061" s="36"/>
    </row>
    <row r="6062" spans="2:2">
      <c r="B6062" s="36"/>
    </row>
    <row r="6063" spans="2:2">
      <c r="B6063" s="36"/>
    </row>
    <row r="6064" spans="2:2">
      <c r="B6064" s="36"/>
    </row>
    <row r="6065" spans="2:2">
      <c r="B6065" s="36"/>
    </row>
    <row r="6066" spans="2:2">
      <c r="B6066" s="36"/>
    </row>
    <row r="6067" spans="2:2">
      <c r="B6067" s="36"/>
    </row>
    <row r="6068" spans="2:2">
      <c r="B6068" s="36"/>
    </row>
    <row r="6069" spans="2:2">
      <c r="B6069" s="36"/>
    </row>
    <row r="6070" spans="2:2">
      <c r="B6070" s="36"/>
    </row>
    <row r="6071" spans="2:2">
      <c r="B6071" s="36"/>
    </row>
    <row r="6072" spans="2:2">
      <c r="B6072" s="36"/>
    </row>
    <row r="6073" spans="2:2">
      <c r="B6073" s="36"/>
    </row>
    <row r="6074" spans="2:2">
      <c r="B6074" s="36"/>
    </row>
    <row r="6075" spans="2:2">
      <c r="B6075" s="36"/>
    </row>
    <row r="6076" spans="2:2">
      <c r="B6076" s="36"/>
    </row>
    <row r="6077" spans="2:2">
      <c r="B6077" s="36"/>
    </row>
    <row r="6078" spans="2:2">
      <c r="B6078" s="36"/>
    </row>
    <row r="6079" spans="2:2">
      <c r="B6079" s="36"/>
    </row>
    <row r="6080" spans="2:2">
      <c r="B6080" s="36"/>
    </row>
    <row r="6081" spans="2:2">
      <c r="B6081" s="36"/>
    </row>
    <row r="6082" spans="2:2">
      <c r="B6082" s="36"/>
    </row>
    <row r="6083" spans="2:2">
      <c r="B6083" s="36"/>
    </row>
    <row r="6084" spans="2:2">
      <c r="B6084" s="36"/>
    </row>
    <row r="6085" spans="2:2">
      <c r="B6085" s="36"/>
    </row>
    <row r="6086" spans="2:2">
      <c r="B6086" s="36"/>
    </row>
    <row r="6087" spans="2:2">
      <c r="B6087" s="36"/>
    </row>
    <row r="6088" spans="2:2">
      <c r="B6088" s="36"/>
    </row>
    <row r="6089" spans="2:2">
      <c r="B6089" s="36"/>
    </row>
    <row r="6090" spans="2:2">
      <c r="B6090" s="36"/>
    </row>
    <row r="6091" spans="2:2">
      <c r="B6091" s="36"/>
    </row>
    <row r="6092" spans="2:2">
      <c r="B6092" s="36"/>
    </row>
    <row r="6093" spans="2:2">
      <c r="B6093" s="36"/>
    </row>
    <row r="6094" spans="2:2">
      <c r="B6094" s="36"/>
    </row>
    <row r="6095" spans="2:2">
      <c r="B6095" s="36"/>
    </row>
    <row r="6096" spans="2:2">
      <c r="B6096" s="36"/>
    </row>
    <row r="6097" spans="2:2">
      <c r="B6097" s="36"/>
    </row>
    <row r="6098" spans="2:2">
      <c r="B6098" s="36"/>
    </row>
    <row r="6099" spans="2:2">
      <c r="B6099" s="36"/>
    </row>
    <row r="6100" spans="2:2">
      <c r="B6100" s="36"/>
    </row>
    <row r="6101" spans="2:2">
      <c r="B6101" s="36"/>
    </row>
    <row r="6102" spans="2:2">
      <c r="B6102" s="36"/>
    </row>
    <row r="6103" spans="2:2">
      <c r="B6103" s="36"/>
    </row>
    <row r="6104" spans="2:2">
      <c r="B6104" s="36"/>
    </row>
    <row r="6105" spans="2:2">
      <c r="B6105" s="36"/>
    </row>
    <row r="6106" spans="2:2">
      <c r="B6106" s="36"/>
    </row>
    <row r="6107" spans="2:2">
      <c r="B6107" s="36"/>
    </row>
    <row r="6108" spans="2:2">
      <c r="B6108" s="36"/>
    </row>
    <row r="6109" spans="2:2">
      <c r="B6109" s="36"/>
    </row>
    <row r="6110" spans="2:2">
      <c r="B6110" s="36"/>
    </row>
    <row r="6111" spans="2:2">
      <c r="B6111" s="36"/>
    </row>
    <row r="6112" spans="2:2">
      <c r="B6112" s="36"/>
    </row>
    <row r="6113" spans="2:2">
      <c r="B6113" s="36"/>
    </row>
    <row r="6114" spans="2:2">
      <c r="B6114" s="36"/>
    </row>
    <row r="6115" spans="2:2">
      <c r="B6115" s="36"/>
    </row>
    <row r="6116" spans="2:2">
      <c r="B6116" s="36"/>
    </row>
    <row r="6117" spans="2:2">
      <c r="B6117" s="36"/>
    </row>
    <row r="6118" spans="2:2">
      <c r="B6118" s="36"/>
    </row>
    <row r="6119" spans="2:2">
      <c r="B6119" s="36"/>
    </row>
    <row r="6120" spans="2:2">
      <c r="B6120" s="36"/>
    </row>
    <row r="6121" spans="2:2">
      <c r="B6121" s="36"/>
    </row>
    <row r="6122" spans="2:2">
      <c r="B6122" s="36"/>
    </row>
    <row r="6123" spans="2:2">
      <c r="B6123" s="36"/>
    </row>
    <row r="6124" spans="2:2">
      <c r="B6124" s="36"/>
    </row>
    <row r="6125" spans="2:2">
      <c r="B6125" s="36"/>
    </row>
    <row r="6126" spans="2:2">
      <c r="B6126" s="36"/>
    </row>
    <row r="6127" spans="2:2">
      <c r="B6127" s="36"/>
    </row>
    <row r="6128" spans="2:2">
      <c r="B6128" s="36"/>
    </row>
    <row r="6129" spans="2:2">
      <c r="B6129" s="36"/>
    </row>
    <row r="6130" spans="2:2">
      <c r="B6130" s="36"/>
    </row>
    <row r="6131" spans="2:2">
      <c r="B6131" s="36"/>
    </row>
    <row r="6132" spans="2:2">
      <c r="B6132" s="36"/>
    </row>
    <row r="6133" spans="2:2">
      <c r="B6133" s="36"/>
    </row>
    <row r="6134" spans="2:2">
      <c r="B6134" s="36"/>
    </row>
    <row r="6135" spans="2:2">
      <c r="B6135" s="36"/>
    </row>
    <row r="6136" spans="2:2">
      <c r="B6136" s="36"/>
    </row>
    <row r="6137" spans="2:2">
      <c r="B6137" s="36"/>
    </row>
    <row r="6138" spans="2:2">
      <c r="B6138" s="36"/>
    </row>
    <row r="6139" spans="2:2">
      <c r="B6139" s="36"/>
    </row>
    <row r="6140" spans="2:2">
      <c r="B6140" s="36"/>
    </row>
    <row r="6141" spans="2:2">
      <c r="B6141" s="36"/>
    </row>
    <row r="6142" spans="2:2">
      <c r="B6142" s="36"/>
    </row>
    <row r="6143" spans="2:2">
      <c r="B6143" s="36"/>
    </row>
    <row r="6144" spans="2:2">
      <c r="B6144" s="36"/>
    </row>
    <row r="6145" spans="2:2">
      <c r="B6145" s="36"/>
    </row>
    <row r="6146" spans="2:2">
      <c r="B6146" s="36"/>
    </row>
    <row r="6147" spans="2:2">
      <c r="B6147" s="36"/>
    </row>
    <row r="6148" spans="2:2">
      <c r="B6148" s="36"/>
    </row>
    <row r="6149" spans="2:2">
      <c r="B6149" s="36"/>
    </row>
    <row r="6150" spans="2:2">
      <c r="B6150" s="36"/>
    </row>
    <row r="6151" spans="2:2">
      <c r="B6151" s="36"/>
    </row>
    <row r="6152" spans="2:2">
      <c r="B6152" s="36"/>
    </row>
    <row r="6153" spans="2:2">
      <c r="B6153" s="36"/>
    </row>
    <row r="6154" spans="2:2">
      <c r="B6154" s="36"/>
    </row>
    <row r="6155" spans="2:2">
      <c r="B6155" s="36"/>
    </row>
    <row r="6156" spans="2:2">
      <c r="B6156" s="36"/>
    </row>
    <row r="6157" spans="2:2">
      <c r="B6157" s="36"/>
    </row>
    <row r="6158" spans="2:2">
      <c r="B6158" s="36"/>
    </row>
    <row r="6159" spans="2:2">
      <c r="B6159" s="36"/>
    </row>
    <row r="6160" spans="2:2">
      <c r="B6160" s="36"/>
    </row>
    <row r="6161" spans="2:2">
      <c r="B6161" s="36"/>
    </row>
    <row r="6162" spans="2:2">
      <c r="B6162" s="36"/>
    </row>
    <row r="6163" spans="2:2">
      <c r="B6163" s="36"/>
    </row>
    <row r="6164" spans="2:2">
      <c r="B6164" s="36"/>
    </row>
    <row r="6165" spans="2:2">
      <c r="B6165" s="36"/>
    </row>
    <row r="6166" spans="2:2">
      <c r="B6166" s="36"/>
    </row>
    <row r="6167" spans="2:2">
      <c r="B6167" s="36"/>
    </row>
    <row r="6168" spans="2:2">
      <c r="B6168" s="36"/>
    </row>
    <row r="6169" spans="2:2">
      <c r="B6169" s="36"/>
    </row>
    <row r="6170" spans="2:2">
      <c r="B6170" s="36"/>
    </row>
    <row r="6171" spans="2:2">
      <c r="B6171" s="36"/>
    </row>
    <row r="6172" spans="2:2">
      <c r="B6172" s="36"/>
    </row>
    <row r="6173" spans="2:2">
      <c r="B6173" s="36"/>
    </row>
    <row r="6174" spans="2:2">
      <c r="B6174" s="36"/>
    </row>
    <row r="6175" spans="2:2">
      <c r="B6175" s="36"/>
    </row>
    <row r="6176" spans="2:2">
      <c r="B6176" s="36"/>
    </row>
    <row r="6177" spans="2:2">
      <c r="B6177" s="36"/>
    </row>
    <row r="6178" spans="2:2">
      <c r="B6178" s="36"/>
    </row>
    <row r="6179" spans="2:2">
      <c r="B6179" s="36"/>
    </row>
    <row r="6180" spans="2:2">
      <c r="B6180" s="36"/>
    </row>
    <row r="6181" spans="2:2">
      <c r="B6181" s="36"/>
    </row>
    <row r="6182" spans="2:2">
      <c r="B6182" s="36"/>
    </row>
    <row r="6183" spans="2:2">
      <c r="B6183" s="36"/>
    </row>
    <row r="6184" spans="2:2">
      <c r="B6184" s="36"/>
    </row>
    <row r="6185" spans="2:2">
      <c r="B6185" s="36"/>
    </row>
    <row r="6186" spans="2:2">
      <c r="B6186" s="36"/>
    </row>
    <row r="6187" spans="2:2">
      <c r="B6187" s="36"/>
    </row>
    <row r="6188" spans="2:2">
      <c r="B6188" s="36"/>
    </row>
    <row r="6189" spans="2:2">
      <c r="B6189" s="36"/>
    </row>
    <row r="6190" spans="2:2">
      <c r="B6190" s="36"/>
    </row>
    <row r="6191" spans="2:2">
      <c r="B6191" s="36"/>
    </row>
    <row r="6192" spans="2:2">
      <c r="B6192" s="36"/>
    </row>
    <row r="6193" spans="2:2">
      <c r="B6193" s="36"/>
    </row>
    <row r="6194" spans="2:2">
      <c r="B6194" s="36"/>
    </row>
    <row r="6195" spans="2:2">
      <c r="B6195" s="36"/>
    </row>
    <row r="6196" spans="2:2">
      <c r="B6196" s="36"/>
    </row>
    <row r="6197" spans="2:2">
      <c r="B6197" s="36"/>
    </row>
    <row r="6198" spans="2:2">
      <c r="B6198" s="36"/>
    </row>
    <row r="6199" spans="2:2">
      <c r="B6199" s="36"/>
    </row>
    <row r="6200" spans="2:2">
      <c r="B6200" s="36"/>
    </row>
    <row r="6201" spans="2:2">
      <c r="B6201" s="36"/>
    </row>
    <row r="6202" spans="2:2">
      <c r="B6202" s="36"/>
    </row>
    <row r="6203" spans="2:2">
      <c r="B6203" s="36"/>
    </row>
    <row r="6204" spans="2:2">
      <c r="B6204" s="36"/>
    </row>
    <row r="6205" spans="2:2">
      <c r="B6205" s="36"/>
    </row>
    <row r="6206" spans="2:2">
      <c r="B6206" s="36"/>
    </row>
    <row r="6207" spans="2:2">
      <c r="B6207" s="36"/>
    </row>
    <row r="6208" spans="2:2">
      <c r="B6208" s="36"/>
    </row>
    <row r="6209" spans="2:2">
      <c r="B6209" s="36"/>
    </row>
    <row r="6210" spans="2:2">
      <c r="B6210" s="36"/>
    </row>
    <row r="6211" spans="2:2">
      <c r="B6211" s="36"/>
    </row>
    <row r="6212" spans="2:2">
      <c r="B6212" s="36"/>
    </row>
    <row r="6213" spans="2:2">
      <c r="B6213" s="36"/>
    </row>
    <row r="6214" spans="2:2">
      <c r="B6214" s="36"/>
    </row>
    <row r="6215" spans="2:2">
      <c r="B6215" s="36"/>
    </row>
    <row r="6216" spans="2:2">
      <c r="B6216" s="36"/>
    </row>
    <row r="6217" spans="2:2">
      <c r="B6217" s="36"/>
    </row>
    <row r="6218" spans="2:2">
      <c r="B6218" s="36"/>
    </row>
    <row r="6219" spans="2:2">
      <c r="B6219" s="36"/>
    </row>
    <row r="6220" spans="2:2">
      <c r="B6220" s="36"/>
    </row>
    <row r="6221" spans="2:2">
      <c r="B6221" s="36"/>
    </row>
    <row r="6222" spans="2:2">
      <c r="B6222" s="36"/>
    </row>
    <row r="6223" spans="2:2">
      <c r="B6223" s="36"/>
    </row>
    <row r="6224" spans="2:2">
      <c r="B6224" s="36"/>
    </row>
    <row r="6225" spans="2:2">
      <c r="B6225" s="36"/>
    </row>
    <row r="6226" spans="2:2">
      <c r="B6226" s="36"/>
    </row>
    <row r="6227" spans="2:2">
      <c r="B6227" s="36"/>
    </row>
    <row r="6228" spans="2:2">
      <c r="B6228" s="36"/>
    </row>
    <row r="6229" spans="2:2">
      <c r="B6229" s="36"/>
    </row>
    <row r="6230" spans="2:2">
      <c r="B6230" s="36"/>
    </row>
    <row r="6231" spans="2:2">
      <c r="B6231" s="36"/>
    </row>
    <row r="6232" spans="2:2">
      <c r="B6232" s="36"/>
    </row>
    <row r="6233" spans="2:2">
      <c r="B6233" s="36"/>
    </row>
    <row r="6234" spans="2:2">
      <c r="B6234" s="36"/>
    </row>
    <row r="6235" spans="2:2">
      <c r="B6235" s="36"/>
    </row>
    <row r="6236" spans="2:2">
      <c r="B6236" s="36"/>
    </row>
    <row r="6237" spans="2:2">
      <c r="B6237" s="36"/>
    </row>
    <row r="6238" spans="2:2">
      <c r="B6238" s="36"/>
    </row>
    <row r="6239" spans="2:2">
      <c r="B6239" s="36"/>
    </row>
    <row r="6240" spans="2:2">
      <c r="B6240" s="36"/>
    </row>
    <row r="6241" spans="2:2">
      <c r="B6241" s="36"/>
    </row>
    <row r="6242" spans="2:2">
      <c r="B6242" s="36"/>
    </row>
    <row r="6243" spans="2:2">
      <c r="B6243" s="36"/>
    </row>
    <row r="6244" spans="2:2">
      <c r="B6244" s="36"/>
    </row>
    <row r="6245" spans="2:2">
      <c r="B6245" s="36"/>
    </row>
    <row r="6246" spans="2:2">
      <c r="B6246" s="36"/>
    </row>
    <row r="6247" spans="2:2">
      <c r="B6247" s="36"/>
    </row>
    <row r="6248" spans="2:2">
      <c r="B6248" s="36"/>
    </row>
    <row r="6249" spans="2:2">
      <c r="B6249" s="36"/>
    </row>
    <row r="6250" spans="2:2">
      <c r="B6250" s="36"/>
    </row>
    <row r="6251" spans="2:2">
      <c r="B6251" s="36"/>
    </row>
    <row r="6252" spans="2:2">
      <c r="B6252" s="36"/>
    </row>
    <row r="6253" spans="2:2">
      <c r="B6253" s="36"/>
    </row>
    <row r="6254" spans="2:2">
      <c r="B6254" s="36"/>
    </row>
    <row r="6255" spans="2:2">
      <c r="B6255" s="36"/>
    </row>
    <row r="6256" spans="2:2">
      <c r="B6256" s="36"/>
    </row>
    <row r="6257" spans="2:2">
      <c r="B6257" s="36"/>
    </row>
    <row r="6258" spans="2:2">
      <c r="B6258" s="36"/>
    </row>
    <row r="6259" spans="2:2">
      <c r="B6259" s="36"/>
    </row>
    <row r="6260" spans="2:2">
      <c r="B6260" s="36"/>
    </row>
    <row r="6261" spans="2:2">
      <c r="B6261" s="36"/>
    </row>
    <row r="6262" spans="2:2">
      <c r="B6262" s="36"/>
    </row>
    <row r="6263" spans="2:2">
      <c r="B6263" s="36"/>
    </row>
    <row r="6264" spans="2:2">
      <c r="B6264" s="36"/>
    </row>
    <row r="6265" spans="2:2">
      <c r="B6265" s="36"/>
    </row>
    <row r="6266" spans="2:2">
      <c r="B6266" s="36"/>
    </row>
    <row r="6267" spans="2:2">
      <c r="B6267" s="36"/>
    </row>
    <row r="6268" spans="2:2">
      <c r="B6268" s="36"/>
    </row>
    <row r="6269" spans="2:2">
      <c r="B6269" s="36"/>
    </row>
    <row r="6270" spans="2:2">
      <c r="B6270" s="36"/>
    </row>
    <row r="6271" spans="2:2">
      <c r="B6271" s="36"/>
    </row>
    <row r="6272" spans="2:2">
      <c r="B6272" s="36"/>
    </row>
    <row r="6273" spans="2:2">
      <c r="B6273" s="36"/>
    </row>
    <row r="6274" spans="2:2">
      <c r="B6274" s="36"/>
    </row>
    <row r="6275" spans="2:2">
      <c r="B6275" s="36"/>
    </row>
    <row r="6276" spans="2:2">
      <c r="B6276" s="36"/>
    </row>
    <row r="6277" spans="2:2">
      <c r="B6277" s="36"/>
    </row>
    <row r="6278" spans="2:2">
      <c r="B6278" s="36"/>
    </row>
    <row r="6279" spans="2:2">
      <c r="B6279" s="36"/>
    </row>
    <row r="6280" spans="2:2">
      <c r="B6280" s="36"/>
    </row>
    <row r="6281" spans="2:2">
      <c r="B6281" s="36"/>
    </row>
    <row r="6282" spans="2:2">
      <c r="B6282" s="36"/>
    </row>
    <row r="6283" spans="2:2">
      <c r="B6283" s="36"/>
    </row>
    <row r="6284" spans="2:2">
      <c r="B6284" s="36"/>
    </row>
    <row r="6285" spans="2:2">
      <c r="B6285" s="36"/>
    </row>
    <row r="6286" spans="2:2">
      <c r="B6286" s="36"/>
    </row>
    <row r="6287" spans="2:2">
      <c r="B6287" s="36"/>
    </row>
    <row r="6288" spans="2:2">
      <c r="B6288" s="36"/>
    </row>
    <row r="6289" spans="2:2">
      <c r="B6289" s="36"/>
    </row>
    <row r="6290" spans="2:2">
      <c r="B6290" s="36"/>
    </row>
    <row r="6291" spans="2:2">
      <c r="B6291" s="36"/>
    </row>
    <row r="6292" spans="2:2">
      <c r="B6292" s="36"/>
    </row>
    <row r="6293" spans="2:2">
      <c r="B6293" s="36"/>
    </row>
    <row r="6294" spans="2:2">
      <c r="B6294" s="36"/>
    </row>
    <row r="6295" spans="2:2">
      <c r="B6295" s="36"/>
    </row>
    <row r="6296" spans="2:2">
      <c r="B6296" s="36"/>
    </row>
    <row r="6297" spans="2:2">
      <c r="B6297" s="36"/>
    </row>
    <row r="6298" spans="2:2">
      <c r="B6298" s="36"/>
    </row>
    <row r="6299" spans="2:2">
      <c r="B6299" s="36"/>
    </row>
    <row r="6300" spans="2:2">
      <c r="B6300" s="36"/>
    </row>
    <row r="6301" spans="2:2">
      <c r="B6301" s="36"/>
    </row>
    <row r="6302" spans="2:2">
      <c r="B6302" s="36"/>
    </row>
    <row r="6303" spans="2:2">
      <c r="B6303" s="36"/>
    </row>
    <row r="6304" spans="2:2">
      <c r="B6304" s="36"/>
    </row>
    <row r="6305" spans="2:2">
      <c r="B6305" s="36"/>
    </row>
    <row r="6306" spans="2:2">
      <c r="B6306" s="36"/>
    </row>
    <row r="6307" spans="2:2">
      <c r="B6307" s="36"/>
    </row>
    <row r="6308" spans="2:2">
      <c r="B6308" s="36"/>
    </row>
    <row r="6309" spans="2:2">
      <c r="B6309" s="36"/>
    </row>
    <row r="6310" spans="2:2">
      <c r="B6310" s="36"/>
    </row>
    <row r="6311" spans="2:2">
      <c r="B6311" s="36"/>
    </row>
    <row r="6312" spans="2:2">
      <c r="B6312" s="36"/>
    </row>
    <row r="6313" spans="2:2">
      <c r="B6313" s="36"/>
    </row>
    <row r="6314" spans="2:2">
      <c r="B6314" s="36"/>
    </row>
    <row r="6315" spans="2:2">
      <c r="B6315" s="36"/>
    </row>
    <row r="6316" spans="2:2">
      <c r="B6316" s="36"/>
    </row>
    <row r="6317" spans="2:2">
      <c r="B6317" s="36"/>
    </row>
    <row r="6318" spans="2:2">
      <c r="B6318" s="36"/>
    </row>
    <row r="6319" spans="2:2">
      <c r="B6319" s="36"/>
    </row>
    <row r="6320" spans="2:2">
      <c r="B6320" s="36"/>
    </row>
    <row r="6321" spans="2:2">
      <c r="B6321" s="36"/>
    </row>
    <row r="6322" spans="2:2">
      <c r="B6322" s="36"/>
    </row>
    <row r="6323" spans="2:2">
      <c r="B6323" s="36"/>
    </row>
    <row r="6324" spans="2:2">
      <c r="B6324" s="36"/>
    </row>
    <row r="6325" spans="2:2">
      <c r="B6325" s="36"/>
    </row>
    <row r="6326" spans="2:2">
      <c r="B6326" s="36"/>
    </row>
    <row r="6327" spans="2:2">
      <c r="B6327" s="36"/>
    </row>
    <row r="6328" spans="2:2">
      <c r="B6328" s="36"/>
    </row>
    <row r="6329" spans="2:2">
      <c r="B6329" s="36"/>
    </row>
    <row r="6330" spans="2:2">
      <c r="B6330" s="36"/>
    </row>
    <row r="6331" spans="2:2">
      <c r="B6331" s="36"/>
    </row>
    <row r="6332" spans="2:2">
      <c r="B6332" s="36"/>
    </row>
    <row r="6333" spans="2:2">
      <c r="B6333" s="36"/>
    </row>
    <row r="6334" spans="2:2">
      <c r="B6334" s="36"/>
    </row>
    <row r="6335" spans="2:2">
      <c r="B6335" s="36"/>
    </row>
    <row r="6336" spans="2:2">
      <c r="B6336" s="36"/>
    </row>
    <row r="6337" spans="2:2">
      <c r="B6337" s="36"/>
    </row>
    <row r="6338" spans="2:2">
      <c r="B6338" s="36"/>
    </row>
    <row r="6339" spans="2:2">
      <c r="B6339" s="36"/>
    </row>
    <row r="6340" spans="2:2">
      <c r="B6340" s="36"/>
    </row>
    <row r="6341" spans="2:2">
      <c r="B6341" s="36"/>
    </row>
    <row r="6342" spans="2:2">
      <c r="B6342" s="36"/>
    </row>
    <row r="6343" spans="2:2">
      <c r="B6343" s="36"/>
    </row>
    <row r="6344" spans="2:2">
      <c r="B6344" s="36"/>
    </row>
    <row r="6345" spans="2:2">
      <c r="B6345" s="36"/>
    </row>
    <row r="6346" spans="2:2">
      <c r="B6346" s="36"/>
    </row>
    <row r="6347" spans="2:2">
      <c r="B6347" s="36"/>
    </row>
    <row r="6348" spans="2:2">
      <c r="B6348" s="36"/>
    </row>
    <row r="6349" spans="2:2">
      <c r="B6349" s="36"/>
    </row>
    <row r="6350" spans="2:2">
      <c r="B6350" s="36"/>
    </row>
    <row r="6351" spans="2:2">
      <c r="B6351" s="36"/>
    </row>
    <row r="6352" spans="2:2">
      <c r="B6352" s="36"/>
    </row>
    <row r="6353" spans="2:2">
      <c r="B6353" s="36"/>
    </row>
    <row r="6354" spans="2:2">
      <c r="B6354" s="36"/>
    </row>
    <row r="6355" spans="2:2">
      <c r="B6355" s="36"/>
    </row>
    <row r="6356" spans="2:2">
      <c r="B6356" s="36"/>
    </row>
    <row r="6357" spans="2:2">
      <c r="B6357" s="36"/>
    </row>
    <row r="6358" spans="2:2">
      <c r="B6358" s="36"/>
    </row>
    <row r="6359" spans="2:2">
      <c r="B6359" s="36"/>
    </row>
    <row r="6360" spans="2:2">
      <c r="B6360" s="36"/>
    </row>
    <row r="6361" spans="2:2">
      <c r="B6361" s="36"/>
    </row>
    <row r="6362" spans="2:2">
      <c r="B6362" s="36"/>
    </row>
    <row r="6363" spans="2:2">
      <c r="B6363" s="36"/>
    </row>
    <row r="6364" spans="2:2">
      <c r="B6364" s="36"/>
    </row>
    <row r="6365" spans="2:2">
      <c r="B6365" s="36"/>
    </row>
    <row r="6366" spans="2:2">
      <c r="B6366" s="36"/>
    </row>
    <row r="6367" spans="2:2">
      <c r="B6367" s="36"/>
    </row>
    <row r="6368" spans="2:2">
      <c r="B6368" s="36"/>
    </row>
    <row r="6369" spans="2:2">
      <c r="B6369" s="36"/>
    </row>
    <row r="6370" spans="2:2">
      <c r="B6370" s="36"/>
    </row>
    <row r="6371" spans="2:2">
      <c r="B6371" s="36"/>
    </row>
    <row r="6372" spans="2:2">
      <c r="B6372" s="36"/>
    </row>
    <row r="6373" spans="2:2">
      <c r="B6373" s="36"/>
    </row>
    <row r="6374" spans="2:2">
      <c r="B6374" s="36"/>
    </row>
    <row r="6375" spans="2:2">
      <c r="B6375" s="36"/>
    </row>
    <row r="6376" spans="2:2">
      <c r="B6376" s="36"/>
    </row>
    <row r="6377" spans="2:2">
      <c r="B6377" s="36"/>
    </row>
    <row r="6378" spans="2:2">
      <c r="B6378" s="36"/>
    </row>
    <row r="6379" spans="2:2">
      <c r="B6379" s="36"/>
    </row>
    <row r="6380" spans="2:2">
      <c r="B6380" s="36"/>
    </row>
    <row r="6381" spans="2:2">
      <c r="B6381" s="36"/>
    </row>
    <row r="6382" spans="2:2">
      <c r="B6382" s="36"/>
    </row>
    <row r="6383" spans="2:2">
      <c r="B6383" s="36"/>
    </row>
    <row r="6384" spans="2:2">
      <c r="B6384" s="36"/>
    </row>
    <row r="6385" spans="2:2">
      <c r="B6385" s="36"/>
    </row>
    <row r="6386" spans="2:2">
      <c r="B6386" s="36"/>
    </row>
    <row r="6387" spans="2:2">
      <c r="B6387" s="36"/>
    </row>
    <row r="6388" spans="2:2">
      <c r="B6388" s="36"/>
    </row>
    <row r="6389" spans="2:2">
      <c r="B6389" s="36"/>
    </row>
    <row r="6390" spans="2:2">
      <c r="B6390" s="36"/>
    </row>
    <row r="6391" spans="2:2">
      <c r="B6391" s="36"/>
    </row>
    <row r="6392" spans="2:2">
      <c r="B6392" s="36"/>
    </row>
    <row r="6393" spans="2:2">
      <c r="B6393" s="36"/>
    </row>
    <row r="6394" spans="2:2">
      <c r="B6394" s="36"/>
    </row>
    <row r="6395" spans="2:2">
      <c r="B6395" s="36"/>
    </row>
    <row r="6396" spans="2:2">
      <c r="B6396" s="36"/>
    </row>
    <row r="6397" spans="2:2">
      <c r="B6397" s="36"/>
    </row>
    <row r="6398" spans="2:2">
      <c r="B6398" s="36"/>
    </row>
    <row r="6399" spans="2:2">
      <c r="B6399" s="36"/>
    </row>
    <row r="6400" spans="2:2">
      <c r="B6400" s="36"/>
    </row>
    <row r="6401" spans="2:2">
      <c r="B6401" s="36"/>
    </row>
    <row r="6402" spans="2:2">
      <c r="B6402" s="36"/>
    </row>
    <row r="6403" spans="2:2">
      <c r="B6403" s="36"/>
    </row>
    <row r="6404" spans="2:2">
      <c r="B6404" s="36"/>
    </row>
    <row r="6405" spans="2:2">
      <c r="B6405" s="36"/>
    </row>
    <row r="6406" spans="2:2">
      <c r="B6406" s="36"/>
    </row>
    <row r="6407" spans="2:2">
      <c r="B6407" s="36"/>
    </row>
    <row r="6408" spans="2:2">
      <c r="B6408" s="36"/>
    </row>
    <row r="6409" spans="2:2">
      <c r="B6409" s="36"/>
    </row>
    <row r="6410" spans="2:2">
      <c r="B6410" s="36"/>
    </row>
    <row r="6411" spans="2:2">
      <c r="B6411" s="36"/>
    </row>
    <row r="6412" spans="2:2">
      <c r="B6412" s="36"/>
    </row>
    <row r="6413" spans="2:2">
      <c r="B6413" s="36"/>
    </row>
    <row r="6414" spans="2:2">
      <c r="B6414" s="36"/>
    </row>
    <row r="6415" spans="2:2">
      <c r="B6415" s="36"/>
    </row>
    <row r="6416" spans="2:2">
      <c r="B6416" s="36"/>
    </row>
    <row r="6417" spans="2:2">
      <c r="B6417" s="36"/>
    </row>
    <row r="6418" spans="2:2">
      <c r="B6418" s="36"/>
    </row>
    <row r="6419" spans="2:2">
      <c r="B6419" s="36"/>
    </row>
    <row r="6420" spans="2:2">
      <c r="B6420" s="36"/>
    </row>
    <row r="6421" spans="2:2">
      <c r="B6421" s="36"/>
    </row>
    <row r="6422" spans="2:2">
      <c r="B6422" s="36"/>
    </row>
    <row r="6423" spans="2:2">
      <c r="B6423" s="36"/>
    </row>
    <row r="6424" spans="2:2">
      <c r="B6424" s="36"/>
    </row>
    <row r="6425" spans="2:2">
      <c r="B6425" s="36"/>
    </row>
    <row r="6426" spans="2:2">
      <c r="B6426" s="36"/>
    </row>
    <row r="6427" spans="2:2">
      <c r="B6427" s="36"/>
    </row>
    <row r="6428" spans="2:2">
      <c r="B6428" s="36"/>
    </row>
    <row r="6429" spans="2:2">
      <c r="B6429" s="36"/>
    </row>
    <row r="6430" spans="2:2">
      <c r="B6430" s="36"/>
    </row>
    <row r="6431" spans="2:2">
      <c r="B6431" s="36"/>
    </row>
    <row r="6432" spans="2:2">
      <c r="B6432" s="36"/>
    </row>
    <row r="6433" spans="2:2">
      <c r="B6433" s="36"/>
    </row>
    <row r="6434" spans="2:2">
      <c r="B6434" s="36"/>
    </row>
    <row r="6435" spans="2:2">
      <c r="B6435" s="36"/>
    </row>
    <row r="6436" spans="2:2">
      <c r="B6436" s="36"/>
    </row>
    <row r="6437" spans="2:2">
      <c r="B6437" s="36"/>
    </row>
    <row r="6438" spans="2:2">
      <c r="B6438" s="36"/>
    </row>
    <row r="6439" spans="2:2">
      <c r="B6439" s="36"/>
    </row>
    <row r="6440" spans="2:2">
      <c r="B6440" s="36"/>
    </row>
    <row r="6441" spans="2:2">
      <c r="B6441" s="36"/>
    </row>
    <row r="6442" spans="2:2">
      <c r="B6442" s="36"/>
    </row>
    <row r="6443" spans="2:2">
      <c r="B6443" s="36"/>
    </row>
    <row r="6444" spans="2:2">
      <c r="B6444" s="36"/>
    </row>
    <row r="6445" spans="2:2">
      <c r="B6445" s="36"/>
    </row>
    <row r="6446" spans="2:2">
      <c r="B6446" s="36"/>
    </row>
    <row r="6447" spans="2:2">
      <c r="B6447" s="36"/>
    </row>
    <row r="6448" spans="2:2">
      <c r="B6448" s="36"/>
    </row>
    <row r="6449" spans="2:2">
      <c r="B6449" s="36"/>
    </row>
    <row r="6450" spans="2:2">
      <c r="B6450" s="36"/>
    </row>
    <row r="6451" spans="2:2">
      <c r="B6451" s="36"/>
    </row>
    <row r="6452" spans="2:2">
      <c r="B6452" s="36"/>
    </row>
    <row r="6453" spans="2:2">
      <c r="B6453" s="36"/>
    </row>
    <row r="6454" spans="2:2">
      <c r="B6454" s="36"/>
    </row>
    <row r="6455" spans="2:2">
      <c r="B6455" s="36"/>
    </row>
    <row r="6456" spans="2:2">
      <c r="B6456" s="36"/>
    </row>
    <row r="6457" spans="2:2">
      <c r="B6457" s="36"/>
    </row>
    <row r="6458" spans="2:2">
      <c r="B6458" s="36"/>
    </row>
    <row r="6459" spans="2:2">
      <c r="B6459" s="36"/>
    </row>
    <row r="6460" spans="2:2">
      <c r="B6460" s="36"/>
    </row>
    <row r="6461" spans="2:2">
      <c r="B6461" s="36"/>
    </row>
    <row r="6462" spans="2:2">
      <c r="B6462" s="36"/>
    </row>
    <row r="6463" spans="2:2">
      <c r="B6463" s="36"/>
    </row>
    <row r="6464" spans="2:2">
      <c r="B6464" s="36"/>
    </row>
    <row r="6465" spans="2:2">
      <c r="B6465" s="36"/>
    </row>
    <row r="6466" spans="2:2">
      <c r="B6466" s="36"/>
    </row>
    <row r="6467" spans="2:2">
      <c r="B6467" s="36"/>
    </row>
    <row r="6468" spans="2:2">
      <c r="B6468" s="36"/>
    </row>
    <row r="6469" spans="2:2">
      <c r="B6469" s="36"/>
    </row>
    <row r="6470" spans="2:2">
      <c r="B6470" s="36"/>
    </row>
    <row r="6471" spans="2:2">
      <c r="B6471" s="36"/>
    </row>
    <row r="6472" spans="2:2">
      <c r="B6472" s="36"/>
    </row>
    <row r="6473" spans="2:2">
      <c r="B6473" s="36"/>
    </row>
    <row r="6474" spans="2:2">
      <c r="B6474" s="36"/>
    </row>
    <row r="6475" spans="2:2">
      <c r="B6475" s="36"/>
    </row>
    <row r="6476" spans="2:2">
      <c r="B6476" s="36"/>
    </row>
    <row r="6477" spans="2:2">
      <c r="B6477" s="36"/>
    </row>
    <row r="6478" spans="2:2">
      <c r="B6478" s="36"/>
    </row>
    <row r="6479" spans="2:2">
      <c r="B6479" s="36"/>
    </row>
    <row r="6480" spans="2:2">
      <c r="B6480" s="36"/>
    </row>
    <row r="6481" spans="2:2">
      <c r="B6481" s="36"/>
    </row>
    <row r="6482" spans="2:2">
      <c r="B6482" s="36"/>
    </row>
    <row r="6483" spans="2:2">
      <c r="B6483" s="36"/>
    </row>
    <row r="6484" spans="2:2">
      <c r="B6484" s="36"/>
    </row>
    <row r="6485" spans="2:2">
      <c r="B6485" s="36"/>
    </row>
    <row r="6486" spans="2:2">
      <c r="B6486" s="36"/>
    </row>
    <row r="6487" spans="2:2">
      <c r="B6487" s="36"/>
    </row>
    <row r="6488" spans="2:2">
      <c r="B6488" s="36"/>
    </row>
    <row r="6489" spans="2:2">
      <c r="B6489" s="36"/>
    </row>
    <row r="6490" spans="2:2">
      <c r="B6490" s="36"/>
    </row>
    <row r="6491" spans="2:2">
      <c r="B6491" s="36"/>
    </row>
    <row r="6492" spans="2:2">
      <c r="B6492" s="36"/>
    </row>
    <row r="6493" spans="2:2">
      <c r="B6493" s="36"/>
    </row>
    <row r="6494" spans="2:2">
      <c r="B6494" s="36"/>
    </row>
    <row r="6495" spans="2:2">
      <c r="B6495" s="36"/>
    </row>
    <row r="6496" spans="2:2">
      <c r="B6496" s="36"/>
    </row>
    <row r="6497" spans="2:2">
      <c r="B6497" s="36"/>
    </row>
    <row r="6498" spans="2:2">
      <c r="B6498" s="36"/>
    </row>
    <row r="6499" spans="2:2">
      <c r="B6499" s="36"/>
    </row>
    <row r="6500" spans="2:2">
      <c r="B6500" s="36"/>
    </row>
    <row r="6501" spans="2:2">
      <c r="B6501" s="36"/>
    </row>
    <row r="6502" spans="2:2">
      <c r="B6502" s="36"/>
    </row>
    <row r="6503" spans="2:2">
      <c r="B6503" s="36"/>
    </row>
    <row r="6504" spans="2:2">
      <c r="B6504" s="36"/>
    </row>
    <row r="6505" spans="2:2">
      <c r="B6505" s="36"/>
    </row>
    <row r="6506" spans="2:2">
      <c r="B6506" s="36"/>
    </row>
    <row r="6507" spans="2:2">
      <c r="B6507" s="36"/>
    </row>
    <row r="6508" spans="2:2">
      <c r="B6508" s="36"/>
    </row>
    <row r="6509" spans="2:2">
      <c r="B6509" s="36"/>
    </row>
    <row r="6510" spans="2:2">
      <c r="B6510" s="36"/>
    </row>
    <row r="6511" spans="2:2">
      <c r="B6511" s="36"/>
    </row>
    <row r="6512" spans="2:2">
      <c r="B6512" s="36"/>
    </row>
    <row r="6513" spans="2:2">
      <c r="B6513" s="36"/>
    </row>
    <row r="6514" spans="2:2">
      <c r="B6514" s="36"/>
    </row>
    <row r="6515" spans="2:2">
      <c r="B6515" s="36"/>
    </row>
    <row r="6516" spans="2:2">
      <c r="B6516" s="36"/>
    </row>
    <row r="6517" spans="2:2">
      <c r="B6517" s="36"/>
    </row>
    <row r="6518" spans="2:2">
      <c r="B6518" s="36"/>
    </row>
    <row r="6519" spans="2:2">
      <c r="B6519" s="36"/>
    </row>
    <row r="6520" spans="2:2">
      <c r="B6520" s="36"/>
    </row>
    <row r="6521" spans="2:2">
      <c r="B6521" s="36"/>
    </row>
    <row r="6522" spans="2:2">
      <c r="B6522" s="36"/>
    </row>
    <row r="6523" spans="2:2">
      <c r="B6523" s="36"/>
    </row>
    <row r="6524" spans="2:2">
      <c r="B6524" s="36"/>
    </row>
    <row r="6525" spans="2:2">
      <c r="B6525" s="36"/>
    </row>
    <row r="6526" spans="2:2">
      <c r="B6526" s="36"/>
    </row>
    <row r="6527" spans="2:2">
      <c r="B6527" s="36"/>
    </row>
    <row r="6528" spans="2:2">
      <c r="B6528" s="36"/>
    </row>
    <row r="6529" spans="2:2">
      <c r="B6529" s="36"/>
    </row>
    <row r="6530" spans="2:2">
      <c r="B6530" s="36"/>
    </row>
    <row r="6531" spans="2:2">
      <c r="B6531" s="36"/>
    </row>
    <row r="6532" spans="2:2">
      <c r="B6532" s="36"/>
    </row>
    <row r="6533" spans="2:2">
      <c r="B6533" s="36"/>
    </row>
    <row r="6534" spans="2:2">
      <c r="B6534" s="36"/>
    </row>
    <row r="6535" spans="2:2">
      <c r="B6535" s="36"/>
    </row>
    <row r="6536" spans="2:2">
      <c r="B6536" s="36"/>
    </row>
    <row r="6537" spans="2:2">
      <c r="B6537" s="36"/>
    </row>
    <row r="6538" spans="2:2">
      <c r="B6538" s="36"/>
    </row>
    <row r="6539" spans="2:2">
      <c r="B6539" s="36"/>
    </row>
    <row r="6540" spans="2:2">
      <c r="B6540" s="36"/>
    </row>
    <row r="6541" spans="2:2">
      <c r="B6541" s="36"/>
    </row>
    <row r="6542" spans="2:2">
      <c r="B6542" s="36"/>
    </row>
    <row r="6543" spans="2:2">
      <c r="B6543" s="36"/>
    </row>
    <row r="6544" spans="2:2">
      <c r="B6544" s="36"/>
    </row>
    <row r="6545" spans="2:2">
      <c r="B6545" s="36"/>
    </row>
    <row r="6546" spans="2:2">
      <c r="B6546" s="36"/>
    </row>
    <row r="6547" spans="2:2">
      <c r="B6547" s="36"/>
    </row>
    <row r="6548" spans="2:2">
      <c r="B6548" s="36"/>
    </row>
    <row r="6549" spans="2:2">
      <c r="B6549" s="36"/>
    </row>
    <row r="6550" spans="2:2">
      <c r="B6550" s="36"/>
    </row>
    <row r="6551" spans="2:2">
      <c r="B6551" s="36"/>
    </row>
    <row r="6552" spans="2:2">
      <c r="B6552" s="36"/>
    </row>
    <row r="6553" spans="2:2">
      <c r="B6553" s="36"/>
    </row>
    <row r="6554" spans="2:2">
      <c r="B6554" s="36"/>
    </row>
    <row r="6555" spans="2:2">
      <c r="B6555" s="36"/>
    </row>
    <row r="6556" spans="2:2">
      <c r="B6556" s="36"/>
    </row>
    <row r="6557" spans="2:2">
      <c r="B6557" s="36"/>
    </row>
    <row r="6558" spans="2:2">
      <c r="B6558" s="36"/>
    </row>
    <row r="6559" spans="2:2">
      <c r="B6559" s="36"/>
    </row>
    <row r="6560" spans="2:2">
      <c r="B6560" s="36"/>
    </row>
    <row r="6561" spans="2:2">
      <c r="B6561" s="36"/>
    </row>
    <row r="6562" spans="2:2">
      <c r="B6562" s="36"/>
    </row>
    <row r="6563" spans="2:2">
      <c r="B6563" s="36"/>
    </row>
    <row r="6564" spans="2:2">
      <c r="B6564" s="36"/>
    </row>
    <row r="6565" spans="2:2">
      <c r="B6565" s="36"/>
    </row>
    <row r="6566" spans="2:2">
      <c r="B6566" s="36"/>
    </row>
    <row r="6567" spans="2:2">
      <c r="B6567" s="36"/>
    </row>
    <row r="6568" spans="2:2">
      <c r="B6568" s="36"/>
    </row>
    <row r="6569" spans="2:2">
      <c r="B6569" s="36"/>
    </row>
    <row r="6570" spans="2:2">
      <c r="B6570" s="36"/>
    </row>
    <row r="6571" spans="2:2">
      <c r="B6571" s="36"/>
    </row>
    <row r="6572" spans="2:2">
      <c r="B6572" s="36"/>
    </row>
    <row r="6573" spans="2:2">
      <c r="B6573" s="36"/>
    </row>
    <row r="6574" spans="2:2">
      <c r="B6574" s="36"/>
    </row>
    <row r="6575" spans="2:2">
      <c r="B6575" s="36"/>
    </row>
    <row r="6576" spans="2:2">
      <c r="B6576" s="36"/>
    </row>
    <row r="6577" spans="2:2">
      <c r="B6577" s="36"/>
    </row>
    <row r="6578" spans="2:2">
      <c r="B6578" s="36"/>
    </row>
    <row r="6579" spans="2:2">
      <c r="B6579" s="36"/>
    </row>
    <row r="6580" spans="2:2">
      <c r="B6580" s="36"/>
    </row>
    <row r="6581" spans="2:2">
      <c r="B6581" s="36"/>
    </row>
    <row r="6582" spans="2:2">
      <c r="B6582" s="36"/>
    </row>
    <row r="6583" spans="2:2">
      <c r="B6583" s="36"/>
    </row>
    <row r="6584" spans="2:2">
      <c r="B6584" s="36"/>
    </row>
    <row r="6585" spans="2:2">
      <c r="B6585" s="36"/>
    </row>
    <row r="6586" spans="2:2">
      <c r="B6586" s="36"/>
    </row>
    <row r="6587" spans="2:2">
      <c r="B6587" s="36"/>
    </row>
    <row r="6588" spans="2:2">
      <c r="B6588" s="36"/>
    </row>
    <row r="6589" spans="2:2">
      <c r="B6589" s="36"/>
    </row>
    <row r="6590" spans="2:2">
      <c r="B6590" s="36"/>
    </row>
    <row r="6591" spans="2:2">
      <c r="B6591" s="36"/>
    </row>
    <row r="6592" spans="2:2">
      <c r="B6592" s="36"/>
    </row>
    <row r="6593" spans="2:2">
      <c r="B6593" s="36"/>
    </row>
    <row r="6594" spans="2:2">
      <c r="B6594" s="36"/>
    </row>
    <row r="6595" spans="2:2">
      <c r="B6595" s="36"/>
    </row>
    <row r="6596" spans="2:2">
      <c r="B6596" s="36"/>
    </row>
    <row r="6597" spans="2:2">
      <c r="B6597" s="36"/>
    </row>
    <row r="6598" spans="2:2">
      <c r="B6598" s="36"/>
    </row>
    <row r="6599" spans="2:2">
      <c r="B6599" s="36"/>
    </row>
    <row r="6600" spans="2:2">
      <c r="B6600" s="36"/>
    </row>
    <row r="6601" spans="2:2">
      <c r="B6601" s="36"/>
    </row>
    <row r="6602" spans="2:2">
      <c r="B6602" s="36"/>
    </row>
    <row r="6603" spans="2:2">
      <c r="B6603" s="36"/>
    </row>
    <row r="6604" spans="2:2">
      <c r="B6604" s="36"/>
    </row>
    <row r="6605" spans="2:2">
      <c r="B6605" s="36"/>
    </row>
    <row r="6606" spans="2:2">
      <c r="B6606" s="36"/>
    </row>
    <row r="6607" spans="2:2">
      <c r="B6607" s="36"/>
    </row>
    <row r="6608" spans="2:2">
      <c r="B6608" s="36"/>
    </row>
    <row r="6609" spans="2:2">
      <c r="B6609" s="36"/>
    </row>
    <row r="6610" spans="2:2">
      <c r="B6610" s="36"/>
    </row>
    <row r="6611" spans="2:2">
      <c r="B6611" s="36"/>
    </row>
    <row r="6612" spans="2:2">
      <c r="B6612" s="36"/>
    </row>
    <row r="6613" spans="2:2">
      <c r="B6613" s="36"/>
    </row>
    <row r="6614" spans="2:2">
      <c r="B6614" s="36"/>
    </row>
    <row r="6615" spans="2:2">
      <c r="B6615" s="36"/>
    </row>
    <row r="6616" spans="2:2">
      <c r="B6616" s="36"/>
    </row>
    <row r="6617" spans="2:2">
      <c r="B6617" s="36"/>
    </row>
    <row r="6618" spans="2:2">
      <c r="B6618" s="36"/>
    </row>
    <row r="6619" spans="2:2">
      <c r="B6619" s="36"/>
    </row>
    <row r="6620" spans="2:2">
      <c r="B6620" s="36"/>
    </row>
    <row r="6621" spans="2:2">
      <c r="B6621" s="36"/>
    </row>
    <row r="6622" spans="2:2">
      <c r="B6622" s="36"/>
    </row>
    <row r="6623" spans="2:2">
      <c r="B6623" s="36"/>
    </row>
    <row r="6624" spans="2:2">
      <c r="B6624" s="36"/>
    </row>
    <row r="6625" spans="2:2">
      <c r="B6625" s="36"/>
    </row>
    <row r="6626" spans="2:2">
      <c r="B6626" s="36"/>
    </row>
    <row r="6627" spans="2:2">
      <c r="B6627" s="36"/>
    </row>
    <row r="6628" spans="2:2">
      <c r="B6628" s="36"/>
    </row>
    <row r="6629" spans="2:2">
      <c r="B6629" s="36"/>
    </row>
    <row r="6630" spans="2:2">
      <c r="B6630" s="36"/>
    </row>
    <row r="6631" spans="2:2">
      <c r="B6631" s="36"/>
    </row>
    <row r="6632" spans="2:2">
      <c r="B6632" s="36"/>
    </row>
    <row r="6633" spans="2:2">
      <c r="B6633" s="36"/>
    </row>
    <row r="6634" spans="2:2">
      <c r="B6634" s="36"/>
    </row>
    <row r="6635" spans="2:2">
      <c r="B6635" s="36"/>
    </row>
    <row r="6636" spans="2:2">
      <c r="B6636" s="36"/>
    </row>
    <row r="6637" spans="2:2">
      <c r="B6637" s="36"/>
    </row>
    <row r="6638" spans="2:2">
      <c r="B6638" s="36"/>
    </row>
    <row r="6639" spans="2:2">
      <c r="B6639" s="36"/>
    </row>
    <row r="6640" spans="2:2">
      <c r="B6640" s="36"/>
    </row>
    <row r="6641" spans="2:2">
      <c r="B6641" s="36"/>
    </row>
    <row r="6642" spans="2:2">
      <c r="B6642" s="36"/>
    </row>
    <row r="6643" spans="2:2">
      <c r="B6643" s="36"/>
    </row>
    <row r="6644" spans="2:2">
      <c r="B6644" s="36"/>
    </row>
    <row r="6645" spans="2:2">
      <c r="B6645" s="36"/>
    </row>
    <row r="6646" spans="2:2">
      <c r="B6646" s="36"/>
    </row>
    <row r="6647" spans="2:2">
      <c r="B6647" s="36"/>
    </row>
    <row r="6648" spans="2:2">
      <c r="B6648" s="36"/>
    </row>
    <row r="6649" spans="2:2">
      <c r="B6649" s="36"/>
    </row>
    <row r="6650" spans="2:2">
      <c r="B6650" s="36"/>
    </row>
    <row r="6651" spans="2:2">
      <c r="B6651" s="36"/>
    </row>
    <row r="6652" spans="2:2">
      <c r="B6652" s="36"/>
    </row>
    <row r="6653" spans="2:2">
      <c r="B6653" s="36"/>
    </row>
    <row r="6654" spans="2:2">
      <c r="B6654" s="36"/>
    </row>
    <row r="6655" spans="2:2">
      <c r="B6655" s="36"/>
    </row>
    <row r="6656" spans="2:2">
      <c r="B6656" s="36"/>
    </row>
    <row r="6657" spans="2:2">
      <c r="B6657" s="36"/>
    </row>
    <row r="6658" spans="2:2">
      <c r="B6658" s="36"/>
    </row>
    <row r="6659" spans="2:2">
      <c r="B6659" s="36"/>
    </row>
    <row r="6660" spans="2:2">
      <c r="B6660" s="36"/>
    </row>
    <row r="6661" spans="2:2">
      <c r="B6661" s="36"/>
    </row>
    <row r="6662" spans="2:2">
      <c r="B6662" s="36"/>
    </row>
    <row r="6663" spans="2:2">
      <c r="B6663" s="36"/>
    </row>
    <row r="6664" spans="2:2">
      <c r="B6664" s="36"/>
    </row>
    <row r="6665" spans="2:2">
      <c r="B6665" s="36"/>
    </row>
    <row r="6666" spans="2:2">
      <c r="B6666" s="36"/>
    </row>
    <row r="6667" spans="2:2">
      <c r="B6667" s="36"/>
    </row>
    <row r="6668" spans="2:2">
      <c r="B6668" s="36"/>
    </row>
    <row r="6669" spans="2:2">
      <c r="B6669" s="36"/>
    </row>
    <row r="6670" spans="2:2">
      <c r="B6670" s="36"/>
    </row>
    <row r="6671" spans="2:2">
      <c r="B6671" s="36"/>
    </row>
    <row r="6672" spans="2:2">
      <c r="B6672" s="36"/>
    </row>
    <row r="6673" spans="2:2">
      <c r="B6673" s="36"/>
    </row>
    <row r="6674" spans="2:2">
      <c r="B6674" s="36"/>
    </row>
    <row r="6675" spans="2:2">
      <c r="B6675" s="36"/>
    </row>
    <row r="6676" spans="2:2">
      <c r="B6676" s="36"/>
    </row>
    <row r="6677" spans="2:2">
      <c r="B6677" s="36"/>
    </row>
    <row r="6678" spans="2:2">
      <c r="B6678" s="36"/>
    </row>
    <row r="6679" spans="2:2">
      <c r="B6679" s="36"/>
    </row>
    <row r="6680" spans="2:2">
      <c r="B6680" s="36"/>
    </row>
    <row r="6681" spans="2:2">
      <c r="B6681" s="36"/>
    </row>
    <row r="6682" spans="2:2">
      <c r="B6682" s="36"/>
    </row>
    <row r="6683" spans="2:2">
      <c r="B6683" s="36"/>
    </row>
    <row r="6684" spans="2:2">
      <c r="B6684" s="36"/>
    </row>
    <row r="6685" spans="2:2">
      <c r="B6685" s="36"/>
    </row>
    <row r="6686" spans="2:2">
      <c r="B6686" s="36"/>
    </row>
    <row r="6687" spans="2:2">
      <c r="B6687" s="36"/>
    </row>
    <row r="6688" spans="2:2">
      <c r="B6688" s="36"/>
    </row>
    <row r="6689" spans="2:2">
      <c r="B6689" s="36"/>
    </row>
    <row r="6690" spans="2:2">
      <c r="B6690" s="36"/>
    </row>
    <row r="6691" spans="2:2">
      <c r="B6691" s="36"/>
    </row>
    <row r="6692" spans="2:2">
      <c r="B6692" s="36"/>
    </row>
    <row r="6693" spans="2:2">
      <c r="B6693" s="36"/>
    </row>
    <row r="6694" spans="2:2">
      <c r="B6694" s="36"/>
    </row>
    <row r="6695" spans="2:2">
      <c r="B6695" s="36"/>
    </row>
    <row r="6696" spans="2:2">
      <c r="B6696" s="36"/>
    </row>
    <row r="6697" spans="2:2">
      <c r="B6697" s="36"/>
    </row>
    <row r="6698" spans="2:2">
      <c r="B6698" s="36"/>
    </row>
    <row r="6699" spans="2:2">
      <c r="B6699" s="36"/>
    </row>
    <row r="6700" spans="2:2">
      <c r="B6700" s="36"/>
    </row>
    <row r="6701" spans="2:2">
      <c r="B6701" s="36"/>
    </row>
    <row r="6702" spans="2:2">
      <c r="B6702" s="36"/>
    </row>
    <row r="6703" spans="2:2">
      <c r="B6703" s="36"/>
    </row>
    <row r="6704" spans="2:2">
      <c r="B6704" s="36"/>
    </row>
    <row r="6705" spans="2:2">
      <c r="B6705" s="36"/>
    </row>
    <row r="6706" spans="2:2">
      <c r="B6706" s="36"/>
    </row>
    <row r="6707" spans="2:2">
      <c r="B6707" s="36"/>
    </row>
    <row r="6708" spans="2:2">
      <c r="B6708" s="36"/>
    </row>
    <row r="6709" spans="2:2">
      <c r="B6709" s="36"/>
    </row>
    <row r="6710" spans="2:2">
      <c r="B6710" s="36"/>
    </row>
    <row r="6711" spans="2:2">
      <c r="B6711" s="36"/>
    </row>
    <row r="6712" spans="2:2">
      <c r="B6712" s="36"/>
    </row>
    <row r="6713" spans="2:2">
      <c r="B6713" s="36"/>
    </row>
    <row r="6714" spans="2:2">
      <c r="B6714" s="36"/>
    </row>
    <row r="6715" spans="2:2">
      <c r="B6715" s="36"/>
    </row>
    <row r="6716" spans="2:2">
      <c r="B6716" s="36"/>
    </row>
    <row r="6717" spans="2:2">
      <c r="B6717" s="36"/>
    </row>
    <row r="6718" spans="2:2">
      <c r="B6718" s="36"/>
    </row>
    <row r="6719" spans="2:2">
      <c r="B6719" s="36"/>
    </row>
    <row r="6720" spans="2:2">
      <c r="B6720" s="36"/>
    </row>
    <row r="6721" spans="2:2">
      <c r="B6721" s="36"/>
    </row>
    <row r="6722" spans="2:2">
      <c r="B6722" s="36"/>
    </row>
    <row r="6723" spans="2:2">
      <c r="B6723" s="36"/>
    </row>
    <row r="6724" spans="2:2">
      <c r="B6724" s="36"/>
    </row>
    <row r="6725" spans="2:2">
      <c r="B6725" s="36"/>
    </row>
    <row r="6726" spans="2:2">
      <c r="B6726" s="36"/>
    </row>
    <row r="6727" spans="2:2">
      <c r="B6727" s="36"/>
    </row>
    <row r="6728" spans="2:2">
      <c r="B6728" s="36"/>
    </row>
    <row r="6729" spans="2:2">
      <c r="B6729" s="36"/>
    </row>
    <row r="6730" spans="2:2">
      <c r="B6730" s="36"/>
    </row>
    <row r="6731" spans="2:2">
      <c r="B6731" s="36"/>
    </row>
    <row r="6732" spans="2:2">
      <c r="B6732" s="36"/>
    </row>
    <row r="6733" spans="2:2">
      <c r="B6733" s="36"/>
    </row>
    <row r="6734" spans="2:2">
      <c r="B6734" s="36"/>
    </row>
    <row r="6735" spans="2:2">
      <c r="B6735" s="36"/>
    </row>
    <row r="6736" spans="2:2">
      <c r="B6736" s="36"/>
    </row>
    <row r="6737" spans="2:2">
      <c r="B6737" s="36"/>
    </row>
    <row r="6738" spans="2:2">
      <c r="B6738" s="36"/>
    </row>
    <row r="6739" spans="2:2">
      <c r="B6739" s="36"/>
    </row>
    <row r="6740" spans="2:2">
      <c r="B6740" s="36"/>
    </row>
    <row r="6741" spans="2:2">
      <c r="B6741" s="36"/>
    </row>
    <row r="6742" spans="2:2">
      <c r="B6742" s="36"/>
    </row>
    <row r="6743" spans="2:2">
      <c r="B6743" s="36"/>
    </row>
    <row r="6744" spans="2:2">
      <c r="B6744" s="36"/>
    </row>
    <row r="6745" spans="2:2">
      <c r="B6745" s="36"/>
    </row>
    <row r="6746" spans="2:2">
      <c r="B6746" s="36"/>
    </row>
    <row r="6747" spans="2:2">
      <c r="B6747" s="36"/>
    </row>
    <row r="6748" spans="2:2">
      <c r="B6748" s="36"/>
    </row>
    <row r="6749" spans="2:2">
      <c r="B6749" s="36"/>
    </row>
    <row r="6750" spans="2:2">
      <c r="B6750" s="36"/>
    </row>
    <row r="6751" spans="2:2">
      <c r="B6751" s="36"/>
    </row>
    <row r="6752" spans="2:2">
      <c r="B6752" s="36"/>
    </row>
    <row r="6753" spans="2:2">
      <c r="B6753" s="36"/>
    </row>
    <row r="6754" spans="2:2">
      <c r="B6754" s="36"/>
    </row>
    <row r="6755" spans="2:2">
      <c r="B6755" s="36"/>
    </row>
    <row r="6756" spans="2:2">
      <c r="B6756" s="36"/>
    </row>
    <row r="6757" spans="2:2">
      <c r="B6757" s="36"/>
    </row>
    <row r="6758" spans="2:2">
      <c r="B6758" s="36"/>
    </row>
    <row r="6759" spans="2:2">
      <c r="B6759" s="36"/>
    </row>
    <row r="6760" spans="2:2">
      <c r="B6760" s="36"/>
    </row>
    <row r="6761" spans="2:2">
      <c r="B6761" s="36"/>
    </row>
    <row r="6762" spans="2:2">
      <c r="B6762" s="36"/>
    </row>
    <row r="6763" spans="2:2">
      <c r="B6763" s="36"/>
    </row>
    <row r="6764" spans="2:2">
      <c r="B6764" s="36"/>
    </row>
    <row r="6765" spans="2:2">
      <c r="B6765" s="36"/>
    </row>
    <row r="6766" spans="2:2">
      <c r="B6766" s="36"/>
    </row>
    <row r="6767" spans="2:2">
      <c r="B6767" s="36"/>
    </row>
    <row r="6768" spans="2:2">
      <c r="B6768" s="36"/>
    </row>
    <row r="6769" spans="2:2">
      <c r="B6769" s="36"/>
    </row>
    <row r="6770" spans="2:2">
      <c r="B6770" s="36"/>
    </row>
    <row r="6771" spans="2:2">
      <c r="B6771" s="36"/>
    </row>
    <row r="6772" spans="2:2">
      <c r="B6772" s="36"/>
    </row>
    <row r="6773" spans="2:2">
      <c r="B6773" s="36"/>
    </row>
    <row r="6774" spans="2:2">
      <c r="B6774" s="36"/>
    </row>
    <row r="6775" spans="2:2">
      <c r="B6775" s="36"/>
    </row>
    <row r="6776" spans="2:2">
      <c r="B6776" s="36"/>
    </row>
    <row r="6777" spans="2:2">
      <c r="B6777" s="36"/>
    </row>
    <row r="6778" spans="2:2">
      <c r="B6778" s="36"/>
    </row>
    <row r="6779" spans="2:2">
      <c r="B6779" s="36"/>
    </row>
    <row r="6780" spans="2:2">
      <c r="B6780" s="36"/>
    </row>
    <row r="6781" spans="2:2">
      <c r="B6781" s="36"/>
    </row>
    <row r="6782" spans="2:2">
      <c r="B6782" s="36"/>
    </row>
    <row r="6783" spans="2:2">
      <c r="B6783" s="36"/>
    </row>
    <row r="6784" spans="2:2">
      <c r="B6784" s="36"/>
    </row>
    <row r="6785" spans="2:2">
      <c r="B6785" s="36"/>
    </row>
    <row r="6786" spans="2:2">
      <c r="B6786" s="36"/>
    </row>
    <row r="6787" spans="2:2">
      <c r="B6787" s="36"/>
    </row>
    <row r="6788" spans="2:2">
      <c r="B6788" s="36"/>
    </row>
    <row r="6789" spans="2:2">
      <c r="B6789" s="36"/>
    </row>
    <row r="6790" spans="2:2">
      <c r="B6790" s="36"/>
    </row>
    <row r="6791" spans="2:2">
      <c r="B6791" s="36"/>
    </row>
    <row r="6792" spans="2:2">
      <c r="B6792" s="36"/>
    </row>
    <row r="6793" spans="2:2">
      <c r="B6793" s="36"/>
    </row>
    <row r="6794" spans="2:2">
      <c r="B6794" s="36"/>
    </row>
    <row r="6795" spans="2:2">
      <c r="B6795" s="36"/>
    </row>
    <row r="6796" spans="2:2">
      <c r="B6796" s="36"/>
    </row>
    <row r="6797" spans="2:2">
      <c r="B6797" s="36"/>
    </row>
    <row r="6798" spans="2:2">
      <c r="B6798" s="36"/>
    </row>
    <row r="6799" spans="2:2">
      <c r="B6799" s="36"/>
    </row>
    <row r="6800" spans="2:2">
      <c r="B6800" s="36"/>
    </row>
    <row r="6801" spans="2:2">
      <c r="B6801" s="36"/>
    </row>
    <row r="6802" spans="2:2">
      <c r="B6802" s="36"/>
    </row>
    <row r="6803" spans="2:2">
      <c r="B6803" s="36"/>
    </row>
    <row r="6804" spans="2:2">
      <c r="B6804" s="36"/>
    </row>
    <row r="6805" spans="2:2">
      <c r="B6805" s="36"/>
    </row>
    <row r="6806" spans="2:2">
      <c r="B6806" s="36"/>
    </row>
    <row r="6807" spans="2:2">
      <c r="B6807" s="36"/>
    </row>
    <row r="6808" spans="2:2">
      <c r="B6808" s="36"/>
    </row>
    <row r="6809" spans="2:2">
      <c r="B6809" s="36"/>
    </row>
    <row r="6810" spans="2:2">
      <c r="B6810" s="36"/>
    </row>
    <row r="6811" spans="2:2">
      <c r="B6811" s="36"/>
    </row>
    <row r="6812" spans="2:2">
      <c r="B6812" s="36"/>
    </row>
    <row r="6813" spans="2:2">
      <c r="B6813" s="36"/>
    </row>
    <row r="6814" spans="2:2">
      <c r="B6814" s="36"/>
    </row>
    <row r="6815" spans="2:2">
      <c r="B6815" s="36"/>
    </row>
    <row r="6816" spans="2:2">
      <c r="B6816" s="36"/>
    </row>
    <row r="6817" spans="2:2">
      <c r="B6817" s="36"/>
    </row>
    <row r="6818" spans="2:2">
      <c r="B6818" s="36"/>
    </row>
    <row r="6819" spans="2:2">
      <c r="B6819" s="36"/>
    </row>
    <row r="6820" spans="2:2">
      <c r="B6820" s="36"/>
    </row>
    <row r="6821" spans="2:2">
      <c r="B6821" s="36"/>
    </row>
    <row r="6822" spans="2:2">
      <c r="B6822" s="36"/>
    </row>
    <row r="6823" spans="2:2">
      <c r="B6823" s="36"/>
    </row>
    <row r="6824" spans="2:2">
      <c r="B6824" s="36"/>
    </row>
    <row r="6825" spans="2:2">
      <c r="B6825" s="36"/>
    </row>
    <row r="6826" spans="2:2">
      <c r="B6826" s="36"/>
    </row>
    <row r="6827" spans="2:2">
      <c r="B6827" s="36"/>
    </row>
    <row r="6828" spans="2:2">
      <c r="B6828" s="36"/>
    </row>
    <row r="6829" spans="2:2">
      <c r="B6829" s="36"/>
    </row>
    <row r="6830" spans="2:2">
      <c r="B6830" s="36"/>
    </row>
    <row r="6831" spans="2:2">
      <c r="B6831" s="36"/>
    </row>
    <row r="6832" spans="2:2">
      <c r="B6832" s="36"/>
    </row>
    <row r="6833" spans="2:2">
      <c r="B6833" s="36"/>
    </row>
    <row r="6834" spans="2:2">
      <c r="B6834" s="36"/>
    </row>
    <row r="6835" spans="2:2">
      <c r="B6835" s="36"/>
    </row>
    <row r="6836" spans="2:2">
      <c r="B6836" s="36"/>
    </row>
    <row r="6837" spans="2:2">
      <c r="B6837" s="36"/>
    </row>
    <row r="6838" spans="2:2">
      <c r="B6838" s="36"/>
    </row>
    <row r="6839" spans="2:2">
      <c r="B6839" s="36"/>
    </row>
    <row r="6840" spans="2:2">
      <c r="B6840" s="36"/>
    </row>
    <row r="6841" spans="2:2">
      <c r="B6841" s="36"/>
    </row>
    <row r="6842" spans="2:2">
      <c r="B6842" s="36"/>
    </row>
    <row r="6843" spans="2:2">
      <c r="B6843" s="36"/>
    </row>
    <row r="6844" spans="2:2">
      <c r="B6844" s="36"/>
    </row>
    <row r="6845" spans="2:2">
      <c r="B6845" s="36"/>
    </row>
    <row r="6846" spans="2:2">
      <c r="B6846" s="36"/>
    </row>
    <row r="6847" spans="2:2">
      <c r="B6847" s="36"/>
    </row>
    <row r="6848" spans="2:2">
      <c r="B6848" s="36"/>
    </row>
    <row r="6849" spans="2:2">
      <c r="B6849" s="36"/>
    </row>
    <row r="6850" spans="2:2">
      <c r="B6850" s="36"/>
    </row>
    <row r="6851" spans="2:2">
      <c r="B6851" s="36"/>
    </row>
    <row r="6852" spans="2:2">
      <c r="B6852" s="36"/>
    </row>
    <row r="6853" spans="2:2">
      <c r="B6853" s="36"/>
    </row>
    <row r="6854" spans="2:2">
      <c r="B6854" s="36"/>
    </row>
    <row r="6855" spans="2:2">
      <c r="B6855" s="36"/>
    </row>
    <row r="6856" spans="2:2">
      <c r="B6856" s="36"/>
    </row>
    <row r="6857" spans="2:2">
      <c r="B6857" s="36"/>
    </row>
    <row r="6858" spans="2:2">
      <c r="B6858" s="36"/>
    </row>
    <row r="6859" spans="2:2">
      <c r="B6859" s="36"/>
    </row>
    <row r="6860" spans="2:2">
      <c r="B6860" s="36"/>
    </row>
    <row r="6861" spans="2:2">
      <c r="B6861" s="36"/>
    </row>
    <row r="6862" spans="2:2">
      <c r="B6862" s="36"/>
    </row>
    <row r="6863" spans="2:2">
      <c r="B6863" s="36"/>
    </row>
    <row r="6864" spans="2:2">
      <c r="B6864" s="36"/>
    </row>
    <row r="6865" spans="2:2">
      <c r="B6865" s="36"/>
    </row>
    <row r="6866" spans="2:2">
      <c r="B6866" s="36"/>
    </row>
    <row r="6867" spans="2:2">
      <c r="B6867" s="36"/>
    </row>
    <row r="6868" spans="2:2">
      <c r="B6868" s="36"/>
    </row>
    <row r="6869" spans="2:2">
      <c r="B6869" s="36"/>
    </row>
    <row r="6870" spans="2:2">
      <c r="B6870" s="36"/>
    </row>
    <row r="6871" spans="2:2">
      <c r="B6871" s="36"/>
    </row>
    <row r="6872" spans="2:2">
      <c r="B6872" s="36"/>
    </row>
    <row r="6873" spans="2:2">
      <c r="B6873" s="36"/>
    </row>
    <row r="6874" spans="2:2">
      <c r="B6874" s="36"/>
    </row>
    <row r="6875" spans="2:2">
      <c r="B6875" s="36"/>
    </row>
    <row r="6876" spans="2:2">
      <c r="B6876" s="36"/>
    </row>
    <row r="6877" spans="2:2">
      <c r="B6877" s="36"/>
    </row>
    <row r="6878" spans="2:2">
      <c r="B6878" s="36"/>
    </row>
    <row r="6879" spans="2:2">
      <c r="B6879" s="36"/>
    </row>
    <row r="6880" spans="2:2">
      <c r="B6880" s="36"/>
    </row>
    <row r="6881" spans="2:2">
      <c r="B6881" s="36"/>
    </row>
    <row r="6882" spans="2:2">
      <c r="B6882" s="36"/>
    </row>
    <row r="6883" spans="2:2">
      <c r="B6883" s="36"/>
    </row>
    <row r="6884" spans="2:2">
      <c r="B6884" s="36"/>
    </row>
    <row r="6885" spans="2:2">
      <c r="B6885" s="36"/>
    </row>
    <row r="6886" spans="2:2">
      <c r="B6886" s="36"/>
    </row>
    <row r="6887" spans="2:2">
      <c r="B6887" s="36"/>
    </row>
    <row r="6888" spans="2:2">
      <c r="B6888" s="36"/>
    </row>
    <row r="6889" spans="2:2">
      <c r="B6889" s="36"/>
    </row>
    <row r="6890" spans="2:2">
      <c r="B6890" s="36"/>
    </row>
    <row r="6891" spans="2:2">
      <c r="B6891" s="36"/>
    </row>
    <row r="6892" spans="2:2">
      <c r="B6892" s="36"/>
    </row>
    <row r="6893" spans="2:2">
      <c r="B6893" s="36"/>
    </row>
    <row r="6894" spans="2:2">
      <c r="B6894" s="36"/>
    </row>
    <row r="6895" spans="2:2">
      <c r="B6895" s="36"/>
    </row>
    <row r="6896" spans="2:2">
      <c r="B6896" s="36"/>
    </row>
    <row r="6897" spans="2:2">
      <c r="B6897" s="36"/>
    </row>
    <row r="6898" spans="2:2">
      <c r="B6898" s="36"/>
    </row>
    <row r="6899" spans="2:2">
      <c r="B6899" s="36"/>
    </row>
    <row r="6900" spans="2:2">
      <c r="B6900" s="36"/>
    </row>
    <row r="6901" spans="2:2">
      <c r="B6901" s="36"/>
    </row>
    <row r="6902" spans="2:2">
      <c r="B6902" s="36"/>
    </row>
    <row r="6903" spans="2:2">
      <c r="B6903" s="36"/>
    </row>
    <row r="6904" spans="2:2">
      <c r="B6904" s="36"/>
    </row>
    <row r="6905" spans="2:2">
      <c r="B6905" s="36"/>
    </row>
    <row r="6906" spans="2:2">
      <c r="B6906" s="36"/>
    </row>
    <row r="6907" spans="2:2">
      <c r="B6907" s="36"/>
    </row>
    <row r="6908" spans="2:2">
      <c r="B6908" s="36"/>
    </row>
    <row r="6909" spans="2:2">
      <c r="B6909" s="36"/>
    </row>
    <row r="6910" spans="2:2">
      <c r="B6910" s="36"/>
    </row>
    <row r="6911" spans="2:2">
      <c r="B6911" s="36"/>
    </row>
    <row r="6912" spans="2:2">
      <c r="B6912" s="36"/>
    </row>
    <row r="6913" spans="2:2">
      <c r="B6913" s="36"/>
    </row>
    <row r="6914" spans="2:2">
      <c r="B6914" s="36"/>
    </row>
    <row r="6915" spans="2:2">
      <c r="B6915" s="36"/>
    </row>
    <row r="6916" spans="2:2">
      <c r="B6916" s="36"/>
    </row>
    <row r="6917" spans="2:2">
      <c r="B6917" s="36"/>
    </row>
    <row r="6918" spans="2:2">
      <c r="B6918" s="36"/>
    </row>
    <row r="6919" spans="2:2">
      <c r="B6919" s="36"/>
    </row>
    <row r="6920" spans="2:2">
      <c r="B6920" s="36"/>
    </row>
    <row r="6921" spans="2:2">
      <c r="B6921" s="36"/>
    </row>
    <row r="6922" spans="2:2">
      <c r="B6922" s="36"/>
    </row>
    <row r="6923" spans="2:2">
      <c r="B6923" s="36"/>
    </row>
    <row r="6924" spans="2:2">
      <c r="B6924" s="36"/>
    </row>
    <row r="6925" spans="2:2">
      <c r="B6925" s="36"/>
    </row>
    <row r="6926" spans="2:2">
      <c r="B6926" s="36"/>
    </row>
    <row r="6927" spans="2:2">
      <c r="B6927" s="36"/>
    </row>
    <row r="6928" spans="2:2">
      <c r="B6928" s="36"/>
    </row>
    <row r="6929" spans="2:2">
      <c r="B6929" s="36"/>
    </row>
    <row r="6930" spans="2:2">
      <c r="B6930" s="36"/>
    </row>
    <row r="6931" spans="2:2">
      <c r="B6931" s="36"/>
    </row>
    <row r="6932" spans="2:2">
      <c r="B6932" s="36"/>
    </row>
    <row r="6933" spans="2:2">
      <c r="B6933" s="36"/>
    </row>
    <row r="6934" spans="2:2">
      <c r="B6934" s="36"/>
    </row>
    <row r="6935" spans="2:2">
      <c r="B6935" s="36"/>
    </row>
    <row r="6936" spans="2:2">
      <c r="B6936" s="36"/>
    </row>
    <row r="6937" spans="2:2">
      <c r="B6937" s="36"/>
    </row>
    <row r="6938" spans="2:2">
      <c r="B6938" s="36"/>
    </row>
    <row r="6939" spans="2:2">
      <c r="B6939" s="36"/>
    </row>
    <row r="6940" spans="2:2">
      <c r="B6940" s="36"/>
    </row>
    <row r="6941" spans="2:2">
      <c r="B6941" s="36"/>
    </row>
    <row r="6942" spans="2:2">
      <c r="B6942" s="36"/>
    </row>
    <row r="6943" spans="2:2">
      <c r="B6943" s="36"/>
    </row>
    <row r="6944" spans="2:2">
      <c r="B6944" s="36"/>
    </row>
    <row r="6945" spans="2:2">
      <c r="B6945" s="36"/>
    </row>
    <row r="6946" spans="2:2">
      <c r="B6946" s="36"/>
    </row>
    <row r="6947" spans="2:2">
      <c r="B6947" s="36"/>
    </row>
    <row r="6948" spans="2:2">
      <c r="B6948" s="36"/>
    </row>
    <row r="6949" spans="2:2">
      <c r="B6949" s="36"/>
    </row>
    <row r="6950" spans="2:2">
      <c r="B6950" s="36"/>
    </row>
    <row r="6951" spans="2:2">
      <c r="B6951" s="36"/>
    </row>
    <row r="6952" spans="2:2">
      <c r="B6952" s="36"/>
    </row>
    <row r="6953" spans="2:2">
      <c r="B6953" s="36"/>
    </row>
    <row r="6954" spans="2:2">
      <c r="B6954" s="36"/>
    </row>
    <row r="6955" spans="2:2">
      <c r="B6955" s="36"/>
    </row>
    <row r="6956" spans="2:2">
      <c r="B6956" s="36"/>
    </row>
    <row r="6957" spans="2:2">
      <c r="B6957" s="36"/>
    </row>
    <row r="6958" spans="2:2">
      <c r="B6958" s="36"/>
    </row>
    <row r="6959" spans="2:2">
      <c r="B6959" s="36"/>
    </row>
    <row r="6960" spans="2:2">
      <c r="B6960" s="36"/>
    </row>
    <row r="6961" spans="2:2">
      <c r="B6961" s="36"/>
    </row>
    <row r="6962" spans="2:2">
      <c r="B6962" s="36"/>
    </row>
    <row r="6963" spans="2:2">
      <c r="B6963" s="36"/>
    </row>
    <row r="6964" spans="2:2">
      <c r="B6964" s="36"/>
    </row>
    <row r="6965" spans="2:2">
      <c r="B6965" s="36"/>
    </row>
    <row r="6966" spans="2:2">
      <c r="B6966" s="36"/>
    </row>
    <row r="6967" spans="2:2">
      <c r="B6967" s="36"/>
    </row>
    <row r="6968" spans="2:2">
      <c r="B6968" s="36"/>
    </row>
    <row r="6969" spans="2:2">
      <c r="B6969" s="36"/>
    </row>
    <row r="6970" spans="2:2">
      <c r="B6970" s="36"/>
    </row>
    <row r="6971" spans="2:2">
      <c r="B6971" s="36"/>
    </row>
    <row r="6972" spans="2:2">
      <c r="B6972" s="36"/>
    </row>
    <row r="6973" spans="2:2">
      <c r="B6973" s="36"/>
    </row>
    <row r="6974" spans="2:2">
      <c r="B6974" s="36"/>
    </row>
    <row r="6975" spans="2:2">
      <c r="B6975" s="36"/>
    </row>
    <row r="6976" spans="2:2">
      <c r="B6976" s="36"/>
    </row>
    <row r="6977" spans="2:2">
      <c r="B6977" s="36"/>
    </row>
    <row r="6978" spans="2:2">
      <c r="B6978" s="36"/>
    </row>
    <row r="6979" spans="2:2">
      <c r="B6979" s="36"/>
    </row>
    <row r="6980" spans="2:2">
      <c r="B6980" s="36"/>
    </row>
    <row r="6981" spans="2:2">
      <c r="B6981" s="36"/>
    </row>
    <row r="6982" spans="2:2">
      <c r="B6982" s="36"/>
    </row>
    <row r="6983" spans="2:2">
      <c r="B6983" s="36"/>
    </row>
    <row r="6984" spans="2:2">
      <c r="B6984" s="36"/>
    </row>
    <row r="6985" spans="2:2">
      <c r="B6985" s="36"/>
    </row>
    <row r="6986" spans="2:2">
      <c r="B6986" s="36"/>
    </row>
    <row r="6987" spans="2:2">
      <c r="B6987" s="36"/>
    </row>
    <row r="6988" spans="2:2">
      <c r="B6988" s="36"/>
    </row>
    <row r="6989" spans="2:2">
      <c r="B6989" s="36"/>
    </row>
    <row r="6990" spans="2:2">
      <c r="B6990" s="36"/>
    </row>
    <row r="6991" spans="2:2">
      <c r="B6991" s="36"/>
    </row>
    <row r="6992" spans="2:2">
      <c r="B6992" s="36"/>
    </row>
    <row r="6993" spans="2:2">
      <c r="B6993" s="36"/>
    </row>
    <row r="6994" spans="2:2">
      <c r="B6994" s="36"/>
    </row>
    <row r="6995" spans="2:2">
      <c r="B6995" s="36"/>
    </row>
    <row r="6996" spans="2:2">
      <c r="B6996" s="36"/>
    </row>
    <row r="6997" spans="2:2">
      <c r="B6997" s="36"/>
    </row>
    <row r="6998" spans="2:2">
      <c r="B6998" s="36"/>
    </row>
    <row r="6999" spans="2:2">
      <c r="B6999" s="36"/>
    </row>
    <row r="7000" spans="2:2">
      <c r="B7000" s="36"/>
    </row>
    <row r="7001" spans="2:2">
      <c r="B7001" s="36"/>
    </row>
    <row r="7002" spans="2:2">
      <c r="B7002" s="36"/>
    </row>
    <row r="7003" spans="2:2">
      <c r="B7003" s="36"/>
    </row>
    <row r="7004" spans="2:2">
      <c r="B7004" s="36"/>
    </row>
    <row r="7005" spans="2:2">
      <c r="B7005" s="36"/>
    </row>
    <row r="7006" spans="2:2">
      <c r="B7006" s="36"/>
    </row>
    <row r="7007" spans="2:2">
      <c r="B7007" s="36"/>
    </row>
    <row r="7008" spans="2:2">
      <c r="B7008" s="36"/>
    </row>
    <row r="7009" spans="2:2">
      <c r="B7009" s="36"/>
    </row>
    <row r="7010" spans="2:2">
      <c r="B7010" s="36"/>
    </row>
    <row r="7011" spans="2:2">
      <c r="B7011" s="36"/>
    </row>
    <row r="7012" spans="2:2">
      <c r="B7012" s="36"/>
    </row>
    <row r="7013" spans="2:2">
      <c r="B7013" s="36"/>
    </row>
    <row r="7014" spans="2:2">
      <c r="B7014" s="36"/>
    </row>
    <row r="7015" spans="2:2">
      <c r="B7015" s="36"/>
    </row>
    <row r="7016" spans="2:2">
      <c r="B7016" s="36"/>
    </row>
    <row r="7017" spans="2:2">
      <c r="B7017" s="36"/>
    </row>
    <row r="7018" spans="2:2">
      <c r="B7018" s="36"/>
    </row>
    <row r="7019" spans="2:2">
      <c r="B7019" s="36"/>
    </row>
    <row r="7020" spans="2:2">
      <c r="B7020" s="36"/>
    </row>
    <row r="7021" spans="2:2">
      <c r="B7021" s="36"/>
    </row>
    <row r="7022" spans="2:2">
      <c r="B7022" s="36"/>
    </row>
    <row r="7023" spans="2:2">
      <c r="B7023" s="36"/>
    </row>
    <row r="7024" spans="2:2">
      <c r="B7024" s="36"/>
    </row>
    <row r="7025" spans="2:2">
      <c r="B7025" s="36"/>
    </row>
    <row r="7026" spans="2:2">
      <c r="B7026" s="36"/>
    </row>
    <row r="7027" spans="2:2">
      <c r="B7027" s="36"/>
    </row>
    <row r="7028" spans="2:2">
      <c r="B7028" s="36"/>
    </row>
    <row r="7029" spans="2:2">
      <c r="B7029" s="36"/>
    </row>
    <row r="7030" spans="2:2">
      <c r="B7030" s="36"/>
    </row>
    <row r="7031" spans="2:2">
      <c r="B7031" s="36"/>
    </row>
    <row r="7032" spans="2:2">
      <c r="B7032" s="36"/>
    </row>
    <row r="7033" spans="2:2">
      <c r="B7033" s="36"/>
    </row>
    <row r="7034" spans="2:2">
      <c r="B7034" s="36"/>
    </row>
    <row r="7035" spans="2:2">
      <c r="B7035" s="36"/>
    </row>
    <row r="7036" spans="2:2">
      <c r="B7036" s="36"/>
    </row>
    <row r="7037" spans="2:2">
      <c r="B7037" s="36"/>
    </row>
    <row r="7038" spans="2:2">
      <c r="B7038" s="36"/>
    </row>
    <row r="7039" spans="2:2">
      <c r="B7039" s="36"/>
    </row>
    <row r="7040" spans="2:2">
      <c r="B7040" s="36"/>
    </row>
    <row r="7041" spans="2:2">
      <c r="B7041" s="36"/>
    </row>
    <row r="7042" spans="2:2">
      <c r="B7042" s="36"/>
    </row>
    <row r="7043" spans="2:2">
      <c r="B7043" s="36"/>
    </row>
    <row r="7044" spans="2:2">
      <c r="B7044" s="36"/>
    </row>
    <row r="7045" spans="2:2">
      <c r="B7045" s="36"/>
    </row>
    <row r="7046" spans="2:2">
      <c r="B7046" s="36"/>
    </row>
    <row r="7047" spans="2:2">
      <c r="B7047" s="36"/>
    </row>
    <row r="7048" spans="2:2">
      <c r="B7048" s="36"/>
    </row>
    <row r="7049" spans="2:2">
      <c r="B7049" s="36"/>
    </row>
    <row r="7050" spans="2:2">
      <c r="B7050" s="36"/>
    </row>
    <row r="7051" spans="2:2">
      <c r="B7051" s="36"/>
    </row>
    <row r="7052" spans="2:2">
      <c r="B7052" s="36"/>
    </row>
    <row r="7053" spans="2:2">
      <c r="B7053" s="36"/>
    </row>
    <row r="7054" spans="2:2">
      <c r="B7054" s="36"/>
    </row>
    <row r="7055" spans="2:2">
      <c r="B7055" s="36"/>
    </row>
    <row r="7056" spans="2:2">
      <c r="B7056" s="36"/>
    </row>
    <row r="7057" spans="2:2">
      <c r="B7057" s="36"/>
    </row>
    <row r="7058" spans="2:2">
      <c r="B7058" s="36"/>
    </row>
    <row r="7059" spans="2:2">
      <c r="B7059" s="36"/>
    </row>
    <row r="7060" spans="2:2">
      <c r="B7060" s="36"/>
    </row>
    <row r="7061" spans="2:2">
      <c r="B7061" s="36"/>
    </row>
    <row r="7062" spans="2:2">
      <c r="B7062" s="36"/>
    </row>
    <row r="7063" spans="2:2">
      <c r="B7063" s="36"/>
    </row>
    <row r="7064" spans="2:2">
      <c r="B7064" s="36"/>
    </row>
    <row r="7065" spans="2:2">
      <c r="B7065" s="36"/>
    </row>
    <row r="7066" spans="2:2">
      <c r="B7066" s="36"/>
    </row>
    <row r="7067" spans="2:2">
      <c r="B7067" s="36"/>
    </row>
    <row r="7068" spans="2:2">
      <c r="B7068" s="36"/>
    </row>
    <row r="7069" spans="2:2">
      <c r="B7069" s="36"/>
    </row>
    <row r="7070" spans="2:2">
      <c r="B7070" s="36"/>
    </row>
    <row r="7071" spans="2:2">
      <c r="B7071" s="36"/>
    </row>
    <row r="7072" spans="2:2">
      <c r="B7072" s="36"/>
    </row>
    <row r="7073" spans="2:2">
      <c r="B7073" s="36"/>
    </row>
    <row r="7074" spans="2:2">
      <c r="B7074" s="36"/>
    </row>
    <row r="7075" spans="2:2">
      <c r="B7075" s="36"/>
    </row>
    <row r="7076" spans="2:2">
      <c r="B7076" s="36"/>
    </row>
    <row r="7077" spans="2:2">
      <c r="B7077" s="36"/>
    </row>
    <row r="7078" spans="2:2">
      <c r="B7078" s="36"/>
    </row>
    <row r="7079" spans="2:2">
      <c r="B7079" s="36"/>
    </row>
    <row r="7080" spans="2:2">
      <c r="B7080" s="36"/>
    </row>
    <row r="7081" spans="2:2">
      <c r="B7081" s="36"/>
    </row>
    <row r="7082" spans="2:2">
      <c r="B7082" s="36"/>
    </row>
    <row r="7083" spans="2:2">
      <c r="B7083" s="36"/>
    </row>
    <row r="7084" spans="2:2">
      <c r="B7084" s="36"/>
    </row>
    <row r="7085" spans="2:2">
      <c r="B7085" s="36"/>
    </row>
    <row r="7086" spans="2:2">
      <c r="B7086" s="36"/>
    </row>
    <row r="7087" spans="2:2">
      <c r="B7087" s="36"/>
    </row>
    <row r="7088" spans="2:2">
      <c r="B7088" s="36"/>
    </row>
    <row r="7089" spans="2:2">
      <c r="B7089" s="36"/>
    </row>
    <row r="7090" spans="2:2">
      <c r="B7090" s="36"/>
    </row>
    <row r="7091" spans="2:2">
      <c r="B7091" s="36"/>
    </row>
    <row r="7092" spans="2:2">
      <c r="B7092" s="36"/>
    </row>
    <row r="7093" spans="2:2">
      <c r="B7093" s="36"/>
    </row>
    <row r="7094" spans="2:2">
      <c r="B7094" s="36"/>
    </row>
    <row r="7095" spans="2:2">
      <c r="B7095" s="36"/>
    </row>
    <row r="7096" spans="2:2">
      <c r="B7096" s="36"/>
    </row>
    <row r="7097" spans="2:2">
      <c r="B7097" s="36"/>
    </row>
    <row r="7098" spans="2:2">
      <c r="B7098" s="36"/>
    </row>
    <row r="7099" spans="2:2">
      <c r="B7099" s="36"/>
    </row>
    <row r="7100" spans="2:2">
      <c r="B7100" s="36"/>
    </row>
    <row r="7101" spans="2:2">
      <c r="B7101" s="36"/>
    </row>
    <row r="7102" spans="2:2">
      <c r="B7102" s="36"/>
    </row>
    <row r="7103" spans="2:2">
      <c r="B7103" s="36"/>
    </row>
    <row r="7104" spans="2:2">
      <c r="B7104" s="36"/>
    </row>
    <row r="7105" spans="2:2">
      <c r="B7105" s="36"/>
    </row>
    <row r="7106" spans="2:2">
      <c r="B7106" s="36"/>
    </row>
    <row r="7107" spans="2:2">
      <c r="B7107" s="36"/>
    </row>
    <row r="7108" spans="2:2">
      <c r="B7108" s="36"/>
    </row>
    <row r="7109" spans="2:2">
      <c r="B7109" s="36"/>
    </row>
    <row r="7110" spans="2:2">
      <c r="B7110" s="36"/>
    </row>
    <row r="7111" spans="2:2">
      <c r="B7111" s="36"/>
    </row>
    <row r="7112" spans="2:2">
      <c r="B7112" s="36"/>
    </row>
    <row r="7113" spans="2:2">
      <c r="B7113" s="36"/>
    </row>
    <row r="7114" spans="2:2">
      <c r="B7114" s="36"/>
    </row>
    <row r="7115" spans="2:2">
      <c r="B7115" s="36"/>
    </row>
    <row r="7116" spans="2:2">
      <c r="B7116" s="36"/>
    </row>
    <row r="7117" spans="2:2">
      <c r="B7117" s="36"/>
    </row>
    <row r="7118" spans="2:2">
      <c r="B7118" s="36"/>
    </row>
    <row r="7119" spans="2:2">
      <c r="B7119" s="36"/>
    </row>
    <row r="7120" spans="2:2">
      <c r="B7120" s="36"/>
    </row>
    <row r="7121" spans="2:2">
      <c r="B7121" s="36"/>
    </row>
    <row r="7122" spans="2:2">
      <c r="B7122" s="36"/>
    </row>
    <row r="7123" spans="2:2">
      <c r="B7123" s="36"/>
    </row>
    <row r="7124" spans="2:2">
      <c r="B7124" s="36"/>
    </row>
    <row r="7125" spans="2:2">
      <c r="B7125" s="36"/>
    </row>
    <row r="7126" spans="2:2">
      <c r="B7126" s="36"/>
    </row>
    <row r="7127" spans="2:2">
      <c r="B7127" s="36"/>
    </row>
    <row r="7128" spans="2:2">
      <c r="B7128" s="36"/>
    </row>
    <row r="7129" spans="2:2">
      <c r="B7129" s="36"/>
    </row>
    <row r="7130" spans="2:2">
      <c r="B7130" s="36"/>
    </row>
    <row r="7131" spans="2:2">
      <c r="B7131" s="36"/>
    </row>
    <row r="7132" spans="2:2">
      <c r="B7132" s="36"/>
    </row>
    <row r="7133" spans="2:2">
      <c r="B7133" s="36"/>
    </row>
    <row r="7134" spans="2:2">
      <c r="B7134" s="36"/>
    </row>
    <row r="7135" spans="2:2">
      <c r="B7135" s="36"/>
    </row>
    <row r="7136" spans="2:2">
      <c r="B7136" s="36"/>
    </row>
    <row r="7137" spans="2:2">
      <c r="B7137" s="36"/>
    </row>
    <row r="7138" spans="2:2">
      <c r="B7138" s="36"/>
    </row>
    <row r="7139" spans="2:2">
      <c r="B7139" s="36"/>
    </row>
    <row r="7140" spans="2:2">
      <c r="B7140" s="36"/>
    </row>
    <row r="7141" spans="2:2">
      <c r="B7141" s="36"/>
    </row>
    <row r="7142" spans="2:2">
      <c r="B7142" s="36"/>
    </row>
    <row r="7143" spans="2:2">
      <c r="B7143" s="36"/>
    </row>
    <row r="7144" spans="2:2">
      <c r="B7144" s="36"/>
    </row>
    <row r="7145" spans="2:2">
      <c r="B7145" s="36"/>
    </row>
    <row r="7146" spans="2:2">
      <c r="B7146" s="36"/>
    </row>
    <row r="7147" spans="2:2">
      <c r="B7147" s="36"/>
    </row>
    <row r="7148" spans="2:2">
      <c r="B7148" s="36"/>
    </row>
    <row r="7149" spans="2:2">
      <c r="B7149" s="36"/>
    </row>
    <row r="7150" spans="2:2">
      <c r="B7150" s="36"/>
    </row>
    <row r="7151" spans="2:2">
      <c r="B7151" s="36"/>
    </row>
    <row r="7152" spans="2:2">
      <c r="B7152" s="36"/>
    </row>
    <row r="7153" spans="2:2">
      <c r="B7153" s="36"/>
    </row>
    <row r="7154" spans="2:2">
      <c r="B7154" s="36"/>
    </row>
    <row r="7155" spans="2:2">
      <c r="B7155" s="36"/>
    </row>
    <row r="7156" spans="2:2">
      <c r="B7156" s="36"/>
    </row>
    <row r="7157" spans="2:2">
      <c r="B7157" s="36"/>
    </row>
    <row r="7158" spans="2:2">
      <c r="B7158" s="36"/>
    </row>
    <row r="7159" spans="2:2">
      <c r="B7159" s="36"/>
    </row>
    <row r="7160" spans="2:2">
      <c r="B7160" s="36"/>
    </row>
    <row r="7161" spans="2:2">
      <c r="B7161" s="36"/>
    </row>
    <row r="7162" spans="2:2">
      <c r="B7162" s="36"/>
    </row>
    <row r="7163" spans="2:2">
      <c r="B7163" s="36"/>
    </row>
    <row r="7164" spans="2:2">
      <c r="B7164" s="36"/>
    </row>
    <row r="7165" spans="2:2">
      <c r="B7165" s="36"/>
    </row>
    <row r="7166" spans="2:2">
      <c r="B7166" s="36"/>
    </row>
    <row r="7167" spans="2:2">
      <c r="B7167" s="36"/>
    </row>
    <row r="7168" spans="2:2">
      <c r="B7168" s="36"/>
    </row>
    <row r="7169" spans="2:2">
      <c r="B7169" s="36"/>
    </row>
    <row r="7170" spans="2:2">
      <c r="B7170" s="36"/>
    </row>
    <row r="7171" spans="2:2">
      <c r="B7171" s="36"/>
    </row>
    <row r="7172" spans="2:2">
      <c r="B7172" s="36"/>
    </row>
    <row r="7173" spans="2:2">
      <c r="B7173" s="36"/>
    </row>
    <row r="7174" spans="2:2">
      <c r="B7174" s="36"/>
    </row>
    <row r="7175" spans="2:2">
      <c r="B7175" s="36"/>
    </row>
    <row r="7176" spans="2:2">
      <c r="B7176" s="36"/>
    </row>
    <row r="7177" spans="2:2">
      <c r="B7177" s="36"/>
    </row>
    <row r="7178" spans="2:2">
      <c r="B7178" s="36"/>
    </row>
    <row r="7179" spans="2:2">
      <c r="B7179" s="36"/>
    </row>
    <row r="7180" spans="2:2">
      <c r="B7180" s="36"/>
    </row>
    <row r="7181" spans="2:2">
      <c r="B7181" s="36"/>
    </row>
    <row r="7182" spans="2:2">
      <c r="B7182" s="36"/>
    </row>
    <row r="7183" spans="2:2">
      <c r="B7183" s="36"/>
    </row>
    <row r="7184" spans="2:2">
      <c r="B7184" s="36"/>
    </row>
    <row r="7185" spans="2:2">
      <c r="B7185" s="36"/>
    </row>
    <row r="7186" spans="2:2">
      <c r="B7186" s="36"/>
    </row>
    <row r="7187" spans="2:2">
      <c r="B7187" s="36"/>
    </row>
    <row r="7188" spans="2:2">
      <c r="B7188" s="36"/>
    </row>
    <row r="7189" spans="2:2">
      <c r="B7189" s="36"/>
    </row>
    <row r="7190" spans="2:2">
      <c r="B7190" s="36"/>
    </row>
    <row r="7191" spans="2:2">
      <c r="B7191" s="36"/>
    </row>
    <row r="7192" spans="2:2">
      <c r="B7192" s="36"/>
    </row>
    <row r="7193" spans="2:2">
      <c r="B7193" s="36"/>
    </row>
    <row r="7194" spans="2:2">
      <c r="B7194" s="36"/>
    </row>
    <row r="7195" spans="2:2">
      <c r="B7195" s="36"/>
    </row>
    <row r="7196" spans="2:2">
      <c r="B7196" s="36"/>
    </row>
    <row r="7197" spans="2:2">
      <c r="B7197" s="36"/>
    </row>
    <row r="7198" spans="2:2">
      <c r="B7198" s="36"/>
    </row>
    <row r="7199" spans="2:2">
      <c r="B7199" s="36"/>
    </row>
    <row r="7200" spans="2:2">
      <c r="B7200" s="36"/>
    </row>
    <row r="7201" spans="2:2">
      <c r="B7201" s="36"/>
    </row>
    <row r="7202" spans="2:2">
      <c r="B7202" s="36"/>
    </row>
    <row r="7203" spans="2:2">
      <c r="B7203" s="36"/>
    </row>
    <row r="7204" spans="2:2">
      <c r="B7204" s="36"/>
    </row>
    <row r="7205" spans="2:2">
      <c r="B7205" s="36"/>
    </row>
    <row r="7206" spans="2:2">
      <c r="B7206" s="36"/>
    </row>
    <row r="7207" spans="2:2">
      <c r="B7207" s="36"/>
    </row>
    <row r="7208" spans="2:2">
      <c r="B7208" s="36"/>
    </row>
    <row r="7209" spans="2:2">
      <c r="B7209" s="36"/>
    </row>
    <row r="7210" spans="2:2">
      <c r="B7210" s="36"/>
    </row>
    <row r="7211" spans="2:2">
      <c r="B7211" s="36"/>
    </row>
    <row r="7212" spans="2:2">
      <c r="B7212" s="36"/>
    </row>
    <row r="7213" spans="2:2">
      <c r="B7213" s="36"/>
    </row>
    <row r="7214" spans="2:2">
      <c r="B7214" s="36"/>
    </row>
    <row r="7215" spans="2:2">
      <c r="B7215" s="36"/>
    </row>
    <row r="7216" spans="2:2">
      <c r="B7216" s="36"/>
    </row>
    <row r="7217" spans="2:2">
      <c r="B7217" s="36"/>
    </row>
    <row r="7218" spans="2:2">
      <c r="B7218" s="36"/>
    </row>
    <row r="7219" spans="2:2">
      <c r="B7219" s="36"/>
    </row>
    <row r="7220" spans="2:2">
      <c r="B7220" s="36"/>
    </row>
    <row r="7221" spans="2:2">
      <c r="B7221" s="36"/>
    </row>
    <row r="7222" spans="2:2">
      <c r="B7222" s="36"/>
    </row>
    <row r="7223" spans="2:2">
      <c r="B7223" s="36"/>
    </row>
    <row r="7224" spans="2:2">
      <c r="B7224" s="36"/>
    </row>
    <row r="7225" spans="2:2">
      <c r="B7225" s="36"/>
    </row>
    <row r="7226" spans="2:2">
      <c r="B7226" s="36"/>
    </row>
    <row r="7227" spans="2:2">
      <c r="B7227" s="36"/>
    </row>
    <row r="7228" spans="2:2">
      <c r="B7228" s="36"/>
    </row>
    <row r="7229" spans="2:2">
      <c r="B7229" s="36"/>
    </row>
    <row r="7230" spans="2:2">
      <c r="B7230" s="36"/>
    </row>
    <row r="7231" spans="2:2">
      <c r="B7231" s="36"/>
    </row>
    <row r="7232" spans="2:2">
      <c r="B7232" s="36"/>
    </row>
    <row r="7233" spans="2:2">
      <c r="B7233" s="36"/>
    </row>
    <row r="7234" spans="2:2">
      <c r="B7234" s="36"/>
    </row>
    <row r="7235" spans="2:2">
      <c r="B7235" s="36"/>
    </row>
    <row r="7236" spans="2:2">
      <c r="B7236" s="36"/>
    </row>
    <row r="7237" spans="2:2">
      <c r="B7237" s="36"/>
    </row>
    <row r="7238" spans="2:2">
      <c r="B7238" s="36"/>
    </row>
    <row r="7239" spans="2:2">
      <c r="B7239" s="36"/>
    </row>
    <row r="7240" spans="2:2">
      <c r="B7240" s="36"/>
    </row>
    <row r="7241" spans="2:2">
      <c r="B7241" s="36"/>
    </row>
    <row r="7242" spans="2:2">
      <c r="B7242" s="36"/>
    </row>
    <row r="7243" spans="2:2">
      <c r="B7243" s="36"/>
    </row>
    <row r="7244" spans="2:2">
      <c r="B7244" s="36"/>
    </row>
    <row r="7245" spans="2:2">
      <c r="B7245" s="36"/>
    </row>
    <row r="7246" spans="2:2">
      <c r="B7246" s="36"/>
    </row>
    <row r="7247" spans="2:2">
      <c r="B7247" s="36"/>
    </row>
    <row r="7248" spans="2:2">
      <c r="B7248" s="36"/>
    </row>
    <row r="7249" spans="2:2">
      <c r="B7249" s="36"/>
    </row>
    <row r="7250" spans="2:2">
      <c r="B7250" s="36"/>
    </row>
    <row r="7251" spans="2:2">
      <c r="B7251" s="36"/>
    </row>
    <row r="7252" spans="2:2">
      <c r="B7252" s="36"/>
    </row>
    <row r="7253" spans="2:2">
      <c r="B7253" s="36"/>
    </row>
    <row r="7254" spans="2:2">
      <c r="B7254" s="36"/>
    </row>
    <row r="7255" spans="2:2">
      <c r="B7255" s="36"/>
    </row>
    <row r="7256" spans="2:2">
      <c r="B7256" s="36"/>
    </row>
    <row r="7257" spans="2:2">
      <c r="B7257" s="36"/>
    </row>
    <row r="7258" spans="2:2">
      <c r="B7258" s="36"/>
    </row>
    <row r="7259" spans="2:2">
      <c r="B7259" s="36"/>
    </row>
    <row r="7260" spans="2:2">
      <c r="B7260" s="36"/>
    </row>
    <row r="7261" spans="2:2">
      <c r="B7261" s="36"/>
    </row>
    <row r="7262" spans="2:2">
      <c r="B7262" s="36"/>
    </row>
    <row r="7263" spans="2:2">
      <c r="B7263" s="36"/>
    </row>
    <row r="7264" spans="2:2">
      <c r="B7264" s="36"/>
    </row>
    <row r="7265" spans="2:2">
      <c r="B7265" s="36"/>
    </row>
    <row r="7266" spans="2:2">
      <c r="B7266" s="36"/>
    </row>
    <row r="7267" spans="2:2">
      <c r="B7267" s="36"/>
    </row>
    <row r="7268" spans="2:2">
      <c r="B7268" s="36"/>
    </row>
    <row r="7269" spans="2:2">
      <c r="B7269" s="36"/>
    </row>
    <row r="7270" spans="2:2">
      <c r="B7270" s="36"/>
    </row>
    <row r="7271" spans="2:2">
      <c r="B7271" s="36"/>
    </row>
    <row r="7272" spans="2:2">
      <c r="B7272" s="36"/>
    </row>
    <row r="7273" spans="2:2">
      <c r="B7273" s="36"/>
    </row>
    <row r="7274" spans="2:2">
      <c r="B7274" s="36"/>
    </row>
    <row r="7275" spans="2:2">
      <c r="B7275" s="36"/>
    </row>
    <row r="7276" spans="2:2">
      <c r="B7276" s="36"/>
    </row>
    <row r="7277" spans="2:2">
      <c r="B7277" s="36"/>
    </row>
    <row r="7278" spans="2:2">
      <c r="B7278" s="36"/>
    </row>
    <row r="7279" spans="2:2">
      <c r="B7279" s="36"/>
    </row>
    <row r="7280" spans="2:2">
      <c r="B7280" s="36"/>
    </row>
    <row r="7281" spans="2:2">
      <c r="B7281" s="36"/>
    </row>
    <row r="7282" spans="2:2">
      <c r="B7282" s="36"/>
    </row>
    <row r="7283" spans="2:2">
      <c r="B7283" s="36"/>
    </row>
    <row r="7284" spans="2:2">
      <c r="B7284" s="36"/>
    </row>
    <row r="7285" spans="2:2">
      <c r="B7285" s="36"/>
    </row>
    <row r="7286" spans="2:2">
      <c r="B7286" s="36"/>
    </row>
    <row r="7287" spans="2:2">
      <c r="B7287" s="36"/>
    </row>
    <row r="7288" spans="2:2">
      <c r="B7288" s="36"/>
    </row>
    <row r="7289" spans="2:2">
      <c r="B7289" s="36"/>
    </row>
    <row r="7290" spans="2:2">
      <c r="B7290" s="36"/>
    </row>
    <row r="7291" spans="2:2">
      <c r="B7291" s="36"/>
    </row>
    <row r="7292" spans="2:2">
      <c r="B7292" s="36"/>
    </row>
    <row r="7293" spans="2:2">
      <c r="B7293" s="36"/>
    </row>
    <row r="7294" spans="2:2">
      <c r="B7294" s="36"/>
    </row>
    <row r="7295" spans="2:2">
      <c r="B7295" s="36"/>
    </row>
    <row r="7296" spans="2:2">
      <c r="B7296" s="36"/>
    </row>
    <row r="7297" spans="2:2">
      <c r="B7297" s="36"/>
    </row>
    <row r="7298" spans="2:2">
      <c r="B7298" s="36"/>
    </row>
    <row r="7299" spans="2:2">
      <c r="B7299" s="36"/>
    </row>
    <row r="7300" spans="2:2">
      <c r="B7300" s="36"/>
    </row>
    <row r="7301" spans="2:2">
      <c r="B7301" s="36"/>
    </row>
    <row r="7302" spans="2:2">
      <c r="B7302" s="36"/>
    </row>
    <row r="7303" spans="2:2">
      <c r="B7303" s="36"/>
    </row>
    <row r="7304" spans="2:2">
      <c r="B7304" s="36"/>
    </row>
    <row r="7305" spans="2:2">
      <c r="B7305" s="36"/>
    </row>
    <row r="7306" spans="2:2">
      <c r="B7306" s="36"/>
    </row>
    <row r="7307" spans="2:2">
      <c r="B7307" s="36"/>
    </row>
    <row r="7308" spans="2:2">
      <c r="B7308" s="36"/>
    </row>
    <row r="7309" spans="2:2">
      <c r="B7309" s="36"/>
    </row>
    <row r="7310" spans="2:2">
      <c r="B7310" s="36"/>
    </row>
    <row r="7311" spans="2:2">
      <c r="B7311" s="36"/>
    </row>
    <row r="7312" spans="2:2">
      <c r="B7312" s="36"/>
    </row>
    <row r="7313" spans="2:2">
      <c r="B7313" s="36"/>
    </row>
    <row r="7314" spans="2:2">
      <c r="B7314" s="36"/>
    </row>
    <row r="7315" spans="2:2">
      <c r="B7315" s="36"/>
    </row>
    <row r="7316" spans="2:2">
      <c r="B7316" s="36"/>
    </row>
    <row r="7317" spans="2:2">
      <c r="B7317" s="36"/>
    </row>
    <row r="7318" spans="2:2">
      <c r="B7318" s="36"/>
    </row>
    <row r="7319" spans="2:2">
      <c r="B7319" s="36"/>
    </row>
    <row r="7320" spans="2:2">
      <c r="B7320" s="36"/>
    </row>
    <row r="7321" spans="2:2">
      <c r="B7321" s="36"/>
    </row>
    <row r="7322" spans="2:2">
      <c r="B7322" s="36"/>
    </row>
    <row r="7323" spans="2:2">
      <c r="B7323" s="36"/>
    </row>
    <row r="7324" spans="2:2">
      <c r="B7324" s="36"/>
    </row>
    <row r="7325" spans="2:2">
      <c r="B7325" s="36"/>
    </row>
    <row r="7326" spans="2:2">
      <c r="B7326" s="36"/>
    </row>
    <row r="7327" spans="2:2">
      <c r="B7327" s="36"/>
    </row>
    <row r="7328" spans="2:2">
      <c r="B7328" s="36"/>
    </row>
    <row r="7329" spans="2:2">
      <c r="B7329" s="36"/>
    </row>
    <row r="7330" spans="2:2">
      <c r="B7330" s="36"/>
    </row>
    <row r="7331" spans="2:2">
      <c r="B7331" s="36"/>
    </row>
    <row r="7332" spans="2:2">
      <c r="B7332" s="36"/>
    </row>
    <row r="7333" spans="2:2">
      <c r="B7333" s="36"/>
    </row>
    <row r="7334" spans="2:2">
      <c r="B7334" s="36"/>
    </row>
    <row r="7335" spans="2:2">
      <c r="B7335" s="36"/>
    </row>
    <row r="7336" spans="2:2">
      <c r="B7336" s="36"/>
    </row>
    <row r="7337" spans="2:2">
      <c r="B7337" s="36"/>
    </row>
    <row r="7338" spans="2:2">
      <c r="B7338" s="36"/>
    </row>
    <row r="7339" spans="2:2">
      <c r="B7339" s="36"/>
    </row>
    <row r="7340" spans="2:2">
      <c r="B7340" s="36"/>
    </row>
    <row r="7341" spans="2:2">
      <c r="B7341" s="36"/>
    </row>
    <row r="7342" spans="2:2">
      <c r="B7342" s="36"/>
    </row>
    <row r="7343" spans="2:2">
      <c r="B7343" s="36"/>
    </row>
    <row r="7344" spans="2:2">
      <c r="B7344" s="36"/>
    </row>
    <row r="7345" spans="2:2">
      <c r="B7345" s="36"/>
    </row>
    <row r="7346" spans="2:2">
      <c r="B7346" s="36"/>
    </row>
    <row r="7347" spans="2:2">
      <c r="B7347" s="36"/>
    </row>
    <row r="7348" spans="2:2">
      <c r="B7348" s="36"/>
    </row>
    <row r="7349" spans="2:2">
      <c r="B7349" s="36"/>
    </row>
    <row r="7350" spans="2:2">
      <c r="B7350" s="36"/>
    </row>
    <row r="7351" spans="2:2">
      <c r="B7351" s="36"/>
    </row>
    <row r="7352" spans="2:2">
      <c r="B7352" s="36"/>
    </row>
    <row r="7353" spans="2:2">
      <c r="B7353" s="36"/>
    </row>
    <row r="7354" spans="2:2">
      <c r="B7354" s="36"/>
    </row>
    <row r="7355" spans="2:2">
      <c r="B7355" s="36"/>
    </row>
    <row r="7356" spans="2:2">
      <c r="B7356" s="36"/>
    </row>
    <row r="7357" spans="2:2">
      <c r="B7357" s="36"/>
    </row>
    <row r="7358" spans="2:2">
      <c r="B7358" s="36"/>
    </row>
    <row r="7359" spans="2:2">
      <c r="B7359" s="36"/>
    </row>
    <row r="7360" spans="2:2">
      <c r="B7360" s="36"/>
    </row>
    <row r="7361" spans="2:2">
      <c r="B7361" s="36"/>
    </row>
    <row r="7362" spans="2:2">
      <c r="B7362" s="36"/>
    </row>
    <row r="7363" spans="2:2">
      <c r="B7363" s="36"/>
    </row>
    <row r="7364" spans="2:2">
      <c r="B7364" s="36"/>
    </row>
    <row r="7365" spans="2:2">
      <c r="B7365" s="36"/>
    </row>
    <row r="7366" spans="2:2">
      <c r="B7366" s="36"/>
    </row>
    <row r="7367" spans="2:2">
      <c r="B7367" s="36"/>
    </row>
    <row r="7368" spans="2:2">
      <c r="B7368" s="36"/>
    </row>
    <row r="7369" spans="2:2">
      <c r="B7369" s="36"/>
    </row>
    <row r="7370" spans="2:2">
      <c r="B7370" s="36"/>
    </row>
    <row r="7371" spans="2:2">
      <c r="B7371" s="36"/>
    </row>
    <row r="7372" spans="2:2">
      <c r="B7372" s="36"/>
    </row>
    <row r="7373" spans="2:2">
      <c r="B7373" s="36"/>
    </row>
    <row r="7374" spans="2:2">
      <c r="B7374" s="36"/>
    </row>
    <row r="7375" spans="2:2">
      <c r="B7375" s="36"/>
    </row>
    <row r="7376" spans="2:2">
      <c r="B7376" s="36"/>
    </row>
    <row r="7377" spans="2:2">
      <c r="B7377" s="36"/>
    </row>
    <row r="7378" spans="2:2">
      <c r="B7378" s="36"/>
    </row>
    <row r="7379" spans="2:2">
      <c r="B7379" s="36"/>
    </row>
    <row r="7380" spans="2:2">
      <c r="B7380" s="36"/>
    </row>
    <row r="7381" spans="2:2">
      <c r="B7381" s="36"/>
    </row>
    <row r="7382" spans="2:2">
      <c r="B7382" s="36"/>
    </row>
    <row r="7383" spans="2:2">
      <c r="B7383" s="36"/>
    </row>
    <row r="7384" spans="2:2">
      <c r="B7384" s="36"/>
    </row>
    <row r="7385" spans="2:2">
      <c r="B7385" s="36"/>
    </row>
    <row r="7386" spans="2:2">
      <c r="B7386" s="36"/>
    </row>
    <row r="7387" spans="2:2">
      <c r="B7387" s="36"/>
    </row>
    <row r="7388" spans="2:2">
      <c r="B7388" s="36"/>
    </row>
    <row r="7389" spans="2:2">
      <c r="B7389" s="36"/>
    </row>
    <row r="7390" spans="2:2">
      <c r="B7390" s="36"/>
    </row>
    <row r="7391" spans="2:2">
      <c r="B7391" s="36"/>
    </row>
    <row r="7392" spans="2:2">
      <c r="B7392" s="36"/>
    </row>
    <row r="7393" spans="2:2">
      <c r="B7393" s="36"/>
    </row>
    <row r="7394" spans="2:2">
      <c r="B7394" s="36"/>
    </row>
    <row r="7395" spans="2:2">
      <c r="B7395" s="36"/>
    </row>
    <row r="7396" spans="2:2">
      <c r="B7396" s="36"/>
    </row>
    <row r="7397" spans="2:2">
      <c r="B7397" s="36"/>
    </row>
    <row r="7398" spans="2:2">
      <c r="B7398" s="36"/>
    </row>
    <row r="7399" spans="2:2">
      <c r="B7399" s="36"/>
    </row>
    <row r="7400" spans="2:2">
      <c r="B7400" s="36"/>
    </row>
    <row r="7401" spans="2:2">
      <c r="B7401" s="36"/>
    </row>
    <row r="7402" spans="2:2">
      <c r="B7402" s="36"/>
    </row>
    <row r="7403" spans="2:2">
      <c r="B7403" s="36"/>
    </row>
    <row r="7404" spans="2:2">
      <c r="B7404" s="36"/>
    </row>
    <row r="7405" spans="2:2">
      <c r="B7405" s="36"/>
    </row>
    <row r="7406" spans="2:2">
      <c r="B7406" s="36"/>
    </row>
    <row r="7407" spans="2:2">
      <c r="B7407" s="36"/>
    </row>
    <row r="7408" spans="2:2">
      <c r="B7408" s="36"/>
    </row>
    <row r="7409" spans="2:2">
      <c r="B7409" s="36"/>
    </row>
    <row r="7410" spans="2:2">
      <c r="B7410" s="36"/>
    </row>
    <row r="7411" spans="2:2">
      <c r="B7411" s="36"/>
    </row>
    <row r="7412" spans="2:2">
      <c r="B7412" s="36"/>
    </row>
    <row r="7413" spans="2:2">
      <c r="B7413" s="36"/>
    </row>
    <row r="7414" spans="2:2">
      <c r="B7414" s="36"/>
    </row>
    <row r="7415" spans="2:2">
      <c r="B7415" s="36"/>
    </row>
    <row r="7416" spans="2:2">
      <c r="B7416" s="36"/>
    </row>
    <row r="7417" spans="2:2">
      <c r="B7417" s="36"/>
    </row>
    <row r="7418" spans="2:2">
      <c r="B7418" s="36"/>
    </row>
    <row r="7419" spans="2:2">
      <c r="B7419" s="36"/>
    </row>
    <row r="7420" spans="2:2">
      <c r="B7420" s="36"/>
    </row>
    <row r="7421" spans="2:2">
      <c r="B7421" s="36"/>
    </row>
    <row r="7422" spans="2:2">
      <c r="B7422" s="36"/>
    </row>
    <row r="7423" spans="2:2">
      <c r="B7423" s="36"/>
    </row>
    <row r="7424" spans="2:2">
      <c r="B7424" s="36"/>
    </row>
    <row r="7425" spans="2:2">
      <c r="B7425" s="36"/>
    </row>
    <row r="7426" spans="2:2">
      <c r="B7426" s="36"/>
    </row>
    <row r="7427" spans="2:2">
      <c r="B7427" s="36"/>
    </row>
    <row r="7428" spans="2:2">
      <c r="B7428" s="36"/>
    </row>
    <row r="7429" spans="2:2">
      <c r="B7429" s="36"/>
    </row>
    <row r="7430" spans="2:2">
      <c r="B7430" s="36"/>
    </row>
    <row r="7431" spans="2:2">
      <c r="B7431" s="36"/>
    </row>
    <row r="7432" spans="2:2">
      <c r="B7432" s="36"/>
    </row>
    <row r="7433" spans="2:2">
      <c r="B7433" s="36"/>
    </row>
    <row r="7434" spans="2:2">
      <c r="B7434" s="36"/>
    </row>
    <row r="7435" spans="2:2">
      <c r="B7435" s="36"/>
    </row>
    <row r="7436" spans="2:2">
      <c r="B7436" s="36"/>
    </row>
    <row r="7437" spans="2:2">
      <c r="B7437" s="36"/>
    </row>
    <row r="7438" spans="2:2">
      <c r="B7438" s="36"/>
    </row>
    <row r="7439" spans="2:2">
      <c r="B7439" s="36"/>
    </row>
    <row r="7440" spans="2:2">
      <c r="B7440" s="36"/>
    </row>
    <row r="7441" spans="2:2">
      <c r="B7441" s="36"/>
    </row>
    <row r="7442" spans="2:2">
      <c r="B7442" s="36"/>
    </row>
    <row r="7443" spans="2:2">
      <c r="B7443" s="36"/>
    </row>
    <row r="7444" spans="2:2">
      <c r="B7444" s="36"/>
    </row>
    <row r="7445" spans="2:2">
      <c r="B7445" s="36"/>
    </row>
    <row r="7446" spans="2:2">
      <c r="B7446" s="36"/>
    </row>
    <row r="7447" spans="2:2">
      <c r="B7447" s="36"/>
    </row>
    <row r="7448" spans="2:2">
      <c r="B7448" s="36"/>
    </row>
    <row r="7449" spans="2:2">
      <c r="B7449" s="36"/>
    </row>
    <row r="7450" spans="2:2">
      <c r="B7450" s="36"/>
    </row>
    <row r="7451" spans="2:2">
      <c r="B7451" s="36"/>
    </row>
    <row r="7452" spans="2:2">
      <c r="B7452" s="36"/>
    </row>
    <row r="7453" spans="2:2">
      <c r="B7453" s="36"/>
    </row>
    <row r="7454" spans="2:2">
      <c r="B7454" s="36"/>
    </row>
    <row r="7455" spans="2:2">
      <c r="B7455" s="36"/>
    </row>
    <row r="7456" spans="2:2">
      <c r="B7456" s="36"/>
    </row>
    <row r="7457" spans="2:2">
      <c r="B7457" s="36"/>
    </row>
    <row r="7458" spans="2:2">
      <c r="B7458" s="36"/>
    </row>
    <row r="7459" spans="2:2">
      <c r="B7459" s="36"/>
    </row>
    <row r="7460" spans="2:2">
      <c r="B7460" s="36"/>
    </row>
    <row r="7461" spans="2:2">
      <c r="B7461" s="36"/>
    </row>
    <row r="7462" spans="2:2">
      <c r="B7462" s="36"/>
    </row>
    <row r="7463" spans="2:2">
      <c r="B7463" s="36"/>
    </row>
    <row r="7464" spans="2:2">
      <c r="B7464" s="36"/>
    </row>
    <row r="7465" spans="2:2">
      <c r="B7465" s="36"/>
    </row>
    <row r="7466" spans="2:2">
      <c r="B7466" s="36"/>
    </row>
    <row r="7467" spans="2:2">
      <c r="B7467" s="36"/>
    </row>
    <row r="7468" spans="2:2">
      <c r="B7468" s="36"/>
    </row>
    <row r="7469" spans="2:2">
      <c r="B7469" s="36"/>
    </row>
    <row r="7470" spans="2:2">
      <c r="B7470" s="36"/>
    </row>
    <row r="7471" spans="2:2">
      <c r="B7471" s="36"/>
    </row>
    <row r="7472" spans="2:2">
      <c r="B7472" s="36"/>
    </row>
    <row r="7473" spans="2:2">
      <c r="B7473" s="36"/>
    </row>
    <row r="7474" spans="2:2">
      <c r="B7474" s="36"/>
    </row>
    <row r="7475" spans="2:2">
      <c r="B7475" s="36"/>
    </row>
    <row r="7476" spans="2:2">
      <c r="B7476" s="36"/>
    </row>
    <row r="7477" spans="2:2">
      <c r="B7477" s="36"/>
    </row>
    <row r="7478" spans="2:2">
      <c r="B7478" s="36"/>
    </row>
    <row r="7479" spans="2:2">
      <c r="B7479" s="36"/>
    </row>
    <row r="7480" spans="2:2">
      <c r="B7480" s="36"/>
    </row>
    <row r="7481" spans="2:2">
      <c r="B7481" s="36"/>
    </row>
    <row r="7482" spans="2:2">
      <c r="B7482" s="36"/>
    </row>
    <row r="7483" spans="2:2">
      <c r="B7483" s="36"/>
    </row>
    <row r="7484" spans="2:2">
      <c r="B7484" s="36"/>
    </row>
    <row r="7485" spans="2:2">
      <c r="B7485" s="36"/>
    </row>
    <row r="7486" spans="2:2">
      <c r="B7486" s="36"/>
    </row>
    <row r="7487" spans="2:2">
      <c r="B7487" s="36"/>
    </row>
    <row r="7488" spans="2:2">
      <c r="B7488" s="36"/>
    </row>
    <row r="7489" spans="2:2">
      <c r="B7489" s="36"/>
    </row>
    <row r="7490" spans="2:2">
      <c r="B7490" s="36"/>
    </row>
    <row r="7491" spans="2:2">
      <c r="B7491" s="36"/>
    </row>
    <row r="7492" spans="2:2">
      <c r="B7492" s="36"/>
    </row>
    <row r="7493" spans="2:2">
      <c r="B7493" s="36"/>
    </row>
    <row r="7494" spans="2:2">
      <c r="B7494" s="36"/>
    </row>
    <row r="7495" spans="2:2">
      <c r="B7495" s="36"/>
    </row>
    <row r="7496" spans="2:2">
      <c r="B7496" s="36"/>
    </row>
    <row r="7497" spans="2:2">
      <c r="B7497" s="36"/>
    </row>
    <row r="7498" spans="2:2">
      <c r="B7498" s="36"/>
    </row>
    <row r="7499" spans="2:2">
      <c r="B7499" s="36"/>
    </row>
    <row r="7500" spans="2:2">
      <c r="B7500" s="36"/>
    </row>
    <row r="7501" spans="2:2">
      <c r="B7501" s="36"/>
    </row>
    <row r="7502" spans="2:2">
      <c r="B7502" s="36"/>
    </row>
    <row r="7503" spans="2:2">
      <c r="B7503" s="36"/>
    </row>
    <row r="7504" spans="2:2">
      <c r="B7504" s="36"/>
    </row>
    <row r="7505" spans="2:2">
      <c r="B7505" s="36"/>
    </row>
    <row r="7506" spans="2:2">
      <c r="B7506" s="36"/>
    </row>
    <row r="7507" spans="2:2">
      <c r="B7507" s="36"/>
    </row>
    <row r="7508" spans="2:2">
      <c r="B7508" s="36"/>
    </row>
    <row r="7509" spans="2:2">
      <c r="B7509" s="36"/>
    </row>
    <row r="7510" spans="2:2">
      <c r="B7510" s="36"/>
    </row>
    <row r="7511" spans="2:2">
      <c r="B7511" s="36"/>
    </row>
    <row r="7512" spans="2:2">
      <c r="B7512" s="36"/>
    </row>
    <row r="7513" spans="2:2">
      <c r="B7513" s="36"/>
    </row>
    <row r="7514" spans="2:2">
      <c r="B7514" s="36"/>
    </row>
    <row r="7515" spans="2:2">
      <c r="B7515" s="36"/>
    </row>
    <row r="7516" spans="2:2">
      <c r="B7516" s="36"/>
    </row>
    <row r="7517" spans="2:2">
      <c r="B7517" s="36"/>
    </row>
    <row r="7518" spans="2:2">
      <c r="B7518" s="36"/>
    </row>
    <row r="7519" spans="2:2">
      <c r="B7519" s="36"/>
    </row>
    <row r="7520" spans="2:2">
      <c r="B7520" s="36"/>
    </row>
    <row r="7521" spans="2:2">
      <c r="B7521" s="36"/>
    </row>
    <row r="7522" spans="2:2">
      <c r="B7522" s="36"/>
    </row>
    <row r="7523" spans="2:2">
      <c r="B7523" s="36"/>
    </row>
    <row r="7524" spans="2:2">
      <c r="B7524" s="36"/>
    </row>
    <row r="7525" spans="2:2">
      <c r="B7525" s="36"/>
    </row>
    <row r="7526" spans="2:2">
      <c r="B7526" s="36"/>
    </row>
    <row r="7527" spans="2:2">
      <c r="B7527" s="36"/>
    </row>
    <row r="7528" spans="2:2">
      <c r="B7528" s="36"/>
    </row>
    <row r="7529" spans="2:2">
      <c r="B7529" s="36"/>
    </row>
    <row r="7530" spans="2:2">
      <c r="B7530" s="36"/>
    </row>
    <row r="7531" spans="2:2">
      <c r="B7531" s="36"/>
    </row>
    <row r="7532" spans="2:2">
      <c r="B7532" s="36"/>
    </row>
    <row r="7533" spans="2:2">
      <c r="B7533" s="36"/>
    </row>
    <row r="7534" spans="2:2">
      <c r="B7534" s="36"/>
    </row>
    <row r="7535" spans="2:2">
      <c r="B7535" s="36"/>
    </row>
    <row r="7536" spans="2:2">
      <c r="B7536" s="36"/>
    </row>
    <row r="7537" spans="2:2">
      <c r="B7537" s="36"/>
    </row>
    <row r="7538" spans="2:2">
      <c r="B7538" s="36"/>
    </row>
    <row r="7539" spans="2:2">
      <c r="B7539" s="36"/>
    </row>
    <row r="7540" spans="2:2">
      <c r="B7540" s="36"/>
    </row>
    <row r="7541" spans="2:2">
      <c r="B7541" s="36"/>
    </row>
    <row r="7542" spans="2:2">
      <c r="B7542" s="36"/>
    </row>
    <row r="7543" spans="2:2">
      <c r="B7543" s="36"/>
    </row>
    <row r="7544" spans="2:2">
      <c r="B7544" s="36"/>
    </row>
    <row r="7545" spans="2:2">
      <c r="B7545" s="36"/>
    </row>
    <row r="7546" spans="2:2">
      <c r="B7546" s="36"/>
    </row>
    <row r="7547" spans="2:2">
      <c r="B7547" s="36"/>
    </row>
    <row r="7548" spans="2:2">
      <c r="B7548" s="36"/>
    </row>
    <row r="7549" spans="2:2">
      <c r="B7549" s="36"/>
    </row>
    <row r="7550" spans="2:2">
      <c r="B7550" s="36"/>
    </row>
    <row r="7551" spans="2:2">
      <c r="B7551" s="36"/>
    </row>
    <row r="7552" spans="2:2">
      <c r="B7552" s="36"/>
    </row>
    <row r="7553" spans="2:2">
      <c r="B7553" s="36"/>
    </row>
    <row r="7554" spans="2:2">
      <c r="B7554" s="36"/>
    </row>
    <row r="7555" spans="2:2">
      <c r="B7555" s="36"/>
    </row>
    <row r="7556" spans="2:2">
      <c r="B7556" s="36"/>
    </row>
    <row r="7557" spans="2:2">
      <c r="B7557" s="36"/>
    </row>
    <row r="7558" spans="2:2">
      <c r="B7558" s="36"/>
    </row>
    <row r="7559" spans="2:2">
      <c r="B7559" s="36"/>
    </row>
    <row r="7560" spans="2:2">
      <c r="B7560" s="36"/>
    </row>
    <row r="7561" spans="2:2">
      <c r="B7561" s="36"/>
    </row>
    <row r="7562" spans="2:2">
      <c r="B7562" s="36"/>
    </row>
    <row r="7563" spans="2:2">
      <c r="B7563" s="36"/>
    </row>
    <row r="7564" spans="2:2">
      <c r="B7564" s="36"/>
    </row>
    <row r="7565" spans="2:2">
      <c r="B7565" s="36"/>
    </row>
    <row r="7566" spans="2:2">
      <c r="B7566" s="36"/>
    </row>
    <row r="7567" spans="2:2">
      <c r="B7567" s="36"/>
    </row>
    <row r="7568" spans="2:2">
      <c r="B7568" s="36"/>
    </row>
    <row r="7569" spans="2:2">
      <c r="B7569" s="36"/>
    </row>
    <row r="7570" spans="2:2">
      <c r="B7570" s="36"/>
    </row>
    <row r="7571" spans="2:2">
      <c r="B7571" s="36"/>
    </row>
    <row r="7572" spans="2:2">
      <c r="B7572" s="36"/>
    </row>
    <row r="7573" spans="2:2">
      <c r="B7573" s="36"/>
    </row>
    <row r="7574" spans="2:2">
      <c r="B7574" s="36"/>
    </row>
    <row r="7575" spans="2:2">
      <c r="B7575" s="36"/>
    </row>
    <row r="7576" spans="2:2">
      <c r="B7576" s="36"/>
    </row>
    <row r="7577" spans="2:2">
      <c r="B7577" s="36"/>
    </row>
    <row r="7578" spans="2:2">
      <c r="B7578" s="36"/>
    </row>
    <row r="7579" spans="2:2">
      <c r="B7579" s="36"/>
    </row>
    <row r="7580" spans="2:2">
      <c r="B7580" s="36"/>
    </row>
    <row r="7581" spans="2:2">
      <c r="B7581" s="36"/>
    </row>
    <row r="7582" spans="2:2">
      <c r="B7582" s="36"/>
    </row>
    <row r="7583" spans="2:2">
      <c r="B7583" s="36"/>
    </row>
    <row r="7584" spans="2:2">
      <c r="B7584" s="36"/>
    </row>
    <row r="7585" spans="2:2">
      <c r="B7585" s="36"/>
    </row>
    <row r="7586" spans="2:2">
      <c r="B7586" s="36"/>
    </row>
    <row r="7587" spans="2:2">
      <c r="B7587" s="36"/>
    </row>
    <row r="7588" spans="2:2">
      <c r="B7588" s="36"/>
    </row>
    <row r="7589" spans="2:2">
      <c r="B7589" s="36"/>
    </row>
    <row r="7590" spans="2:2">
      <c r="B7590" s="36"/>
    </row>
    <row r="7591" spans="2:2">
      <c r="B7591" s="36"/>
    </row>
    <row r="7592" spans="2:2">
      <c r="B7592" s="36"/>
    </row>
    <row r="7593" spans="2:2">
      <c r="B7593" s="36"/>
    </row>
    <row r="7594" spans="2:2">
      <c r="B7594" s="36"/>
    </row>
    <row r="7595" spans="2:2">
      <c r="B7595" s="36"/>
    </row>
    <row r="7596" spans="2:2">
      <c r="B7596" s="36"/>
    </row>
    <row r="7597" spans="2:2">
      <c r="B7597" s="36"/>
    </row>
    <row r="7598" spans="2:2">
      <c r="B7598" s="36"/>
    </row>
    <row r="7599" spans="2:2">
      <c r="B7599" s="36"/>
    </row>
    <row r="7600" spans="2:2">
      <c r="B7600" s="36"/>
    </row>
    <row r="7601" spans="2:2">
      <c r="B7601" s="36"/>
    </row>
    <row r="7602" spans="2:2">
      <c r="B7602" s="36"/>
    </row>
    <row r="7603" spans="2:2">
      <c r="B7603" s="36"/>
    </row>
    <row r="7604" spans="2:2">
      <c r="B7604" s="36"/>
    </row>
    <row r="7605" spans="2:2">
      <c r="B7605" s="36"/>
    </row>
    <row r="7606" spans="2:2">
      <c r="B7606" s="36"/>
    </row>
    <row r="7607" spans="2:2">
      <c r="B7607" s="36"/>
    </row>
    <row r="7608" spans="2:2">
      <c r="B7608" s="36"/>
    </row>
    <row r="7609" spans="2:2">
      <c r="B7609" s="36"/>
    </row>
    <row r="7610" spans="2:2">
      <c r="B7610" s="36"/>
    </row>
    <row r="7611" spans="2:2">
      <c r="B7611" s="36"/>
    </row>
    <row r="7612" spans="2:2">
      <c r="B7612" s="36"/>
    </row>
    <row r="7613" spans="2:2">
      <c r="B7613" s="36"/>
    </row>
    <row r="7614" spans="2:2">
      <c r="B7614" s="36"/>
    </row>
    <row r="7615" spans="2:2">
      <c r="B7615" s="36"/>
    </row>
    <row r="7616" spans="2:2">
      <c r="B7616" s="36"/>
    </row>
    <row r="7617" spans="2:2">
      <c r="B7617" s="36"/>
    </row>
    <row r="7618" spans="2:2">
      <c r="B7618" s="36"/>
    </row>
    <row r="7619" spans="2:2">
      <c r="B7619" s="36"/>
    </row>
    <row r="7620" spans="2:2">
      <c r="B7620" s="36"/>
    </row>
    <row r="7621" spans="2:2">
      <c r="B7621" s="36"/>
    </row>
    <row r="7622" spans="2:2">
      <c r="B7622" s="36"/>
    </row>
    <row r="7623" spans="2:2">
      <c r="B7623" s="36"/>
    </row>
    <row r="7624" spans="2:2">
      <c r="B7624" s="36"/>
    </row>
    <row r="7625" spans="2:2">
      <c r="B7625" s="36"/>
    </row>
    <row r="7626" spans="2:2">
      <c r="B7626" s="36"/>
    </row>
    <row r="7627" spans="2:2">
      <c r="B7627" s="36"/>
    </row>
    <row r="7628" spans="2:2">
      <c r="B7628" s="36"/>
    </row>
    <row r="7629" spans="2:2">
      <c r="B7629" s="36"/>
    </row>
    <row r="7630" spans="2:2">
      <c r="B7630" s="36"/>
    </row>
    <row r="7631" spans="2:2">
      <c r="B7631" s="36"/>
    </row>
    <row r="7632" spans="2:2">
      <c r="B7632" s="36"/>
    </row>
    <row r="7633" spans="2:2">
      <c r="B7633" s="36"/>
    </row>
    <row r="7634" spans="2:2">
      <c r="B7634" s="36"/>
    </row>
    <row r="7635" spans="2:2">
      <c r="B7635" s="36"/>
    </row>
    <row r="7636" spans="2:2">
      <c r="B7636" s="36"/>
    </row>
    <row r="7637" spans="2:2">
      <c r="B7637" s="36"/>
    </row>
    <row r="7638" spans="2:2">
      <c r="B7638" s="36"/>
    </row>
    <row r="7639" spans="2:2">
      <c r="B7639" s="36"/>
    </row>
    <row r="7640" spans="2:2">
      <c r="B7640" s="36"/>
    </row>
    <row r="7641" spans="2:2">
      <c r="B7641" s="36"/>
    </row>
    <row r="7642" spans="2:2">
      <c r="B7642" s="36"/>
    </row>
    <row r="7643" spans="2:2">
      <c r="B7643" s="36"/>
    </row>
    <row r="7644" spans="2:2">
      <c r="B7644" s="36"/>
    </row>
    <row r="7645" spans="2:2">
      <c r="B7645" s="36"/>
    </row>
    <row r="7646" spans="2:2">
      <c r="B7646" s="36"/>
    </row>
    <row r="7647" spans="2:2">
      <c r="B7647" s="36"/>
    </row>
    <row r="7648" spans="2:2">
      <c r="B7648" s="36"/>
    </row>
    <row r="7649" spans="2:2">
      <c r="B7649" s="36"/>
    </row>
    <row r="7650" spans="2:2">
      <c r="B7650" s="36"/>
    </row>
    <row r="7651" spans="2:2">
      <c r="B7651" s="36"/>
    </row>
    <row r="7652" spans="2:2">
      <c r="B7652" s="36"/>
    </row>
    <row r="7653" spans="2:2">
      <c r="B7653" s="36"/>
    </row>
    <row r="7654" spans="2:2">
      <c r="B7654" s="36"/>
    </row>
    <row r="7655" spans="2:2">
      <c r="B7655" s="36"/>
    </row>
    <row r="7656" spans="2:2">
      <c r="B7656" s="36"/>
    </row>
    <row r="7657" spans="2:2">
      <c r="B7657" s="36"/>
    </row>
    <row r="7658" spans="2:2">
      <c r="B7658" s="36"/>
    </row>
    <row r="7659" spans="2:2">
      <c r="B7659" s="36"/>
    </row>
    <row r="7660" spans="2:2">
      <c r="B7660" s="36"/>
    </row>
    <row r="7661" spans="2:2">
      <c r="B7661" s="36"/>
    </row>
    <row r="7662" spans="2:2">
      <c r="B7662" s="36"/>
    </row>
    <row r="7663" spans="2:2">
      <c r="B7663" s="36"/>
    </row>
    <row r="7664" spans="2:2">
      <c r="B7664" s="36"/>
    </row>
    <row r="7665" spans="2:2">
      <c r="B7665" s="36"/>
    </row>
    <row r="7666" spans="2:2">
      <c r="B7666" s="36"/>
    </row>
    <row r="7667" spans="2:2">
      <c r="B7667" s="36"/>
    </row>
    <row r="7668" spans="2:2">
      <c r="B7668" s="36"/>
    </row>
    <row r="7669" spans="2:2">
      <c r="B7669" s="36"/>
    </row>
    <row r="7670" spans="2:2">
      <c r="B7670" s="36"/>
    </row>
    <row r="7671" spans="2:2">
      <c r="B7671" s="36"/>
    </row>
    <row r="7672" spans="2:2">
      <c r="B7672" s="36"/>
    </row>
    <row r="7673" spans="2:2">
      <c r="B7673" s="36"/>
    </row>
    <row r="7674" spans="2:2">
      <c r="B7674" s="36"/>
    </row>
    <row r="7675" spans="2:2">
      <c r="B7675" s="36"/>
    </row>
    <row r="7676" spans="2:2">
      <c r="B7676" s="36"/>
    </row>
    <row r="7677" spans="2:2">
      <c r="B7677" s="36"/>
    </row>
    <row r="7678" spans="2:2">
      <c r="B7678" s="36"/>
    </row>
    <row r="7679" spans="2:2">
      <c r="B7679" s="36"/>
    </row>
    <row r="7680" spans="2:2">
      <c r="B7680" s="36"/>
    </row>
    <row r="7681" spans="2:2">
      <c r="B7681" s="36"/>
    </row>
    <row r="7682" spans="2:2">
      <c r="B7682" s="36"/>
    </row>
    <row r="7683" spans="2:2">
      <c r="B7683" s="36"/>
    </row>
    <row r="7684" spans="2:2">
      <c r="B7684" s="36"/>
    </row>
    <row r="7685" spans="2:2">
      <c r="B7685" s="36"/>
    </row>
    <row r="7686" spans="2:2">
      <c r="B7686" s="36"/>
    </row>
    <row r="7687" spans="2:2">
      <c r="B7687" s="36"/>
    </row>
    <row r="7688" spans="2:2">
      <c r="B7688" s="36"/>
    </row>
    <row r="7689" spans="2:2">
      <c r="B7689" s="36"/>
    </row>
    <row r="7690" spans="2:2">
      <c r="B7690" s="36"/>
    </row>
    <row r="7691" spans="2:2">
      <c r="B7691" s="36"/>
    </row>
    <row r="7692" spans="2:2">
      <c r="B7692" s="36"/>
    </row>
    <row r="7693" spans="2:2">
      <c r="B7693" s="36"/>
    </row>
    <row r="7694" spans="2:2">
      <c r="B7694" s="36"/>
    </row>
    <row r="7695" spans="2:2">
      <c r="B7695" s="36"/>
    </row>
    <row r="7696" spans="2:2">
      <c r="B7696" s="36"/>
    </row>
    <row r="7697" spans="2:2">
      <c r="B7697" s="36"/>
    </row>
    <row r="7698" spans="2:2">
      <c r="B7698" s="36"/>
    </row>
    <row r="7699" spans="2:2">
      <c r="B7699" s="36"/>
    </row>
    <row r="7700" spans="2:2">
      <c r="B7700" s="36"/>
    </row>
    <row r="7701" spans="2:2">
      <c r="B7701" s="36"/>
    </row>
    <row r="7702" spans="2:2">
      <c r="B7702" s="36"/>
    </row>
    <row r="7703" spans="2:2">
      <c r="B7703" s="36"/>
    </row>
    <row r="7704" spans="2:2">
      <c r="B7704" s="36"/>
    </row>
    <row r="7705" spans="2:2">
      <c r="B7705" s="36"/>
    </row>
    <row r="7706" spans="2:2">
      <c r="B7706" s="36"/>
    </row>
    <row r="7707" spans="2:2">
      <c r="B7707" s="36"/>
    </row>
    <row r="7708" spans="2:2">
      <c r="B7708" s="36"/>
    </row>
    <row r="7709" spans="2:2">
      <c r="B7709" s="36"/>
    </row>
    <row r="7710" spans="2:2">
      <c r="B7710" s="36"/>
    </row>
    <row r="7711" spans="2:2">
      <c r="B7711" s="36"/>
    </row>
    <row r="7712" spans="2:2">
      <c r="B7712" s="36"/>
    </row>
    <row r="7713" spans="2:2">
      <c r="B7713" s="36"/>
    </row>
    <row r="7714" spans="2:2">
      <c r="B7714" s="36"/>
    </row>
    <row r="7715" spans="2:2">
      <c r="B7715" s="36"/>
    </row>
    <row r="7716" spans="2:2">
      <c r="B7716" s="36"/>
    </row>
    <row r="7717" spans="2:2">
      <c r="B7717" s="36"/>
    </row>
    <row r="7718" spans="2:2">
      <c r="B7718" s="36"/>
    </row>
    <row r="7719" spans="2:2">
      <c r="B7719" s="36"/>
    </row>
    <row r="7720" spans="2:2">
      <c r="B7720" s="36"/>
    </row>
    <row r="7721" spans="2:2">
      <c r="B7721" s="36"/>
    </row>
    <row r="7722" spans="2:2">
      <c r="B7722" s="36"/>
    </row>
    <row r="7723" spans="2:2">
      <c r="B7723" s="36"/>
    </row>
    <row r="7724" spans="2:2">
      <c r="B7724" s="36"/>
    </row>
    <row r="7725" spans="2:2">
      <c r="B7725" s="36"/>
    </row>
    <row r="7726" spans="2:2">
      <c r="B7726" s="36"/>
    </row>
    <row r="7727" spans="2:2">
      <c r="B7727" s="36"/>
    </row>
    <row r="7728" spans="2:2">
      <c r="B7728" s="36"/>
    </row>
    <row r="7729" spans="2:2">
      <c r="B7729" s="36"/>
    </row>
    <row r="7730" spans="2:2">
      <c r="B7730" s="36"/>
    </row>
    <row r="7731" spans="2:2">
      <c r="B7731" s="36"/>
    </row>
    <row r="7732" spans="2:2">
      <c r="B7732" s="36"/>
    </row>
    <row r="7733" spans="2:2">
      <c r="B7733" s="36"/>
    </row>
    <row r="7734" spans="2:2">
      <c r="B7734" s="36"/>
    </row>
    <row r="7735" spans="2:2">
      <c r="B7735" s="36"/>
    </row>
    <row r="7736" spans="2:2">
      <c r="B7736" s="36"/>
    </row>
    <row r="7737" spans="2:2">
      <c r="B7737" s="36"/>
    </row>
    <row r="7738" spans="2:2">
      <c r="B7738" s="36"/>
    </row>
    <row r="7739" spans="2:2">
      <c r="B7739" s="36"/>
    </row>
    <row r="7740" spans="2:2">
      <c r="B7740" s="36"/>
    </row>
    <row r="7741" spans="2:2">
      <c r="B7741" s="36"/>
    </row>
    <row r="7742" spans="2:2">
      <c r="B7742" s="36"/>
    </row>
    <row r="7743" spans="2:2">
      <c r="B7743" s="36"/>
    </row>
    <row r="7744" spans="2:2">
      <c r="B7744" s="36"/>
    </row>
    <row r="7745" spans="2:2">
      <c r="B7745" s="36"/>
    </row>
    <row r="7746" spans="2:2">
      <c r="B7746" s="36"/>
    </row>
    <row r="7747" spans="2:2">
      <c r="B7747" s="36"/>
    </row>
    <row r="7748" spans="2:2">
      <c r="B7748" s="36"/>
    </row>
    <row r="7749" spans="2:2">
      <c r="B7749" s="36"/>
    </row>
    <row r="7750" spans="2:2">
      <c r="B7750" s="36"/>
    </row>
    <row r="7751" spans="2:2">
      <c r="B7751" s="36"/>
    </row>
    <row r="7752" spans="2:2">
      <c r="B7752" s="36"/>
    </row>
    <row r="7753" spans="2:2">
      <c r="B7753" s="36"/>
    </row>
    <row r="7754" spans="2:2">
      <c r="B7754" s="36"/>
    </row>
    <row r="7755" spans="2:2">
      <c r="B7755" s="36"/>
    </row>
    <row r="7756" spans="2:2">
      <c r="B7756" s="36"/>
    </row>
    <row r="7757" spans="2:2">
      <c r="B7757" s="36"/>
    </row>
    <row r="7758" spans="2:2">
      <c r="B7758" s="36"/>
    </row>
    <row r="7759" spans="2:2">
      <c r="B7759" s="36"/>
    </row>
    <row r="7760" spans="2:2">
      <c r="B7760" s="36"/>
    </row>
    <row r="7761" spans="2:2">
      <c r="B7761" s="36"/>
    </row>
    <row r="7762" spans="2:2">
      <c r="B7762" s="36"/>
    </row>
    <row r="7763" spans="2:2">
      <c r="B7763" s="36"/>
    </row>
    <row r="7764" spans="2:2">
      <c r="B7764" s="36"/>
    </row>
    <row r="7765" spans="2:2">
      <c r="B7765" s="36"/>
    </row>
    <row r="7766" spans="2:2">
      <c r="B7766" s="36"/>
    </row>
    <row r="7767" spans="2:2">
      <c r="B7767" s="36"/>
    </row>
    <row r="7768" spans="2:2">
      <c r="B7768" s="36"/>
    </row>
    <row r="7769" spans="2:2">
      <c r="B7769" s="36"/>
    </row>
    <row r="7770" spans="2:2">
      <c r="B7770" s="36"/>
    </row>
    <row r="7771" spans="2:2">
      <c r="B7771" s="36"/>
    </row>
    <row r="7772" spans="2:2">
      <c r="B7772" s="36"/>
    </row>
    <row r="7773" spans="2:2">
      <c r="B7773" s="36"/>
    </row>
    <row r="7774" spans="2:2">
      <c r="B7774" s="36"/>
    </row>
    <row r="7775" spans="2:2">
      <c r="B7775" s="36"/>
    </row>
    <row r="7776" spans="2:2">
      <c r="B7776" s="36"/>
    </row>
    <row r="7777" spans="2:2">
      <c r="B7777" s="36"/>
    </row>
    <row r="7778" spans="2:2">
      <c r="B7778" s="36"/>
    </row>
    <row r="7779" spans="2:2">
      <c r="B7779" s="36"/>
    </row>
    <row r="7780" spans="2:2">
      <c r="B7780" s="36"/>
    </row>
    <row r="7781" spans="2:2">
      <c r="B7781" s="36"/>
    </row>
    <row r="7782" spans="2:2">
      <c r="B7782" s="36"/>
    </row>
    <row r="7783" spans="2:2">
      <c r="B7783" s="36"/>
    </row>
    <row r="7784" spans="2:2">
      <c r="B7784" s="36"/>
    </row>
    <row r="7785" spans="2:2">
      <c r="B7785" s="36"/>
    </row>
    <row r="7786" spans="2:2">
      <c r="B7786" s="36"/>
    </row>
    <row r="7787" spans="2:2">
      <c r="B7787" s="36"/>
    </row>
    <row r="7788" spans="2:2">
      <c r="B7788" s="36"/>
    </row>
    <row r="7789" spans="2:2">
      <c r="B7789" s="36"/>
    </row>
    <row r="7790" spans="2:2">
      <c r="B7790" s="36"/>
    </row>
    <row r="7791" spans="2:2">
      <c r="B7791" s="36"/>
    </row>
    <row r="7792" spans="2:2">
      <c r="B7792" s="36"/>
    </row>
    <row r="7793" spans="2:2">
      <c r="B7793" s="36"/>
    </row>
    <row r="7794" spans="2:2">
      <c r="B7794" s="36"/>
    </row>
    <row r="7795" spans="2:2">
      <c r="B7795" s="36"/>
    </row>
    <row r="7796" spans="2:2">
      <c r="B7796" s="36"/>
    </row>
    <row r="7797" spans="2:2">
      <c r="B7797" s="36"/>
    </row>
    <row r="7798" spans="2:2">
      <c r="B7798" s="36"/>
    </row>
    <row r="7799" spans="2:2">
      <c r="B7799" s="36"/>
    </row>
    <row r="7800" spans="2:2">
      <c r="B7800" s="36"/>
    </row>
    <row r="7801" spans="2:2">
      <c r="B7801" s="36"/>
    </row>
    <row r="7802" spans="2:2">
      <c r="B7802" s="36"/>
    </row>
    <row r="7803" spans="2:2">
      <c r="B7803" s="36"/>
    </row>
    <row r="7804" spans="2:2">
      <c r="B7804" s="36"/>
    </row>
    <row r="7805" spans="2:2">
      <c r="B7805" s="36"/>
    </row>
    <row r="7806" spans="2:2">
      <c r="B7806" s="36"/>
    </row>
    <row r="7807" spans="2:2">
      <c r="B7807" s="36"/>
    </row>
    <row r="7808" spans="2:2">
      <c r="B7808" s="36"/>
    </row>
    <row r="7809" spans="2:2">
      <c r="B7809" s="36"/>
    </row>
    <row r="7810" spans="2:2">
      <c r="B7810" s="36"/>
    </row>
    <row r="7811" spans="2:2">
      <c r="B7811" s="36"/>
    </row>
    <row r="7812" spans="2:2">
      <c r="B7812" s="36"/>
    </row>
    <row r="7813" spans="2:2">
      <c r="B7813" s="36"/>
    </row>
    <row r="7814" spans="2:2">
      <c r="B7814" s="36"/>
    </row>
    <row r="7815" spans="2:2">
      <c r="B7815" s="36"/>
    </row>
    <row r="7816" spans="2:2">
      <c r="B7816" s="36"/>
    </row>
    <row r="7817" spans="2:2">
      <c r="B7817" s="36"/>
    </row>
    <row r="7818" spans="2:2">
      <c r="B7818" s="36"/>
    </row>
    <row r="7819" spans="2:2">
      <c r="B7819" s="36"/>
    </row>
    <row r="7820" spans="2:2">
      <c r="B7820" s="36"/>
    </row>
    <row r="7821" spans="2:2">
      <c r="B7821" s="36"/>
    </row>
    <row r="7822" spans="2:2">
      <c r="B7822" s="36"/>
    </row>
    <row r="7823" spans="2:2">
      <c r="B7823" s="36"/>
    </row>
    <row r="7824" spans="2:2">
      <c r="B7824" s="36"/>
    </row>
    <row r="7825" spans="2:2">
      <c r="B7825" s="36"/>
    </row>
    <row r="7826" spans="2:2">
      <c r="B7826" s="36"/>
    </row>
    <row r="7827" spans="2:2">
      <c r="B7827" s="36"/>
    </row>
    <row r="7828" spans="2:2">
      <c r="B7828" s="36"/>
    </row>
    <row r="7829" spans="2:2">
      <c r="B7829" s="36"/>
    </row>
    <row r="7830" spans="2:2">
      <c r="B7830" s="36"/>
    </row>
    <row r="7831" spans="2:2">
      <c r="B7831" s="36"/>
    </row>
    <row r="7832" spans="2:2">
      <c r="B7832" s="36"/>
    </row>
    <row r="7833" spans="2:2">
      <c r="B7833" s="36"/>
    </row>
    <row r="7834" spans="2:2">
      <c r="B7834" s="36"/>
    </row>
    <row r="7835" spans="2:2">
      <c r="B7835" s="36"/>
    </row>
    <row r="7836" spans="2:2">
      <c r="B7836" s="36"/>
    </row>
    <row r="7837" spans="2:2">
      <c r="B7837" s="36"/>
    </row>
    <row r="7838" spans="2:2">
      <c r="B7838" s="36"/>
    </row>
    <row r="7839" spans="2:2">
      <c r="B7839" s="36"/>
    </row>
    <row r="7840" spans="2:2">
      <c r="B7840" s="36"/>
    </row>
    <row r="7841" spans="2:2">
      <c r="B7841" s="36"/>
    </row>
    <row r="7842" spans="2:2">
      <c r="B7842" s="36"/>
    </row>
    <row r="7843" spans="2:2">
      <c r="B7843" s="36"/>
    </row>
    <row r="7844" spans="2:2">
      <c r="B7844" s="36"/>
    </row>
    <row r="7845" spans="2:2">
      <c r="B7845" s="36"/>
    </row>
    <row r="7846" spans="2:2">
      <c r="B7846" s="36"/>
    </row>
    <row r="7847" spans="2:2">
      <c r="B7847" s="36"/>
    </row>
    <row r="7848" spans="2:2">
      <c r="B7848" s="36"/>
    </row>
    <row r="7849" spans="2:2">
      <c r="B7849" s="36"/>
    </row>
    <row r="7850" spans="2:2">
      <c r="B7850" s="36"/>
    </row>
    <row r="7851" spans="2:2">
      <c r="B7851" s="36"/>
    </row>
    <row r="7852" spans="2:2">
      <c r="B7852" s="36"/>
    </row>
    <row r="7853" spans="2:2">
      <c r="B7853" s="36"/>
    </row>
    <row r="7854" spans="2:2">
      <c r="B7854" s="36"/>
    </row>
    <row r="7855" spans="2:2">
      <c r="B7855" s="36"/>
    </row>
    <row r="7856" spans="2:2">
      <c r="B7856" s="36"/>
    </row>
    <row r="7857" spans="2:2">
      <c r="B7857" s="36"/>
    </row>
    <row r="7858" spans="2:2">
      <c r="B7858" s="36"/>
    </row>
    <row r="7859" spans="2:2">
      <c r="B7859" s="36"/>
    </row>
    <row r="7860" spans="2:2">
      <c r="B7860" s="36"/>
    </row>
    <row r="7861" spans="2:2">
      <c r="B7861" s="36"/>
    </row>
    <row r="7862" spans="2:2">
      <c r="B7862" s="36"/>
    </row>
    <row r="7863" spans="2:2">
      <c r="B7863" s="36"/>
    </row>
    <row r="7864" spans="2:2">
      <c r="B7864" s="36"/>
    </row>
    <row r="7865" spans="2:2">
      <c r="B7865" s="36"/>
    </row>
    <row r="7866" spans="2:2">
      <c r="B7866" s="36"/>
    </row>
    <row r="7867" spans="2:2">
      <c r="B7867" s="36"/>
    </row>
    <row r="7868" spans="2:2">
      <c r="B7868" s="36"/>
    </row>
    <row r="7869" spans="2:2">
      <c r="B7869" s="36"/>
    </row>
    <row r="7870" spans="2:2">
      <c r="B7870" s="36"/>
    </row>
    <row r="7871" spans="2:2">
      <c r="B7871" s="36"/>
    </row>
    <row r="7872" spans="2:2">
      <c r="B7872" s="36"/>
    </row>
    <row r="7873" spans="2:2">
      <c r="B7873" s="36"/>
    </row>
    <row r="7874" spans="2:2">
      <c r="B7874" s="36"/>
    </row>
    <row r="7875" spans="2:2">
      <c r="B7875" s="36"/>
    </row>
    <row r="7876" spans="2:2">
      <c r="B7876" s="36"/>
    </row>
    <row r="7877" spans="2:2">
      <c r="B7877" s="36"/>
    </row>
    <row r="7878" spans="2:2">
      <c r="B7878" s="36"/>
    </row>
    <row r="7879" spans="2:2">
      <c r="B7879" s="36"/>
    </row>
    <row r="7880" spans="2:2">
      <c r="B7880" s="36"/>
    </row>
    <row r="7881" spans="2:2">
      <c r="B7881" s="36"/>
    </row>
    <row r="7882" spans="2:2">
      <c r="B7882" s="36"/>
    </row>
    <row r="7883" spans="2:2">
      <c r="B7883" s="36"/>
    </row>
    <row r="7884" spans="2:2">
      <c r="B7884" s="36"/>
    </row>
    <row r="7885" spans="2:2">
      <c r="B7885" s="36"/>
    </row>
    <row r="7886" spans="2:2">
      <c r="B7886" s="36"/>
    </row>
    <row r="7887" spans="2:2">
      <c r="B7887" s="36"/>
    </row>
    <row r="7888" spans="2:2">
      <c r="B7888" s="36"/>
    </row>
    <row r="7889" spans="2:2">
      <c r="B7889" s="36"/>
    </row>
    <row r="7890" spans="2:2">
      <c r="B7890" s="36"/>
    </row>
    <row r="7891" spans="2:2">
      <c r="B7891" s="36"/>
    </row>
    <row r="7892" spans="2:2">
      <c r="B7892" s="36"/>
    </row>
    <row r="7893" spans="2:2">
      <c r="B7893" s="36"/>
    </row>
    <row r="7894" spans="2:2">
      <c r="B7894" s="36"/>
    </row>
    <row r="7895" spans="2:2">
      <c r="B7895" s="36"/>
    </row>
    <row r="7896" spans="2:2">
      <c r="B7896" s="36"/>
    </row>
    <row r="7897" spans="2:2">
      <c r="B7897" s="36"/>
    </row>
    <row r="7898" spans="2:2">
      <c r="B7898" s="36"/>
    </row>
    <row r="7899" spans="2:2">
      <c r="B7899" s="36"/>
    </row>
    <row r="7900" spans="2:2">
      <c r="B7900" s="36"/>
    </row>
    <row r="7901" spans="2:2">
      <c r="B7901" s="36"/>
    </row>
    <row r="7902" spans="2:2">
      <c r="B7902" s="36"/>
    </row>
    <row r="7903" spans="2:2">
      <c r="B7903" s="36"/>
    </row>
    <row r="7904" spans="2:2">
      <c r="B7904" s="36"/>
    </row>
    <row r="7905" spans="2:2">
      <c r="B7905" s="36"/>
    </row>
    <row r="7906" spans="2:2">
      <c r="B7906" s="36"/>
    </row>
    <row r="7907" spans="2:2">
      <c r="B7907" s="36"/>
    </row>
    <row r="7908" spans="2:2">
      <c r="B7908" s="36"/>
    </row>
    <row r="7909" spans="2:2">
      <c r="B7909" s="36"/>
    </row>
    <row r="7910" spans="2:2">
      <c r="B7910" s="36"/>
    </row>
    <row r="7911" spans="2:2">
      <c r="B7911" s="36"/>
    </row>
    <row r="7912" spans="2:2">
      <c r="B7912" s="36"/>
    </row>
    <row r="7913" spans="2:2">
      <c r="B7913" s="36"/>
    </row>
    <row r="7914" spans="2:2">
      <c r="B7914" s="36"/>
    </row>
    <row r="7915" spans="2:2">
      <c r="B7915" s="36"/>
    </row>
    <row r="7916" spans="2:2">
      <c r="B7916" s="36"/>
    </row>
    <row r="7917" spans="2:2">
      <c r="B7917" s="36"/>
    </row>
    <row r="7918" spans="2:2">
      <c r="B7918" s="36"/>
    </row>
    <row r="7919" spans="2:2">
      <c r="B7919" s="36"/>
    </row>
    <row r="7920" spans="2:2">
      <c r="B7920" s="36"/>
    </row>
    <row r="7921" spans="2:2">
      <c r="B7921" s="36"/>
    </row>
    <row r="7922" spans="2:2">
      <c r="B7922" s="36"/>
    </row>
    <row r="7923" spans="2:2">
      <c r="B7923" s="36"/>
    </row>
    <row r="7924" spans="2:2">
      <c r="B7924" s="36"/>
    </row>
    <row r="7925" spans="2:2">
      <c r="B7925" s="36"/>
    </row>
    <row r="7926" spans="2:2">
      <c r="B7926" s="36"/>
    </row>
    <row r="7927" spans="2:2">
      <c r="B7927" s="36"/>
    </row>
    <row r="7928" spans="2:2">
      <c r="B7928" s="36"/>
    </row>
    <row r="7929" spans="2:2">
      <c r="B7929" s="36"/>
    </row>
    <row r="7930" spans="2:2">
      <c r="B7930" s="36"/>
    </row>
    <row r="7931" spans="2:2">
      <c r="B7931" s="36"/>
    </row>
    <row r="7932" spans="2:2">
      <c r="B7932" s="36"/>
    </row>
    <row r="7933" spans="2:2">
      <c r="B7933" s="36"/>
    </row>
    <row r="7934" spans="2:2">
      <c r="B7934" s="36"/>
    </row>
    <row r="7935" spans="2:2">
      <c r="B7935" s="36"/>
    </row>
    <row r="7936" spans="2:2">
      <c r="B7936" s="36"/>
    </row>
    <row r="7937" spans="2:2">
      <c r="B7937" s="36"/>
    </row>
    <row r="7938" spans="2:2">
      <c r="B7938" s="36"/>
    </row>
    <row r="7939" spans="2:2">
      <c r="B7939" s="36"/>
    </row>
    <row r="7940" spans="2:2">
      <c r="B7940" s="36"/>
    </row>
    <row r="7941" spans="2:2">
      <c r="B7941" s="36"/>
    </row>
    <row r="7942" spans="2:2">
      <c r="B7942" s="36"/>
    </row>
    <row r="7943" spans="2:2">
      <c r="B7943" s="36"/>
    </row>
    <row r="7944" spans="2:2">
      <c r="B7944" s="36"/>
    </row>
    <row r="7945" spans="2:2">
      <c r="B7945" s="36"/>
    </row>
    <row r="7946" spans="2:2">
      <c r="B7946" s="36"/>
    </row>
    <row r="7947" spans="2:2">
      <c r="B7947" s="36"/>
    </row>
    <row r="7948" spans="2:2">
      <c r="B7948" s="36"/>
    </row>
    <row r="7949" spans="2:2">
      <c r="B7949" s="36"/>
    </row>
    <row r="7950" spans="2:2">
      <c r="B7950" s="36"/>
    </row>
    <row r="7951" spans="2:2">
      <c r="B7951" s="36"/>
    </row>
    <row r="7952" spans="2:2">
      <c r="B7952" s="36"/>
    </row>
    <row r="7953" spans="2:2">
      <c r="B7953" s="36"/>
    </row>
    <row r="7954" spans="2:2">
      <c r="B7954" s="36"/>
    </row>
    <row r="7955" spans="2:2">
      <c r="B7955" s="36"/>
    </row>
    <row r="7956" spans="2:2">
      <c r="B7956" s="36"/>
    </row>
    <row r="7957" spans="2:2">
      <c r="B7957" s="36"/>
    </row>
    <row r="7958" spans="2:2">
      <c r="B7958" s="36"/>
    </row>
    <row r="7959" spans="2:2">
      <c r="B7959" s="36"/>
    </row>
    <row r="7960" spans="2:2">
      <c r="B7960" s="36"/>
    </row>
    <row r="7961" spans="2:2">
      <c r="B7961" s="36"/>
    </row>
    <row r="7962" spans="2:2">
      <c r="B7962" s="36"/>
    </row>
    <row r="7963" spans="2:2">
      <c r="B7963" s="36"/>
    </row>
    <row r="7964" spans="2:2">
      <c r="B7964" s="36"/>
    </row>
    <row r="7965" spans="2:2">
      <c r="B7965" s="36"/>
    </row>
    <row r="7966" spans="2:2">
      <c r="B7966" s="36"/>
    </row>
    <row r="7967" spans="2:2">
      <c r="B7967" s="36"/>
    </row>
    <row r="7968" spans="2:2">
      <c r="B7968" s="36"/>
    </row>
    <row r="7969" spans="2:2">
      <c r="B7969" s="36"/>
    </row>
    <row r="7970" spans="2:2">
      <c r="B7970" s="36"/>
    </row>
    <row r="7971" spans="2:2">
      <c r="B7971" s="36"/>
    </row>
    <row r="7972" spans="2:2">
      <c r="B7972" s="36"/>
    </row>
    <row r="7973" spans="2:2">
      <c r="B7973" s="36"/>
    </row>
    <row r="7974" spans="2:2">
      <c r="B7974" s="36"/>
    </row>
    <row r="7975" spans="2:2">
      <c r="B7975" s="36"/>
    </row>
    <row r="7976" spans="2:2">
      <c r="B7976" s="36"/>
    </row>
    <row r="7977" spans="2:2">
      <c r="B7977" s="36"/>
    </row>
    <row r="7978" spans="2:2">
      <c r="B7978" s="36"/>
    </row>
    <row r="7979" spans="2:2">
      <c r="B7979" s="36"/>
    </row>
    <row r="7980" spans="2:2">
      <c r="B7980" s="36"/>
    </row>
    <row r="7981" spans="2:2">
      <c r="B7981" s="36"/>
    </row>
    <row r="7982" spans="2:2">
      <c r="B7982" s="36"/>
    </row>
    <row r="7983" spans="2:2">
      <c r="B7983" s="36"/>
    </row>
    <row r="7984" spans="2:2">
      <c r="B7984" s="36"/>
    </row>
    <row r="7985" spans="2:2">
      <c r="B7985" s="36"/>
    </row>
    <row r="7986" spans="2:2">
      <c r="B7986" s="36"/>
    </row>
    <row r="7987" spans="2:2">
      <c r="B7987" s="36"/>
    </row>
    <row r="7988" spans="2:2">
      <c r="B7988" s="36"/>
    </row>
    <row r="7989" spans="2:2">
      <c r="B7989" s="36"/>
    </row>
    <row r="7990" spans="2:2">
      <c r="B7990" s="36"/>
    </row>
    <row r="7991" spans="2:2">
      <c r="B7991" s="36"/>
    </row>
    <row r="7992" spans="2:2">
      <c r="B7992" s="36"/>
    </row>
    <row r="7993" spans="2:2">
      <c r="B7993" s="36"/>
    </row>
    <row r="7994" spans="2:2">
      <c r="B7994" s="36"/>
    </row>
    <row r="7995" spans="2:2">
      <c r="B7995" s="36"/>
    </row>
    <row r="7996" spans="2:2">
      <c r="B7996" s="36"/>
    </row>
    <row r="7997" spans="2:2">
      <c r="B7997" s="36"/>
    </row>
    <row r="7998" spans="2:2">
      <c r="B7998" s="36"/>
    </row>
    <row r="7999" spans="2:2">
      <c r="B7999" s="36"/>
    </row>
    <row r="8000" spans="2:2">
      <c r="B8000" s="36"/>
    </row>
    <row r="8001" spans="2:2">
      <c r="B8001" s="36"/>
    </row>
    <row r="8002" spans="2:2">
      <c r="B8002" s="36"/>
    </row>
    <row r="8003" spans="2:2">
      <c r="B8003" s="36"/>
    </row>
    <row r="8004" spans="2:2">
      <c r="B8004" s="36"/>
    </row>
    <row r="8005" spans="2:2">
      <c r="B8005" s="36"/>
    </row>
    <row r="8006" spans="2:2">
      <c r="B8006" s="36"/>
    </row>
    <row r="8007" spans="2:2">
      <c r="B8007" s="36"/>
    </row>
    <row r="8008" spans="2:2">
      <c r="B8008" s="36"/>
    </row>
    <row r="8009" spans="2:2">
      <c r="B8009" s="36"/>
    </row>
    <row r="8010" spans="2:2">
      <c r="B8010" s="36"/>
    </row>
    <row r="8011" spans="2:2">
      <c r="B8011" s="36"/>
    </row>
    <row r="8012" spans="2:2">
      <c r="B8012" s="36"/>
    </row>
    <row r="8013" spans="2:2">
      <c r="B8013" s="36"/>
    </row>
    <row r="8014" spans="2:2">
      <c r="B8014" s="36"/>
    </row>
    <row r="8015" spans="2:2">
      <c r="B8015" s="36"/>
    </row>
    <row r="8016" spans="2:2">
      <c r="B8016" s="36"/>
    </row>
    <row r="8017" spans="2:2">
      <c r="B8017" s="36"/>
    </row>
    <row r="8018" spans="2:2">
      <c r="B8018" s="36"/>
    </row>
    <row r="8019" spans="2:2">
      <c r="B8019" s="36"/>
    </row>
    <row r="8020" spans="2:2">
      <c r="B8020" s="36"/>
    </row>
    <row r="8021" spans="2:2">
      <c r="B8021" s="36"/>
    </row>
    <row r="8022" spans="2:2">
      <c r="B8022" s="36"/>
    </row>
    <row r="8023" spans="2:2">
      <c r="B8023" s="36"/>
    </row>
    <row r="8024" spans="2:2">
      <c r="B8024" s="36"/>
    </row>
    <row r="8025" spans="2:2">
      <c r="B8025" s="36"/>
    </row>
    <row r="8026" spans="2:2">
      <c r="B8026" s="36"/>
    </row>
    <row r="8027" spans="2:2">
      <c r="B8027" s="36"/>
    </row>
    <row r="8028" spans="2:2">
      <c r="B8028" s="36"/>
    </row>
    <row r="8029" spans="2:2">
      <c r="B8029" s="36"/>
    </row>
    <row r="8030" spans="2:2">
      <c r="B8030" s="36"/>
    </row>
    <row r="8031" spans="2:2">
      <c r="B8031" s="36"/>
    </row>
    <row r="8032" spans="2:2">
      <c r="B8032" s="36"/>
    </row>
    <row r="8033" spans="2:2">
      <c r="B8033" s="36"/>
    </row>
    <row r="8034" spans="2:2">
      <c r="B8034" s="36"/>
    </row>
    <row r="8035" spans="2:2">
      <c r="B8035" s="36"/>
    </row>
    <row r="8036" spans="2:2">
      <c r="B8036" s="36"/>
    </row>
    <row r="8037" spans="2:2">
      <c r="B8037" s="36"/>
    </row>
    <row r="8038" spans="2:2">
      <c r="B8038" s="36"/>
    </row>
    <row r="8039" spans="2:2">
      <c r="B8039" s="36"/>
    </row>
    <row r="8040" spans="2:2">
      <c r="B8040" s="36"/>
    </row>
    <row r="8041" spans="2:2">
      <c r="B8041" s="36"/>
    </row>
    <row r="8042" spans="2:2">
      <c r="B8042" s="36"/>
    </row>
    <row r="8043" spans="2:2">
      <c r="B8043" s="36"/>
    </row>
    <row r="8044" spans="2:2">
      <c r="B8044" s="36"/>
    </row>
    <row r="8045" spans="2:2">
      <c r="B8045" s="36"/>
    </row>
    <row r="8046" spans="2:2">
      <c r="B8046" s="36"/>
    </row>
    <row r="8047" spans="2:2">
      <c r="B8047" s="36"/>
    </row>
    <row r="8048" spans="2:2">
      <c r="B8048" s="36"/>
    </row>
    <row r="8049" spans="2:2">
      <c r="B8049" s="36"/>
    </row>
    <row r="8050" spans="2:2">
      <c r="B8050" s="36"/>
    </row>
    <row r="8051" spans="2:2">
      <c r="B8051" s="36"/>
    </row>
    <row r="8052" spans="2:2">
      <c r="B8052" s="36"/>
    </row>
    <row r="8053" spans="2:2">
      <c r="B8053" s="36"/>
    </row>
    <row r="8054" spans="2:2">
      <c r="B8054" s="36"/>
    </row>
    <row r="8055" spans="2:2">
      <c r="B8055" s="36"/>
    </row>
    <row r="8056" spans="2:2">
      <c r="B8056" s="36"/>
    </row>
    <row r="8057" spans="2:2">
      <c r="B8057" s="36"/>
    </row>
    <row r="8058" spans="2:2">
      <c r="B8058" s="36"/>
    </row>
    <row r="8059" spans="2:2">
      <c r="B8059" s="36"/>
    </row>
    <row r="8060" spans="2:2">
      <c r="B8060" s="36"/>
    </row>
    <row r="8061" spans="2:2">
      <c r="B8061" s="36"/>
    </row>
    <row r="8062" spans="2:2">
      <c r="B8062" s="36"/>
    </row>
    <row r="8063" spans="2:2">
      <c r="B8063" s="36"/>
    </row>
    <row r="8064" spans="2:2">
      <c r="B8064" s="36"/>
    </row>
    <row r="8065" spans="2:2">
      <c r="B8065" s="36"/>
    </row>
    <row r="8066" spans="2:2">
      <c r="B8066" s="36"/>
    </row>
    <row r="8067" spans="2:2">
      <c r="B8067" s="36"/>
    </row>
    <row r="8068" spans="2:2">
      <c r="B8068" s="36"/>
    </row>
    <row r="8069" spans="2:2">
      <c r="B8069" s="36"/>
    </row>
    <row r="8070" spans="2:2">
      <c r="B8070" s="36"/>
    </row>
    <row r="8071" spans="2:2">
      <c r="B8071" s="36"/>
    </row>
    <row r="8072" spans="2:2">
      <c r="B8072" s="36"/>
    </row>
    <row r="8073" spans="2:2">
      <c r="B8073" s="36"/>
    </row>
    <row r="8074" spans="2:2">
      <c r="B8074" s="36"/>
    </row>
    <row r="8075" spans="2:2">
      <c r="B8075" s="36"/>
    </row>
    <row r="8076" spans="2:2">
      <c r="B8076" s="36"/>
    </row>
    <row r="8077" spans="2:2">
      <c r="B8077" s="36"/>
    </row>
    <row r="8078" spans="2:2">
      <c r="B8078" s="36"/>
    </row>
    <row r="8079" spans="2:2">
      <c r="B8079" s="36"/>
    </row>
    <row r="8080" spans="2:2">
      <c r="B8080" s="36"/>
    </row>
    <row r="8081" spans="2:2">
      <c r="B8081" s="36"/>
    </row>
    <row r="8082" spans="2:2">
      <c r="B8082" s="36"/>
    </row>
    <row r="8083" spans="2:2">
      <c r="B8083" s="36"/>
    </row>
    <row r="8084" spans="2:2">
      <c r="B8084" s="36"/>
    </row>
    <row r="8085" spans="2:2">
      <c r="B8085" s="36"/>
    </row>
    <row r="8086" spans="2:2">
      <c r="B8086" s="36"/>
    </row>
    <row r="8087" spans="2:2">
      <c r="B8087" s="36"/>
    </row>
    <row r="8088" spans="2:2">
      <c r="B8088" s="36"/>
    </row>
    <row r="8089" spans="2:2">
      <c r="B8089" s="36"/>
    </row>
    <row r="8090" spans="2:2">
      <c r="B8090" s="36"/>
    </row>
    <row r="8091" spans="2:2">
      <c r="B8091" s="36"/>
    </row>
    <row r="8092" spans="2:2">
      <c r="B8092" s="36"/>
    </row>
    <row r="8093" spans="2:2">
      <c r="B8093" s="36"/>
    </row>
    <row r="8094" spans="2:2">
      <c r="B8094" s="36"/>
    </row>
    <row r="8095" spans="2:2">
      <c r="B8095" s="36"/>
    </row>
    <row r="8096" spans="2:2">
      <c r="B8096" s="36"/>
    </row>
    <row r="8097" spans="2:2">
      <c r="B8097" s="36"/>
    </row>
    <row r="8098" spans="2:2">
      <c r="B8098" s="36"/>
    </row>
    <row r="8099" spans="2:2">
      <c r="B8099" s="36"/>
    </row>
    <row r="8100" spans="2:2">
      <c r="B8100" s="36"/>
    </row>
    <row r="8101" spans="2:2">
      <c r="B8101" s="36"/>
    </row>
    <row r="8102" spans="2:2">
      <c r="B8102" s="36"/>
    </row>
    <row r="8103" spans="2:2">
      <c r="B8103" s="36"/>
    </row>
    <row r="8104" spans="2:2">
      <c r="B8104" s="36"/>
    </row>
    <row r="8105" spans="2:2">
      <c r="B8105" s="36"/>
    </row>
    <row r="8106" spans="2:2">
      <c r="B8106" s="36"/>
    </row>
    <row r="8107" spans="2:2">
      <c r="B8107" s="36"/>
    </row>
    <row r="8108" spans="2:2">
      <c r="B8108" s="36"/>
    </row>
    <row r="8109" spans="2:2">
      <c r="B8109" s="36"/>
    </row>
    <row r="8110" spans="2:2">
      <c r="B8110" s="36"/>
    </row>
    <row r="8111" spans="2:2">
      <c r="B8111" s="36"/>
    </row>
    <row r="8112" spans="2:2">
      <c r="B8112" s="36"/>
    </row>
    <row r="8113" spans="2:2">
      <c r="B8113" s="36"/>
    </row>
    <row r="8114" spans="2:2">
      <c r="B8114" s="36"/>
    </row>
    <row r="8115" spans="2:2">
      <c r="B8115" s="36"/>
    </row>
    <row r="8116" spans="2:2">
      <c r="B8116" s="36"/>
    </row>
    <row r="8117" spans="2:2">
      <c r="B8117" s="36"/>
    </row>
    <row r="8118" spans="2:2">
      <c r="B8118" s="36"/>
    </row>
    <row r="8119" spans="2:2">
      <c r="B8119" s="36"/>
    </row>
    <row r="8120" spans="2:2">
      <c r="B8120" s="36"/>
    </row>
    <row r="8121" spans="2:2">
      <c r="B8121" s="36"/>
    </row>
    <row r="8122" spans="2:2">
      <c r="B8122" s="36"/>
    </row>
    <row r="8123" spans="2:2">
      <c r="B8123" s="36"/>
    </row>
    <row r="8124" spans="2:2">
      <c r="B8124" s="36"/>
    </row>
    <row r="8125" spans="2:2">
      <c r="B8125" s="36"/>
    </row>
    <row r="8126" spans="2:2">
      <c r="B8126" s="36"/>
    </row>
    <row r="8127" spans="2:2">
      <c r="B8127" s="36"/>
    </row>
    <row r="8128" spans="2:2">
      <c r="B8128" s="36"/>
    </row>
    <row r="8129" spans="2:2">
      <c r="B8129" s="36"/>
    </row>
    <row r="8130" spans="2:2">
      <c r="B8130" s="36"/>
    </row>
    <row r="8131" spans="2:2">
      <c r="B8131" s="36"/>
    </row>
    <row r="8132" spans="2:2">
      <c r="B8132" s="36"/>
    </row>
    <row r="8133" spans="2:2">
      <c r="B8133" s="36"/>
    </row>
    <row r="8134" spans="2:2">
      <c r="B8134" s="36"/>
    </row>
    <row r="8135" spans="2:2">
      <c r="B8135" s="36"/>
    </row>
    <row r="8136" spans="2:2">
      <c r="B8136" s="36"/>
    </row>
    <row r="8137" spans="2:2">
      <c r="B8137" s="36"/>
    </row>
    <row r="8138" spans="2:2">
      <c r="B8138" s="36"/>
    </row>
    <row r="8139" spans="2:2">
      <c r="B8139" s="36"/>
    </row>
    <row r="8140" spans="2:2">
      <c r="B8140" s="36"/>
    </row>
    <row r="8141" spans="2:2">
      <c r="B8141" s="36"/>
    </row>
    <row r="8142" spans="2:2">
      <c r="B8142" s="36"/>
    </row>
    <row r="8143" spans="2:2">
      <c r="B8143" s="36"/>
    </row>
    <row r="8144" spans="2:2">
      <c r="B8144" s="36"/>
    </row>
    <row r="8145" spans="2:2">
      <c r="B8145" s="36"/>
    </row>
    <row r="8146" spans="2:2">
      <c r="B8146" s="36"/>
    </row>
    <row r="8147" spans="2:2">
      <c r="B8147" s="36"/>
    </row>
    <row r="8148" spans="2:2">
      <c r="B8148" s="36"/>
    </row>
    <row r="8149" spans="2:2">
      <c r="B8149" s="36"/>
    </row>
    <row r="8150" spans="2:2">
      <c r="B8150" s="36"/>
    </row>
    <row r="8151" spans="2:2">
      <c r="B8151" s="36"/>
    </row>
    <row r="8152" spans="2:2">
      <c r="B8152" s="36"/>
    </row>
    <row r="8153" spans="2:2">
      <c r="B8153" s="36"/>
    </row>
    <row r="8154" spans="2:2">
      <c r="B8154" s="36"/>
    </row>
    <row r="8155" spans="2:2">
      <c r="B8155" s="36"/>
    </row>
    <row r="8156" spans="2:2">
      <c r="B8156" s="36"/>
    </row>
    <row r="8157" spans="2:2">
      <c r="B8157" s="36"/>
    </row>
    <row r="8158" spans="2:2">
      <c r="B8158" s="36"/>
    </row>
    <row r="8159" spans="2:2">
      <c r="B8159" s="36"/>
    </row>
    <row r="8160" spans="2:2">
      <c r="B8160" s="36"/>
    </row>
    <row r="8161" spans="2:2">
      <c r="B8161" s="36"/>
    </row>
    <row r="8162" spans="2:2">
      <c r="B8162" s="36"/>
    </row>
    <row r="8163" spans="2:2">
      <c r="B8163" s="36"/>
    </row>
    <row r="8164" spans="2:2">
      <c r="B8164" s="36"/>
    </row>
    <row r="8165" spans="2:2">
      <c r="B8165" s="36"/>
    </row>
    <row r="8166" spans="2:2">
      <c r="B8166" s="36"/>
    </row>
    <row r="8167" spans="2:2">
      <c r="B8167" s="36"/>
    </row>
    <row r="8168" spans="2:2">
      <c r="B8168" s="36"/>
    </row>
    <row r="8169" spans="2:2">
      <c r="B8169" s="36"/>
    </row>
    <row r="8170" spans="2:2">
      <c r="B8170" s="36"/>
    </row>
    <row r="8171" spans="2:2">
      <c r="B8171" s="36"/>
    </row>
    <row r="8172" spans="2:2">
      <c r="B8172" s="36"/>
    </row>
    <row r="8173" spans="2:2">
      <c r="B8173" s="36"/>
    </row>
    <row r="8174" spans="2:2">
      <c r="B8174" s="36"/>
    </row>
    <row r="8175" spans="2:2">
      <c r="B8175" s="36"/>
    </row>
    <row r="8176" spans="2:2">
      <c r="B8176" s="36"/>
    </row>
    <row r="8177" spans="2:2">
      <c r="B8177" s="36"/>
    </row>
    <row r="8178" spans="2:2">
      <c r="B8178" s="36"/>
    </row>
    <row r="8179" spans="2:2">
      <c r="B8179" s="36"/>
    </row>
    <row r="8180" spans="2:2">
      <c r="B8180" s="36"/>
    </row>
    <row r="8181" spans="2:2">
      <c r="B8181" s="36"/>
    </row>
    <row r="8182" spans="2:2">
      <c r="B8182" s="36"/>
    </row>
    <row r="8183" spans="2:2">
      <c r="B8183" s="36"/>
    </row>
    <row r="8184" spans="2:2">
      <c r="B8184" s="36"/>
    </row>
    <row r="8185" spans="2:2">
      <c r="B8185" s="36"/>
    </row>
    <row r="8186" spans="2:2">
      <c r="B8186" s="36"/>
    </row>
    <row r="8187" spans="2:2">
      <c r="B8187" s="36"/>
    </row>
    <row r="8188" spans="2:2">
      <c r="B8188" s="36"/>
    </row>
    <row r="8189" spans="2:2">
      <c r="B8189" s="36"/>
    </row>
    <row r="8190" spans="2:2">
      <c r="B8190" s="36"/>
    </row>
    <row r="8191" spans="2:2">
      <c r="B8191" s="36"/>
    </row>
    <row r="8192" spans="2:2">
      <c r="B8192" s="36"/>
    </row>
    <row r="8193" spans="2:2">
      <c r="B8193" s="36"/>
    </row>
    <row r="8194" spans="2:2">
      <c r="B8194" s="36"/>
    </row>
    <row r="8195" spans="2:2">
      <c r="B8195" s="36"/>
    </row>
    <row r="8196" spans="2:2">
      <c r="B8196" s="36"/>
    </row>
    <row r="8197" spans="2:2">
      <c r="B8197" s="36"/>
    </row>
    <row r="8198" spans="2:2">
      <c r="B8198" s="36"/>
    </row>
    <row r="8199" spans="2:2">
      <c r="B8199" s="36"/>
    </row>
    <row r="8200" spans="2:2">
      <c r="B8200" s="36"/>
    </row>
    <row r="8201" spans="2:2">
      <c r="B8201" s="36"/>
    </row>
    <row r="8202" spans="2:2">
      <c r="B8202" s="36"/>
    </row>
    <row r="8203" spans="2:2">
      <c r="B8203" s="36"/>
    </row>
    <row r="8204" spans="2:2">
      <c r="B8204" s="36"/>
    </row>
    <row r="8205" spans="2:2">
      <c r="B8205" s="36"/>
    </row>
    <row r="8206" spans="2:2">
      <c r="B8206" s="36"/>
    </row>
    <row r="8207" spans="2:2">
      <c r="B8207" s="36"/>
    </row>
    <row r="8208" spans="2:2">
      <c r="B8208" s="36"/>
    </row>
    <row r="8209" spans="2:2">
      <c r="B8209" s="36"/>
    </row>
    <row r="8210" spans="2:2">
      <c r="B8210" s="36"/>
    </row>
    <row r="8211" spans="2:2">
      <c r="B8211" s="36"/>
    </row>
    <row r="8212" spans="2:2">
      <c r="B8212" s="36"/>
    </row>
    <row r="8213" spans="2:2">
      <c r="B8213" s="36"/>
    </row>
    <row r="8214" spans="2:2">
      <c r="B8214" s="36"/>
    </row>
    <row r="8215" spans="2:2">
      <c r="B8215" s="36"/>
    </row>
    <row r="8216" spans="2:2">
      <c r="B8216" s="36"/>
    </row>
    <row r="8217" spans="2:2">
      <c r="B8217" s="36"/>
    </row>
    <row r="8218" spans="2:2">
      <c r="B8218" s="36"/>
    </row>
    <row r="8219" spans="2:2">
      <c r="B8219" s="36"/>
    </row>
    <row r="8220" spans="2:2">
      <c r="B8220" s="36"/>
    </row>
    <row r="8221" spans="2:2">
      <c r="B8221" s="36"/>
    </row>
    <row r="8222" spans="2:2">
      <c r="B8222" s="36"/>
    </row>
    <row r="8223" spans="2:2">
      <c r="B8223" s="36"/>
    </row>
    <row r="8224" spans="2:2">
      <c r="B8224" s="36"/>
    </row>
    <row r="8225" spans="2:2">
      <c r="B8225" s="36"/>
    </row>
    <row r="8226" spans="2:2">
      <c r="B8226" s="36"/>
    </row>
    <row r="8227" spans="2:2">
      <c r="B8227" s="36"/>
    </row>
    <row r="8228" spans="2:2">
      <c r="B8228" s="36"/>
    </row>
    <row r="8229" spans="2:2">
      <c r="B8229" s="36"/>
    </row>
    <row r="8230" spans="2:2">
      <c r="B8230" s="36"/>
    </row>
    <row r="8231" spans="2:2">
      <c r="B8231" s="36"/>
    </row>
    <row r="8232" spans="2:2">
      <c r="B8232" s="36"/>
    </row>
    <row r="8233" spans="2:2">
      <c r="B8233" s="36"/>
    </row>
    <row r="8234" spans="2:2">
      <c r="B8234" s="36"/>
    </row>
    <row r="8235" spans="2:2">
      <c r="B8235" s="36"/>
    </row>
    <row r="8236" spans="2:2">
      <c r="B8236" s="36"/>
    </row>
    <row r="8237" spans="2:2">
      <c r="B8237" s="36"/>
    </row>
    <row r="8238" spans="2:2">
      <c r="B8238" s="36"/>
    </row>
    <row r="8239" spans="2:2">
      <c r="B8239" s="36"/>
    </row>
    <row r="8240" spans="2:2">
      <c r="B8240" s="36"/>
    </row>
    <row r="8241" spans="2:2">
      <c r="B8241" s="36"/>
    </row>
    <row r="8242" spans="2:2">
      <c r="B8242" s="36"/>
    </row>
    <row r="8243" spans="2:2">
      <c r="B8243" s="36"/>
    </row>
    <row r="8244" spans="2:2">
      <c r="B8244" s="36"/>
    </row>
    <row r="8245" spans="2:2">
      <c r="B8245" s="36"/>
    </row>
    <row r="8246" spans="2:2">
      <c r="B8246" s="36"/>
    </row>
    <row r="8247" spans="2:2">
      <c r="B8247" s="36"/>
    </row>
    <row r="8248" spans="2:2">
      <c r="B8248" s="36"/>
    </row>
    <row r="8249" spans="2:2">
      <c r="B8249" s="36"/>
    </row>
    <row r="8250" spans="2:2">
      <c r="B8250" s="36"/>
    </row>
    <row r="8251" spans="2:2">
      <c r="B8251" s="36"/>
    </row>
    <row r="8252" spans="2:2">
      <c r="B8252" s="36"/>
    </row>
    <row r="8253" spans="2:2">
      <c r="B8253" s="36"/>
    </row>
    <row r="8254" spans="2:2">
      <c r="B8254" s="36"/>
    </row>
    <row r="8255" spans="2:2">
      <c r="B8255" s="36"/>
    </row>
    <row r="8256" spans="2:2">
      <c r="B8256" s="36"/>
    </row>
    <row r="8257" spans="2:2">
      <c r="B8257" s="36"/>
    </row>
    <row r="8258" spans="2:2">
      <c r="B8258" s="36"/>
    </row>
    <row r="8259" spans="2:2">
      <c r="B8259" s="36"/>
    </row>
    <row r="8260" spans="2:2">
      <c r="B8260" s="36"/>
    </row>
    <row r="8261" spans="2:2">
      <c r="B8261" s="36"/>
    </row>
    <row r="8262" spans="2:2">
      <c r="B8262" s="36"/>
    </row>
    <row r="8263" spans="2:2">
      <c r="B8263" s="36"/>
    </row>
    <row r="8264" spans="2:2">
      <c r="B8264" s="36"/>
    </row>
    <row r="8265" spans="2:2">
      <c r="B8265" s="36"/>
    </row>
    <row r="8266" spans="2:2">
      <c r="B8266" s="36"/>
    </row>
    <row r="8267" spans="2:2">
      <c r="B8267" s="36"/>
    </row>
    <row r="8268" spans="2:2">
      <c r="B8268" s="36"/>
    </row>
    <row r="8269" spans="2:2">
      <c r="B8269" s="36"/>
    </row>
    <row r="8270" spans="2:2">
      <c r="B8270" s="36"/>
    </row>
    <row r="8271" spans="2:2">
      <c r="B8271" s="36"/>
    </row>
    <row r="8272" spans="2:2">
      <c r="B8272" s="36"/>
    </row>
    <row r="8273" spans="2:2">
      <c r="B8273" s="36"/>
    </row>
    <row r="8274" spans="2:2">
      <c r="B8274" s="36"/>
    </row>
    <row r="8275" spans="2:2">
      <c r="B8275" s="36"/>
    </row>
    <row r="8276" spans="2:2">
      <c r="B8276" s="36"/>
    </row>
    <row r="8277" spans="2:2">
      <c r="B8277" s="36"/>
    </row>
    <row r="8278" spans="2:2">
      <c r="B8278" s="36"/>
    </row>
    <row r="8279" spans="2:2">
      <c r="B8279" s="36"/>
    </row>
    <row r="8280" spans="2:2">
      <c r="B8280" s="36"/>
    </row>
    <row r="8281" spans="2:2">
      <c r="B8281" s="36"/>
    </row>
    <row r="8282" spans="2:2">
      <c r="B8282" s="36"/>
    </row>
    <row r="8283" spans="2:2">
      <c r="B8283" s="36"/>
    </row>
    <row r="8284" spans="2:2">
      <c r="B8284" s="36"/>
    </row>
    <row r="8285" spans="2:2">
      <c r="B8285" s="36"/>
    </row>
    <row r="8286" spans="2:2">
      <c r="B8286" s="36"/>
    </row>
    <row r="8287" spans="2:2">
      <c r="B8287" s="36"/>
    </row>
    <row r="8288" spans="2:2">
      <c r="B8288" s="36"/>
    </row>
    <row r="8289" spans="2:2">
      <c r="B8289" s="36"/>
    </row>
    <row r="8290" spans="2:2">
      <c r="B8290" s="36"/>
    </row>
    <row r="8291" spans="2:2">
      <c r="B8291" s="36"/>
    </row>
    <row r="8292" spans="2:2">
      <c r="B8292" s="36"/>
    </row>
    <row r="8293" spans="2:2">
      <c r="B8293" s="36"/>
    </row>
    <row r="8294" spans="2:2">
      <c r="B8294" s="36"/>
    </row>
    <row r="8295" spans="2:2">
      <c r="B8295" s="36"/>
    </row>
    <row r="8296" spans="2:2">
      <c r="B8296" s="36"/>
    </row>
    <row r="8297" spans="2:2">
      <c r="B8297" s="36"/>
    </row>
    <row r="8298" spans="2:2">
      <c r="B8298" s="36"/>
    </row>
    <row r="8299" spans="2:2">
      <c r="B8299" s="36"/>
    </row>
    <row r="8300" spans="2:2">
      <c r="B8300" s="36"/>
    </row>
    <row r="8301" spans="2:2">
      <c r="B8301" s="36"/>
    </row>
    <row r="8302" spans="2:2">
      <c r="B8302" s="36"/>
    </row>
    <row r="8303" spans="2:2">
      <c r="B8303" s="36"/>
    </row>
    <row r="8304" spans="2:2">
      <c r="B8304" s="36"/>
    </row>
    <row r="8305" spans="2:2">
      <c r="B8305" s="36"/>
    </row>
    <row r="8306" spans="2:2">
      <c r="B8306" s="36"/>
    </row>
    <row r="8307" spans="2:2">
      <c r="B8307" s="36"/>
    </row>
    <row r="8308" spans="2:2">
      <c r="B8308" s="36"/>
    </row>
    <row r="8309" spans="2:2">
      <c r="B8309" s="36"/>
    </row>
    <row r="8310" spans="2:2">
      <c r="B8310" s="36"/>
    </row>
    <row r="8311" spans="2:2">
      <c r="B8311" s="36"/>
    </row>
    <row r="8312" spans="2:2">
      <c r="B8312" s="36"/>
    </row>
    <row r="8313" spans="2:2">
      <c r="B8313" s="36"/>
    </row>
    <row r="8314" spans="2:2">
      <c r="B8314" s="36"/>
    </row>
    <row r="8315" spans="2:2">
      <c r="B8315" s="36"/>
    </row>
    <row r="8316" spans="2:2">
      <c r="B8316" s="36"/>
    </row>
    <row r="8317" spans="2:2">
      <c r="B8317" s="36"/>
    </row>
    <row r="8318" spans="2:2">
      <c r="B8318" s="36"/>
    </row>
    <row r="8319" spans="2:2">
      <c r="B8319" s="36"/>
    </row>
    <row r="8320" spans="2:2">
      <c r="B8320" s="36"/>
    </row>
    <row r="8321" spans="2:2">
      <c r="B8321" s="36"/>
    </row>
    <row r="8322" spans="2:2">
      <c r="B8322" s="36"/>
    </row>
    <row r="8323" spans="2:2">
      <c r="B8323" s="36"/>
    </row>
    <row r="8324" spans="2:2">
      <c r="B8324" s="36"/>
    </row>
    <row r="8325" spans="2:2">
      <c r="B8325" s="36"/>
    </row>
    <row r="8326" spans="2:2">
      <c r="B8326" s="36"/>
    </row>
    <row r="8327" spans="2:2">
      <c r="B8327" s="36"/>
    </row>
    <row r="8328" spans="2:2">
      <c r="B8328" s="36"/>
    </row>
    <row r="8329" spans="2:2">
      <c r="B8329" s="36"/>
    </row>
    <row r="8330" spans="2:2">
      <c r="B8330" s="36"/>
    </row>
    <row r="8331" spans="2:2">
      <c r="B8331" s="36"/>
    </row>
    <row r="8332" spans="2:2">
      <c r="B8332" s="36"/>
    </row>
    <row r="8333" spans="2:2">
      <c r="B8333" s="36"/>
    </row>
    <row r="8334" spans="2:2">
      <c r="B8334" s="36"/>
    </row>
    <row r="8335" spans="2:2">
      <c r="B8335" s="36"/>
    </row>
    <row r="8336" spans="2:2">
      <c r="B8336" s="36"/>
    </row>
    <row r="8337" spans="2:2">
      <c r="B8337" s="36"/>
    </row>
    <row r="8338" spans="2:2">
      <c r="B8338" s="36"/>
    </row>
    <row r="8339" spans="2:2">
      <c r="B8339" s="36"/>
    </row>
    <row r="8340" spans="2:2">
      <c r="B8340" s="36"/>
    </row>
    <row r="8341" spans="2:2">
      <c r="B8341" s="36"/>
    </row>
    <row r="8342" spans="2:2">
      <c r="B8342" s="36"/>
    </row>
    <row r="8343" spans="2:2">
      <c r="B8343" s="36"/>
    </row>
    <row r="8344" spans="2:2">
      <c r="B8344" s="36"/>
    </row>
    <row r="8345" spans="2:2">
      <c r="B8345" s="36"/>
    </row>
    <row r="8346" spans="2:2">
      <c r="B8346" s="36"/>
    </row>
    <row r="8347" spans="2:2">
      <c r="B8347" s="36"/>
    </row>
    <row r="8348" spans="2:2">
      <c r="B8348" s="36"/>
    </row>
    <row r="8349" spans="2:2">
      <c r="B8349" s="36"/>
    </row>
    <row r="8350" spans="2:2">
      <c r="B8350" s="36"/>
    </row>
    <row r="8351" spans="2:2">
      <c r="B8351" s="36"/>
    </row>
    <row r="8352" spans="2:2">
      <c r="B8352" s="36"/>
    </row>
    <row r="8353" spans="2:2">
      <c r="B8353" s="36"/>
    </row>
    <row r="8354" spans="2:2">
      <c r="B8354" s="36"/>
    </row>
    <row r="8355" spans="2:2">
      <c r="B8355" s="36"/>
    </row>
    <row r="8356" spans="2:2">
      <c r="B8356" s="36"/>
    </row>
    <row r="8357" spans="2:2">
      <c r="B8357" s="36"/>
    </row>
    <row r="8358" spans="2:2">
      <c r="B8358" s="36"/>
    </row>
    <row r="8359" spans="2:2">
      <c r="B8359" s="36"/>
    </row>
    <row r="8360" spans="2:2">
      <c r="B8360" s="36"/>
    </row>
    <row r="8361" spans="2:2">
      <c r="B8361" s="36"/>
    </row>
    <row r="8362" spans="2:2">
      <c r="B8362" s="36"/>
    </row>
    <row r="8363" spans="2:2">
      <c r="B8363" s="36"/>
    </row>
    <row r="8364" spans="2:2">
      <c r="B8364" s="36"/>
    </row>
    <row r="8365" spans="2:2">
      <c r="B8365" s="36"/>
    </row>
    <row r="8366" spans="2:2">
      <c r="B8366" s="36"/>
    </row>
    <row r="8367" spans="2:2">
      <c r="B8367" s="36"/>
    </row>
    <row r="8368" spans="2:2">
      <c r="B8368" s="36"/>
    </row>
    <row r="8369" spans="2:2">
      <c r="B8369" s="36"/>
    </row>
    <row r="8370" spans="2:2">
      <c r="B8370" s="36"/>
    </row>
    <row r="8371" spans="2:2">
      <c r="B8371" s="36"/>
    </row>
    <row r="8372" spans="2:2">
      <c r="B8372" s="36"/>
    </row>
    <row r="8373" spans="2:2">
      <c r="B8373" s="36"/>
    </row>
    <row r="8374" spans="2:2">
      <c r="B8374" s="36"/>
    </row>
    <row r="8375" spans="2:2">
      <c r="B8375" s="36"/>
    </row>
    <row r="8376" spans="2:2">
      <c r="B8376" s="36"/>
    </row>
    <row r="8377" spans="2:2">
      <c r="B8377" s="36"/>
    </row>
    <row r="8378" spans="2:2">
      <c r="B8378" s="36"/>
    </row>
    <row r="8379" spans="2:2">
      <c r="B8379" s="36"/>
    </row>
    <row r="8380" spans="2:2">
      <c r="B8380" s="36"/>
    </row>
    <row r="8381" spans="2:2">
      <c r="B8381" s="36"/>
    </row>
    <row r="8382" spans="2:2">
      <c r="B8382" s="36"/>
    </row>
    <row r="8383" spans="2:2">
      <c r="B8383" s="36"/>
    </row>
    <row r="8384" spans="2:2">
      <c r="B8384" s="36"/>
    </row>
    <row r="8385" spans="2:2">
      <c r="B8385" s="36"/>
    </row>
    <row r="8386" spans="2:2">
      <c r="B8386" s="36"/>
    </row>
    <row r="8387" spans="2:2">
      <c r="B8387" s="36"/>
    </row>
    <row r="8388" spans="2:2">
      <c r="B8388" s="36"/>
    </row>
    <row r="8389" spans="2:2">
      <c r="B8389" s="36"/>
    </row>
    <row r="8390" spans="2:2">
      <c r="B8390" s="36"/>
    </row>
    <row r="8391" spans="2:2">
      <c r="B8391" s="36"/>
    </row>
    <row r="8392" spans="2:2">
      <c r="B8392" s="36"/>
    </row>
    <row r="8393" spans="2:2">
      <c r="B8393" s="36"/>
    </row>
    <row r="8394" spans="2:2">
      <c r="B8394" s="36"/>
    </row>
    <row r="8395" spans="2:2">
      <c r="B8395" s="36"/>
    </row>
    <row r="8396" spans="2:2">
      <c r="B8396" s="36"/>
    </row>
    <row r="8397" spans="2:2">
      <c r="B8397" s="36"/>
    </row>
    <row r="8398" spans="2:2">
      <c r="B8398" s="36"/>
    </row>
    <row r="8399" spans="2:2">
      <c r="B8399" s="36"/>
    </row>
    <row r="8400" spans="2:2">
      <c r="B8400" s="36"/>
    </row>
    <row r="8401" spans="2:2">
      <c r="B8401" s="36"/>
    </row>
    <row r="8402" spans="2:2">
      <c r="B8402" s="36"/>
    </row>
    <row r="8403" spans="2:2">
      <c r="B8403" s="36"/>
    </row>
    <row r="8404" spans="2:2">
      <c r="B8404" s="36"/>
    </row>
    <row r="8405" spans="2:2">
      <c r="B8405" s="36"/>
    </row>
    <row r="8406" spans="2:2">
      <c r="B8406" s="36"/>
    </row>
    <row r="8407" spans="2:2">
      <c r="B8407" s="36"/>
    </row>
    <row r="8408" spans="2:2">
      <c r="B8408" s="36"/>
    </row>
    <row r="8409" spans="2:2">
      <c r="B8409" s="36"/>
    </row>
    <row r="8410" spans="2:2">
      <c r="B8410" s="36"/>
    </row>
    <row r="8411" spans="2:2">
      <c r="B8411" s="36"/>
    </row>
    <row r="8412" spans="2:2">
      <c r="B8412" s="36"/>
    </row>
    <row r="8413" spans="2:2">
      <c r="B8413" s="36"/>
    </row>
    <row r="8414" spans="2:2">
      <c r="B8414" s="36"/>
    </row>
    <row r="8415" spans="2:2">
      <c r="B8415" s="36"/>
    </row>
    <row r="8416" spans="2:2">
      <c r="B8416" s="36"/>
    </row>
    <row r="8417" spans="2:2">
      <c r="B8417" s="36"/>
    </row>
    <row r="8418" spans="2:2">
      <c r="B8418" s="36"/>
    </row>
    <row r="8419" spans="2:2">
      <c r="B8419" s="36"/>
    </row>
    <row r="8420" spans="2:2">
      <c r="B8420" s="36"/>
    </row>
    <row r="8421" spans="2:2">
      <c r="B8421" s="36"/>
    </row>
    <row r="8422" spans="2:2">
      <c r="B8422" s="36"/>
    </row>
    <row r="8423" spans="2:2">
      <c r="B8423" s="36"/>
    </row>
    <row r="8424" spans="2:2">
      <c r="B8424" s="36"/>
    </row>
    <row r="8425" spans="2:2">
      <c r="B8425" s="36"/>
    </row>
    <row r="8426" spans="2:2">
      <c r="B8426" s="36"/>
    </row>
    <row r="8427" spans="2:2">
      <c r="B8427" s="36"/>
    </row>
    <row r="8428" spans="2:2">
      <c r="B8428" s="36"/>
    </row>
    <row r="8429" spans="2:2">
      <c r="B8429" s="36"/>
    </row>
    <row r="8430" spans="2:2">
      <c r="B8430" s="36"/>
    </row>
    <row r="8431" spans="2:2">
      <c r="B8431" s="36"/>
    </row>
    <row r="8432" spans="2:2">
      <c r="B8432" s="36"/>
    </row>
    <row r="8433" spans="2:2">
      <c r="B8433" s="36"/>
    </row>
    <row r="8434" spans="2:2">
      <c r="B8434" s="36"/>
    </row>
    <row r="8435" spans="2:2">
      <c r="B8435" s="36"/>
    </row>
    <row r="8436" spans="2:2">
      <c r="B8436" s="36"/>
    </row>
    <row r="8437" spans="2:2">
      <c r="B8437" s="36"/>
    </row>
    <row r="8438" spans="2:2">
      <c r="B8438" s="36"/>
    </row>
    <row r="8439" spans="2:2">
      <c r="B8439" s="36"/>
    </row>
    <row r="8440" spans="2:2">
      <c r="B8440" s="36"/>
    </row>
    <row r="8441" spans="2:2">
      <c r="B8441" s="36"/>
    </row>
    <row r="8442" spans="2:2">
      <c r="B8442" s="36"/>
    </row>
    <row r="8443" spans="2:2">
      <c r="B8443" s="36"/>
    </row>
    <row r="8444" spans="2:2">
      <c r="B8444" s="36"/>
    </row>
    <row r="8445" spans="2:2">
      <c r="B8445" s="36"/>
    </row>
    <row r="8446" spans="2:2">
      <c r="B8446" s="36"/>
    </row>
    <row r="8447" spans="2:2">
      <c r="B8447" s="36"/>
    </row>
    <row r="8448" spans="2:2">
      <c r="B8448" s="36"/>
    </row>
    <row r="8449" spans="2:2">
      <c r="B8449" s="36"/>
    </row>
    <row r="8450" spans="2:2">
      <c r="B8450" s="36"/>
    </row>
    <row r="8451" spans="2:2">
      <c r="B8451" s="36"/>
    </row>
    <row r="8452" spans="2:2">
      <c r="B8452" s="36"/>
    </row>
    <row r="8453" spans="2:2">
      <c r="B8453" s="36"/>
    </row>
    <row r="8454" spans="2:2">
      <c r="B8454" s="36"/>
    </row>
    <row r="8455" spans="2:2">
      <c r="B8455" s="36"/>
    </row>
    <row r="8456" spans="2:2">
      <c r="B8456" s="36"/>
    </row>
    <row r="8457" spans="2:2">
      <c r="B8457" s="36"/>
    </row>
    <row r="8458" spans="2:2">
      <c r="B8458" s="36"/>
    </row>
    <row r="8459" spans="2:2">
      <c r="B8459" s="36"/>
    </row>
    <row r="8460" spans="2:2">
      <c r="B8460" s="36"/>
    </row>
    <row r="8461" spans="2:2">
      <c r="B8461" s="36"/>
    </row>
    <row r="8462" spans="2:2">
      <c r="B8462" s="36"/>
    </row>
    <row r="8463" spans="2:2">
      <c r="B8463" s="36"/>
    </row>
    <row r="8464" spans="2:2">
      <c r="B8464" s="36"/>
    </row>
    <row r="8465" spans="2:2">
      <c r="B8465" s="36"/>
    </row>
    <row r="8466" spans="2:2">
      <c r="B8466" s="36"/>
    </row>
    <row r="8467" spans="2:2">
      <c r="B8467" s="36"/>
    </row>
    <row r="8468" spans="2:2">
      <c r="B8468" s="36"/>
    </row>
    <row r="8469" spans="2:2">
      <c r="B8469" s="36"/>
    </row>
    <row r="8470" spans="2:2">
      <c r="B8470" s="36"/>
    </row>
    <row r="8471" spans="2:2">
      <c r="B8471" s="36"/>
    </row>
    <row r="8472" spans="2:2">
      <c r="B8472" s="36"/>
    </row>
    <row r="8473" spans="2:2">
      <c r="B8473" s="36"/>
    </row>
    <row r="8474" spans="2:2">
      <c r="B8474" s="36"/>
    </row>
    <row r="8475" spans="2:2">
      <c r="B8475" s="36"/>
    </row>
    <row r="8476" spans="2:2">
      <c r="B8476" s="36"/>
    </row>
    <row r="8477" spans="2:2">
      <c r="B8477" s="36"/>
    </row>
    <row r="8478" spans="2:2">
      <c r="B8478" s="36"/>
    </row>
    <row r="8479" spans="2:2">
      <c r="B8479" s="36"/>
    </row>
    <row r="8480" spans="2:2">
      <c r="B8480" s="36"/>
    </row>
    <row r="8481" spans="2:2">
      <c r="B8481" s="36"/>
    </row>
    <row r="8482" spans="2:2">
      <c r="B8482" s="36"/>
    </row>
    <row r="8483" spans="2:2">
      <c r="B8483" s="36"/>
    </row>
    <row r="8484" spans="2:2">
      <c r="B8484" s="36"/>
    </row>
    <row r="8485" spans="2:2">
      <c r="B8485" s="36"/>
    </row>
    <row r="8486" spans="2:2">
      <c r="B8486" s="36"/>
    </row>
    <row r="8487" spans="2:2">
      <c r="B8487" s="36"/>
    </row>
    <row r="8488" spans="2:2">
      <c r="B8488" s="36"/>
    </row>
    <row r="8489" spans="2:2">
      <c r="B8489" s="36"/>
    </row>
    <row r="8490" spans="2:2">
      <c r="B8490" s="36"/>
    </row>
    <row r="8491" spans="2:2">
      <c r="B8491" s="36"/>
    </row>
    <row r="8492" spans="2:2">
      <c r="B8492" s="36"/>
    </row>
    <row r="8493" spans="2:2">
      <c r="B8493" s="36"/>
    </row>
    <row r="8494" spans="2:2">
      <c r="B8494" s="36"/>
    </row>
    <row r="8495" spans="2:2">
      <c r="B8495" s="36"/>
    </row>
    <row r="8496" spans="2:2">
      <c r="B8496" s="36"/>
    </row>
    <row r="8497" spans="2:2">
      <c r="B8497" s="36"/>
    </row>
    <row r="8498" spans="2:2">
      <c r="B8498" s="36"/>
    </row>
    <row r="8499" spans="2:2">
      <c r="B8499" s="36"/>
    </row>
    <row r="8500" spans="2:2">
      <c r="B8500" s="36"/>
    </row>
    <row r="8501" spans="2:2">
      <c r="B8501" s="36"/>
    </row>
    <row r="8502" spans="2:2">
      <c r="B8502" s="36"/>
    </row>
    <row r="8503" spans="2:2">
      <c r="B8503" s="36"/>
    </row>
    <row r="8504" spans="2:2">
      <c r="B8504" s="36"/>
    </row>
    <row r="8505" spans="2:2">
      <c r="B8505" s="36"/>
    </row>
    <row r="8506" spans="2:2">
      <c r="B8506" s="36"/>
    </row>
    <row r="8507" spans="2:2">
      <c r="B8507" s="36"/>
    </row>
    <row r="8508" spans="2:2">
      <c r="B8508" s="36"/>
    </row>
    <row r="8509" spans="2:2">
      <c r="B8509" s="36"/>
    </row>
    <row r="8510" spans="2:2">
      <c r="B8510" s="36"/>
    </row>
    <row r="8511" spans="2:2">
      <c r="B8511" s="36"/>
    </row>
    <row r="8512" spans="2:2">
      <c r="B8512" s="36"/>
    </row>
    <row r="8513" spans="2:2">
      <c r="B8513" s="36"/>
    </row>
    <row r="8514" spans="2:2">
      <c r="B8514" s="36"/>
    </row>
    <row r="8515" spans="2:2">
      <c r="B8515" s="36"/>
    </row>
    <row r="8516" spans="2:2">
      <c r="B8516" s="36"/>
    </row>
    <row r="8517" spans="2:2">
      <c r="B8517" s="36"/>
    </row>
    <row r="8518" spans="2:2">
      <c r="B8518" s="36"/>
    </row>
    <row r="8519" spans="2:2">
      <c r="B8519" s="36"/>
    </row>
    <row r="8520" spans="2:2">
      <c r="B8520" s="36"/>
    </row>
    <row r="8521" spans="2:2">
      <c r="B8521" s="36"/>
    </row>
    <row r="8522" spans="2:2">
      <c r="B8522" s="36"/>
    </row>
    <row r="8523" spans="2:2">
      <c r="B8523" s="36"/>
    </row>
    <row r="8524" spans="2:2">
      <c r="B8524" s="36"/>
    </row>
    <row r="8525" spans="2:2">
      <c r="B8525" s="36"/>
    </row>
    <row r="8526" spans="2:2">
      <c r="B8526" s="36"/>
    </row>
    <row r="8527" spans="2:2">
      <c r="B8527" s="36"/>
    </row>
    <row r="8528" spans="2:2">
      <c r="B8528" s="36"/>
    </row>
    <row r="8529" spans="2:2">
      <c r="B8529" s="36"/>
    </row>
    <row r="8530" spans="2:2">
      <c r="B8530" s="36"/>
    </row>
    <row r="8531" spans="2:2">
      <c r="B8531" s="36"/>
    </row>
    <row r="8532" spans="2:2">
      <c r="B8532" s="36"/>
    </row>
    <row r="8533" spans="2:2">
      <c r="B8533" s="36"/>
    </row>
    <row r="8534" spans="2:2">
      <c r="B8534" s="36"/>
    </row>
    <row r="8535" spans="2:2">
      <c r="B8535" s="36"/>
    </row>
    <row r="8536" spans="2:2">
      <c r="B8536" s="36"/>
    </row>
    <row r="8537" spans="2:2">
      <c r="B8537" s="36"/>
    </row>
    <row r="8538" spans="2:2">
      <c r="B8538" s="36"/>
    </row>
    <row r="8539" spans="2:2">
      <c r="B8539" s="36"/>
    </row>
    <row r="8540" spans="2:2">
      <c r="B8540" s="36"/>
    </row>
    <row r="8541" spans="2:2">
      <c r="B8541" s="36"/>
    </row>
    <row r="8542" spans="2:2">
      <c r="B8542" s="36"/>
    </row>
    <row r="8543" spans="2:2">
      <c r="B8543" s="36"/>
    </row>
    <row r="8544" spans="2:2">
      <c r="B8544" s="36"/>
    </row>
    <row r="8545" spans="2:2">
      <c r="B8545" s="36"/>
    </row>
    <row r="8546" spans="2:2">
      <c r="B8546" s="36"/>
    </row>
    <row r="8547" spans="2:2">
      <c r="B8547" s="36"/>
    </row>
    <row r="8548" spans="2:2">
      <c r="B8548" s="36"/>
    </row>
    <row r="8549" spans="2:2">
      <c r="B8549" s="36"/>
    </row>
    <row r="8550" spans="2:2">
      <c r="B8550" s="36"/>
    </row>
    <row r="8551" spans="2:2">
      <c r="B8551" s="36"/>
    </row>
    <row r="8552" spans="2:2">
      <c r="B8552" s="36"/>
    </row>
    <row r="8553" spans="2:2">
      <c r="B8553" s="36"/>
    </row>
    <row r="8554" spans="2:2">
      <c r="B8554" s="36"/>
    </row>
    <row r="8555" spans="2:2">
      <c r="B8555" s="36"/>
    </row>
    <row r="8556" spans="2:2">
      <c r="B8556" s="36"/>
    </row>
    <row r="8557" spans="2:2">
      <c r="B8557" s="36"/>
    </row>
    <row r="8558" spans="2:2">
      <c r="B8558" s="36"/>
    </row>
    <row r="8559" spans="2:2">
      <c r="B8559" s="36"/>
    </row>
    <row r="8560" spans="2:2">
      <c r="B8560" s="36"/>
    </row>
    <row r="8561" spans="2:2">
      <c r="B8561" s="36"/>
    </row>
    <row r="8562" spans="2:2">
      <c r="B8562" s="36"/>
    </row>
    <row r="8563" spans="2:2">
      <c r="B8563" s="36"/>
    </row>
    <row r="8564" spans="2:2">
      <c r="B8564" s="36"/>
    </row>
    <row r="8565" spans="2:2">
      <c r="B8565" s="36"/>
    </row>
    <row r="8566" spans="2:2">
      <c r="B8566" s="36"/>
    </row>
    <row r="8567" spans="2:2">
      <c r="B8567" s="36"/>
    </row>
    <row r="8568" spans="2:2">
      <c r="B8568" s="36"/>
    </row>
    <row r="8569" spans="2:2">
      <c r="B8569" s="36"/>
    </row>
    <row r="8570" spans="2:2">
      <c r="B8570" s="36"/>
    </row>
    <row r="8571" spans="2:2">
      <c r="B8571" s="36"/>
    </row>
    <row r="8572" spans="2:2">
      <c r="B8572" s="36"/>
    </row>
    <row r="8573" spans="2:2">
      <c r="B8573" s="36"/>
    </row>
    <row r="8574" spans="2:2">
      <c r="B8574" s="36"/>
    </row>
    <row r="8575" spans="2:2">
      <c r="B8575" s="36"/>
    </row>
    <row r="8576" spans="2:2">
      <c r="B8576" s="36"/>
    </row>
    <row r="8577" spans="2:2">
      <c r="B8577" s="36"/>
    </row>
    <row r="8578" spans="2:2">
      <c r="B8578" s="36"/>
    </row>
    <row r="8579" spans="2:2">
      <c r="B8579" s="36"/>
    </row>
    <row r="8580" spans="2:2">
      <c r="B8580" s="36"/>
    </row>
    <row r="8581" spans="2:2">
      <c r="B8581" s="36"/>
    </row>
    <row r="8582" spans="2:2">
      <c r="B8582" s="36"/>
    </row>
    <row r="8583" spans="2:2">
      <c r="B8583" s="36"/>
    </row>
    <row r="8584" spans="2:2">
      <c r="B8584" s="36"/>
    </row>
    <row r="8585" spans="2:2">
      <c r="B8585" s="36"/>
    </row>
    <row r="8586" spans="2:2">
      <c r="B8586" s="36"/>
    </row>
    <row r="8587" spans="2:2">
      <c r="B8587" s="36"/>
    </row>
    <row r="8588" spans="2:2">
      <c r="B8588" s="36"/>
    </row>
    <row r="8589" spans="2:2">
      <c r="B8589" s="36"/>
    </row>
    <row r="8590" spans="2:2">
      <c r="B8590" s="36"/>
    </row>
    <row r="8591" spans="2:2">
      <c r="B8591" s="36"/>
    </row>
    <row r="8592" spans="2:2">
      <c r="B8592" s="36"/>
    </row>
    <row r="8593" spans="2:2">
      <c r="B8593" s="36"/>
    </row>
    <row r="8594" spans="2:2">
      <c r="B8594" s="36"/>
    </row>
    <row r="8595" spans="2:2">
      <c r="B8595" s="36"/>
    </row>
    <row r="8596" spans="2:2">
      <c r="B8596" s="36"/>
    </row>
    <row r="8597" spans="2:2">
      <c r="B8597" s="36"/>
    </row>
    <row r="8598" spans="2:2">
      <c r="B8598" s="36"/>
    </row>
    <row r="8599" spans="2:2">
      <c r="B8599" s="36"/>
    </row>
    <row r="8600" spans="2:2">
      <c r="B8600" s="36"/>
    </row>
    <row r="8601" spans="2:2">
      <c r="B8601" s="36"/>
    </row>
    <row r="8602" spans="2:2">
      <c r="B8602" s="36"/>
    </row>
    <row r="8603" spans="2:2">
      <c r="B8603" s="36"/>
    </row>
    <row r="8604" spans="2:2">
      <c r="B8604" s="36"/>
    </row>
    <row r="8605" spans="2:2">
      <c r="B8605" s="36"/>
    </row>
    <row r="8606" spans="2:2">
      <c r="B8606" s="36"/>
    </row>
    <row r="8607" spans="2:2">
      <c r="B8607" s="36"/>
    </row>
    <row r="8608" spans="2:2">
      <c r="B8608" s="36"/>
    </row>
    <row r="8609" spans="2:2">
      <c r="B8609" s="36"/>
    </row>
    <row r="8610" spans="2:2">
      <c r="B8610" s="36"/>
    </row>
    <row r="8611" spans="2:2">
      <c r="B8611" s="36"/>
    </row>
    <row r="8612" spans="2:2">
      <c r="B8612" s="36"/>
    </row>
    <row r="8613" spans="2:2">
      <c r="B8613" s="36"/>
    </row>
    <row r="8614" spans="2:2">
      <c r="B8614" s="36"/>
    </row>
    <row r="8615" spans="2:2">
      <c r="B8615" s="36"/>
    </row>
    <row r="8616" spans="2:2">
      <c r="B8616" s="36"/>
    </row>
    <row r="8617" spans="2:2">
      <c r="B8617" s="36"/>
    </row>
    <row r="8618" spans="2:2">
      <c r="B8618" s="36"/>
    </row>
    <row r="8619" spans="2:2">
      <c r="B8619" s="36"/>
    </row>
    <row r="8620" spans="2:2">
      <c r="B8620" s="36"/>
    </row>
    <row r="8621" spans="2:2">
      <c r="B8621" s="36"/>
    </row>
    <row r="8622" spans="2:2">
      <c r="B8622" s="36"/>
    </row>
    <row r="8623" spans="2:2">
      <c r="B8623" s="36"/>
    </row>
    <row r="8624" spans="2:2">
      <c r="B8624" s="36"/>
    </row>
    <row r="8625" spans="2:2">
      <c r="B8625" s="36"/>
    </row>
    <row r="8626" spans="2:2">
      <c r="B8626" s="36"/>
    </row>
    <row r="8627" spans="2:2">
      <c r="B8627" s="36"/>
    </row>
    <row r="8628" spans="2:2">
      <c r="B8628" s="36"/>
    </row>
    <row r="8629" spans="2:2">
      <c r="B8629" s="36"/>
    </row>
    <row r="8630" spans="2:2">
      <c r="B8630" s="36"/>
    </row>
    <row r="8631" spans="2:2">
      <c r="B8631" s="36"/>
    </row>
    <row r="8632" spans="2:2">
      <c r="B8632" s="36"/>
    </row>
    <row r="8633" spans="2:2">
      <c r="B8633" s="36"/>
    </row>
    <row r="8634" spans="2:2">
      <c r="B8634" s="36"/>
    </row>
    <row r="8635" spans="2:2">
      <c r="B8635" s="36"/>
    </row>
    <row r="8636" spans="2:2">
      <c r="B8636" s="36"/>
    </row>
    <row r="8637" spans="2:2">
      <c r="B8637" s="36"/>
    </row>
    <row r="8638" spans="2:2">
      <c r="B8638" s="36"/>
    </row>
    <row r="8639" spans="2:2">
      <c r="B8639" s="36"/>
    </row>
    <row r="8640" spans="2:2">
      <c r="B8640" s="36"/>
    </row>
    <row r="8641" spans="2:2">
      <c r="B8641" s="36"/>
    </row>
    <row r="8642" spans="2:2">
      <c r="B8642" s="36"/>
    </row>
    <row r="8643" spans="2:2">
      <c r="B8643" s="36"/>
    </row>
    <row r="8644" spans="2:2">
      <c r="B8644" s="36"/>
    </row>
    <row r="8645" spans="2:2">
      <c r="B8645" s="36"/>
    </row>
    <row r="8646" spans="2:2">
      <c r="B8646" s="36"/>
    </row>
    <row r="8647" spans="2:2">
      <c r="B8647" s="36"/>
    </row>
    <row r="8648" spans="2:2">
      <c r="B8648" s="36"/>
    </row>
    <row r="8649" spans="2:2">
      <c r="B8649" s="36"/>
    </row>
    <row r="8650" spans="2:2">
      <c r="B8650" s="36"/>
    </row>
    <row r="8651" spans="2:2">
      <c r="B8651" s="36"/>
    </row>
    <row r="8652" spans="2:2">
      <c r="B8652" s="36"/>
    </row>
    <row r="8653" spans="2:2">
      <c r="B8653" s="36"/>
    </row>
    <row r="8654" spans="2:2">
      <c r="B8654" s="36"/>
    </row>
    <row r="8655" spans="2:2">
      <c r="B8655" s="36"/>
    </row>
    <row r="8656" spans="2:2">
      <c r="B8656" s="36"/>
    </row>
    <row r="8657" spans="2:2">
      <c r="B8657" s="36"/>
    </row>
    <row r="8658" spans="2:2">
      <c r="B8658" s="36"/>
    </row>
    <row r="8659" spans="2:2">
      <c r="B8659" s="36"/>
    </row>
    <row r="8660" spans="2:2">
      <c r="B8660" s="36"/>
    </row>
    <row r="8661" spans="2:2">
      <c r="B8661" s="36"/>
    </row>
    <row r="8662" spans="2:2">
      <c r="B8662" s="36"/>
    </row>
    <row r="8663" spans="2:2">
      <c r="B8663" s="36"/>
    </row>
    <row r="8664" spans="2:2">
      <c r="B8664" s="36"/>
    </row>
    <row r="8665" spans="2:2">
      <c r="B8665" s="36"/>
    </row>
    <row r="8666" spans="2:2">
      <c r="B8666" s="36"/>
    </row>
    <row r="8667" spans="2:2">
      <c r="B8667" s="36"/>
    </row>
    <row r="8668" spans="2:2">
      <c r="B8668" s="36"/>
    </row>
    <row r="8669" spans="2:2">
      <c r="B8669" s="36"/>
    </row>
    <row r="8670" spans="2:2">
      <c r="B8670" s="36"/>
    </row>
    <row r="8671" spans="2:2">
      <c r="B8671" s="36"/>
    </row>
    <row r="8672" spans="2:2">
      <c r="B8672" s="36"/>
    </row>
    <row r="8673" spans="2:2">
      <c r="B8673" s="36"/>
    </row>
    <row r="8674" spans="2:2">
      <c r="B8674" s="36"/>
    </row>
    <row r="8675" spans="2:2">
      <c r="B8675" s="36"/>
    </row>
    <row r="8676" spans="2:2">
      <c r="B8676" s="36"/>
    </row>
    <row r="8677" spans="2:2">
      <c r="B8677" s="36"/>
    </row>
    <row r="8678" spans="2:2">
      <c r="B8678" s="36"/>
    </row>
    <row r="8679" spans="2:2">
      <c r="B8679" s="36"/>
    </row>
    <row r="8680" spans="2:2">
      <c r="B8680" s="36"/>
    </row>
    <row r="8681" spans="2:2">
      <c r="B8681" s="36"/>
    </row>
    <row r="8682" spans="2:2">
      <c r="B8682" s="36"/>
    </row>
    <row r="8683" spans="2:2">
      <c r="B8683" s="36"/>
    </row>
    <row r="8684" spans="2:2">
      <c r="B8684" s="36"/>
    </row>
    <row r="8685" spans="2:2">
      <c r="B8685" s="36"/>
    </row>
    <row r="8686" spans="2:2">
      <c r="B8686" s="36"/>
    </row>
    <row r="8687" spans="2:2">
      <c r="B8687" s="36"/>
    </row>
    <row r="8688" spans="2:2">
      <c r="B8688" s="36"/>
    </row>
    <row r="8689" spans="2:2">
      <c r="B8689" s="36"/>
    </row>
    <row r="8690" spans="2:2">
      <c r="B8690" s="36"/>
    </row>
    <row r="8691" spans="2:2">
      <c r="B8691" s="36"/>
    </row>
    <row r="8692" spans="2:2">
      <c r="B8692" s="36"/>
    </row>
    <row r="8693" spans="2:2">
      <c r="B8693" s="36"/>
    </row>
    <row r="8694" spans="2:2">
      <c r="B8694" s="36"/>
    </row>
    <row r="8695" spans="2:2">
      <c r="B8695" s="36"/>
    </row>
    <row r="8696" spans="2:2">
      <c r="B8696" s="36"/>
    </row>
    <row r="8697" spans="2:2">
      <c r="B8697" s="36"/>
    </row>
    <row r="8698" spans="2:2">
      <c r="B8698" s="36"/>
    </row>
    <row r="8699" spans="2:2">
      <c r="B8699" s="36"/>
    </row>
    <row r="8700" spans="2:2">
      <c r="B8700" s="36"/>
    </row>
    <row r="8701" spans="2:2">
      <c r="B8701" s="36"/>
    </row>
    <row r="8702" spans="2:2">
      <c r="B8702" s="36"/>
    </row>
    <row r="8703" spans="2:2">
      <c r="B8703" s="36"/>
    </row>
    <row r="8704" spans="2:2">
      <c r="B8704" s="36"/>
    </row>
    <row r="8705" spans="2:2">
      <c r="B8705" s="36"/>
    </row>
    <row r="8706" spans="2:2">
      <c r="B8706" s="36"/>
    </row>
    <row r="8707" spans="2:2">
      <c r="B8707" s="36"/>
    </row>
    <row r="8708" spans="2:2">
      <c r="B8708" s="36"/>
    </row>
    <row r="8709" spans="2:2">
      <c r="B8709" s="36"/>
    </row>
    <row r="8710" spans="2:2">
      <c r="B8710" s="36"/>
    </row>
    <row r="8711" spans="2:2">
      <c r="B8711" s="36"/>
    </row>
    <row r="8712" spans="2:2">
      <c r="B8712" s="36"/>
    </row>
    <row r="8713" spans="2:2">
      <c r="B8713" s="36"/>
    </row>
    <row r="8714" spans="2:2">
      <c r="B8714" s="36"/>
    </row>
    <row r="8715" spans="2:2">
      <c r="B8715" s="36"/>
    </row>
    <row r="8716" spans="2:2">
      <c r="B8716" s="36"/>
    </row>
    <row r="8717" spans="2:2">
      <c r="B8717" s="36"/>
    </row>
    <row r="8718" spans="2:2">
      <c r="B8718" s="36"/>
    </row>
    <row r="8719" spans="2:2">
      <c r="B8719" s="36"/>
    </row>
    <row r="8720" spans="2:2">
      <c r="B8720" s="36"/>
    </row>
    <row r="8721" spans="2:2">
      <c r="B8721" s="36"/>
    </row>
    <row r="8722" spans="2:2">
      <c r="B8722" s="36"/>
    </row>
    <row r="8723" spans="2:2">
      <c r="B8723" s="36"/>
    </row>
    <row r="8724" spans="2:2">
      <c r="B8724" s="36"/>
    </row>
    <row r="8725" spans="2:2">
      <c r="B8725" s="36"/>
    </row>
    <row r="8726" spans="2:2">
      <c r="B8726" s="36"/>
    </row>
    <row r="8727" spans="2:2">
      <c r="B8727" s="36"/>
    </row>
    <row r="8728" spans="2:2">
      <c r="B8728" s="36"/>
    </row>
    <row r="8729" spans="2:2">
      <c r="B8729" s="36"/>
    </row>
    <row r="8730" spans="2:2">
      <c r="B8730" s="36"/>
    </row>
    <row r="8731" spans="2:2">
      <c r="B8731" s="36"/>
    </row>
    <row r="8732" spans="2:2">
      <c r="B8732" s="36"/>
    </row>
    <row r="8733" spans="2:2">
      <c r="B8733" s="36"/>
    </row>
    <row r="8734" spans="2:2">
      <c r="B8734" s="36"/>
    </row>
    <row r="8735" spans="2:2">
      <c r="B8735" s="36"/>
    </row>
    <row r="8736" spans="2:2">
      <c r="B8736" s="36"/>
    </row>
    <row r="8737" spans="2:2">
      <c r="B8737" s="36"/>
    </row>
    <row r="8738" spans="2:2">
      <c r="B8738" s="36"/>
    </row>
    <row r="8739" spans="2:2">
      <c r="B8739" s="36"/>
    </row>
    <row r="8740" spans="2:2">
      <c r="B8740" s="36"/>
    </row>
    <row r="8741" spans="2:2">
      <c r="B8741" s="36"/>
    </row>
    <row r="8742" spans="2:2">
      <c r="B8742" s="36"/>
    </row>
    <row r="8743" spans="2:2">
      <c r="B8743" s="36"/>
    </row>
    <row r="8744" spans="2:2">
      <c r="B8744" s="36"/>
    </row>
    <row r="8745" spans="2:2">
      <c r="B8745" s="36"/>
    </row>
    <row r="8746" spans="2:2">
      <c r="B8746" s="36"/>
    </row>
    <row r="8747" spans="2:2">
      <c r="B8747" s="36"/>
    </row>
    <row r="8748" spans="2:2">
      <c r="B8748" s="36"/>
    </row>
    <row r="8749" spans="2:2">
      <c r="B8749" s="36"/>
    </row>
    <row r="8750" spans="2:2">
      <c r="B8750" s="36"/>
    </row>
    <row r="8751" spans="2:2">
      <c r="B8751" s="36"/>
    </row>
    <row r="8752" spans="2:2">
      <c r="B8752" s="36"/>
    </row>
    <row r="8753" spans="2:2">
      <c r="B8753" s="36"/>
    </row>
    <row r="8754" spans="2:2">
      <c r="B8754" s="36"/>
    </row>
    <row r="8755" spans="2:2">
      <c r="B8755" s="36"/>
    </row>
    <row r="8756" spans="2:2">
      <c r="B8756" s="36"/>
    </row>
    <row r="8757" spans="2:2">
      <c r="B8757" s="36"/>
    </row>
    <row r="8758" spans="2:2">
      <c r="B8758" s="36"/>
    </row>
    <row r="8759" spans="2:2">
      <c r="B8759" s="36"/>
    </row>
    <row r="8760" spans="2:2">
      <c r="B8760" s="36"/>
    </row>
    <row r="8761" spans="2:2">
      <c r="B8761" s="36"/>
    </row>
    <row r="8762" spans="2:2">
      <c r="B8762" s="36"/>
    </row>
    <row r="8763" spans="2:2">
      <c r="B8763" s="36"/>
    </row>
    <row r="8764" spans="2:2">
      <c r="B8764" s="36"/>
    </row>
    <row r="8765" spans="2:2">
      <c r="B8765" s="36"/>
    </row>
    <row r="8766" spans="2:2">
      <c r="B8766" s="36"/>
    </row>
    <row r="8767" spans="2:2">
      <c r="B8767" s="36"/>
    </row>
    <row r="8768" spans="2:2">
      <c r="B8768" s="36"/>
    </row>
    <row r="8769" spans="2:2">
      <c r="B8769" s="36"/>
    </row>
    <row r="8770" spans="2:2">
      <c r="B8770" s="36"/>
    </row>
    <row r="8771" spans="2:2">
      <c r="B8771" s="36"/>
    </row>
    <row r="8772" spans="2:2">
      <c r="B8772" s="36"/>
    </row>
    <row r="8773" spans="2:2">
      <c r="B8773" s="36"/>
    </row>
    <row r="8774" spans="2:2">
      <c r="B8774" s="36"/>
    </row>
    <row r="8775" spans="2:2">
      <c r="B8775" s="36"/>
    </row>
    <row r="8776" spans="2:2">
      <c r="B8776" s="36"/>
    </row>
    <row r="8777" spans="2:2">
      <c r="B8777" s="36"/>
    </row>
    <row r="8778" spans="2:2">
      <c r="B8778" s="36"/>
    </row>
    <row r="8779" spans="2:2">
      <c r="B8779" s="36"/>
    </row>
    <row r="8780" spans="2:2">
      <c r="B8780" s="36"/>
    </row>
    <row r="8781" spans="2:2">
      <c r="B8781" s="36"/>
    </row>
    <row r="8782" spans="2:2">
      <c r="B8782" s="36"/>
    </row>
    <row r="8783" spans="2:2">
      <c r="B8783" s="36"/>
    </row>
    <row r="8784" spans="2:2">
      <c r="B8784" s="36"/>
    </row>
    <row r="8785" spans="2:2">
      <c r="B8785" s="36"/>
    </row>
    <row r="8786" spans="2:2">
      <c r="B8786" s="36"/>
    </row>
    <row r="8787" spans="2:2">
      <c r="B8787" s="36"/>
    </row>
    <row r="8788" spans="2:2">
      <c r="B8788" s="36"/>
    </row>
    <row r="8789" spans="2:2">
      <c r="B8789" s="36"/>
    </row>
    <row r="8790" spans="2:2">
      <c r="B8790" s="36"/>
    </row>
    <row r="8791" spans="2:2">
      <c r="B8791" s="36"/>
    </row>
    <row r="8792" spans="2:2">
      <c r="B8792" s="36"/>
    </row>
    <row r="8793" spans="2:2">
      <c r="B8793" s="36"/>
    </row>
    <row r="8794" spans="2:2">
      <c r="B8794" s="36"/>
    </row>
    <row r="8795" spans="2:2">
      <c r="B8795" s="36"/>
    </row>
    <row r="8796" spans="2:2">
      <c r="B8796" s="36"/>
    </row>
    <row r="8797" spans="2:2">
      <c r="B8797" s="36"/>
    </row>
    <row r="8798" spans="2:2">
      <c r="B8798" s="36"/>
    </row>
    <row r="8799" spans="2:2">
      <c r="B8799" s="36"/>
    </row>
    <row r="8800" spans="2:2">
      <c r="B8800" s="36"/>
    </row>
    <row r="8801" spans="2:2">
      <c r="B8801" s="36"/>
    </row>
    <row r="8802" spans="2:2">
      <c r="B8802" s="36"/>
    </row>
    <row r="8803" spans="2:2">
      <c r="B8803" s="36"/>
    </row>
    <row r="8804" spans="2:2">
      <c r="B8804" s="36"/>
    </row>
    <row r="8805" spans="2:2">
      <c r="B8805" s="36"/>
    </row>
    <row r="8806" spans="2:2">
      <c r="B8806" s="36"/>
    </row>
    <row r="8807" spans="2:2">
      <c r="B8807" s="36"/>
    </row>
    <row r="8808" spans="2:2">
      <c r="B8808" s="36"/>
    </row>
    <row r="8809" spans="2:2">
      <c r="B8809" s="36"/>
    </row>
    <row r="8810" spans="2:2">
      <c r="B8810" s="36"/>
    </row>
    <row r="8811" spans="2:2">
      <c r="B8811" s="36"/>
    </row>
    <row r="8812" spans="2:2">
      <c r="B8812" s="36"/>
    </row>
    <row r="8813" spans="2:2">
      <c r="B8813" s="36"/>
    </row>
    <row r="8814" spans="2:2">
      <c r="B8814" s="36"/>
    </row>
    <row r="8815" spans="2:2">
      <c r="B8815" s="36"/>
    </row>
    <row r="8816" spans="2:2">
      <c r="B8816" s="36"/>
    </row>
    <row r="8817" spans="2:2">
      <c r="B8817" s="36"/>
    </row>
    <row r="8818" spans="2:2">
      <c r="B8818" s="36"/>
    </row>
    <row r="8819" spans="2:2">
      <c r="B8819" s="36"/>
    </row>
    <row r="8820" spans="2:2">
      <c r="B8820" s="36"/>
    </row>
    <row r="8821" spans="2:2">
      <c r="B8821" s="36"/>
    </row>
    <row r="8822" spans="2:2">
      <c r="B8822" s="36"/>
    </row>
    <row r="8823" spans="2:2">
      <c r="B8823" s="36"/>
    </row>
    <row r="8824" spans="2:2">
      <c r="B8824" s="36"/>
    </row>
    <row r="8825" spans="2:2">
      <c r="B8825" s="36"/>
    </row>
    <row r="8826" spans="2:2">
      <c r="B8826" s="36"/>
    </row>
    <row r="8827" spans="2:2">
      <c r="B8827" s="36"/>
    </row>
    <row r="8828" spans="2:2">
      <c r="B8828" s="36"/>
    </row>
    <row r="8829" spans="2:2">
      <c r="B8829" s="36"/>
    </row>
    <row r="8830" spans="2:2">
      <c r="B8830" s="36"/>
    </row>
    <row r="8831" spans="2:2">
      <c r="B8831" s="36"/>
    </row>
    <row r="8832" spans="2:2">
      <c r="B8832" s="36"/>
    </row>
    <row r="8833" spans="2:2">
      <c r="B8833" s="36"/>
    </row>
    <row r="8834" spans="2:2">
      <c r="B8834" s="36"/>
    </row>
    <row r="8835" spans="2:2">
      <c r="B8835" s="36"/>
    </row>
    <row r="8836" spans="2:2">
      <c r="B8836" s="36"/>
    </row>
    <row r="8837" spans="2:2">
      <c r="B8837" s="36"/>
    </row>
    <row r="8838" spans="2:2">
      <c r="B8838" s="36"/>
    </row>
    <row r="8839" spans="2:2">
      <c r="B8839" s="36"/>
    </row>
    <row r="8840" spans="2:2">
      <c r="B8840" s="36"/>
    </row>
    <row r="8841" spans="2:2">
      <c r="B8841" s="36"/>
    </row>
    <row r="8842" spans="2:2">
      <c r="B8842" s="36"/>
    </row>
    <row r="8843" spans="2:2">
      <c r="B8843" s="36"/>
    </row>
    <row r="8844" spans="2:2">
      <c r="B8844" s="36"/>
    </row>
    <row r="8845" spans="2:2">
      <c r="B8845" s="36"/>
    </row>
    <row r="8846" spans="2:2">
      <c r="B8846" s="36"/>
    </row>
    <row r="8847" spans="2:2">
      <c r="B8847" s="36"/>
    </row>
    <row r="8848" spans="2:2">
      <c r="B8848" s="36"/>
    </row>
    <row r="8849" spans="2:2">
      <c r="B8849" s="36"/>
    </row>
    <row r="8850" spans="2:2">
      <c r="B8850" s="36"/>
    </row>
    <row r="8851" spans="2:2">
      <c r="B8851" s="36"/>
    </row>
    <row r="8852" spans="2:2">
      <c r="B8852" s="36"/>
    </row>
    <row r="8853" spans="2:2">
      <c r="B8853" s="36"/>
    </row>
    <row r="8854" spans="2:2">
      <c r="B8854" s="36"/>
    </row>
    <row r="8855" spans="2:2">
      <c r="B8855" s="36"/>
    </row>
    <row r="8856" spans="2:2">
      <c r="B8856" s="36"/>
    </row>
    <row r="8857" spans="2:2">
      <c r="B8857" s="36"/>
    </row>
    <row r="8858" spans="2:2">
      <c r="B8858" s="36"/>
    </row>
    <row r="8859" spans="2:2">
      <c r="B8859" s="36"/>
    </row>
    <row r="8860" spans="2:2">
      <c r="B8860" s="36"/>
    </row>
    <row r="8861" spans="2:2">
      <c r="B8861" s="36"/>
    </row>
    <row r="8862" spans="2:2">
      <c r="B8862" s="36"/>
    </row>
    <row r="8863" spans="2:2">
      <c r="B8863" s="36"/>
    </row>
    <row r="8864" spans="2:2">
      <c r="B8864" s="36"/>
    </row>
    <row r="8865" spans="2:2">
      <c r="B8865" s="36"/>
    </row>
    <row r="8866" spans="2:2">
      <c r="B8866" s="36"/>
    </row>
    <row r="8867" spans="2:2">
      <c r="B8867" s="36"/>
    </row>
    <row r="8868" spans="2:2">
      <c r="B8868" s="36"/>
    </row>
    <row r="8869" spans="2:2">
      <c r="B8869" s="36"/>
    </row>
    <row r="8870" spans="2:2">
      <c r="B8870" s="36"/>
    </row>
    <row r="8871" spans="2:2">
      <c r="B8871" s="36"/>
    </row>
    <row r="8872" spans="2:2">
      <c r="B8872" s="36"/>
    </row>
    <row r="8873" spans="2:2">
      <c r="B8873" s="36"/>
    </row>
    <row r="8874" spans="2:2">
      <c r="B8874" s="36"/>
    </row>
    <row r="8875" spans="2:2">
      <c r="B8875" s="36"/>
    </row>
    <row r="8876" spans="2:2">
      <c r="B8876" s="36"/>
    </row>
    <row r="8877" spans="2:2">
      <c r="B8877" s="36"/>
    </row>
    <row r="8878" spans="2:2">
      <c r="B8878" s="36"/>
    </row>
    <row r="8879" spans="2:2">
      <c r="B8879" s="36"/>
    </row>
    <row r="8880" spans="2:2">
      <c r="B8880" s="36"/>
    </row>
    <row r="8881" spans="2:2">
      <c r="B8881" s="36"/>
    </row>
    <row r="8882" spans="2:2">
      <c r="B8882" s="36"/>
    </row>
    <row r="8883" spans="2:2">
      <c r="B8883" s="36"/>
    </row>
    <row r="8884" spans="2:2">
      <c r="B8884" s="36"/>
    </row>
    <row r="8885" spans="2:2">
      <c r="B8885" s="36"/>
    </row>
    <row r="8886" spans="2:2">
      <c r="B8886" s="36"/>
    </row>
    <row r="8887" spans="2:2">
      <c r="B8887" s="36"/>
    </row>
    <row r="8888" spans="2:2">
      <c r="B8888" s="36"/>
    </row>
    <row r="8889" spans="2:2">
      <c r="B8889" s="36"/>
    </row>
    <row r="8890" spans="2:2">
      <c r="B8890" s="36"/>
    </row>
    <row r="8891" spans="2:2">
      <c r="B8891" s="36"/>
    </row>
    <row r="8892" spans="2:2">
      <c r="B8892" s="36"/>
    </row>
    <row r="8893" spans="2:2">
      <c r="B8893" s="36"/>
    </row>
    <row r="8894" spans="2:2">
      <c r="B8894" s="36"/>
    </row>
    <row r="8895" spans="2:2">
      <c r="B8895" s="36"/>
    </row>
    <row r="8896" spans="2:2">
      <c r="B8896" s="36"/>
    </row>
    <row r="8897" spans="2:2">
      <c r="B8897" s="36"/>
    </row>
    <row r="8898" spans="2:2">
      <c r="B8898" s="36"/>
    </row>
    <row r="8899" spans="2:2">
      <c r="B8899" s="36"/>
    </row>
    <row r="8900" spans="2:2">
      <c r="B8900" s="36"/>
    </row>
    <row r="8901" spans="2:2">
      <c r="B8901" s="36"/>
    </row>
    <row r="8902" spans="2:2">
      <c r="B8902" s="36"/>
    </row>
    <row r="8903" spans="2:2">
      <c r="B8903" s="36"/>
    </row>
    <row r="8904" spans="2:2">
      <c r="B8904" s="36"/>
    </row>
    <row r="8905" spans="2:2">
      <c r="B8905" s="36"/>
    </row>
    <row r="8906" spans="2:2">
      <c r="B8906" s="36"/>
    </row>
    <row r="8907" spans="2:2">
      <c r="B8907" s="36"/>
    </row>
    <row r="8908" spans="2:2">
      <c r="B8908" s="36"/>
    </row>
    <row r="8909" spans="2:2">
      <c r="B8909" s="36"/>
    </row>
    <row r="8910" spans="2:2">
      <c r="B8910" s="36"/>
    </row>
    <row r="8911" spans="2:2">
      <c r="B8911" s="36"/>
    </row>
    <row r="8912" spans="2:2">
      <c r="B8912" s="36"/>
    </row>
    <row r="8913" spans="2:2">
      <c r="B8913" s="36"/>
    </row>
    <row r="8914" spans="2:2">
      <c r="B8914" s="36"/>
    </row>
    <row r="8915" spans="2:2">
      <c r="B8915" s="36"/>
    </row>
    <row r="8916" spans="2:2">
      <c r="B8916" s="36"/>
    </row>
    <row r="8917" spans="2:2">
      <c r="B8917" s="36"/>
    </row>
    <row r="8918" spans="2:2">
      <c r="B8918" s="36"/>
    </row>
    <row r="8919" spans="2:2">
      <c r="B8919" s="36"/>
    </row>
    <row r="8920" spans="2:2">
      <c r="B8920" s="36"/>
    </row>
    <row r="8921" spans="2:2">
      <c r="B8921" s="36"/>
    </row>
    <row r="8922" spans="2:2">
      <c r="B8922" s="36"/>
    </row>
    <row r="8923" spans="2:2">
      <c r="B8923" s="36"/>
    </row>
    <row r="8924" spans="2:2">
      <c r="B8924" s="36"/>
    </row>
    <row r="8925" spans="2:2">
      <c r="B8925" s="36"/>
    </row>
    <row r="8926" spans="2:2">
      <c r="B8926" s="36"/>
    </row>
    <row r="8927" spans="2:2">
      <c r="B8927" s="36"/>
    </row>
    <row r="8928" spans="2:2">
      <c r="B8928" s="36"/>
    </row>
    <row r="8929" spans="2:2">
      <c r="B8929" s="36"/>
    </row>
    <row r="8930" spans="2:2">
      <c r="B8930" s="36"/>
    </row>
    <row r="8931" spans="2:2">
      <c r="B8931" s="36"/>
    </row>
    <row r="8932" spans="2:2">
      <c r="B8932" s="36"/>
    </row>
    <row r="8933" spans="2:2">
      <c r="B8933" s="36"/>
    </row>
    <row r="8934" spans="2:2">
      <c r="B8934" s="36"/>
    </row>
    <row r="8935" spans="2:2">
      <c r="B8935" s="36"/>
    </row>
    <row r="8936" spans="2:2">
      <c r="B8936" s="36"/>
    </row>
    <row r="8937" spans="2:2">
      <c r="B8937" s="36"/>
    </row>
    <row r="8938" spans="2:2">
      <c r="B8938" s="36"/>
    </row>
    <row r="8939" spans="2:2">
      <c r="B8939" s="36"/>
    </row>
    <row r="8940" spans="2:2">
      <c r="B8940" s="36"/>
    </row>
    <row r="8941" spans="2:2">
      <c r="B8941" s="36"/>
    </row>
    <row r="8942" spans="2:2">
      <c r="B8942" s="36"/>
    </row>
    <row r="8943" spans="2:2">
      <c r="B8943" s="36"/>
    </row>
    <row r="8944" spans="2:2">
      <c r="B8944" s="36"/>
    </row>
    <row r="8945" spans="2:2">
      <c r="B8945" s="36"/>
    </row>
    <row r="8946" spans="2:2">
      <c r="B8946" s="36"/>
    </row>
    <row r="8947" spans="2:2">
      <c r="B8947" s="36"/>
    </row>
    <row r="8948" spans="2:2">
      <c r="B8948" s="36"/>
    </row>
    <row r="8949" spans="2:2">
      <c r="B8949" s="36"/>
    </row>
    <row r="8950" spans="2:2">
      <c r="B8950" s="36"/>
    </row>
    <row r="8951" spans="2:2">
      <c r="B8951" s="36"/>
    </row>
    <row r="8952" spans="2:2">
      <c r="B8952" s="36"/>
    </row>
    <row r="8953" spans="2:2">
      <c r="B8953" s="36"/>
    </row>
    <row r="8954" spans="2:2">
      <c r="B8954" s="36"/>
    </row>
    <row r="8955" spans="2:2">
      <c r="B8955" s="36"/>
    </row>
    <row r="8956" spans="2:2">
      <c r="B8956" s="36"/>
    </row>
    <row r="8957" spans="2:2">
      <c r="B8957" s="36"/>
    </row>
    <row r="8958" spans="2:2">
      <c r="B8958" s="36"/>
    </row>
    <row r="8959" spans="2:2">
      <c r="B8959" s="36"/>
    </row>
    <row r="8960" spans="2:2">
      <c r="B8960" s="36"/>
    </row>
    <row r="8961" spans="2:2">
      <c r="B8961" s="36"/>
    </row>
    <row r="8962" spans="2:2">
      <c r="B8962" s="36"/>
    </row>
    <row r="8963" spans="2:2">
      <c r="B8963" s="36"/>
    </row>
    <row r="8964" spans="2:2">
      <c r="B8964" s="36"/>
    </row>
    <row r="8965" spans="2:2">
      <c r="B8965" s="36"/>
    </row>
    <row r="8966" spans="2:2">
      <c r="B8966" s="36"/>
    </row>
    <row r="8967" spans="2:2">
      <c r="B8967" s="36"/>
    </row>
    <row r="8968" spans="2:2">
      <c r="B8968" s="36"/>
    </row>
    <row r="8969" spans="2:2">
      <c r="B8969" s="36"/>
    </row>
    <row r="8970" spans="2:2">
      <c r="B8970" s="36"/>
    </row>
    <row r="8971" spans="2:2">
      <c r="B8971" s="36"/>
    </row>
    <row r="8972" spans="2:2">
      <c r="B8972" s="36"/>
    </row>
    <row r="8973" spans="2:2">
      <c r="B8973" s="36"/>
    </row>
    <row r="8974" spans="2:2">
      <c r="B8974" s="36"/>
    </row>
    <row r="8975" spans="2:2">
      <c r="B8975" s="36"/>
    </row>
    <row r="8976" spans="2:2">
      <c r="B8976" s="36"/>
    </row>
    <row r="8977" spans="2:2">
      <c r="B8977" s="36"/>
    </row>
    <row r="8978" spans="2:2">
      <c r="B8978" s="36"/>
    </row>
    <row r="8979" spans="2:2">
      <c r="B8979" s="36"/>
    </row>
    <row r="8980" spans="2:2">
      <c r="B8980" s="36"/>
    </row>
    <row r="8981" spans="2:2">
      <c r="B8981" s="36"/>
    </row>
    <row r="8982" spans="2:2">
      <c r="B8982" s="36"/>
    </row>
    <row r="8983" spans="2:2">
      <c r="B8983" s="36"/>
    </row>
    <row r="8984" spans="2:2">
      <c r="B8984" s="36"/>
    </row>
    <row r="8985" spans="2:2">
      <c r="B8985" s="36"/>
    </row>
    <row r="8986" spans="2:2">
      <c r="B8986" s="36"/>
    </row>
    <row r="8987" spans="2:2">
      <c r="B8987" s="36"/>
    </row>
    <row r="8988" spans="2:2">
      <c r="B8988" s="36"/>
    </row>
    <row r="8989" spans="2:2">
      <c r="B8989" s="36"/>
    </row>
    <row r="8990" spans="2:2">
      <c r="B8990" s="36"/>
    </row>
    <row r="8991" spans="2:2">
      <c r="B8991" s="36"/>
    </row>
    <row r="8992" spans="2:2">
      <c r="B8992" s="36"/>
    </row>
    <row r="8993" spans="2:2">
      <c r="B8993" s="36"/>
    </row>
    <row r="8994" spans="2:2">
      <c r="B8994" s="36"/>
    </row>
    <row r="8995" spans="2:2">
      <c r="B8995" s="36"/>
    </row>
    <row r="8996" spans="2:2">
      <c r="B8996" s="36"/>
    </row>
    <row r="8997" spans="2:2">
      <c r="B8997" s="36"/>
    </row>
    <row r="8998" spans="2:2">
      <c r="B8998" s="36"/>
    </row>
    <row r="8999" spans="2:2">
      <c r="B8999" s="36"/>
    </row>
    <row r="9000" spans="2:2">
      <c r="B9000" s="36"/>
    </row>
    <row r="9001" spans="2:2">
      <c r="B9001" s="36"/>
    </row>
    <row r="9002" spans="2:2">
      <c r="B9002" s="36"/>
    </row>
    <row r="9003" spans="2:2">
      <c r="B9003" s="36"/>
    </row>
    <row r="9004" spans="2:2">
      <c r="B9004" s="36"/>
    </row>
    <row r="9005" spans="2:2">
      <c r="B9005" s="36"/>
    </row>
    <row r="9006" spans="2:2">
      <c r="B9006" s="36"/>
    </row>
    <row r="9007" spans="2:2">
      <c r="B9007" s="36"/>
    </row>
    <row r="9008" spans="2:2">
      <c r="B9008" s="36"/>
    </row>
    <row r="9009" spans="2:2">
      <c r="B9009" s="36"/>
    </row>
    <row r="9010" spans="2:2">
      <c r="B9010" s="36"/>
    </row>
    <row r="9011" spans="2:2">
      <c r="B9011" s="36"/>
    </row>
    <row r="9012" spans="2:2">
      <c r="B9012" s="36"/>
    </row>
    <row r="9013" spans="2:2">
      <c r="B9013" s="36"/>
    </row>
    <row r="9014" spans="2:2">
      <c r="B9014" s="36"/>
    </row>
    <row r="9015" spans="2:2">
      <c r="B9015" s="36"/>
    </row>
    <row r="9016" spans="2:2">
      <c r="B9016" s="36"/>
    </row>
    <row r="9017" spans="2:2">
      <c r="B9017" s="36"/>
    </row>
    <row r="9018" spans="2:2">
      <c r="B9018" s="36"/>
    </row>
    <row r="9019" spans="2:2">
      <c r="B9019" s="36"/>
    </row>
    <row r="9020" spans="2:2">
      <c r="B9020" s="36"/>
    </row>
    <row r="9021" spans="2:2">
      <c r="B9021" s="36"/>
    </row>
    <row r="9022" spans="2:2">
      <c r="B9022" s="36"/>
    </row>
    <row r="9023" spans="2:2">
      <c r="B9023" s="36"/>
    </row>
    <row r="9024" spans="2:2">
      <c r="B9024" s="36"/>
    </row>
    <row r="9025" spans="2:2">
      <c r="B9025" s="36"/>
    </row>
    <row r="9026" spans="2:2">
      <c r="B9026" s="36"/>
    </row>
    <row r="9027" spans="2:2">
      <c r="B9027" s="36"/>
    </row>
    <row r="9028" spans="2:2">
      <c r="B9028" s="36"/>
    </row>
    <row r="9029" spans="2:2">
      <c r="B9029" s="36"/>
    </row>
    <row r="9030" spans="2:2">
      <c r="B9030" s="36"/>
    </row>
    <row r="9031" spans="2:2">
      <c r="B9031" s="36"/>
    </row>
    <row r="9032" spans="2:2">
      <c r="B9032" s="36"/>
    </row>
    <row r="9033" spans="2:2">
      <c r="B9033" s="36"/>
    </row>
    <row r="9034" spans="2:2">
      <c r="B9034" s="36"/>
    </row>
    <row r="9035" spans="2:2">
      <c r="B9035" s="36"/>
    </row>
    <row r="9036" spans="2:2">
      <c r="B9036" s="36"/>
    </row>
    <row r="9037" spans="2:2">
      <c r="B9037" s="36"/>
    </row>
    <row r="9038" spans="2:2">
      <c r="B9038" s="36"/>
    </row>
    <row r="9039" spans="2:2">
      <c r="B9039" s="36"/>
    </row>
    <row r="9040" spans="2:2">
      <c r="B9040" s="36"/>
    </row>
    <row r="9041" spans="2:2">
      <c r="B9041" s="36"/>
    </row>
    <row r="9042" spans="2:2">
      <c r="B9042" s="36"/>
    </row>
    <row r="9043" spans="2:2">
      <c r="B9043" s="36"/>
    </row>
    <row r="9044" spans="2:2">
      <c r="B9044" s="36"/>
    </row>
    <row r="9045" spans="2:2">
      <c r="B9045" s="36"/>
    </row>
    <row r="9046" spans="2:2">
      <c r="B9046" s="36"/>
    </row>
    <row r="9047" spans="2:2">
      <c r="B9047" s="36"/>
    </row>
    <row r="9048" spans="2:2">
      <c r="B9048" s="36"/>
    </row>
    <row r="9049" spans="2:2">
      <c r="B9049" s="36"/>
    </row>
    <row r="9050" spans="2:2">
      <c r="B9050" s="36"/>
    </row>
    <row r="9051" spans="2:2">
      <c r="B9051" s="36"/>
    </row>
    <row r="9052" spans="2:2">
      <c r="B9052" s="36"/>
    </row>
    <row r="9053" spans="2:2">
      <c r="B9053" s="36"/>
    </row>
    <row r="9054" spans="2:2">
      <c r="B9054" s="36"/>
    </row>
    <row r="9055" spans="2:2">
      <c r="B9055" s="36"/>
    </row>
    <row r="9056" spans="2:2">
      <c r="B9056" s="36"/>
    </row>
    <row r="9057" spans="2:2">
      <c r="B9057" s="36"/>
    </row>
    <row r="9058" spans="2:2">
      <c r="B9058" s="36"/>
    </row>
    <row r="9059" spans="2:2">
      <c r="B9059" s="36"/>
    </row>
    <row r="9060" spans="2:2">
      <c r="B9060" s="36"/>
    </row>
    <row r="9061" spans="2:2">
      <c r="B9061" s="36"/>
    </row>
    <row r="9062" spans="2:2">
      <c r="B9062" s="36"/>
    </row>
    <row r="9063" spans="2:2">
      <c r="B9063" s="36"/>
    </row>
    <row r="9064" spans="2:2">
      <c r="B9064" s="36"/>
    </row>
    <row r="9065" spans="2:2">
      <c r="B9065" s="36"/>
    </row>
    <row r="9066" spans="2:2">
      <c r="B9066" s="36"/>
    </row>
    <row r="9067" spans="2:2">
      <c r="B9067" s="36"/>
    </row>
    <row r="9068" spans="2:2">
      <c r="B9068" s="36"/>
    </row>
    <row r="9069" spans="2:2">
      <c r="B9069" s="36"/>
    </row>
    <row r="9070" spans="2:2">
      <c r="B9070" s="36"/>
    </row>
    <row r="9071" spans="2:2">
      <c r="B9071" s="36"/>
    </row>
    <row r="9072" spans="2:2">
      <c r="B9072" s="36"/>
    </row>
    <row r="9073" spans="2:2">
      <c r="B9073" s="36"/>
    </row>
    <row r="9074" spans="2:2">
      <c r="B9074" s="36"/>
    </row>
    <row r="9075" spans="2:2">
      <c r="B9075" s="36"/>
    </row>
    <row r="9076" spans="2:2">
      <c r="B9076" s="36"/>
    </row>
    <row r="9077" spans="2:2">
      <c r="B9077" s="36"/>
    </row>
    <row r="9078" spans="2:2">
      <c r="B9078" s="36"/>
    </row>
    <row r="9079" spans="2:2">
      <c r="B9079" s="36"/>
    </row>
    <row r="9080" spans="2:2">
      <c r="B9080" s="36"/>
    </row>
    <row r="9081" spans="2:2">
      <c r="B9081" s="36"/>
    </row>
    <row r="9082" spans="2:2">
      <c r="B9082" s="36"/>
    </row>
    <row r="9083" spans="2:2">
      <c r="B9083" s="36"/>
    </row>
    <row r="9084" spans="2:2">
      <c r="B9084" s="36"/>
    </row>
    <row r="9085" spans="2:2">
      <c r="B9085" s="36"/>
    </row>
    <row r="9086" spans="2:2">
      <c r="B9086" s="36"/>
    </row>
    <row r="9087" spans="2:2">
      <c r="B9087" s="36"/>
    </row>
    <row r="9088" spans="2:2">
      <c r="B9088" s="36"/>
    </row>
    <row r="9089" spans="2:2">
      <c r="B9089" s="36"/>
    </row>
    <row r="9090" spans="2:2">
      <c r="B9090" s="36"/>
    </row>
    <row r="9091" spans="2:2">
      <c r="B9091" s="36"/>
    </row>
    <row r="9092" spans="2:2">
      <c r="B9092" s="36"/>
    </row>
    <row r="9093" spans="2:2">
      <c r="B9093" s="36"/>
    </row>
    <row r="9094" spans="2:2">
      <c r="B9094" s="36"/>
    </row>
    <row r="9095" spans="2:2">
      <c r="B9095" s="36"/>
    </row>
    <row r="9096" spans="2:2">
      <c r="B9096" s="36"/>
    </row>
    <row r="9097" spans="2:2">
      <c r="B9097" s="36"/>
    </row>
    <row r="9098" spans="2:2">
      <c r="B9098" s="36"/>
    </row>
    <row r="9099" spans="2:2">
      <c r="B9099" s="36"/>
    </row>
    <row r="9100" spans="2:2">
      <c r="B9100" s="36"/>
    </row>
    <row r="9101" spans="2:2">
      <c r="B9101" s="36"/>
    </row>
    <row r="9102" spans="2:2">
      <c r="B9102" s="36"/>
    </row>
    <row r="9103" spans="2:2">
      <c r="B9103" s="36"/>
    </row>
    <row r="9104" spans="2:2">
      <c r="B9104" s="36"/>
    </row>
    <row r="9105" spans="2:2">
      <c r="B9105" s="36"/>
    </row>
    <row r="9106" spans="2:2">
      <c r="B9106" s="36"/>
    </row>
    <row r="9107" spans="2:2">
      <c r="B9107" s="36"/>
    </row>
    <row r="9108" spans="2:2">
      <c r="B9108" s="36"/>
    </row>
    <row r="9109" spans="2:2">
      <c r="B9109" s="36"/>
    </row>
    <row r="9110" spans="2:2">
      <c r="B9110" s="36"/>
    </row>
    <row r="9111" spans="2:2">
      <c r="B9111" s="36"/>
    </row>
    <row r="9112" spans="2:2">
      <c r="B9112" s="36"/>
    </row>
    <row r="9113" spans="2:2">
      <c r="B9113" s="36"/>
    </row>
    <row r="9114" spans="2:2">
      <c r="B9114" s="36"/>
    </row>
    <row r="9115" spans="2:2">
      <c r="B9115" s="36"/>
    </row>
    <row r="9116" spans="2:2">
      <c r="B9116" s="36"/>
    </row>
    <row r="9117" spans="2:2">
      <c r="B9117" s="36"/>
    </row>
    <row r="9118" spans="2:2">
      <c r="B9118" s="36"/>
    </row>
    <row r="9119" spans="2:2">
      <c r="B9119" s="36"/>
    </row>
    <row r="9120" spans="2:2">
      <c r="B9120" s="36"/>
    </row>
    <row r="9121" spans="2:2">
      <c r="B9121" s="36"/>
    </row>
    <row r="9122" spans="2:2">
      <c r="B9122" s="36"/>
    </row>
    <row r="9123" spans="2:2">
      <c r="B9123" s="36"/>
    </row>
    <row r="9124" spans="2:2">
      <c r="B9124" s="36"/>
    </row>
    <row r="9125" spans="2:2">
      <c r="B9125" s="36"/>
    </row>
    <row r="9126" spans="2:2">
      <c r="B9126" s="36"/>
    </row>
    <row r="9127" spans="2:2">
      <c r="B9127" s="36"/>
    </row>
    <row r="9128" spans="2:2">
      <c r="B9128" s="36"/>
    </row>
    <row r="9129" spans="2:2">
      <c r="B9129" s="36"/>
    </row>
    <row r="9130" spans="2:2">
      <c r="B9130" s="36"/>
    </row>
    <row r="9131" spans="2:2">
      <c r="B9131" s="36"/>
    </row>
    <row r="9132" spans="2:2">
      <c r="B9132" s="36"/>
    </row>
    <row r="9133" spans="2:2">
      <c r="B9133" s="36"/>
    </row>
    <row r="9134" spans="2:2">
      <c r="B9134" s="36"/>
    </row>
    <row r="9135" spans="2:2">
      <c r="B9135" s="36"/>
    </row>
    <row r="9136" spans="2:2">
      <c r="B9136" s="36"/>
    </row>
    <row r="9137" spans="2:2">
      <c r="B9137" s="36"/>
    </row>
    <row r="9138" spans="2:2">
      <c r="B9138" s="36"/>
    </row>
    <row r="9139" spans="2:2">
      <c r="B9139" s="36"/>
    </row>
    <row r="9140" spans="2:2">
      <c r="B9140" s="36"/>
    </row>
    <row r="9141" spans="2:2">
      <c r="B9141" s="36"/>
    </row>
    <row r="9142" spans="2:2">
      <c r="B9142" s="36"/>
    </row>
    <row r="9143" spans="2:2">
      <c r="B9143" s="36"/>
    </row>
    <row r="9144" spans="2:2">
      <c r="B9144" s="36"/>
    </row>
    <row r="9145" spans="2:2">
      <c r="B9145" s="36"/>
    </row>
    <row r="9146" spans="2:2">
      <c r="B9146" s="36"/>
    </row>
    <row r="9147" spans="2:2">
      <c r="B9147" s="36"/>
    </row>
    <row r="9148" spans="2:2">
      <c r="B9148" s="36"/>
    </row>
    <row r="9149" spans="2:2">
      <c r="B9149" s="36"/>
    </row>
    <row r="9150" spans="2:2">
      <c r="B9150" s="36"/>
    </row>
    <row r="9151" spans="2:2">
      <c r="B9151" s="36"/>
    </row>
    <row r="9152" spans="2:2">
      <c r="B9152" s="36"/>
    </row>
    <row r="9153" spans="2:2">
      <c r="B9153" s="36"/>
    </row>
    <row r="9154" spans="2:2">
      <c r="B9154" s="36"/>
    </row>
    <row r="9155" spans="2:2">
      <c r="B9155" s="36"/>
    </row>
    <row r="9156" spans="2:2">
      <c r="B9156" s="36"/>
    </row>
    <row r="9157" spans="2:2">
      <c r="B9157" s="36"/>
    </row>
    <row r="9158" spans="2:2">
      <c r="B9158" s="36"/>
    </row>
    <row r="9159" spans="2:2">
      <c r="B9159" s="36"/>
    </row>
    <row r="9160" spans="2:2">
      <c r="B9160" s="36"/>
    </row>
    <row r="9161" spans="2:2">
      <c r="B9161" s="36"/>
    </row>
    <row r="9162" spans="2:2">
      <c r="B9162" s="36"/>
    </row>
    <row r="9163" spans="2:2">
      <c r="B9163" s="36"/>
    </row>
    <row r="9164" spans="2:2">
      <c r="B9164" s="36"/>
    </row>
    <row r="9165" spans="2:2">
      <c r="B9165" s="36"/>
    </row>
    <row r="9166" spans="2:2">
      <c r="B9166" s="36"/>
    </row>
    <row r="9167" spans="2:2">
      <c r="B9167" s="36"/>
    </row>
    <row r="9168" spans="2:2">
      <c r="B9168" s="36"/>
    </row>
    <row r="9169" spans="2:2">
      <c r="B9169" s="36"/>
    </row>
    <row r="9170" spans="2:2">
      <c r="B9170" s="36"/>
    </row>
    <row r="9171" spans="2:2">
      <c r="B9171" s="36"/>
    </row>
    <row r="9172" spans="2:2">
      <c r="B9172" s="36"/>
    </row>
    <row r="9173" spans="2:2">
      <c r="B9173" s="36"/>
    </row>
    <row r="9174" spans="2:2">
      <c r="B9174" s="36"/>
    </row>
    <row r="9175" spans="2:2">
      <c r="B9175" s="36"/>
    </row>
    <row r="9176" spans="2:2">
      <c r="B9176" s="36"/>
    </row>
    <row r="9177" spans="2:2">
      <c r="B9177" s="36"/>
    </row>
    <row r="9178" spans="2:2">
      <c r="B9178" s="36"/>
    </row>
    <row r="9179" spans="2:2">
      <c r="B9179" s="36"/>
    </row>
    <row r="9180" spans="2:2">
      <c r="B9180" s="36"/>
    </row>
    <row r="9181" spans="2:2">
      <c r="B9181" s="36"/>
    </row>
    <row r="9182" spans="2:2">
      <c r="B9182" s="36"/>
    </row>
    <row r="9183" spans="2:2">
      <c r="B9183" s="36"/>
    </row>
    <row r="9184" spans="2:2">
      <c r="B9184" s="36"/>
    </row>
    <row r="9185" spans="2:2">
      <c r="B9185" s="36"/>
    </row>
    <row r="9186" spans="2:2">
      <c r="B9186" s="36"/>
    </row>
    <row r="9187" spans="2:2">
      <c r="B9187" s="36"/>
    </row>
    <row r="9188" spans="2:2">
      <c r="B9188" s="36"/>
    </row>
    <row r="9189" spans="2:2">
      <c r="B9189" s="36"/>
    </row>
    <row r="9190" spans="2:2">
      <c r="B9190" s="36"/>
    </row>
    <row r="9191" spans="2:2">
      <c r="B9191" s="36"/>
    </row>
    <row r="9192" spans="2:2">
      <c r="B9192" s="36"/>
    </row>
    <row r="9193" spans="2:2">
      <c r="B9193" s="36"/>
    </row>
    <row r="9194" spans="2:2">
      <c r="B9194" s="36"/>
    </row>
    <row r="9195" spans="2:2">
      <c r="B9195" s="36"/>
    </row>
    <row r="9196" spans="2:2">
      <c r="B9196" s="36"/>
    </row>
    <row r="9197" spans="2:2">
      <c r="B9197" s="36"/>
    </row>
    <row r="9198" spans="2:2">
      <c r="B9198" s="36"/>
    </row>
    <row r="9199" spans="2:2">
      <c r="B9199" s="36"/>
    </row>
    <row r="9200" spans="2:2">
      <c r="B9200" s="36"/>
    </row>
    <row r="9201" spans="2:2">
      <c r="B9201" s="36"/>
    </row>
    <row r="9202" spans="2:2">
      <c r="B9202" s="36"/>
    </row>
    <row r="9203" spans="2:2">
      <c r="B9203" s="36"/>
    </row>
    <row r="9204" spans="2:2">
      <c r="B9204" s="36"/>
    </row>
    <row r="9205" spans="2:2">
      <c r="B9205" s="36"/>
    </row>
    <row r="9206" spans="2:2">
      <c r="B9206" s="36"/>
    </row>
    <row r="9207" spans="2:2">
      <c r="B9207" s="36"/>
    </row>
    <row r="9208" spans="2:2">
      <c r="B9208" s="36"/>
    </row>
    <row r="9209" spans="2:2">
      <c r="B9209" s="36"/>
    </row>
    <row r="9210" spans="2:2">
      <c r="B9210" s="36"/>
    </row>
    <row r="9211" spans="2:2">
      <c r="B9211" s="36"/>
    </row>
    <row r="9212" spans="2:2">
      <c r="B9212" s="36"/>
    </row>
    <row r="9213" spans="2:2">
      <c r="B9213" s="36"/>
    </row>
    <row r="9214" spans="2:2">
      <c r="B9214" s="36"/>
    </row>
    <row r="9215" spans="2:2">
      <c r="B9215" s="36"/>
    </row>
    <row r="9216" spans="2:2">
      <c r="B9216" s="36"/>
    </row>
    <row r="9217" spans="2:2">
      <c r="B9217" s="36"/>
    </row>
    <row r="9218" spans="2:2">
      <c r="B9218" s="36"/>
    </row>
    <row r="9219" spans="2:2">
      <c r="B9219" s="36"/>
    </row>
    <row r="9220" spans="2:2">
      <c r="B9220" s="36"/>
    </row>
    <row r="9221" spans="2:2">
      <c r="B9221" s="36"/>
    </row>
    <row r="9222" spans="2:2">
      <c r="B9222" s="36"/>
    </row>
    <row r="9223" spans="2:2">
      <c r="B9223" s="36"/>
    </row>
    <row r="9224" spans="2:2">
      <c r="B9224" s="36"/>
    </row>
    <row r="9225" spans="2:2">
      <c r="B9225" s="36"/>
    </row>
    <row r="9226" spans="2:2">
      <c r="B9226" s="36"/>
    </row>
    <row r="9227" spans="2:2">
      <c r="B9227" s="36"/>
    </row>
    <row r="9228" spans="2:2">
      <c r="B9228" s="36"/>
    </row>
    <row r="9229" spans="2:2">
      <c r="B9229" s="36"/>
    </row>
    <row r="9230" spans="2:2">
      <c r="B9230" s="36"/>
    </row>
    <row r="9231" spans="2:2">
      <c r="B9231" s="36"/>
    </row>
    <row r="9232" spans="2:2">
      <c r="B9232" s="36"/>
    </row>
    <row r="9233" spans="2:2">
      <c r="B9233" s="36"/>
    </row>
    <row r="9234" spans="2:2">
      <c r="B9234" s="36"/>
    </row>
    <row r="9235" spans="2:2">
      <c r="B9235" s="36"/>
    </row>
    <row r="9236" spans="2:2">
      <c r="B9236" s="36"/>
    </row>
    <row r="9237" spans="2:2">
      <c r="B9237" s="36"/>
    </row>
    <row r="9238" spans="2:2">
      <c r="B9238" s="36"/>
    </row>
    <row r="9239" spans="2:2">
      <c r="B9239" s="36"/>
    </row>
    <row r="9240" spans="2:2">
      <c r="B9240" s="36"/>
    </row>
    <row r="9241" spans="2:2">
      <c r="B9241" s="36"/>
    </row>
    <row r="9242" spans="2:2">
      <c r="B9242" s="36"/>
    </row>
    <row r="9243" spans="2:2">
      <c r="B9243" s="36"/>
    </row>
    <row r="9244" spans="2:2">
      <c r="B9244" s="36"/>
    </row>
    <row r="9245" spans="2:2">
      <c r="B9245" s="36"/>
    </row>
    <row r="9246" spans="2:2">
      <c r="B9246" s="36"/>
    </row>
    <row r="9247" spans="2:2">
      <c r="B9247" s="36"/>
    </row>
    <row r="9248" spans="2:2">
      <c r="B9248" s="36"/>
    </row>
    <row r="9249" spans="2:2">
      <c r="B9249" s="36"/>
    </row>
    <row r="9250" spans="2:2">
      <c r="B9250" s="36"/>
    </row>
    <row r="9251" spans="2:2">
      <c r="B9251" s="36"/>
    </row>
    <row r="9252" spans="2:2">
      <c r="B9252" s="36"/>
    </row>
    <row r="9253" spans="2:2">
      <c r="B9253" s="36"/>
    </row>
    <row r="9254" spans="2:2">
      <c r="B9254" s="36"/>
    </row>
    <row r="9255" spans="2:2">
      <c r="B9255" s="36"/>
    </row>
    <row r="9256" spans="2:2">
      <c r="B9256" s="36"/>
    </row>
    <row r="9257" spans="2:2">
      <c r="B9257" s="36"/>
    </row>
    <row r="9258" spans="2:2">
      <c r="B9258" s="36"/>
    </row>
    <row r="9259" spans="2:2">
      <c r="B9259" s="36"/>
    </row>
    <row r="9260" spans="2:2">
      <c r="B9260" s="36"/>
    </row>
    <row r="9261" spans="2:2">
      <c r="B9261" s="36"/>
    </row>
    <row r="9262" spans="2:2">
      <c r="B9262" s="36"/>
    </row>
    <row r="9263" spans="2:2">
      <c r="B9263" s="36"/>
    </row>
    <row r="9264" spans="2:2">
      <c r="B9264" s="36"/>
    </row>
    <row r="9265" spans="2:2">
      <c r="B9265" s="36"/>
    </row>
    <row r="9266" spans="2:2">
      <c r="B9266" s="36"/>
    </row>
    <row r="9267" spans="2:2">
      <c r="B9267" s="36"/>
    </row>
    <row r="9268" spans="2:2">
      <c r="B9268" s="36"/>
    </row>
    <row r="9269" spans="2:2">
      <c r="B9269" s="36"/>
    </row>
    <row r="9270" spans="2:2">
      <c r="B9270" s="36"/>
    </row>
    <row r="9271" spans="2:2">
      <c r="B9271" s="36"/>
    </row>
    <row r="9272" spans="2:2">
      <c r="B9272" s="36"/>
    </row>
    <row r="9273" spans="2:2">
      <c r="B9273" s="36"/>
    </row>
    <row r="9274" spans="2:2">
      <c r="B9274" s="36"/>
    </row>
    <row r="9275" spans="2:2">
      <c r="B9275" s="36"/>
    </row>
    <row r="9276" spans="2:2">
      <c r="B9276" s="36"/>
    </row>
    <row r="9277" spans="2:2">
      <c r="B9277" s="36"/>
    </row>
    <row r="9278" spans="2:2">
      <c r="B9278" s="36"/>
    </row>
    <row r="9279" spans="2:2">
      <c r="B9279" s="36"/>
    </row>
    <row r="9280" spans="2:2">
      <c r="B9280" s="36"/>
    </row>
    <row r="9281" spans="2:2">
      <c r="B9281" s="36"/>
    </row>
    <row r="9282" spans="2:2">
      <c r="B9282" s="36"/>
    </row>
    <row r="9283" spans="2:2">
      <c r="B9283" s="36"/>
    </row>
    <row r="9284" spans="2:2">
      <c r="B9284" s="36"/>
    </row>
    <row r="9285" spans="2:2">
      <c r="B9285" s="36"/>
    </row>
    <row r="9286" spans="2:2">
      <c r="B9286" s="36"/>
    </row>
    <row r="9287" spans="2:2">
      <c r="B9287" s="36"/>
    </row>
    <row r="9288" spans="2:2">
      <c r="B9288" s="36"/>
    </row>
    <row r="9289" spans="2:2">
      <c r="B9289" s="36"/>
    </row>
    <row r="9290" spans="2:2">
      <c r="B9290" s="36"/>
    </row>
    <row r="9291" spans="2:2">
      <c r="B9291" s="36"/>
    </row>
    <row r="9292" spans="2:2">
      <c r="B9292" s="36"/>
    </row>
    <row r="9293" spans="2:2">
      <c r="B9293" s="36"/>
    </row>
    <row r="9294" spans="2:2">
      <c r="B9294" s="36"/>
    </row>
    <row r="9295" spans="2:2">
      <c r="B9295" s="36"/>
    </row>
    <row r="9296" spans="2:2">
      <c r="B9296" s="36"/>
    </row>
    <row r="9297" spans="2:2">
      <c r="B9297" s="36"/>
    </row>
    <row r="9298" spans="2:2">
      <c r="B9298" s="36"/>
    </row>
    <row r="9299" spans="2:2">
      <c r="B9299" s="36"/>
    </row>
    <row r="9300" spans="2:2">
      <c r="B9300" s="36"/>
    </row>
    <row r="9301" spans="2:2">
      <c r="B9301" s="36"/>
    </row>
    <row r="9302" spans="2:2">
      <c r="B9302" s="36"/>
    </row>
    <row r="9303" spans="2:2">
      <c r="B9303" s="36"/>
    </row>
    <row r="9304" spans="2:2">
      <c r="B9304" s="36"/>
    </row>
    <row r="9305" spans="2:2">
      <c r="B9305" s="36"/>
    </row>
    <row r="9306" spans="2:2">
      <c r="B9306" s="36"/>
    </row>
    <row r="9307" spans="2:2">
      <c r="B9307" s="36"/>
    </row>
    <row r="9308" spans="2:2">
      <c r="B9308" s="36"/>
    </row>
    <row r="9309" spans="2:2">
      <c r="B9309" s="36"/>
    </row>
    <row r="9310" spans="2:2">
      <c r="B9310" s="36"/>
    </row>
    <row r="9311" spans="2:2">
      <c r="B9311" s="36"/>
    </row>
    <row r="9312" spans="2:2">
      <c r="B9312" s="36"/>
    </row>
    <row r="9313" spans="2:2">
      <c r="B9313" s="36"/>
    </row>
    <row r="9314" spans="2:2">
      <c r="B9314" s="36"/>
    </row>
    <row r="9315" spans="2:2">
      <c r="B9315" s="36"/>
    </row>
    <row r="9316" spans="2:2">
      <c r="B9316" s="36"/>
    </row>
    <row r="9317" spans="2:2">
      <c r="B9317" s="36"/>
    </row>
    <row r="9318" spans="2:2">
      <c r="B9318" s="36"/>
    </row>
    <row r="9319" spans="2:2">
      <c r="B9319" s="36"/>
    </row>
    <row r="9320" spans="2:2">
      <c r="B9320" s="36"/>
    </row>
    <row r="9321" spans="2:2">
      <c r="B9321" s="36"/>
    </row>
    <row r="9322" spans="2:2">
      <c r="B9322" s="36"/>
    </row>
    <row r="9323" spans="2:2">
      <c r="B9323" s="36"/>
    </row>
    <row r="9324" spans="2:2">
      <c r="B9324" s="36"/>
    </row>
    <row r="9325" spans="2:2">
      <c r="B9325" s="36"/>
    </row>
    <row r="9326" spans="2:2">
      <c r="B9326" s="36"/>
    </row>
    <row r="9327" spans="2:2">
      <c r="B9327" s="36"/>
    </row>
    <row r="9328" spans="2:2">
      <c r="B9328" s="36"/>
    </row>
    <row r="9329" spans="2:2">
      <c r="B9329" s="36"/>
    </row>
    <row r="9330" spans="2:2">
      <c r="B9330" s="36"/>
    </row>
    <row r="9331" spans="2:2">
      <c r="B9331" s="36"/>
    </row>
    <row r="9332" spans="2:2">
      <c r="B9332" s="36"/>
    </row>
    <row r="9333" spans="2:2">
      <c r="B9333" s="36"/>
    </row>
    <row r="9334" spans="2:2">
      <c r="B9334" s="36"/>
    </row>
    <row r="9335" spans="2:2">
      <c r="B9335" s="36"/>
    </row>
    <row r="9336" spans="2:2">
      <c r="B9336" s="36"/>
    </row>
    <row r="9337" spans="2:2">
      <c r="B9337" s="36"/>
    </row>
    <row r="9338" spans="2:2">
      <c r="B9338" s="36"/>
    </row>
    <row r="9339" spans="2:2">
      <c r="B9339" s="36"/>
    </row>
    <row r="9340" spans="2:2">
      <c r="B9340" s="36"/>
    </row>
    <row r="9341" spans="2:2">
      <c r="B9341" s="36"/>
    </row>
    <row r="9342" spans="2:2">
      <c r="B9342" s="36"/>
    </row>
    <row r="9343" spans="2:2">
      <c r="B9343" s="36"/>
    </row>
    <row r="9344" spans="2:2">
      <c r="B9344" s="36"/>
    </row>
    <row r="9345" spans="2:2">
      <c r="B9345" s="36"/>
    </row>
    <row r="9346" spans="2:2">
      <c r="B9346" s="36"/>
    </row>
    <row r="9347" spans="2:2">
      <c r="B9347" s="36"/>
    </row>
    <row r="9348" spans="2:2">
      <c r="B9348" s="36"/>
    </row>
    <row r="9349" spans="2:2">
      <c r="B9349" s="36"/>
    </row>
    <row r="9350" spans="2:2">
      <c r="B9350" s="36"/>
    </row>
    <row r="9351" spans="2:2">
      <c r="B9351" s="36"/>
    </row>
    <row r="9352" spans="2:2">
      <c r="B9352" s="36"/>
    </row>
    <row r="9353" spans="2:2">
      <c r="B9353" s="36"/>
    </row>
    <row r="9354" spans="2:2">
      <c r="B9354" s="36"/>
    </row>
    <row r="9355" spans="2:2">
      <c r="B9355" s="36"/>
    </row>
    <row r="9356" spans="2:2">
      <c r="B9356" s="36"/>
    </row>
    <row r="9357" spans="2:2">
      <c r="B9357" s="36"/>
    </row>
    <row r="9358" spans="2:2">
      <c r="B9358" s="36"/>
    </row>
    <row r="9359" spans="2:2">
      <c r="B9359" s="36"/>
    </row>
    <row r="9360" spans="2:2">
      <c r="B9360" s="36"/>
    </row>
    <row r="9361" spans="2:2">
      <c r="B9361" s="36"/>
    </row>
    <row r="9362" spans="2:2">
      <c r="B9362" s="36"/>
    </row>
    <row r="9363" spans="2:2">
      <c r="B9363" s="36"/>
    </row>
    <row r="9364" spans="2:2">
      <c r="B9364" s="36"/>
    </row>
    <row r="9365" spans="2:2">
      <c r="B9365" s="36"/>
    </row>
    <row r="9366" spans="2:2">
      <c r="B9366" s="36"/>
    </row>
    <row r="9367" spans="2:2">
      <c r="B9367" s="36"/>
    </row>
    <row r="9368" spans="2:2">
      <c r="B9368" s="36"/>
    </row>
    <row r="9369" spans="2:2">
      <c r="B9369" s="36"/>
    </row>
    <row r="9370" spans="2:2">
      <c r="B9370" s="36"/>
    </row>
    <row r="9371" spans="2:2">
      <c r="B9371" s="36"/>
    </row>
    <row r="9372" spans="2:2">
      <c r="B9372" s="36"/>
    </row>
    <row r="9373" spans="2:2">
      <c r="B9373" s="36"/>
    </row>
    <row r="9374" spans="2:2">
      <c r="B9374" s="36"/>
    </row>
    <row r="9375" spans="2:2">
      <c r="B9375" s="36"/>
    </row>
    <row r="9376" spans="2:2">
      <c r="B9376" s="36"/>
    </row>
    <row r="9377" spans="2:2">
      <c r="B9377" s="36"/>
    </row>
    <row r="9378" spans="2:2">
      <c r="B9378" s="36"/>
    </row>
    <row r="9379" spans="2:2">
      <c r="B9379" s="36"/>
    </row>
    <row r="9380" spans="2:2">
      <c r="B9380" s="36"/>
    </row>
    <row r="9381" spans="2:2">
      <c r="B9381" s="36"/>
    </row>
    <row r="9382" spans="2:2">
      <c r="B9382" s="36"/>
    </row>
    <row r="9383" spans="2:2">
      <c r="B9383" s="36"/>
    </row>
    <row r="9384" spans="2:2">
      <c r="B9384" s="36"/>
    </row>
    <row r="9385" spans="2:2">
      <c r="B9385" s="36"/>
    </row>
    <row r="9386" spans="2:2">
      <c r="B9386" s="36"/>
    </row>
    <row r="9387" spans="2:2">
      <c r="B9387" s="36"/>
    </row>
    <row r="9388" spans="2:2">
      <c r="B9388" s="36"/>
    </row>
    <row r="9389" spans="2:2">
      <c r="B9389" s="36"/>
    </row>
    <row r="9390" spans="2:2">
      <c r="B9390" s="36"/>
    </row>
    <row r="9391" spans="2:2">
      <c r="B9391" s="36"/>
    </row>
    <row r="9392" spans="2:2">
      <c r="B9392" s="36"/>
    </row>
    <row r="9393" spans="2:2">
      <c r="B9393" s="36"/>
    </row>
    <row r="9394" spans="2:2">
      <c r="B9394" s="36"/>
    </row>
    <row r="9395" spans="2:2">
      <c r="B9395" s="36"/>
    </row>
    <row r="9396" spans="2:2">
      <c r="B9396" s="36"/>
    </row>
    <row r="9397" spans="2:2">
      <c r="B9397" s="36"/>
    </row>
    <row r="9398" spans="2:2">
      <c r="B9398" s="36"/>
    </row>
    <row r="9399" spans="2:2">
      <c r="B9399" s="36"/>
    </row>
    <row r="9400" spans="2:2">
      <c r="B9400" s="36"/>
    </row>
    <row r="9401" spans="2:2">
      <c r="B9401" s="36"/>
    </row>
    <row r="9402" spans="2:2">
      <c r="B9402" s="36"/>
    </row>
    <row r="9403" spans="2:2">
      <c r="B9403" s="36"/>
    </row>
    <row r="9404" spans="2:2">
      <c r="B9404" s="36"/>
    </row>
    <row r="9405" spans="2:2">
      <c r="B9405" s="36"/>
    </row>
    <row r="9406" spans="2:2">
      <c r="B9406" s="36"/>
    </row>
    <row r="9407" spans="2:2">
      <c r="B9407" s="36"/>
    </row>
    <row r="9408" spans="2:2">
      <c r="B9408" s="36"/>
    </row>
    <row r="9409" spans="2:2">
      <c r="B9409" s="36"/>
    </row>
    <row r="9410" spans="2:2">
      <c r="B9410" s="36"/>
    </row>
    <row r="9411" spans="2:2">
      <c r="B9411" s="36"/>
    </row>
    <row r="9412" spans="2:2">
      <c r="B9412" s="36"/>
    </row>
    <row r="9413" spans="2:2">
      <c r="B9413" s="36"/>
    </row>
    <row r="9414" spans="2:2">
      <c r="B9414" s="36"/>
    </row>
    <row r="9415" spans="2:2">
      <c r="B9415" s="36"/>
    </row>
    <row r="9416" spans="2:2">
      <c r="B9416" s="36"/>
    </row>
    <row r="9417" spans="2:2">
      <c r="B9417" s="36"/>
    </row>
    <row r="9418" spans="2:2">
      <c r="B9418" s="36"/>
    </row>
    <row r="9419" spans="2:2">
      <c r="B9419" s="36"/>
    </row>
    <row r="9420" spans="2:2">
      <c r="B9420" s="36"/>
    </row>
    <row r="9421" spans="2:2">
      <c r="B9421" s="36"/>
    </row>
    <row r="9422" spans="2:2">
      <c r="B9422" s="36"/>
    </row>
    <row r="9423" spans="2:2">
      <c r="B9423" s="36"/>
    </row>
    <row r="9424" spans="2:2">
      <c r="B9424" s="36"/>
    </row>
    <row r="9425" spans="2:2">
      <c r="B9425" s="36"/>
    </row>
    <row r="9426" spans="2:2">
      <c r="B9426" s="36"/>
    </row>
    <row r="9427" spans="2:2">
      <c r="B9427" s="36"/>
    </row>
    <row r="9428" spans="2:2">
      <c r="B9428" s="36"/>
    </row>
    <row r="9429" spans="2:2">
      <c r="B9429" s="36"/>
    </row>
    <row r="9430" spans="2:2">
      <c r="B9430" s="36"/>
    </row>
    <row r="9431" spans="2:2">
      <c r="B9431" s="36"/>
    </row>
    <row r="9432" spans="2:2">
      <c r="B9432" s="36"/>
    </row>
    <row r="9433" spans="2:2">
      <c r="B9433" s="36"/>
    </row>
    <row r="9434" spans="2:2">
      <c r="B9434" s="36"/>
    </row>
    <row r="9435" spans="2:2">
      <c r="B9435" s="36"/>
    </row>
    <row r="9436" spans="2:2">
      <c r="B9436" s="36"/>
    </row>
    <row r="9437" spans="2:2">
      <c r="B9437" s="36"/>
    </row>
    <row r="9438" spans="2:2">
      <c r="B9438" s="36"/>
    </row>
    <row r="9439" spans="2:2">
      <c r="B9439" s="36"/>
    </row>
    <row r="9440" spans="2:2">
      <c r="B9440" s="36"/>
    </row>
    <row r="9441" spans="2:2">
      <c r="B9441" s="36"/>
    </row>
    <row r="9442" spans="2:2">
      <c r="B9442" s="36"/>
    </row>
    <row r="9443" spans="2:2">
      <c r="B9443" s="36"/>
    </row>
    <row r="9444" spans="2:2">
      <c r="B9444" s="36"/>
    </row>
    <row r="9445" spans="2:2">
      <c r="B9445" s="36"/>
    </row>
    <row r="9446" spans="2:2">
      <c r="B9446" s="36"/>
    </row>
    <row r="9447" spans="2:2">
      <c r="B9447" s="36"/>
    </row>
    <row r="9448" spans="2:2">
      <c r="B9448" s="36"/>
    </row>
    <row r="9449" spans="2:2">
      <c r="B9449" s="36"/>
    </row>
    <row r="9450" spans="2:2">
      <c r="B9450" s="36"/>
    </row>
    <row r="9451" spans="2:2">
      <c r="B9451" s="36"/>
    </row>
    <row r="9452" spans="2:2">
      <c r="B9452" s="36"/>
    </row>
    <row r="9453" spans="2:2">
      <c r="B9453" s="36"/>
    </row>
    <row r="9454" spans="2:2">
      <c r="B9454" s="36"/>
    </row>
    <row r="9455" spans="2:2">
      <c r="B9455" s="36"/>
    </row>
    <row r="9456" spans="2:2">
      <c r="B9456" s="36"/>
    </row>
    <row r="9457" spans="2:2">
      <c r="B9457" s="36"/>
    </row>
    <row r="9458" spans="2:2">
      <c r="B9458" s="36"/>
    </row>
    <row r="9459" spans="2:2">
      <c r="B9459" s="36"/>
    </row>
    <row r="9460" spans="2:2">
      <c r="B9460" s="36"/>
    </row>
    <row r="9461" spans="2:2">
      <c r="B9461" s="36"/>
    </row>
    <row r="9462" spans="2:2">
      <c r="B9462" s="36"/>
    </row>
    <row r="9463" spans="2:2">
      <c r="B9463" s="36"/>
    </row>
    <row r="9464" spans="2:2">
      <c r="B9464" s="36"/>
    </row>
    <row r="9465" spans="2:2">
      <c r="B9465" s="36"/>
    </row>
    <row r="9466" spans="2:2">
      <c r="B9466" s="36"/>
    </row>
    <row r="9467" spans="2:2">
      <c r="B9467" s="36"/>
    </row>
    <row r="9468" spans="2:2">
      <c r="B9468" s="36"/>
    </row>
    <row r="9469" spans="2:2">
      <c r="B9469" s="36"/>
    </row>
    <row r="9470" spans="2:2">
      <c r="B9470" s="36"/>
    </row>
    <row r="9471" spans="2:2">
      <c r="B9471" s="36"/>
    </row>
    <row r="9472" spans="2:2">
      <c r="B9472" s="36"/>
    </row>
    <row r="9473" spans="2:2">
      <c r="B9473" s="36"/>
    </row>
    <row r="9474" spans="2:2">
      <c r="B9474" s="36"/>
    </row>
    <row r="9475" spans="2:2">
      <c r="B9475" s="36"/>
    </row>
    <row r="9476" spans="2:2">
      <c r="B9476" s="36"/>
    </row>
    <row r="9477" spans="2:2">
      <c r="B9477" s="36"/>
    </row>
    <row r="9478" spans="2:2">
      <c r="B9478" s="36"/>
    </row>
    <row r="9479" spans="2:2">
      <c r="B9479" s="36"/>
    </row>
    <row r="9480" spans="2:2">
      <c r="B9480" s="36"/>
    </row>
    <row r="9481" spans="2:2">
      <c r="B9481" s="36"/>
    </row>
    <row r="9482" spans="2:2">
      <c r="B9482" s="36"/>
    </row>
    <row r="9483" spans="2:2">
      <c r="B9483" s="36"/>
    </row>
    <row r="9484" spans="2:2">
      <c r="B9484" s="36"/>
    </row>
    <row r="9485" spans="2:2">
      <c r="B9485" s="36"/>
    </row>
    <row r="9486" spans="2:2">
      <c r="B9486" s="36"/>
    </row>
    <row r="9487" spans="2:2">
      <c r="B9487" s="36"/>
    </row>
    <row r="9488" spans="2:2">
      <c r="B9488" s="36"/>
    </row>
    <row r="9489" spans="2:2">
      <c r="B9489" s="36"/>
    </row>
    <row r="9490" spans="2:2">
      <c r="B9490" s="36"/>
    </row>
    <row r="9491" spans="2:2">
      <c r="B9491" s="36"/>
    </row>
    <row r="9492" spans="2:2">
      <c r="B9492" s="36"/>
    </row>
    <row r="9493" spans="2:2">
      <c r="B9493" s="36"/>
    </row>
    <row r="9494" spans="2:2">
      <c r="B9494" s="36"/>
    </row>
    <row r="9495" spans="2:2">
      <c r="B9495" s="36"/>
    </row>
    <row r="9496" spans="2:2">
      <c r="B9496" s="36"/>
    </row>
    <row r="9497" spans="2:2">
      <c r="B9497" s="36"/>
    </row>
    <row r="9498" spans="2:2">
      <c r="B9498" s="36"/>
    </row>
    <row r="9499" spans="2:2">
      <c r="B9499" s="36"/>
    </row>
    <row r="9500" spans="2:2">
      <c r="B9500" s="36"/>
    </row>
    <row r="9501" spans="2:2">
      <c r="B9501" s="36"/>
    </row>
    <row r="9502" spans="2:2">
      <c r="B9502" s="36"/>
    </row>
    <row r="9503" spans="2:2">
      <c r="B9503" s="36"/>
    </row>
    <row r="9504" spans="2:2">
      <c r="B9504" s="36"/>
    </row>
    <row r="9505" spans="2:2">
      <c r="B9505" s="36"/>
    </row>
    <row r="9506" spans="2:2">
      <c r="B9506" s="36"/>
    </row>
    <row r="9507" spans="2:2">
      <c r="B9507" s="36"/>
    </row>
    <row r="9508" spans="2:2">
      <c r="B9508" s="36"/>
    </row>
    <row r="9509" spans="2:2">
      <c r="B9509" s="36"/>
    </row>
    <row r="9510" spans="2:2">
      <c r="B9510" s="36"/>
    </row>
    <row r="9511" spans="2:2">
      <c r="B9511" s="36"/>
    </row>
    <row r="9512" spans="2:2">
      <c r="B9512" s="36"/>
    </row>
    <row r="9513" spans="2:2">
      <c r="B9513" s="36"/>
    </row>
    <row r="9514" spans="2:2">
      <c r="B9514" s="36"/>
    </row>
    <row r="9515" spans="2:2">
      <c r="B9515" s="36"/>
    </row>
    <row r="9516" spans="2:2">
      <c r="B9516" s="36"/>
    </row>
    <row r="9517" spans="2:2">
      <c r="B9517" s="36"/>
    </row>
    <row r="9518" spans="2:2">
      <c r="B9518" s="36"/>
    </row>
    <row r="9519" spans="2:2">
      <c r="B9519" s="36"/>
    </row>
    <row r="9520" spans="2:2">
      <c r="B9520" s="36"/>
    </row>
    <row r="9521" spans="2:2">
      <c r="B9521" s="36"/>
    </row>
    <row r="9522" spans="2:2">
      <c r="B9522" s="36"/>
    </row>
    <row r="9523" spans="2:2">
      <c r="B9523" s="36"/>
    </row>
    <row r="9524" spans="2:2">
      <c r="B9524" s="36"/>
    </row>
    <row r="9525" spans="2:2">
      <c r="B9525" s="36"/>
    </row>
    <row r="9526" spans="2:2">
      <c r="B9526" s="36"/>
    </row>
    <row r="9527" spans="2:2">
      <c r="B9527" s="36"/>
    </row>
    <row r="9528" spans="2:2">
      <c r="B9528" s="36"/>
    </row>
    <row r="9529" spans="2:2">
      <c r="B9529" s="36"/>
    </row>
    <row r="9530" spans="2:2">
      <c r="B9530" s="36"/>
    </row>
    <row r="9531" spans="2:2">
      <c r="B9531" s="36"/>
    </row>
    <row r="9532" spans="2:2">
      <c r="B9532" s="36"/>
    </row>
    <row r="9533" spans="2:2">
      <c r="B9533" s="36"/>
    </row>
    <row r="9534" spans="2:2">
      <c r="B9534" s="36"/>
    </row>
    <row r="9535" spans="2:2">
      <c r="B9535" s="36"/>
    </row>
    <row r="9536" spans="2:2">
      <c r="B9536" s="36"/>
    </row>
    <row r="9537" spans="2:2">
      <c r="B9537" s="36"/>
    </row>
    <row r="9538" spans="2:2">
      <c r="B9538" s="36"/>
    </row>
    <row r="9539" spans="2:2">
      <c r="B9539" s="36"/>
    </row>
    <row r="9540" spans="2:2">
      <c r="B9540" s="36"/>
    </row>
    <row r="9541" spans="2:2">
      <c r="B9541" s="36"/>
    </row>
    <row r="9542" spans="2:2">
      <c r="B9542" s="36"/>
    </row>
    <row r="9543" spans="2:2">
      <c r="B9543" s="36"/>
    </row>
    <row r="9544" spans="2:2">
      <c r="B9544" s="36"/>
    </row>
    <row r="9545" spans="2:2">
      <c r="B9545" s="36"/>
    </row>
    <row r="9546" spans="2:2">
      <c r="B9546" s="36"/>
    </row>
    <row r="9547" spans="2:2">
      <c r="B9547" s="36"/>
    </row>
    <row r="9548" spans="2:2">
      <c r="B9548" s="36"/>
    </row>
    <row r="9549" spans="2:2">
      <c r="B9549" s="36"/>
    </row>
    <row r="9550" spans="2:2">
      <c r="B9550" s="36"/>
    </row>
    <row r="9551" spans="2:2">
      <c r="B9551" s="36"/>
    </row>
    <row r="9552" spans="2:2">
      <c r="B9552" s="36"/>
    </row>
    <row r="9553" spans="2:2">
      <c r="B9553" s="36"/>
    </row>
    <row r="9554" spans="2:2">
      <c r="B9554" s="36"/>
    </row>
    <row r="9555" spans="2:2">
      <c r="B9555" s="36"/>
    </row>
    <row r="9556" spans="2:2">
      <c r="B9556" s="36"/>
    </row>
    <row r="9557" spans="2:2">
      <c r="B9557" s="36"/>
    </row>
    <row r="9558" spans="2:2">
      <c r="B9558" s="36"/>
    </row>
    <row r="9559" spans="2:2">
      <c r="B9559" s="36"/>
    </row>
    <row r="9560" spans="2:2">
      <c r="B9560" s="36"/>
    </row>
    <row r="9561" spans="2:2">
      <c r="B9561" s="36"/>
    </row>
    <row r="9562" spans="2:2">
      <c r="B9562" s="36"/>
    </row>
    <row r="9563" spans="2:2">
      <c r="B9563" s="36"/>
    </row>
    <row r="9564" spans="2:2">
      <c r="B9564" s="36"/>
    </row>
    <row r="9565" spans="2:2">
      <c r="B9565" s="36"/>
    </row>
    <row r="9566" spans="2:2">
      <c r="B9566" s="36"/>
    </row>
    <row r="9567" spans="2:2">
      <c r="B9567" s="36"/>
    </row>
    <row r="9568" spans="2:2">
      <c r="B9568" s="36"/>
    </row>
    <row r="9569" spans="2:2">
      <c r="B9569" s="36"/>
    </row>
    <row r="9570" spans="2:2">
      <c r="B9570" s="36"/>
    </row>
    <row r="9571" spans="2:2">
      <c r="B9571" s="36"/>
    </row>
    <row r="9572" spans="2:2">
      <c r="B9572" s="36"/>
    </row>
    <row r="9573" spans="2:2">
      <c r="B9573" s="36"/>
    </row>
    <row r="9574" spans="2:2">
      <c r="B9574" s="36"/>
    </row>
    <row r="9575" spans="2:2">
      <c r="B9575" s="36"/>
    </row>
    <row r="9576" spans="2:2">
      <c r="B9576" s="36"/>
    </row>
    <row r="9577" spans="2:2">
      <c r="B9577" s="36"/>
    </row>
    <row r="9578" spans="2:2">
      <c r="B9578" s="36"/>
    </row>
    <row r="9579" spans="2:2">
      <c r="B9579" s="36"/>
    </row>
    <row r="9580" spans="2:2">
      <c r="B9580" s="36"/>
    </row>
    <row r="9581" spans="2:2">
      <c r="B9581" s="36"/>
    </row>
    <row r="9582" spans="2:2">
      <c r="B9582" s="36"/>
    </row>
    <row r="9583" spans="2:2">
      <c r="B9583" s="36"/>
    </row>
    <row r="9584" spans="2:2">
      <c r="B9584" s="36"/>
    </row>
    <row r="9585" spans="2:2">
      <c r="B9585" s="36"/>
    </row>
    <row r="9586" spans="2:2">
      <c r="B9586" s="36"/>
    </row>
    <row r="9587" spans="2:2">
      <c r="B9587" s="36"/>
    </row>
    <row r="9588" spans="2:2">
      <c r="B9588" s="36"/>
    </row>
    <row r="9589" spans="2:2">
      <c r="B9589" s="36"/>
    </row>
    <row r="9590" spans="2:2">
      <c r="B9590" s="36"/>
    </row>
    <row r="9591" spans="2:2">
      <c r="B9591" s="36"/>
    </row>
    <row r="9592" spans="2:2">
      <c r="B9592" s="36"/>
    </row>
    <row r="9593" spans="2:2">
      <c r="B9593" s="36"/>
    </row>
    <row r="9594" spans="2:2">
      <c r="B9594" s="36"/>
    </row>
    <row r="9595" spans="2:2">
      <c r="B9595" s="36"/>
    </row>
    <row r="9596" spans="2:2">
      <c r="B9596" s="36"/>
    </row>
    <row r="9597" spans="2:2">
      <c r="B9597" s="36"/>
    </row>
    <row r="9598" spans="2:2">
      <c r="B9598" s="36"/>
    </row>
    <row r="9599" spans="2:2">
      <c r="B9599" s="36"/>
    </row>
    <row r="9600" spans="2:2">
      <c r="B9600" s="36"/>
    </row>
    <row r="9601" spans="2:2">
      <c r="B9601" s="36"/>
    </row>
    <row r="9602" spans="2:2">
      <c r="B9602" s="36"/>
    </row>
    <row r="9603" spans="2:2">
      <c r="B9603" s="36"/>
    </row>
    <row r="9604" spans="2:2">
      <c r="B9604" s="36"/>
    </row>
    <row r="9605" spans="2:2">
      <c r="B9605" s="36"/>
    </row>
    <row r="9606" spans="2:2">
      <c r="B9606" s="36"/>
    </row>
    <row r="9607" spans="2:2">
      <c r="B9607" s="36"/>
    </row>
    <row r="9608" spans="2:2">
      <c r="B9608" s="36"/>
    </row>
    <row r="9609" spans="2:2">
      <c r="B9609" s="36"/>
    </row>
    <row r="9610" spans="2:2">
      <c r="B9610" s="36"/>
    </row>
    <row r="9611" spans="2:2">
      <c r="B9611" s="36"/>
    </row>
    <row r="9612" spans="2:2">
      <c r="B9612" s="36"/>
    </row>
    <row r="9613" spans="2:2">
      <c r="B9613" s="36"/>
    </row>
    <row r="9614" spans="2:2">
      <c r="B9614" s="36"/>
    </row>
    <row r="9615" spans="2:2">
      <c r="B9615" s="36"/>
    </row>
    <row r="9616" spans="2:2">
      <c r="B9616" s="36"/>
    </row>
    <row r="9617" spans="2:2">
      <c r="B9617" s="36"/>
    </row>
    <row r="9618" spans="2:2">
      <c r="B9618" s="36"/>
    </row>
    <row r="9619" spans="2:2">
      <c r="B9619" s="36"/>
    </row>
    <row r="9620" spans="2:2">
      <c r="B9620" s="36"/>
    </row>
    <row r="9621" spans="2:2">
      <c r="B9621" s="36"/>
    </row>
    <row r="9622" spans="2:2">
      <c r="B9622" s="36"/>
    </row>
    <row r="9623" spans="2:2">
      <c r="B9623" s="36"/>
    </row>
    <row r="9624" spans="2:2">
      <c r="B9624" s="36"/>
    </row>
    <row r="9625" spans="2:2">
      <c r="B9625" s="36"/>
    </row>
    <row r="9626" spans="2:2">
      <c r="B9626" s="36"/>
    </row>
    <row r="9627" spans="2:2">
      <c r="B9627" s="36"/>
    </row>
    <row r="9628" spans="2:2">
      <c r="B9628" s="36"/>
    </row>
    <row r="9629" spans="2:2">
      <c r="B9629" s="36"/>
    </row>
    <row r="9630" spans="2:2">
      <c r="B9630" s="36"/>
    </row>
    <row r="9631" spans="2:2">
      <c r="B9631" s="36"/>
    </row>
    <row r="9632" spans="2:2">
      <c r="B9632" s="36"/>
    </row>
    <row r="9633" spans="2:2">
      <c r="B9633" s="36"/>
    </row>
    <row r="9634" spans="2:2">
      <c r="B9634" s="36"/>
    </row>
    <row r="9635" spans="2:2">
      <c r="B9635" s="36"/>
    </row>
    <row r="9636" spans="2:2">
      <c r="B9636" s="36"/>
    </row>
    <row r="9637" spans="2:2">
      <c r="B9637" s="36"/>
    </row>
    <row r="9638" spans="2:2">
      <c r="B9638" s="36"/>
    </row>
    <row r="9639" spans="2:2">
      <c r="B9639" s="36"/>
    </row>
    <row r="9640" spans="2:2">
      <c r="B9640" s="36"/>
    </row>
    <row r="9641" spans="2:2">
      <c r="B9641" s="36"/>
    </row>
    <row r="9642" spans="2:2">
      <c r="B9642" s="36"/>
    </row>
    <row r="9643" spans="2:2">
      <c r="B9643" s="36"/>
    </row>
    <row r="9644" spans="2:2">
      <c r="B9644" s="36"/>
    </row>
    <row r="9645" spans="2:2">
      <c r="B9645" s="36"/>
    </row>
    <row r="9646" spans="2:2">
      <c r="B9646" s="36"/>
    </row>
    <row r="9647" spans="2:2">
      <c r="B9647" s="36"/>
    </row>
    <row r="9648" spans="2:2">
      <c r="B9648" s="36"/>
    </row>
    <row r="9649" spans="2:2">
      <c r="B9649" s="36"/>
    </row>
    <row r="9650" spans="2:2">
      <c r="B9650" s="36"/>
    </row>
    <row r="9651" spans="2:2">
      <c r="B9651" s="36"/>
    </row>
    <row r="9652" spans="2:2">
      <c r="B9652" s="36"/>
    </row>
    <row r="9653" spans="2:2">
      <c r="B9653" s="36"/>
    </row>
    <row r="9654" spans="2:2">
      <c r="B9654" s="36"/>
    </row>
    <row r="9655" spans="2:2">
      <c r="B9655" s="36"/>
    </row>
    <row r="9656" spans="2:2">
      <c r="B9656" s="36"/>
    </row>
    <row r="9657" spans="2:2">
      <c r="B9657" s="36"/>
    </row>
    <row r="9658" spans="2:2">
      <c r="B9658" s="36"/>
    </row>
    <row r="9659" spans="2:2">
      <c r="B9659" s="36"/>
    </row>
    <row r="9660" spans="2:2">
      <c r="B9660" s="36"/>
    </row>
    <row r="9661" spans="2:2">
      <c r="B9661" s="36"/>
    </row>
    <row r="9662" spans="2:2">
      <c r="B9662" s="36"/>
    </row>
    <row r="9663" spans="2:2">
      <c r="B9663" s="36"/>
    </row>
    <row r="9664" spans="2:2">
      <c r="B9664" s="36"/>
    </row>
    <row r="9665" spans="2:2">
      <c r="B9665" s="36"/>
    </row>
    <row r="9666" spans="2:2">
      <c r="B9666" s="36"/>
    </row>
    <row r="9667" spans="2:2">
      <c r="B9667" s="36"/>
    </row>
    <row r="9668" spans="2:2">
      <c r="B9668" s="36"/>
    </row>
    <row r="9669" spans="2:2">
      <c r="B9669" s="36"/>
    </row>
    <row r="9670" spans="2:2">
      <c r="B9670" s="36"/>
    </row>
    <row r="9671" spans="2:2">
      <c r="B9671" s="36"/>
    </row>
    <row r="9672" spans="2:2">
      <c r="B9672" s="36"/>
    </row>
    <row r="9673" spans="2:2">
      <c r="B9673" s="36"/>
    </row>
    <row r="9674" spans="2:2">
      <c r="B9674" s="36"/>
    </row>
    <row r="9675" spans="2:2">
      <c r="B9675" s="36"/>
    </row>
    <row r="9676" spans="2:2">
      <c r="B9676" s="36"/>
    </row>
    <row r="9677" spans="2:2">
      <c r="B9677" s="36"/>
    </row>
    <row r="9678" spans="2:2">
      <c r="B9678" s="36"/>
    </row>
    <row r="9679" spans="2:2">
      <c r="B9679" s="36"/>
    </row>
    <row r="9680" spans="2:2">
      <c r="B9680" s="36"/>
    </row>
    <row r="9681" spans="2:2">
      <c r="B9681" s="36"/>
    </row>
    <row r="9682" spans="2:2">
      <c r="B9682" s="36"/>
    </row>
    <row r="9683" spans="2:2">
      <c r="B9683" s="36"/>
    </row>
    <row r="9684" spans="2:2">
      <c r="B9684" s="36"/>
    </row>
    <row r="9685" spans="2:2">
      <c r="B9685" s="36"/>
    </row>
    <row r="9686" spans="2:2">
      <c r="B9686" s="36"/>
    </row>
    <row r="9687" spans="2:2">
      <c r="B9687" s="36"/>
    </row>
    <row r="9688" spans="2:2">
      <c r="B9688" s="36"/>
    </row>
    <row r="9689" spans="2:2">
      <c r="B9689" s="36"/>
    </row>
    <row r="9690" spans="2:2">
      <c r="B9690" s="36"/>
    </row>
    <row r="9691" spans="2:2">
      <c r="B9691" s="36"/>
    </row>
    <row r="9692" spans="2:2">
      <c r="B9692" s="36"/>
    </row>
    <row r="9693" spans="2:2">
      <c r="B9693" s="36"/>
    </row>
    <row r="9694" spans="2:2">
      <c r="B9694" s="36"/>
    </row>
    <row r="9695" spans="2:2">
      <c r="B9695" s="36"/>
    </row>
    <row r="9696" spans="2:2">
      <c r="B9696" s="36"/>
    </row>
    <row r="9697" spans="2:2">
      <c r="B9697" s="36"/>
    </row>
    <row r="9698" spans="2:2">
      <c r="B9698" s="36"/>
    </row>
    <row r="9699" spans="2:2">
      <c r="B9699" s="36"/>
    </row>
    <row r="9700" spans="2:2">
      <c r="B9700" s="36"/>
    </row>
    <row r="9701" spans="2:2">
      <c r="B9701" s="36"/>
    </row>
    <row r="9702" spans="2:2">
      <c r="B9702" s="36"/>
    </row>
    <row r="9703" spans="2:2">
      <c r="B9703" s="36"/>
    </row>
    <row r="9704" spans="2:2">
      <c r="B9704" s="36"/>
    </row>
    <row r="9705" spans="2:2">
      <c r="B9705" s="36"/>
    </row>
    <row r="9706" spans="2:2">
      <c r="B9706" s="36"/>
    </row>
    <row r="9707" spans="2:2">
      <c r="B9707" s="36"/>
    </row>
    <row r="9708" spans="2:2">
      <c r="B9708" s="36"/>
    </row>
    <row r="9709" spans="2:2">
      <c r="B9709" s="36"/>
    </row>
    <row r="9710" spans="2:2">
      <c r="B9710" s="36"/>
    </row>
    <row r="9711" spans="2:2">
      <c r="B9711" s="36"/>
    </row>
    <row r="9712" spans="2:2">
      <c r="B9712" s="36"/>
    </row>
    <row r="9713" spans="2:2">
      <c r="B9713" s="36"/>
    </row>
    <row r="9714" spans="2:2">
      <c r="B9714" s="36"/>
    </row>
    <row r="9715" spans="2:2">
      <c r="B9715" s="36"/>
    </row>
    <row r="9716" spans="2:2">
      <c r="B9716" s="36"/>
    </row>
    <row r="9717" spans="2:2">
      <c r="B9717" s="36"/>
    </row>
    <row r="9718" spans="2:2">
      <c r="B9718" s="36"/>
    </row>
    <row r="9719" spans="2:2">
      <c r="B9719" s="36"/>
    </row>
    <row r="9720" spans="2:2">
      <c r="B9720" s="36"/>
    </row>
    <row r="9721" spans="2:2">
      <c r="B9721" s="36"/>
    </row>
    <row r="9722" spans="2:2">
      <c r="B9722" s="36"/>
    </row>
    <row r="9723" spans="2:2">
      <c r="B9723" s="36"/>
    </row>
    <row r="9724" spans="2:2">
      <c r="B9724" s="36"/>
    </row>
    <row r="9725" spans="2:2">
      <c r="B9725" s="36"/>
    </row>
    <row r="9726" spans="2:2">
      <c r="B9726" s="36"/>
    </row>
    <row r="9727" spans="2:2">
      <c r="B9727" s="36"/>
    </row>
    <row r="9728" spans="2:2">
      <c r="B9728" s="36"/>
    </row>
    <row r="9729" spans="2:2">
      <c r="B9729" s="36"/>
    </row>
    <row r="9730" spans="2:2">
      <c r="B9730" s="36"/>
    </row>
    <row r="9731" spans="2:2">
      <c r="B9731" s="36"/>
    </row>
    <row r="9732" spans="2:2">
      <c r="B9732" s="36"/>
    </row>
    <row r="9733" spans="2:2">
      <c r="B9733" s="36"/>
    </row>
    <row r="9734" spans="2:2">
      <c r="B9734" s="36"/>
    </row>
    <row r="9735" spans="2:2">
      <c r="B9735" s="36"/>
    </row>
    <row r="9736" spans="2:2">
      <c r="B9736" s="36"/>
    </row>
    <row r="9737" spans="2:2">
      <c r="B9737" s="36"/>
    </row>
    <row r="9738" spans="2:2">
      <c r="B9738" s="36"/>
    </row>
    <row r="9739" spans="2:2">
      <c r="B9739" s="36"/>
    </row>
    <row r="9740" spans="2:2">
      <c r="B9740" s="36"/>
    </row>
    <row r="9741" spans="2:2">
      <c r="B9741" s="36"/>
    </row>
    <row r="9742" spans="2:2">
      <c r="B9742" s="36"/>
    </row>
    <row r="9743" spans="2:2">
      <c r="B9743" s="36"/>
    </row>
    <row r="9744" spans="2:2">
      <c r="B9744" s="36"/>
    </row>
    <row r="9745" spans="2:2">
      <c r="B9745" s="36"/>
    </row>
    <row r="9746" spans="2:2">
      <c r="B9746" s="36"/>
    </row>
    <row r="9747" spans="2:2">
      <c r="B9747" s="36"/>
    </row>
    <row r="9748" spans="2:2">
      <c r="B9748" s="36"/>
    </row>
    <row r="9749" spans="2:2">
      <c r="B9749" s="36"/>
    </row>
    <row r="9750" spans="2:2">
      <c r="B9750" s="36"/>
    </row>
    <row r="9751" spans="2:2">
      <c r="B9751" s="36"/>
    </row>
    <row r="9752" spans="2:2">
      <c r="B9752" s="36"/>
    </row>
    <row r="9753" spans="2:2">
      <c r="B9753" s="36"/>
    </row>
    <row r="9754" spans="2:2">
      <c r="B9754" s="36"/>
    </row>
    <row r="9755" spans="2:2">
      <c r="B9755" s="36"/>
    </row>
    <row r="9756" spans="2:2">
      <c r="B9756" s="36"/>
    </row>
    <row r="9757" spans="2:2">
      <c r="B9757" s="36"/>
    </row>
    <row r="9758" spans="2:2">
      <c r="B9758" s="36"/>
    </row>
    <row r="9759" spans="2:2">
      <c r="B9759" s="36"/>
    </row>
    <row r="9760" spans="2:2">
      <c r="B9760" s="36"/>
    </row>
    <row r="9761" spans="2:2">
      <c r="B9761" s="36"/>
    </row>
    <row r="9762" spans="2:2">
      <c r="B9762" s="36"/>
    </row>
    <row r="9763" spans="2:2">
      <c r="B9763" s="36"/>
    </row>
    <row r="9764" spans="2:2">
      <c r="B9764" s="36"/>
    </row>
    <row r="9765" spans="2:2">
      <c r="B9765" s="36"/>
    </row>
    <row r="9766" spans="2:2">
      <c r="B9766" s="36"/>
    </row>
    <row r="9767" spans="2:2">
      <c r="B9767" s="36"/>
    </row>
    <row r="9768" spans="2:2">
      <c r="B9768" s="36"/>
    </row>
    <row r="9769" spans="2:2">
      <c r="B9769" s="36"/>
    </row>
    <row r="9770" spans="2:2">
      <c r="B9770" s="36"/>
    </row>
    <row r="9771" spans="2:2">
      <c r="B9771" s="36"/>
    </row>
    <row r="9772" spans="2:2">
      <c r="B9772" s="36"/>
    </row>
    <row r="9773" spans="2:2">
      <c r="B9773" s="36"/>
    </row>
    <row r="9774" spans="2:2">
      <c r="B9774" s="36"/>
    </row>
    <row r="9775" spans="2:2">
      <c r="B9775" s="36"/>
    </row>
    <row r="9776" spans="2:2">
      <c r="B9776" s="36"/>
    </row>
    <row r="9777" spans="2:2">
      <c r="B9777" s="36"/>
    </row>
    <row r="9778" spans="2:2">
      <c r="B9778" s="36"/>
    </row>
    <row r="9779" spans="2:2">
      <c r="B9779" s="36"/>
    </row>
    <row r="9780" spans="2:2">
      <c r="B9780" s="36"/>
    </row>
    <row r="9781" spans="2:2">
      <c r="B9781" s="36"/>
    </row>
    <row r="9782" spans="2:2">
      <c r="B9782" s="36"/>
    </row>
    <row r="9783" spans="2:2">
      <c r="B9783" s="36"/>
    </row>
    <row r="9784" spans="2:2">
      <c r="B9784" s="36"/>
    </row>
    <row r="9785" spans="2:2">
      <c r="B9785" s="36"/>
    </row>
    <row r="9786" spans="2:2">
      <c r="B9786" s="36"/>
    </row>
    <row r="9787" spans="2:2">
      <c r="B9787" s="36"/>
    </row>
    <row r="9788" spans="2:2">
      <c r="B9788" s="36"/>
    </row>
    <row r="9789" spans="2:2">
      <c r="B9789" s="36"/>
    </row>
    <row r="9790" spans="2:2">
      <c r="B9790" s="36"/>
    </row>
    <row r="9791" spans="2:2">
      <c r="B9791" s="36"/>
    </row>
    <row r="9792" spans="2:2">
      <c r="B9792" s="36"/>
    </row>
    <row r="9793" spans="2:2">
      <c r="B9793" s="36"/>
    </row>
    <row r="9794" spans="2:2">
      <c r="B9794" s="36"/>
    </row>
    <row r="9795" spans="2:2">
      <c r="B9795" s="36"/>
    </row>
    <row r="9796" spans="2:2">
      <c r="B9796" s="36"/>
    </row>
    <row r="9797" spans="2:2">
      <c r="B9797" s="36"/>
    </row>
    <row r="9798" spans="2:2">
      <c r="B9798" s="36"/>
    </row>
    <row r="9799" spans="2:2">
      <c r="B9799" s="36"/>
    </row>
    <row r="9800" spans="2:2">
      <c r="B9800" s="36"/>
    </row>
    <row r="9801" spans="2:2">
      <c r="B9801" s="36"/>
    </row>
    <row r="9802" spans="2:2">
      <c r="B9802" s="36"/>
    </row>
    <row r="9803" spans="2:2">
      <c r="B9803" s="36"/>
    </row>
    <row r="9804" spans="2:2">
      <c r="B9804" s="36"/>
    </row>
    <row r="9805" spans="2:2">
      <c r="B9805" s="36"/>
    </row>
    <row r="9806" spans="2:2">
      <c r="B9806" s="36"/>
    </row>
    <row r="9807" spans="2:2">
      <c r="B9807" s="36"/>
    </row>
    <row r="9808" spans="2:2">
      <c r="B9808" s="36"/>
    </row>
    <row r="9809" spans="2:2">
      <c r="B9809" s="36"/>
    </row>
    <row r="9810" spans="2:2">
      <c r="B9810" s="36"/>
    </row>
    <row r="9811" spans="2:2">
      <c r="B9811" s="36"/>
    </row>
    <row r="9812" spans="2:2">
      <c r="B9812" s="36"/>
    </row>
    <row r="9813" spans="2:2">
      <c r="B9813" s="36"/>
    </row>
    <row r="9814" spans="2:2">
      <c r="B9814" s="36"/>
    </row>
    <row r="9815" spans="2:2">
      <c r="B9815" s="36"/>
    </row>
    <row r="9816" spans="2:2">
      <c r="B9816" s="36"/>
    </row>
    <row r="9817" spans="2:2">
      <c r="B9817" s="36"/>
    </row>
    <row r="9818" spans="2:2">
      <c r="B9818" s="36"/>
    </row>
    <row r="9819" spans="2:2">
      <c r="B9819" s="36"/>
    </row>
    <row r="9820" spans="2:2">
      <c r="B9820" s="36"/>
    </row>
    <row r="9821" spans="2:2">
      <c r="B9821" s="36"/>
    </row>
    <row r="9822" spans="2:2">
      <c r="B9822" s="36"/>
    </row>
    <row r="9823" spans="2:2">
      <c r="B9823" s="36"/>
    </row>
    <row r="9824" spans="2:2">
      <c r="B9824" s="36"/>
    </row>
    <row r="9825" spans="2:2">
      <c r="B9825" s="36"/>
    </row>
    <row r="9826" spans="2:2">
      <c r="B9826" s="36"/>
    </row>
    <row r="9827" spans="2:2">
      <c r="B9827" s="36"/>
    </row>
    <row r="9828" spans="2:2">
      <c r="B9828" s="36"/>
    </row>
    <row r="9829" spans="2:2">
      <c r="B9829" s="36"/>
    </row>
    <row r="9830" spans="2:2">
      <c r="B9830" s="36"/>
    </row>
    <row r="9831" spans="2:2">
      <c r="B9831" s="36"/>
    </row>
    <row r="9832" spans="2:2">
      <c r="B9832" s="36"/>
    </row>
    <row r="9833" spans="2:2">
      <c r="B9833" s="36"/>
    </row>
    <row r="9834" spans="2:2">
      <c r="B9834" s="36"/>
    </row>
    <row r="9835" spans="2:2">
      <c r="B9835" s="36"/>
    </row>
    <row r="9836" spans="2:2">
      <c r="B9836" s="36"/>
    </row>
    <row r="9837" spans="2:2">
      <c r="B9837" s="36"/>
    </row>
    <row r="9838" spans="2:2">
      <c r="B9838" s="36"/>
    </row>
    <row r="9839" spans="2:2">
      <c r="B9839" s="36"/>
    </row>
    <row r="9840" spans="2:2">
      <c r="B9840" s="36"/>
    </row>
    <row r="9841" spans="2:2">
      <c r="B9841" s="36"/>
    </row>
    <row r="9842" spans="2:2">
      <c r="B9842" s="36"/>
    </row>
    <row r="9843" spans="2:2">
      <c r="B9843" s="36"/>
    </row>
    <row r="9844" spans="2:2">
      <c r="B9844" s="36"/>
    </row>
    <row r="9845" spans="2:2">
      <c r="B9845" s="36"/>
    </row>
    <row r="9846" spans="2:2">
      <c r="B9846" s="36"/>
    </row>
    <row r="9847" spans="2:2">
      <c r="B9847" s="36"/>
    </row>
    <row r="9848" spans="2:2">
      <c r="B9848" s="36"/>
    </row>
    <row r="9849" spans="2:2">
      <c r="B9849" s="36"/>
    </row>
    <row r="9850" spans="2:2">
      <c r="B9850" s="36"/>
    </row>
    <row r="9851" spans="2:2">
      <c r="B9851" s="36"/>
    </row>
    <row r="9852" spans="2:2">
      <c r="B9852" s="36"/>
    </row>
    <row r="9853" spans="2:2">
      <c r="B9853" s="36"/>
    </row>
    <row r="9854" spans="2:2">
      <c r="B9854" s="36"/>
    </row>
    <row r="9855" spans="2:2">
      <c r="B9855" s="36"/>
    </row>
    <row r="9856" spans="2:2">
      <c r="B9856" s="36"/>
    </row>
    <row r="9857" spans="2:2">
      <c r="B9857" s="36"/>
    </row>
    <row r="9858" spans="2:2">
      <c r="B9858" s="36"/>
    </row>
    <row r="9859" spans="2:2">
      <c r="B9859" s="36"/>
    </row>
    <row r="9860" spans="2:2">
      <c r="B9860" s="36"/>
    </row>
    <row r="9861" spans="2:2">
      <c r="B9861" s="36"/>
    </row>
    <row r="9862" spans="2:2">
      <c r="B9862" s="36"/>
    </row>
    <row r="9863" spans="2:2">
      <c r="B9863" s="36"/>
    </row>
    <row r="9864" spans="2:2">
      <c r="B9864" s="36"/>
    </row>
    <row r="9865" spans="2:2">
      <c r="B9865" s="36"/>
    </row>
    <row r="9866" spans="2:2">
      <c r="B9866" s="36"/>
    </row>
    <row r="9867" spans="2:2">
      <c r="B9867" s="36"/>
    </row>
    <row r="9868" spans="2:2">
      <c r="B9868" s="36"/>
    </row>
    <row r="9869" spans="2:2">
      <c r="B9869" s="36"/>
    </row>
    <row r="9870" spans="2:2">
      <c r="B9870" s="36"/>
    </row>
    <row r="9871" spans="2:2">
      <c r="B9871" s="36"/>
    </row>
    <row r="9872" spans="2:2">
      <c r="B9872" s="36"/>
    </row>
    <row r="9873" spans="2:2">
      <c r="B9873" s="36"/>
    </row>
    <row r="9874" spans="2:2">
      <c r="B9874" s="36"/>
    </row>
    <row r="9875" spans="2:2">
      <c r="B9875" s="36"/>
    </row>
    <row r="9876" spans="2:2">
      <c r="B9876" s="36"/>
    </row>
    <row r="9877" spans="2:2">
      <c r="B9877" s="36"/>
    </row>
    <row r="9878" spans="2:2">
      <c r="B9878" s="36"/>
    </row>
    <row r="9879" spans="2:2">
      <c r="B9879" s="36"/>
    </row>
    <row r="9880" spans="2:2">
      <c r="B9880" s="36"/>
    </row>
    <row r="9881" spans="2:2">
      <c r="B9881" s="36"/>
    </row>
    <row r="9882" spans="2:2">
      <c r="B9882" s="36"/>
    </row>
    <row r="9883" spans="2:2">
      <c r="B9883" s="36"/>
    </row>
    <row r="9884" spans="2:2">
      <c r="B9884" s="36"/>
    </row>
    <row r="9885" spans="2:2">
      <c r="B9885" s="36"/>
    </row>
    <row r="9886" spans="2:2">
      <c r="B9886" s="36"/>
    </row>
    <row r="9887" spans="2:2">
      <c r="B9887" s="36"/>
    </row>
    <row r="9888" spans="2:2">
      <c r="B9888" s="36"/>
    </row>
    <row r="9889" spans="2:2">
      <c r="B9889" s="36"/>
    </row>
    <row r="9890" spans="2:2">
      <c r="B9890" s="36"/>
    </row>
    <row r="9891" spans="2:2">
      <c r="B9891" s="36"/>
    </row>
    <row r="9892" spans="2:2">
      <c r="B9892" s="36"/>
    </row>
    <row r="9893" spans="2:2">
      <c r="B9893" s="36"/>
    </row>
    <row r="9894" spans="2:2">
      <c r="B9894" s="36"/>
    </row>
    <row r="9895" spans="2:2">
      <c r="B9895" s="36"/>
    </row>
    <row r="9896" spans="2:2">
      <c r="B9896" s="36"/>
    </row>
    <row r="9897" spans="2:2">
      <c r="B9897" s="36"/>
    </row>
    <row r="9898" spans="2:2">
      <c r="B9898" s="36"/>
    </row>
    <row r="9899" spans="2:2">
      <c r="B9899" s="36"/>
    </row>
    <row r="9900" spans="2:2">
      <c r="B9900" s="36"/>
    </row>
    <row r="9901" spans="2:2">
      <c r="B9901" s="36"/>
    </row>
    <row r="9902" spans="2:2">
      <c r="B9902" s="36"/>
    </row>
    <row r="9903" spans="2:2">
      <c r="B9903" s="36"/>
    </row>
    <row r="9904" spans="2:2">
      <c r="B9904" s="36"/>
    </row>
    <row r="9905" spans="2:2">
      <c r="B9905" s="36"/>
    </row>
    <row r="9906" spans="2:2">
      <c r="B9906" s="36"/>
    </row>
    <row r="9907" spans="2:2">
      <c r="B9907" s="36"/>
    </row>
    <row r="9908" spans="2:2">
      <c r="B9908" s="36"/>
    </row>
    <row r="9909" spans="2:2">
      <c r="B9909" s="36"/>
    </row>
    <row r="9910" spans="2:2">
      <c r="B9910" s="36"/>
    </row>
    <row r="9911" spans="2:2">
      <c r="B9911" s="36"/>
    </row>
    <row r="9912" spans="2:2">
      <c r="B9912" s="36"/>
    </row>
    <row r="9913" spans="2:2">
      <c r="B9913" s="36"/>
    </row>
    <row r="9914" spans="2:2">
      <c r="B9914" s="36"/>
    </row>
    <row r="9915" spans="2:2">
      <c r="B9915" s="36"/>
    </row>
    <row r="9916" spans="2:2">
      <c r="B9916" s="36"/>
    </row>
    <row r="9917" spans="2:2">
      <c r="B9917" s="36"/>
    </row>
    <row r="9918" spans="2:2">
      <c r="B9918" s="36"/>
    </row>
    <row r="9919" spans="2:2">
      <c r="B9919" s="36"/>
    </row>
    <row r="9920" spans="2:2">
      <c r="B9920" s="36"/>
    </row>
    <row r="9921" spans="2:2">
      <c r="B9921" s="36"/>
    </row>
    <row r="9922" spans="2:2">
      <c r="B9922" s="36"/>
    </row>
    <row r="9923" spans="2:2">
      <c r="B9923" s="36"/>
    </row>
    <row r="9924" spans="2:2">
      <c r="B9924" s="36"/>
    </row>
    <row r="9925" spans="2:2">
      <c r="B9925" s="36"/>
    </row>
    <row r="9926" spans="2:2">
      <c r="B9926" s="36"/>
    </row>
    <row r="9927" spans="2:2">
      <c r="B9927" s="36"/>
    </row>
    <row r="9928" spans="2:2">
      <c r="B9928" s="36"/>
    </row>
    <row r="9929" spans="2:2">
      <c r="B9929" s="36"/>
    </row>
    <row r="9930" spans="2:2">
      <c r="B9930" s="36"/>
    </row>
    <row r="9931" spans="2:2">
      <c r="B9931" s="36"/>
    </row>
    <row r="9932" spans="2:2">
      <c r="B9932" s="36"/>
    </row>
    <row r="9933" spans="2:2">
      <c r="B9933" s="36"/>
    </row>
    <row r="9934" spans="2:2">
      <c r="B9934" s="36"/>
    </row>
    <row r="9935" spans="2:2">
      <c r="B9935" s="36"/>
    </row>
    <row r="9936" spans="2:2">
      <c r="B9936" s="36"/>
    </row>
    <row r="9937" spans="2:2">
      <c r="B9937" s="36"/>
    </row>
    <row r="9938" spans="2:2">
      <c r="B9938" s="36"/>
    </row>
    <row r="9939" spans="2:2">
      <c r="B9939" s="36"/>
    </row>
    <row r="9940" spans="2:2">
      <c r="B9940" s="36"/>
    </row>
    <row r="9941" spans="2:2">
      <c r="B9941" s="36"/>
    </row>
    <row r="9942" spans="2:2">
      <c r="B9942" s="36"/>
    </row>
    <row r="9943" spans="2:2">
      <c r="B9943" s="36"/>
    </row>
    <row r="9944" spans="2:2">
      <c r="B9944" s="36"/>
    </row>
    <row r="9945" spans="2:2">
      <c r="B9945" s="36"/>
    </row>
    <row r="9946" spans="2:2">
      <c r="B9946" s="36"/>
    </row>
    <row r="9947" spans="2:2">
      <c r="B9947" s="36"/>
    </row>
    <row r="9948" spans="2:2">
      <c r="B9948" s="36"/>
    </row>
    <row r="9949" spans="2:2">
      <c r="B9949" s="36"/>
    </row>
    <row r="9950" spans="2:2">
      <c r="B9950" s="36"/>
    </row>
    <row r="9951" spans="2:2">
      <c r="B9951" s="36"/>
    </row>
    <row r="9952" spans="2:2">
      <c r="B9952" s="36"/>
    </row>
    <row r="9953" spans="2:2">
      <c r="B9953" s="36"/>
    </row>
    <row r="9954" spans="2:2">
      <c r="B9954" s="36"/>
    </row>
    <row r="9955" spans="2:2">
      <c r="B9955" s="36"/>
    </row>
    <row r="9956" spans="2:2">
      <c r="B9956" s="36"/>
    </row>
    <row r="9957" spans="2:2">
      <c r="B9957" s="36"/>
    </row>
    <row r="9958" spans="2:2">
      <c r="B9958" s="36"/>
    </row>
    <row r="9959" spans="2:2">
      <c r="B9959" s="36"/>
    </row>
    <row r="9960" spans="2:2">
      <c r="B9960" s="36"/>
    </row>
    <row r="9961" spans="2:2">
      <c r="B9961" s="36"/>
    </row>
    <row r="9962" spans="2:2">
      <c r="B9962" s="36"/>
    </row>
    <row r="9963" spans="2:2">
      <c r="B9963" s="36"/>
    </row>
    <row r="9964" spans="2:2">
      <c r="B9964" s="36"/>
    </row>
    <row r="9965" spans="2:2">
      <c r="B9965" s="36"/>
    </row>
    <row r="9966" spans="2:2">
      <c r="B9966" s="36"/>
    </row>
    <row r="9967" spans="2:2">
      <c r="B9967" s="36"/>
    </row>
    <row r="9968" spans="2:2">
      <c r="B9968" s="36"/>
    </row>
    <row r="9969" spans="2:2">
      <c r="B9969" s="36"/>
    </row>
    <row r="9970" spans="2:2">
      <c r="B9970" s="36"/>
    </row>
    <row r="9971" spans="2:2">
      <c r="B9971" s="36"/>
    </row>
    <row r="9972" spans="2:2">
      <c r="B9972" s="36"/>
    </row>
    <row r="9973" spans="2:2">
      <c r="B9973" s="36"/>
    </row>
    <row r="9974" spans="2:2">
      <c r="B9974" s="36"/>
    </row>
    <row r="9975" spans="2:2">
      <c r="B9975" s="36"/>
    </row>
    <row r="9976" spans="2:2">
      <c r="B9976" s="36"/>
    </row>
    <row r="9977" spans="2:2">
      <c r="B9977" s="36"/>
    </row>
    <row r="9978" spans="2:2">
      <c r="B9978" s="36"/>
    </row>
    <row r="9979" spans="2:2">
      <c r="B9979" s="36"/>
    </row>
    <row r="9980" spans="2:2">
      <c r="B9980" s="36"/>
    </row>
    <row r="9981" spans="2:2">
      <c r="B9981" s="36"/>
    </row>
    <row r="9982" spans="2:2">
      <c r="B9982" s="36"/>
    </row>
    <row r="9983" spans="2:2">
      <c r="B9983" s="36"/>
    </row>
    <row r="9984" spans="2:2">
      <c r="B9984" s="36"/>
    </row>
    <row r="9985" spans="2:2">
      <c r="B9985" s="36"/>
    </row>
    <row r="9986" spans="2:2">
      <c r="B9986" s="36"/>
    </row>
    <row r="9987" spans="2:2">
      <c r="B9987" s="36"/>
    </row>
    <row r="9988" spans="2:2">
      <c r="B9988" s="36"/>
    </row>
    <row r="9989" spans="2:2">
      <c r="B9989" s="36"/>
    </row>
    <row r="9990" spans="2:2">
      <c r="B9990" s="36"/>
    </row>
    <row r="9991" spans="2:2">
      <c r="B9991" s="36"/>
    </row>
    <row r="9992" spans="2:2">
      <c r="B9992" s="36"/>
    </row>
    <row r="9993" spans="2:2">
      <c r="B9993" s="36"/>
    </row>
    <row r="9994" spans="2:2">
      <c r="B9994" s="36"/>
    </row>
    <row r="9995" spans="2:2">
      <c r="B9995" s="36"/>
    </row>
    <row r="9996" spans="2:2">
      <c r="B9996" s="36"/>
    </row>
    <row r="9997" spans="2:2">
      <c r="B9997" s="36"/>
    </row>
    <row r="9998" spans="2:2">
      <c r="B9998" s="36"/>
    </row>
    <row r="9999" spans="2:2">
      <c r="B9999" s="36"/>
    </row>
    <row r="10000" spans="2:2">
      <c r="B10000" s="36"/>
    </row>
    <row r="10001" spans="2:2">
      <c r="B10001" s="36"/>
    </row>
    <row r="10002" spans="2:2">
      <c r="B10002" s="36"/>
    </row>
    <row r="10003" spans="2:2">
      <c r="B10003" s="36"/>
    </row>
    <row r="10004" spans="2:2">
      <c r="B10004" s="36"/>
    </row>
    <row r="10005" spans="2:2">
      <c r="B10005" s="36"/>
    </row>
    <row r="10006" spans="2:2">
      <c r="B10006" s="36"/>
    </row>
    <row r="10007" spans="2:2">
      <c r="B10007" s="36"/>
    </row>
    <row r="10008" spans="2:2">
      <c r="B10008" s="36"/>
    </row>
    <row r="10009" spans="2:2">
      <c r="B10009" s="36"/>
    </row>
    <row r="10010" spans="2:2">
      <c r="B10010" s="36"/>
    </row>
    <row r="10011" spans="2:2">
      <c r="B10011" s="36"/>
    </row>
    <row r="10012" spans="2:2">
      <c r="B10012" s="36"/>
    </row>
    <row r="10013" spans="2:2">
      <c r="B10013" s="36"/>
    </row>
    <row r="10014" spans="2:2">
      <c r="B10014" s="36"/>
    </row>
    <row r="10015" spans="2:2">
      <c r="B10015" s="36"/>
    </row>
    <row r="10016" spans="2:2">
      <c r="B10016" s="36"/>
    </row>
    <row r="10017" spans="2:2">
      <c r="B10017" s="36"/>
    </row>
    <row r="10018" spans="2:2">
      <c r="B10018" s="36"/>
    </row>
    <row r="10019" spans="2:2">
      <c r="B10019" s="36"/>
    </row>
    <row r="10020" spans="2:2">
      <c r="B10020" s="36"/>
    </row>
    <row r="10021" spans="2:2">
      <c r="B10021" s="36"/>
    </row>
    <row r="10022" spans="2:2">
      <c r="B10022" s="36"/>
    </row>
    <row r="10023" spans="2:2">
      <c r="B10023" s="36"/>
    </row>
    <row r="10024" spans="2:2">
      <c r="B10024" s="36"/>
    </row>
    <row r="10025" spans="2:2">
      <c r="B10025" s="36"/>
    </row>
    <row r="10026" spans="2:2">
      <c r="B10026" s="36"/>
    </row>
    <row r="10027" spans="2:2">
      <c r="B10027" s="36"/>
    </row>
    <row r="10028" spans="2:2">
      <c r="B10028" s="36"/>
    </row>
    <row r="10029" spans="2:2">
      <c r="B10029" s="36"/>
    </row>
    <row r="10030" spans="2:2">
      <c r="B10030" s="36"/>
    </row>
    <row r="10031" spans="2:2">
      <c r="B10031" s="36"/>
    </row>
    <row r="10032" spans="2:2">
      <c r="B10032" s="36"/>
    </row>
    <row r="10033" spans="2:2">
      <c r="B10033" s="36"/>
    </row>
    <row r="10034" spans="2:2">
      <c r="B10034" s="36"/>
    </row>
    <row r="10035" spans="2:2">
      <c r="B10035" s="36"/>
    </row>
    <row r="10036" spans="2:2">
      <c r="B10036" s="36"/>
    </row>
    <row r="10037" spans="2:2">
      <c r="B10037" s="36"/>
    </row>
    <row r="10038" spans="2:2">
      <c r="B10038" s="36"/>
    </row>
    <row r="10039" spans="2:2">
      <c r="B10039" s="36"/>
    </row>
    <row r="10040" spans="2:2">
      <c r="B10040" s="36"/>
    </row>
    <row r="10041" spans="2:2">
      <c r="B10041" s="36"/>
    </row>
    <row r="10042" spans="2:2">
      <c r="B10042" s="36"/>
    </row>
    <row r="10043" spans="2:2">
      <c r="B10043" s="36"/>
    </row>
    <row r="10044" spans="2:2">
      <c r="B10044" s="36"/>
    </row>
    <row r="10045" spans="2:2">
      <c r="B10045" s="36"/>
    </row>
    <row r="10046" spans="2:2">
      <c r="B10046" s="36"/>
    </row>
    <row r="10047" spans="2:2">
      <c r="B10047" s="36"/>
    </row>
    <row r="10048" spans="2:2">
      <c r="B10048" s="36"/>
    </row>
    <row r="10049" spans="2:2">
      <c r="B10049" s="36"/>
    </row>
    <row r="10050" spans="2:2">
      <c r="B10050" s="36"/>
    </row>
    <row r="10051" spans="2:2">
      <c r="B10051" s="36"/>
    </row>
    <row r="10052" spans="2:2">
      <c r="B10052" s="36"/>
    </row>
    <row r="10053" spans="2:2">
      <c r="B10053" s="36"/>
    </row>
    <row r="10054" spans="2:2">
      <c r="B10054" s="36"/>
    </row>
    <row r="10055" spans="2:2">
      <c r="B10055" s="36"/>
    </row>
    <row r="10056" spans="2:2">
      <c r="B10056" s="36"/>
    </row>
    <row r="10057" spans="2:2">
      <c r="B10057" s="36"/>
    </row>
    <row r="10058" spans="2:2">
      <c r="B10058" s="36"/>
    </row>
    <row r="10059" spans="2:2">
      <c r="B10059" s="36"/>
    </row>
    <row r="10060" spans="2:2">
      <c r="B10060" s="36"/>
    </row>
    <row r="10061" spans="2:2">
      <c r="B10061" s="36"/>
    </row>
    <row r="10062" spans="2:2">
      <c r="B10062" s="36"/>
    </row>
    <row r="10063" spans="2:2">
      <c r="B10063" s="36"/>
    </row>
    <row r="10064" spans="2:2">
      <c r="B10064" s="36"/>
    </row>
    <row r="10065" spans="2:2">
      <c r="B10065" s="36"/>
    </row>
    <row r="10066" spans="2:2">
      <c r="B10066" s="36"/>
    </row>
    <row r="10067" spans="2:2">
      <c r="B10067" s="36"/>
    </row>
    <row r="10068" spans="2:2">
      <c r="B10068" s="36"/>
    </row>
    <row r="10069" spans="2:2">
      <c r="B10069" s="36"/>
    </row>
    <row r="10070" spans="2:2">
      <c r="B10070" s="36"/>
    </row>
    <row r="10071" spans="2:2">
      <c r="B10071" s="36"/>
    </row>
    <row r="10072" spans="2:2">
      <c r="B10072" s="36"/>
    </row>
    <row r="10073" spans="2:2">
      <c r="B10073" s="36"/>
    </row>
    <row r="10074" spans="2:2">
      <c r="B10074" s="36"/>
    </row>
    <row r="10075" spans="2:2">
      <c r="B10075" s="36"/>
    </row>
    <row r="10076" spans="2:2">
      <c r="B10076" s="36"/>
    </row>
    <row r="10077" spans="2:2">
      <c r="B10077" s="36"/>
    </row>
    <row r="10078" spans="2:2">
      <c r="B10078" s="36"/>
    </row>
    <row r="10079" spans="2:2">
      <c r="B10079" s="36"/>
    </row>
    <row r="10080" spans="2:2">
      <c r="B10080" s="36"/>
    </row>
    <row r="10081" spans="2:2">
      <c r="B10081" s="36"/>
    </row>
    <row r="10082" spans="2:2">
      <c r="B10082" s="36"/>
    </row>
    <row r="10083" spans="2:2">
      <c r="B10083" s="36"/>
    </row>
    <row r="10084" spans="2:2">
      <c r="B10084" s="36"/>
    </row>
    <row r="10085" spans="2:2">
      <c r="B10085" s="36"/>
    </row>
    <row r="10086" spans="2:2">
      <c r="B10086" s="36"/>
    </row>
    <row r="10087" spans="2:2">
      <c r="B10087" s="36"/>
    </row>
    <row r="10088" spans="2:2">
      <c r="B10088" s="36"/>
    </row>
    <row r="10089" spans="2:2">
      <c r="B10089" s="36"/>
    </row>
    <row r="10090" spans="2:2">
      <c r="B10090" s="36"/>
    </row>
    <row r="10091" spans="2:2">
      <c r="B10091" s="36"/>
    </row>
    <row r="10092" spans="2:2">
      <c r="B10092" s="36"/>
    </row>
    <row r="10093" spans="2:2">
      <c r="B10093" s="36"/>
    </row>
    <row r="10094" spans="2:2">
      <c r="B10094" s="36"/>
    </row>
    <row r="10095" spans="2:2">
      <c r="B10095" s="36"/>
    </row>
    <row r="10096" spans="2:2">
      <c r="B10096" s="36"/>
    </row>
    <row r="10097" spans="2:2">
      <c r="B10097" s="36"/>
    </row>
    <row r="10098" spans="2:2">
      <c r="B10098" s="36"/>
    </row>
    <row r="10099" spans="2:2">
      <c r="B10099" s="36"/>
    </row>
    <row r="10100" spans="2:2">
      <c r="B10100" s="36"/>
    </row>
    <row r="10101" spans="2:2">
      <c r="B10101" s="36"/>
    </row>
    <row r="10102" spans="2:2">
      <c r="B10102" s="36"/>
    </row>
    <row r="10103" spans="2:2">
      <c r="B10103" s="36"/>
    </row>
    <row r="10104" spans="2:2">
      <c r="B10104" s="36"/>
    </row>
    <row r="10105" spans="2:2">
      <c r="B10105" s="36"/>
    </row>
    <row r="10106" spans="2:2">
      <c r="B10106" s="36"/>
    </row>
    <row r="10107" spans="2:2">
      <c r="B10107" s="36"/>
    </row>
    <row r="10108" spans="2:2">
      <c r="B10108" s="36"/>
    </row>
    <row r="10109" spans="2:2">
      <c r="B10109" s="36"/>
    </row>
    <row r="10110" spans="2:2">
      <c r="B10110" s="36"/>
    </row>
    <row r="10111" spans="2:2">
      <c r="B10111" s="36"/>
    </row>
    <row r="10112" spans="2:2">
      <c r="B10112" s="36"/>
    </row>
    <row r="10113" spans="2:2">
      <c r="B10113" s="36"/>
    </row>
    <row r="10114" spans="2:2">
      <c r="B10114" s="36"/>
    </row>
    <row r="10115" spans="2:2">
      <c r="B10115" s="36"/>
    </row>
    <row r="10116" spans="2:2">
      <c r="B10116" s="36"/>
    </row>
    <row r="10117" spans="2:2">
      <c r="B10117" s="36"/>
    </row>
    <row r="10118" spans="2:2">
      <c r="B10118" s="36"/>
    </row>
    <row r="10119" spans="2:2">
      <c r="B10119" s="36"/>
    </row>
    <row r="10120" spans="2:2">
      <c r="B10120" s="36"/>
    </row>
    <row r="10121" spans="2:2">
      <c r="B10121" s="36"/>
    </row>
    <row r="10122" spans="2:2">
      <c r="B10122" s="36"/>
    </row>
    <row r="10123" spans="2:2">
      <c r="B10123" s="36"/>
    </row>
    <row r="10124" spans="2:2">
      <c r="B10124" s="36"/>
    </row>
    <row r="10125" spans="2:2">
      <c r="B10125" s="36"/>
    </row>
    <row r="10126" spans="2:2">
      <c r="B10126" s="36"/>
    </row>
    <row r="10127" spans="2:2">
      <c r="B10127" s="36"/>
    </row>
    <row r="10128" spans="2:2">
      <c r="B10128" s="36"/>
    </row>
    <row r="10129" spans="2:2">
      <c r="B10129" s="36"/>
    </row>
    <row r="10130" spans="2:2">
      <c r="B10130" s="36"/>
    </row>
    <row r="10131" spans="2:2">
      <c r="B10131" s="36"/>
    </row>
    <row r="10132" spans="2:2">
      <c r="B10132" s="36"/>
    </row>
    <row r="10133" spans="2:2">
      <c r="B10133" s="36"/>
    </row>
    <row r="10134" spans="2:2">
      <c r="B10134" s="36"/>
    </row>
    <row r="10135" spans="2:2">
      <c r="B10135" s="36"/>
    </row>
    <row r="10136" spans="2:2">
      <c r="B10136" s="36"/>
    </row>
    <row r="10137" spans="2:2">
      <c r="B10137" s="36"/>
    </row>
    <row r="10138" spans="2:2">
      <c r="B10138" s="36"/>
    </row>
    <row r="10139" spans="2:2">
      <c r="B10139" s="36"/>
    </row>
    <row r="10140" spans="2:2">
      <c r="B10140" s="36"/>
    </row>
    <row r="10141" spans="2:2">
      <c r="B10141" s="36"/>
    </row>
    <row r="10142" spans="2:2">
      <c r="B10142" s="36"/>
    </row>
    <row r="10143" spans="2:2">
      <c r="B10143" s="36"/>
    </row>
    <row r="10144" spans="2:2">
      <c r="B10144" s="36"/>
    </row>
    <row r="10145" spans="2:2">
      <c r="B10145" s="36"/>
    </row>
    <row r="10146" spans="2:2">
      <c r="B10146" s="36"/>
    </row>
    <row r="10147" spans="2:2">
      <c r="B10147" s="36"/>
    </row>
    <row r="10148" spans="2:2">
      <c r="B10148" s="36"/>
    </row>
    <row r="10149" spans="2:2">
      <c r="B10149" s="36"/>
    </row>
    <row r="10150" spans="2:2">
      <c r="B10150" s="36"/>
    </row>
    <row r="10151" spans="2:2">
      <c r="B10151" s="36"/>
    </row>
    <row r="10152" spans="2:2">
      <c r="B10152" s="36"/>
    </row>
    <row r="10153" spans="2:2">
      <c r="B10153" s="36"/>
    </row>
    <row r="10154" spans="2:2">
      <c r="B10154" s="36"/>
    </row>
    <row r="10155" spans="2:2">
      <c r="B10155" s="36"/>
    </row>
    <row r="10156" spans="2:2">
      <c r="B10156" s="36"/>
    </row>
    <row r="10157" spans="2:2">
      <c r="B10157" s="36"/>
    </row>
    <row r="10158" spans="2:2">
      <c r="B10158" s="36"/>
    </row>
    <row r="10159" spans="2:2">
      <c r="B10159" s="36"/>
    </row>
    <row r="10160" spans="2:2">
      <c r="B10160" s="36"/>
    </row>
    <row r="10161" spans="2:2">
      <c r="B10161" s="36"/>
    </row>
    <row r="10162" spans="2:2">
      <c r="B10162" s="36"/>
    </row>
    <row r="10163" spans="2:2">
      <c r="B10163" s="36"/>
    </row>
    <row r="10164" spans="2:2">
      <c r="B10164" s="36"/>
    </row>
    <row r="10165" spans="2:2">
      <c r="B10165" s="36"/>
    </row>
    <row r="10166" spans="2:2">
      <c r="B10166" s="36"/>
    </row>
    <row r="10167" spans="2:2">
      <c r="B10167" s="36"/>
    </row>
    <row r="10168" spans="2:2">
      <c r="B10168" s="36"/>
    </row>
    <row r="10169" spans="2:2">
      <c r="B10169" s="36"/>
    </row>
    <row r="10170" spans="2:2">
      <c r="B10170" s="36"/>
    </row>
    <row r="10171" spans="2:2">
      <c r="B10171" s="36"/>
    </row>
    <row r="10172" spans="2:2">
      <c r="B10172" s="36"/>
    </row>
    <row r="10173" spans="2:2">
      <c r="B10173" s="36"/>
    </row>
    <row r="10174" spans="2:2">
      <c r="B10174" s="36"/>
    </row>
    <row r="10175" spans="2:2">
      <c r="B10175" s="36"/>
    </row>
    <row r="10176" spans="2:2">
      <c r="B10176" s="36"/>
    </row>
    <row r="10177" spans="2:2">
      <c r="B10177" s="36"/>
    </row>
    <row r="10178" spans="2:2">
      <c r="B10178" s="36"/>
    </row>
    <row r="10179" spans="2:2">
      <c r="B10179" s="36"/>
    </row>
    <row r="10180" spans="2:2">
      <c r="B10180" s="36"/>
    </row>
    <row r="10181" spans="2:2">
      <c r="B10181" s="36"/>
    </row>
    <row r="10182" spans="2:2">
      <c r="B10182" s="36"/>
    </row>
    <row r="10183" spans="2:2">
      <c r="B10183" s="36"/>
    </row>
    <row r="10184" spans="2:2">
      <c r="B10184" s="36"/>
    </row>
    <row r="10185" spans="2:2">
      <c r="B10185" s="36"/>
    </row>
    <row r="10186" spans="2:2">
      <c r="B10186" s="36"/>
    </row>
    <row r="10187" spans="2:2">
      <c r="B10187" s="36"/>
    </row>
    <row r="10188" spans="2:2">
      <c r="B10188" s="36"/>
    </row>
    <row r="10189" spans="2:2">
      <c r="B10189" s="36"/>
    </row>
    <row r="10190" spans="2:2">
      <c r="B10190" s="36"/>
    </row>
    <row r="10191" spans="2:2">
      <c r="B10191" s="36"/>
    </row>
    <row r="10192" spans="2:2">
      <c r="B10192" s="36"/>
    </row>
    <row r="10193" spans="2:2">
      <c r="B10193" s="36"/>
    </row>
    <row r="10194" spans="2:2">
      <c r="B10194" s="36"/>
    </row>
    <row r="10195" spans="2:2">
      <c r="B10195" s="36"/>
    </row>
    <row r="10196" spans="2:2">
      <c r="B10196" s="36"/>
    </row>
    <row r="10197" spans="2:2">
      <c r="B10197" s="36"/>
    </row>
    <row r="10198" spans="2:2">
      <c r="B10198" s="36"/>
    </row>
    <row r="10199" spans="2:2">
      <c r="B10199" s="36"/>
    </row>
    <row r="10200" spans="2:2">
      <c r="B10200" s="36"/>
    </row>
    <row r="10201" spans="2:2">
      <c r="B10201" s="36"/>
    </row>
    <row r="10202" spans="2:2">
      <c r="B10202" s="36"/>
    </row>
    <row r="10203" spans="2:2">
      <c r="B10203" s="36"/>
    </row>
    <row r="10204" spans="2:2">
      <c r="B10204" s="36"/>
    </row>
    <row r="10205" spans="2:2">
      <c r="B10205" s="36"/>
    </row>
    <row r="10206" spans="2:2">
      <c r="B10206" s="36"/>
    </row>
    <row r="10207" spans="2:2">
      <c r="B10207" s="36"/>
    </row>
    <row r="10208" spans="2:2">
      <c r="B10208" s="36"/>
    </row>
    <row r="10209" spans="2:2">
      <c r="B10209" s="36"/>
    </row>
    <row r="10210" spans="2:2">
      <c r="B10210" s="36"/>
    </row>
    <row r="10211" spans="2:2">
      <c r="B10211" s="36"/>
    </row>
    <row r="10212" spans="2:2">
      <c r="B10212" s="36"/>
    </row>
    <row r="10213" spans="2:2">
      <c r="B10213" s="36"/>
    </row>
    <row r="10214" spans="2:2">
      <c r="B10214" s="36"/>
    </row>
    <row r="10215" spans="2:2">
      <c r="B10215" s="36"/>
    </row>
    <row r="10216" spans="2:2">
      <c r="B10216" s="36"/>
    </row>
    <row r="10217" spans="2:2">
      <c r="B10217" s="36"/>
    </row>
    <row r="10218" spans="2:2">
      <c r="B10218" s="36"/>
    </row>
    <row r="10219" spans="2:2">
      <c r="B10219" s="36"/>
    </row>
    <row r="10220" spans="2:2">
      <c r="B10220" s="36"/>
    </row>
    <row r="10221" spans="2:2">
      <c r="B10221" s="36"/>
    </row>
    <row r="10222" spans="2:2">
      <c r="B10222" s="36"/>
    </row>
    <row r="10223" spans="2:2">
      <c r="B10223" s="36"/>
    </row>
    <row r="10224" spans="2:2">
      <c r="B10224" s="36"/>
    </row>
    <row r="10225" spans="2:2">
      <c r="B10225" s="36"/>
    </row>
    <row r="10226" spans="2:2">
      <c r="B10226" s="36"/>
    </row>
    <row r="10227" spans="2:2">
      <c r="B10227" s="36"/>
    </row>
    <row r="10228" spans="2:2">
      <c r="B10228" s="36"/>
    </row>
    <row r="10229" spans="2:2">
      <c r="B10229" s="36"/>
    </row>
    <row r="10230" spans="2:2">
      <c r="B10230" s="36"/>
    </row>
    <row r="10231" spans="2:2">
      <c r="B10231" s="36"/>
    </row>
    <row r="10232" spans="2:2">
      <c r="B10232" s="36"/>
    </row>
    <row r="10233" spans="2:2">
      <c r="B10233" s="36"/>
    </row>
    <row r="10234" spans="2:2">
      <c r="B10234" s="36"/>
    </row>
    <row r="10235" spans="2:2">
      <c r="B10235" s="36"/>
    </row>
    <row r="10236" spans="2:2">
      <c r="B10236" s="36"/>
    </row>
    <row r="10237" spans="2:2">
      <c r="B10237" s="36"/>
    </row>
    <row r="10238" spans="2:2">
      <c r="B10238" s="36"/>
    </row>
    <row r="10239" spans="2:2">
      <c r="B10239" s="36"/>
    </row>
    <row r="10240" spans="2:2">
      <c r="B10240" s="36"/>
    </row>
    <row r="10241" spans="2:2">
      <c r="B10241" s="36"/>
    </row>
    <row r="10242" spans="2:2">
      <c r="B10242" s="36"/>
    </row>
    <row r="10243" spans="2:2">
      <c r="B10243" s="36"/>
    </row>
    <row r="10244" spans="2:2">
      <c r="B10244" s="36"/>
    </row>
    <row r="10245" spans="2:2">
      <c r="B10245" s="36"/>
    </row>
    <row r="10246" spans="2:2">
      <c r="B10246" s="36"/>
    </row>
    <row r="10247" spans="2:2">
      <c r="B10247" s="36"/>
    </row>
    <row r="10248" spans="2:2">
      <c r="B10248" s="36"/>
    </row>
    <row r="10249" spans="2:2">
      <c r="B10249" s="36"/>
    </row>
    <row r="10250" spans="2:2">
      <c r="B10250" s="36"/>
    </row>
    <row r="10251" spans="2:2">
      <c r="B10251" s="36"/>
    </row>
    <row r="10252" spans="2:2">
      <c r="B10252" s="36"/>
    </row>
    <row r="10253" spans="2:2">
      <c r="B10253" s="36"/>
    </row>
    <row r="10254" spans="2:2">
      <c r="B10254" s="36"/>
    </row>
    <row r="10255" spans="2:2">
      <c r="B10255" s="36"/>
    </row>
    <row r="10256" spans="2:2">
      <c r="B10256" s="36"/>
    </row>
    <row r="10257" spans="2:2">
      <c r="B10257" s="36"/>
    </row>
    <row r="10258" spans="2:2">
      <c r="B10258" s="36"/>
    </row>
    <row r="10259" spans="2:2">
      <c r="B10259" s="36"/>
    </row>
    <row r="10260" spans="2:2">
      <c r="B10260" s="36"/>
    </row>
    <row r="10261" spans="2:2">
      <c r="B10261" s="36"/>
    </row>
    <row r="10262" spans="2:2">
      <c r="B10262" s="36"/>
    </row>
    <row r="10263" spans="2:2">
      <c r="B10263" s="36"/>
    </row>
    <row r="10264" spans="2:2">
      <c r="B10264" s="36"/>
    </row>
    <row r="10265" spans="2:2">
      <c r="B10265" s="36"/>
    </row>
    <row r="10266" spans="2:2">
      <c r="B10266" s="36"/>
    </row>
    <row r="10267" spans="2:2">
      <c r="B10267" s="36"/>
    </row>
    <row r="10268" spans="2:2">
      <c r="B10268" s="36"/>
    </row>
    <row r="10269" spans="2:2">
      <c r="B10269" s="36"/>
    </row>
    <row r="10270" spans="2:2">
      <c r="B10270" s="36"/>
    </row>
    <row r="10271" spans="2:2">
      <c r="B10271" s="36"/>
    </row>
    <row r="10272" spans="2:2">
      <c r="B10272" s="36"/>
    </row>
    <row r="10273" spans="2:2">
      <c r="B10273" s="36"/>
    </row>
    <row r="10274" spans="2:2">
      <c r="B10274" s="36"/>
    </row>
    <row r="10275" spans="2:2">
      <c r="B10275" s="36"/>
    </row>
    <row r="10276" spans="2:2">
      <c r="B10276" s="36"/>
    </row>
    <row r="10277" spans="2:2">
      <c r="B10277" s="36"/>
    </row>
    <row r="10278" spans="2:2">
      <c r="B10278" s="36"/>
    </row>
    <row r="10279" spans="2:2">
      <c r="B10279" s="36"/>
    </row>
    <row r="10280" spans="2:2">
      <c r="B10280" s="36"/>
    </row>
    <row r="10281" spans="2:2">
      <c r="B10281" s="36"/>
    </row>
    <row r="10282" spans="2:2">
      <c r="B10282" s="36"/>
    </row>
    <row r="10283" spans="2:2">
      <c r="B10283" s="36"/>
    </row>
    <row r="10284" spans="2:2">
      <c r="B10284" s="36"/>
    </row>
    <row r="10285" spans="2:2">
      <c r="B10285" s="36"/>
    </row>
    <row r="10286" spans="2:2">
      <c r="B10286" s="36"/>
    </row>
    <row r="10287" spans="2:2">
      <c r="B10287" s="36"/>
    </row>
    <row r="10288" spans="2:2">
      <c r="B10288" s="36"/>
    </row>
    <row r="10289" spans="2:2">
      <c r="B10289" s="36"/>
    </row>
    <row r="10290" spans="2:2">
      <c r="B10290" s="36"/>
    </row>
    <row r="10291" spans="2:2">
      <c r="B10291" s="36"/>
    </row>
    <row r="10292" spans="2:2">
      <c r="B10292" s="36"/>
    </row>
    <row r="10293" spans="2:2">
      <c r="B10293" s="36"/>
    </row>
    <row r="10294" spans="2:2">
      <c r="B10294" s="36"/>
    </row>
    <row r="10295" spans="2:2">
      <c r="B10295" s="36"/>
    </row>
    <row r="10296" spans="2:2">
      <c r="B10296" s="36"/>
    </row>
    <row r="10297" spans="2:2">
      <c r="B10297" s="36"/>
    </row>
    <row r="10298" spans="2:2">
      <c r="B10298" s="36"/>
    </row>
    <row r="10299" spans="2:2">
      <c r="B10299" s="36"/>
    </row>
    <row r="10300" spans="2:2">
      <c r="B10300" s="36"/>
    </row>
    <row r="10301" spans="2:2">
      <c r="B10301" s="36"/>
    </row>
    <row r="10302" spans="2:2">
      <c r="B10302" s="36"/>
    </row>
    <row r="10303" spans="2:2">
      <c r="B10303" s="36"/>
    </row>
    <row r="10304" spans="2:2">
      <c r="B10304" s="36"/>
    </row>
    <row r="10305" spans="2:2">
      <c r="B10305" s="36"/>
    </row>
    <row r="10306" spans="2:2">
      <c r="B10306" s="36"/>
    </row>
    <row r="10307" spans="2:2">
      <c r="B10307" s="36"/>
    </row>
    <row r="10308" spans="2:2">
      <c r="B10308" s="36"/>
    </row>
    <row r="10309" spans="2:2">
      <c r="B10309" s="36"/>
    </row>
    <row r="10310" spans="2:2">
      <c r="B10310" s="36"/>
    </row>
    <row r="10311" spans="2:2">
      <c r="B10311" s="36"/>
    </row>
    <row r="10312" spans="2:2">
      <c r="B10312" s="36"/>
    </row>
    <row r="10313" spans="2:2">
      <c r="B10313" s="36"/>
    </row>
    <row r="10314" spans="2:2">
      <c r="B10314" s="36"/>
    </row>
    <row r="10315" spans="2:2">
      <c r="B10315" s="36"/>
    </row>
    <row r="10316" spans="2:2">
      <c r="B10316" s="36"/>
    </row>
    <row r="10317" spans="2:2">
      <c r="B10317" s="36"/>
    </row>
    <row r="10318" spans="2:2">
      <c r="B10318" s="36"/>
    </row>
    <row r="10319" spans="2:2">
      <c r="B10319" s="36"/>
    </row>
    <row r="10320" spans="2:2">
      <c r="B10320" s="36"/>
    </row>
    <row r="10321" spans="2:2">
      <c r="B10321" s="36"/>
    </row>
    <row r="10322" spans="2:2">
      <c r="B10322" s="36"/>
    </row>
    <row r="10323" spans="2:2">
      <c r="B10323" s="36"/>
    </row>
    <row r="10324" spans="2:2">
      <c r="B10324" s="36"/>
    </row>
    <row r="10325" spans="2:2">
      <c r="B10325" s="36"/>
    </row>
    <row r="10326" spans="2:2">
      <c r="B10326" s="36"/>
    </row>
    <row r="10327" spans="2:2">
      <c r="B10327" s="36"/>
    </row>
    <row r="10328" spans="2:2">
      <c r="B10328" s="36"/>
    </row>
    <row r="10329" spans="2:2">
      <c r="B10329" s="36"/>
    </row>
    <row r="10330" spans="2:2">
      <c r="B10330" s="36"/>
    </row>
    <row r="10331" spans="2:2">
      <c r="B10331" s="36"/>
    </row>
    <row r="10332" spans="2:2">
      <c r="B10332" s="36"/>
    </row>
    <row r="10333" spans="2:2">
      <c r="B10333" s="36"/>
    </row>
    <row r="10334" spans="2:2">
      <c r="B10334" s="36"/>
    </row>
    <row r="10335" spans="2:2">
      <c r="B10335" s="36"/>
    </row>
    <row r="10336" spans="2:2">
      <c r="B10336" s="36"/>
    </row>
    <row r="10337" spans="2:2">
      <c r="B10337" s="36"/>
    </row>
    <row r="10338" spans="2:2">
      <c r="B10338" s="36"/>
    </row>
    <row r="10339" spans="2:2">
      <c r="B10339" s="36"/>
    </row>
    <row r="10340" spans="2:2">
      <c r="B10340" s="36"/>
    </row>
    <row r="10341" spans="2:2">
      <c r="B10341" s="36"/>
    </row>
    <row r="10342" spans="2:2">
      <c r="B10342" s="36"/>
    </row>
    <row r="10343" spans="2:2">
      <c r="B10343" s="36"/>
    </row>
    <row r="10344" spans="2:2">
      <c r="B10344" s="36"/>
    </row>
    <row r="10345" spans="2:2">
      <c r="B10345" s="36"/>
    </row>
    <row r="10346" spans="2:2">
      <c r="B10346" s="36"/>
    </row>
    <row r="10347" spans="2:2">
      <c r="B10347" s="36"/>
    </row>
    <row r="10348" spans="2:2">
      <c r="B10348" s="36"/>
    </row>
    <row r="10349" spans="2:2">
      <c r="B10349" s="36"/>
    </row>
    <row r="10350" spans="2:2">
      <c r="B10350" s="36"/>
    </row>
    <row r="10351" spans="2:2">
      <c r="B10351" s="36"/>
    </row>
    <row r="10352" spans="2:2">
      <c r="B10352" s="36"/>
    </row>
    <row r="10353" spans="2:2">
      <c r="B10353" s="36"/>
    </row>
    <row r="10354" spans="2:2">
      <c r="B10354" s="36"/>
    </row>
    <row r="10355" spans="2:2">
      <c r="B10355" s="36"/>
    </row>
    <row r="10356" spans="2:2">
      <c r="B10356" s="36"/>
    </row>
    <row r="10357" spans="2:2">
      <c r="B10357" s="36"/>
    </row>
    <row r="10358" spans="2:2">
      <c r="B10358" s="36"/>
    </row>
    <row r="10359" spans="2:2">
      <c r="B10359" s="36"/>
    </row>
    <row r="10360" spans="2:2">
      <c r="B10360" s="36"/>
    </row>
    <row r="10361" spans="2:2">
      <c r="B10361" s="36"/>
    </row>
    <row r="10362" spans="2:2">
      <c r="B10362" s="36"/>
    </row>
    <row r="10363" spans="2:2">
      <c r="B10363" s="36"/>
    </row>
    <row r="10364" spans="2:2">
      <c r="B10364" s="36"/>
    </row>
    <row r="10365" spans="2:2">
      <c r="B10365" s="36"/>
    </row>
    <row r="10366" spans="2:2">
      <c r="B10366" s="36"/>
    </row>
    <row r="10367" spans="2:2">
      <c r="B10367" s="36"/>
    </row>
    <row r="10368" spans="2:2">
      <c r="B10368" s="36"/>
    </row>
    <row r="10369" spans="2:2">
      <c r="B10369" s="36"/>
    </row>
    <row r="10370" spans="2:2">
      <c r="B10370" s="36"/>
    </row>
    <row r="10371" spans="2:2">
      <c r="B10371" s="36"/>
    </row>
    <row r="10372" spans="2:2">
      <c r="B10372" s="36"/>
    </row>
    <row r="10373" spans="2:2">
      <c r="B10373" s="36"/>
    </row>
    <row r="10374" spans="2:2">
      <c r="B10374" s="36"/>
    </row>
    <row r="10375" spans="2:2">
      <c r="B10375" s="36"/>
    </row>
    <row r="10376" spans="2:2">
      <c r="B10376" s="36"/>
    </row>
    <row r="10377" spans="2:2">
      <c r="B10377" s="36"/>
    </row>
    <row r="10378" spans="2:2">
      <c r="B10378" s="36"/>
    </row>
    <row r="10379" spans="2:2">
      <c r="B10379" s="36"/>
    </row>
    <row r="10380" spans="2:2">
      <c r="B10380" s="36"/>
    </row>
    <row r="10381" spans="2:2">
      <c r="B10381" s="36"/>
    </row>
    <row r="10382" spans="2:2">
      <c r="B10382" s="36"/>
    </row>
    <row r="10383" spans="2:2">
      <c r="B10383" s="36"/>
    </row>
    <row r="10384" spans="2:2">
      <c r="B10384" s="36"/>
    </row>
    <row r="10385" spans="2:2">
      <c r="B10385" s="36"/>
    </row>
    <row r="10386" spans="2:2">
      <c r="B10386" s="36"/>
    </row>
    <row r="10387" spans="2:2">
      <c r="B10387" s="36"/>
    </row>
    <row r="10388" spans="2:2">
      <c r="B10388" s="36"/>
    </row>
    <row r="10389" spans="2:2">
      <c r="B10389" s="36"/>
    </row>
    <row r="10390" spans="2:2">
      <c r="B10390" s="36"/>
    </row>
    <row r="10391" spans="2:2">
      <c r="B10391" s="36"/>
    </row>
    <row r="10392" spans="2:2">
      <c r="B10392" s="36"/>
    </row>
    <row r="10393" spans="2:2">
      <c r="B10393" s="36"/>
    </row>
    <row r="10394" spans="2:2">
      <c r="B10394" s="36"/>
    </row>
    <row r="10395" spans="2:2">
      <c r="B10395" s="36"/>
    </row>
    <row r="10396" spans="2:2">
      <c r="B10396" s="36"/>
    </row>
    <row r="10397" spans="2:2">
      <c r="B10397" s="36"/>
    </row>
    <row r="10398" spans="2:2">
      <c r="B10398" s="36"/>
    </row>
    <row r="10399" spans="2:2">
      <c r="B10399" s="36"/>
    </row>
    <row r="10400" spans="2:2">
      <c r="B10400" s="36"/>
    </row>
    <row r="10401" spans="2:2">
      <c r="B10401" s="36"/>
    </row>
    <row r="10402" spans="2:2">
      <c r="B10402" s="36"/>
    </row>
    <row r="10403" spans="2:2">
      <c r="B10403" s="36"/>
    </row>
    <row r="10404" spans="2:2">
      <c r="B10404" s="36"/>
    </row>
    <row r="10405" spans="2:2">
      <c r="B10405" s="36"/>
    </row>
    <row r="10406" spans="2:2">
      <c r="B10406" s="36"/>
    </row>
    <row r="10407" spans="2:2">
      <c r="B10407" s="36"/>
    </row>
    <row r="10408" spans="2:2">
      <c r="B10408" s="36"/>
    </row>
    <row r="10409" spans="2:2">
      <c r="B10409" s="36"/>
    </row>
    <row r="10410" spans="2:2">
      <c r="B10410" s="36"/>
    </row>
    <row r="10411" spans="2:2">
      <c r="B10411" s="36"/>
    </row>
    <row r="10412" spans="2:2">
      <c r="B10412" s="36"/>
    </row>
    <row r="10413" spans="2:2">
      <c r="B10413" s="36"/>
    </row>
    <row r="10414" spans="2:2">
      <c r="B10414" s="36"/>
    </row>
    <row r="10415" spans="2:2">
      <c r="B10415" s="36"/>
    </row>
    <row r="10416" spans="2:2">
      <c r="B10416" s="36"/>
    </row>
    <row r="10417" spans="2:2">
      <c r="B10417" s="36"/>
    </row>
    <row r="10418" spans="2:2">
      <c r="B10418" s="36"/>
    </row>
    <row r="10419" spans="2:2">
      <c r="B10419" s="36"/>
    </row>
    <row r="10420" spans="2:2">
      <c r="B10420" s="36"/>
    </row>
    <row r="10421" spans="2:2">
      <c r="B10421" s="36"/>
    </row>
    <row r="10422" spans="2:2">
      <c r="B10422" s="36"/>
    </row>
    <row r="10423" spans="2:2">
      <c r="B10423" s="36"/>
    </row>
    <row r="10424" spans="2:2">
      <c r="B10424" s="36"/>
    </row>
    <row r="10425" spans="2:2">
      <c r="B10425" s="36"/>
    </row>
    <row r="10426" spans="2:2">
      <c r="B10426" s="36"/>
    </row>
    <row r="10427" spans="2:2">
      <c r="B10427" s="36"/>
    </row>
    <row r="10428" spans="2:2">
      <c r="B10428" s="36"/>
    </row>
    <row r="10429" spans="2:2">
      <c r="B10429" s="36"/>
    </row>
    <row r="10430" spans="2:2">
      <c r="B10430" s="36"/>
    </row>
    <row r="10431" spans="2:2">
      <c r="B10431" s="36"/>
    </row>
    <row r="10432" spans="2:2">
      <c r="B10432" s="36"/>
    </row>
    <row r="10433" spans="2:2">
      <c r="B10433" s="36"/>
    </row>
    <row r="10434" spans="2:2">
      <c r="B10434" s="36"/>
    </row>
    <row r="10435" spans="2:2">
      <c r="B10435" s="36"/>
    </row>
    <row r="10436" spans="2:2">
      <c r="B10436" s="36"/>
    </row>
    <row r="10437" spans="2:2">
      <c r="B10437" s="36"/>
    </row>
    <row r="10438" spans="2:2">
      <c r="B10438" s="36"/>
    </row>
    <row r="10439" spans="2:2">
      <c r="B10439" s="36"/>
    </row>
    <row r="10440" spans="2:2">
      <c r="B10440" s="36"/>
    </row>
    <row r="10441" spans="2:2">
      <c r="B10441" s="36"/>
    </row>
    <row r="10442" spans="2:2">
      <c r="B10442" s="36"/>
    </row>
    <row r="10443" spans="2:2">
      <c r="B10443" s="36"/>
    </row>
    <row r="10444" spans="2:2">
      <c r="B10444" s="36"/>
    </row>
    <row r="10445" spans="2:2">
      <c r="B10445" s="36"/>
    </row>
    <row r="10446" spans="2:2">
      <c r="B10446" s="36"/>
    </row>
    <row r="10447" spans="2:2">
      <c r="B10447" s="36"/>
    </row>
    <row r="10448" spans="2:2">
      <c r="B10448" s="36"/>
    </row>
    <row r="10449" spans="2:2">
      <c r="B10449" s="36"/>
    </row>
    <row r="10450" spans="2:2">
      <c r="B10450" s="36"/>
    </row>
    <row r="10451" spans="2:2">
      <c r="B10451" s="36"/>
    </row>
    <row r="10452" spans="2:2">
      <c r="B10452" s="36"/>
    </row>
    <row r="10453" spans="2:2">
      <c r="B10453" s="36"/>
    </row>
    <row r="10454" spans="2:2">
      <c r="B10454" s="36"/>
    </row>
    <row r="10455" spans="2:2">
      <c r="B10455" s="36"/>
    </row>
    <row r="10456" spans="2:2">
      <c r="B10456" s="36"/>
    </row>
    <row r="10457" spans="2:2">
      <c r="B10457" s="36"/>
    </row>
    <row r="10458" spans="2:2">
      <c r="B10458" s="36"/>
    </row>
    <row r="10459" spans="2:2">
      <c r="B10459" s="36"/>
    </row>
    <row r="10460" spans="2:2">
      <c r="B10460" s="36"/>
    </row>
    <row r="10461" spans="2:2">
      <c r="B10461" s="36"/>
    </row>
    <row r="10462" spans="2:2">
      <c r="B10462" s="36"/>
    </row>
    <row r="10463" spans="2:2">
      <c r="B10463" s="36"/>
    </row>
    <row r="10464" spans="2:2">
      <c r="B10464" s="36"/>
    </row>
    <row r="10465" spans="2:2">
      <c r="B10465" s="36"/>
    </row>
    <row r="10466" spans="2:2">
      <c r="B10466" s="36"/>
    </row>
    <row r="10467" spans="2:2">
      <c r="B10467" s="36"/>
    </row>
    <row r="10468" spans="2:2">
      <c r="B10468" s="36"/>
    </row>
    <row r="10469" spans="2:2">
      <c r="B10469" s="36"/>
    </row>
    <row r="10470" spans="2:2">
      <c r="B10470" s="36"/>
    </row>
    <row r="10471" spans="2:2">
      <c r="B10471" s="36"/>
    </row>
    <row r="10472" spans="2:2">
      <c r="B10472" s="36"/>
    </row>
    <row r="10473" spans="2:2">
      <c r="B10473" s="36"/>
    </row>
    <row r="10474" spans="2:2">
      <c r="B10474" s="36"/>
    </row>
    <row r="10475" spans="2:2">
      <c r="B10475" s="36"/>
    </row>
    <row r="10476" spans="2:2">
      <c r="B10476" s="36"/>
    </row>
    <row r="10477" spans="2:2">
      <c r="B10477" s="36"/>
    </row>
    <row r="10478" spans="2:2">
      <c r="B10478" s="36"/>
    </row>
    <row r="10479" spans="2:2">
      <c r="B10479" s="36"/>
    </row>
    <row r="10480" spans="2:2">
      <c r="B10480" s="36"/>
    </row>
    <row r="10481" spans="2:2">
      <c r="B10481" s="36"/>
    </row>
    <row r="10482" spans="2:2">
      <c r="B10482" s="36"/>
    </row>
    <row r="10483" spans="2:2">
      <c r="B10483" s="36"/>
    </row>
    <row r="10484" spans="2:2">
      <c r="B10484" s="36"/>
    </row>
    <row r="10485" spans="2:2">
      <c r="B10485" s="36"/>
    </row>
    <row r="10486" spans="2:2">
      <c r="B10486" s="36"/>
    </row>
    <row r="10487" spans="2:2">
      <c r="B10487" s="36"/>
    </row>
    <row r="10488" spans="2:2">
      <c r="B10488" s="36"/>
    </row>
    <row r="10489" spans="2:2">
      <c r="B10489" s="36"/>
    </row>
    <row r="10490" spans="2:2">
      <c r="B10490" s="36"/>
    </row>
    <row r="10491" spans="2:2">
      <c r="B10491" s="36"/>
    </row>
    <row r="10492" spans="2:2">
      <c r="B10492" s="36"/>
    </row>
    <row r="10493" spans="2:2">
      <c r="B10493" s="36"/>
    </row>
    <row r="10494" spans="2:2">
      <c r="B10494" s="36"/>
    </row>
    <row r="10495" spans="2:2">
      <c r="B10495" s="36"/>
    </row>
    <row r="10496" spans="2:2">
      <c r="B10496" s="36"/>
    </row>
    <row r="10497" spans="2:2">
      <c r="B10497" s="36"/>
    </row>
    <row r="10498" spans="2:2">
      <c r="B10498" s="36"/>
    </row>
    <row r="10499" spans="2:2">
      <c r="B10499" s="36"/>
    </row>
    <row r="10500" spans="2:2">
      <c r="B10500" s="36"/>
    </row>
    <row r="10501" spans="2:2">
      <c r="B10501" s="36"/>
    </row>
    <row r="10502" spans="2:2">
      <c r="B10502" s="36"/>
    </row>
    <row r="10503" spans="2:2">
      <c r="B10503" s="36"/>
    </row>
    <row r="10504" spans="2:2">
      <c r="B10504" s="36"/>
    </row>
    <row r="10505" spans="2:2">
      <c r="B10505" s="36"/>
    </row>
    <row r="10506" spans="2:2">
      <c r="B10506" s="36"/>
    </row>
    <row r="10507" spans="2:2">
      <c r="B10507" s="36"/>
    </row>
    <row r="10508" spans="2:2">
      <c r="B10508" s="36"/>
    </row>
    <row r="10509" spans="2:2">
      <c r="B10509" s="36"/>
    </row>
    <row r="10510" spans="2:2">
      <c r="B10510" s="36"/>
    </row>
    <row r="10511" spans="2:2">
      <c r="B10511" s="36"/>
    </row>
    <row r="10512" spans="2:2">
      <c r="B10512" s="36"/>
    </row>
    <row r="10513" spans="2:2">
      <c r="B10513" s="36"/>
    </row>
    <row r="10514" spans="2:2">
      <c r="B10514" s="36"/>
    </row>
    <row r="10515" spans="2:2">
      <c r="B10515" s="36"/>
    </row>
    <row r="10516" spans="2:2">
      <c r="B10516" s="36"/>
    </row>
    <row r="10517" spans="2:2">
      <c r="B10517" s="36"/>
    </row>
    <row r="10518" spans="2:2">
      <c r="B10518" s="36"/>
    </row>
    <row r="10519" spans="2:2">
      <c r="B10519" s="36"/>
    </row>
    <row r="10520" spans="2:2">
      <c r="B10520" s="36"/>
    </row>
    <row r="10521" spans="2:2">
      <c r="B10521" s="36"/>
    </row>
    <row r="10522" spans="2:2">
      <c r="B10522" s="36"/>
    </row>
    <row r="10523" spans="2:2">
      <c r="B10523" s="36"/>
    </row>
    <row r="10524" spans="2:2">
      <c r="B10524" s="36"/>
    </row>
    <row r="10525" spans="2:2">
      <c r="B10525" s="36"/>
    </row>
    <row r="10526" spans="2:2">
      <c r="B10526" s="36"/>
    </row>
    <row r="10527" spans="2:2">
      <c r="B10527" s="36"/>
    </row>
    <row r="10528" spans="2:2">
      <c r="B10528" s="36"/>
    </row>
    <row r="10529" spans="2:2">
      <c r="B10529" s="36"/>
    </row>
    <row r="10530" spans="2:2">
      <c r="B10530" s="36"/>
    </row>
    <row r="10531" spans="2:2">
      <c r="B10531" s="36"/>
    </row>
    <row r="10532" spans="2:2">
      <c r="B10532" s="36"/>
    </row>
    <row r="10533" spans="2:2">
      <c r="B10533" s="36"/>
    </row>
    <row r="10534" spans="2:2">
      <c r="B10534" s="36"/>
    </row>
    <row r="10535" spans="2:2">
      <c r="B10535" s="36"/>
    </row>
    <row r="10536" spans="2:2">
      <c r="B10536" s="36"/>
    </row>
    <row r="10537" spans="2:2">
      <c r="B10537" s="36"/>
    </row>
    <row r="10538" spans="2:2">
      <c r="B10538" s="36"/>
    </row>
    <row r="10539" spans="2:2">
      <c r="B10539" s="36"/>
    </row>
    <row r="10540" spans="2:2">
      <c r="B10540" s="36"/>
    </row>
    <row r="10541" spans="2:2">
      <c r="B10541" s="36"/>
    </row>
    <row r="10542" spans="2:2">
      <c r="B10542" s="36"/>
    </row>
    <row r="10543" spans="2:2">
      <c r="B10543" s="36"/>
    </row>
    <row r="10544" spans="2:2">
      <c r="B10544" s="36"/>
    </row>
    <row r="10545" spans="2:2">
      <c r="B10545" s="36"/>
    </row>
    <row r="10546" spans="2:2">
      <c r="B10546" s="36"/>
    </row>
    <row r="10547" spans="2:2">
      <c r="B10547" s="36"/>
    </row>
    <row r="10548" spans="2:2">
      <c r="B10548" s="36"/>
    </row>
    <row r="10549" spans="2:2">
      <c r="B10549" s="36"/>
    </row>
    <row r="10550" spans="2:2">
      <c r="B10550" s="36"/>
    </row>
    <row r="10551" spans="2:2">
      <c r="B10551" s="36"/>
    </row>
    <row r="10552" spans="2:2">
      <c r="B10552" s="36"/>
    </row>
    <row r="10553" spans="2:2">
      <c r="B10553" s="36"/>
    </row>
    <row r="10554" spans="2:2">
      <c r="B10554" s="36"/>
    </row>
    <row r="10555" spans="2:2">
      <c r="B10555" s="36"/>
    </row>
    <row r="10556" spans="2:2">
      <c r="B10556" s="36"/>
    </row>
    <row r="10557" spans="2:2">
      <c r="B10557" s="36"/>
    </row>
    <row r="10558" spans="2:2">
      <c r="B10558" s="36"/>
    </row>
    <row r="10559" spans="2:2">
      <c r="B10559" s="36"/>
    </row>
    <row r="10560" spans="2:2">
      <c r="B10560" s="36"/>
    </row>
    <row r="10561" spans="2:2">
      <c r="B10561" s="36"/>
    </row>
    <row r="10562" spans="2:2">
      <c r="B10562" s="36"/>
    </row>
    <row r="10563" spans="2:2">
      <c r="B10563" s="36"/>
    </row>
    <row r="10564" spans="2:2">
      <c r="B10564" s="36"/>
    </row>
    <row r="10565" spans="2:2">
      <c r="B10565" s="36"/>
    </row>
    <row r="10566" spans="2:2">
      <c r="B10566" s="36"/>
    </row>
    <row r="10567" spans="2:2">
      <c r="B10567" s="36"/>
    </row>
    <row r="10568" spans="2:2">
      <c r="B10568" s="36"/>
    </row>
    <row r="10569" spans="2:2">
      <c r="B10569" s="36"/>
    </row>
    <row r="10570" spans="2:2">
      <c r="B10570" s="36"/>
    </row>
    <row r="10571" spans="2:2">
      <c r="B10571" s="36"/>
    </row>
    <row r="10572" spans="2:2">
      <c r="B10572" s="36"/>
    </row>
    <row r="10573" spans="2:2">
      <c r="B10573" s="36"/>
    </row>
    <row r="10574" spans="2:2">
      <c r="B10574" s="36"/>
    </row>
    <row r="10575" spans="2:2">
      <c r="B10575" s="36"/>
    </row>
    <row r="10576" spans="2:2">
      <c r="B10576" s="36"/>
    </row>
    <row r="10577" spans="2:2">
      <c r="B10577" s="36"/>
    </row>
    <row r="10578" spans="2:2">
      <c r="B10578" s="36"/>
    </row>
    <row r="10579" spans="2:2">
      <c r="B10579" s="36"/>
    </row>
    <row r="10580" spans="2:2">
      <c r="B10580" s="36"/>
    </row>
    <row r="10581" spans="2:2">
      <c r="B10581" s="36"/>
    </row>
    <row r="10582" spans="2:2">
      <c r="B10582" s="36"/>
    </row>
    <row r="10583" spans="2:2">
      <c r="B10583" s="36"/>
    </row>
    <row r="10584" spans="2:2">
      <c r="B10584" s="36"/>
    </row>
    <row r="10585" spans="2:2">
      <c r="B10585" s="36"/>
    </row>
    <row r="10586" spans="2:2">
      <c r="B10586" s="36"/>
    </row>
    <row r="10587" spans="2:2">
      <c r="B10587" s="36"/>
    </row>
    <row r="10588" spans="2:2">
      <c r="B10588" s="36"/>
    </row>
    <row r="10589" spans="2:2">
      <c r="B10589" s="36"/>
    </row>
    <row r="10590" spans="2:2">
      <c r="B10590" s="36"/>
    </row>
    <row r="10591" spans="2:2">
      <c r="B10591" s="36"/>
    </row>
    <row r="10592" spans="2:2">
      <c r="B10592" s="36"/>
    </row>
    <row r="10593" spans="2:2">
      <c r="B10593" s="36"/>
    </row>
    <row r="10594" spans="2:2">
      <c r="B10594" s="36"/>
    </row>
    <row r="10595" spans="2:2">
      <c r="B10595" s="36"/>
    </row>
    <row r="10596" spans="2:2">
      <c r="B10596" s="36"/>
    </row>
    <row r="10597" spans="2:2">
      <c r="B10597" s="36"/>
    </row>
    <row r="10598" spans="2:2">
      <c r="B10598" s="36"/>
    </row>
    <row r="10599" spans="2:2">
      <c r="B10599" s="36"/>
    </row>
    <row r="10600" spans="2:2">
      <c r="B10600" s="36"/>
    </row>
    <row r="10601" spans="2:2">
      <c r="B10601" s="36"/>
    </row>
    <row r="10602" spans="2:2">
      <c r="B10602" s="36"/>
    </row>
    <row r="10603" spans="2:2">
      <c r="B10603" s="36"/>
    </row>
    <row r="10604" spans="2:2">
      <c r="B10604" s="36"/>
    </row>
    <row r="10605" spans="2:2">
      <c r="B10605" s="36"/>
    </row>
    <row r="10606" spans="2:2">
      <c r="B10606" s="36"/>
    </row>
    <row r="10607" spans="2:2">
      <c r="B10607" s="36"/>
    </row>
    <row r="10608" spans="2:2">
      <c r="B10608" s="36"/>
    </row>
    <row r="10609" spans="2:2">
      <c r="B10609" s="36"/>
    </row>
    <row r="10610" spans="2:2">
      <c r="B10610" s="36"/>
    </row>
    <row r="10611" spans="2:2">
      <c r="B10611" s="36"/>
    </row>
    <row r="10612" spans="2:2">
      <c r="B10612" s="36"/>
    </row>
    <row r="10613" spans="2:2">
      <c r="B10613" s="36"/>
    </row>
    <row r="10614" spans="2:2">
      <c r="B10614" s="36"/>
    </row>
    <row r="10615" spans="2:2">
      <c r="B10615" s="36"/>
    </row>
    <row r="10616" spans="2:2">
      <c r="B10616" s="36"/>
    </row>
    <row r="10617" spans="2:2">
      <c r="B10617" s="36"/>
    </row>
    <row r="10618" spans="2:2">
      <c r="B10618" s="36"/>
    </row>
    <row r="10619" spans="2:2">
      <c r="B10619" s="36"/>
    </row>
    <row r="10620" spans="2:2">
      <c r="B10620" s="36"/>
    </row>
    <row r="10621" spans="2:2">
      <c r="B10621" s="36"/>
    </row>
    <row r="10622" spans="2:2">
      <c r="B10622" s="36"/>
    </row>
    <row r="10623" spans="2:2">
      <c r="B10623" s="36"/>
    </row>
    <row r="10624" spans="2:2">
      <c r="B10624" s="36"/>
    </row>
    <row r="10625" spans="2:2">
      <c r="B10625" s="36"/>
    </row>
    <row r="10626" spans="2:2">
      <c r="B10626" s="36"/>
    </row>
    <row r="10627" spans="2:2">
      <c r="B10627" s="36"/>
    </row>
    <row r="10628" spans="2:2">
      <c r="B10628" s="36"/>
    </row>
    <row r="10629" spans="2:2">
      <c r="B10629" s="36"/>
    </row>
    <row r="10630" spans="2:2">
      <c r="B10630" s="36"/>
    </row>
    <row r="10631" spans="2:2">
      <c r="B10631" s="36"/>
    </row>
    <row r="10632" spans="2:2">
      <c r="B10632" s="36"/>
    </row>
    <row r="10633" spans="2:2">
      <c r="B10633" s="36"/>
    </row>
    <row r="10634" spans="2:2">
      <c r="B10634" s="36"/>
    </row>
    <row r="10635" spans="2:2">
      <c r="B10635" s="36"/>
    </row>
    <row r="10636" spans="2:2">
      <c r="B10636" s="36"/>
    </row>
    <row r="10637" spans="2:2">
      <c r="B10637" s="36"/>
    </row>
    <row r="10638" spans="2:2">
      <c r="B10638" s="36"/>
    </row>
    <row r="10639" spans="2:2">
      <c r="B10639" s="36"/>
    </row>
    <row r="10640" spans="2:2">
      <c r="B10640" s="36"/>
    </row>
    <row r="10641" spans="2:2">
      <c r="B10641" s="36"/>
    </row>
    <row r="10642" spans="2:2">
      <c r="B10642" s="36"/>
    </row>
    <row r="10643" spans="2:2">
      <c r="B10643" s="36"/>
    </row>
    <row r="10644" spans="2:2">
      <c r="B10644" s="36"/>
    </row>
    <row r="10645" spans="2:2">
      <c r="B10645" s="36"/>
    </row>
    <row r="10646" spans="2:2">
      <c r="B10646" s="36"/>
    </row>
    <row r="10647" spans="2:2">
      <c r="B10647" s="36"/>
    </row>
    <row r="10648" spans="2:2">
      <c r="B10648" s="36"/>
    </row>
    <row r="10649" spans="2:2">
      <c r="B10649" s="36"/>
    </row>
    <row r="10650" spans="2:2">
      <c r="B10650" s="36"/>
    </row>
    <row r="10651" spans="2:2">
      <c r="B10651" s="36"/>
    </row>
    <row r="10652" spans="2:2">
      <c r="B10652" s="36"/>
    </row>
    <row r="10653" spans="2:2">
      <c r="B10653" s="36"/>
    </row>
    <row r="10654" spans="2:2">
      <c r="B10654" s="36"/>
    </row>
    <row r="10655" spans="2:2">
      <c r="B10655" s="36"/>
    </row>
    <row r="10656" spans="2:2">
      <c r="B10656" s="36"/>
    </row>
    <row r="10657" spans="2:2">
      <c r="B10657" s="36"/>
    </row>
    <row r="10658" spans="2:2">
      <c r="B10658" s="36"/>
    </row>
    <row r="10659" spans="2:2">
      <c r="B10659" s="36"/>
    </row>
    <row r="10660" spans="2:2">
      <c r="B10660" s="36"/>
    </row>
    <row r="10661" spans="2:2">
      <c r="B10661" s="36"/>
    </row>
    <row r="10662" spans="2:2">
      <c r="B10662" s="36"/>
    </row>
    <row r="10663" spans="2:2">
      <c r="B10663" s="36"/>
    </row>
    <row r="10664" spans="2:2">
      <c r="B10664" s="36"/>
    </row>
    <row r="10665" spans="2:2">
      <c r="B10665" s="36"/>
    </row>
    <row r="10666" spans="2:2">
      <c r="B10666" s="36"/>
    </row>
    <row r="10667" spans="2:2">
      <c r="B10667" s="36"/>
    </row>
    <row r="10668" spans="2:2">
      <c r="B10668" s="36"/>
    </row>
    <row r="10669" spans="2:2">
      <c r="B10669" s="36"/>
    </row>
    <row r="10670" spans="2:2">
      <c r="B10670" s="36"/>
    </row>
    <row r="10671" spans="2:2">
      <c r="B10671" s="36"/>
    </row>
    <row r="10672" spans="2:2">
      <c r="B10672" s="36"/>
    </row>
    <row r="10673" spans="2:2">
      <c r="B10673" s="36"/>
    </row>
    <row r="10674" spans="2:2">
      <c r="B10674" s="36"/>
    </row>
    <row r="10675" spans="2:2">
      <c r="B10675" s="36"/>
    </row>
    <row r="10676" spans="2:2">
      <c r="B10676" s="36"/>
    </row>
    <row r="10677" spans="2:2">
      <c r="B10677" s="36"/>
    </row>
    <row r="10678" spans="2:2">
      <c r="B10678" s="36"/>
    </row>
    <row r="10679" spans="2:2">
      <c r="B10679" s="36"/>
    </row>
    <row r="10680" spans="2:2">
      <c r="B10680" s="36"/>
    </row>
    <row r="10681" spans="2:2">
      <c r="B10681" s="36"/>
    </row>
    <row r="10682" spans="2:2">
      <c r="B10682" s="36"/>
    </row>
    <row r="10683" spans="2:2">
      <c r="B10683" s="36"/>
    </row>
    <row r="10684" spans="2:2">
      <c r="B10684" s="36"/>
    </row>
    <row r="10685" spans="2:2">
      <c r="B10685" s="36"/>
    </row>
    <row r="10686" spans="2:2">
      <c r="B10686" s="36"/>
    </row>
    <row r="10687" spans="2:2">
      <c r="B10687" s="36"/>
    </row>
    <row r="10688" spans="2:2">
      <c r="B10688" s="36"/>
    </row>
    <row r="10689" spans="2:2">
      <c r="B10689" s="36"/>
    </row>
    <row r="10690" spans="2:2">
      <c r="B10690" s="36"/>
    </row>
    <row r="10691" spans="2:2">
      <c r="B10691" s="36"/>
    </row>
    <row r="10692" spans="2:2">
      <c r="B10692" s="36"/>
    </row>
    <row r="10693" spans="2:2">
      <c r="B10693" s="36"/>
    </row>
    <row r="10694" spans="2:2">
      <c r="B10694" s="36"/>
    </row>
    <row r="10695" spans="2:2">
      <c r="B10695" s="36"/>
    </row>
    <row r="10696" spans="2:2">
      <c r="B10696" s="36"/>
    </row>
    <row r="10697" spans="2:2">
      <c r="B10697" s="36"/>
    </row>
    <row r="10698" spans="2:2">
      <c r="B10698" s="36"/>
    </row>
    <row r="10699" spans="2:2">
      <c r="B10699" s="36"/>
    </row>
    <row r="10700" spans="2:2">
      <c r="B10700" s="36"/>
    </row>
    <row r="10701" spans="2:2">
      <c r="B10701" s="36"/>
    </row>
    <row r="10702" spans="2:2">
      <c r="B10702" s="36"/>
    </row>
    <row r="10703" spans="2:2">
      <c r="B10703" s="36"/>
    </row>
    <row r="10704" spans="2:2">
      <c r="B10704" s="36"/>
    </row>
    <row r="10705" spans="2:2">
      <c r="B10705" s="36"/>
    </row>
    <row r="10706" spans="2:2">
      <c r="B10706" s="36"/>
    </row>
    <row r="10707" spans="2:2">
      <c r="B10707" s="36"/>
    </row>
    <row r="10708" spans="2:2">
      <c r="B10708" s="36"/>
    </row>
    <row r="10709" spans="2:2">
      <c r="B10709" s="36"/>
    </row>
    <row r="10710" spans="2:2">
      <c r="B10710" s="36"/>
    </row>
    <row r="10711" spans="2:2">
      <c r="B10711" s="36"/>
    </row>
    <row r="10712" spans="2:2">
      <c r="B10712" s="36"/>
    </row>
    <row r="10713" spans="2:2">
      <c r="B10713" s="36"/>
    </row>
    <row r="10714" spans="2:2">
      <c r="B10714" s="36"/>
    </row>
    <row r="10715" spans="2:2">
      <c r="B10715" s="36"/>
    </row>
    <row r="10716" spans="2:2">
      <c r="B10716" s="36"/>
    </row>
    <row r="10717" spans="2:2">
      <c r="B10717" s="36"/>
    </row>
    <row r="10718" spans="2:2">
      <c r="B10718" s="36"/>
    </row>
    <row r="10719" spans="2:2">
      <c r="B10719" s="36"/>
    </row>
    <row r="10720" spans="2:2">
      <c r="B10720" s="36"/>
    </row>
    <row r="10721" spans="2:2">
      <c r="B10721" s="36"/>
    </row>
    <row r="10722" spans="2:2">
      <c r="B10722" s="36"/>
    </row>
    <row r="10723" spans="2:2">
      <c r="B10723" s="36"/>
    </row>
    <row r="10724" spans="2:2">
      <c r="B10724" s="36"/>
    </row>
    <row r="10725" spans="2:2">
      <c r="B10725" s="36"/>
    </row>
    <row r="10726" spans="2:2">
      <c r="B10726" s="36"/>
    </row>
    <row r="10727" spans="2:2">
      <c r="B10727" s="36"/>
    </row>
    <row r="10728" spans="2:2">
      <c r="B10728" s="36"/>
    </row>
    <row r="10729" spans="2:2">
      <c r="B10729" s="36"/>
    </row>
    <row r="10730" spans="2:2">
      <c r="B10730" s="36"/>
    </row>
    <row r="10731" spans="2:2">
      <c r="B10731" s="36"/>
    </row>
    <row r="10732" spans="2:2">
      <c r="B10732" s="36"/>
    </row>
    <row r="10733" spans="2:2">
      <c r="B10733" s="36"/>
    </row>
    <row r="10734" spans="2:2">
      <c r="B10734" s="36"/>
    </row>
    <row r="10735" spans="2:2">
      <c r="B10735" s="36"/>
    </row>
    <row r="10736" spans="2:2">
      <c r="B10736" s="36"/>
    </row>
    <row r="10737" spans="2:2">
      <c r="B10737" s="36"/>
    </row>
    <row r="10738" spans="2:2">
      <c r="B10738" s="36"/>
    </row>
    <row r="10739" spans="2:2">
      <c r="B10739" s="36"/>
    </row>
    <row r="10740" spans="2:2">
      <c r="B10740" s="36"/>
    </row>
    <row r="10741" spans="2:2">
      <c r="B10741" s="36"/>
    </row>
    <row r="10742" spans="2:2">
      <c r="B10742" s="36"/>
    </row>
    <row r="10743" spans="2:2">
      <c r="B10743" s="36"/>
    </row>
    <row r="10744" spans="2:2">
      <c r="B10744" s="36"/>
    </row>
    <row r="10745" spans="2:2">
      <c r="B10745" s="36"/>
    </row>
    <row r="10746" spans="2:2">
      <c r="B10746" s="36"/>
    </row>
    <row r="10747" spans="2:2">
      <c r="B10747" s="36"/>
    </row>
    <row r="10748" spans="2:2">
      <c r="B10748" s="36"/>
    </row>
    <row r="10749" spans="2:2">
      <c r="B10749" s="36"/>
    </row>
    <row r="10750" spans="2:2">
      <c r="B10750" s="36"/>
    </row>
    <row r="10751" spans="2:2">
      <c r="B10751" s="36"/>
    </row>
    <row r="10752" spans="2:2">
      <c r="B10752" s="36"/>
    </row>
    <row r="10753" spans="2:2">
      <c r="B10753" s="36"/>
    </row>
    <row r="10754" spans="2:2">
      <c r="B10754" s="36"/>
    </row>
    <row r="10755" spans="2:2">
      <c r="B10755" s="36"/>
    </row>
    <row r="10756" spans="2:2">
      <c r="B10756" s="36"/>
    </row>
    <row r="10757" spans="2:2">
      <c r="B10757" s="36"/>
    </row>
    <row r="10758" spans="2:2">
      <c r="B10758" s="36"/>
    </row>
    <row r="10759" spans="2:2">
      <c r="B10759" s="36"/>
    </row>
    <row r="10760" spans="2:2">
      <c r="B10760" s="36"/>
    </row>
    <row r="10761" spans="2:2">
      <c r="B10761" s="36"/>
    </row>
    <row r="10762" spans="2:2">
      <c r="B10762" s="36"/>
    </row>
    <row r="10763" spans="2:2">
      <c r="B10763" s="36"/>
    </row>
    <row r="10764" spans="2:2">
      <c r="B10764" s="36"/>
    </row>
    <row r="10765" spans="2:2">
      <c r="B10765" s="36"/>
    </row>
    <row r="10766" spans="2:2">
      <c r="B10766" s="36"/>
    </row>
    <row r="10767" spans="2:2">
      <c r="B10767" s="36"/>
    </row>
    <row r="10768" spans="2:2">
      <c r="B10768" s="36"/>
    </row>
    <row r="10769" spans="2:2">
      <c r="B10769" s="36"/>
    </row>
    <row r="10770" spans="2:2">
      <c r="B10770" s="36"/>
    </row>
    <row r="10771" spans="2:2">
      <c r="B10771" s="36"/>
    </row>
    <row r="10772" spans="2:2">
      <c r="B10772" s="36"/>
    </row>
    <row r="10773" spans="2:2">
      <c r="B10773" s="36"/>
    </row>
    <row r="10774" spans="2:2">
      <c r="B10774" s="36"/>
    </row>
    <row r="10775" spans="2:2">
      <c r="B10775" s="36"/>
    </row>
    <row r="10776" spans="2:2">
      <c r="B10776" s="36"/>
    </row>
    <row r="10777" spans="2:2">
      <c r="B10777" s="36"/>
    </row>
    <row r="10778" spans="2:2">
      <c r="B10778" s="36"/>
    </row>
    <row r="10779" spans="2:2">
      <c r="B10779" s="36"/>
    </row>
    <row r="10780" spans="2:2">
      <c r="B10780" s="36"/>
    </row>
    <row r="10781" spans="2:2">
      <c r="B10781" s="36"/>
    </row>
    <row r="10782" spans="2:2">
      <c r="B10782" s="36"/>
    </row>
    <row r="10783" spans="2:2">
      <c r="B10783" s="36"/>
    </row>
    <row r="10784" spans="2:2">
      <c r="B10784" s="36"/>
    </row>
    <row r="10785" spans="2:2">
      <c r="B10785" s="36"/>
    </row>
    <row r="10786" spans="2:2">
      <c r="B10786" s="36"/>
    </row>
    <row r="10787" spans="2:2">
      <c r="B10787" s="36"/>
    </row>
    <row r="10788" spans="2:2">
      <c r="B10788" s="36"/>
    </row>
    <row r="10789" spans="2:2">
      <c r="B10789" s="36"/>
    </row>
    <row r="10790" spans="2:2">
      <c r="B10790" s="36"/>
    </row>
    <row r="10791" spans="2:2">
      <c r="B10791" s="36"/>
    </row>
    <row r="10792" spans="2:2">
      <c r="B10792" s="36"/>
    </row>
    <row r="10793" spans="2:2">
      <c r="B10793" s="36"/>
    </row>
    <row r="10794" spans="2:2">
      <c r="B10794" s="36"/>
    </row>
    <row r="10795" spans="2:2">
      <c r="B10795" s="36"/>
    </row>
    <row r="10796" spans="2:2">
      <c r="B10796" s="36"/>
    </row>
    <row r="10797" spans="2:2">
      <c r="B10797" s="36"/>
    </row>
    <row r="10798" spans="2:2">
      <c r="B10798" s="36"/>
    </row>
    <row r="10799" spans="2:2">
      <c r="B10799" s="36"/>
    </row>
    <row r="10800" spans="2:2">
      <c r="B10800" s="36"/>
    </row>
    <row r="10801" spans="2:2">
      <c r="B10801" s="36"/>
    </row>
    <row r="10802" spans="2:2">
      <c r="B10802" s="36"/>
    </row>
    <row r="10803" spans="2:2">
      <c r="B10803" s="36"/>
    </row>
    <row r="10804" spans="2:2">
      <c r="B10804" s="36"/>
    </row>
    <row r="10805" spans="2:2">
      <c r="B10805" s="36"/>
    </row>
    <row r="10806" spans="2:2">
      <c r="B10806" s="36"/>
    </row>
    <row r="10807" spans="2:2">
      <c r="B10807" s="36"/>
    </row>
    <row r="10808" spans="2:2">
      <c r="B10808" s="36"/>
    </row>
    <row r="10809" spans="2:2">
      <c r="B10809" s="36"/>
    </row>
    <row r="10810" spans="2:2">
      <c r="B10810" s="36"/>
    </row>
    <row r="10811" spans="2:2">
      <c r="B10811" s="36"/>
    </row>
    <row r="10812" spans="2:2">
      <c r="B10812" s="36"/>
    </row>
    <row r="10813" spans="2:2">
      <c r="B10813" s="36"/>
    </row>
    <row r="10814" spans="2:2">
      <c r="B10814" s="36"/>
    </row>
    <row r="10815" spans="2:2">
      <c r="B10815" s="36"/>
    </row>
    <row r="10816" spans="2:2">
      <c r="B10816" s="36"/>
    </row>
    <row r="10817" spans="2:2">
      <c r="B10817" s="36"/>
    </row>
    <row r="10818" spans="2:2">
      <c r="B10818" s="36"/>
    </row>
    <row r="10819" spans="2:2">
      <c r="B10819" s="36"/>
    </row>
    <row r="10820" spans="2:2">
      <c r="B10820" s="36"/>
    </row>
    <row r="10821" spans="2:2">
      <c r="B10821" s="36"/>
    </row>
    <row r="10822" spans="2:2">
      <c r="B10822" s="36"/>
    </row>
    <row r="10823" spans="2:2">
      <c r="B10823" s="36"/>
    </row>
    <row r="10824" spans="2:2">
      <c r="B10824" s="36"/>
    </row>
    <row r="10825" spans="2:2">
      <c r="B10825" s="36"/>
    </row>
    <row r="10826" spans="2:2">
      <c r="B10826" s="36"/>
    </row>
    <row r="10827" spans="2:2">
      <c r="B10827" s="36"/>
    </row>
    <row r="10828" spans="2:2">
      <c r="B10828" s="36"/>
    </row>
    <row r="10829" spans="2:2">
      <c r="B10829" s="36"/>
    </row>
    <row r="10830" spans="2:2">
      <c r="B10830" s="36"/>
    </row>
    <row r="10831" spans="2:2">
      <c r="B10831" s="36"/>
    </row>
    <row r="10832" spans="2:2">
      <c r="B10832" s="36"/>
    </row>
    <row r="10833" spans="2:2">
      <c r="B10833" s="36"/>
    </row>
    <row r="10834" spans="2:2">
      <c r="B10834" s="36"/>
    </row>
    <row r="10835" spans="2:2">
      <c r="B10835" s="36"/>
    </row>
    <row r="10836" spans="2:2">
      <c r="B10836" s="36"/>
    </row>
    <row r="10837" spans="2:2">
      <c r="B10837" s="36"/>
    </row>
    <row r="10838" spans="2:2">
      <c r="B10838" s="36"/>
    </row>
    <row r="10839" spans="2:2">
      <c r="B10839" s="36"/>
    </row>
    <row r="10840" spans="2:2">
      <c r="B10840" s="36"/>
    </row>
    <row r="10841" spans="2:2">
      <c r="B10841" s="36"/>
    </row>
    <row r="10842" spans="2:2">
      <c r="B10842" s="36"/>
    </row>
    <row r="10843" spans="2:2">
      <c r="B10843" s="36"/>
    </row>
    <row r="10844" spans="2:2">
      <c r="B10844" s="36"/>
    </row>
    <row r="10845" spans="2:2">
      <c r="B10845" s="36"/>
    </row>
    <row r="10846" spans="2:2">
      <c r="B10846" s="36"/>
    </row>
    <row r="10847" spans="2:2">
      <c r="B10847" s="36"/>
    </row>
    <row r="10848" spans="2:2">
      <c r="B10848" s="36"/>
    </row>
    <row r="10849" spans="2:2">
      <c r="B10849" s="36"/>
    </row>
    <row r="10850" spans="2:2">
      <c r="B10850" s="36"/>
    </row>
    <row r="10851" spans="2:2">
      <c r="B10851" s="36"/>
    </row>
    <row r="10852" spans="2:2">
      <c r="B10852" s="36"/>
    </row>
    <row r="10853" spans="2:2">
      <c r="B10853" s="36"/>
    </row>
    <row r="10854" spans="2:2">
      <c r="B10854" s="36"/>
    </row>
    <row r="10855" spans="2:2">
      <c r="B10855" s="36"/>
    </row>
    <row r="10856" spans="2:2">
      <c r="B10856" s="36"/>
    </row>
    <row r="10857" spans="2:2">
      <c r="B10857" s="36"/>
    </row>
    <row r="10858" spans="2:2">
      <c r="B10858" s="36"/>
    </row>
    <row r="10859" spans="2:2">
      <c r="B10859" s="36"/>
    </row>
    <row r="10860" spans="2:2">
      <c r="B10860" s="36"/>
    </row>
    <row r="10861" spans="2:2">
      <c r="B10861" s="36"/>
    </row>
    <row r="10862" spans="2:2">
      <c r="B10862" s="36"/>
    </row>
    <row r="10863" spans="2:2">
      <c r="B10863" s="36"/>
    </row>
    <row r="10864" spans="2:2">
      <c r="B10864" s="36"/>
    </row>
    <row r="10865" spans="2:2">
      <c r="B10865" s="36"/>
    </row>
    <row r="10866" spans="2:2">
      <c r="B10866" s="36"/>
    </row>
    <row r="10867" spans="2:2">
      <c r="B10867" s="36"/>
    </row>
    <row r="10868" spans="2:2">
      <c r="B10868" s="36"/>
    </row>
    <row r="10869" spans="2:2">
      <c r="B10869" s="36"/>
    </row>
    <row r="10870" spans="2:2">
      <c r="B10870" s="36"/>
    </row>
    <row r="10871" spans="2:2">
      <c r="B10871" s="36"/>
    </row>
    <row r="10872" spans="2:2">
      <c r="B10872" s="36"/>
    </row>
    <row r="10873" spans="2:2">
      <c r="B10873" s="36"/>
    </row>
    <row r="10874" spans="2:2">
      <c r="B10874" s="36"/>
    </row>
    <row r="10875" spans="2:2">
      <c r="B10875" s="36"/>
    </row>
    <row r="10876" spans="2:2">
      <c r="B10876" s="36"/>
    </row>
    <row r="10877" spans="2:2">
      <c r="B10877" s="36"/>
    </row>
    <row r="10878" spans="2:2">
      <c r="B10878" s="36"/>
    </row>
    <row r="10879" spans="2:2">
      <c r="B10879" s="36"/>
    </row>
    <row r="10880" spans="2:2">
      <c r="B10880" s="36"/>
    </row>
    <row r="10881" spans="2:2">
      <c r="B10881" s="36"/>
    </row>
    <row r="10882" spans="2:2">
      <c r="B10882" s="36"/>
    </row>
    <row r="10883" spans="2:2">
      <c r="B10883" s="36"/>
    </row>
    <row r="10884" spans="2:2">
      <c r="B10884" s="36"/>
    </row>
    <row r="10885" spans="2:2">
      <c r="B10885" s="36"/>
    </row>
    <row r="10886" spans="2:2">
      <c r="B10886" s="36"/>
    </row>
    <row r="10887" spans="2:2">
      <c r="B10887" s="36"/>
    </row>
    <row r="10888" spans="2:2">
      <c r="B10888" s="36"/>
    </row>
    <row r="10889" spans="2:2">
      <c r="B10889" s="36"/>
    </row>
    <row r="10890" spans="2:2">
      <c r="B10890" s="36"/>
    </row>
    <row r="10891" spans="2:2">
      <c r="B10891" s="36"/>
    </row>
    <row r="10892" spans="2:2">
      <c r="B10892" s="36"/>
    </row>
    <row r="10893" spans="2:2">
      <c r="B10893" s="36"/>
    </row>
    <row r="10894" spans="2:2">
      <c r="B10894" s="36"/>
    </row>
    <row r="10895" spans="2:2">
      <c r="B10895" s="36"/>
    </row>
    <row r="10896" spans="2:2">
      <c r="B10896" s="36"/>
    </row>
    <row r="10897" spans="2:2">
      <c r="B10897" s="36"/>
    </row>
    <row r="10898" spans="2:2">
      <c r="B10898" s="36"/>
    </row>
    <row r="10899" spans="2:2">
      <c r="B10899" s="36"/>
    </row>
    <row r="10900" spans="2:2">
      <c r="B10900" s="36"/>
    </row>
    <row r="10901" spans="2:2">
      <c r="B10901" s="36"/>
    </row>
    <row r="10902" spans="2:2">
      <c r="B10902" s="36"/>
    </row>
    <row r="10903" spans="2:2">
      <c r="B10903" s="36"/>
    </row>
    <row r="10904" spans="2:2">
      <c r="B10904" s="36"/>
    </row>
    <row r="10905" spans="2:2">
      <c r="B10905" s="36"/>
    </row>
    <row r="10906" spans="2:2">
      <c r="B10906" s="36"/>
    </row>
    <row r="10907" spans="2:2">
      <c r="B10907" s="36"/>
    </row>
    <row r="10908" spans="2:2">
      <c r="B10908" s="36"/>
    </row>
    <row r="10909" spans="2:2">
      <c r="B10909" s="36"/>
    </row>
    <row r="10910" spans="2:2">
      <c r="B10910" s="36"/>
    </row>
    <row r="10911" spans="2:2">
      <c r="B10911" s="36"/>
    </row>
    <row r="10912" spans="2:2">
      <c r="B10912" s="36"/>
    </row>
    <row r="10913" spans="2:2">
      <c r="B10913" s="36"/>
    </row>
    <row r="10914" spans="2:2">
      <c r="B10914" s="36"/>
    </row>
    <row r="10915" spans="2:2">
      <c r="B10915" s="36"/>
    </row>
    <row r="10916" spans="2:2">
      <c r="B10916" s="36"/>
    </row>
    <row r="10917" spans="2:2">
      <c r="B10917" s="36"/>
    </row>
    <row r="10918" spans="2:2">
      <c r="B10918" s="36"/>
    </row>
    <row r="10919" spans="2:2">
      <c r="B10919" s="36"/>
    </row>
    <row r="10920" spans="2:2">
      <c r="B10920" s="36"/>
    </row>
    <row r="10921" spans="2:2">
      <c r="B10921" s="36"/>
    </row>
    <row r="10922" spans="2:2">
      <c r="B10922" s="36"/>
    </row>
    <row r="10923" spans="2:2">
      <c r="B10923" s="36"/>
    </row>
    <row r="10924" spans="2:2">
      <c r="B10924" s="36"/>
    </row>
    <row r="10925" spans="2:2">
      <c r="B10925" s="36"/>
    </row>
    <row r="10926" spans="2:2">
      <c r="B10926" s="36"/>
    </row>
    <row r="10927" spans="2:2">
      <c r="B10927" s="36"/>
    </row>
    <row r="10928" spans="2:2">
      <c r="B10928" s="36"/>
    </row>
    <row r="10929" spans="2:2">
      <c r="B10929" s="36"/>
    </row>
    <row r="10930" spans="2:2">
      <c r="B10930" s="36"/>
    </row>
    <row r="10931" spans="2:2">
      <c r="B10931" s="36"/>
    </row>
    <row r="10932" spans="2:2">
      <c r="B10932" s="36"/>
    </row>
    <row r="10933" spans="2:2">
      <c r="B10933" s="36"/>
    </row>
    <row r="10934" spans="2:2">
      <c r="B10934" s="36"/>
    </row>
    <row r="10935" spans="2:2">
      <c r="B10935" s="36"/>
    </row>
    <row r="10936" spans="2:2">
      <c r="B10936" s="36"/>
    </row>
    <row r="10937" spans="2:2">
      <c r="B10937" s="36"/>
    </row>
    <row r="10938" spans="2:2">
      <c r="B10938" s="36"/>
    </row>
    <row r="10939" spans="2:2">
      <c r="B10939" s="36"/>
    </row>
    <row r="10940" spans="2:2">
      <c r="B10940" s="36"/>
    </row>
    <row r="10941" spans="2:2">
      <c r="B10941" s="36"/>
    </row>
    <row r="10942" spans="2:2">
      <c r="B10942" s="36"/>
    </row>
    <row r="10943" spans="2:2">
      <c r="B10943" s="36"/>
    </row>
    <row r="10944" spans="2:2">
      <c r="B10944" s="36"/>
    </row>
    <row r="10945" spans="2:2">
      <c r="B10945" s="36"/>
    </row>
    <row r="10946" spans="2:2">
      <c r="B10946" s="36"/>
    </row>
    <row r="10947" spans="2:2">
      <c r="B10947" s="36"/>
    </row>
    <row r="10948" spans="2:2">
      <c r="B10948" s="36"/>
    </row>
    <row r="10949" spans="2:2">
      <c r="B10949" s="36"/>
    </row>
    <row r="10950" spans="2:2">
      <c r="B10950" s="36"/>
    </row>
    <row r="10951" spans="2:2">
      <c r="B10951" s="36"/>
    </row>
    <row r="10952" spans="2:2">
      <c r="B10952" s="36"/>
    </row>
    <row r="10953" spans="2:2">
      <c r="B10953" s="36"/>
    </row>
    <row r="10954" spans="2:2">
      <c r="B10954" s="36"/>
    </row>
    <row r="10955" spans="2:2">
      <c r="B10955" s="36"/>
    </row>
    <row r="10956" spans="2:2">
      <c r="B10956" s="36"/>
    </row>
    <row r="10957" spans="2:2">
      <c r="B10957" s="36"/>
    </row>
    <row r="10958" spans="2:2">
      <c r="B10958" s="36"/>
    </row>
    <row r="10959" spans="2:2">
      <c r="B10959" s="36"/>
    </row>
    <row r="10960" spans="2:2">
      <c r="B10960" s="36"/>
    </row>
    <row r="10961" spans="2:2">
      <c r="B10961" s="36"/>
    </row>
    <row r="10962" spans="2:2">
      <c r="B10962" s="36"/>
    </row>
    <row r="10963" spans="2:2">
      <c r="B10963" s="36"/>
    </row>
    <row r="10964" spans="2:2">
      <c r="B10964" s="36"/>
    </row>
    <row r="10965" spans="2:2">
      <c r="B10965" s="36"/>
    </row>
    <row r="10966" spans="2:2">
      <c r="B10966" s="36"/>
    </row>
    <row r="10967" spans="2:2">
      <c r="B10967" s="36"/>
    </row>
    <row r="10968" spans="2:2">
      <c r="B10968" s="36"/>
    </row>
    <row r="10969" spans="2:2">
      <c r="B10969" s="36"/>
    </row>
    <row r="10970" spans="2:2">
      <c r="B10970" s="36"/>
    </row>
    <row r="10971" spans="2:2">
      <c r="B10971" s="36"/>
    </row>
    <row r="10972" spans="2:2">
      <c r="B10972" s="36"/>
    </row>
    <row r="10973" spans="2:2">
      <c r="B10973" s="36"/>
    </row>
    <row r="10974" spans="2:2">
      <c r="B10974" s="36"/>
    </row>
    <row r="10975" spans="2:2">
      <c r="B10975" s="36"/>
    </row>
    <row r="10976" spans="2:2">
      <c r="B10976" s="36"/>
    </row>
    <row r="10977" spans="2:2">
      <c r="B10977" s="36"/>
    </row>
    <row r="10978" spans="2:2">
      <c r="B10978" s="36"/>
    </row>
    <row r="10979" spans="2:2">
      <c r="B10979" s="36"/>
    </row>
    <row r="10980" spans="2:2">
      <c r="B10980" s="36"/>
    </row>
    <row r="10981" spans="2:2">
      <c r="B10981" s="36"/>
    </row>
    <row r="10982" spans="2:2">
      <c r="B10982" s="36"/>
    </row>
    <row r="10983" spans="2:2">
      <c r="B10983" s="36"/>
    </row>
    <row r="10984" spans="2:2">
      <c r="B10984" s="36"/>
    </row>
    <row r="10985" spans="2:2">
      <c r="B10985" s="36"/>
    </row>
    <row r="10986" spans="2:2">
      <c r="B10986" s="36"/>
    </row>
    <row r="10987" spans="2:2">
      <c r="B10987" s="36"/>
    </row>
    <row r="10988" spans="2:2">
      <c r="B10988" s="36"/>
    </row>
    <row r="10989" spans="2:2">
      <c r="B10989" s="36"/>
    </row>
    <row r="10990" spans="2:2">
      <c r="B10990" s="36"/>
    </row>
    <row r="10991" spans="2:2">
      <c r="B10991" s="36"/>
    </row>
    <row r="10992" spans="2:2">
      <c r="B10992" s="36"/>
    </row>
    <row r="10993" spans="2:2">
      <c r="B10993" s="36"/>
    </row>
    <row r="10994" spans="2:2">
      <c r="B10994" s="36"/>
    </row>
    <row r="10995" spans="2:2">
      <c r="B10995" s="36"/>
    </row>
    <row r="10996" spans="2:2">
      <c r="B10996" s="36"/>
    </row>
    <row r="10997" spans="2:2">
      <c r="B10997" s="36"/>
    </row>
    <row r="10998" spans="2:2">
      <c r="B10998" s="36"/>
    </row>
    <row r="10999" spans="2:2">
      <c r="B10999" s="36"/>
    </row>
    <row r="11000" spans="2:2">
      <c r="B11000" s="36"/>
    </row>
    <row r="11001" spans="2:2">
      <c r="B11001" s="36"/>
    </row>
    <row r="11002" spans="2:2">
      <c r="B11002" s="36"/>
    </row>
    <row r="11003" spans="2:2">
      <c r="B11003" s="36"/>
    </row>
    <row r="11004" spans="2:2">
      <c r="B11004" s="36"/>
    </row>
    <row r="11005" spans="2:2">
      <c r="B11005" s="36"/>
    </row>
    <row r="11006" spans="2:2">
      <c r="B11006" s="36"/>
    </row>
    <row r="11007" spans="2:2">
      <c r="B11007" s="36"/>
    </row>
    <row r="11008" spans="2:2">
      <c r="B11008" s="36"/>
    </row>
    <row r="11009" spans="2:2">
      <c r="B11009" s="36"/>
    </row>
    <row r="11010" spans="2:2">
      <c r="B11010" s="36"/>
    </row>
    <row r="11011" spans="2:2">
      <c r="B11011" s="36"/>
    </row>
    <row r="11012" spans="2:2">
      <c r="B11012" s="36"/>
    </row>
    <row r="11013" spans="2:2">
      <c r="B11013" s="36"/>
    </row>
    <row r="11014" spans="2:2">
      <c r="B11014" s="36"/>
    </row>
    <row r="11015" spans="2:2">
      <c r="B11015" s="36"/>
    </row>
    <row r="11016" spans="2:2">
      <c r="B11016" s="36"/>
    </row>
    <row r="11017" spans="2:2">
      <c r="B11017" s="36"/>
    </row>
    <row r="11018" spans="2:2">
      <c r="B11018" s="36"/>
    </row>
    <row r="11019" spans="2:2">
      <c r="B11019" s="36"/>
    </row>
    <row r="11020" spans="2:2">
      <c r="B11020" s="36"/>
    </row>
    <row r="11021" spans="2:2">
      <c r="B11021" s="36"/>
    </row>
    <row r="11022" spans="2:2">
      <c r="B11022" s="36"/>
    </row>
    <row r="11023" spans="2:2">
      <c r="B11023" s="36"/>
    </row>
    <row r="11024" spans="2:2">
      <c r="B11024" s="36"/>
    </row>
    <row r="11025" spans="2:2">
      <c r="B11025" s="36"/>
    </row>
    <row r="11026" spans="2:2">
      <c r="B11026" s="36"/>
    </row>
    <row r="11027" spans="2:2">
      <c r="B11027" s="36"/>
    </row>
    <row r="11028" spans="2:2">
      <c r="B11028" s="36"/>
    </row>
    <row r="11029" spans="2:2">
      <c r="B11029" s="36"/>
    </row>
    <row r="11030" spans="2:2">
      <c r="B11030" s="36"/>
    </row>
    <row r="11031" spans="2:2">
      <c r="B11031" s="36"/>
    </row>
    <row r="11032" spans="2:2">
      <c r="B11032" s="36"/>
    </row>
    <row r="11033" spans="2:2">
      <c r="B11033" s="36"/>
    </row>
    <row r="11034" spans="2:2">
      <c r="B11034" s="36"/>
    </row>
    <row r="11035" spans="2:2">
      <c r="B11035" s="36"/>
    </row>
    <row r="11036" spans="2:2">
      <c r="B11036" s="36"/>
    </row>
    <row r="11037" spans="2:2">
      <c r="B11037" s="36"/>
    </row>
    <row r="11038" spans="2:2">
      <c r="B11038" s="36"/>
    </row>
    <row r="11039" spans="2:2">
      <c r="B11039" s="36"/>
    </row>
    <row r="11040" spans="2:2">
      <c r="B11040" s="36"/>
    </row>
    <row r="11041" spans="2:2">
      <c r="B11041" s="36"/>
    </row>
    <row r="11042" spans="2:2">
      <c r="B11042" s="36"/>
    </row>
    <row r="11043" spans="2:2">
      <c r="B11043" s="36"/>
    </row>
    <row r="11044" spans="2:2">
      <c r="B11044" s="36"/>
    </row>
    <row r="11045" spans="2:2">
      <c r="B11045" s="36"/>
    </row>
    <row r="11046" spans="2:2">
      <c r="B11046" s="36"/>
    </row>
    <row r="11047" spans="2:2">
      <c r="B11047" s="36"/>
    </row>
    <row r="11048" spans="2:2">
      <c r="B11048" s="36"/>
    </row>
    <row r="11049" spans="2:2">
      <c r="B11049" s="36"/>
    </row>
    <row r="11050" spans="2:2">
      <c r="B11050" s="36"/>
    </row>
    <row r="11051" spans="2:2">
      <c r="B11051" s="36"/>
    </row>
    <row r="11052" spans="2:2">
      <c r="B11052" s="36"/>
    </row>
    <row r="11053" spans="2:2">
      <c r="B11053" s="36"/>
    </row>
    <row r="11054" spans="2:2">
      <c r="B11054" s="36"/>
    </row>
    <row r="11055" spans="2:2">
      <c r="B11055" s="36"/>
    </row>
    <row r="11056" spans="2:2">
      <c r="B11056" s="36"/>
    </row>
    <row r="11057" spans="2:2">
      <c r="B11057" s="36"/>
    </row>
    <row r="11058" spans="2:2">
      <c r="B11058" s="36"/>
    </row>
    <row r="11059" spans="2:2">
      <c r="B11059" s="36"/>
    </row>
    <row r="11060" spans="2:2">
      <c r="B11060" s="36"/>
    </row>
    <row r="11061" spans="2:2">
      <c r="B11061" s="36"/>
    </row>
    <row r="11062" spans="2:2">
      <c r="B11062" s="36"/>
    </row>
    <row r="11063" spans="2:2">
      <c r="B11063" s="36"/>
    </row>
    <row r="11064" spans="2:2">
      <c r="B11064" s="36"/>
    </row>
    <row r="11065" spans="2:2">
      <c r="B11065" s="36"/>
    </row>
    <row r="11066" spans="2:2">
      <c r="B11066" s="36"/>
    </row>
    <row r="11067" spans="2:2">
      <c r="B11067" s="36"/>
    </row>
    <row r="11068" spans="2:2">
      <c r="B11068" s="36"/>
    </row>
    <row r="11069" spans="2:2">
      <c r="B11069" s="36"/>
    </row>
    <row r="11070" spans="2:2">
      <c r="B11070" s="36"/>
    </row>
    <row r="11071" spans="2:2">
      <c r="B11071" s="36"/>
    </row>
    <row r="11072" spans="2:2">
      <c r="B11072" s="36"/>
    </row>
    <row r="11073" spans="2:2">
      <c r="B11073" s="36"/>
    </row>
    <row r="11074" spans="2:2">
      <c r="B11074" s="36"/>
    </row>
    <row r="11075" spans="2:2">
      <c r="B11075" s="36"/>
    </row>
    <row r="11076" spans="2:2">
      <c r="B11076" s="36"/>
    </row>
    <row r="11077" spans="2:2">
      <c r="B11077" s="36"/>
    </row>
    <row r="11078" spans="2:2">
      <c r="B11078" s="36"/>
    </row>
    <row r="11079" spans="2:2">
      <c r="B11079" s="36"/>
    </row>
    <row r="11080" spans="2:2">
      <c r="B11080" s="36"/>
    </row>
    <row r="11081" spans="2:2">
      <c r="B11081" s="36"/>
    </row>
    <row r="11082" spans="2:2">
      <c r="B11082" s="36"/>
    </row>
    <row r="11083" spans="2:2">
      <c r="B11083" s="36"/>
    </row>
    <row r="11084" spans="2:2">
      <c r="B11084" s="36"/>
    </row>
    <row r="11085" spans="2:2">
      <c r="B11085" s="36"/>
    </row>
    <row r="11086" spans="2:2">
      <c r="B11086" s="36"/>
    </row>
    <row r="11087" spans="2:2">
      <c r="B11087" s="36"/>
    </row>
    <row r="11088" spans="2:2">
      <c r="B11088" s="36"/>
    </row>
    <row r="11089" spans="2:2">
      <c r="B11089" s="36"/>
    </row>
    <row r="11090" spans="2:2">
      <c r="B11090" s="36"/>
    </row>
    <row r="11091" spans="2:2">
      <c r="B11091" s="36"/>
    </row>
    <row r="11092" spans="2:2">
      <c r="B11092" s="36"/>
    </row>
    <row r="11093" spans="2:2">
      <c r="B11093" s="36"/>
    </row>
    <row r="11094" spans="2:2">
      <c r="B11094" s="36"/>
    </row>
    <row r="11095" spans="2:2">
      <c r="B11095" s="36"/>
    </row>
    <row r="11096" spans="2:2">
      <c r="B11096" s="36"/>
    </row>
    <row r="11097" spans="2:2">
      <c r="B11097" s="36"/>
    </row>
    <row r="11098" spans="2:2">
      <c r="B11098" s="36"/>
    </row>
    <row r="11099" spans="2:2">
      <c r="B11099" s="36"/>
    </row>
    <row r="11100" spans="2:2">
      <c r="B11100" s="36"/>
    </row>
    <row r="11101" spans="2:2">
      <c r="B11101" s="36"/>
    </row>
    <row r="11102" spans="2:2">
      <c r="B11102" s="36"/>
    </row>
    <row r="11103" spans="2:2">
      <c r="B11103" s="36"/>
    </row>
    <row r="11104" spans="2:2">
      <c r="B11104" s="36"/>
    </row>
    <row r="11105" spans="2:2">
      <c r="B11105" s="36"/>
    </row>
    <row r="11106" spans="2:2">
      <c r="B11106" s="36"/>
    </row>
    <row r="11107" spans="2:2">
      <c r="B11107" s="36"/>
    </row>
    <row r="11108" spans="2:2">
      <c r="B11108" s="36"/>
    </row>
    <row r="11109" spans="2:2">
      <c r="B11109" s="36"/>
    </row>
    <row r="11110" spans="2:2">
      <c r="B11110" s="36"/>
    </row>
    <row r="11111" spans="2:2">
      <c r="B11111" s="36"/>
    </row>
    <row r="11112" spans="2:2">
      <c r="B11112" s="36"/>
    </row>
    <row r="11113" spans="2:2">
      <c r="B11113" s="36"/>
    </row>
    <row r="11114" spans="2:2">
      <c r="B11114" s="36"/>
    </row>
    <row r="11115" spans="2:2">
      <c r="B11115" s="36"/>
    </row>
    <row r="11116" spans="2:2">
      <c r="B11116" s="36"/>
    </row>
    <row r="11117" spans="2:2">
      <c r="B11117" s="36"/>
    </row>
    <row r="11118" spans="2:2">
      <c r="B11118" s="36"/>
    </row>
    <row r="11119" spans="2:2">
      <c r="B11119" s="36"/>
    </row>
    <row r="11120" spans="2:2">
      <c r="B11120" s="36"/>
    </row>
    <row r="11121" spans="2:2">
      <c r="B11121" s="36"/>
    </row>
    <row r="11122" spans="2:2">
      <c r="B11122" s="36"/>
    </row>
    <row r="11123" spans="2:2">
      <c r="B11123" s="36"/>
    </row>
    <row r="11124" spans="2:2">
      <c r="B11124" s="36"/>
    </row>
    <row r="11125" spans="2:2">
      <c r="B11125" s="36"/>
    </row>
    <row r="11126" spans="2:2">
      <c r="B11126" s="36"/>
    </row>
    <row r="11127" spans="2:2">
      <c r="B11127" s="36"/>
    </row>
    <row r="11128" spans="2:2">
      <c r="B11128" s="36"/>
    </row>
    <row r="11129" spans="2:2">
      <c r="B11129" s="36"/>
    </row>
    <row r="11130" spans="2:2">
      <c r="B11130" s="36"/>
    </row>
    <row r="11131" spans="2:2">
      <c r="B11131" s="36"/>
    </row>
    <row r="11132" spans="2:2">
      <c r="B11132" s="36"/>
    </row>
    <row r="11133" spans="2:2">
      <c r="B11133" s="36"/>
    </row>
    <row r="11134" spans="2:2">
      <c r="B11134" s="36"/>
    </row>
    <row r="11135" spans="2:2">
      <c r="B11135" s="36"/>
    </row>
    <row r="11136" spans="2:2">
      <c r="B11136" s="36"/>
    </row>
    <row r="11137" spans="2:2">
      <c r="B11137" s="36"/>
    </row>
    <row r="11138" spans="2:2">
      <c r="B11138" s="36"/>
    </row>
    <row r="11139" spans="2:2">
      <c r="B11139" s="36"/>
    </row>
    <row r="11140" spans="2:2">
      <c r="B11140" s="36"/>
    </row>
    <row r="11141" spans="2:2">
      <c r="B11141" s="36"/>
    </row>
    <row r="11142" spans="2:2">
      <c r="B11142" s="36"/>
    </row>
    <row r="11143" spans="2:2">
      <c r="B11143" s="36"/>
    </row>
    <row r="11144" spans="2:2">
      <c r="B11144" s="36"/>
    </row>
    <row r="11145" spans="2:2">
      <c r="B11145" s="36"/>
    </row>
    <row r="11146" spans="2:2">
      <c r="B11146" s="36"/>
    </row>
    <row r="11147" spans="2:2">
      <c r="B11147" s="36"/>
    </row>
    <row r="11148" spans="2:2">
      <c r="B11148" s="36"/>
    </row>
    <row r="11149" spans="2:2">
      <c r="B11149" s="36"/>
    </row>
    <row r="11150" spans="2:2">
      <c r="B11150" s="36"/>
    </row>
    <row r="11151" spans="2:2">
      <c r="B11151" s="36"/>
    </row>
    <row r="11152" spans="2:2">
      <c r="B11152" s="36"/>
    </row>
    <row r="11153" spans="2:2">
      <c r="B11153" s="36"/>
    </row>
    <row r="11154" spans="2:2">
      <c r="B11154" s="36"/>
    </row>
    <row r="11155" spans="2:2">
      <c r="B11155" s="36"/>
    </row>
    <row r="11156" spans="2:2">
      <c r="B11156" s="36"/>
    </row>
    <row r="11157" spans="2:2">
      <c r="B11157" s="36"/>
    </row>
    <row r="11158" spans="2:2">
      <c r="B11158" s="36"/>
    </row>
    <row r="11159" spans="2:2">
      <c r="B11159" s="36"/>
    </row>
    <row r="11160" spans="2:2">
      <c r="B11160" s="36"/>
    </row>
    <row r="11161" spans="2:2">
      <c r="B11161" s="36"/>
    </row>
    <row r="11162" spans="2:2">
      <c r="B11162" s="36"/>
    </row>
    <row r="11163" spans="2:2">
      <c r="B11163" s="36"/>
    </row>
    <row r="11164" spans="2:2">
      <c r="B11164" s="36"/>
    </row>
    <row r="11165" spans="2:2">
      <c r="B11165" s="36"/>
    </row>
    <row r="11166" spans="2:2">
      <c r="B11166" s="36"/>
    </row>
    <row r="11167" spans="2:2">
      <c r="B11167" s="36"/>
    </row>
    <row r="11168" spans="2:2">
      <c r="B11168" s="36"/>
    </row>
    <row r="11169" spans="2:2">
      <c r="B11169" s="36"/>
    </row>
    <row r="11170" spans="2:2">
      <c r="B11170" s="36"/>
    </row>
    <row r="11171" spans="2:2">
      <c r="B11171" s="36"/>
    </row>
    <row r="11172" spans="2:2">
      <c r="B11172" s="36"/>
    </row>
    <row r="11173" spans="2:2">
      <c r="B11173" s="36"/>
    </row>
    <row r="11174" spans="2:2">
      <c r="B11174" s="36"/>
    </row>
    <row r="11175" spans="2:2">
      <c r="B11175" s="36"/>
    </row>
    <row r="11176" spans="2:2">
      <c r="B11176" s="36"/>
    </row>
    <row r="11177" spans="2:2">
      <c r="B11177" s="36"/>
    </row>
    <row r="11178" spans="2:2">
      <c r="B11178" s="36"/>
    </row>
    <row r="11179" spans="2:2">
      <c r="B11179" s="36"/>
    </row>
    <row r="11180" spans="2:2">
      <c r="B11180" s="36"/>
    </row>
    <row r="11181" spans="2:2">
      <c r="B11181" s="36"/>
    </row>
    <row r="11182" spans="2:2">
      <c r="B11182" s="36"/>
    </row>
    <row r="11183" spans="2:2">
      <c r="B11183" s="36"/>
    </row>
    <row r="11184" spans="2:2">
      <c r="B11184" s="36"/>
    </row>
    <row r="11185" spans="2:2">
      <c r="B11185" s="36"/>
    </row>
    <row r="11186" spans="2:2">
      <c r="B11186" s="36"/>
    </row>
    <row r="11187" spans="2:2">
      <c r="B11187" s="36"/>
    </row>
    <row r="11188" spans="2:2">
      <c r="B11188" s="36"/>
    </row>
    <row r="11189" spans="2:2">
      <c r="B11189" s="36"/>
    </row>
    <row r="11190" spans="2:2">
      <c r="B11190" s="36"/>
    </row>
    <row r="11191" spans="2:2">
      <c r="B11191" s="36"/>
    </row>
    <row r="11192" spans="2:2">
      <c r="B11192" s="36"/>
    </row>
    <row r="11193" spans="2:2">
      <c r="B11193" s="36"/>
    </row>
    <row r="11194" spans="2:2">
      <c r="B11194" s="36"/>
    </row>
    <row r="11195" spans="2:2">
      <c r="B11195" s="36"/>
    </row>
    <row r="11196" spans="2:2">
      <c r="B11196" s="36"/>
    </row>
    <row r="11197" spans="2:2">
      <c r="B11197" s="36"/>
    </row>
    <row r="11198" spans="2:2">
      <c r="B11198" s="36"/>
    </row>
    <row r="11199" spans="2:2">
      <c r="B11199" s="36"/>
    </row>
    <row r="11200" spans="2:2">
      <c r="B11200" s="36"/>
    </row>
    <row r="11201" spans="2:2">
      <c r="B11201" s="36"/>
    </row>
    <row r="11202" spans="2:2">
      <c r="B11202" s="36"/>
    </row>
    <row r="11203" spans="2:2">
      <c r="B11203" s="36"/>
    </row>
    <row r="11204" spans="2:2">
      <c r="B11204" s="36"/>
    </row>
    <row r="11205" spans="2:2">
      <c r="B11205" s="36"/>
    </row>
    <row r="11206" spans="2:2">
      <c r="B11206" s="36"/>
    </row>
    <row r="11207" spans="2:2">
      <c r="B11207" s="36"/>
    </row>
    <row r="11208" spans="2:2">
      <c r="B11208" s="36"/>
    </row>
    <row r="11209" spans="2:2">
      <c r="B11209" s="36"/>
    </row>
    <row r="11210" spans="2:2">
      <c r="B11210" s="36"/>
    </row>
    <row r="11211" spans="2:2">
      <c r="B11211" s="36"/>
    </row>
    <row r="11212" spans="2:2">
      <c r="B11212" s="36"/>
    </row>
    <row r="11213" spans="2:2">
      <c r="B11213" s="36"/>
    </row>
    <row r="11214" spans="2:2">
      <c r="B11214" s="36"/>
    </row>
    <row r="11215" spans="2:2">
      <c r="B11215" s="36"/>
    </row>
    <row r="11216" spans="2:2">
      <c r="B11216" s="36"/>
    </row>
    <row r="11217" spans="2:2">
      <c r="B11217" s="36"/>
    </row>
    <row r="11218" spans="2:2">
      <c r="B11218" s="36"/>
    </row>
    <row r="11219" spans="2:2">
      <c r="B11219" s="36"/>
    </row>
    <row r="11220" spans="2:2">
      <c r="B11220" s="36"/>
    </row>
    <row r="11221" spans="2:2">
      <c r="B11221" s="36"/>
    </row>
    <row r="11222" spans="2:2">
      <c r="B11222" s="36"/>
    </row>
    <row r="11223" spans="2:2">
      <c r="B11223" s="36"/>
    </row>
    <row r="11224" spans="2:2">
      <c r="B11224" s="36"/>
    </row>
    <row r="11225" spans="2:2">
      <c r="B11225" s="36"/>
    </row>
    <row r="11226" spans="2:2">
      <c r="B11226" s="36"/>
    </row>
    <row r="11227" spans="2:2">
      <c r="B11227" s="36"/>
    </row>
    <row r="11228" spans="2:2">
      <c r="B11228" s="36"/>
    </row>
    <row r="11229" spans="2:2">
      <c r="B11229" s="36"/>
    </row>
    <row r="11230" spans="2:2">
      <c r="B11230" s="36"/>
    </row>
    <row r="11231" spans="2:2">
      <c r="B11231" s="36"/>
    </row>
    <row r="11232" spans="2:2">
      <c r="B11232" s="36"/>
    </row>
    <row r="11233" spans="2:2">
      <c r="B11233" s="36"/>
    </row>
    <row r="11234" spans="2:2">
      <c r="B11234" s="36"/>
    </row>
    <row r="11235" spans="2:2">
      <c r="B11235" s="36"/>
    </row>
    <row r="11236" spans="2:2">
      <c r="B11236" s="36"/>
    </row>
    <row r="11237" spans="2:2">
      <c r="B11237" s="36"/>
    </row>
    <row r="11238" spans="2:2">
      <c r="B11238" s="36"/>
    </row>
    <row r="11239" spans="2:2">
      <c r="B11239" s="36"/>
    </row>
    <row r="11240" spans="2:2">
      <c r="B11240" s="36"/>
    </row>
    <row r="11241" spans="2:2">
      <c r="B11241" s="36"/>
    </row>
    <row r="11242" spans="2:2">
      <c r="B11242" s="36"/>
    </row>
    <row r="11243" spans="2:2">
      <c r="B11243" s="36"/>
    </row>
    <row r="11244" spans="2:2">
      <c r="B11244" s="36"/>
    </row>
    <row r="11245" spans="2:2">
      <c r="B11245" s="36"/>
    </row>
    <row r="11246" spans="2:2">
      <c r="B11246" s="36"/>
    </row>
    <row r="11247" spans="2:2">
      <c r="B11247" s="36"/>
    </row>
    <row r="11248" spans="2:2">
      <c r="B11248" s="36"/>
    </row>
    <row r="11249" spans="2:2">
      <c r="B11249" s="36"/>
    </row>
    <row r="11250" spans="2:2">
      <c r="B11250" s="36"/>
    </row>
    <row r="11251" spans="2:2">
      <c r="B11251" s="36"/>
    </row>
    <row r="11252" spans="2:2">
      <c r="B11252" s="36"/>
    </row>
    <row r="11253" spans="2:2">
      <c r="B11253" s="36"/>
    </row>
    <row r="11254" spans="2:2">
      <c r="B11254" s="36"/>
    </row>
    <row r="11255" spans="2:2">
      <c r="B11255" s="36"/>
    </row>
    <row r="11256" spans="2:2">
      <c r="B11256" s="36"/>
    </row>
    <row r="11257" spans="2:2">
      <c r="B11257" s="36"/>
    </row>
    <row r="11258" spans="2:2">
      <c r="B11258" s="36"/>
    </row>
    <row r="11259" spans="2:2">
      <c r="B11259" s="36"/>
    </row>
    <row r="11260" spans="2:2">
      <c r="B11260" s="36"/>
    </row>
    <row r="11261" spans="2:2">
      <c r="B11261" s="36"/>
    </row>
    <row r="11262" spans="2:2">
      <c r="B11262" s="36"/>
    </row>
    <row r="11263" spans="2:2">
      <c r="B11263" s="36"/>
    </row>
    <row r="11264" spans="2:2">
      <c r="B11264" s="36"/>
    </row>
    <row r="11265" spans="2:2">
      <c r="B11265" s="36"/>
    </row>
    <row r="11266" spans="2:2">
      <c r="B11266" s="36"/>
    </row>
    <row r="11267" spans="2:2">
      <c r="B11267" s="36"/>
    </row>
    <row r="11268" spans="2:2">
      <c r="B11268" s="36"/>
    </row>
    <row r="11269" spans="2:2">
      <c r="B11269" s="36"/>
    </row>
    <row r="11270" spans="2:2">
      <c r="B11270" s="36"/>
    </row>
    <row r="11271" spans="2:2">
      <c r="B11271" s="36"/>
    </row>
    <row r="11272" spans="2:2">
      <c r="B11272" s="36"/>
    </row>
    <row r="11273" spans="2:2">
      <c r="B11273" s="36"/>
    </row>
    <row r="11274" spans="2:2">
      <c r="B11274" s="36"/>
    </row>
    <row r="11275" spans="2:2">
      <c r="B11275" s="36"/>
    </row>
    <row r="11276" spans="2:2">
      <c r="B11276" s="36"/>
    </row>
    <row r="11277" spans="2:2">
      <c r="B11277" s="36"/>
    </row>
    <row r="11278" spans="2:2">
      <c r="B11278" s="36"/>
    </row>
    <row r="11279" spans="2:2">
      <c r="B11279" s="36"/>
    </row>
    <row r="11280" spans="2:2">
      <c r="B11280" s="36"/>
    </row>
    <row r="11281" spans="2:2">
      <c r="B11281" s="36"/>
    </row>
    <row r="11282" spans="2:2">
      <c r="B11282" s="36"/>
    </row>
    <row r="11283" spans="2:2">
      <c r="B11283" s="36"/>
    </row>
    <row r="11284" spans="2:2">
      <c r="B11284" s="36"/>
    </row>
    <row r="11285" spans="2:2">
      <c r="B11285" s="36"/>
    </row>
    <row r="11286" spans="2:2">
      <c r="B11286" s="36"/>
    </row>
    <row r="11287" spans="2:2">
      <c r="B11287" s="36"/>
    </row>
    <row r="11288" spans="2:2">
      <c r="B11288" s="36"/>
    </row>
    <row r="11289" spans="2:2">
      <c r="B11289" s="36"/>
    </row>
    <row r="11290" spans="2:2">
      <c r="B11290" s="36"/>
    </row>
    <row r="11291" spans="2:2">
      <c r="B11291" s="36"/>
    </row>
    <row r="11292" spans="2:2">
      <c r="B11292" s="36"/>
    </row>
    <row r="11293" spans="2:2">
      <c r="B11293" s="36"/>
    </row>
    <row r="11294" spans="2:2">
      <c r="B11294" s="36"/>
    </row>
    <row r="11295" spans="2:2">
      <c r="B11295" s="36"/>
    </row>
    <row r="11296" spans="2:2">
      <c r="B11296" s="36"/>
    </row>
    <row r="11297" spans="2:2">
      <c r="B11297" s="36"/>
    </row>
    <row r="11298" spans="2:2">
      <c r="B11298" s="36"/>
    </row>
    <row r="11299" spans="2:2">
      <c r="B11299" s="36"/>
    </row>
    <row r="11300" spans="2:2">
      <c r="B11300" s="36"/>
    </row>
    <row r="11301" spans="2:2">
      <c r="B11301" s="36"/>
    </row>
    <row r="11302" spans="2:2">
      <c r="B11302" s="36"/>
    </row>
    <row r="11303" spans="2:2">
      <c r="B11303" s="36"/>
    </row>
    <row r="11304" spans="2:2">
      <c r="B11304" s="36"/>
    </row>
    <row r="11305" spans="2:2">
      <c r="B11305" s="36"/>
    </row>
    <row r="11306" spans="2:2">
      <c r="B11306" s="36"/>
    </row>
    <row r="11307" spans="2:2">
      <c r="B11307" s="36"/>
    </row>
    <row r="11308" spans="2:2">
      <c r="B11308" s="36"/>
    </row>
    <row r="11309" spans="2:2">
      <c r="B11309" s="36"/>
    </row>
    <row r="11310" spans="2:2">
      <c r="B11310" s="36"/>
    </row>
    <row r="11311" spans="2:2">
      <c r="B11311" s="36"/>
    </row>
    <row r="11312" spans="2:2">
      <c r="B11312" s="36"/>
    </row>
    <row r="11313" spans="2:2">
      <c r="B11313" s="36"/>
    </row>
    <row r="11314" spans="2:2">
      <c r="B11314" s="36"/>
    </row>
    <row r="11315" spans="2:2">
      <c r="B11315" s="36"/>
    </row>
    <row r="11316" spans="2:2">
      <c r="B11316" s="36"/>
    </row>
    <row r="11317" spans="2:2">
      <c r="B11317" s="36"/>
    </row>
    <row r="11318" spans="2:2">
      <c r="B11318" s="36"/>
    </row>
    <row r="11319" spans="2:2">
      <c r="B11319" s="36"/>
    </row>
    <row r="11320" spans="2:2">
      <c r="B11320" s="36"/>
    </row>
    <row r="11321" spans="2:2">
      <c r="B11321" s="36"/>
    </row>
    <row r="11322" spans="2:2">
      <c r="B11322" s="36"/>
    </row>
    <row r="11323" spans="2:2">
      <c r="B11323" s="36"/>
    </row>
    <row r="11324" spans="2:2">
      <c r="B11324" s="36"/>
    </row>
    <row r="11325" spans="2:2">
      <c r="B11325" s="36"/>
    </row>
    <row r="11326" spans="2:2">
      <c r="B11326" s="36"/>
    </row>
    <row r="11327" spans="2:2">
      <c r="B11327" s="36"/>
    </row>
    <row r="11328" spans="2:2">
      <c r="B11328" s="36"/>
    </row>
    <row r="11329" spans="2:2">
      <c r="B11329" s="36"/>
    </row>
    <row r="11330" spans="2:2">
      <c r="B11330" s="36"/>
    </row>
    <row r="11331" spans="2:2">
      <c r="B11331" s="36"/>
    </row>
    <row r="11332" spans="2:2">
      <c r="B11332" s="36"/>
    </row>
    <row r="11333" spans="2:2">
      <c r="B11333" s="36"/>
    </row>
    <row r="11334" spans="2:2">
      <c r="B11334" s="36"/>
    </row>
    <row r="11335" spans="2:2">
      <c r="B11335" s="36"/>
    </row>
    <row r="11336" spans="2:2">
      <c r="B11336" s="36"/>
    </row>
    <row r="11337" spans="2:2">
      <c r="B11337" s="36"/>
    </row>
    <row r="11338" spans="2:2">
      <c r="B11338" s="36"/>
    </row>
    <row r="11339" spans="2:2">
      <c r="B11339" s="36"/>
    </row>
    <row r="11340" spans="2:2">
      <c r="B11340" s="36"/>
    </row>
    <row r="11341" spans="2:2">
      <c r="B11341" s="36"/>
    </row>
    <row r="11342" spans="2:2">
      <c r="B11342" s="36"/>
    </row>
    <row r="11343" spans="2:2">
      <c r="B11343" s="36"/>
    </row>
    <row r="11344" spans="2:2">
      <c r="B11344" s="36"/>
    </row>
    <row r="11345" spans="2:2">
      <c r="B11345" s="36"/>
    </row>
    <row r="11346" spans="2:2">
      <c r="B11346" s="36"/>
    </row>
    <row r="11347" spans="2:2">
      <c r="B11347" s="36"/>
    </row>
    <row r="11348" spans="2:2">
      <c r="B11348" s="36"/>
    </row>
    <row r="11349" spans="2:2">
      <c r="B11349" s="36"/>
    </row>
    <row r="11350" spans="2:2">
      <c r="B11350" s="36"/>
    </row>
    <row r="11351" spans="2:2">
      <c r="B11351" s="36"/>
    </row>
    <row r="11352" spans="2:2">
      <c r="B11352" s="36"/>
    </row>
    <row r="11353" spans="2:2">
      <c r="B11353" s="36"/>
    </row>
    <row r="11354" spans="2:2">
      <c r="B11354" s="36"/>
    </row>
    <row r="11355" spans="2:2">
      <c r="B11355" s="36"/>
    </row>
    <row r="11356" spans="2:2">
      <c r="B11356" s="36"/>
    </row>
    <row r="11357" spans="2:2">
      <c r="B11357" s="36"/>
    </row>
    <row r="11358" spans="2:2">
      <c r="B11358" s="36"/>
    </row>
    <row r="11359" spans="2:2">
      <c r="B11359" s="36"/>
    </row>
    <row r="11360" spans="2:2">
      <c r="B11360" s="36"/>
    </row>
    <row r="11361" spans="2:2">
      <c r="B11361" s="36"/>
    </row>
    <row r="11362" spans="2:2">
      <c r="B11362" s="36"/>
    </row>
    <row r="11363" spans="2:2">
      <c r="B11363" s="36"/>
    </row>
    <row r="11364" spans="2:2">
      <c r="B11364" s="36"/>
    </row>
    <row r="11365" spans="2:2">
      <c r="B11365" s="36"/>
    </row>
    <row r="11366" spans="2:2">
      <c r="B11366" s="36"/>
    </row>
    <row r="11367" spans="2:2">
      <c r="B11367" s="36"/>
    </row>
    <row r="11368" spans="2:2">
      <c r="B11368" s="36"/>
    </row>
    <row r="11369" spans="2:2">
      <c r="B11369" s="36"/>
    </row>
    <row r="11370" spans="2:2">
      <c r="B11370" s="36"/>
    </row>
    <row r="11371" spans="2:2">
      <c r="B11371" s="36"/>
    </row>
    <row r="11372" spans="2:2">
      <c r="B11372" s="36"/>
    </row>
    <row r="11373" spans="2:2">
      <c r="B11373" s="36"/>
    </row>
    <row r="11374" spans="2:2">
      <c r="B11374" s="36"/>
    </row>
    <row r="11375" spans="2:2">
      <c r="B11375" s="36"/>
    </row>
    <row r="11376" spans="2:2">
      <c r="B11376" s="36"/>
    </row>
    <row r="11377" spans="2:2">
      <c r="B11377" s="36"/>
    </row>
    <row r="11378" spans="2:2">
      <c r="B11378" s="36"/>
    </row>
    <row r="11379" spans="2:2">
      <c r="B11379" s="36"/>
    </row>
    <row r="11380" spans="2:2">
      <c r="B11380" s="36"/>
    </row>
    <row r="11381" spans="2:2">
      <c r="B11381" s="36"/>
    </row>
    <row r="11382" spans="2:2">
      <c r="B11382" s="36"/>
    </row>
    <row r="11383" spans="2:2">
      <c r="B11383" s="36"/>
    </row>
    <row r="11384" spans="2:2">
      <c r="B11384" s="36"/>
    </row>
    <row r="11385" spans="2:2">
      <c r="B11385" s="36"/>
    </row>
    <row r="11386" spans="2:2">
      <c r="B11386" s="36"/>
    </row>
    <row r="11387" spans="2:2">
      <c r="B11387" s="36"/>
    </row>
    <row r="11388" spans="2:2">
      <c r="B11388" s="36"/>
    </row>
    <row r="11389" spans="2:2">
      <c r="B11389" s="36"/>
    </row>
    <row r="11390" spans="2:2">
      <c r="B11390" s="36"/>
    </row>
    <row r="11391" spans="2:2">
      <c r="B11391" s="36"/>
    </row>
    <row r="11392" spans="2:2">
      <c r="B11392" s="36"/>
    </row>
    <row r="11393" spans="2:2">
      <c r="B11393" s="36"/>
    </row>
    <row r="11394" spans="2:2">
      <c r="B11394" s="36"/>
    </row>
    <row r="11395" spans="2:2">
      <c r="B11395" s="36"/>
    </row>
    <row r="11396" spans="2:2">
      <c r="B11396" s="36"/>
    </row>
    <row r="11397" spans="2:2">
      <c r="B11397" s="36"/>
    </row>
    <row r="11398" spans="2:2">
      <c r="B11398" s="36"/>
    </row>
    <row r="11399" spans="2:2">
      <c r="B11399" s="36"/>
    </row>
    <row r="11400" spans="2:2">
      <c r="B11400" s="36"/>
    </row>
    <row r="11401" spans="2:2">
      <c r="B11401" s="36"/>
    </row>
    <row r="11402" spans="2:2">
      <c r="B11402" s="36"/>
    </row>
    <row r="11403" spans="2:2">
      <c r="B11403" s="36"/>
    </row>
    <row r="11404" spans="2:2">
      <c r="B11404" s="36"/>
    </row>
    <row r="11405" spans="2:2">
      <c r="B11405" s="36"/>
    </row>
    <row r="11406" spans="2:2">
      <c r="B11406" s="36"/>
    </row>
    <row r="11407" spans="2:2">
      <c r="B11407" s="36"/>
    </row>
    <row r="11408" spans="2:2">
      <c r="B11408" s="36"/>
    </row>
    <row r="11409" spans="2:2">
      <c r="B11409" s="36"/>
    </row>
    <row r="11410" spans="2:2">
      <c r="B11410" s="36"/>
    </row>
    <row r="11411" spans="2:2">
      <c r="B11411" s="36"/>
    </row>
    <row r="11412" spans="2:2">
      <c r="B11412" s="36"/>
    </row>
    <row r="11413" spans="2:2">
      <c r="B11413" s="36"/>
    </row>
    <row r="11414" spans="2:2">
      <c r="B11414" s="36"/>
    </row>
    <row r="11415" spans="2:2">
      <c r="B11415" s="36"/>
    </row>
    <row r="11416" spans="2:2">
      <c r="B11416" s="36"/>
    </row>
    <row r="11417" spans="2:2">
      <c r="B11417" s="36"/>
    </row>
    <row r="11418" spans="2:2">
      <c r="B11418" s="36"/>
    </row>
    <row r="11419" spans="2:2">
      <c r="B11419" s="36"/>
    </row>
    <row r="11420" spans="2:2">
      <c r="B11420" s="36"/>
    </row>
    <row r="11421" spans="2:2">
      <c r="B11421" s="36"/>
    </row>
    <row r="11422" spans="2:2">
      <c r="B11422" s="36"/>
    </row>
    <row r="11423" spans="2:2">
      <c r="B11423" s="36"/>
    </row>
    <row r="11424" spans="2:2">
      <c r="B11424" s="36"/>
    </row>
    <row r="11425" spans="2:2">
      <c r="B11425" s="36"/>
    </row>
    <row r="11426" spans="2:2">
      <c r="B11426" s="36"/>
    </row>
    <row r="11427" spans="2:2">
      <c r="B11427" s="36"/>
    </row>
    <row r="11428" spans="2:2">
      <c r="B11428" s="36"/>
    </row>
    <row r="11429" spans="2:2">
      <c r="B11429" s="36"/>
    </row>
    <row r="11430" spans="2:2">
      <c r="B11430" s="36"/>
    </row>
    <row r="11431" spans="2:2">
      <c r="B11431" s="36"/>
    </row>
    <row r="11432" spans="2:2">
      <c r="B11432" s="36"/>
    </row>
    <row r="11433" spans="2:2">
      <c r="B11433" s="36"/>
    </row>
    <row r="11434" spans="2:2">
      <c r="B11434" s="36"/>
    </row>
    <row r="11435" spans="2:2">
      <c r="B11435" s="36"/>
    </row>
    <row r="11436" spans="2:2">
      <c r="B11436" s="36"/>
    </row>
    <row r="11437" spans="2:2">
      <c r="B11437" s="36"/>
    </row>
    <row r="11438" spans="2:2">
      <c r="B11438" s="36"/>
    </row>
    <row r="11439" spans="2:2">
      <c r="B11439" s="36"/>
    </row>
    <row r="11440" spans="2:2">
      <c r="B11440" s="36"/>
    </row>
    <row r="11441" spans="2:2">
      <c r="B11441" s="36"/>
    </row>
    <row r="11442" spans="2:2">
      <c r="B11442" s="36"/>
    </row>
    <row r="11443" spans="2:2">
      <c r="B11443" s="36"/>
    </row>
    <row r="11444" spans="2:2">
      <c r="B11444" s="36"/>
    </row>
    <row r="11445" spans="2:2">
      <c r="B11445" s="36"/>
    </row>
    <row r="11446" spans="2:2">
      <c r="B11446" s="36"/>
    </row>
    <row r="11447" spans="2:2">
      <c r="B11447" s="36"/>
    </row>
    <row r="11448" spans="2:2">
      <c r="B11448" s="36"/>
    </row>
    <row r="11449" spans="2:2">
      <c r="B11449" s="36"/>
    </row>
    <row r="11450" spans="2:2">
      <c r="B11450" s="36"/>
    </row>
    <row r="11451" spans="2:2">
      <c r="B11451" s="36"/>
    </row>
    <row r="11452" spans="2:2">
      <c r="B11452" s="36"/>
    </row>
    <row r="11453" spans="2:2">
      <c r="B11453" s="36"/>
    </row>
    <row r="11454" spans="2:2">
      <c r="B11454" s="36"/>
    </row>
    <row r="11455" spans="2:2">
      <c r="B11455" s="36"/>
    </row>
    <row r="11456" spans="2:2">
      <c r="B11456" s="36"/>
    </row>
    <row r="11457" spans="2:2">
      <c r="B11457" s="36"/>
    </row>
    <row r="11458" spans="2:2">
      <c r="B11458" s="36"/>
    </row>
    <row r="11459" spans="2:2">
      <c r="B11459" s="36"/>
    </row>
    <row r="11460" spans="2:2">
      <c r="B11460" s="36"/>
    </row>
    <row r="11461" spans="2:2">
      <c r="B11461" s="36"/>
    </row>
    <row r="11462" spans="2:2">
      <c r="B11462" s="36"/>
    </row>
    <row r="11463" spans="2:2">
      <c r="B11463" s="36"/>
    </row>
    <row r="11464" spans="2:2">
      <c r="B11464" s="36"/>
    </row>
    <row r="11465" spans="2:2">
      <c r="B11465" s="36"/>
    </row>
    <row r="11466" spans="2:2">
      <c r="B11466" s="36"/>
    </row>
    <row r="11467" spans="2:2">
      <c r="B11467" s="36"/>
    </row>
    <row r="11468" spans="2:2">
      <c r="B11468" s="36"/>
    </row>
    <row r="11469" spans="2:2">
      <c r="B11469" s="36"/>
    </row>
    <row r="11470" spans="2:2">
      <c r="B11470" s="36"/>
    </row>
    <row r="11471" spans="2:2">
      <c r="B11471" s="36"/>
    </row>
    <row r="11472" spans="2:2">
      <c r="B11472" s="36"/>
    </row>
    <row r="11473" spans="2:2">
      <c r="B11473" s="36"/>
    </row>
    <row r="11474" spans="2:2">
      <c r="B11474" s="36"/>
    </row>
    <row r="11475" spans="2:2">
      <c r="B11475" s="36"/>
    </row>
    <row r="11476" spans="2:2">
      <c r="B11476" s="36"/>
    </row>
    <row r="11477" spans="2:2">
      <c r="B11477" s="36"/>
    </row>
    <row r="11478" spans="2:2">
      <c r="B11478" s="36"/>
    </row>
    <row r="11479" spans="2:2">
      <c r="B11479" s="36"/>
    </row>
    <row r="11480" spans="2:2">
      <c r="B11480" s="36"/>
    </row>
    <row r="11481" spans="2:2">
      <c r="B11481" s="36"/>
    </row>
    <row r="11482" spans="2:2">
      <c r="B11482" s="36"/>
    </row>
    <row r="11483" spans="2:2">
      <c r="B11483" s="36"/>
    </row>
    <row r="11484" spans="2:2">
      <c r="B11484" s="36"/>
    </row>
    <row r="11485" spans="2:2">
      <c r="B11485" s="36"/>
    </row>
    <row r="11486" spans="2:2">
      <c r="B11486" s="36"/>
    </row>
    <row r="11487" spans="2:2">
      <c r="B11487" s="36"/>
    </row>
    <row r="11488" spans="2:2">
      <c r="B11488" s="36"/>
    </row>
    <row r="11489" spans="2:2">
      <c r="B11489" s="36"/>
    </row>
    <row r="11490" spans="2:2">
      <c r="B11490" s="36"/>
    </row>
    <row r="11491" spans="2:2">
      <c r="B11491" s="36"/>
    </row>
    <row r="11492" spans="2:2">
      <c r="B11492" s="36"/>
    </row>
    <row r="11493" spans="2:2">
      <c r="B11493" s="36"/>
    </row>
    <row r="11494" spans="2:2">
      <c r="B11494" s="36"/>
    </row>
    <row r="11495" spans="2:2">
      <c r="B11495" s="36"/>
    </row>
    <row r="11496" spans="2:2">
      <c r="B11496" s="36"/>
    </row>
    <row r="11497" spans="2:2">
      <c r="B11497" s="36"/>
    </row>
    <row r="11498" spans="2:2">
      <c r="B11498" s="36"/>
    </row>
    <row r="11499" spans="2:2">
      <c r="B11499" s="36"/>
    </row>
    <row r="11500" spans="2:2">
      <c r="B11500" s="36"/>
    </row>
    <row r="11501" spans="2:2">
      <c r="B11501" s="36"/>
    </row>
    <row r="11502" spans="2:2">
      <c r="B11502" s="36"/>
    </row>
    <row r="11503" spans="2:2">
      <c r="B11503" s="36"/>
    </row>
    <row r="11504" spans="2:2">
      <c r="B11504" s="36"/>
    </row>
    <row r="11505" spans="2:2">
      <c r="B11505" s="36"/>
    </row>
    <row r="11506" spans="2:2">
      <c r="B11506" s="36"/>
    </row>
    <row r="11507" spans="2:2">
      <c r="B11507" s="36"/>
    </row>
    <row r="11508" spans="2:2">
      <c r="B11508" s="36"/>
    </row>
    <row r="11509" spans="2:2">
      <c r="B11509" s="36"/>
    </row>
    <row r="11510" spans="2:2">
      <c r="B11510" s="36"/>
    </row>
    <row r="11511" spans="2:2">
      <c r="B11511" s="36"/>
    </row>
    <row r="11512" spans="2:2">
      <c r="B11512" s="36"/>
    </row>
    <row r="11513" spans="2:2">
      <c r="B11513" s="36"/>
    </row>
    <row r="11514" spans="2:2">
      <c r="B11514" s="36"/>
    </row>
    <row r="11515" spans="2:2">
      <c r="B11515" s="36"/>
    </row>
    <row r="11516" spans="2:2">
      <c r="B11516" s="36"/>
    </row>
    <row r="11517" spans="2:2">
      <c r="B11517" s="36"/>
    </row>
    <row r="11518" spans="2:2">
      <c r="B11518" s="36"/>
    </row>
    <row r="11519" spans="2:2">
      <c r="B11519" s="36"/>
    </row>
    <row r="11520" spans="2:2">
      <c r="B11520" s="36"/>
    </row>
    <row r="11521" spans="2:2">
      <c r="B11521" s="36"/>
    </row>
    <row r="11522" spans="2:2">
      <c r="B11522" s="36"/>
    </row>
    <row r="11523" spans="2:2">
      <c r="B11523" s="36"/>
    </row>
    <row r="11524" spans="2:2">
      <c r="B11524" s="36"/>
    </row>
    <row r="11525" spans="2:2">
      <c r="B11525" s="36"/>
    </row>
    <row r="11526" spans="2:2">
      <c r="B11526" s="36"/>
    </row>
    <row r="11527" spans="2:2">
      <c r="B11527" s="36"/>
    </row>
    <row r="11528" spans="2:2">
      <c r="B11528" s="36"/>
    </row>
    <row r="11529" spans="2:2">
      <c r="B11529" s="36"/>
    </row>
    <row r="11530" spans="2:2">
      <c r="B11530" s="36"/>
    </row>
    <row r="11531" spans="2:2">
      <c r="B11531" s="36"/>
    </row>
    <row r="11532" spans="2:2">
      <c r="B11532" s="36"/>
    </row>
    <row r="11533" spans="2:2">
      <c r="B11533" s="36"/>
    </row>
    <row r="11534" spans="2:2">
      <c r="B11534" s="36"/>
    </row>
    <row r="11535" spans="2:2">
      <c r="B11535" s="36"/>
    </row>
    <row r="11536" spans="2:2">
      <c r="B11536" s="36"/>
    </row>
    <row r="11537" spans="2:2">
      <c r="B11537" s="36"/>
    </row>
    <row r="11538" spans="2:2">
      <c r="B11538" s="36"/>
    </row>
    <row r="11539" spans="2:2">
      <c r="B11539" s="36"/>
    </row>
    <row r="11540" spans="2:2">
      <c r="B11540" s="36"/>
    </row>
    <row r="11541" spans="2:2">
      <c r="B11541" s="36"/>
    </row>
    <row r="11542" spans="2:2">
      <c r="B11542" s="36"/>
    </row>
    <row r="11543" spans="2:2">
      <c r="B11543" s="36"/>
    </row>
    <row r="11544" spans="2:2">
      <c r="B11544" s="36"/>
    </row>
    <row r="11545" spans="2:2">
      <c r="B11545" s="36"/>
    </row>
    <row r="11546" spans="2:2">
      <c r="B11546" s="36"/>
    </row>
    <row r="11547" spans="2:2">
      <c r="B11547" s="36"/>
    </row>
    <row r="11548" spans="2:2">
      <c r="B11548" s="36"/>
    </row>
    <row r="11549" spans="2:2">
      <c r="B11549" s="36"/>
    </row>
    <row r="11550" spans="2:2">
      <c r="B11550" s="36"/>
    </row>
    <row r="11551" spans="2:2">
      <c r="B11551" s="36"/>
    </row>
    <row r="11552" spans="2:2">
      <c r="B11552" s="36"/>
    </row>
    <row r="11553" spans="2:2">
      <c r="B11553" s="36"/>
    </row>
    <row r="11554" spans="2:2">
      <c r="B11554" s="36"/>
    </row>
    <row r="11555" spans="2:2">
      <c r="B11555" s="36"/>
    </row>
    <row r="11556" spans="2:2">
      <c r="B11556" s="36"/>
    </row>
    <row r="11557" spans="2:2">
      <c r="B11557" s="36"/>
    </row>
    <row r="11558" spans="2:2">
      <c r="B11558" s="36"/>
    </row>
    <row r="11559" spans="2:2">
      <c r="B11559" s="36"/>
    </row>
    <row r="11560" spans="2:2">
      <c r="B11560" s="36"/>
    </row>
    <row r="11561" spans="2:2">
      <c r="B11561" s="36"/>
    </row>
    <row r="11562" spans="2:2">
      <c r="B11562" s="36"/>
    </row>
    <row r="11563" spans="2:2">
      <c r="B11563" s="36"/>
    </row>
    <row r="11564" spans="2:2">
      <c r="B11564" s="36"/>
    </row>
    <row r="11565" spans="2:2">
      <c r="B11565" s="36"/>
    </row>
    <row r="11566" spans="2:2">
      <c r="B11566" s="36"/>
    </row>
    <row r="11567" spans="2:2">
      <c r="B11567" s="36"/>
    </row>
    <row r="11568" spans="2:2">
      <c r="B11568" s="36"/>
    </row>
    <row r="11569" spans="2:2">
      <c r="B11569" s="36"/>
    </row>
    <row r="11570" spans="2:2">
      <c r="B11570" s="36"/>
    </row>
    <row r="11571" spans="2:2">
      <c r="B11571" s="36"/>
    </row>
    <row r="11572" spans="2:2">
      <c r="B11572" s="36"/>
    </row>
    <row r="11573" spans="2:2">
      <c r="B11573" s="36"/>
    </row>
    <row r="11574" spans="2:2">
      <c r="B11574" s="36"/>
    </row>
    <row r="11575" spans="2:2">
      <c r="B11575" s="36"/>
    </row>
    <row r="11576" spans="2:2">
      <c r="B11576" s="36"/>
    </row>
    <row r="11577" spans="2:2">
      <c r="B11577" s="36"/>
    </row>
    <row r="11578" spans="2:2">
      <c r="B11578" s="36"/>
    </row>
    <row r="11579" spans="2:2">
      <c r="B11579" s="36"/>
    </row>
    <row r="11580" spans="2:2">
      <c r="B11580" s="36"/>
    </row>
    <row r="11581" spans="2:2">
      <c r="B11581" s="36"/>
    </row>
    <row r="11582" spans="2:2">
      <c r="B11582" s="36"/>
    </row>
    <row r="11583" spans="2:2">
      <c r="B11583" s="36"/>
    </row>
    <row r="11584" spans="2:2">
      <c r="B11584" s="36"/>
    </row>
    <row r="11585" spans="2:2">
      <c r="B11585" s="36"/>
    </row>
    <row r="11586" spans="2:2">
      <c r="B11586" s="36"/>
    </row>
    <row r="11587" spans="2:2">
      <c r="B11587" s="36"/>
    </row>
    <row r="11588" spans="2:2">
      <c r="B11588" s="36"/>
    </row>
    <row r="11589" spans="2:2">
      <c r="B11589" s="36"/>
    </row>
    <row r="11590" spans="2:2">
      <c r="B11590" s="36"/>
    </row>
    <row r="11591" spans="2:2">
      <c r="B11591" s="36"/>
    </row>
    <row r="11592" spans="2:2">
      <c r="B11592" s="36"/>
    </row>
    <row r="11593" spans="2:2">
      <c r="B11593" s="36"/>
    </row>
    <row r="11594" spans="2:2">
      <c r="B11594" s="36"/>
    </row>
    <row r="11595" spans="2:2">
      <c r="B11595" s="36"/>
    </row>
    <row r="11596" spans="2:2">
      <c r="B11596" s="36"/>
    </row>
    <row r="11597" spans="2:2">
      <c r="B11597" s="36"/>
    </row>
    <row r="11598" spans="2:2">
      <c r="B11598" s="36"/>
    </row>
    <row r="11599" spans="2:2">
      <c r="B11599" s="36"/>
    </row>
    <row r="11600" spans="2:2">
      <c r="B11600" s="36"/>
    </row>
    <row r="11601" spans="2:2">
      <c r="B11601" s="36"/>
    </row>
    <row r="11602" spans="2:2">
      <c r="B11602" s="36"/>
    </row>
    <row r="11603" spans="2:2">
      <c r="B11603" s="36"/>
    </row>
    <row r="11604" spans="2:2">
      <c r="B11604" s="36"/>
    </row>
    <row r="11605" spans="2:2">
      <c r="B11605" s="36"/>
    </row>
    <row r="11606" spans="2:2">
      <c r="B11606" s="36"/>
    </row>
    <row r="11607" spans="2:2">
      <c r="B11607" s="36"/>
    </row>
    <row r="11608" spans="2:2">
      <c r="B11608" s="36"/>
    </row>
    <row r="11609" spans="2:2">
      <c r="B11609" s="36"/>
    </row>
    <row r="11610" spans="2:2">
      <c r="B11610" s="36"/>
    </row>
    <row r="11611" spans="2:2">
      <c r="B11611" s="36"/>
    </row>
    <row r="11612" spans="2:2">
      <c r="B11612" s="36"/>
    </row>
    <row r="11613" spans="2:2">
      <c r="B11613" s="36"/>
    </row>
    <row r="11614" spans="2:2">
      <c r="B11614" s="36"/>
    </row>
    <row r="11615" spans="2:2">
      <c r="B11615" s="36"/>
    </row>
    <row r="11616" spans="2:2">
      <c r="B11616" s="36"/>
    </row>
    <row r="11617" spans="2:2">
      <c r="B11617" s="36"/>
    </row>
    <row r="11618" spans="2:2">
      <c r="B11618" s="36"/>
    </row>
    <row r="11619" spans="2:2">
      <c r="B11619" s="36"/>
    </row>
    <row r="11620" spans="2:2">
      <c r="B11620" s="36"/>
    </row>
    <row r="11621" spans="2:2">
      <c r="B11621" s="36"/>
    </row>
    <row r="11622" spans="2:2">
      <c r="B11622" s="36"/>
    </row>
    <row r="11623" spans="2:2">
      <c r="B11623" s="36"/>
    </row>
    <row r="11624" spans="2:2">
      <c r="B11624" s="36"/>
    </row>
    <row r="11625" spans="2:2">
      <c r="B11625" s="36"/>
    </row>
    <row r="11626" spans="2:2">
      <c r="B11626" s="36"/>
    </row>
    <row r="11627" spans="2:2">
      <c r="B11627" s="36"/>
    </row>
    <row r="11628" spans="2:2">
      <c r="B11628" s="36"/>
    </row>
    <row r="11629" spans="2:2">
      <c r="B11629" s="36"/>
    </row>
    <row r="11630" spans="2:2">
      <c r="B11630" s="36"/>
    </row>
    <row r="11631" spans="2:2">
      <c r="B11631" s="36"/>
    </row>
    <row r="11632" spans="2:2">
      <c r="B11632" s="36"/>
    </row>
    <row r="11633" spans="2:2">
      <c r="B11633" s="36"/>
    </row>
    <row r="11634" spans="2:2">
      <c r="B11634" s="36"/>
    </row>
    <row r="11635" spans="2:2">
      <c r="B11635" s="36"/>
    </row>
    <row r="11636" spans="2:2">
      <c r="B11636" s="36"/>
    </row>
    <row r="11637" spans="2:2">
      <c r="B11637" s="36"/>
    </row>
    <row r="11638" spans="2:2">
      <c r="B11638" s="36"/>
    </row>
    <row r="11639" spans="2:2">
      <c r="B11639" s="36"/>
    </row>
    <row r="11640" spans="2:2">
      <c r="B11640" s="36"/>
    </row>
    <row r="11641" spans="2:2">
      <c r="B11641" s="36"/>
    </row>
    <row r="11642" spans="2:2">
      <c r="B11642" s="36"/>
    </row>
    <row r="11643" spans="2:2">
      <c r="B11643" s="36"/>
    </row>
    <row r="11644" spans="2:2">
      <c r="B11644" s="36"/>
    </row>
    <row r="11645" spans="2:2">
      <c r="B11645" s="36"/>
    </row>
    <row r="11646" spans="2:2">
      <c r="B11646" s="36"/>
    </row>
    <row r="11647" spans="2:2">
      <c r="B11647" s="36"/>
    </row>
    <row r="11648" spans="2:2">
      <c r="B11648" s="36"/>
    </row>
    <row r="11649" spans="2:2">
      <c r="B11649" s="36"/>
    </row>
    <row r="11650" spans="2:2">
      <c r="B11650" s="36"/>
    </row>
    <row r="11651" spans="2:2">
      <c r="B11651" s="36"/>
    </row>
    <row r="11652" spans="2:2">
      <c r="B11652" s="36"/>
    </row>
    <row r="11653" spans="2:2">
      <c r="B11653" s="36"/>
    </row>
    <row r="11654" spans="2:2">
      <c r="B11654" s="36"/>
    </row>
    <row r="11655" spans="2:2">
      <c r="B11655" s="36"/>
    </row>
    <row r="11656" spans="2:2">
      <c r="B11656" s="36"/>
    </row>
    <row r="11657" spans="2:2">
      <c r="B11657" s="36"/>
    </row>
    <row r="11658" spans="2:2">
      <c r="B11658" s="36"/>
    </row>
    <row r="11659" spans="2:2">
      <c r="B11659" s="36"/>
    </row>
    <row r="11660" spans="2:2">
      <c r="B11660" s="36"/>
    </row>
    <row r="11661" spans="2:2">
      <c r="B11661" s="36"/>
    </row>
    <row r="11662" spans="2:2">
      <c r="B11662" s="36"/>
    </row>
    <row r="11663" spans="2:2">
      <c r="B11663" s="36"/>
    </row>
    <row r="11664" spans="2:2">
      <c r="B11664" s="36"/>
    </row>
    <row r="11665" spans="2:2">
      <c r="B11665" s="36"/>
    </row>
    <row r="11666" spans="2:2">
      <c r="B11666" s="36"/>
    </row>
    <row r="11667" spans="2:2">
      <c r="B11667" s="36"/>
    </row>
    <row r="11668" spans="2:2">
      <c r="B11668" s="36"/>
    </row>
    <row r="11669" spans="2:2">
      <c r="B11669" s="36"/>
    </row>
    <row r="11670" spans="2:2">
      <c r="B11670" s="36"/>
    </row>
    <row r="11671" spans="2:2">
      <c r="B11671" s="36"/>
    </row>
    <row r="11672" spans="2:2">
      <c r="B11672" s="36"/>
    </row>
    <row r="11673" spans="2:2">
      <c r="B11673" s="36"/>
    </row>
    <row r="11674" spans="2:2">
      <c r="B11674" s="36"/>
    </row>
    <row r="11675" spans="2:2">
      <c r="B11675" s="36"/>
    </row>
    <row r="11676" spans="2:2">
      <c r="B11676" s="36"/>
    </row>
    <row r="11677" spans="2:2">
      <c r="B11677" s="36"/>
    </row>
    <row r="11678" spans="2:2">
      <c r="B11678" s="36"/>
    </row>
    <row r="11679" spans="2:2">
      <c r="B11679" s="36"/>
    </row>
    <row r="11680" spans="2:2">
      <c r="B11680" s="36"/>
    </row>
    <row r="11681" spans="2:2">
      <c r="B11681" s="36"/>
    </row>
    <row r="11682" spans="2:2">
      <c r="B11682" s="36"/>
    </row>
    <row r="11683" spans="2:2">
      <c r="B11683" s="36"/>
    </row>
    <row r="11684" spans="2:2">
      <c r="B11684" s="36"/>
    </row>
    <row r="11685" spans="2:2">
      <c r="B11685" s="36"/>
    </row>
    <row r="11686" spans="2:2">
      <c r="B11686" s="36"/>
    </row>
    <row r="11687" spans="2:2">
      <c r="B11687" s="36"/>
    </row>
    <row r="11688" spans="2:2">
      <c r="B11688" s="36"/>
    </row>
    <row r="11689" spans="2:2">
      <c r="B11689" s="36"/>
    </row>
    <row r="11690" spans="2:2">
      <c r="B11690" s="36"/>
    </row>
    <row r="11691" spans="2:2">
      <c r="B11691" s="36"/>
    </row>
    <row r="11692" spans="2:2">
      <c r="B11692" s="36"/>
    </row>
    <row r="11693" spans="2:2">
      <c r="B11693" s="36"/>
    </row>
    <row r="11694" spans="2:2">
      <c r="B11694" s="36"/>
    </row>
    <row r="11695" spans="2:2">
      <c r="B11695" s="36"/>
    </row>
    <row r="11696" spans="2:2">
      <c r="B11696" s="36"/>
    </row>
    <row r="11697" spans="2:2">
      <c r="B11697" s="36"/>
    </row>
    <row r="11698" spans="2:2">
      <c r="B11698" s="36"/>
    </row>
    <row r="11699" spans="2:2">
      <c r="B11699" s="36"/>
    </row>
    <row r="11700" spans="2:2">
      <c r="B11700" s="36"/>
    </row>
    <row r="11701" spans="2:2">
      <c r="B11701" s="36"/>
    </row>
    <row r="11702" spans="2:2">
      <c r="B11702" s="36"/>
    </row>
    <row r="11703" spans="2:2">
      <c r="B11703" s="36"/>
    </row>
    <row r="11704" spans="2:2">
      <c r="B11704" s="36"/>
    </row>
    <row r="11705" spans="2:2">
      <c r="B11705" s="36"/>
    </row>
    <row r="11706" spans="2:2">
      <c r="B11706" s="36"/>
    </row>
    <row r="11707" spans="2:2">
      <c r="B11707" s="36"/>
    </row>
    <row r="11708" spans="2:2">
      <c r="B11708" s="36"/>
    </row>
    <row r="11709" spans="2:2">
      <c r="B11709" s="36"/>
    </row>
    <row r="11710" spans="2:2">
      <c r="B11710" s="36"/>
    </row>
    <row r="11711" spans="2:2">
      <c r="B11711" s="36"/>
    </row>
    <row r="11712" spans="2:2">
      <c r="B11712" s="36"/>
    </row>
    <row r="11713" spans="2:2">
      <c r="B11713" s="36"/>
    </row>
    <row r="11714" spans="2:2">
      <c r="B11714" s="36"/>
    </row>
    <row r="11715" spans="2:2">
      <c r="B11715" s="36"/>
    </row>
    <row r="11716" spans="2:2">
      <c r="B11716" s="36"/>
    </row>
    <row r="11717" spans="2:2">
      <c r="B11717" s="36"/>
    </row>
    <row r="11718" spans="2:2">
      <c r="B11718" s="36"/>
    </row>
    <row r="11719" spans="2:2">
      <c r="B11719" s="36"/>
    </row>
    <row r="11720" spans="2:2">
      <c r="B11720" s="36"/>
    </row>
    <row r="11721" spans="2:2">
      <c r="B11721" s="36"/>
    </row>
    <row r="11722" spans="2:2">
      <c r="B11722" s="36"/>
    </row>
    <row r="11723" spans="2:2">
      <c r="B11723" s="36"/>
    </row>
    <row r="11724" spans="2:2">
      <c r="B11724" s="36"/>
    </row>
    <row r="11725" spans="2:2">
      <c r="B11725" s="36"/>
    </row>
    <row r="11726" spans="2:2">
      <c r="B11726" s="36"/>
    </row>
    <row r="11727" spans="2:2">
      <c r="B11727" s="36"/>
    </row>
    <row r="11728" spans="2:2">
      <c r="B11728" s="36"/>
    </row>
    <row r="11729" spans="2:2">
      <c r="B11729" s="36"/>
    </row>
    <row r="11730" spans="2:2">
      <c r="B11730" s="36"/>
    </row>
    <row r="11731" spans="2:2">
      <c r="B11731" s="36"/>
    </row>
    <row r="11732" spans="2:2">
      <c r="B11732" s="36"/>
    </row>
    <row r="11733" spans="2:2">
      <c r="B11733" s="36"/>
    </row>
    <row r="11734" spans="2:2">
      <c r="B11734" s="36"/>
    </row>
    <row r="11735" spans="2:2">
      <c r="B11735" s="36"/>
    </row>
    <row r="11736" spans="2:2">
      <c r="B11736" s="36"/>
    </row>
    <row r="11737" spans="2:2">
      <c r="B11737" s="36"/>
    </row>
    <row r="11738" spans="2:2">
      <c r="B11738" s="36"/>
    </row>
    <row r="11739" spans="2:2">
      <c r="B11739" s="36"/>
    </row>
    <row r="11740" spans="2:2">
      <c r="B11740" s="36"/>
    </row>
    <row r="11741" spans="2:2">
      <c r="B11741" s="36"/>
    </row>
    <row r="11742" spans="2:2">
      <c r="B11742" s="36"/>
    </row>
    <row r="11743" spans="2:2">
      <c r="B11743" s="36"/>
    </row>
    <row r="11744" spans="2:2">
      <c r="B11744" s="36"/>
    </row>
    <row r="11745" spans="2:2">
      <c r="B11745" s="36"/>
    </row>
    <row r="11746" spans="2:2">
      <c r="B11746" s="36"/>
    </row>
    <row r="11747" spans="2:2">
      <c r="B11747" s="36"/>
    </row>
    <row r="11748" spans="2:2">
      <c r="B11748" s="36"/>
    </row>
    <row r="11749" spans="2:2">
      <c r="B11749" s="36"/>
    </row>
    <row r="11750" spans="2:2">
      <c r="B11750" s="36"/>
    </row>
    <row r="11751" spans="2:2">
      <c r="B11751" s="36"/>
    </row>
    <row r="11752" spans="2:2">
      <c r="B11752" s="36"/>
    </row>
    <row r="11753" spans="2:2">
      <c r="B11753" s="36"/>
    </row>
    <row r="11754" spans="2:2">
      <c r="B11754" s="36"/>
    </row>
    <row r="11755" spans="2:2">
      <c r="B11755" s="36"/>
    </row>
    <row r="11756" spans="2:2">
      <c r="B11756" s="36"/>
    </row>
    <row r="11757" spans="2:2">
      <c r="B11757" s="36"/>
    </row>
    <row r="11758" spans="2:2">
      <c r="B11758" s="36"/>
    </row>
    <row r="11759" spans="2:2">
      <c r="B11759" s="36"/>
    </row>
    <row r="11760" spans="2:2">
      <c r="B11760" s="36"/>
    </row>
    <row r="11761" spans="2:2">
      <c r="B11761" s="36"/>
    </row>
    <row r="11762" spans="2:2">
      <c r="B11762" s="36"/>
    </row>
    <row r="11763" spans="2:2">
      <c r="B11763" s="36"/>
    </row>
    <row r="11764" spans="2:2">
      <c r="B11764" s="36"/>
    </row>
    <row r="11765" spans="2:2">
      <c r="B11765" s="36"/>
    </row>
    <row r="11766" spans="2:2">
      <c r="B11766" s="36"/>
    </row>
    <row r="11767" spans="2:2">
      <c r="B11767" s="36"/>
    </row>
    <row r="11768" spans="2:2">
      <c r="B11768" s="36"/>
    </row>
    <row r="11769" spans="2:2">
      <c r="B11769" s="36"/>
    </row>
    <row r="11770" spans="2:2">
      <c r="B11770" s="36"/>
    </row>
    <row r="11771" spans="2:2">
      <c r="B11771" s="36"/>
    </row>
    <row r="11772" spans="2:2">
      <c r="B11772" s="36"/>
    </row>
    <row r="11773" spans="2:2">
      <c r="B11773" s="36"/>
    </row>
    <row r="11774" spans="2:2">
      <c r="B11774" s="36"/>
    </row>
    <row r="11775" spans="2:2">
      <c r="B11775" s="36"/>
    </row>
    <row r="11776" spans="2:2">
      <c r="B11776" s="36"/>
    </row>
    <row r="11777" spans="2:2">
      <c r="B11777" s="36"/>
    </row>
    <row r="11778" spans="2:2">
      <c r="B11778" s="36"/>
    </row>
    <row r="11779" spans="2:2">
      <c r="B11779" s="36"/>
    </row>
    <row r="11780" spans="2:2">
      <c r="B11780" s="36"/>
    </row>
    <row r="11781" spans="2:2">
      <c r="B11781" s="36"/>
    </row>
    <row r="11782" spans="2:2">
      <c r="B11782" s="36"/>
    </row>
    <row r="11783" spans="2:2">
      <c r="B11783" s="36"/>
    </row>
    <row r="11784" spans="2:2">
      <c r="B11784" s="36"/>
    </row>
    <row r="11785" spans="2:2">
      <c r="B11785" s="36"/>
    </row>
    <row r="11786" spans="2:2">
      <c r="B11786" s="36"/>
    </row>
    <row r="11787" spans="2:2">
      <c r="B11787" s="36"/>
    </row>
    <row r="11788" spans="2:2">
      <c r="B11788" s="36"/>
    </row>
    <row r="11789" spans="2:2">
      <c r="B11789" s="36"/>
    </row>
    <row r="11790" spans="2:2">
      <c r="B11790" s="36"/>
    </row>
    <row r="11791" spans="2:2">
      <c r="B11791" s="36"/>
    </row>
    <row r="11792" spans="2:2">
      <c r="B11792" s="36"/>
    </row>
    <row r="11793" spans="2:2">
      <c r="B11793" s="36"/>
    </row>
    <row r="11794" spans="2:2">
      <c r="B11794" s="36"/>
    </row>
    <row r="11795" spans="2:2">
      <c r="B11795" s="36"/>
    </row>
    <row r="11796" spans="2:2">
      <c r="B11796" s="36"/>
    </row>
    <row r="11797" spans="2:2">
      <c r="B11797" s="36"/>
    </row>
    <row r="11798" spans="2:2">
      <c r="B11798" s="36"/>
    </row>
    <row r="11799" spans="2:2">
      <c r="B11799" s="36"/>
    </row>
    <row r="11800" spans="2:2">
      <c r="B11800" s="36"/>
    </row>
    <row r="11801" spans="2:2">
      <c r="B11801" s="36"/>
    </row>
    <row r="11802" spans="2:2">
      <c r="B11802" s="36"/>
    </row>
    <row r="11803" spans="2:2">
      <c r="B11803" s="36"/>
    </row>
    <row r="11804" spans="2:2">
      <c r="B11804" s="36"/>
    </row>
    <row r="11805" spans="2:2">
      <c r="B11805" s="36"/>
    </row>
    <row r="11806" spans="2:2">
      <c r="B11806" s="36"/>
    </row>
    <row r="11807" spans="2:2">
      <c r="B11807" s="36"/>
    </row>
    <row r="11808" spans="2:2">
      <c r="B11808" s="36"/>
    </row>
    <row r="11809" spans="2:2">
      <c r="B11809" s="36"/>
    </row>
    <row r="11810" spans="2:2">
      <c r="B11810" s="36"/>
    </row>
    <row r="11811" spans="2:2">
      <c r="B11811" s="36"/>
    </row>
    <row r="11812" spans="2:2">
      <c r="B11812" s="36"/>
    </row>
    <row r="11813" spans="2:2">
      <c r="B11813" s="36"/>
    </row>
    <row r="11814" spans="2:2">
      <c r="B11814" s="36"/>
    </row>
    <row r="11815" spans="2:2">
      <c r="B11815" s="36"/>
    </row>
    <row r="11816" spans="2:2">
      <c r="B11816" s="36"/>
    </row>
    <row r="11817" spans="2:2">
      <c r="B11817" s="36"/>
    </row>
    <row r="11818" spans="2:2">
      <c r="B11818" s="36"/>
    </row>
    <row r="11819" spans="2:2">
      <c r="B11819" s="36"/>
    </row>
    <row r="11820" spans="2:2">
      <c r="B11820" s="36"/>
    </row>
    <row r="11821" spans="2:2">
      <c r="B11821" s="36"/>
    </row>
    <row r="11822" spans="2:2">
      <c r="B11822" s="36"/>
    </row>
    <row r="11823" spans="2:2">
      <c r="B11823" s="36"/>
    </row>
    <row r="11824" spans="2:2">
      <c r="B11824" s="36"/>
    </row>
    <row r="11825" spans="2:2">
      <c r="B11825" s="36"/>
    </row>
    <row r="11826" spans="2:2">
      <c r="B11826" s="36"/>
    </row>
    <row r="11827" spans="2:2">
      <c r="B11827" s="36"/>
    </row>
    <row r="11828" spans="2:2">
      <c r="B11828" s="36"/>
    </row>
    <row r="11829" spans="2:2">
      <c r="B11829" s="36"/>
    </row>
    <row r="11830" spans="2:2">
      <c r="B11830" s="36"/>
    </row>
    <row r="11831" spans="2:2">
      <c r="B11831" s="36"/>
    </row>
    <row r="11832" spans="2:2">
      <c r="B11832" s="36"/>
    </row>
    <row r="11833" spans="2:2">
      <c r="B11833" s="36"/>
    </row>
    <row r="11834" spans="2:2">
      <c r="B11834" s="36"/>
    </row>
    <row r="11835" spans="2:2">
      <c r="B11835" s="36"/>
    </row>
    <row r="11836" spans="2:2">
      <c r="B11836" s="36"/>
    </row>
    <row r="11837" spans="2:2">
      <c r="B11837" s="36"/>
    </row>
    <row r="11838" spans="2:2">
      <c r="B11838" s="36"/>
    </row>
    <row r="11839" spans="2:2">
      <c r="B11839" s="36"/>
    </row>
    <row r="11840" spans="2:2">
      <c r="B11840" s="36"/>
    </row>
    <row r="11841" spans="2:2">
      <c r="B11841" s="36"/>
    </row>
    <row r="11842" spans="2:2">
      <c r="B11842" s="36"/>
    </row>
    <row r="11843" spans="2:2">
      <c r="B11843" s="36"/>
    </row>
    <row r="11844" spans="2:2">
      <c r="B11844" s="36"/>
    </row>
    <row r="11845" spans="2:2">
      <c r="B11845" s="36"/>
    </row>
    <row r="11846" spans="2:2">
      <c r="B11846" s="36"/>
    </row>
    <row r="11847" spans="2:2">
      <c r="B11847" s="36"/>
    </row>
    <row r="11848" spans="2:2">
      <c r="B11848" s="36"/>
    </row>
    <row r="11849" spans="2:2">
      <c r="B11849" s="36"/>
    </row>
    <row r="11850" spans="2:2">
      <c r="B11850" s="36"/>
    </row>
    <row r="11851" spans="2:2">
      <c r="B11851" s="36"/>
    </row>
    <row r="11852" spans="2:2">
      <c r="B11852" s="36"/>
    </row>
    <row r="11853" spans="2:2">
      <c r="B11853" s="36"/>
    </row>
    <row r="11854" spans="2:2">
      <c r="B11854" s="36"/>
    </row>
    <row r="11855" spans="2:2">
      <c r="B11855" s="36"/>
    </row>
    <row r="11856" spans="2:2">
      <c r="B11856" s="36"/>
    </row>
    <row r="11857" spans="2:2">
      <c r="B11857" s="36"/>
    </row>
    <row r="11858" spans="2:2">
      <c r="B11858" s="36"/>
    </row>
    <row r="11859" spans="2:2">
      <c r="B11859" s="36"/>
    </row>
    <row r="11860" spans="2:2">
      <c r="B11860" s="36"/>
    </row>
    <row r="11861" spans="2:2">
      <c r="B11861" s="36"/>
    </row>
    <row r="11862" spans="2:2">
      <c r="B11862" s="36"/>
    </row>
    <row r="11863" spans="2:2">
      <c r="B11863" s="36"/>
    </row>
    <row r="11864" spans="2:2">
      <c r="B11864" s="36"/>
    </row>
    <row r="11865" spans="2:2">
      <c r="B11865" s="36"/>
    </row>
    <row r="11866" spans="2:2">
      <c r="B11866" s="36"/>
    </row>
    <row r="11867" spans="2:2">
      <c r="B11867" s="36"/>
    </row>
    <row r="11868" spans="2:2">
      <c r="B11868" s="36"/>
    </row>
    <row r="11869" spans="2:2">
      <c r="B11869" s="36"/>
    </row>
    <row r="11870" spans="2:2">
      <c r="B11870" s="36"/>
    </row>
    <row r="11871" spans="2:2">
      <c r="B11871" s="36"/>
    </row>
    <row r="11872" spans="2:2">
      <c r="B11872" s="36"/>
    </row>
    <row r="11873" spans="2:2">
      <c r="B11873" s="36"/>
    </row>
    <row r="11874" spans="2:2">
      <c r="B11874" s="36"/>
    </row>
    <row r="11875" spans="2:2">
      <c r="B11875" s="36"/>
    </row>
    <row r="11876" spans="2:2">
      <c r="B11876" s="36"/>
    </row>
    <row r="11877" spans="2:2">
      <c r="B11877" s="36"/>
    </row>
    <row r="11878" spans="2:2">
      <c r="B11878" s="36"/>
    </row>
    <row r="11879" spans="2:2">
      <c r="B11879" s="36"/>
    </row>
    <row r="11880" spans="2:2">
      <c r="B11880" s="36"/>
    </row>
    <row r="11881" spans="2:2">
      <c r="B11881" s="36"/>
    </row>
    <row r="11882" spans="2:2">
      <c r="B11882" s="36"/>
    </row>
    <row r="11883" spans="2:2">
      <c r="B11883" s="36"/>
    </row>
    <row r="11884" spans="2:2">
      <c r="B11884" s="36"/>
    </row>
    <row r="11885" spans="2:2">
      <c r="B11885" s="36"/>
    </row>
    <row r="11886" spans="2:2">
      <c r="B11886" s="36"/>
    </row>
    <row r="11887" spans="2:2">
      <c r="B11887" s="36"/>
    </row>
    <row r="11888" spans="2:2">
      <c r="B11888" s="36"/>
    </row>
    <row r="11889" spans="2:2">
      <c r="B11889" s="36"/>
    </row>
    <row r="11890" spans="2:2">
      <c r="B11890" s="36"/>
    </row>
    <row r="11891" spans="2:2">
      <c r="B11891" s="36"/>
    </row>
    <row r="11892" spans="2:2">
      <c r="B11892" s="36"/>
    </row>
    <row r="11893" spans="2:2">
      <c r="B11893" s="36"/>
    </row>
    <row r="11894" spans="2:2">
      <c r="B11894" s="36"/>
    </row>
    <row r="11895" spans="2:2">
      <c r="B11895" s="36"/>
    </row>
    <row r="11896" spans="2:2">
      <c r="B11896" s="36"/>
    </row>
    <row r="11897" spans="2:2">
      <c r="B11897" s="36"/>
    </row>
    <row r="11898" spans="2:2">
      <c r="B11898" s="36"/>
    </row>
    <row r="11899" spans="2:2">
      <c r="B11899" s="36"/>
    </row>
    <row r="11900" spans="2:2">
      <c r="B11900" s="36"/>
    </row>
    <row r="11901" spans="2:2">
      <c r="B11901" s="36"/>
    </row>
    <row r="11902" spans="2:2">
      <c r="B11902" s="36"/>
    </row>
    <row r="11903" spans="2:2">
      <c r="B11903" s="36"/>
    </row>
    <row r="11904" spans="2:2">
      <c r="B11904" s="36"/>
    </row>
    <row r="11905" spans="2:2">
      <c r="B11905" s="36"/>
    </row>
    <row r="11906" spans="2:2">
      <c r="B11906" s="36"/>
    </row>
    <row r="11907" spans="2:2">
      <c r="B11907" s="36"/>
    </row>
    <row r="11908" spans="2:2">
      <c r="B11908" s="36"/>
    </row>
    <row r="11909" spans="2:2">
      <c r="B11909" s="36"/>
    </row>
    <row r="11910" spans="2:2">
      <c r="B11910" s="36"/>
    </row>
    <row r="11911" spans="2:2">
      <c r="B11911" s="36"/>
    </row>
    <row r="11912" spans="2:2">
      <c r="B11912" s="36"/>
    </row>
    <row r="11913" spans="2:2">
      <c r="B11913" s="36"/>
    </row>
    <row r="11914" spans="2:2">
      <c r="B11914" s="36"/>
    </row>
    <row r="11915" spans="2:2">
      <c r="B11915" s="36"/>
    </row>
    <row r="11916" spans="2:2">
      <c r="B11916" s="36"/>
    </row>
    <row r="11917" spans="2:2">
      <c r="B11917" s="36"/>
    </row>
    <row r="11918" spans="2:2">
      <c r="B11918" s="36"/>
    </row>
    <row r="11919" spans="2:2">
      <c r="B11919" s="36"/>
    </row>
    <row r="11920" spans="2:2">
      <c r="B11920" s="36"/>
    </row>
    <row r="11921" spans="2:2">
      <c r="B11921" s="36"/>
    </row>
    <row r="11922" spans="2:2">
      <c r="B11922" s="36"/>
    </row>
    <row r="11923" spans="2:2">
      <c r="B11923" s="36"/>
    </row>
    <row r="11924" spans="2:2">
      <c r="B11924" s="36"/>
    </row>
    <row r="11925" spans="2:2">
      <c r="B11925" s="36"/>
    </row>
    <row r="11926" spans="2:2">
      <c r="B11926" s="36"/>
    </row>
    <row r="11927" spans="2:2">
      <c r="B11927" s="36"/>
    </row>
    <row r="11928" spans="2:2">
      <c r="B11928" s="36"/>
    </row>
    <row r="11929" spans="2:2">
      <c r="B11929" s="36"/>
    </row>
    <row r="11930" spans="2:2">
      <c r="B11930" s="36"/>
    </row>
    <row r="11931" spans="2:2">
      <c r="B11931" s="36"/>
    </row>
    <row r="11932" spans="2:2">
      <c r="B11932" s="36"/>
    </row>
    <row r="11933" spans="2:2">
      <c r="B11933" s="36"/>
    </row>
    <row r="11934" spans="2:2">
      <c r="B11934" s="36"/>
    </row>
    <row r="11935" spans="2:2">
      <c r="B11935" s="36"/>
    </row>
    <row r="11936" spans="2:2">
      <c r="B11936" s="36"/>
    </row>
    <row r="11937" spans="2:2">
      <c r="B11937" s="36"/>
    </row>
    <row r="11938" spans="2:2">
      <c r="B11938" s="36"/>
    </row>
    <row r="11939" spans="2:2">
      <c r="B11939" s="36"/>
    </row>
    <row r="11940" spans="2:2">
      <c r="B11940" s="36"/>
    </row>
    <row r="11941" spans="2:2">
      <c r="B11941" s="36"/>
    </row>
    <row r="11942" spans="2:2">
      <c r="B11942" s="36"/>
    </row>
    <row r="11943" spans="2:2">
      <c r="B11943" s="36"/>
    </row>
    <row r="11944" spans="2:2">
      <c r="B11944" s="36"/>
    </row>
    <row r="11945" spans="2:2">
      <c r="B11945" s="36"/>
    </row>
    <row r="11946" spans="2:2">
      <c r="B11946" s="36"/>
    </row>
    <row r="11947" spans="2:2">
      <c r="B11947" s="36"/>
    </row>
    <row r="11948" spans="2:2">
      <c r="B11948" s="36"/>
    </row>
    <row r="11949" spans="2:2">
      <c r="B11949" s="36"/>
    </row>
    <row r="11950" spans="2:2">
      <c r="B11950" s="36"/>
    </row>
    <row r="11951" spans="2:2">
      <c r="B11951" s="36"/>
    </row>
    <row r="11952" spans="2:2">
      <c r="B11952" s="36"/>
    </row>
    <row r="11953" spans="2:2">
      <c r="B11953" s="36"/>
    </row>
    <row r="11954" spans="2:2">
      <c r="B11954" s="36"/>
    </row>
    <row r="11955" spans="2:2">
      <c r="B11955" s="36"/>
    </row>
    <row r="11956" spans="2:2">
      <c r="B11956" s="36"/>
    </row>
    <row r="11957" spans="2:2">
      <c r="B11957" s="36"/>
    </row>
    <row r="11958" spans="2:2">
      <c r="B11958" s="36"/>
    </row>
    <row r="11959" spans="2:2">
      <c r="B11959" s="36"/>
    </row>
    <row r="11960" spans="2:2">
      <c r="B11960" s="36"/>
    </row>
    <row r="11961" spans="2:2">
      <c r="B11961" s="36"/>
    </row>
    <row r="11962" spans="2:2">
      <c r="B11962" s="36"/>
    </row>
    <row r="11963" spans="2:2">
      <c r="B11963" s="36"/>
    </row>
    <row r="11964" spans="2:2">
      <c r="B11964" s="36"/>
    </row>
    <row r="11965" spans="2:2">
      <c r="B11965" s="36"/>
    </row>
    <row r="11966" spans="2:2">
      <c r="B11966" s="36"/>
    </row>
    <row r="11967" spans="2:2">
      <c r="B11967" s="36"/>
    </row>
    <row r="11968" spans="2:2">
      <c r="B11968" s="36"/>
    </row>
    <row r="11969" spans="2:2">
      <c r="B11969" s="36"/>
    </row>
    <row r="11970" spans="2:2">
      <c r="B11970" s="36"/>
    </row>
    <row r="11971" spans="2:2">
      <c r="B11971" s="36"/>
    </row>
    <row r="11972" spans="2:2">
      <c r="B11972" s="36"/>
    </row>
    <row r="11973" spans="2:2">
      <c r="B11973" s="36"/>
    </row>
    <row r="11974" spans="2:2">
      <c r="B11974" s="36"/>
    </row>
    <row r="11975" spans="2:2">
      <c r="B11975" s="36"/>
    </row>
    <row r="11976" spans="2:2">
      <c r="B11976" s="36"/>
    </row>
    <row r="11977" spans="2:2">
      <c r="B11977" s="36"/>
    </row>
    <row r="11978" spans="2:2">
      <c r="B11978" s="36"/>
    </row>
    <row r="11979" spans="2:2">
      <c r="B11979" s="36"/>
    </row>
    <row r="11980" spans="2:2">
      <c r="B11980" s="36"/>
    </row>
    <row r="11981" spans="2:2">
      <c r="B11981" s="36"/>
    </row>
    <row r="11982" spans="2:2">
      <c r="B11982" s="36"/>
    </row>
    <row r="11983" spans="2:2">
      <c r="B11983" s="36"/>
    </row>
    <row r="11984" spans="2:2">
      <c r="B11984" s="36"/>
    </row>
    <row r="11985" spans="2:2">
      <c r="B11985" s="36"/>
    </row>
    <row r="11986" spans="2:2">
      <c r="B11986" s="36"/>
    </row>
    <row r="11987" spans="2:2">
      <c r="B11987" s="36"/>
    </row>
    <row r="11988" spans="2:2">
      <c r="B11988" s="36"/>
    </row>
    <row r="11989" spans="2:2">
      <c r="B11989" s="36"/>
    </row>
    <row r="11990" spans="2:2">
      <c r="B11990" s="36"/>
    </row>
    <row r="11991" spans="2:2">
      <c r="B11991" s="36"/>
    </row>
    <row r="11992" spans="2:2">
      <c r="B11992" s="36"/>
    </row>
    <row r="11993" spans="2:2">
      <c r="B11993" s="36"/>
    </row>
    <row r="11994" spans="2:2">
      <c r="B11994" s="36"/>
    </row>
    <row r="11995" spans="2:2">
      <c r="B11995" s="36"/>
    </row>
    <row r="11996" spans="2:2">
      <c r="B11996" s="36"/>
    </row>
    <row r="11997" spans="2:2">
      <c r="B11997" s="36"/>
    </row>
    <row r="11998" spans="2:2">
      <c r="B11998" s="36"/>
    </row>
    <row r="11999" spans="2:2">
      <c r="B11999" s="36"/>
    </row>
    <row r="12000" spans="2:2">
      <c r="B12000" s="36"/>
    </row>
    <row r="12001" spans="2:2">
      <c r="B12001" s="36"/>
    </row>
    <row r="12002" spans="2:2">
      <c r="B12002" s="36"/>
    </row>
    <row r="12003" spans="2:2">
      <c r="B12003" s="36"/>
    </row>
    <row r="12004" spans="2:2">
      <c r="B12004" s="36"/>
    </row>
    <row r="12005" spans="2:2">
      <c r="B12005" s="36"/>
    </row>
    <row r="12006" spans="2:2">
      <c r="B12006" s="36"/>
    </row>
    <row r="12007" spans="2:2">
      <c r="B12007" s="36"/>
    </row>
    <row r="12008" spans="2:2">
      <c r="B12008" s="36"/>
    </row>
    <row r="12009" spans="2:2">
      <c r="B12009" s="36"/>
    </row>
    <row r="12010" spans="2:2">
      <c r="B12010" s="36"/>
    </row>
    <row r="12011" spans="2:2">
      <c r="B12011" s="36"/>
    </row>
    <row r="12012" spans="2:2">
      <c r="B12012" s="36"/>
    </row>
    <row r="12013" spans="2:2">
      <c r="B12013" s="36"/>
    </row>
    <row r="12014" spans="2:2">
      <c r="B12014" s="36"/>
    </row>
    <row r="12015" spans="2:2">
      <c r="B12015" s="36"/>
    </row>
    <row r="12016" spans="2:2">
      <c r="B12016" s="36"/>
    </row>
    <row r="12017" spans="2:2">
      <c r="B12017" s="36"/>
    </row>
    <row r="12018" spans="2:2">
      <c r="B12018" s="36"/>
    </row>
    <row r="12019" spans="2:2">
      <c r="B12019" s="36"/>
    </row>
    <row r="12020" spans="2:2">
      <c r="B12020" s="36"/>
    </row>
    <row r="12021" spans="2:2">
      <c r="B12021" s="36"/>
    </row>
    <row r="12022" spans="2:2">
      <c r="B12022" s="36"/>
    </row>
    <row r="12023" spans="2:2">
      <c r="B12023" s="36"/>
    </row>
    <row r="12024" spans="2:2">
      <c r="B12024" s="36"/>
    </row>
    <row r="12025" spans="2:2">
      <c r="B12025" s="36"/>
    </row>
    <row r="12026" spans="2:2">
      <c r="B12026" s="36"/>
    </row>
    <row r="12027" spans="2:2">
      <c r="B12027" s="36"/>
    </row>
    <row r="12028" spans="2:2">
      <c r="B12028" s="36"/>
    </row>
    <row r="12029" spans="2:2">
      <c r="B12029" s="36"/>
    </row>
    <row r="12030" spans="2:2">
      <c r="B12030" s="36"/>
    </row>
    <row r="12031" spans="2:2">
      <c r="B12031" s="36"/>
    </row>
    <row r="12032" spans="2:2">
      <c r="B12032" s="36"/>
    </row>
    <row r="12033" spans="2:2">
      <c r="B12033" s="36"/>
    </row>
    <row r="12034" spans="2:2">
      <c r="B12034" s="36"/>
    </row>
    <row r="12035" spans="2:2">
      <c r="B12035" s="36"/>
    </row>
    <row r="12036" spans="2:2">
      <c r="B12036" s="36"/>
    </row>
    <row r="12037" spans="2:2">
      <c r="B12037" s="36"/>
    </row>
    <row r="12038" spans="2:2">
      <c r="B12038" s="36"/>
    </row>
    <row r="12039" spans="2:2">
      <c r="B12039" s="36"/>
    </row>
    <row r="12040" spans="2:2">
      <c r="B12040" s="36"/>
    </row>
    <row r="12041" spans="2:2">
      <c r="B12041" s="36"/>
    </row>
    <row r="12042" spans="2:2">
      <c r="B12042" s="36"/>
    </row>
    <row r="12043" spans="2:2">
      <c r="B12043" s="36"/>
    </row>
    <row r="12044" spans="2:2">
      <c r="B12044" s="36"/>
    </row>
    <row r="12045" spans="2:2">
      <c r="B12045" s="36"/>
    </row>
    <row r="12046" spans="2:2">
      <c r="B12046" s="36"/>
    </row>
    <row r="12047" spans="2:2">
      <c r="B12047" s="36"/>
    </row>
    <row r="12048" spans="2:2">
      <c r="B12048" s="36"/>
    </row>
    <row r="12049" spans="2:2">
      <c r="B12049" s="36"/>
    </row>
    <row r="12050" spans="2:2">
      <c r="B12050" s="36"/>
    </row>
    <row r="12051" spans="2:2">
      <c r="B12051" s="36"/>
    </row>
    <row r="12052" spans="2:2">
      <c r="B12052" s="36"/>
    </row>
    <row r="12053" spans="2:2">
      <c r="B12053" s="36"/>
    </row>
    <row r="12054" spans="2:2">
      <c r="B12054" s="36"/>
    </row>
    <row r="12055" spans="2:2">
      <c r="B12055" s="36"/>
    </row>
    <row r="12056" spans="2:2">
      <c r="B12056" s="36"/>
    </row>
    <row r="12057" spans="2:2">
      <c r="B12057" s="36"/>
    </row>
    <row r="12058" spans="2:2">
      <c r="B12058" s="36"/>
    </row>
    <row r="12059" spans="2:2">
      <c r="B12059" s="36"/>
    </row>
    <row r="12060" spans="2:2">
      <c r="B12060" s="36"/>
    </row>
    <row r="12061" spans="2:2">
      <c r="B12061" s="36"/>
    </row>
    <row r="12062" spans="2:2">
      <c r="B12062" s="36"/>
    </row>
    <row r="12063" spans="2:2">
      <c r="B12063" s="36"/>
    </row>
    <row r="12064" spans="2:2">
      <c r="B12064" s="36"/>
    </row>
    <row r="12065" spans="2:2">
      <c r="B12065" s="36"/>
    </row>
    <row r="12066" spans="2:2">
      <c r="B12066" s="36"/>
    </row>
    <row r="12067" spans="2:2">
      <c r="B12067" s="36"/>
    </row>
    <row r="12068" spans="2:2">
      <c r="B12068" s="36"/>
    </row>
    <row r="12069" spans="2:2">
      <c r="B12069" s="36"/>
    </row>
    <row r="12070" spans="2:2">
      <c r="B12070" s="36"/>
    </row>
    <row r="12071" spans="2:2">
      <c r="B12071" s="36"/>
    </row>
    <row r="12072" spans="2:2">
      <c r="B12072" s="36"/>
    </row>
    <row r="12073" spans="2:2">
      <c r="B12073" s="36"/>
    </row>
    <row r="12074" spans="2:2">
      <c r="B12074" s="36"/>
    </row>
    <row r="12075" spans="2:2">
      <c r="B12075" s="36"/>
    </row>
    <row r="12076" spans="2:2">
      <c r="B12076" s="36"/>
    </row>
    <row r="12077" spans="2:2">
      <c r="B12077" s="36"/>
    </row>
    <row r="12078" spans="2:2">
      <c r="B12078" s="36"/>
    </row>
    <row r="12079" spans="2:2">
      <c r="B12079" s="36"/>
    </row>
    <row r="12080" spans="2:2">
      <c r="B12080" s="36"/>
    </row>
    <row r="12081" spans="2:2">
      <c r="B12081" s="36"/>
    </row>
    <row r="12082" spans="2:2">
      <c r="B12082" s="36"/>
    </row>
    <row r="12083" spans="2:2">
      <c r="B12083" s="36"/>
    </row>
    <row r="12084" spans="2:2">
      <c r="B12084" s="36"/>
    </row>
    <row r="12085" spans="2:2">
      <c r="B12085" s="36"/>
    </row>
    <row r="12086" spans="2:2">
      <c r="B12086" s="36"/>
    </row>
    <row r="12087" spans="2:2">
      <c r="B12087" s="36"/>
    </row>
    <row r="12088" spans="2:2">
      <c r="B12088" s="36"/>
    </row>
    <row r="12089" spans="2:2">
      <c r="B12089" s="36"/>
    </row>
    <row r="12090" spans="2:2">
      <c r="B12090" s="36"/>
    </row>
    <row r="12091" spans="2:2">
      <c r="B12091" s="36"/>
    </row>
    <row r="12092" spans="2:2">
      <c r="B12092" s="36"/>
    </row>
    <row r="12093" spans="2:2">
      <c r="B12093" s="36"/>
    </row>
    <row r="12094" spans="2:2">
      <c r="B12094" s="36"/>
    </row>
    <row r="12095" spans="2:2">
      <c r="B12095" s="36"/>
    </row>
    <row r="12096" spans="2:2">
      <c r="B12096" s="36"/>
    </row>
    <row r="12097" spans="2:2">
      <c r="B12097" s="36"/>
    </row>
    <row r="12098" spans="2:2">
      <c r="B12098" s="36"/>
    </row>
    <row r="12099" spans="2:2">
      <c r="B12099" s="36"/>
    </row>
    <row r="12100" spans="2:2">
      <c r="B12100" s="36"/>
    </row>
    <row r="12101" spans="2:2">
      <c r="B12101" s="36"/>
    </row>
    <row r="12102" spans="2:2">
      <c r="B12102" s="36"/>
    </row>
    <row r="12103" spans="2:2">
      <c r="B12103" s="36"/>
    </row>
    <row r="12104" spans="2:2">
      <c r="B12104" s="36"/>
    </row>
    <row r="12105" spans="2:2">
      <c r="B12105" s="36"/>
    </row>
    <row r="12106" spans="2:2">
      <c r="B12106" s="36"/>
    </row>
    <row r="12107" spans="2:2">
      <c r="B12107" s="36"/>
    </row>
    <row r="12108" spans="2:2">
      <c r="B12108" s="36"/>
    </row>
    <row r="12109" spans="2:2">
      <c r="B12109" s="36"/>
    </row>
    <row r="12110" spans="2:2">
      <c r="B12110" s="36"/>
    </row>
    <row r="12111" spans="2:2">
      <c r="B12111" s="36"/>
    </row>
    <row r="12112" spans="2:2">
      <c r="B12112" s="36"/>
    </row>
    <row r="12113" spans="2:2">
      <c r="B12113" s="36"/>
    </row>
    <row r="12114" spans="2:2">
      <c r="B12114" s="36"/>
    </row>
    <row r="12115" spans="2:2">
      <c r="B12115" s="36"/>
    </row>
    <row r="12116" spans="2:2">
      <c r="B12116" s="36"/>
    </row>
    <row r="12117" spans="2:2">
      <c r="B12117" s="36"/>
    </row>
    <row r="12118" spans="2:2">
      <c r="B12118" s="36"/>
    </row>
    <row r="12119" spans="2:2">
      <c r="B12119" s="36"/>
    </row>
    <row r="12120" spans="2:2">
      <c r="B12120" s="36"/>
    </row>
    <row r="12121" spans="2:2">
      <c r="B12121" s="36"/>
    </row>
    <row r="12122" spans="2:2">
      <c r="B12122" s="36"/>
    </row>
    <row r="12123" spans="2:2">
      <c r="B12123" s="36"/>
    </row>
    <row r="12124" spans="2:2">
      <c r="B12124" s="36"/>
    </row>
    <row r="12125" spans="2:2">
      <c r="B12125" s="36"/>
    </row>
    <row r="12126" spans="2:2">
      <c r="B12126" s="36"/>
    </row>
    <row r="12127" spans="2:2">
      <c r="B12127" s="36"/>
    </row>
    <row r="12128" spans="2:2">
      <c r="B12128" s="36"/>
    </row>
    <row r="12129" spans="2:2">
      <c r="B12129" s="36"/>
    </row>
    <row r="12130" spans="2:2">
      <c r="B12130" s="36"/>
    </row>
    <row r="12131" spans="2:2">
      <c r="B12131" s="36"/>
    </row>
    <row r="12132" spans="2:2">
      <c r="B12132" s="36"/>
    </row>
    <row r="12133" spans="2:2">
      <c r="B12133" s="36"/>
    </row>
    <row r="12134" spans="2:2">
      <c r="B12134" s="36"/>
    </row>
    <row r="12135" spans="2:2">
      <c r="B12135" s="36"/>
    </row>
    <row r="12136" spans="2:2">
      <c r="B12136" s="36"/>
    </row>
    <row r="12137" spans="2:2">
      <c r="B12137" s="36"/>
    </row>
    <row r="12138" spans="2:2">
      <c r="B12138" s="36"/>
    </row>
    <row r="12139" spans="2:2">
      <c r="B12139" s="36"/>
    </row>
    <row r="12140" spans="2:2">
      <c r="B12140" s="36"/>
    </row>
    <row r="12141" spans="2:2">
      <c r="B12141" s="36"/>
    </row>
    <row r="12142" spans="2:2">
      <c r="B12142" s="36"/>
    </row>
    <row r="12143" spans="2:2">
      <c r="B12143" s="36"/>
    </row>
    <row r="12144" spans="2:2">
      <c r="B12144" s="36"/>
    </row>
    <row r="12145" spans="2:2">
      <c r="B12145" s="36"/>
    </row>
    <row r="12146" spans="2:2">
      <c r="B12146" s="36"/>
    </row>
    <row r="12147" spans="2:2">
      <c r="B12147" s="36"/>
    </row>
    <row r="12148" spans="2:2">
      <c r="B12148" s="36"/>
    </row>
    <row r="12149" spans="2:2">
      <c r="B12149" s="36"/>
    </row>
    <row r="12150" spans="2:2">
      <c r="B12150" s="36"/>
    </row>
    <row r="12151" spans="2:2">
      <c r="B12151" s="36"/>
    </row>
    <row r="12152" spans="2:2">
      <c r="B12152" s="36"/>
    </row>
    <row r="12153" spans="2:2">
      <c r="B12153" s="36"/>
    </row>
    <row r="12154" spans="2:2">
      <c r="B12154" s="36"/>
    </row>
    <row r="12155" spans="2:2">
      <c r="B12155" s="36"/>
    </row>
    <row r="12156" spans="2:2">
      <c r="B12156" s="36"/>
    </row>
    <row r="12157" spans="2:2">
      <c r="B12157" s="36"/>
    </row>
    <row r="12158" spans="2:2">
      <c r="B12158" s="36"/>
    </row>
    <row r="12159" spans="2:2">
      <c r="B12159" s="36"/>
    </row>
    <row r="12160" spans="2:2">
      <c r="B12160" s="36"/>
    </row>
    <row r="12161" spans="2:2">
      <c r="B12161" s="36"/>
    </row>
    <row r="12162" spans="2:2">
      <c r="B12162" s="36"/>
    </row>
    <row r="12163" spans="2:2">
      <c r="B12163" s="36"/>
    </row>
    <row r="12164" spans="2:2">
      <c r="B12164" s="36"/>
    </row>
    <row r="12165" spans="2:2">
      <c r="B12165" s="36"/>
    </row>
    <row r="12166" spans="2:2">
      <c r="B12166" s="36"/>
    </row>
    <row r="12167" spans="2:2">
      <c r="B12167" s="36"/>
    </row>
    <row r="12168" spans="2:2">
      <c r="B12168" s="36"/>
    </row>
    <row r="12169" spans="2:2">
      <c r="B12169" s="36"/>
    </row>
    <row r="12170" spans="2:2">
      <c r="B12170" s="36"/>
    </row>
    <row r="12171" spans="2:2">
      <c r="B12171" s="36"/>
    </row>
    <row r="12172" spans="2:2">
      <c r="B12172" s="36"/>
    </row>
    <row r="12173" spans="2:2">
      <c r="B12173" s="36"/>
    </row>
    <row r="12174" spans="2:2">
      <c r="B12174" s="36"/>
    </row>
    <row r="12175" spans="2:2">
      <c r="B12175" s="36"/>
    </row>
    <row r="12176" spans="2:2">
      <c r="B12176" s="36"/>
    </row>
    <row r="12177" spans="2:2">
      <c r="B12177" s="36"/>
    </row>
    <row r="12178" spans="2:2">
      <c r="B12178" s="36"/>
    </row>
    <row r="12179" spans="2:2">
      <c r="B12179" s="36"/>
    </row>
    <row r="12180" spans="2:2">
      <c r="B12180" s="36"/>
    </row>
    <row r="12181" spans="2:2">
      <c r="B12181" s="36"/>
    </row>
    <row r="12182" spans="2:2">
      <c r="B12182" s="36"/>
    </row>
    <row r="12183" spans="2:2">
      <c r="B12183" s="36"/>
    </row>
    <row r="12184" spans="2:2">
      <c r="B12184" s="36"/>
    </row>
    <row r="12185" spans="2:2">
      <c r="B12185" s="36"/>
    </row>
    <row r="12186" spans="2:2">
      <c r="B12186" s="36"/>
    </row>
    <row r="12187" spans="2:2">
      <c r="B12187" s="36"/>
    </row>
    <row r="12188" spans="2:2">
      <c r="B12188" s="36"/>
    </row>
    <row r="12189" spans="2:2">
      <c r="B12189" s="36"/>
    </row>
    <row r="12190" spans="2:2">
      <c r="B12190" s="36"/>
    </row>
    <row r="12191" spans="2:2">
      <c r="B12191" s="36"/>
    </row>
    <row r="12192" spans="2:2">
      <c r="B12192" s="36"/>
    </row>
    <row r="12193" spans="2:2">
      <c r="B12193" s="36"/>
    </row>
    <row r="12194" spans="2:2">
      <c r="B12194" s="36"/>
    </row>
    <row r="12195" spans="2:2">
      <c r="B12195" s="36"/>
    </row>
    <row r="12196" spans="2:2">
      <c r="B12196" s="36"/>
    </row>
    <row r="12197" spans="2:2">
      <c r="B12197" s="36"/>
    </row>
    <row r="12198" spans="2:2">
      <c r="B12198" s="36"/>
    </row>
    <row r="12199" spans="2:2">
      <c r="B12199" s="36"/>
    </row>
    <row r="12200" spans="2:2">
      <c r="B12200" s="36"/>
    </row>
    <row r="12201" spans="2:2">
      <c r="B12201" s="36"/>
    </row>
    <row r="12202" spans="2:2">
      <c r="B12202" s="36"/>
    </row>
    <row r="12203" spans="2:2">
      <c r="B12203" s="36"/>
    </row>
    <row r="12204" spans="2:2">
      <c r="B12204" s="36"/>
    </row>
    <row r="12205" spans="2:2">
      <c r="B12205" s="36"/>
    </row>
    <row r="12206" spans="2:2">
      <c r="B12206" s="36"/>
    </row>
    <row r="12207" spans="2:2">
      <c r="B12207" s="36"/>
    </row>
    <row r="12208" spans="2:2">
      <c r="B12208" s="36"/>
    </row>
    <row r="12209" spans="2:2">
      <c r="B12209" s="36"/>
    </row>
    <row r="12210" spans="2:2">
      <c r="B12210" s="36"/>
    </row>
    <row r="12211" spans="2:2">
      <c r="B12211" s="36"/>
    </row>
    <row r="12212" spans="2:2">
      <c r="B12212" s="36"/>
    </row>
    <row r="12213" spans="2:2">
      <c r="B12213" s="36"/>
    </row>
    <row r="12214" spans="2:2">
      <c r="B12214" s="36"/>
    </row>
    <row r="12215" spans="2:2">
      <c r="B12215" s="36"/>
    </row>
    <row r="12216" spans="2:2">
      <c r="B12216" s="36"/>
    </row>
    <row r="12217" spans="2:2">
      <c r="B12217" s="36"/>
    </row>
    <row r="12218" spans="2:2">
      <c r="B12218" s="36"/>
    </row>
    <row r="12219" spans="2:2">
      <c r="B12219" s="36"/>
    </row>
    <row r="12220" spans="2:2">
      <c r="B12220" s="36"/>
    </row>
    <row r="12221" spans="2:2">
      <c r="B12221" s="36"/>
    </row>
    <row r="12222" spans="2:2">
      <c r="B12222" s="36"/>
    </row>
    <row r="12223" spans="2:2">
      <c r="B12223" s="36"/>
    </row>
    <row r="12224" spans="2:2">
      <c r="B12224" s="36"/>
    </row>
    <row r="12225" spans="2:2">
      <c r="B12225" s="36"/>
    </row>
    <row r="12226" spans="2:2">
      <c r="B12226" s="36"/>
    </row>
    <row r="12227" spans="2:2">
      <c r="B12227" s="36"/>
    </row>
    <row r="12228" spans="2:2">
      <c r="B12228" s="36"/>
    </row>
    <row r="12229" spans="2:2">
      <c r="B12229" s="36"/>
    </row>
    <row r="12230" spans="2:2">
      <c r="B12230" s="36"/>
    </row>
    <row r="12231" spans="2:2">
      <c r="B12231" s="36"/>
    </row>
    <row r="12232" spans="2:2">
      <c r="B12232" s="36"/>
    </row>
    <row r="12233" spans="2:2">
      <c r="B12233" s="36"/>
    </row>
    <row r="12234" spans="2:2">
      <c r="B12234" s="36"/>
    </row>
    <row r="12235" spans="2:2">
      <c r="B12235" s="36"/>
    </row>
    <row r="12236" spans="2:2">
      <c r="B12236" s="36"/>
    </row>
    <row r="12237" spans="2:2">
      <c r="B12237" s="36"/>
    </row>
    <row r="12238" spans="2:2">
      <c r="B12238" s="36"/>
    </row>
    <row r="12239" spans="2:2">
      <c r="B12239" s="36"/>
    </row>
    <row r="12240" spans="2:2">
      <c r="B12240" s="36"/>
    </row>
    <row r="12241" spans="2:2">
      <c r="B12241" s="36"/>
    </row>
    <row r="12242" spans="2:2">
      <c r="B12242" s="36"/>
    </row>
    <row r="12243" spans="2:2">
      <c r="B12243" s="36"/>
    </row>
    <row r="12244" spans="2:2">
      <c r="B12244" s="36"/>
    </row>
    <row r="12245" spans="2:2">
      <c r="B12245" s="36"/>
    </row>
    <row r="12246" spans="2:2">
      <c r="B12246" s="36"/>
    </row>
    <row r="12247" spans="2:2">
      <c r="B12247" s="36"/>
    </row>
    <row r="12248" spans="2:2">
      <c r="B12248" s="36"/>
    </row>
    <row r="12249" spans="2:2">
      <c r="B12249" s="36"/>
    </row>
    <row r="12250" spans="2:2">
      <c r="B12250" s="36"/>
    </row>
    <row r="12251" spans="2:2">
      <c r="B12251" s="36"/>
    </row>
    <row r="12252" spans="2:2">
      <c r="B12252" s="36"/>
    </row>
    <row r="12253" spans="2:2">
      <c r="B12253" s="36"/>
    </row>
    <row r="12254" spans="2:2">
      <c r="B12254" s="36"/>
    </row>
    <row r="12255" spans="2:2">
      <c r="B12255" s="36"/>
    </row>
    <row r="12256" spans="2:2">
      <c r="B12256" s="36"/>
    </row>
    <row r="12257" spans="2:2">
      <c r="B12257" s="36"/>
    </row>
    <row r="12258" spans="2:2">
      <c r="B12258" s="36"/>
    </row>
    <row r="12259" spans="2:2">
      <c r="B12259" s="36"/>
    </row>
    <row r="12260" spans="2:2">
      <c r="B12260" s="36"/>
    </row>
    <row r="12261" spans="2:2">
      <c r="B12261" s="36"/>
    </row>
    <row r="12262" spans="2:2">
      <c r="B12262" s="36"/>
    </row>
    <row r="12263" spans="2:2">
      <c r="B12263" s="36"/>
    </row>
    <row r="12264" spans="2:2">
      <c r="B12264" s="36"/>
    </row>
    <row r="12265" spans="2:2">
      <c r="B12265" s="36"/>
    </row>
    <row r="12266" spans="2:2">
      <c r="B12266" s="36"/>
    </row>
    <row r="12267" spans="2:2">
      <c r="B12267" s="36"/>
    </row>
    <row r="12268" spans="2:2">
      <c r="B12268" s="36"/>
    </row>
    <row r="12269" spans="2:2">
      <c r="B12269" s="36"/>
    </row>
    <row r="12270" spans="2:2">
      <c r="B12270" s="36"/>
    </row>
    <row r="12271" spans="2:2">
      <c r="B12271" s="36"/>
    </row>
    <row r="12272" spans="2:2">
      <c r="B12272" s="36"/>
    </row>
    <row r="12273" spans="2:2">
      <c r="B12273" s="36"/>
    </row>
    <row r="12274" spans="2:2">
      <c r="B12274" s="36"/>
    </row>
    <row r="12275" spans="2:2">
      <c r="B12275" s="36"/>
    </row>
    <row r="12276" spans="2:2">
      <c r="B12276" s="36"/>
    </row>
    <row r="12277" spans="2:2">
      <c r="B12277" s="36"/>
    </row>
    <row r="12278" spans="2:2">
      <c r="B12278" s="36"/>
    </row>
    <row r="12279" spans="2:2">
      <c r="B12279" s="36"/>
    </row>
    <row r="12280" spans="2:2">
      <c r="B12280" s="36"/>
    </row>
    <row r="12281" spans="2:2">
      <c r="B12281" s="36"/>
    </row>
    <row r="12282" spans="2:2">
      <c r="B12282" s="36"/>
    </row>
    <row r="12283" spans="2:2">
      <c r="B12283" s="36"/>
    </row>
    <row r="12284" spans="2:2">
      <c r="B12284" s="36"/>
    </row>
    <row r="12285" spans="2:2">
      <c r="B12285" s="36"/>
    </row>
    <row r="12286" spans="2:2">
      <c r="B12286" s="36"/>
    </row>
    <row r="12287" spans="2:2">
      <c r="B12287" s="36"/>
    </row>
    <row r="12288" spans="2:2">
      <c r="B12288" s="36"/>
    </row>
    <row r="12289" spans="2:2">
      <c r="B12289" s="36"/>
    </row>
    <row r="12290" spans="2:2">
      <c r="B12290" s="36"/>
    </row>
    <row r="12291" spans="2:2">
      <c r="B12291" s="36"/>
    </row>
    <row r="12292" spans="2:2">
      <c r="B12292" s="36"/>
    </row>
    <row r="12293" spans="2:2">
      <c r="B12293" s="36"/>
    </row>
    <row r="12294" spans="2:2">
      <c r="B12294" s="36"/>
    </row>
    <row r="12295" spans="2:2">
      <c r="B12295" s="36"/>
    </row>
    <row r="12296" spans="2:2">
      <c r="B12296" s="36"/>
    </row>
    <row r="12297" spans="2:2">
      <c r="B12297" s="36"/>
    </row>
    <row r="12298" spans="2:2">
      <c r="B12298" s="36"/>
    </row>
    <row r="12299" spans="2:2">
      <c r="B12299" s="36"/>
    </row>
    <row r="12300" spans="2:2">
      <c r="B12300" s="36"/>
    </row>
    <row r="12301" spans="2:2">
      <c r="B12301" s="36"/>
    </row>
    <row r="12302" spans="2:2">
      <c r="B12302" s="36"/>
    </row>
    <row r="12303" spans="2:2">
      <c r="B12303" s="36"/>
    </row>
    <row r="12304" spans="2:2">
      <c r="B12304" s="36"/>
    </row>
    <row r="12305" spans="2:2">
      <c r="B12305" s="36"/>
    </row>
    <row r="12306" spans="2:2">
      <c r="B12306" s="36"/>
    </row>
    <row r="12307" spans="2:2">
      <c r="B12307" s="36"/>
    </row>
    <row r="12308" spans="2:2">
      <c r="B12308" s="36"/>
    </row>
    <row r="12309" spans="2:2">
      <c r="B12309" s="36"/>
    </row>
    <row r="12310" spans="2:2">
      <c r="B12310" s="36"/>
    </row>
    <row r="12311" spans="2:2">
      <c r="B12311" s="36"/>
    </row>
    <row r="12312" spans="2:2">
      <c r="B12312" s="36"/>
    </row>
    <row r="12313" spans="2:2">
      <c r="B12313" s="36"/>
    </row>
    <row r="12314" spans="2:2">
      <c r="B12314" s="36"/>
    </row>
    <row r="12315" spans="2:2">
      <c r="B12315" s="36"/>
    </row>
    <row r="12316" spans="2:2">
      <c r="B12316" s="36"/>
    </row>
    <row r="12317" spans="2:2">
      <c r="B12317" s="36"/>
    </row>
    <row r="12318" spans="2:2">
      <c r="B12318" s="36"/>
    </row>
    <row r="12319" spans="2:2">
      <c r="B12319" s="36"/>
    </row>
    <row r="12320" spans="2:2">
      <c r="B12320" s="36"/>
    </row>
    <row r="12321" spans="2:2">
      <c r="B12321" s="36"/>
    </row>
    <row r="12322" spans="2:2">
      <c r="B12322" s="36"/>
    </row>
    <row r="12323" spans="2:2">
      <c r="B12323" s="36"/>
    </row>
    <row r="12324" spans="2:2">
      <c r="B12324" s="36"/>
    </row>
    <row r="12325" spans="2:2">
      <c r="B12325" s="36"/>
    </row>
    <row r="12326" spans="2:2">
      <c r="B12326" s="36"/>
    </row>
    <row r="12327" spans="2:2">
      <c r="B12327" s="36"/>
    </row>
    <row r="12328" spans="2:2">
      <c r="B12328" s="36"/>
    </row>
    <row r="12329" spans="2:2">
      <c r="B12329" s="36"/>
    </row>
    <row r="12330" spans="2:2">
      <c r="B12330" s="36"/>
    </row>
    <row r="12331" spans="2:2">
      <c r="B12331" s="36"/>
    </row>
    <row r="12332" spans="2:2">
      <c r="B12332" s="36"/>
    </row>
    <row r="12333" spans="2:2">
      <c r="B12333" s="36"/>
    </row>
    <row r="12334" spans="2:2">
      <c r="B12334" s="36"/>
    </row>
    <row r="12335" spans="2:2">
      <c r="B12335" s="36"/>
    </row>
    <row r="12336" spans="2:2">
      <c r="B12336" s="36"/>
    </row>
    <row r="12337" spans="2:2">
      <c r="B12337" s="36"/>
    </row>
    <row r="12338" spans="2:2">
      <c r="B12338" s="36"/>
    </row>
    <row r="12339" spans="2:2">
      <c r="B12339" s="36"/>
    </row>
    <row r="12340" spans="2:2">
      <c r="B12340" s="36"/>
    </row>
    <row r="12341" spans="2:2">
      <c r="B12341" s="36"/>
    </row>
    <row r="12342" spans="2:2">
      <c r="B12342" s="36"/>
    </row>
    <row r="12343" spans="2:2">
      <c r="B12343" s="36"/>
    </row>
    <row r="12344" spans="2:2">
      <c r="B12344" s="36"/>
    </row>
    <row r="12345" spans="2:2">
      <c r="B12345" s="36"/>
    </row>
    <row r="12346" spans="2:2">
      <c r="B12346" s="36"/>
    </row>
    <row r="12347" spans="2:2">
      <c r="B12347" s="36"/>
    </row>
    <row r="12348" spans="2:2">
      <c r="B12348" s="36"/>
    </row>
    <row r="12349" spans="2:2">
      <c r="B12349" s="36"/>
    </row>
    <row r="12350" spans="2:2">
      <c r="B12350" s="36"/>
    </row>
    <row r="12351" spans="2:2">
      <c r="B12351" s="36"/>
    </row>
    <row r="12352" spans="2:2">
      <c r="B12352" s="36"/>
    </row>
    <row r="12353" spans="2:2">
      <c r="B12353" s="36"/>
    </row>
    <row r="12354" spans="2:2">
      <c r="B12354" s="36"/>
    </row>
    <row r="12355" spans="2:2">
      <c r="B12355" s="36"/>
    </row>
    <row r="12356" spans="2:2">
      <c r="B12356" s="36"/>
    </row>
    <row r="12357" spans="2:2">
      <c r="B12357" s="36"/>
    </row>
    <row r="12358" spans="2:2">
      <c r="B12358" s="36"/>
    </row>
    <row r="12359" spans="2:2">
      <c r="B12359" s="36"/>
    </row>
    <row r="12360" spans="2:2">
      <c r="B12360" s="36"/>
    </row>
    <row r="12361" spans="2:2">
      <c r="B12361" s="36"/>
    </row>
    <row r="12362" spans="2:2">
      <c r="B12362" s="36"/>
    </row>
    <row r="12363" spans="2:2">
      <c r="B12363" s="36"/>
    </row>
    <row r="12364" spans="2:2">
      <c r="B12364" s="36"/>
    </row>
    <row r="12365" spans="2:2">
      <c r="B12365" s="36"/>
    </row>
    <row r="12366" spans="2:2">
      <c r="B12366" s="36"/>
    </row>
    <row r="12367" spans="2:2">
      <c r="B12367" s="36"/>
    </row>
    <row r="12368" spans="2:2">
      <c r="B12368" s="36"/>
    </row>
    <row r="12369" spans="2:2">
      <c r="B12369" s="36"/>
    </row>
    <row r="12370" spans="2:2">
      <c r="B12370" s="36"/>
    </row>
    <row r="12371" spans="2:2">
      <c r="B12371" s="36"/>
    </row>
    <row r="12372" spans="2:2">
      <c r="B12372" s="36"/>
    </row>
    <row r="12373" spans="2:2">
      <c r="B12373" s="36"/>
    </row>
    <row r="12374" spans="2:2">
      <c r="B12374" s="36"/>
    </row>
    <row r="12375" spans="2:2">
      <c r="B12375" s="36"/>
    </row>
    <row r="12376" spans="2:2">
      <c r="B12376" s="36"/>
    </row>
    <row r="12377" spans="2:2">
      <c r="B12377" s="36"/>
    </row>
    <row r="12378" spans="2:2">
      <c r="B12378" s="36"/>
    </row>
    <row r="12379" spans="2:2">
      <c r="B12379" s="36"/>
    </row>
    <row r="12380" spans="2:2">
      <c r="B12380" s="36"/>
    </row>
    <row r="12381" spans="2:2">
      <c r="B12381" s="36"/>
    </row>
    <row r="12382" spans="2:2">
      <c r="B12382" s="36"/>
    </row>
    <row r="12383" spans="2:2">
      <c r="B12383" s="36"/>
    </row>
    <row r="12384" spans="2:2">
      <c r="B12384" s="36"/>
    </row>
    <row r="12385" spans="2:2">
      <c r="B12385" s="36"/>
    </row>
    <row r="12386" spans="2:2">
      <c r="B12386" s="36"/>
    </row>
    <row r="12387" spans="2:2">
      <c r="B12387" s="36"/>
    </row>
    <row r="12388" spans="2:2">
      <c r="B12388" s="36"/>
    </row>
    <row r="12389" spans="2:2">
      <c r="B12389" s="36"/>
    </row>
    <row r="12390" spans="2:2">
      <c r="B12390" s="36"/>
    </row>
    <row r="12391" spans="2:2">
      <c r="B12391" s="36"/>
    </row>
    <row r="12392" spans="2:2">
      <c r="B12392" s="36"/>
    </row>
    <row r="12393" spans="2:2">
      <c r="B12393" s="36"/>
    </row>
    <row r="12394" spans="2:2">
      <c r="B12394" s="36"/>
    </row>
    <row r="12395" spans="2:2">
      <c r="B12395" s="36"/>
    </row>
    <row r="12396" spans="2:2">
      <c r="B12396" s="36"/>
    </row>
    <row r="12397" spans="2:2">
      <c r="B12397" s="36"/>
    </row>
    <row r="12398" spans="2:2">
      <c r="B12398" s="36"/>
    </row>
    <row r="12399" spans="2:2">
      <c r="B12399" s="36"/>
    </row>
    <row r="12400" spans="2:2">
      <c r="B12400" s="36"/>
    </row>
    <row r="12401" spans="2:2">
      <c r="B12401" s="36"/>
    </row>
    <row r="12402" spans="2:2">
      <c r="B12402" s="36"/>
    </row>
    <row r="12403" spans="2:2">
      <c r="B12403" s="36"/>
    </row>
    <row r="12404" spans="2:2">
      <c r="B12404" s="36"/>
    </row>
    <row r="12405" spans="2:2">
      <c r="B12405" s="36"/>
    </row>
    <row r="12406" spans="2:2">
      <c r="B12406" s="36"/>
    </row>
    <row r="12407" spans="2:2">
      <c r="B12407" s="36"/>
    </row>
    <row r="12408" spans="2:2">
      <c r="B12408" s="36"/>
    </row>
    <row r="12409" spans="2:2">
      <c r="B12409" s="36"/>
    </row>
    <row r="12410" spans="2:2">
      <c r="B12410" s="36"/>
    </row>
    <row r="12411" spans="2:2">
      <c r="B12411" s="36"/>
    </row>
    <row r="12412" spans="2:2">
      <c r="B12412" s="36"/>
    </row>
    <row r="12413" spans="2:2">
      <c r="B12413" s="36"/>
    </row>
    <row r="12414" spans="2:2">
      <c r="B12414" s="36"/>
    </row>
    <row r="12415" spans="2:2">
      <c r="B12415" s="36"/>
    </row>
    <row r="12416" spans="2:2">
      <c r="B12416" s="36"/>
    </row>
    <row r="12417" spans="2:2">
      <c r="B12417" s="36"/>
    </row>
    <row r="12418" spans="2:2">
      <c r="B12418" s="36"/>
    </row>
    <row r="12419" spans="2:2">
      <c r="B12419" s="36"/>
    </row>
    <row r="12420" spans="2:2">
      <c r="B12420" s="36"/>
    </row>
    <row r="12421" spans="2:2">
      <c r="B12421" s="36"/>
    </row>
    <row r="12422" spans="2:2">
      <c r="B12422" s="36"/>
    </row>
    <row r="12423" spans="2:2">
      <c r="B12423" s="36"/>
    </row>
    <row r="12424" spans="2:2">
      <c r="B12424" s="36"/>
    </row>
    <row r="12425" spans="2:2">
      <c r="B12425" s="36"/>
    </row>
    <row r="12426" spans="2:2">
      <c r="B12426" s="36"/>
    </row>
    <row r="12427" spans="2:2">
      <c r="B12427" s="36"/>
    </row>
    <row r="12428" spans="2:2">
      <c r="B12428" s="36"/>
    </row>
    <row r="12429" spans="2:2">
      <c r="B12429" s="36"/>
    </row>
    <row r="12430" spans="2:2">
      <c r="B12430" s="36"/>
    </row>
    <row r="12431" spans="2:2">
      <c r="B12431" s="36"/>
    </row>
    <row r="12432" spans="2:2">
      <c r="B12432" s="36"/>
    </row>
    <row r="12433" spans="2:2">
      <c r="B12433" s="36"/>
    </row>
    <row r="12434" spans="2:2">
      <c r="B12434" s="36"/>
    </row>
    <row r="12435" spans="2:2">
      <c r="B12435" s="36"/>
    </row>
    <row r="12436" spans="2:2">
      <c r="B12436" s="36"/>
    </row>
    <row r="12437" spans="2:2">
      <c r="B12437" s="36"/>
    </row>
    <row r="12438" spans="2:2">
      <c r="B12438" s="36"/>
    </row>
    <row r="12439" spans="2:2">
      <c r="B12439" s="36"/>
    </row>
    <row r="12440" spans="2:2">
      <c r="B12440" s="36"/>
    </row>
    <row r="12441" spans="2:2">
      <c r="B12441" s="36"/>
    </row>
    <row r="12442" spans="2:2">
      <c r="B12442" s="36"/>
    </row>
    <row r="12443" spans="2:2">
      <c r="B12443" s="36"/>
    </row>
    <row r="12444" spans="2:2">
      <c r="B12444" s="36"/>
    </row>
    <row r="12445" spans="2:2">
      <c r="B12445" s="36"/>
    </row>
    <row r="12446" spans="2:2">
      <c r="B12446" s="36"/>
    </row>
    <row r="12447" spans="2:2">
      <c r="B12447" s="36"/>
    </row>
    <row r="12448" spans="2:2">
      <c r="B12448" s="36"/>
    </row>
    <row r="12449" spans="2:2">
      <c r="B12449" s="36"/>
    </row>
    <row r="12450" spans="2:2">
      <c r="B12450" s="36"/>
    </row>
    <row r="12451" spans="2:2">
      <c r="B12451" s="36"/>
    </row>
    <row r="12452" spans="2:2">
      <c r="B12452" s="36"/>
    </row>
    <row r="12453" spans="2:2">
      <c r="B12453" s="36"/>
    </row>
    <row r="12454" spans="2:2">
      <c r="B12454" s="36"/>
    </row>
    <row r="12455" spans="2:2">
      <c r="B12455" s="36"/>
    </row>
    <row r="12456" spans="2:2">
      <c r="B12456" s="36"/>
    </row>
    <row r="12457" spans="2:2">
      <c r="B12457" s="36"/>
    </row>
    <row r="12458" spans="2:2">
      <c r="B12458" s="36"/>
    </row>
    <row r="12459" spans="2:2">
      <c r="B12459" s="36"/>
    </row>
    <row r="12460" spans="2:2">
      <c r="B12460" s="36"/>
    </row>
    <row r="12461" spans="2:2">
      <c r="B12461" s="36"/>
    </row>
    <row r="12462" spans="2:2">
      <c r="B12462" s="36"/>
    </row>
    <row r="12463" spans="2:2">
      <c r="B12463" s="36"/>
    </row>
    <row r="12464" spans="2:2">
      <c r="B12464" s="36"/>
    </row>
    <row r="12465" spans="2:2">
      <c r="B12465" s="36"/>
    </row>
    <row r="12466" spans="2:2">
      <c r="B12466" s="36"/>
    </row>
    <row r="12467" spans="2:2">
      <c r="B12467" s="36"/>
    </row>
    <row r="12468" spans="2:2">
      <c r="B12468" s="36"/>
    </row>
    <row r="12469" spans="2:2">
      <c r="B12469" s="36"/>
    </row>
    <row r="12470" spans="2:2">
      <c r="B12470" s="36"/>
    </row>
    <row r="12471" spans="2:2">
      <c r="B12471" s="36"/>
    </row>
    <row r="12472" spans="2:2">
      <c r="B12472" s="36"/>
    </row>
    <row r="12473" spans="2:2">
      <c r="B12473" s="36"/>
    </row>
    <row r="12474" spans="2:2">
      <c r="B12474" s="36"/>
    </row>
    <row r="12475" spans="2:2">
      <c r="B12475" s="36"/>
    </row>
    <row r="12476" spans="2:2">
      <c r="B12476" s="36"/>
    </row>
    <row r="12477" spans="2:2">
      <c r="B12477" s="36"/>
    </row>
    <row r="12478" spans="2:2">
      <c r="B12478" s="36"/>
    </row>
    <row r="12479" spans="2:2">
      <c r="B12479" s="36"/>
    </row>
    <row r="12480" spans="2:2">
      <c r="B12480" s="36"/>
    </row>
    <row r="12481" spans="2:2">
      <c r="B12481" s="36"/>
    </row>
    <row r="12482" spans="2:2">
      <c r="B12482" s="36"/>
    </row>
    <row r="12483" spans="2:2">
      <c r="B12483" s="36"/>
    </row>
    <row r="12484" spans="2:2">
      <c r="B12484" s="36"/>
    </row>
    <row r="12485" spans="2:2">
      <c r="B12485" s="36"/>
    </row>
    <row r="12486" spans="2:2">
      <c r="B12486" s="36"/>
    </row>
    <row r="12487" spans="2:2">
      <c r="B12487" s="36"/>
    </row>
    <row r="12488" spans="2:2">
      <c r="B12488" s="36"/>
    </row>
    <row r="12489" spans="2:2">
      <c r="B12489" s="36"/>
    </row>
    <row r="12490" spans="2:2">
      <c r="B12490" s="36"/>
    </row>
    <row r="12491" spans="2:2">
      <c r="B12491" s="36"/>
    </row>
    <row r="12492" spans="2:2">
      <c r="B12492" s="36"/>
    </row>
    <row r="12493" spans="2:2">
      <c r="B12493" s="36"/>
    </row>
    <row r="12494" spans="2:2">
      <c r="B12494" s="36"/>
    </row>
    <row r="12495" spans="2:2">
      <c r="B12495" s="36"/>
    </row>
    <row r="12496" spans="2:2">
      <c r="B12496" s="36"/>
    </row>
    <row r="12497" spans="2:2">
      <c r="B12497" s="36"/>
    </row>
    <row r="12498" spans="2:2">
      <c r="B12498" s="36"/>
    </row>
    <row r="12499" spans="2:2">
      <c r="B12499" s="36"/>
    </row>
    <row r="12500" spans="2:2">
      <c r="B12500" s="36"/>
    </row>
    <row r="12501" spans="2:2">
      <c r="B12501" s="36"/>
    </row>
    <row r="12502" spans="2:2">
      <c r="B12502" s="36"/>
    </row>
    <row r="12503" spans="2:2">
      <c r="B12503" s="36"/>
    </row>
    <row r="12504" spans="2:2">
      <c r="B12504" s="36"/>
    </row>
    <row r="12505" spans="2:2">
      <c r="B12505" s="36"/>
    </row>
    <row r="12506" spans="2:2">
      <c r="B12506" s="36"/>
    </row>
    <row r="12507" spans="2:2">
      <c r="B12507" s="36"/>
    </row>
    <row r="12508" spans="2:2">
      <c r="B12508" s="36"/>
    </row>
    <row r="12509" spans="2:2">
      <c r="B12509" s="36"/>
    </row>
    <row r="12510" spans="2:2">
      <c r="B12510" s="36"/>
    </row>
    <row r="12511" spans="2:2">
      <c r="B12511" s="36"/>
    </row>
    <row r="12512" spans="2:2">
      <c r="B12512" s="36"/>
    </row>
    <row r="12513" spans="2:2">
      <c r="B12513" s="36"/>
    </row>
    <row r="12514" spans="2:2">
      <c r="B12514" s="36"/>
    </row>
    <row r="12515" spans="2:2">
      <c r="B12515" s="36"/>
    </row>
    <row r="12516" spans="2:2">
      <c r="B12516" s="36"/>
    </row>
    <row r="12517" spans="2:2">
      <c r="B12517" s="36"/>
    </row>
    <row r="12518" spans="2:2">
      <c r="B12518" s="36"/>
    </row>
    <row r="12519" spans="2:2">
      <c r="B12519" s="36"/>
    </row>
    <row r="12520" spans="2:2">
      <c r="B12520" s="36"/>
    </row>
    <row r="12521" spans="2:2">
      <c r="B12521" s="36"/>
    </row>
    <row r="12522" spans="2:2">
      <c r="B12522" s="36"/>
    </row>
    <row r="12523" spans="2:2">
      <c r="B12523" s="36"/>
    </row>
    <row r="12524" spans="2:2">
      <c r="B12524" s="36"/>
    </row>
    <row r="12525" spans="2:2">
      <c r="B12525" s="36"/>
    </row>
    <row r="12526" spans="2:2">
      <c r="B12526" s="36"/>
    </row>
    <row r="12527" spans="2:2">
      <c r="B12527" s="36"/>
    </row>
    <row r="12528" spans="2:2">
      <c r="B12528" s="36"/>
    </row>
    <row r="12529" spans="2:2">
      <c r="B12529" s="36"/>
    </row>
    <row r="12530" spans="2:2">
      <c r="B12530" s="36"/>
    </row>
    <row r="12531" spans="2:2">
      <c r="B12531" s="36"/>
    </row>
    <row r="12532" spans="2:2">
      <c r="B12532" s="36"/>
    </row>
    <row r="12533" spans="2:2">
      <c r="B12533" s="36"/>
    </row>
    <row r="12534" spans="2:2">
      <c r="B12534" s="36"/>
    </row>
    <row r="12535" spans="2:2">
      <c r="B12535" s="36"/>
    </row>
    <row r="12536" spans="2:2">
      <c r="B12536" s="36"/>
    </row>
    <row r="12537" spans="2:2">
      <c r="B12537" s="36"/>
    </row>
    <row r="12538" spans="2:2">
      <c r="B12538" s="36"/>
    </row>
    <row r="12539" spans="2:2">
      <c r="B12539" s="36"/>
    </row>
    <row r="12540" spans="2:2">
      <c r="B12540" s="36"/>
    </row>
    <row r="12541" spans="2:2">
      <c r="B12541" s="36"/>
    </row>
    <row r="12542" spans="2:2">
      <c r="B12542" s="36"/>
    </row>
    <row r="12543" spans="2:2">
      <c r="B12543" s="36"/>
    </row>
    <row r="12544" spans="2:2">
      <c r="B12544" s="36"/>
    </row>
    <row r="12545" spans="2:2">
      <c r="B12545" s="36"/>
    </row>
    <row r="12546" spans="2:2">
      <c r="B12546" s="36"/>
    </row>
    <row r="12547" spans="2:2">
      <c r="B12547" s="36"/>
    </row>
    <row r="12548" spans="2:2">
      <c r="B12548" s="36"/>
    </row>
    <row r="12549" spans="2:2">
      <c r="B12549" s="36"/>
    </row>
    <row r="12550" spans="2:2">
      <c r="B12550" s="36"/>
    </row>
    <row r="12551" spans="2:2">
      <c r="B12551" s="36"/>
    </row>
    <row r="12552" spans="2:2">
      <c r="B12552" s="36"/>
    </row>
    <row r="12553" spans="2:2">
      <c r="B12553" s="36"/>
    </row>
    <row r="12554" spans="2:2">
      <c r="B12554" s="36"/>
    </row>
    <row r="12555" spans="2:2">
      <c r="B12555" s="36"/>
    </row>
    <row r="12556" spans="2:2">
      <c r="B12556" s="36"/>
    </row>
    <row r="12557" spans="2:2">
      <c r="B12557" s="36"/>
    </row>
    <row r="12558" spans="2:2">
      <c r="B12558" s="36"/>
    </row>
    <row r="12559" spans="2:2">
      <c r="B12559" s="36"/>
    </row>
    <row r="12560" spans="2:2">
      <c r="B12560" s="36"/>
    </row>
    <row r="12561" spans="2:2">
      <c r="B12561" s="36"/>
    </row>
    <row r="12562" spans="2:2">
      <c r="B12562" s="36"/>
    </row>
    <row r="12563" spans="2:2">
      <c r="B12563" s="36"/>
    </row>
    <row r="12564" spans="2:2">
      <c r="B12564" s="36"/>
    </row>
    <row r="12565" spans="2:2">
      <c r="B12565" s="36"/>
    </row>
    <row r="12566" spans="2:2">
      <c r="B12566" s="36"/>
    </row>
    <row r="12567" spans="2:2">
      <c r="B12567" s="36"/>
    </row>
    <row r="12568" spans="2:2">
      <c r="B12568" s="36"/>
    </row>
    <row r="12569" spans="2:2">
      <c r="B12569" s="36"/>
    </row>
    <row r="12570" spans="2:2">
      <c r="B12570" s="36"/>
    </row>
    <row r="12571" spans="2:2">
      <c r="B12571" s="36"/>
    </row>
    <row r="12572" spans="2:2">
      <c r="B12572" s="36"/>
    </row>
    <row r="12573" spans="2:2">
      <c r="B12573" s="36"/>
    </row>
    <row r="12574" spans="2:2">
      <c r="B12574" s="36"/>
    </row>
    <row r="12575" spans="2:2">
      <c r="B12575" s="36"/>
    </row>
    <row r="12576" spans="2:2">
      <c r="B12576" s="36"/>
    </row>
    <row r="12577" spans="2:2">
      <c r="B12577" s="36"/>
    </row>
    <row r="12578" spans="2:2">
      <c r="B12578" s="36"/>
    </row>
    <row r="12579" spans="2:2">
      <c r="B12579" s="36"/>
    </row>
    <row r="12580" spans="2:2">
      <c r="B12580" s="36"/>
    </row>
    <row r="12581" spans="2:2">
      <c r="B12581" s="36"/>
    </row>
    <row r="12582" spans="2:2">
      <c r="B12582" s="36"/>
    </row>
    <row r="12583" spans="2:2">
      <c r="B12583" s="36"/>
    </row>
    <row r="12584" spans="2:2">
      <c r="B12584" s="36"/>
    </row>
    <row r="12585" spans="2:2">
      <c r="B12585" s="36"/>
    </row>
    <row r="12586" spans="2:2">
      <c r="B12586" s="36"/>
    </row>
    <row r="12587" spans="2:2">
      <c r="B12587" s="36"/>
    </row>
    <row r="12588" spans="2:2">
      <c r="B12588" s="36"/>
    </row>
    <row r="12589" spans="2:2">
      <c r="B12589" s="36"/>
    </row>
    <row r="12590" spans="2:2">
      <c r="B12590" s="36"/>
    </row>
    <row r="12591" spans="2:2">
      <c r="B12591" s="36"/>
    </row>
    <row r="12592" spans="2:2">
      <c r="B12592" s="36"/>
    </row>
    <row r="12593" spans="2:2">
      <c r="B12593" s="36"/>
    </row>
    <row r="12594" spans="2:2">
      <c r="B12594" s="36"/>
    </row>
    <row r="12595" spans="2:2">
      <c r="B12595" s="36"/>
    </row>
    <row r="12596" spans="2:2">
      <c r="B12596" s="36"/>
    </row>
    <row r="12597" spans="2:2">
      <c r="B12597" s="36"/>
    </row>
    <row r="12598" spans="2:2">
      <c r="B12598" s="36"/>
    </row>
    <row r="12599" spans="2:2">
      <c r="B12599" s="36"/>
    </row>
    <row r="12600" spans="2:2">
      <c r="B12600" s="36"/>
    </row>
    <row r="12601" spans="2:2">
      <c r="B12601" s="36"/>
    </row>
    <row r="12602" spans="2:2">
      <c r="B12602" s="36"/>
    </row>
    <row r="12603" spans="2:2">
      <c r="B12603" s="36"/>
    </row>
    <row r="12604" spans="2:2">
      <c r="B12604" s="36"/>
    </row>
    <row r="12605" spans="2:2">
      <c r="B12605" s="36"/>
    </row>
    <row r="12606" spans="2:2">
      <c r="B12606" s="36"/>
    </row>
    <row r="12607" spans="2:2">
      <c r="B12607" s="36"/>
    </row>
    <row r="12608" spans="2:2">
      <c r="B12608" s="36"/>
    </row>
    <row r="12609" spans="2:2">
      <c r="B12609" s="36"/>
    </row>
    <row r="12610" spans="2:2">
      <c r="B12610" s="36"/>
    </row>
    <row r="12611" spans="2:2">
      <c r="B12611" s="36"/>
    </row>
    <row r="12612" spans="2:2">
      <c r="B12612" s="36"/>
    </row>
    <row r="12613" spans="2:2">
      <c r="B12613" s="36"/>
    </row>
    <row r="12614" spans="2:2">
      <c r="B12614" s="36"/>
    </row>
    <row r="12615" spans="2:2">
      <c r="B12615" s="36"/>
    </row>
    <row r="12616" spans="2:2">
      <c r="B12616" s="36"/>
    </row>
    <row r="12617" spans="2:2">
      <c r="B12617" s="36"/>
    </row>
    <row r="12618" spans="2:2">
      <c r="B12618" s="36"/>
    </row>
    <row r="12619" spans="2:2">
      <c r="B12619" s="36"/>
    </row>
    <row r="12620" spans="2:2">
      <c r="B12620" s="36"/>
    </row>
    <row r="12621" spans="2:2">
      <c r="B12621" s="36"/>
    </row>
    <row r="12622" spans="2:2">
      <c r="B12622" s="36"/>
    </row>
    <row r="12623" spans="2:2">
      <c r="B12623" s="36"/>
    </row>
    <row r="12624" spans="2:2">
      <c r="B12624" s="36"/>
    </row>
    <row r="12625" spans="2:2">
      <c r="B12625" s="36"/>
    </row>
    <row r="12626" spans="2:2">
      <c r="B12626" s="36"/>
    </row>
    <row r="12627" spans="2:2">
      <c r="B12627" s="36"/>
    </row>
    <row r="12628" spans="2:2">
      <c r="B12628" s="36"/>
    </row>
    <row r="12629" spans="2:2">
      <c r="B12629" s="36"/>
    </row>
    <row r="12630" spans="2:2">
      <c r="B12630" s="36"/>
    </row>
    <row r="12631" spans="2:2">
      <c r="B12631" s="36"/>
    </row>
    <row r="12632" spans="2:2">
      <c r="B12632" s="36"/>
    </row>
    <row r="12633" spans="2:2">
      <c r="B12633" s="36"/>
    </row>
    <row r="12634" spans="2:2">
      <c r="B12634" s="36"/>
    </row>
    <row r="12635" spans="2:2">
      <c r="B12635" s="36"/>
    </row>
    <row r="12636" spans="2:2">
      <c r="B12636" s="36"/>
    </row>
    <row r="12637" spans="2:2">
      <c r="B12637" s="36"/>
    </row>
    <row r="12638" spans="2:2">
      <c r="B12638" s="36"/>
    </row>
    <row r="12639" spans="2:2">
      <c r="B12639" s="36"/>
    </row>
    <row r="12640" spans="2:2">
      <c r="B12640" s="36"/>
    </row>
    <row r="12641" spans="2:2">
      <c r="B12641" s="36"/>
    </row>
    <row r="12642" spans="2:2">
      <c r="B12642" s="36"/>
    </row>
    <row r="12643" spans="2:2">
      <c r="B12643" s="36"/>
    </row>
    <row r="12644" spans="2:2">
      <c r="B12644" s="36"/>
    </row>
    <row r="12645" spans="2:2">
      <c r="B12645" s="36"/>
    </row>
    <row r="12646" spans="2:2">
      <c r="B12646" s="36"/>
    </row>
    <row r="12647" spans="2:2">
      <c r="B12647" s="36"/>
    </row>
    <row r="12648" spans="2:2">
      <c r="B12648" s="36"/>
    </row>
    <row r="12649" spans="2:2">
      <c r="B12649" s="36"/>
    </row>
    <row r="12650" spans="2:2">
      <c r="B12650" s="36"/>
    </row>
    <row r="12651" spans="2:2">
      <c r="B12651" s="36"/>
    </row>
    <row r="12652" spans="2:2">
      <c r="B12652" s="36"/>
    </row>
    <row r="12653" spans="2:2">
      <c r="B12653" s="36"/>
    </row>
    <row r="12654" spans="2:2">
      <c r="B12654" s="36"/>
    </row>
    <row r="12655" spans="2:2">
      <c r="B12655" s="36"/>
    </row>
    <row r="12656" spans="2:2">
      <c r="B12656" s="36"/>
    </row>
    <row r="12657" spans="2:2">
      <c r="B12657" s="36"/>
    </row>
    <row r="12658" spans="2:2">
      <c r="B12658" s="36"/>
    </row>
    <row r="12659" spans="2:2">
      <c r="B12659" s="36"/>
    </row>
    <row r="12660" spans="2:2">
      <c r="B12660" s="36"/>
    </row>
    <row r="12661" spans="2:2">
      <c r="B12661" s="36"/>
    </row>
    <row r="12662" spans="2:2">
      <c r="B12662" s="36"/>
    </row>
    <row r="12663" spans="2:2">
      <c r="B12663" s="36"/>
    </row>
    <row r="12664" spans="2:2">
      <c r="B12664" s="36"/>
    </row>
    <row r="12665" spans="2:2">
      <c r="B12665" s="36"/>
    </row>
    <row r="12666" spans="2:2">
      <c r="B12666" s="36"/>
    </row>
    <row r="12667" spans="2:2">
      <c r="B12667" s="36"/>
    </row>
    <row r="12668" spans="2:2">
      <c r="B12668" s="36"/>
    </row>
    <row r="12669" spans="2:2">
      <c r="B12669" s="36"/>
    </row>
    <row r="12670" spans="2:2">
      <c r="B12670" s="36"/>
    </row>
    <row r="12671" spans="2:2">
      <c r="B12671" s="36"/>
    </row>
    <row r="12672" spans="2:2">
      <c r="B12672" s="36"/>
    </row>
    <row r="12673" spans="2:2">
      <c r="B12673" s="36"/>
    </row>
    <row r="12674" spans="2:2">
      <c r="B12674" s="36"/>
    </row>
    <row r="12675" spans="2:2">
      <c r="B12675" s="36"/>
    </row>
    <row r="12676" spans="2:2">
      <c r="B12676" s="36"/>
    </row>
    <row r="12677" spans="2:2">
      <c r="B12677" s="36"/>
    </row>
    <row r="12678" spans="2:2">
      <c r="B12678" s="36"/>
    </row>
    <row r="12679" spans="2:2">
      <c r="B12679" s="36"/>
    </row>
    <row r="12680" spans="2:2">
      <c r="B12680" s="36"/>
    </row>
    <row r="12681" spans="2:2">
      <c r="B12681" s="36"/>
    </row>
    <row r="12682" spans="2:2">
      <c r="B12682" s="36"/>
    </row>
    <row r="12683" spans="2:2">
      <c r="B12683" s="36"/>
    </row>
    <row r="12684" spans="2:2">
      <c r="B12684" s="36"/>
    </row>
    <row r="12685" spans="2:2">
      <c r="B12685" s="36"/>
    </row>
    <row r="12686" spans="2:2">
      <c r="B12686" s="36"/>
    </row>
    <row r="12687" spans="2:2">
      <c r="B12687" s="36"/>
    </row>
    <row r="12688" spans="2:2">
      <c r="B12688" s="36"/>
    </row>
    <row r="12689" spans="2:2">
      <c r="B12689" s="36"/>
    </row>
    <row r="12690" spans="2:2">
      <c r="B12690" s="36"/>
    </row>
    <row r="12691" spans="2:2">
      <c r="B12691" s="36"/>
    </row>
    <row r="12692" spans="2:2">
      <c r="B12692" s="36"/>
    </row>
    <row r="12693" spans="2:2">
      <c r="B12693" s="36"/>
    </row>
    <row r="12694" spans="2:2">
      <c r="B12694" s="36"/>
    </row>
    <row r="12695" spans="2:2">
      <c r="B12695" s="36"/>
    </row>
    <row r="12696" spans="2:2">
      <c r="B12696" s="36"/>
    </row>
    <row r="12697" spans="2:2">
      <c r="B12697" s="36"/>
    </row>
    <row r="12698" spans="2:2">
      <c r="B12698" s="36"/>
    </row>
    <row r="12699" spans="2:2">
      <c r="B12699" s="36"/>
    </row>
    <row r="12700" spans="2:2">
      <c r="B12700" s="36"/>
    </row>
    <row r="12701" spans="2:2">
      <c r="B12701" s="36"/>
    </row>
    <row r="12702" spans="2:2">
      <c r="B12702" s="36"/>
    </row>
    <row r="12703" spans="2:2">
      <c r="B12703" s="36"/>
    </row>
    <row r="12704" spans="2:2">
      <c r="B12704" s="36"/>
    </row>
    <row r="12705" spans="2:2">
      <c r="B12705" s="36"/>
    </row>
    <row r="12706" spans="2:2">
      <c r="B12706" s="36"/>
    </row>
    <row r="12707" spans="2:2">
      <c r="B12707" s="36"/>
    </row>
    <row r="12708" spans="2:2">
      <c r="B12708" s="36"/>
    </row>
    <row r="12709" spans="2:2">
      <c r="B12709" s="36"/>
    </row>
    <row r="12710" spans="2:2">
      <c r="B12710" s="36"/>
    </row>
    <row r="12711" spans="2:2">
      <c r="B12711" s="36"/>
    </row>
    <row r="12712" spans="2:2">
      <c r="B12712" s="36"/>
    </row>
    <row r="12713" spans="2:2">
      <c r="B12713" s="36"/>
    </row>
    <row r="12714" spans="2:2">
      <c r="B12714" s="36"/>
    </row>
    <row r="12715" spans="2:2">
      <c r="B12715" s="36"/>
    </row>
    <row r="12716" spans="2:2">
      <c r="B12716" s="36"/>
    </row>
    <row r="12717" spans="2:2">
      <c r="B12717" s="36"/>
    </row>
    <row r="12718" spans="2:2">
      <c r="B12718" s="36"/>
    </row>
    <row r="12719" spans="2:2">
      <c r="B12719" s="36"/>
    </row>
    <row r="12720" spans="2:2">
      <c r="B12720" s="36"/>
    </row>
    <row r="12721" spans="2:2">
      <c r="B12721" s="36"/>
    </row>
    <row r="12722" spans="2:2">
      <c r="B12722" s="36"/>
    </row>
    <row r="12723" spans="2:2">
      <c r="B12723" s="36"/>
    </row>
    <row r="12724" spans="2:2">
      <c r="B12724" s="36"/>
    </row>
    <row r="12725" spans="2:2">
      <c r="B12725" s="36"/>
    </row>
    <row r="12726" spans="2:2">
      <c r="B12726" s="36"/>
    </row>
    <row r="12727" spans="2:2">
      <c r="B12727" s="36"/>
    </row>
    <row r="12728" spans="2:2">
      <c r="B12728" s="36"/>
    </row>
    <row r="12729" spans="2:2">
      <c r="B12729" s="36"/>
    </row>
    <row r="12730" spans="2:2">
      <c r="B12730" s="36"/>
    </row>
    <row r="12731" spans="2:2">
      <c r="B12731" s="36"/>
    </row>
    <row r="12732" spans="2:2">
      <c r="B12732" s="36"/>
    </row>
    <row r="12733" spans="2:2">
      <c r="B12733" s="36"/>
    </row>
    <row r="12734" spans="2:2">
      <c r="B12734" s="36"/>
    </row>
    <row r="12735" spans="2:2">
      <c r="B12735" s="36"/>
    </row>
    <row r="12736" spans="2:2">
      <c r="B12736" s="36"/>
    </row>
    <row r="12737" spans="2:2">
      <c r="B12737" s="36"/>
    </row>
    <row r="12738" spans="2:2">
      <c r="B12738" s="36"/>
    </row>
    <row r="12739" spans="2:2">
      <c r="B12739" s="36"/>
    </row>
    <row r="12740" spans="2:2">
      <c r="B12740" s="36"/>
    </row>
    <row r="12741" spans="2:2">
      <c r="B12741" s="36"/>
    </row>
    <row r="12742" spans="2:2">
      <c r="B12742" s="36"/>
    </row>
    <row r="12743" spans="2:2">
      <c r="B12743" s="36"/>
    </row>
    <row r="12744" spans="2:2">
      <c r="B12744" s="36"/>
    </row>
    <row r="12745" spans="2:2">
      <c r="B12745" s="36"/>
    </row>
    <row r="12746" spans="2:2">
      <c r="B12746" s="36"/>
    </row>
    <row r="12747" spans="2:2">
      <c r="B12747" s="36"/>
    </row>
    <row r="12748" spans="2:2">
      <c r="B12748" s="36"/>
    </row>
    <row r="12749" spans="2:2">
      <c r="B12749" s="36"/>
    </row>
    <row r="12750" spans="2:2">
      <c r="B12750" s="36"/>
    </row>
    <row r="12751" spans="2:2">
      <c r="B12751" s="36"/>
    </row>
    <row r="12752" spans="2:2">
      <c r="B12752" s="36"/>
    </row>
    <row r="12753" spans="2:2">
      <c r="B12753" s="36"/>
    </row>
    <row r="12754" spans="2:2">
      <c r="B12754" s="36"/>
    </row>
    <row r="12755" spans="2:2">
      <c r="B12755" s="36"/>
    </row>
    <row r="12756" spans="2:2">
      <c r="B12756" s="36"/>
    </row>
    <row r="12757" spans="2:2">
      <c r="B12757" s="36"/>
    </row>
    <row r="12758" spans="2:2">
      <c r="B12758" s="36"/>
    </row>
    <row r="12759" spans="2:2">
      <c r="B12759" s="36"/>
    </row>
    <row r="12760" spans="2:2">
      <c r="B12760" s="36"/>
    </row>
    <row r="12761" spans="2:2">
      <c r="B12761" s="36"/>
    </row>
    <row r="12762" spans="2:2">
      <c r="B12762" s="36"/>
    </row>
    <row r="12763" spans="2:2">
      <c r="B12763" s="36"/>
    </row>
    <row r="12764" spans="2:2">
      <c r="B12764" s="36"/>
    </row>
    <row r="12765" spans="2:2">
      <c r="B12765" s="36"/>
    </row>
    <row r="12766" spans="2:2">
      <c r="B12766" s="36"/>
    </row>
    <row r="12767" spans="2:2">
      <c r="B12767" s="36"/>
    </row>
    <row r="12768" spans="2:2">
      <c r="B12768" s="36"/>
    </row>
    <row r="12769" spans="2:2">
      <c r="B12769" s="36"/>
    </row>
    <row r="12770" spans="2:2">
      <c r="B12770" s="36"/>
    </row>
    <row r="12771" spans="2:2">
      <c r="B12771" s="36"/>
    </row>
    <row r="12772" spans="2:2">
      <c r="B12772" s="36"/>
    </row>
    <row r="12773" spans="2:2">
      <c r="B12773" s="36"/>
    </row>
    <row r="12774" spans="2:2">
      <c r="B12774" s="36"/>
    </row>
    <row r="12775" spans="2:2">
      <c r="B12775" s="36"/>
    </row>
    <row r="12776" spans="2:2">
      <c r="B12776" s="36"/>
    </row>
    <row r="12777" spans="2:2">
      <c r="B12777" s="36"/>
    </row>
    <row r="12778" spans="2:2">
      <c r="B12778" s="36"/>
    </row>
    <row r="12779" spans="2:2">
      <c r="B12779" s="36"/>
    </row>
    <row r="12780" spans="2:2">
      <c r="B12780" s="36"/>
    </row>
    <row r="12781" spans="2:2">
      <c r="B12781" s="36"/>
    </row>
    <row r="12782" spans="2:2">
      <c r="B12782" s="36"/>
    </row>
    <row r="12783" spans="2:2">
      <c r="B12783" s="36"/>
    </row>
    <row r="12784" spans="2:2">
      <c r="B12784" s="36"/>
    </row>
    <row r="12785" spans="2:2">
      <c r="B12785" s="36"/>
    </row>
    <row r="12786" spans="2:2">
      <c r="B12786" s="36"/>
    </row>
    <row r="12787" spans="2:2">
      <c r="B12787" s="36"/>
    </row>
    <row r="12788" spans="2:2">
      <c r="B12788" s="36"/>
    </row>
    <row r="12789" spans="2:2">
      <c r="B12789" s="36"/>
    </row>
    <row r="12790" spans="2:2">
      <c r="B12790" s="36"/>
    </row>
    <row r="12791" spans="2:2">
      <c r="B12791" s="36"/>
    </row>
    <row r="12792" spans="2:2">
      <c r="B12792" s="36"/>
    </row>
    <row r="12793" spans="2:2">
      <c r="B12793" s="36"/>
    </row>
    <row r="12794" spans="2:2">
      <c r="B12794" s="36"/>
    </row>
    <row r="12795" spans="2:2">
      <c r="B12795" s="36"/>
    </row>
    <row r="12796" spans="2:2">
      <c r="B12796" s="36"/>
    </row>
    <row r="12797" spans="2:2">
      <c r="B12797" s="36"/>
    </row>
    <row r="12798" spans="2:2">
      <c r="B12798" s="36"/>
    </row>
    <row r="12799" spans="2:2">
      <c r="B12799" s="36"/>
    </row>
    <row r="12800" spans="2:2">
      <c r="B12800" s="36"/>
    </row>
    <row r="12801" spans="2:2">
      <c r="B12801" s="36"/>
    </row>
    <row r="12802" spans="2:2">
      <c r="B12802" s="36"/>
    </row>
    <row r="12803" spans="2:2">
      <c r="B12803" s="36"/>
    </row>
    <row r="12804" spans="2:2">
      <c r="B12804" s="36"/>
    </row>
    <row r="12805" spans="2:2">
      <c r="B12805" s="36"/>
    </row>
    <row r="12806" spans="2:2">
      <c r="B12806" s="36"/>
    </row>
    <row r="12807" spans="2:2">
      <c r="B12807" s="36"/>
    </row>
    <row r="12808" spans="2:2">
      <c r="B12808" s="36"/>
    </row>
    <row r="12809" spans="2:2">
      <c r="B12809" s="36"/>
    </row>
    <row r="12810" spans="2:2">
      <c r="B12810" s="36"/>
    </row>
    <row r="12811" spans="2:2">
      <c r="B12811" s="36"/>
    </row>
    <row r="12812" spans="2:2">
      <c r="B12812" s="36"/>
    </row>
    <row r="12813" spans="2:2">
      <c r="B12813" s="36"/>
    </row>
    <row r="12814" spans="2:2">
      <c r="B12814" s="36"/>
    </row>
    <row r="12815" spans="2:2">
      <c r="B12815" s="36"/>
    </row>
    <row r="12816" spans="2:2">
      <c r="B12816" s="36"/>
    </row>
    <row r="12817" spans="2:2">
      <c r="B12817" s="36"/>
    </row>
    <row r="12818" spans="2:2">
      <c r="B12818" s="36"/>
    </row>
    <row r="12819" spans="2:2">
      <c r="B12819" s="36"/>
    </row>
    <row r="12820" spans="2:2">
      <c r="B12820" s="36"/>
    </row>
    <row r="12821" spans="2:2">
      <c r="B12821" s="36"/>
    </row>
    <row r="12822" spans="2:2">
      <c r="B12822" s="36"/>
    </row>
    <row r="12823" spans="2:2">
      <c r="B12823" s="36"/>
    </row>
    <row r="12824" spans="2:2">
      <c r="B12824" s="36"/>
    </row>
    <row r="12825" spans="2:2">
      <c r="B12825" s="36"/>
    </row>
    <row r="12826" spans="2:2">
      <c r="B12826" s="36"/>
    </row>
    <row r="12827" spans="2:2">
      <c r="B12827" s="36"/>
    </row>
    <row r="12828" spans="2:2">
      <c r="B12828" s="36"/>
    </row>
    <row r="12829" spans="2:2">
      <c r="B12829" s="36"/>
    </row>
    <row r="12830" spans="2:2">
      <c r="B12830" s="36"/>
    </row>
    <row r="12831" spans="2:2">
      <c r="B12831" s="36"/>
    </row>
    <row r="12832" spans="2:2">
      <c r="B12832" s="36"/>
    </row>
    <row r="12833" spans="2:2">
      <c r="B12833" s="36"/>
    </row>
    <row r="12834" spans="2:2">
      <c r="B12834" s="36"/>
    </row>
    <row r="12835" spans="2:2">
      <c r="B12835" s="36"/>
    </row>
    <row r="12836" spans="2:2">
      <c r="B12836" s="36"/>
    </row>
    <row r="12837" spans="2:2">
      <c r="B12837" s="36"/>
    </row>
    <row r="12838" spans="2:2">
      <c r="B12838" s="36"/>
    </row>
    <row r="12839" spans="2:2">
      <c r="B12839" s="36"/>
    </row>
    <row r="12840" spans="2:2">
      <c r="B12840" s="36"/>
    </row>
    <row r="12841" spans="2:2">
      <c r="B12841" s="36"/>
    </row>
    <row r="12842" spans="2:2">
      <c r="B12842" s="36"/>
    </row>
    <row r="12843" spans="2:2">
      <c r="B12843" s="36"/>
    </row>
    <row r="12844" spans="2:2">
      <c r="B12844" s="36"/>
    </row>
    <row r="12845" spans="2:2">
      <c r="B12845" s="36"/>
    </row>
    <row r="12846" spans="2:2">
      <c r="B12846" s="36"/>
    </row>
    <row r="12847" spans="2:2">
      <c r="B12847" s="36"/>
    </row>
    <row r="12848" spans="2:2">
      <c r="B12848" s="36"/>
    </row>
    <row r="12849" spans="2:2">
      <c r="B12849" s="36"/>
    </row>
    <row r="12850" spans="2:2">
      <c r="B12850" s="36"/>
    </row>
    <row r="12851" spans="2:2">
      <c r="B12851" s="36"/>
    </row>
    <row r="12852" spans="2:2">
      <c r="B12852" s="36"/>
    </row>
    <row r="12853" spans="2:2">
      <c r="B12853" s="36"/>
    </row>
    <row r="12854" spans="2:2">
      <c r="B12854" s="36"/>
    </row>
    <row r="12855" spans="2:2">
      <c r="B12855" s="36"/>
    </row>
    <row r="12856" spans="2:2">
      <c r="B12856" s="36"/>
    </row>
    <row r="12857" spans="2:2">
      <c r="B12857" s="36"/>
    </row>
    <row r="12858" spans="2:2">
      <c r="B12858" s="36"/>
    </row>
    <row r="12859" spans="2:2">
      <c r="B12859" s="36"/>
    </row>
    <row r="12860" spans="2:2">
      <c r="B12860" s="36"/>
    </row>
    <row r="12861" spans="2:2">
      <c r="B12861" s="36"/>
    </row>
    <row r="12862" spans="2:2">
      <c r="B12862" s="36"/>
    </row>
    <row r="12863" spans="2:2">
      <c r="B12863" s="36"/>
    </row>
    <row r="12864" spans="2:2">
      <c r="B12864" s="36"/>
    </row>
    <row r="12865" spans="2:2">
      <c r="B12865" s="36"/>
    </row>
    <row r="12866" spans="2:2">
      <c r="B12866" s="36"/>
    </row>
    <row r="12867" spans="2:2">
      <c r="B12867" s="36"/>
    </row>
    <row r="12868" spans="2:2">
      <c r="B12868" s="36"/>
    </row>
    <row r="12869" spans="2:2">
      <c r="B12869" s="36"/>
    </row>
    <row r="12870" spans="2:2">
      <c r="B12870" s="36"/>
    </row>
    <row r="12871" spans="2:2">
      <c r="B12871" s="36"/>
    </row>
    <row r="12872" spans="2:2">
      <c r="B12872" s="36"/>
    </row>
    <row r="12873" spans="2:2">
      <c r="B12873" s="36"/>
    </row>
    <row r="12874" spans="2:2">
      <c r="B12874" s="36"/>
    </row>
    <row r="12875" spans="2:2">
      <c r="B12875" s="36"/>
    </row>
    <row r="12876" spans="2:2">
      <c r="B12876" s="36"/>
    </row>
    <row r="12877" spans="2:2">
      <c r="B12877" s="36"/>
    </row>
    <row r="12878" spans="2:2">
      <c r="B12878" s="36"/>
    </row>
    <row r="12879" spans="2:2">
      <c r="B12879" s="36"/>
    </row>
    <row r="12880" spans="2:2">
      <c r="B12880" s="36"/>
    </row>
    <row r="12881" spans="2:2">
      <c r="B12881" s="36"/>
    </row>
    <row r="12882" spans="2:2">
      <c r="B12882" s="36"/>
    </row>
    <row r="12883" spans="2:2">
      <c r="B12883" s="36"/>
    </row>
    <row r="12884" spans="2:2">
      <c r="B12884" s="36"/>
    </row>
    <row r="12885" spans="2:2">
      <c r="B12885" s="36"/>
    </row>
    <row r="12886" spans="2:2">
      <c r="B12886" s="36"/>
    </row>
    <row r="12887" spans="2:2">
      <c r="B12887" s="36"/>
    </row>
    <row r="12888" spans="2:2">
      <c r="B12888" s="36"/>
    </row>
    <row r="12889" spans="2:2">
      <c r="B12889" s="36"/>
    </row>
    <row r="12890" spans="2:2">
      <c r="B12890" s="36"/>
    </row>
    <row r="12891" spans="2:2">
      <c r="B12891" s="36"/>
    </row>
    <row r="12892" spans="2:2">
      <c r="B12892" s="36"/>
    </row>
    <row r="12893" spans="2:2">
      <c r="B12893" s="36"/>
    </row>
    <row r="12894" spans="2:2">
      <c r="B12894" s="36"/>
    </row>
    <row r="12895" spans="2:2">
      <c r="B12895" s="36"/>
    </row>
    <row r="12896" spans="2:2">
      <c r="B12896" s="36"/>
    </row>
    <row r="12897" spans="2:2">
      <c r="B12897" s="36"/>
    </row>
    <row r="12898" spans="2:2">
      <c r="B12898" s="36"/>
    </row>
    <row r="12899" spans="2:2">
      <c r="B12899" s="36"/>
    </row>
    <row r="12900" spans="2:2">
      <c r="B12900" s="36"/>
    </row>
    <row r="12901" spans="2:2">
      <c r="B12901" s="36"/>
    </row>
    <row r="12902" spans="2:2">
      <c r="B12902" s="36"/>
    </row>
    <row r="12903" spans="2:2">
      <c r="B12903" s="36"/>
    </row>
    <row r="12904" spans="2:2">
      <c r="B12904" s="36"/>
    </row>
    <row r="12905" spans="2:2">
      <c r="B12905" s="36"/>
    </row>
    <row r="12906" spans="2:2">
      <c r="B12906" s="36"/>
    </row>
    <row r="12907" spans="2:2">
      <c r="B12907" s="36"/>
    </row>
    <row r="12908" spans="2:2">
      <c r="B12908" s="36"/>
    </row>
    <row r="12909" spans="2:2">
      <c r="B12909" s="36"/>
    </row>
    <row r="12910" spans="2:2">
      <c r="B12910" s="36"/>
    </row>
    <row r="12911" spans="2:2">
      <c r="B12911" s="36"/>
    </row>
    <row r="12912" spans="2:2">
      <c r="B12912" s="36"/>
    </row>
    <row r="12913" spans="2:2">
      <c r="B12913" s="36"/>
    </row>
    <row r="12914" spans="2:2">
      <c r="B12914" s="36"/>
    </row>
    <row r="12915" spans="2:2">
      <c r="B12915" s="36"/>
    </row>
    <row r="12916" spans="2:2">
      <c r="B12916" s="36"/>
    </row>
    <row r="12917" spans="2:2">
      <c r="B12917" s="36"/>
    </row>
    <row r="12918" spans="2:2">
      <c r="B12918" s="36"/>
    </row>
    <row r="12919" spans="2:2">
      <c r="B12919" s="36"/>
    </row>
    <row r="12920" spans="2:2">
      <c r="B12920" s="36"/>
    </row>
    <row r="12921" spans="2:2">
      <c r="B12921" s="36"/>
    </row>
    <row r="12922" spans="2:2">
      <c r="B12922" s="36"/>
    </row>
    <row r="12923" spans="2:2">
      <c r="B12923" s="36"/>
    </row>
    <row r="12924" spans="2:2">
      <c r="B12924" s="36"/>
    </row>
    <row r="12925" spans="2:2">
      <c r="B12925" s="36"/>
    </row>
    <row r="12926" spans="2:2">
      <c r="B12926" s="36"/>
    </row>
    <row r="12927" spans="2:2">
      <c r="B12927" s="36"/>
    </row>
    <row r="12928" spans="2:2">
      <c r="B12928" s="36"/>
    </row>
    <row r="12929" spans="2:2">
      <c r="B12929" s="36"/>
    </row>
    <row r="12930" spans="2:2">
      <c r="B12930" s="36"/>
    </row>
    <row r="12931" spans="2:2">
      <c r="B12931" s="36"/>
    </row>
    <row r="12932" spans="2:2">
      <c r="B12932" s="36"/>
    </row>
    <row r="12933" spans="2:2">
      <c r="B12933" s="36"/>
    </row>
    <row r="12934" spans="2:2">
      <c r="B12934" s="36"/>
    </row>
    <row r="12935" spans="2:2">
      <c r="B12935" s="36"/>
    </row>
    <row r="12936" spans="2:2">
      <c r="B12936" s="36"/>
    </row>
    <row r="12937" spans="2:2">
      <c r="B12937" s="36"/>
    </row>
    <row r="12938" spans="2:2">
      <c r="B12938" s="36"/>
    </row>
    <row r="12939" spans="2:2">
      <c r="B12939" s="36"/>
    </row>
    <row r="12940" spans="2:2">
      <c r="B12940" s="36"/>
    </row>
    <row r="12941" spans="2:2">
      <c r="B12941" s="36"/>
    </row>
    <row r="12942" spans="2:2">
      <c r="B12942" s="36"/>
    </row>
    <row r="12943" spans="2:2">
      <c r="B12943" s="36"/>
    </row>
    <row r="12944" spans="2:2">
      <c r="B12944" s="36"/>
    </row>
    <row r="12945" spans="2:2">
      <c r="B12945" s="36"/>
    </row>
    <row r="12946" spans="2:2">
      <c r="B12946" s="36"/>
    </row>
    <row r="12947" spans="2:2">
      <c r="B12947" s="36"/>
    </row>
    <row r="12948" spans="2:2">
      <c r="B12948" s="36"/>
    </row>
    <row r="12949" spans="2:2">
      <c r="B12949" s="36"/>
    </row>
    <row r="12950" spans="2:2">
      <c r="B12950" s="36"/>
    </row>
    <row r="12951" spans="2:2">
      <c r="B12951" s="36"/>
    </row>
    <row r="12952" spans="2:2">
      <c r="B12952" s="36"/>
    </row>
    <row r="12953" spans="2:2">
      <c r="B12953" s="36"/>
    </row>
    <row r="12954" spans="2:2">
      <c r="B12954" s="36"/>
    </row>
    <row r="12955" spans="2:2">
      <c r="B12955" s="36"/>
    </row>
    <row r="12956" spans="2:2">
      <c r="B12956" s="36"/>
    </row>
    <row r="12957" spans="2:2">
      <c r="B12957" s="36"/>
    </row>
    <row r="12958" spans="2:2">
      <c r="B12958" s="36"/>
    </row>
    <row r="12959" spans="2:2">
      <c r="B12959" s="36"/>
    </row>
    <row r="12960" spans="2:2">
      <c r="B12960" s="36"/>
    </row>
    <row r="12961" spans="2:2">
      <c r="B12961" s="36"/>
    </row>
    <row r="12962" spans="2:2">
      <c r="B12962" s="36"/>
    </row>
    <row r="12963" spans="2:2">
      <c r="B12963" s="36"/>
    </row>
    <row r="12964" spans="2:2">
      <c r="B12964" s="36"/>
    </row>
    <row r="12965" spans="2:2">
      <c r="B12965" s="36"/>
    </row>
    <row r="12966" spans="2:2">
      <c r="B12966" s="36"/>
    </row>
    <row r="12967" spans="2:2">
      <c r="B12967" s="36"/>
    </row>
    <row r="12968" spans="2:2">
      <c r="B12968" s="36"/>
    </row>
    <row r="12969" spans="2:2">
      <c r="B12969" s="36"/>
    </row>
    <row r="12970" spans="2:2">
      <c r="B12970" s="36"/>
    </row>
    <row r="12971" spans="2:2">
      <c r="B12971" s="36"/>
    </row>
    <row r="12972" spans="2:2">
      <c r="B12972" s="36"/>
    </row>
    <row r="12973" spans="2:2">
      <c r="B12973" s="36"/>
    </row>
    <row r="12974" spans="2:2">
      <c r="B12974" s="36"/>
    </row>
    <row r="12975" spans="2:2">
      <c r="B12975" s="36"/>
    </row>
    <row r="12976" spans="2:2">
      <c r="B12976" s="36"/>
    </row>
    <row r="12977" spans="2:2">
      <c r="B12977" s="36"/>
    </row>
    <row r="12978" spans="2:2">
      <c r="B12978" s="36"/>
    </row>
    <row r="12979" spans="2:2">
      <c r="B12979" s="36"/>
    </row>
    <row r="12980" spans="2:2">
      <c r="B12980" s="36"/>
    </row>
    <row r="12981" spans="2:2">
      <c r="B12981" s="36"/>
    </row>
    <row r="12982" spans="2:2">
      <c r="B12982" s="36"/>
    </row>
    <row r="12983" spans="2:2">
      <c r="B12983" s="36"/>
    </row>
    <row r="12984" spans="2:2">
      <c r="B12984" s="36"/>
    </row>
    <row r="12985" spans="2:2">
      <c r="B12985" s="36"/>
    </row>
    <row r="12986" spans="2:2">
      <c r="B12986" s="36"/>
    </row>
    <row r="12987" spans="2:2">
      <c r="B12987" s="36"/>
    </row>
    <row r="12988" spans="2:2">
      <c r="B12988" s="36"/>
    </row>
    <row r="12989" spans="2:2">
      <c r="B12989" s="36"/>
    </row>
    <row r="12990" spans="2:2">
      <c r="B12990" s="36"/>
    </row>
    <row r="12991" spans="2:2">
      <c r="B12991" s="36"/>
    </row>
    <row r="12992" spans="2:2">
      <c r="B12992" s="36"/>
    </row>
    <row r="12993" spans="2:2">
      <c r="B12993" s="36"/>
    </row>
    <row r="12994" spans="2:2">
      <c r="B12994" s="36"/>
    </row>
    <row r="12995" spans="2:2">
      <c r="B12995" s="36"/>
    </row>
    <row r="12996" spans="2:2">
      <c r="B12996" s="36"/>
    </row>
    <row r="12997" spans="2:2">
      <c r="B12997" s="36"/>
    </row>
    <row r="12998" spans="2:2">
      <c r="B12998" s="36"/>
    </row>
    <row r="12999" spans="2:2">
      <c r="B12999" s="36"/>
    </row>
    <row r="13000" spans="2:2">
      <c r="B13000" s="36"/>
    </row>
    <row r="13001" spans="2:2">
      <c r="B13001" s="36"/>
    </row>
    <row r="13002" spans="2:2">
      <c r="B13002" s="36"/>
    </row>
    <row r="13003" spans="2:2">
      <c r="B13003" s="36"/>
    </row>
    <row r="13004" spans="2:2">
      <c r="B13004" s="36"/>
    </row>
    <row r="13005" spans="2:2">
      <c r="B13005" s="36"/>
    </row>
    <row r="13006" spans="2:2">
      <c r="B13006" s="36"/>
    </row>
    <row r="13007" spans="2:2">
      <c r="B13007" s="36"/>
    </row>
    <row r="13008" spans="2:2">
      <c r="B13008" s="36"/>
    </row>
    <row r="13009" spans="2:2">
      <c r="B13009" s="36"/>
    </row>
    <row r="13010" spans="2:2">
      <c r="B13010" s="36"/>
    </row>
    <row r="13011" spans="2:2">
      <c r="B13011" s="36"/>
    </row>
    <row r="13012" spans="2:2">
      <c r="B13012" s="36"/>
    </row>
    <row r="13013" spans="2:2">
      <c r="B13013" s="36"/>
    </row>
    <row r="13014" spans="2:2">
      <c r="B13014" s="36"/>
    </row>
    <row r="13015" spans="2:2">
      <c r="B13015" s="36"/>
    </row>
    <row r="13016" spans="2:2">
      <c r="B13016" s="36"/>
    </row>
    <row r="13017" spans="2:2">
      <c r="B13017" s="36"/>
    </row>
    <row r="13018" spans="2:2">
      <c r="B13018" s="36"/>
    </row>
    <row r="13019" spans="2:2">
      <c r="B13019" s="36"/>
    </row>
    <row r="13020" spans="2:2">
      <c r="B13020" s="36"/>
    </row>
    <row r="13021" spans="2:2">
      <c r="B13021" s="36"/>
    </row>
    <row r="13022" spans="2:2">
      <c r="B13022" s="36"/>
    </row>
    <row r="13023" spans="2:2">
      <c r="B13023" s="36"/>
    </row>
    <row r="13024" spans="2:2">
      <c r="B13024" s="36"/>
    </row>
    <row r="13025" spans="2:2">
      <c r="B13025" s="36"/>
    </row>
    <row r="13026" spans="2:2">
      <c r="B13026" s="36"/>
    </row>
    <row r="13027" spans="2:2">
      <c r="B13027" s="36"/>
    </row>
    <row r="13028" spans="2:2">
      <c r="B13028" s="36"/>
    </row>
    <row r="13029" spans="2:2">
      <c r="B13029" s="36"/>
    </row>
    <row r="13030" spans="2:2">
      <c r="B13030" s="36"/>
    </row>
    <row r="13031" spans="2:2">
      <c r="B13031" s="36"/>
    </row>
    <row r="13032" spans="2:2">
      <c r="B13032" s="36"/>
    </row>
    <row r="13033" spans="2:2">
      <c r="B13033" s="36"/>
    </row>
    <row r="13034" spans="2:2">
      <c r="B13034" s="36"/>
    </row>
    <row r="13035" spans="2:2">
      <c r="B13035" s="36"/>
    </row>
    <row r="13036" spans="2:2">
      <c r="B13036" s="36"/>
    </row>
    <row r="13037" spans="2:2">
      <c r="B13037" s="36"/>
    </row>
    <row r="13038" spans="2:2">
      <c r="B13038" s="36"/>
    </row>
    <row r="13039" spans="2:2">
      <c r="B13039" s="36"/>
    </row>
    <row r="13040" spans="2:2">
      <c r="B13040" s="36"/>
    </row>
    <row r="13041" spans="2:2">
      <c r="B13041" s="36"/>
    </row>
    <row r="13042" spans="2:2">
      <c r="B13042" s="36"/>
    </row>
    <row r="13043" spans="2:2">
      <c r="B13043" s="36"/>
    </row>
    <row r="13044" spans="2:2">
      <c r="B13044" s="36"/>
    </row>
    <row r="13045" spans="2:2">
      <c r="B13045" s="36"/>
    </row>
    <row r="13046" spans="2:2">
      <c r="B13046" s="36"/>
    </row>
    <row r="13047" spans="2:2">
      <c r="B13047" s="36"/>
    </row>
    <row r="13048" spans="2:2">
      <c r="B13048" s="36"/>
    </row>
    <row r="13049" spans="2:2">
      <c r="B13049" s="36"/>
    </row>
    <row r="13050" spans="2:2">
      <c r="B13050" s="36"/>
    </row>
    <row r="13051" spans="2:2">
      <c r="B13051" s="36"/>
    </row>
    <row r="13052" spans="2:2">
      <c r="B13052" s="36"/>
    </row>
    <row r="13053" spans="2:2">
      <c r="B13053" s="36"/>
    </row>
    <row r="13054" spans="2:2">
      <c r="B13054" s="36"/>
    </row>
    <row r="13055" spans="2:2">
      <c r="B13055" s="36"/>
    </row>
    <row r="13056" spans="2:2">
      <c r="B13056" s="36"/>
    </row>
    <row r="13057" spans="2:2">
      <c r="B13057" s="36"/>
    </row>
    <row r="13058" spans="2:2">
      <c r="B13058" s="36"/>
    </row>
    <row r="13059" spans="2:2">
      <c r="B13059" s="36"/>
    </row>
    <row r="13060" spans="2:2">
      <c r="B13060" s="36"/>
    </row>
    <row r="13061" spans="2:2">
      <c r="B13061" s="36"/>
    </row>
    <row r="13062" spans="2:2">
      <c r="B13062" s="36"/>
    </row>
    <row r="13063" spans="2:2">
      <c r="B13063" s="36"/>
    </row>
    <row r="13064" spans="2:2">
      <c r="B13064" s="36"/>
    </row>
    <row r="13065" spans="2:2">
      <c r="B13065" s="36"/>
    </row>
    <row r="13066" spans="2:2">
      <c r="B13066" s="36"/>
    </row>
    <row r="13067" spans="2:2">
      <c r="B13067" s="36"/>
    </row>
    <row r="13068" spans="2:2">
      <c r="B13068" s="36"/>
    </row>
    <row r="13069" spans="2:2">
      <c r="B13069" s="36"/>
    </row>
    <row r="13070" spans="2:2">
      <c r="B13070" s="36"/>
    </row>
    <row r="13071" spans="2:2">
      <c r="B13071" s="36"/>
    </row>
    <row r="13072" spans="2:2">
      <c r="B13072" s="36"/>
    </row>
    <row r="13073" spans="2:2">
      <c r="B13073" s="36"/>
    </row>
    <row r="13074" spans="2:2">
      <c r="B13074" s="36"/>
    </row>
    <row r="13075" spans="2:2">
      <c r="B13075" s="36"/>
    </row>
    <row r="13076" spans="2:2">
      <c r="B13076" s="36"/>
    </row>
    <row r="13077" spans="2:2">
      <c r="B13077" s="36"/>
    </row>
    <row r="13078" spans="2:2">
      <c r="B13078" s="36"/>
    </row>
    <row r="13079" spans="2:2">
      <c r="B13079" s="36"/>
    </row>
    <row r="13080" spans="2:2">
      <c r="B13080" s="36"/>
    </row>
    <row r="13081" spans="2:2">
      <c r="B13081" s="36"/>
    </row>
    <row r="13082" spans="2:2">
      <c r="B13082" s="36"/>
    </row>
    <row r="13083" spans="2:2">
      <c r="B13083" s="36"/>
    </row>
    <row r="13084" spans="2:2">
      <c r="B13084" s="36"/>
    </row>
    <row r="13085" spans="2:2">
      <c r="B13085" s="36"/>
    </row>
    <row r="13086" spans="2:2">
      <c r="B13086" s="36"/>
    </row>
    <row r="13087" spans="2:2">
      <c r="B13087" s="36"/>
    </row>
    <row r="13088" spans="2:2">
      <c r="B13088" s="36"/>
    </row>
    <row r="13089" spans="2:2">
      <c r="B13089" s="36"/>
    </row>
    <row r="13090" spans="2:2">
      <c r="B13090" s="36"/>
    </row>
    <row r="13091" spans="2:2">
      <c r="B13091" s="36"/>
    </row>
    <row r="13092" spans="2:2">
      <c r="B13092" s="36"/>
    </row>
    <row r="13093" spans="2:2">
      <c r="B13093" s="36"/>
    </row>
    <row r="13094" spans="2:2">
      <c r="B13094" s="36"/>
    </row>
    <row r="13095" spans="2:2">
      <c r="B13095" s="36"/>
    </row>
    <row r="13096" spans="2:2">
      <c r="B13096" s="36"/>
    </row>
    <row r="13097" spans="2:2">
      <c r="B13097" s="36"/>
    </row>
    <row r="13098" spans="2:2">
      <c r="B13098" s="36"/>
    </row>
    <row r="13099" spans="2:2">
      <c r="B13099" s="36"/>
    </row>
    <row r="13100" spans="2:2">
      <c r="B13100" s="36"/>
    </row>
    <row r="13101" spans="2:2">
      <c r="B13101" s="36"/>
    </row>
    <row r="13102" spans="2:2">
      <c r="B13102" s="36"/>
    </row>
    <row r="13103" spans="2:2">
      <c r="B13103" s="36"/>
    </row>
    <row r="13104" spans="2:2">
      <c r="B13104" s="36"/>
    </row>
    <row r="13105" spans="2:2">
      <c r="B13105" s="36"/>
    </row>
    <row r="13106" spans="2:2">
      <c r="B13106" s="36"/>
    </row>
    <row r="13107" spans="2:2">
      <c r="B13107" s="36"/>
    </row>
    <row r="13108" spans="2:2">
      <c r="B13108" s="36"/>
    </row>
    <row r="13109" spans="2:2">
      <c r="B13109" s="36"/>
    </row>
    <row r="13110" spans="2:2">
      <c r="B13110" s="36"/>
    </row>
    <row r="13111" spans="2:2">
      <c r="B13111" s="36"/>
    </row>
    <row r="13112" spans="2:2">
      <c r="B13112" s="36"/>
    </row>
    <row r="13113" spans="2:2">
      <c r="B13113" s="36"/>
    </row>
    <row r="13114" spans="2:2">
      <c r="B13114" s="36"/>
    </row>
    <row r="13115" spans="2:2">
      <c r="B13115" s="36"/>
    </row>
    <row r="13116" spans="2:2">
      <c r="B13116" s="36"/>
    </row>
    <row r="13117" spans="2:2">
      <c r="B13117" s="36"/>
    </row>
    <row r="13118" spans="2:2">
      <c r="B13118" s="36"/>
    </row>
    <row r="13119" spans="2:2">
      <c r="B13119" s="36"/>
    </row>
    <row r="13120" spans="2:2">
      <c r="B13120" s="36"/>
    </row>
    <row r="13121" spans="2:2">
      <c r="B13121" s="36"/>
    </row>
    <row r="13122" spans="2:2">
      <c r="B13122" s="36"/>
    </row>
    <row r="13123" spans="2:2">
      <c r="B13123" s="36"/>
    </row>
    <row r="13124" spans="2:2">
      <c r="B13124" s="36"/>
    </row>
    <row r="13125" spans="2:2">
      <c r="B13125" s="36"/>
    </row>
    <row r="13126" spans="2:2">
      <c r="B13126" s="36"/>
    </row>
    <row r="13127" spans="2:2">
      <c r="B13127" s="36"/>
    </row>
    <row r="13128" spans="2:2">
      <c r="B13128" s="36"/>
    </row>
    <row r="13129" spans="2:2">
      <c r="B13129" s="36"/>
    </row>
    <row r="13130" spans="2:2">
      <c r="B13130" s="36"/>
    </row>
    <row r="13131" spans="2:2">
      <c r="B13131" s="36"/>
    </row>
    <row r="13132" spans="2:2">
      <c r="B13132" s="36"/>
    </row>
    <row r="13133" spans="2:2">
      <c r="B13133" s="36"/>
    </row>
    <row r="13134" spans="2:2">
      <c r="B13134" s="36"/>
    </row>
    <row r="13135" spans="2:2">
      <c r="B13135" s="36"/>
    </row>
    <row r="13136" spans="2:2">
      <c r="B13136" s="36"/>
    </row>
    <row r="13137" spans="2:2">
      <c r="B13137" s="36"/>
    </row>
    <row r="13138" spans="2:2">
      <c r="B13138" s="36"/>
    </row>
    <row r="13139" spans="2:2">
      <c r="B13139" s="36"/>
    </row>
    <row r="13140" spans="2:2">
      <c r="B13140" s="36"/>
    </row>
    <row r="13141" spans="2:2">
      <c r="B13141" s="36"/>
    </row>
    <row r="13142" spans="2:2">
      <c r="B13142" s="36"/>
    </row>
    <row r="13143" spans="2:2">
      <c r="B13143" s="36"/>
    </row>
    <row r="13144" spans="2:2">
      <c r="B13144" s="36"/>
    </row>
    <row r="13145" spans="2:2">
      <c r="B13145" s="36"/>
    </row>
    <row r="13146" spans="2:2">
      <c r="B13146" s="36"/>
    </row>
    <row r="13147" spans="2:2">
      <c r="B13147" s="36"/>
    </row>
    <row r="13148" spans="2:2">
      <c r="B13148" s="36"/>
    </row>
    <row r="13149" spans="2:2">
      <c r="B13149" s="36"/>
    </row>
    <row r="13150" spans="2:2">
      <c r="B13150" s="36"/>
    </row>
    <row r="13151" spans="2:2">
      <c r="B13151" s="36"/>
    </row>
    <row r="13152" spans="2:2">
      <c r="B13152" s="36"/>
    </row>
    <row r="13153" spans="2:2">
      <c r="B13153" s="36"/>
    </row>
    <row r="13154" spans="2:2">
      <c r="B13154" s="36"/>
    </row>
    <row r="13155" spans="2:2">
      <c r="B13155" s="36"/>
    </row>
    <row r="13156" spans="2:2">
      <c r="B13156" s="36"/>
    </row>
    <row r="13157" spans="2:2">
      <c r="B13157" s="36"/>
    </row>
    <row r="13158" spans="2:2">
      <c r="B13158" s="36"/>
    </row>
    <row r="13159" spans="2:2">
      <c r="B13159" s="36"/>
    </row>
    <row r="13160" spans="2:2">
      <c r="B13160" s="36"/>
    </row>
    <row r="13161" spans="2:2">
      <c r="B13161" s="36"/>
    </row>
    <row r="13162" spans="2:2">
      <c r="B13162" s="36"/>
    </row>
    <row r="13163" spans="2:2">
      <c r="B13163" s="36"/>
    </row>
    <row r="13164" spans="2:2">
      <c r="B13164" s="36"/>
    </row>
    <row r="13165" spans="2:2">
      <c r="B13165" s="36"/>
    </row>
    <row r="13166" spans="2:2">
      <c r="B13166" s="36"/>
    </row>
    <row r="13167" spans="2:2">
      <c r="B13167" s="36"/>
    </row>
    <row r="13168" spans="2:2">
      <c r="B13168" s="36"/>
    </row>
    <row r="13169" spans="2:2">
      <c r="B13169" s="36"/>
    </row>
    <row r="13170" spans="2:2">
      <c r="B13170" s="36"/>
    </row>
    <row r="13171" spans="2:2">
      <c r="B13171" s="36"/>
    </row>
    <row r="13172" spans="2:2">
      <c r="B13172" s="36"/>
    </row>
    <row r="13173" spans="2:2">
      <c r="B13173" s="36"/>
    </row>
    <row r="13174" spans="2:2">
      <c r="B13174" s="36"/>
    </row>
    <row r="13175" spans="2:2">
      <c r="B13175" s="36"/>
    </row>
    <row r="13176" spans="2:2">
      <c r="B13176" s="36"/>
    </row>
    <row r="13177" spans="2:2">
      <c r="B13177" s="36"/>
    </row>
    <row r="13178" spans="2:2">
      <c r="B13178" s="36"/>
    </row>
    <row r="13179" spans="2:2">
      <c r="B13179" s="36"/>
    </row>
    <row r="13180" spans="2:2">
      <c r="B13180" s="36"/>
    </row>
    <row r="13181" spans="2:2">
      <c r="B13181" s="36"/>
    </row>
    <row r="13182" spans="2:2">
      <c r="B13182" s="36"/>
    </row>
    <row r="13183" spans="2:2">
      <c r="B13183" s="36"/>
    </row>
    <row r="13184" spans="2:2">
      <c r="B13184" s="36"/>
    </row>
    <row r="13185" spans="2:2">
      <c r="B13185" s="36"/>
    </row>
    <row r="13186" spans="2:2">
      <c r="B13186" s="36"/>
    </row>
    <row r="13187" spans="2:2">
      <c r="B13187" s="36"/>
    </row>
    <row r="13188" spans="2:2">
      <c r="B13188" s="36"/>
    </row>
    <row r="13189" spans="2:2">
      <c r="B13189" s="36"/>
    </row>
    <row r="13190" spans="2:2">
      <c r="B13190" s="36"/>
    </row>
    <row r="13191" spans="2:2">
      <c r="B13191" s="36"/>
    </row>
    <row r="13192" spans="2:2">
      <c r="B13192" s="36"/>
    </row>
    <row r="13193" spans="2:2">
      <c r="B13193" s="36"/>
    </row>
    <row r="13194" spans="2:2">
      <c r="B13194" s="36"/>
    </row>
    <row r="13195" spans="2:2">
      <c r="B13195" s="36"/>
    </row>
    <row r="13196" spans="2:2">
      <c r="B13196" s="36"/>
    </row>
    <row r="13197" spans="2:2">
      <c r="B13197" s="36"/>
    </row>
    <row r="13198" spans="2:2">
      <c r="B13198" s="36"/>
    </row>
    <row r="13199" spans="2:2">
      <c r="B13199" s="36"/>
    </row>
    <row r="13200" spans="2:2">
      <c r="B13200" s="36"/>
    </row>
    <row r="13201" spans="2:2">
      <c r="B13201" s="36"/>
    </row>
    <row r="13202" spans="2:2">
      <c r="B13202" s="36"/>
    </row>
    <row r="13203" spans="2:2">
      <c r="B13203" s="36"/>
    </row>
    <row r="13204" spans="2:2">
      <c r="B13204" s="36"/>
    </row>
    <row r="13205" spans="2:2">
      <c r="B13205" s="36"/>
    </row>
    <row r="13206" spans="2:2">
      <c r="B13206" s="36"/>
    </row>
    <row r="13207" spans="2:2">
      <c r="B13207" s="36"/>
    </row>
    <row r="13208" spans="2:2">
      <c r="B13208" s="36"/>
    </row>
    <row r="13209" spans="2:2">
      <c r="B13209" s="36"/>
    </row>
    <row r="13210" spans="2:2">
      <c r="B13210" s="36"/>
    </row>
    <row r="13211" spans="2:2">
      <c r="B13211" s="36"/>
    </row>
    <row r="13212" spans="2:2">
      <c r="B13212" s="36"/>
    </row>
    <row r="13213" spans="2:2">
      <c r="B13213" s="36"/>
    </row>
    <row r="13214" spans="2:2">
      <c r="B13214" s="36"/>
    </row>
    <row r="13215" spans="2:2">
      <c r="B13215" s="36"/>
    </row>
    <row r="13216" spans="2:2">
      <c r="B13216" s="36"/>
    </row>
    <row r="13217" spans="2:2">
      <c r="B13217" s="36"/>
    </row>
    <row r="13218" spans="2:2">
      <c r="B13218" s="36"/>
    </row>
    <row r="13219" spans="2:2">
      <c r="B13219" s="36"/>
    </row>
    <row r="13220" spans="2:2">
      <c r="B13220" s="36"/>
    </row>
    <row r="13221" spans="2:2">
      <c r="B13221" s="36"/>
    </row>
    <row r="13222" spans="2:2">
      <c r="B13222" s="36"/>
    </row>
    <row r="13223" spans="2:2">
      <c r="B13223" s="36"/>
    </row>
    <row r="13224" spans="2:2">
      <c r="B13224" s="36"/>
    </row>
    <row r="13225" spans="2:2">
      <c r="B13225" s="36"/>
    </row>
    <row r="13226" spans="2:2">
      <c r="B13226" s="36"/>
    </row>
    <row r="13227" spans="2:2">
      <c r="B13227" s="36"/>
    </row>
    <row r="13228" spans="2:2">
      <c r="B13228" s="36"/>
    </row>
    <row r="13229" spans="2:2">
      <c r="B13229" s="36"/>
    </row>
    <row r="13230" spans="2:2">
      <c r="B13230" s="36"/>
    </row>
    <row r="13231" spans="2:2">
      <c r="B13231" s="36"/>
    </row>
    <row r="13232" spans="2:2">
      <c r="B13232" s="36"/>
    </row>
    <row r="13233" spans="2:2">
      <c r="B13233" s="36"/>
    </row>
    <row r="13234" spans="2:2">
      <c r="B13234" s="36"/>
    </row>
    <row r="13235" spans="2:2">
      <c r="B13235" s="36"/>
    </row>
    <row r="13236" spans="2:2">
      <c r="B13236" s="36"/>
    </row>
    <row r="13237" spans="2:2">
      <c r="B13237" s="36"/>
    </row>
    <row r="13238" spans="2:2">
      <c r="B13238" s="36"/>
    </row>
    <row r="13239" spans="2:2">
      <c r="B13239" s="36"/>
    </row>
    <row r="13240" spans="2:2">
      <c r="B13240" s="36"/>
    </row>
    <row r="13241" spans="2:2">
      <c r="B13241" s="36"/>
    </row>
    <row r="13242" spans="2:2">
      <c r="B13242" s="36"/>
    </row>
    <row r="13243" spans="2:2">
      <c r="B13243" s="36"/>
    </row>
    <row r="13244" spans="2:2">
      <c r="B13244" s="36"/>
    </row>
    <row r="13245" spans="2:2">
      <c r="B13245" s="36"/>
    </row>
    <row r="13246" spans="2:2">
      <c r="B13246" s="36"/>
    </row>
    <row r="13247" spans="2:2">
      <c r="B13247" s="36"/>
    </row>
    <row r="13248" spans="2:2">
      <c r="B13248" s="36"/>
    </row>
    <row r="13249" spans="2:2">
      <c r="B13249" s="36"/>
    </row>
    <row r="13250" spans="2:2">
      <c r="B13250" s="36"/>
    </row>
    <row r="13251" spans="2:2">
      <c r="B13251" s="36"/>
    </row>
    <row r="13252" spans="2:2">
      <c r="B13252" s="36"/>
    </row>
    <row r="13253" spans="2:2">
      <c r="B13253" s="36"/>
    </row>
    <row r="13254" spans="2:2">
      <c r="B13254" s="36"/>
    </row>
    <row r="13255" spans="2:2">
      <c r="B13255" s="36"/>
    </row>
    <row r="13256" spans="2:2">
      <c r="B13256" s="36"/>
    </row>
    <row r="13257" spans="2:2">
      <c r="B13257" s="36"/>
    </row>
    <row r="13258" spans="2:2">
      <c r="B13258" s="36"/>
    </row>
    <row r="13259" spans="2:2">
      <c r="B13259" s="36"/>
    </row>
    <row r="13260" spans="2:2">
      <c r="B13260" s="36"/>
    </row>
    <row r="13261" spans="2:2">
      <c r="B13261" s="36"/>
    </row>
    <row r="13262" spans="2:2">
      <c r="B13262" s="36"/>
    </row>
    <row r="13263" spans="2:2">
      <c r="B13263" s="36"/>
    </row>
    <row r="13264" spans="2:2">
      <c r="B13264" s="36"/>
    </row>
    <row r="13265" spans="2:2">
      <c r="B13265" s="36"/>
    </row>
    <row r="13266" spans="2:2">
      <c r="B13266" s="36"/>
    </row>
    <row r="13267" spans="2:2">
      <c r="B13267" s="36"/>
    </row>
    <row r="13268" spans="2:2">
      <c r="B13268" s="36"/>
    </row>
    <row r="13269" spans="2:2">
      <c r="B13269" s="36"/>
    </row>
    <row r="13270" spans="2:2">
      <c r="B13270" s="36"/>
    </row>
    <row r="13271" spans="2:2">
      <c r="B13271" s="36"/>
    </row>
    <row r="13272" spans="2:2">
      <c r="B13272" s="36"/>
    </row>
    <row r="13273" spans="2:2">
      <c r="B13273" s="36"/>
    </row>
    <row r="13274" spans="2:2">
      <c r="B13274" s="36"/>
    </row>
    <row r="13275" spans="2:2">
      <c r="B13275" s="36"/>
    </row>
    <row r="13276" spans="2:2">
      <c r="B13276" s="36"/>
    </row>
    <row r="13277" spans="2:2">
      <c r="B13277" s="36"/>
    </row>
    <row r="13278" spans="2:2">
      <c r="B13278" s="36"/>
    </row>
    <row r="13279" spans="2:2">
      <c r="B13279" s="36"/>
    </row>
    <row r="13280" spans="2:2">
      <c r="B13280" s="36"/>
    </row>
    <row r="13281" spans="2:2">
      <c r="B13281" s="36"/>
    </row>
    <row r="13282" spans="2:2">
      <c r="B13282" s="36"/>
    </row>
    <row r="13283" spans="2:2">
      <c r="B13283" s="36"/>
    </row>
    <row r="13284" spans="2:2">
      <c r="B13284" s="36"/>
    </row>
    <row r="13285" spans="2:2">
      <c r="B13285" s="36"/>
    </row>
    <row r="13286" spans="2:2">
      <c r="B13286" s="36"/>
    </row>
    <row r="13287" spans="2:2">
      <c r="B13287" s="36"/>
    </row>
    <row r="13288" spans="2:2">
      <c r="B13288" s="36"/>
    </row>
    <row r="13289" spans="2:2">
      <c r="B13289" s="36"/>
    </row>
    <row r="13290" spans="2:2">
      <c r="B13290" s="36"/>
    </row>
    <row r="13291" spans="2:2">
      <c r="B13291" s="36"/>
    </row>
    <row r="13292" spans="2:2">
      <c r="B13292" s="36"/>
    </row>
    <row r="13293" spans="2:2">
      <c r="B13293" s="36"/>
    </row>
    <row r="13294" spans="2:2">
      <c r="B13294" s="36"/>
    </row>
    <row r="13295" spans="2:2">
      <c r="B13295" s="36"/>
    </row>
    <row r="13296" spans="2:2">
      <c r="B13296" s="36"/>
    </row>
    <row r="13297" spans="2:2">
      <c r="B13297" s="36"/>
    </row>
    <row r="13298" spans="2:2">
      <c r="B13298" s="36"/>
    </row>
    <row r="13299" spans="2:2">
      <c r="B13299" s="36"/>
    </row>
    <row r="13300" spans="2:2">
      <c r="B13300" s="36"/>
    </row>
    <row r="13301" spans="2:2">
      <c r="B13301" s="36"/>
    </row>
    <row r="13302" spans="2:2">
      <c r="B13302" s="36"/>
    </row>
    <row r="13303" spans="2:2">
      <c r="B13303" s="36"/>
    </row>
    <row r="13304" spans="2:2">
      <c r="B13304" s="36"/>
    </row>
    <row r="13305" spans="2:2">
      <c r="B13305" s="36"/>
    </row>
    <row r="13306" spans="2:2">
      <c r="B13306" s="36"/>
    </row>
    <row r="13307" spans="2:2">
      <c r="B13307" s="36"/>
    </row>
    <row r="13308" spans="2:2">
      <c r="B13308" s="36"/>
    </row>
    <row r="13309" spans="2:2">
      <c r="B13309" s="36"/>
    </row>
    <row r="13310" spans="2:2">
      <c r="B13310" s="36"/>
    </row>
    <row r="13311" spans="2:2">
      <c r="B13311" s="36"/>
    </row>
    <row r="13312" spans="2:2">
      <c r="B13312" s="36"/>
    </row>
    <row r="13313" spans="2:2">
      <c r="B13313" s="36"/>
    </row>
    <row r="13314" spans="2:2">
      <c r="B13314" s="36"/>
    </row>
    <row r="13315" spans="2:2">
      <c r="B13315" s="36"/>
    </row>
    <row r="13316" spans="2:2">
      <c r="B13316" s="36"/>
    </row>
    <row r="13317" spans="2:2">
      <c r="B13317" s="36"/>
    </row>
    <row r="13318" spans="2:2">
      <c r="B13318" s="36"/>
    </row>
    <row r="13319" spans="2:2">
      <c r="B13319" s="36"/>
    </row>
    <row r="13320" spans="2:2">
      <c r="B13320" s="36"/>
    </row>
    <row r="13321" spans="2:2">
      <c r="B13321" s="36"/>
    </row>
    <row r="13322" spans="2:2">
      <c r="B13322" s="36"/>
    </row>
    <row r="13323" spans="2:2">
      <c r="B13323" s="36"/>
    </row>
    <row r="13324" spans="2:2">
      <c r="B13324" s="36"/>
    </row>
    <row r="13325" spans="2:2">
      <c r="B13325" s="36"/>
    </row>
    <row r="13326" spans="2:2">
      <c r="B13326" s="36"/>
    </row>
    <row r="13327" spans="2:2">
      <c r="B13327" s="36"/>
    </row>
    <row r="13328" spans="2:2">
      <c r="B13328" s="36"/>
    </row>
    <row r="13329" spans="2:2">
      <c r="B13329" s="36"/>
    </row>
    <row r="13330" spans="2:2">
      <c r="B13330" s="36"/>
    </row>
    <row r="13331" spans="2:2">
      <c r="B13331" s="36"/>
    </row>
    <row r="13332" spans="2:2">
      <c r="B13332" s="36"/>
    </row>
    <row r="13333" spans="2:2">
      <c r="B13333" s="36"/>
    </row>
    <row r="13334" spans="2:2">
      <c r="B13334" s="36"/>
    </row>
    <row r="13335" spans="2:2">
      <c r="B13335" s="36"/>
    </row>
    <row r="13336" spans="2:2">
      <c r="B13336" s="36"/>
    </row>
    <row r="13337" spans="2:2">
      <c r="B13337" s="36"/>
    </row>
    <row r="13338" spans="2:2">
      <c r="B13338" s="36"/>
    </row>
    <row r="13339" spans="2:2">
      <c r="B13339" s="36"/>
    </row>
    <row r="13340" spans="2:2">
      <c r="B13340" s="36"/>
    </row>
    <row r="13341" spans="2:2">
      <c r="B13341" s="36"/>
    </row>
    <row r="13342" spans="2:2">
      <c r="B13342" s="36"/>
    </row>
    <row r="13343" spans="2:2">
      <c r="B13343" s="36"/>
    </row>
    <row r="13344" spans="2:2">
      <c r="B13344" s="36"/>
    </row>
    <row r="13345" spans="2:2">
      <c r="B13345" s="36"/>
    </row>
    <row r="13346" spans="2:2">
      <c r="B13346" s="36"/>
    </row>
    <row r="13347" spans="2:2">
      <c r="B13347" s="36"/>
    </row>
    <row r="13348" spans="2:2">
      <c r="B13348" s="36"/>
    </row>
    <row r="13349" spans="2:2">
      <c r="B13349" s="36"/>
    </row>
    <row r="13350" spans="2:2">
      <c r="B13350" s="36"/>
    </row>
    <row r="13351" spans="2:2">
      <c r="B13351" s="36"/>
    </row>
    <row r="13352" spans="2:2">
      <c r="B13352" s="36"/>
    </row>
    <row r="13353" spans="2:2">
      <c r="B13353" s="36"/>
    </row>
    <row r="13354" spans="2:2">
      <c r="B13354" s="36"/>
    </row>
    <row r="13355" spans="2:2">
      <c r="B13355" s="36"/>
    </row>
    <row r="13356" spans="2:2">
      <c r="B13356" s="36"/>
    </row>
    <row r="13357" spans="2:2">
      <c r="B13357" s="36"/>
    </row>
    <row r="13358" spans="2:2">
      <c r="B13358" s="36"/>
    </row>
    <row r="13359" spans="2:2">
      <c r="B13359" s="36"/>
    </row>
    <row r="13360" spans="2:2">
      <c r="B13360" s="36"/>
    </row>
    <row r="13361" spans="2:2">
      <c r="B13361" s="36"/>
    </row>
    <row r="13362" spans="2:2">
      <c r="B13362" s="36"/>
    </row>
    <row r="13363" spans="2:2">
      <c r="B13363" s="36"/>
    </row>
    <row r="13364" spans="2:2">
      <c r="B13364" s="36"/>
    </row>
    <row r="13365" spans="2:2">
      <c r="B13365" s="36"/>
    </row>
    <row r="13366" spans="2:2">
      <c r="B13366" s="36"/>
    </row>
    <row r="13367" spans="2:2">
      <c r="B13367" s="36"/>
    </row>
    <row r="13368" spans="2:2">
      <c r="B13368" s="36"/>
    </row>
    <row r="13369" spans="2:2">
      <c r="B13369" s="36"/>
    </row>
    <row r="13370" spans="2:2">
      <c r="B13370" s="36"/>
    </row>
    <row r="13371" spans="2:2">
      <c r="B13371" s="36"/>
    </row>
    <row r="13372" spans="2:2">
      <c r="B13372" s="36"/>
    </row>
    <row r="13373" spans="2:2">
      <c r="B13373" s="36"/>
    </row>
    <row r="13374" spans="2:2">
      <c r="B13374" s="36"/>
    </row>
    <row r="13375" spans="2:2">
      <c r="B13375" s="36"/>
    </row>
    <row r="13376" spans="2:2">
      <c r="B13376" s="36"/>
    </row>
    <row r="13377" spans="2:2">
      <c r="B13377" s="36"/>
    </row>
    <row r="13378" spans="2:2">
      <c r="B13378" s="36"/>
    </row>
    <row r="13379" spans="2:2">
      <c r="B13379" s="36"/>
    </row>
    <row r="13380" spans="2:2">
      <c r="B13380" s="36"/>
    </row>
    <row r="13381" spans="2:2">
      <c r="B13381" s="36"/>
    </row>
    <row r="13382" spans="2:2">
      <c r="B13382" s="36"/>
    </row>
    <row r="13383" spans="2:2">
      <c r="B13383" s="36"/>
    </row>
    <row r="13384" spans="2:2">
      <c r="B13384" s="36"/>
    </row>
    <row r="13385" spans="2:2">
      <c r="B13385" s="36"/>
    </row>
    <row r="13386" spans="2:2">
      <c r="B13386" s="36"/>
    </row>
    <row r="13387" spans="2:2">
      <c r="B13387" s="36"/>
    </row>
    <row r="13388" spans="2:2">
      <c r="B13388" s="36"/>
    </row>
    <row r="13389" spans="2:2">
      <c r="B13389" s="36"/>
    </row>
    <row r="13390" spans="2:2">
      <c r="B13390" s="36"/>
    </row>
    <row r="13391" spans="2:2">
      <c r="B13391" s="36"/>
    </row>
    <row r="13392" spans="2:2">
      <c r="B13392" s="36"/>
    </row>
    <row r="13393" spans="2:2">
      <c r="B13393" s="36"/>
    </row>
    <row r="13394" spans="2:2">
      <c r="B13394" s="36"/>
    </row>
    <row r="13395" spans="2:2">
      <c r="B13395" s="36"/>
    </row>
    <row r="13396" spans="2:2">
      <c r="B13396" s="36"/>
    </row>
    <row r="13397" spans="2:2">
      <c r="B13397" s="36"/>
    </row>
    <row r="13398" spans="2:2">
      <c r="B13398" s="36"/>
    </row>
    <row r="13399" spans="2:2">
      <c r="B13399" s="36"/>
    </row>
    <row r="13400" spans="2:2">
      <c r="B13400" s="36"/>
    </row>
    <row r="13401" spans="2:2">
      <c r="B13401" s="36"/>
    </row>
    <row r="13402" spans="2:2">
      <c r="B13402" s="36"/>
    </row>
    <row r="13403" spans="2:2">
      <c r="B13403" s="36"/>
    </row>
    <row r="13404" spans="2:2">
      <c r="B13404" s="36"/>
    </row>
    <row r="13405" spans="2:2">
      <c r="B13405" s="36"/>
    </row>
    <row r="13406" spans="2:2">
      <c r="B13406" s="36"/>
    </row>
    <row r="13407" spans="2:2">
      <c r="B13407" s="36"/>
    </row>
    <row r="13408" spans="2:2">
      <c r="B13408" s="36"/>
    </row>
    <row r="13409" spans="2:2">
      <c r="B13409" s="36"/>
    </row>
    <row r="13410" spans="2:2">
      <c r="B13410" s="36"/>
    </row>
    <row r="13411" spans="2:2">
      <c r="B13411" s="36"/>
    </row>
    <row r="13412" spans="2:2">
      <c r="B13412" s="36"/>
    </row>
    <row r="13413" spans="2:2">
      <c r="B13413" s="36"/>
    </row>
    <row r="13414" spans="2:2">
      <c r="B13414" s="36"/>
    </row>
    <row r="13415" spans="2:2">
      <c r="B13415" s="36"/>
    </row>
    <row r="13416" spans="2:2">
      <c r="B13416" s="36"/>
    </row>
    <row r="13417" spans="2:2">
      <c r="B13417" s="36"/>
    </row>
    <row r="13418" spans="2:2">
      <c r="B13418" s="36"/>
    </row>
    <row r="13419" spans="2:2">
      <c r="B13419" s="36"/>
    </row>
    <row r="13420" spans="2:2">
      <c r="B13420" s="36"/>
    </row>
    <row r="13421" spans="2:2">
      <c r="B13421" s="36"/>
    </row>
    <row r="13422" spans="2:2">
      <c r="B13422" s="36"/>
    </row>
    <row r="13423" spans="2:2">
      <c r="B13423" s="36"/>
    </row>
    <row r="13424" spans="2:2">
      <c r="B13424" s="36"/>
    </row>
    <row r="13425" spans="2:2">
      <c r="B13425" s="36"/>
    </row>
    <row r="13426" spans="2:2">
      <c r="B13426" s="36"/>
    </row>
    <row r="13427" spans="2:2">
      <c r="B13427" s="36"/>
    </row>
    <row r="13428" spans="2:2">
      <c r="B13428" s="36"/>
    </row>
    <row r="13429" spans="2:2">
      <c r="B13429" s="36"/>
    </row>
    <row r="13430" spans="2:2">
      <c r="B13430" s="36"/>
    </row>
    <row r="13431" spans="2:2">
      <c r="B13431" s="36"/>
    </row>
    <row r="13432" spans="2:2">
      <c r="B13432" s="36"/>
    </row>
    <row r="13433" spans="2:2">
      <c r="B13433" s="36"/>
    </row>
    <row r="13434" spans="2:2">
      <c r="B13434" s="36"/>
    </row>
    <row r="13435" spans="2:2">
      <c r="B13435" s="36"/>
    </row>
    <row r="13436" spans="2:2">
      <c r="B13436" s="36"/>
    </row>
    <row r="13437" spans="2:2">
      <c r="B13437" s="36"/>
    </row>
    <row r="13438" spans="2:2">
      <c r="B13438" s="36"/>
    </row>
    <row r="13439" spans="2:2">
      <c r="B13439" s="36"/>
    </row>
    <row r="13440" spans="2:2">
      <c r="B13440" s="36"/>
    </row>
    <row r="13441" spans="2:2">
      <c r="B13441" s="36"/>
    </row>
    <row r="13442" spans="2:2">
      <c r="B13442" s="36"/>
    </row>
    <row r="13443" spans="2:2">
      <c r="B13443" s="36"/>
    </row>
    <row r="13444" spans="2:2">
      <c r="B13444" s="36"/>
    </row>
    <row r="13445" spans="2:2">
      <c r="B13445" s="36"/>
    </row>
    <row r="13446" spans="2:2">
      <c r="B13446" s="36"/>
    </row>
    <row r="13447" spans="2:2">
      <c r="B13447" s="36"/>
    </row>
    <row r="13448" spans="2:2">
      <c r="B13448" s="36"/>
    </row>
    <row r="13449" spans="2:2">
      <c r="B13449" s="36"/>
    </row>
    <row r="13450" spans="2:2">
      <c r="B13450" s="36"/>
    </row>
    <row r="13451" spans="2:2">
      <c r="B13451" s="36"/>
    </row>
    <row r="13452" spans="2:2">
      <c r="B13452" s="36"/>
    </row>
    <row r="13453" spans="2:2">
      <c r="B13453" s="36"/>
    </row>
    <row r="13454" spans="2:2">
      <c r="B13454" s="36"/>
    </row>
    <row r="13455" spans="2:2">
      <c r="B13455" s="36"/>
    </row>
    <row r="13456" spans="2:2">
      <c r="B13456" s="36"/>
    </row>
    <row r="13457" spans="2:2">
      <c r="B13457" s="36"/>
    </row>
    <row r="13458" spans="2:2">
      <c r="B13458" s="36"/>
    </row>
    <row r="13459" spans="2:2">
      <c r="B13459" s="36"/>
    </row>
    <row r="13460" spans="2:2">
      <c r="B13460" s="36"/>
    </row>
    <row r="13461" spans="2:2">
      <c r="B13461" s="36"/>
    </row>
    <row r="13462" spans="2:2">
      <c r="B13462" s="36"/>
    </row>
    <row r="13463" spans="2:2">
      <c r="B13463" s="36"/>
    </row>
    <row r="13464" spans="2:2">
      <c r="B13464" s="36"/>
    </row>
    <row r="13465" spans="2:2">
      <c r="B13465" s="36"/>
    </row>
    <row r="13466" spans="2:2">
      <c r="B13466" s="36"/>
    </row>
    <row r="13467" spans="2:2">
      <c r="B13467" s="36"/>
    </row>
    <row r="13468" spans="2:2">
      <c r="B13468" s="36"/>
    </row>
    <row r="13469" spans="2:2">
      <c r="B13469" s="36"/>
    </row>
    <row r="13470" spans="2:2">
      <c r="B13470" s="36"/>
    </row>
    <row r="13471" spans="2:2">
      <c r="B13471" s="36"/>
    </row>
    <row r="13472" spans="2:2">
      <c r="B13472" s="36"/>
    </row>
    <row r="13473" spans="2:2">
      <c r="B13473" s="36"/>
    </row>
    <row r="13474" spans="2:2">
      <c r="B13474" s="36"/>
    </row>
    <row r="13475" spans="2:2">
      <c r="B13475" s="36"/>
    </row>
    <row r="13476" spans="2:2">
      <c r="B13476" s="36"/>
    </row>
    <row r="13477" spans="2:2">
      <c r="B13477" s="36"/>
    </row>
    <row r="13478" spans="2:2">
      <c r="B13478" s="36"/>
    </row>
    <row r="13479" spans="2:2">
      <c r="B13479" s="36"/>
    </row>
    <row r="13480" spans="2:2">
      <c r="B13480" s="36"/>
    </row>
    <row r="13481" spans="2:2">
      <c r="B13481" s="36"/>
    </row>
    <row r="13482" spans="2:2">
      <c r="B13482" s="36"/>
    </row>
    <row r="13483" spans="2:2">
      <c r="B13483" s="36"/>
    </row>
    <row r="13484" spans="2:2">
      <c r="B13484" s="36"/>
    </row>
    <row r="13485" spans="2:2">
      <c r="B13485" s="36"/>
    </row>
    <row r="13486" spans="2:2">
      <c r="B13486" s="36"/>
    </row>
    <row r="13487" spans="2:2">
      <c r="B13487" s="36"/>
    </row>
    <row r="13488" spans="2:2">
      <c r="B13488" s="36"/>
    </row>
    <row r="13489" spans="2:2">
      <c r="B13489" s="36"/>
    </row>
    <row r="13490" spans="2:2">
      <c r="B13490" s="36"/>
    </row>
    <row r="13491" spans="2:2">
      <c r="B13491" s="36"/>
    </row>
    <row r="13492" spans="2:2">
      <c r="B13492" s="36"/>
    </row>
    <row r="13493" spans="2:2">
      <c r="B13493" s="36"/>
    </row>
    <row r="13494" spans="2:2">
      <c r="B13494" s="36"/>
    </row>
    <row r="13495" spans="2:2">
      <c r="B13495" s="36"/>
    </row>
    <row r="13496" spans="2:2">
      <c r="B13496" s="36"/>
    </row>
    <row r="13497" spans="2:2">
      <c r="B13497" s="36"/>
    </row>
    <row r="13498" spans="2:2">
      <c r="B13498" s="36"/>
    </row>
    <row r="13499" spans="2:2">
      <c r="B13499" s="36"/>
    </row>
    <row r="13500" spans="2:2">
      <c r="B13500" s="36"/>
    </row>
    <row r="13501" spans="2:2">
      <c r="B13501" s="36"/>
    </row>
    <row r="13502" spans="2:2">
      <c r="B13502" s="36"/>
    </row>
    <row r="13503" spans="2:2">
      <c r="B13503" s="36"/>
    </row>
    <row r="13504" spans="2:2">
      <c r="B13504" s="36"/>
    </row>
    <row r="13505" spans="2:2">
      <c r="B13505" s="36"/>
    </row>
    <row r="13506" spans="2:2">
      <c r="B13506" s="36"/>
    </row>
    <row r="13507" spans="2:2">
      <c r="B13507" s="36"/>
    </row>
    <row r="13508" spans="2:2">
      <c r="B13508" s="36"/>
    </row>
    <row r="13509" spans="2:2">
      <c r="B13509" s="36"/>
    </row>
    <row r="13510" spans="2:2">
      <c r="B13510" s="36"/>
    </row>
    <row r="13511" spans="2:2">
      <c r="B13511" s="36"/>
    </row>
    <row r="13512" spans="2:2">
      <c r="B13512" s="36"/>
    </row>
    <row r="13513" spans="2:2">
      <c r="B13513" s="36"/>
    </row>
    <row r="13514" spans="2:2">
      <c r="B13514" s="36"/>
    </row>
    <row r="13515" spans="2:2">
      <c r="B13515" s="36"/>
    </row>
    <row r="13516" spans="2:2">
      <c r="B13516" s="36"/>
    </row>
    <row r="13517" spans="2:2">
      <c r="B13517" s="36"/>
    </row>
    <row r="13518" spans="2:2">
      <c r="B13518" s="36"/>
    </row>
    <row r="13519" spans="2:2">
      <c r="B13519" s="36"/>
    </row>
    <row r="13520" spans="2:2">
      <c r="B13520" s="36"/>
    </row>
    <row r="13521" spans="2:2">
      <c r="B13521" s="36"/>
    </row>
    <row r="13522" spans="2:2">
      <c r="B13522" s="36"/>
    </row>
    <row r="13523" spans="2:2">
      <c r="B13523" s="36"/>
    </row>
    <row r="13524" spans="2:2">
      <c r="B13524" s="36"/>
    </row>
    <row r="13525" spans="2:2">
      <c r="B13525" s="36"/>
    </row>
    <row r="13526" spans="2:2">
      <c r="B13526" s="36"/>
    </row>
    <row r="13527" spans="2:2">
      <c r="B13527" s="36"/>
    </row>
    <row r="13528" spans="2:2">
      <c r="B13528" s="36"/>
    </row>
    <row r="13529" spans="2:2">
      <c r="B13529" s="36"/>
    </row>
    <row r="13530" spans="2:2">
      <c r="B13530" s="36"/>
    </row>
    <row r="13531" spans="2:2">
      <c r="B13531" s="36"/>
    </row>
    <row r="13532" spans="2:2">
      <c r="B13532" s="36"/>
    </row>
    <row r="13533" spans="2:2">
      <c r="B13533" s="36"/>
    </row>
    <row r="13534" spans="2:2">
      <c r="B13534" s="36"/>
    </row>
    <row r="13535" spans="2:2">
      <c r="B13535" s="36"/>
    </row>
    <row r="13536" spans="2:2">
      <c r="B13536" s="36"/>
    </row>
    <row r="13537" spans="2:2">
      <c r="B13537" s="36"/>
    </row>
    <row r="13538" spans="2:2">
      <c r="B13538" s="36"/>
    </row>
    <row r="13539" spans="2:2">
      <c r="B13539" s="36"/>
    </row>
    <row r="13540" spans="2:2">
      <c r="B13540" s="36"/>
    </row>
    <row r="13541" spans="2:2">
      <c r="B13541" s="36"/>
    </row>
    <row r="13542" spans="2:2">
      <c r="B13542" s="36"/>
    </row>
    <row r="13543" spans="2:2">
      <c r="B13543" s="36"/>
    </row>
    <row r="13544" spans="2:2">
      <c r="B13544" s="36"/>
    </row>
    <row r="13545" spans="2:2">
      <c r="B13545" s="36"/>
    </row>
    <row r="13546" spans="2:2">
      <c r="B13546" s="36"/>
    </row>
    <row r="13547" spans="2:2">
      <c r="B13547" s="36"/>
    </row>
    <row r="13548" spans="2:2">
      <c r="B13548" s="36"/>
    </row>
    <row r="13549" spans="2:2">
      <c r="B13549" s="36"/>
    </row>
    <row r="13550" spans="2:2">
      <c r="B13550" s="36"/>
    </row>
    <row r="13551" spans="2:2">
      <c r="B13551" s="36"/>
    </row>
    <row r="13552" spans="2:2">
      <c r="B13552" s="36"/>
    </row>
    <row r="13553" spans="2:2">
      <c r="B13553" s="36"/>
    </row>
    <row r="13554" spans="2:2">
      <c r="B13554" s="36"/>
    </row>
    <row r="13555" spans="2:2">
      <c r="B13555" s="36"/>
    </row>
    <row r="13556" spans="2:2">
      <c r="B13556" s="36"/>
    </row>
    <row r="13557" spans="2:2">
      <c r="B13557" s="36"/>
    </row>
    <row r="13558" spans="2:2">
      <c r="B13558" s="36"/>
    </row>
    <row r="13559" spans="2:2">
      <c r="B13559" s="36"/>
    </row>
    <row r="13560" spans="2:2">
      <c r="B13560" s="36"/>
    </row>
    <row r="13561" spans="2:2">
      <c r="B13561" s="36"/>
    </row>
    <row r="13562" spans="2:2">
      <c r="B13562" s="36"/>
    </row>
    <row r="13563" spans="2:2">
      <c r="B13563" s="36"/>
    </row>
    <row r="13564" spans="2:2">
      <c r="B13564" s="36"/>
    </row>
    <row r="13565" spans="2:2">
      <c r="B13565" s="36"/>
    </row>
    <row r="13566" spans="2:2">
      <c r="B13566" s="36"/>
    </row>
    <row r="13567" spans="2:2">
      <c r="B13567" s="36"/>
    </row>
    <row r="13568" spans="2:2">
      <c r="B13568" s="36"/>
    </row>
    <row r="13569" spans="2:2">
      <c r="B13569" s="36"/>
    </row>
    <row r="13570" spans="2:2">
      <c r="B13570" s="36"/>
    </row>
    <row r="13571" spans="2:2">
      <c r="B13571" s="36"/>
    </row>
    <row r="13572" spans="2:2">
      <c r="B13572" s="36"/>
    </row>
    <row r="13573" spans="2:2">
      <c r="B13573" s="36"/>
    </row>
    <row r="13574" spans="2:2">
      <c r="B13574" s="36"/>
    </row>
    <row r="13575" spans="2:2">
      <c r="B13575" s="36"/>
    </row>
    <row r="13576" spans="2:2">
      <c r="B13576" s="36"/>
    </row>
    <row r="13577" spans="2:2">
      <c r="B13577" s="36"/>
    </row>
    <row r="13578" spans="2:2">
      <c r="B13578" s="36"/>
    </row>
    <row r="13579" spans="2:2">
      <c r="B13579" s="36"/>
    </row>
    <row r="13580" spans="2:2">
      <c r="B13580" s="36"/>
    </row>
    <row r="13581" spans="2:2">
      <c r="B13581" s="36"/>
    </row>
    <row r="13582" spans="2:2">
      <c r="B13582" s="36"/>
    </row>
    <row r="13583" spans="2:2">
      <c r="B13583" s="36"/>
    </row>
    <row r="13584" spans="2:2">
      <c r="B13584" s="36"/>
    </row>
    <row r="13585" spans="2:2">
      <c r="B13585" s="36"/>
    </row>
    <row r="13586" spans="2:2">
      <c r="B13586" s="36"/>
    </row>
    <row r="13587" spans="2:2">
      <c r="B13587" s="36"/>
    </row>
    <row r="13588" spans="2:2">
      <c r="B13588" s="36"/>
    </row>
    <row r="13589" spans="2:2">
      <c r="B13589" s="36"/>
    </row>
    <row r="13590" spans="2:2">
      <c r="B13590" s="36"/>
    </row>
    <row r="13591" spans="2:2">
      <c r="B13591" s="36"/>
    </row>
    <row r="13592" spans="2:2">
      <c r="B13592" s="36"/>
    </row>
    <row r="13593" spans="2:2">
      <c r="B13593" s="36"/>
    </row>
    <row r="13594" spans="2:2">
      <c r="B13594" s="36"/>
    </row>
    <row r="13595" spans="2:2">
      <c r="B13595" s="36"/>
    </row>
    <row r="13596" spans="2:2">
      <c r="B13596" s="36"/>
    </row>
    <row r="13597" spans="2:2">
      <c r="B13597" s="36"/>
    </row>
    <row r="13598" spans="2:2">
      <c r="B13598" s="36"/>
    </row>
    <row r="13599" spans="2:2">
      <c r="B13599" s="36"/>
    </row>
    <row r="13600" spans="2:2">
      <c r="B13600" s="36"/>
    </row>
    <row r="13601" spans="2:2">
      <c r="B13601" s="36"/>
    </row>
    <row r="13602" spans="2:2">
      <c r="B13602" s="36"/>
    </row>
    <row r="13603" spans="2:2">
      <c r="B13603" s="36"/>
    </row>
    <row r="13604" spans="2:2">
      <c r="B13604" s="36"/>
    </row>
    <row r="13605" spans="2:2">
      <c r="B13605" s="36"/>
    </row>
    <row r="13606" spans="2:2">
      <c r="B13606" s="36"/>
    </row>
    <row r="13607" spans="2:2">
      <c r="B13607" s="36"/>
    </row>
    <row r="13608" spans="2:2">
      <c r="B13608" s="36"/>
    </row>
    <row r="13609" spans="2:2">
      <c r="B13609" s="36"/>
    </row>
    <row r="13610" spans="2:2">
      <c r="B13610" s="36"/>
    </row>
    <row r="13611" spans="2:2">
      <c r="B13611" s="36"/>
    </row>
    <row r="13612" spans="2:2">
      <c r="B13612" s="36"/>
    </row>
    <row r="13613" spans="2:2">
      <c r="B13613" s="36"/>
    </row>
    <row r="13614" spans="2:2">
      <c r="B13614" s="36"/>
    </row>
    <row r="13615" spans="2:2">
      <c r="B13615" s="36"/>
    </row>
    <row r="13616" spans="2:2">
      <c r="B13616" s="36"/>
    </row>
    <row r="13617" spans="2:2">
      <c r="B13617" s="36"/>
    </row>
    <row r="13618" spans="2:2">
      <c r="B13618" s="36"/>
    </row>
    <row r="13619" spans="2:2">
      <c r="B13619" s="36"/>
    </row>
    <row r="13620" spans="2:2">
      <c r="B13620" s="36"/>
    </row>
    <row r="13621" spans="2:2">
      <c r="B13621" s="36"/>
    </row>
    <row r="13622" spans="2:2">
      <c r="B13622" s="36"/>
    </row>
    <row r="13623" spans="2:2">
      <c r="B13623" s="36"/>
    </row>
    <row r="13624" spans="2:2">
      <c r="B13624" s="36"/>
    </row>
    <row r="13625" spans="2:2">
      <c r="B13625" s="36"/>
    </row>
    <row r="13626" spans="2:2">
      <c r="B13626" s="36"/>
    </row>
    <row r="13627" spans="2:2">
      <c r="B13627" s="36"/>
    </row>
    <row r="13628" spans="2:2">
      <c r="B13628" s="36"/>
    </row>
    <row r="13629" spans="2:2">
      <c r="B13629" s="36"/>
    </row>
    <row r="13630" spans="2:2">
      <c r="B13630" s="36"/>
    </row>
    <row r="13631" spans="2:2">
      <c r="B13631" s="36"/>
    </row>
    <row r="13632" spans="2:2">
      <c r="B13632" s="36"/>
    </row>
    <row r="13633" spans="2:2">
      <c r="B13633" s="36"/>
    </row>
    <row r="13634" spans="2:2">
      <c r="B13634" s="36"/>
    </row>
    <row r="13635" spans="2:2">
      <c r="B13635" s="36"/>
    </row>
    <row r="13636" spans="2:2">
      <c r="B13636" s="36"/>
    </row>
    <row r="13637" spans="2:2">
      <c r="B13637" s="36"/>
    </row>
    <row r="13638" spans="2:2">
      <c r="B13638" s="36"/>
    </row>
    <row r="13639" spans="2:2">
      <c r="B13639" s="36"/>
    </row>
    <row r="13640" spans="2:2">
      <c r="B13640" s="36"/>
    </row>
    <row r="13641" spans="2:2">
      <c r="B13641" s="36"/>
    </row>
    <row r="13642" spans="2:2">
      <c r="B13642" s="36"/>
    </row>
    <row r="13643" spans="2:2">
      <c r="B13643" s="36"/>
    </row>
    <row r="13644" spans="2:2">
      <c r="B13644" s="36"/>
    </row>
    <row r="13645" spans="2:2">
      <c r="B13645" s="36"/>
    </row>
    <row r="13646" spans="2:2">
      <c r="B13646" s="36"/>
    </row>
    <row r="13647" spans="2:2">
      <c r="B13647" s="36"/>
    </row>
    <row r="13648" spans="2:2">
      <c r="B13648" s="36"/>
    </row>
    <row r="13649" spans="2:2">
      <c r="B13649" s="36"/>
    </row>
    <row r="13650" spans="2:2">
      <c r="B13650" s="36"/>
    </row>
    <row r="13651" spans="2:2">
      <c r="B13651" s="36"/>
    </row>
    <row r="13652" spans="2:2">
      <c r="B13652" s="36"/>
    </row>
    <row r="13653" spans="2:2">
      <c r="B13653" s="36"/>
    </row>
    <row r="13654" spans="2:2">
      <c r="B13654" s="36"/>
    </row>
    <row r="13655" spans="2:2">
      <c r="B13655" s="36"/>
    </row>
    <row r="13656" spans="2:2">
      <c r="B13656" s="36"/>
    </row>
    <row r="13657" spans="2:2">
      <c r="B13657" s="36"/>
    </row>
    <row r="13658" spans="2:2">
      <c r="B13658" s="36"/>
    </row>
    <row r="13659" spans="2:2">
      <c r="B13659" s="36"/>
    </row>
    <row r="13660" spans="2:2">
      <c r="B13660" s="36"/>
    </row>
    <row r="13661" spans="2:2">
      <c r="B13661" s="36"/>
    </row>
    <row r="13662" spans="2:2">
      <c r="B13662" s="36"/>
    </row>
    <row r="13663" spans="2:2">
      <c r="B13663" s="36"/>
    </row>
    <row r="13664" spans="2:2">
      <c r="B13664" s="36"/>
    </row>
    <row r="13665" spans="2:2">
      <c r="B13665" s="36"/>
    </row>
    <row r="13666" spans="2:2">
      <c r="B13666" s="36"/>
    </row>
    <row r="13667" spans="2:2">
      <c r="B13667" s="36"/>
    </row>
    <row r="13668" spans="2:2">
      <c r="B13668" s="36"/>
    </row>
    <row r="13669" spans="2:2">
      <c r="B13669" s="36"/>
    </row>
    <row r="13670" spans="2:2">
      <c r="B13670" s="36"/>
    </row>
    <row r="13671" spans="2:2">
      <c r="B13671" s="36"/>
    </row>
    <row r="13672" spans="2:2">
      <c r="B13672" s="36"/>
    </row>
    <row r="13673" spans="2:2">
      <c r="B13673" s="36"/>
    </row>
    <row r="13674" spans="2:2">
      <c r="B13674" s="36"/>
    </row>
    <row r="13675" spans="2:2">
      <c r="B13675" s="36"/>
    </row>
    <row r="13676" spans="2:2">
      <c r="B13676" s="36"/>
    </row>
    <row r="13677" spans="2:2">
      <c r="B13677" s="36"/>
    </row>
    <row r="13678" spans="2:2">
      <c r="B13678" s="36"/>
    </row>
    <row r="13679" spans="2:2">
      <c r="B13679" s="36"/>
    </row>
    <row r="13680" spans="2:2">
      <c r="B13680" s="36"/>
    </row>
    <row r="13681" spans="2:2">
      <c r="B13681" s="36"/>
    </row>
    <row r="13682" spans="2:2">
      <c r="B13682" s="36"/>
    </row>
    <row r="13683" spans="2:2">
      <c r="B13683" s="36"/>
    </row>
    <row r="13684" spans="2:2">
      <c r="B13684" s="36"/>
    </row>
    <row r="13685" spans="2:2">
      <c r="B13685" s="36"/>
    </row>
    <row r="13686" spans="2:2">
      <c r="B13686" s="36"/>
    </row>
    <row r="13687" spans="2:2">
      <c r="B13687" s="36"/>
    </row>
    <row r="13688" spans="2:2">
      <c r="B13688" s="36"/>
    </row>
    <row r="13689" spans="2:2">
      <c r="B13689" s="36"/>
    </row>
    <row r="13690" spans="2:2">
      <c r="B13690" s="36"/>
    </row>
    <row r="13691" spans="2:2">
      <c r="B13691" s="36"/>
    </row>
    <row r="13692" spans="2:2">
      <c r="B13692" s="36"/>
    </row>
    <row r="13693" spans="2:2">
      <c r="B13693" s="36"/>
    </row>
    <row r="13694" spans="2:2">
      <c r="B13694" s="36"/>
    </row>
    <row r="13695" spans="2:2">
      <c r="B13695" s="36"/>
    </row>
    <row r="13696" spans="2:2">
      <c r="B13696" s="36"/>
    </row>
    <row r="13697" spans="2:2">
      <c r="B13697" s="36"/>
    </row>
    <row r="13698" spans="2:2">
      <c r="B13698" s="36"/>
    </row>
    <row r="13699" spans="2:2">
      <c r="B13699" s="36"/>
    </row>
    <row r="13700" spans="2:2">
      <c r="B13700" s="36"/>
    </row>
    <row r="13701" spans="2:2">
      <c r="B13701" s="36"/>
    </row>
    <row r="13702" spans="2:2">
      <c r="B13702" s="36"/>
    </row>
    <row r="13703" spans="2:2">
      <c r="B13703" s="36"/>
    </row>
    <row r="13704" spans="2:2">
      <c r="B13704" s="36"/>
    </row>
    <row r="13705" spans="2:2">
      <c r="B13705" s="36"/>
    </row>
    <row r="13706" spans="2:2">
      <c r="B13706" s="36"/>
    </row>
    <row r="13707" spans="2:2">
      <c r="B13707" s="36"/>
    </row>
    <row r="13708" spans="2:2">
      <c r="B13708" s="36"/>
    </row>
    <row r="13709" spans="2:2">
      <c r="B13709" s="36"/>
    </row>
    <row r="13710" spans="2:2">
      <c r="B13710" s="36"/>
    </row>
    <row r="13711" spans="2:2">
      <c r="B13711" s="36"/>
    </row>
    <row r="13712" spans="2:2">
      <c r="B13712" s="36"/>
    </row>
    <row r="13713" spans="2:2">
      <c r="B13713" s="36"/>
    </row>
    <row r="13714" spans="2:2">
      <c r="B13714" s="36"/>
    </row>
    <row r="13715" spans="2:2">
      <c r="B13715" s="36"/>
    </row>
    <row r="13716" spans="2:2">
      <c r="B13716" s="36"/>
    </row>
    <row r="13717" spans="2:2">
      <c r="B13717" s="36"/>
    </row>
    <row r="13718" spans="2:2">
      <c r="B13718" s="36"/>
    </row>
    <row r="13719" spans="2:2">
      <c r="B13719" s="36"/>
    </row>
    <row r="13720" spans="2:2">
      <c r="B13720" s="36"/>
    </row>
    <row r="13721" spans="2:2">
      <c r="B13721" s="36"/>
    </row>
    <row r="13722" spans="2:2">
      <c r="B13722" s="36"/>
    </row>
    <row r="13723" spans="2:2">
      <c r="B13723" s="36"/>
    </row>
    <row r="13724" spans="2:2">
      <c r="B13724" s="36"/>
    </row>
    <row r="13725" spans="2:2">
      <c r="B13725" s="36"/>
    </row>
    <row r="13726" spans="2:2">
      <c r="B13726" s="36"/>
    </row>
    <row r="13727" spans="2:2">
      <c r="B13727" s="36"/>
    </row>
    <row r="13728" spans="2:2">
      <c r="B13728" s="36"/>
    </row>
    <row r="13729" spans="2:2">
      <c r="B13729" s="36"/>
    </row>
    <row r="13730" spans="2:2">
      <c r="B13730" s="36"/>
    </row>
    <row r="13731" spans="2:2">
      <c r="B13731" s="36"/>
    </row>
    <row r="13732" spans="2:2">
      <c r="B13732" s="36"/>
    </row>
    <row r="13733" spans="2:2">
      <c r="B13733" s="36"/>
    </row>
    <row r="13734" spans="2:2">
      <c r="B13734" s="36"/>
    </row>
    <row r="13735" spans="2:2">
      <c r="B13735" s="36"/>
    </row>
    <row r="13736" spans="2:2">
      <c r="B13736" s="36"/>
    </row>
    <row r="13737" spans="2:2">
      <c r="B13737" s="36"/>
    </row>
    <row r="13738" spans="2:2">
      <c r="B13738" s="36"/>
    </row>
    <row r="13739" spans="2:2">
      <c r="B13739" s="36"/>
    </row>
    <row r="13740" spans="2:2">
      <c r="B13740" s="36"/>
    </row>
    <row r="13741" spans="2:2">
      <c r="B13741" s="36"/>
    </row>
    <row r="13742" spans="2:2">
      <c r="B13742" s="36"/>
    </row>
    <row r="13743" spans="2:2">
      <c r="B13743" s="36"/>
    </row>
    <row r="13744" spans="2:2">
      <c r="B13744" s="36"/>
    </row>
    <row r="13745" spans="2:2">
      <c r="B13745" s="36"/>
    </row>
    <row r="13746" spans="2:2">
      <c r="B13746" s="36"/>
    </row>
    <row r="13747" spans="2:2">
      <c r="B13747" s="36"/>
    </row>
    <row r="13748" spans="2:2">
      <c r="B13748" s="36"/>
    </row>
    <row r="13749" spans="2:2">
      <c r="B13749" s="36"/>
    </row>
    <row r="13750" spans="2:2">
      <c r="B13750" s="36"/>
    </row>
    <row r="13751" spans="2:2">
      <c r="B13751" s="36"/>
    </row>
    <row r="13752" spans="2:2">
      <c r="B13752" s="36"/>
    </row>
    <row r="13753" spans="2:2">
      <c r="B13753" s="36"/>
    </row>
    <row r="13754" spans="2:2">
      <c r="B13754" s="36"/>
    </row>
    <row r="13755" spans="2:2">
      <c r="B13755" s="36"/>
    </row>
    <row r="13756" spans="2:2">
      <c r="B13756" s="36"/>
    </row>
    <row r="13757" spans="2:2">
      <c r="B13757" s="36"/>
    </row>
    <row r="13758" spans="2:2">
      <c r="B13758" s="36"/>
    </row>
    <row r="13759" spans="2:2">
      <c r="B13759" s="36"/>
    </row>
    <row r="13760" spans="2:2">
      <c r="B13760" s="36"/>
    </row>
    <row r="13761" spans="2:2">
      <c r="B13761" s="36"/>
    </row>
    <row r="13762" spans="2:2">
      <c r="B13762" s="36"/>
    </row>
    <row r="13763" spans="2:2">
      <c r="B13763" s="36"/>
    </row>
    <row r="13764" spans="2:2">
      <c r="B13764" s="36"/>
    </row>
    <row r="13765" spans="2:2">
      <c r="B13765" s="36"/>
    </row>
    <row r="13766" spans="2:2">
      <c r="B13766" s="36"/>
    </row>
    <row r="13767" spans="2:2">
      <c r="B13767" s="36"/>
    </row>
    <row r="13768" spans="2:2">
      <c r="B13768" s="36"/>
    </row>
    <row r="13769" spans="2:2">
      <c r="B13769" s="36"/>
    </row>
    <row r="13770" spans="2:2">
      <c r="B13770" s="36"/>
    </row>
    <row r="13771" spans="2:2">
      <c r="B13771" s="36"/>
    </row>
    <row r="13772" spans="2:2">
      <c r="B13772" s="36"/>
    </row>
    <row r="13773" spans="2:2">
      <c r="B13773" s="36"/>
    </row>
    <row r="13774" spans="2:2">
      <c r="B13774" s="36"/>
    </row>
    <row r="13775" spans="2:2">
      <c r="B13775" s="36"/>
    </row>
    <row r="13776" spans="2:2">
      <c r="B13776" s="36"/>
    </row>
    <row r="13777" spans="2:2">
      <c r="B13777" s="36"/>
    </row>
    <row r="13778" spans="2:2">
      <c r="B13778" s="36"/>
    </row>
    <row r="13779" spans="2:2">
      <c r="B13779" s="36"/>
    </row>
    <row r="13780" spans="2:2">
      <c r="B13780" s="36"/>
    </row>
    <row r="13781" spans="2:2">
      <c r="B13781" s="36"/>
    </row>
    <row r="13782" spans="2:2">
      <c r="B13782" s="36"/>
    </row>
    <row r="13783" spans="2:2">
      <c r="B13783" s="36"/>
    </row>
    <row r="13784" spans="2:2">
      <c r="B13784" s="36"/>
    </row>
    <row r="13785" spans="2:2">
      <c r="B13785" s="36"/>
    </row>
    <row r="13786" spans="2:2">
      <c r="B13786" s="36"/>
    </row>
    <row r="13787" spans="2:2">
      <c r="B13787" s="36"/>
    </row>
    <row r="13788" spans="2:2">
      <c r="B13788" s="36"/>
    </row>
    <row r="13789" spans="2:2">
      <c r="B13789" s="36"/>
    </row>
    <row r="13790" spans="2:2">
      <c r="B13790" s="36"/>
    </row>
    <row r="13791" spans="2:2">
      <c r="B13791" s="36"/>
    </row>
    <row r="13792" spans="2:2">
      <c r="B13792" s="36"/>
    </row>
    <row r="13793" spans="2:2">
      <c r="B13793" s="36"/>
    </row>
    <row r="13794" spans="2:2">
      <c r="B13794" s="36"/>
    </row>
    <row r="13795" spans="2:2">
      <c r="B13795" s="36"/>
    </row>
    <row r="13796" spans="2:2">
      <c r="B13796" s="36"/>
    </row>
    <row r="13797" spans="2:2">
      <c r="B13797" s="36"/>
    </row>
    <row r="13798" spans="2:2">
      <c r="B13798" s="36"/>
    </row>
    <row r="13799" spans="2:2">
      <c r="B13799" s="36"/>
    </row>
    <row r="13800" spans="2:2">
      <c r="B13800" s="36"/>
    </row>
    <row r="13801" spans="2:2">
      <c r="B13801" s="36"/>
    </row>
    <row r="13802" spans="2:2">
      <c r="B13802" s="36"/>
    </row>
    <row r="13803" spans="2:2">
      <c r="B13803" s="36"/>
    </row>
    <row r="13804" spans="2:2">
      <c r="B13804" s="36"/>
    </row>
    <row r="13805" spans="2:2">
      <c r="B13805" s="36"/>
    </row>
    <row r="13806" spans="2:2">
      <c r="B13806" s="36"/>
    </row>
    <row r="13807" spans="2:2">
      <c r="B13807" s="36"/>
    </row>
    <row r="13808" spans="2:2">
      <c r="B13808" s="36"/>
    </row>
    <row r="13809" spans="2:2">
      <c r="B13809" s="36"/>
    </row>
    <row r="13810" spans="2:2">
      <c r="B13810" s="36"/>
    </row>
    <row r="13811" spans="2:2">
      <c r="B13811" s="36"/>
    </row>
    <row r="13812" spans="2:2">
      <c r="B13812" s="36"/>
    </row>
    <row r="13813" spans="2:2">
      <c r="B13813" s="36"/>
    </row>
    <row r="13814" spans="2:2">
      <c r="B13814" s="36"/>
    </row>
    <row r="13815" spans="2:2">
      <c r="B13815" s="36"/>
    </row>
    <row r="13816" spans="2:2">
      <c r="B13816" s="36"/>
    </row>
    <row r="13817" spans="2:2">
      <c r="B13817" s="36"/>
    </row>
    <row r="13818" spans="2:2">
      <c r="B13818" s="36"/>
    </row>
    <row r="13819" spans="2:2">
      <c r="B13819" s="36"/>
    </row>
    <row r="13820" spans="2:2">
      <c r="B13820" s="36"/>
    </row>
    <row r="13821" spans="2:2">
      <c r="B13821" s="36"/>
    </row>
    <row r="13822" spans="2:2">
      <c r="B13822" s="36"/>
    </row>
    <row r="13823" spans="2:2">
      <c r="B13823" s="36"/>
    </row>
    <row r="13824" spans="2:2">
      <c r="B13824" s="36"/>
    </row>
    <row r="13825" spans="2:2">
      <c r="B13825" s="36"/>
    </row>
    <row r="13826" spans="2:2">
      <c r="B13826" s="36"/>
    </row>
    <row r="13827" spans="2:2">
      <c r="B13827" s="36"/>
    </row>
    <row r="13828" spans="2:2">
      <c r="B13828" s="36"/>
    </row>
    <row r="13829" spans="2:2">
      <c r="B13829" s="36"/>
    </row>
    <row r="13830" spans="2:2">
      <c r="B13830" s="36"/>
    </row>
    <row r="13831" spans="2:2">
      <c r="B13831" s="36"/>
    </row>
    <row r="13832" spans="2:2">
      <c r="B13832" s="36"/>
    </row>
    <row r="13833" spans="2:2">
      <c r="B13833" s="36"/>
    </row>
    <row r="13834" spans="2:2">
      <c r="B13834" s="36"/>
    </row>
    <row r="13835" spans="2:2">
      <c r="B13835" s="36"/>
    </row>
    <row r="13836" spans="2:2">
      <c r="B13836" s="36"/>
    </row>
    <row r="13837" spans="2:2">
      <c r="B13837" s="36"/>
    </row>
    <row r="13838" spans="2:2">
      <c r="B13838" s="36"/>
    </row>
    <row r="13839" spans="2:2">
      <c r="B13839" s="36"/>
    </row>
    <row r="13840" spans="2:2">
      <c r="B13840" s="36"/>
    </row>
    <row r="13841" spans="2:2">
      <c r="B13841" s="36"/>
    </row>
    <row r="13842" spans="2:2">
      <c r="B13842" s="36"/>
    </row>
    <row r="13843" spans="2:2">
      <c r="B13843" s="36"/>
    </row>
    <row r="13844" spans="2:2">
      <c r="B13844" s="36"/>
    </row>
    <row r="13845" spans="2:2">
      <c r="B13845" s="36"/>
    </row>
    <row r="13846" spans="2:2">
      <c r="B13846" s="36"/>
    </row>
    <row r="13847" spans="2:2">
      <c r="B13847" s="36"/>
    </row>
    <row r="13848" spans="2:2">
      <c r="B13848" s="36"/>
    </row>
    <row r="13849" spans="2:2">
      <c r="B13849" s="36"/>
    </row>
    <row r="13850" spans="2:2">
      <c r="B13850" s="36"/>
    </row>
    <row r="13851" spans="2:2">
      <c r="B13851" s="36"/>
    </row>
    <row r="13852" spans="2:2">
      <c r="B13852" s="36"/>
    </row>
    <row r="13853" spans="2:2">
      <c r="B13853" s="36"/>
    </row>
    <row r="13854" spans="2:2">
      <c r="B13854" s="36"/>
    </row>
    <row r="13855" spans="2:2">
      <c r="B13855" s="36"/>
    </row>
    <row r="13856" spans="2:2">
      <c r="B13856" s="36"/>
    </row>
    <row r="13857" spans="2:2">
      <c r="B13857" s="36"/>
    </row>
    <row r="13858" spans="2:2">
      <c r="B13858" s="36"/>
    </row>
    <row r="13859" spans="2:2">
      <c r="B13859" s="36"/>
    </row>
    <row r="13860" spans="2:2">
      <c r="B13860" s="36"/>
    </row>
    <row r="13861" spans="2:2">
      <c r="B13861" s="36"/>
    </row>
    <row r="13862" spans="2:2">
      <c r="B13862" s="36"/>
    </row>
    <row r="13863" spans="2:2">
      <c r="B13863" s="36"/>
    </row>
    <row r="13864" spans="2:2">
      <c r="B13864" s="36"/>
    </row>
    <row r="13865" spans="2:2">
      <c r="B13865" s="36"/>
    </row>
    <row r="13866" spans="2:2">
      <c r="B13866" s="36"/>
    </row>
    <row r="13867" spans="2:2">
      <c r="B13867" s="36"/>
    </row>
    <row r="13868" spans="2:2">
      <c r="B13868" s="36"/>
    </row>
    <row r="13869" spans="2:2">
      <c r="B13869" s="36"/>
    </row>
    <row r="13870" spans="2:2">
      <c r="B13870" s="36"/>
    </row>
    <row r="13871" spans="2:2">
      <c r="B13871" s="36"/>
    </row>
    <row r="13872" spans="2:2">
      <c r="B13872" s="36"/>
    </row>
    <row r="13873" spans="2:2">
      <c r="B13873" s="36"/>
    </row>
    <row r="13874" spans="2:2">
      <c r="B13874" s="36"/>
    </row>
    <row r="13875" spans="2:2">
      <c r="B13875" s="36"/>
    </row>
    <row r="13876" spans="2:2">
      <c r="B13876" s="36"/>
    </row>
    <row r="13877" spans="2:2">
      <c r="B13877" s="36"/>
    </row>
    <row r="13878" spans="2:2">
      <c r="B13878" s="36"/>
    </row>
    <row r="13879" spans="2:2">
      <c r="B13879" s="36"/>
    </row>
    <row r="13880" spans="2:2">
      <c r="B13880" s="36"/>
    </row>
    <row r="13881" spans="2:2">
      <c r="B13881" s="36"/>
    </row>
    <row r="13882" spans="2:2">
      <c r="B13882" s="36"/>
    </row>
    <row r="13883" spans="2:2">
      <c r="B13883" s="36"/>
    </row>
    <row r="13884" spans="2:2">
      <c r="B13884" s="36"/>
    </row>
    <row r="13885" spans="2:2">
      <c r="B13885" s="36"/>
    </row>
    <row r="13886" spans="2:2">
      <c r="B13886" s="36"/>
    </row>
    <row r="13887" spans="2:2">
      <c r="B13887" s="36"/>
    </row>
    <row r="13888" spans="2:2">
      <c r="B13888" s="36"/>
    </row>
    <row r="13889" spans="2:2">
      <c r="B13889" s="36"/>
    </row>
    <row r="13890" spans="2:2">
      <c r="B13890" s="36"/>
    </row>
    <row r="13891" spans="2:2">
      <c r="B13891" s="36"/>
    </row>
    <row r="13892" spans="2:2">
      <c r="B13892" s="36"/>
    </row>
    <row r="13893" spans="2:2">
      <c r="B13893" s="36"/>
    </row>
    <row r="13894" spans="2:2">
      <c r="B13894" s="36"/>
    </row>
    <row r="13895" spans="2:2">
      <c r="B13895" s="36"/>
    </row>
    <row r="13896" spans="2:2">
      <c r="B13896" s="36"/>
    </row>
    <row r="13897" spans="2:2">
      <c r="B13897" s="36"/>
    </row>
    <row r="13898" spans="2:2">
      <c r="B13898" s="36"/>
    </row>
    <row r="13899" spans="2:2">
      <c r="B13899" s="36"/>
    </row>
    <row r="13900" spans="2:2">
      <c r="B13900" s="36"/>
    </row>
    <row r="13901" spans="2:2">
      <c r="B13901" s="36"/>
    </row>
    <row r="13902" spans="2:2">
      <c r="B13902" s="36"/>
    </row>
    <row r="13903" spans="2:2">
      <c r="B13903" s="36"/>
    </row>
    <row r="13904" spans="2:2">
      <c r="B13904" s="36"/>
    </row>
    <row r="13905" spans="2:2">
      <c r="B13905" s="36"/>
    </row>
    <row r="13906" spans="2:2">
      <c r="B13906" s="36"/>
    </row>
    <row r="13907" spans="2:2">
      <c r="B13907" s="36"/>
    </row>
    <row r="13908" spans="2:2">
      <c r="B13908" s="36"/>
    </row>
    <row r="13909" spans="2:2">
      <c r="B13909" s="36"/>
    </row>
    <row r="13910" spans="2:2">
      <c r="B13910" s="36"/>
    </row>
    <row r="13911" spans="2:2">
      <c r="B13911" s="36"/>
    </row>
    <row r="13912" spans="2:2">
      <c r="B13912" s="36"/>
    </row>
    <row r="13913" spans="2:2">
      <c r="B13913" s="36"/>
    </row>
    <row r="13914" spans="2:2">
      <c r="B13914" s="36"/>
    </row>
    <row r="13915" spans="2:2">
      <c r="B13915" s="36"/>
    </row>
    <row r="13916" spans="2:2">
      <c r="B13916" s="36"/>
    </row>
    <row r="13917" spans="2:2">
      <c r="B13917" s="36"/>
    </row>
    <row r="13918" spans="2:2">
      <c r="B13918" s="36"/>
    </row>
    <row r="13919" spans="2:2">
      <c r="B13919" s="36"/>
    </row>
    <row r="13920" spans="2:2">
      <c r="B13920" s="36"/>
    </row>
    <row r="13921" spans="2:2">
      <c r="B13921" s="36"/>
    </row>
    <row r="13922" spans="2:2">
      <c r="B13922" s="36"/>
    </row>
    <row r="13923" spans="2:2">
      <c r="B13923" s="36"/>
    </row>
    <row r="13924" spans="2:2">
      <c r="B13924" s="36"/>
    </row>
    <row r="13925" spans="2:2">
      <c r="B13925" s="36"/>
    </row>
    <row r="13926" spans="2:2">
      <c r="B13926" s="36"/>
    </row>
    <row r="13927" spans="2:2">
      <c r="B13927" s="36"/>
    </row>
    <row r="13928" spans="2:2">
      <c r="B13928" s="36"/>
    </row>
    <row r="13929" spans="2:2">
      <c r="B13929" s="36"/>
    </row>
    <row r="13930" spans="2:2">
      <c r="B13930" s="36"/>
    </row>
    <row r="13931" spans="2:2">
      <c r="B13931" s="36"/>
    </row>
    <row r="13932" spans="2:2">
      <c r="B13932" s="36"/>
    </row>
    <row r="13933" spans="2:2">
      <c r="B13933" s="36"/>
    </row>
    <row r="13934" spans="2:2">
      <c r="B13934" s="36"/>
    </row>
    <row r="13935" spans="2:2">
      <c r="B13935" s="36"/>
    </row>
    <row r="13936" spans="2:2">
      <c r="B13936" s="36"/>
    </row>
    <row r="13937" spans="2:2">
      <c r="B13937" s="36"/>
    </row>
    <row r="13938" spans="2:2">
      <c r="B13938" s="36"/>
    </row>
    <row r="13939" spans="2:2">
      <c r="B13939" s="36"/>
    </row>
    <row r="13940" spans="2:2">
      <c r="B13940" s="36"/>
    </row>
    <row r="13941" spans="2:2">
      <c r="B13941" s="36"/>
    </row>
    <row r="13942" spans="2:2">
      <c r="B13942" s="36"/>
    </row>
    <row r="13943" spans="2:2">
      <c r="B13943" s="36"/>
    </row>
    <row r="13944" spans="2:2">
      <c r="B13944" s="36"/>
    </row>
    <row r="13945" spans="2:2">
      <c r="B13945" s="36"/>
    </row>
    <row r="13946" spans="2:2">
      <c r="B13946" s="36"/>
    </row>
    <row r="13947" spans="2:2">
      <c r="B13947" s="36"/>
    </row>
    <row r="13948" spans="2:2">
      <c r="B13948" s="36"/>
    </row>
    <row r="13949" spans="2:2">
      <c r="B13949" s="36"/>
    </row>
    <row r="13950" spans="2:2">
      <c r="B13950" s="36"/>
    </row>
    <row r="13951" spans="2:2">
      <c r="B13951" s="36"/>
    </row>
    <row r="13952" spans="2:2">
      <c r="B13952" s="36"/>
    </row>
    <row r="13953" spans="2:2">
      <c r="B13953" s="36"/>
    </row>
    <row r="13954" spans="2:2">
      <c r="B13954" s="36"/>
    </row>
    <row r="13955" spans="2:2">
      <c r="B13955" s="36"/>
    </row>
    <row r="13956" spans="2:2">
      <c r="B13956" s="36"/>
    </row>
    <row r="13957" spans="2:2">
      <c r="B13957" s="36"/>
    </row>
    <row r="13958" spans="2:2">
      <c r="B13958" s="36"/>
    </row>
    <row r="13959" spans="2:2">
      <c r="B13959" s="36"/>
    </row>
    <row r="13960" spans="2:2">
      <c r="B13960" s="36"/>
    </row>
    <row r="13961" spans="2:2">
      <c r="B13961" s="36"/>
    </row>
    <row r="13962" spans="2:2">
      <c r="B13962" s="36"/>
    </row>
    <row r="13963" spans="2:2">
      <c r="B13963" s="36"/>
    </row>
    <row r="13964" spans="2:2">
      <c r="B13964" s="36"/>
    </row>
    <row r="13965" spans="2:2">
      <c r="B13965" s="36"/>
    </row>
    <row r="13966" spans="2:2">
      <c r="B13966" s="36"/>
    </row>
    <row r="13967" spans="2:2">
      <c r="B13967" s="36"/>
    </row>
    <row r="13968" spans="2:2">
      <c r="B13968" s="36"/>
    </row>
    <row r="13969" spans="2:2">
      <c r="B13969" s="36"/>
    </row>
    <row r="13970" spans="2:2">
      <c r="B13970" s="36"/>
    </row>
    <row r="13971" spans="2:2">
      <c r="B13971" s="36"/>
    </row>
    <row r="13972" spans="2:2">
      <c r="B13972" s="36"/>
    </row>
    <row r="13973" spans="2:2">
      <c r="B13973" s="36"/>
    </row>
    <row r="13974" spans="2:2">
      <c r="B13974" s="36"/>
    </row>
    <row r="13975" spans="2:2">
      <c r="B13975" s="36"/>
    </row>
    <row r="13976" spans="2:2">
      <c r="B13976" s="36"/>
    </row>
    <row r="13977" spans="2:2">
      <c r="B13977" s="36"/>
    </row>
    <row r="13978" spans="2:2">
      <c r="B13978" s="36"/>
    </row>
    <row r="13979" spans="2:2">
      <c r="B13979" s="36"/>
    </row>
    <row r="13980" spans="2:2">
      <c r="B13980" s="36"/>
    </row>
    <row r="13981" spans="2:2">
      <c r="B13981" s="36"/>
    </row>
    <row r="13982" spans="2:2">
      <c r="B13982" s="36"/>
    </row>
    <row r="13983" spans="2:2">
      <c r="B13983" s="36"/>
    </row>
    <row r="13984" spans="2:2">
      <c r="B13984" s="36"/>
    </row>
    <row r="13985" spans="2:2">
      <c r="B13985" s="36"/>
    </row>
    <row r="13986" spans="2:2">
      <c r="B13986" s="36"/>
    </row>
    <row r="13987" spans="2:2">
      <c r="B13987" s="36"/>
    </row>
    <row r="13988" spans="2:2">
      <c r="B13988" s="36"/>
    </row>
    <row r="13989" spans="2:2">
      <c r="B13989" s="36"/>
    </row>
    <row r="13990" spans="2:2">
      <c r="B13990" s="36"/>
    </row>
    <row r="13991" spans="2:2">
      <c r="B13991" s="36"/>
    </row>
    <row r="13992" spans="2:2">
      <c r="B13992" s="36"/>
    </row>
    <row r="13993" spans="2:2">
      <c r="B13993" s="36"/>
    </row>
    <row r="13994" spans="2:2">
      <c r="B13994" s="36"/>
    </row>
    <row r="13995" spans="2:2">
      <c r="B13995" s="36"/>
    </row>
    <row r="13996" spans="2:2">
      <c r="B13996" s="36"/>
    </row>
    <row r="13997" spans="2:2">
      <c r="B13997" s="36"/>
    </row>
    <row r="13998" spans="2:2">
      <c r="B13998" s="36"/>
    </row>
    <row r="13999" spans="2:2">
      <c r="B13999" s="36"/>
    </row>
    <row r="14000" spans="2:2">
      <c r="B14000" s="36"/>
    </row>
    <row r="14001" spans="2:2">
      <c r="B14001" s="36"/>
    </row>
    <row r="14002" spans="2:2">
      <c r="B14002" s="36"/>
    </row>
    <row r="14003" spans="2:2">
      <c r="B14003" s="36"/>
    </row>
    <row r="14004" spans="2:2">
      <c r="B14004" s="36"/>
    </row>
    <row r="14005" spans="2:2">
      <c r="B14005" s="36"/>
    </row>
    <row r="14006" spans="2:2">
      <c r="B14006" s="36"/>
    </row>
    <row r="14007" spans="2:2">
      <c r="B14007" s="36"/>
    </row>
    <row r="14008" spans="2:2">
      <c r="B14008" s="36"/>
    </row>
    <row r="14009" spans="2:2">
      <c r="B14009" s="36"/>
    </row>
    <row r="14010" spans="2:2">
      <c r="B14010" s="36"/>
    </row>
    <row r="14011" spans="2:2">
      <c r="B14011" s="36"/>
    </row>
    <row r="14012" spans="2:2">
      <c r="B14012" s="36"/>
    </row>
    <row r="14013" spans="2:2">
      <c r="B14013" s="36"/>
    </row>
    <row r="14014" spans="2:2">
      <c r="B14014" s="36"/>
    </row>
    <row r="14015" spans="2:2">
      <c r="B14015" s="36"/>
    </row>
    <row r="14016" spans="2:2">
      <c r="B14016" s="36"/>
    </row>
    <row r="14017" spans="2:2">
      <c r="B14017" s="36"/>
    </row>
    <row r="14018" spans="2:2">
      <c r="B14018" s="36"/>
    </row>
    <row r="14019" spans="2:2">
      <c r="B14019" s="36"/>
    </row>
    <row r="14020" spans="2:2">
      <c r="B14020" s="36"/>
    </row>
    <row r="14021" spans="2:2">
      <c r="B14021" s="36"/>
    </row>
    <row r="14022" spans="2:2">
      <c r="B14022" s="36"/>
    </row>
    <row r="14023" spans="2:2">
      <c r="B14023" s="36"/>
    </row>
    <row r="14024" spans="2:2">
      <c r="B14024" s="36"/>
    </row>
    <row r="14025" spans="2:2">
      <c r="B14025" s="36"/>
    </row>
    <row r="14026" spans="2:2">
      <c r="B14026" s="36"/>
    </row>
    <row r="14027" spans="2:2">
      <c r="B14027" s="36"/>
    </row>
    <row r="14028" spans="2:2">
      <c r="B14028" s="36"/>
    </row>
    <row r="14029" spans="2:2">
      <c r="B14029" s="36"/>
    </row>
    <row r="14030" spans="2:2">
      <c r="B14030" s="36"/>
    </row>
    <row r="14031" spans="2:2">
      <c r="B14031" s="36"/>
    </row>
    <row r="14032" spans="2:2">
      <c r="B14032" s="36"/>
    </row>
    <row r="14033" spans="2:2">
      <c r="B14033" s="36"/>
    </row>
    <row r="14034" spans="2:2">
      <c r="B14034" s="36"/>
    </row>
    <row r="14035" spans="2:2">
      <c r="B14035" s="36"/>
    </row>
    <row r="14036" spans="2:2">
      <c r="B14036" s="36"/>
    </row>
    <row r="14037" spans="2:2">
      <c r="B14037" s="36"/>
    </row>
    <row r="14038" spans="2:2">
      <c r="B14038" s="36"/>
    </row>
    <row r="14039" spans="2:2">
      <c r="B14039" s="36"/>
    </row>
    <row r="14040" spans="2:2">
      <c r="B14040" s="36"/>
    </row>
    <row r="14041" spans="2:2">
      <c r="B14041" s="36"/>
    </row>
    <row r="14042" spans="2:2">
      <c r="B14042" s="36"/>
    </row>
    <row r="14043" spans="2:2">
      <c r="B14043" s="36"/>
    </row>
    <row r="14044" spans="2:2">
      <c r="B14044" s="36"/>
    </row>
    <row r="14045" spans="2:2">
      <c r="B14045" s="36"/>
    </row>
    <row r="14046" spans="2:2">
      <c r="B14046" s="36"/>
    </row>
    <row r="14047" spans="2:2">
      <c r="B14047" s="36"/>
    </row>
    <row r="14048" spans="2:2">
      <c r="B14048" s="36"/>
    </row>
    <row r="14049" spans="2:2">
      <c r="B14049" s="36"/>
    </row>
    <row r="14050" spans="2:2">
      <c r="B14050" s="36"/>
    </row>
    <row r="14051" spans="2:2">
      <c r="B14051" s="36"/>
    </row>
    <row r="14052" spans="2:2">
      <c r="B14052" s="36"/>
    </row>
    <row r="14053" spans="2:2">
      <c r="B14053" s="36"/>
    </row>
    <row r="14054" spans="2:2">
      <c r="B14054" s="36"/>
    </row>
    <row r="14055" spans="2:2">
      <c r="B14055" s="36"/>
    </row>
    <row r="14056" spans="2:2">
      <c r="B14056" s="36"/>
    </row>
    <row r="14057" spans="2:2">
      <c r="B14057" s="36"/>
    </row>
    <row r="14058" spans="2:2">
      <c r="B14058" s="36"/>
    </row>
    <row r="14059" spans="2:2">
      <c r="B14059" s="36"/>
    </row>
    <row r="14060" spans="2:2">
      <c r="B14060" s="36"/>
    </row>
    <row r="14061" spans="2:2">
      <c r="B14061" s="36"/>
    </row>
    <row r="14062" spans="2:2">
      <c r="B14062" s="36"/>
    </row>
    <row r="14063" spans="2:2">
      <c r="B14063" s="36"/>
    </row>
    <row r="14064" spans="2:2">
      <c r="B14064" s="36"/>
    </row>
    <row r="14065" spans="2:2">
      <c r="B14065" s="36"/>
    </row>
    <row r="14066" spans="2:2">
      <c r="B14066" s="36"/>
    </row>
    <row r="14067" spans="2:2">
      <c r="B14067" s="36"/>
    </row>
    <row r="14068" spans="2:2">
      <c r="B14068" s="36"/>
    </row>
    <row r="14069" spans="2:2">
      <c r="B14069" s="36"/>
    </row>
    <row r="14070" spans="2:2">
      <c r="B14070" s="36"/>
    </row>
    <row r="14071" spans="2:2">
      <c r="B14071" s="36"/>
    </row>
    <row r="14072" spans="2:2">
      <c r="B14072" s="36"/>
    </row>
    <row r="14073" spans="2:2">
      <c r="B14073" s="36"/>
    </row>
    <row r="14074" spans="2:2">
      <c r="B14074" s="36"/>
    </row>
    <row r="14075" spans="2:2">
      <c r="B14075" s="36"/>
    </row>
    <row r="14076" spans="2:2">
      <c r="B14076" s="36"/>
    </row>
    <row r="14077" spans="2:2">
      <c r="B14077" s="36"/>
    </row>
    <row r="14078" spans="2:2">
      <c r="B14078" s="36"/>
    </row>
    <row r="14079" spans="2:2">
      <c r="B14079" s="36"/>
    </row>
    <row r="14080" spans="2:2">
      <c r="B14080" s="36"/>
    </row>
    <row r="14081" spans="2:2">
      <c r="B14081" s="36"/>
    </row>
    <row r="14082" spans="2:2">
      <c r="B14082" s="36"/>
    </row>
    <row r="14083" spans="2:2">
      <c r="B14083" s="36"/>
    </row>
    <row r="14084" spans="2:2">
      <c r="B14084" s="36"/>
    </row>
    <row r="14085" spans="2:2">
      <c r="B14085" s="36"/>
    </row>
    <row r="14086" spans="2:2">
      <c r="B14086" s="36"/>
    </row>
    <row r="14087" spans="2:2">
      <c r="B14087" s="36"/>
    </row>
    <row r="14088" spans="2:2">
      <c r="B14088" s="36"/>
    </row>
    <row r="14089" spans="2:2">
      <c r="B14089" s="36"/>
    </row>
    <row r="14090" spans="2:2">
      <c r="B14090" s="36"/>
    </row>
    <row r="14091" spans="2:2">
      <c r="B14091" s="36"/>
    </row>
    <row r="14092" spans="2:2">
      <c r="B14092" s="36"/>
    </row>
    <row r="14093" spans="2:2">
      <c r="B14093" s="36"/>
    </row>
    <row r="14094" spans="2:2">
      <c r="B14094" s="36"/>
    </row>
    <row r="14095" spans="2:2">
      <c r="B14095" s="36"/>
    </row>
    <row r="14096" spans="2:2">
      <c r="B14096" s="36"/>
    </row>
    <row r="14097" spans="2:2">
      <c r="B14097" s="36"/>
    </row>
    <row r="14098" spans="2:2">
      <c r="B14098" s="36"/>
    </row>
    <row r="14099" spans="2:2">
      <c r="B14099" s="36"/>
    </row>
    <row r="14100" spans="2:2">
      <c r="B14100" s="36"/>
    </row>
    <row r="14101" spans="2:2">
      <c r="B14101" s="36"/>
    </row>
    <row r="14102" spans="2:2">
      <c r="B14102" s="36"/>
    </row>
    <row r="14103" spans="2:2">
      <c r="B14103" s="36"/>
    </row>
    <row r="14104" spans="2:2">
      <c r="B14104" s="36"/>
    </row>
    <row r="14105" spans="2:2">
      <c r="B14105" s="36"/>
    </row>
    <row r="14106" spans="2:2">
      <c r="B14106" s="36"/>
    </row>
    <row r="14107" spans="2:2">
      <c r="B14107" s="36"/>
    </row>
    <row r="14108" spans="2:2">
      <c r="B14108" s="36"/>
    </row>
    <row r="14109" spans="2:2">
      <c r="B14109" s="36"/>
    </row>
    <row r="14110" spans="2:2">
      <c r="B14110" s="36"/>
    </row>
    <row r="14111" spans="2:2">
      <c r="B14111" s="36"/>
    </row>
    <row r="14112" spans="2:2">
      <c r="B14112" s="36"/>
    </row>
    <row r="14113" spans="2:2">
      <c r="B14113" s="36"/>
    </row>
    <row r="14114" spans="2:2">
      <c r="B14114" s="36"/>
    </row>
    <row r="14115" spans="2:2">
      <c r="B14115" s="36"/>
    </row>
    <row r="14116" spans="2:2">
      <c r="B14116" s="36"/>
    </row>
    <row r="14117" spans="2:2">
      <c r="B14117" s="36"/>
    </row>
    <row r="14118" spans="2:2">
      <c r="B14118" s="36"/>
    </row>
    <row r="14119" spans="2:2">
      <c r="B14119" s="36"/>
    </row>
    <row r="14120" spans="2:2">
      <c r="B14120" s="36"/>
    </row>
    <row r="14121" spans="2:2">
      <c r="B14121" s="36"/>
    </row>
    <row r="14122" spans="2:2">
      <c r="B14122" s="36"/>
    </row>
    <row r="14123" spans="2:2">
      <c r="B14123" s="36"/>
    </row>
    <row r="14124" spans="2:2">
      <c r="B14124" s="36"/>
    </row>
    <row r="14125" spans="2:2">
      <c r="B14125" s="36"/>
    </row>
    <row r="14126" spans="2:2">
      <c r="B14126" s="36"/>
    </row>
    <row r="14127" spans="2:2">
      <c r="B14127" s="36"/>
    </row>
    <row r="14128" spans="2:2">
      <c r="B14128" s="36"/>
    </row>
    <row r="14129" spans="2:2">
      <c r="B14129" s="36"/>
    </row>
    <row r="14130" spans="2:2">
      <c r="B14130" s="36"/>
    </row>
    <row r="14131" spans="2:2">
      <c r="B14131" s="36"/>
    </row>
    <row r="14132" spans="2:2">
      <c r="B14132" s="36"/>
    </row>
    <row r="14133" spans="2:2">
      <c r="B14133" s="36"/>
    </row>
    <row r="14134" spans="2:2">
      <c r="B14134" s="36"/>
    </row>
    <row r="14135" spans="2:2">
      <c r="B14135" s="36"/>
    </row>
    <row r="14136" spans="2:2">
      <c r="B14136" s="36"/>
    </row>
    <row r="14137" spans="2:2">
      <c r="B14137" s="36"/>
    </row>
    <row r="14138" spans="2:2">
      <c r="B14138" s="36"/>
    </row>
    <row r="14139" spans="2:2">
      <c r="B14139" s="36"/>
    </row>
    <row r="14140" spans="2:2">
      <c r="B14140" s="36"/>
    </row>
    <row r="14141" spans="2:2">
      <c r="B14141" s="36"/>
    </row>
    <row r="14142" spans="2:2">
      <c r="B14142" s="36"/>
    </row>
    <row r="14143" spans="2:2">
      <c r="B14143" s="36"/>
    </row>
    <row r="14144" spans="2:2">
      <c r="B14144" s="36"/>
    </row>
    <row r="14145" spans="2:2">
      <c r="B14145" s="36"/>
    </row>
    <row r="14146" spans="2:2">
      <c r="B14146" s="36"/>
    </row>
    <row r="14147" spans="2:2">
      <c r="B14147" s="36"/>
    </row>
    <row r="14148" spans="2:2">
      <c r="B14148" s="36"/>
    </row>
    <row r="14149" spans="2:2">
      <c r="B14149" s="36"/>
    </row>
    <row r="14150" spans="2:2">
      <c r="B14150" s="36"/>
    </row>
    <row r="14151" spans="2:2">
      <c r="B14151" s="36"/>
    </row>
    <row r="14152" spans="2:2">
      <c r="B14152" s="36"/>
    </row>
    <row r="14153" spans="2:2">
      <c r="B14153" s="36"/>
    </row>
    <row r="14154" spans="2:2">
      <c r="B14154" s="36"/>
    </row>
    <row r="14155" spans="2:2">
      <c r="B14155" s="36"/>
    </row>
    <row r="14156" spans="2:2">
      <c r="B14156" s="36"/>
    </row>
    <row r="14157" spans="2:2">
      <c r="B14157" s="36"/>
    </row>
    <row r="14158" spans="2:2">
      <c r="B14158" s="36"/>
    </row>
    <row r="14159" spans="2:2">
      <c r="B14159" s="36"/>
    </row>
    <row r="14160" spans="2:2">
      <c r="B14160" s="36"/>
    </row>
    <row r="14161" spans="2:2">
      <c r="B14161" s="36"/>
    </row>
    <row r="14162" spans="2:2">
      <c r="B14162" s="36"/>
    </row>
    <row r="14163" spans="2:2">
      <c r="B14163" s="36"/>
    </row>
    <row r="14164" spans="2:2">
      <c r="B14164" s="36"/>
    </row>
    <row r="14165" spans="2:2">
      <c r="B14165" s="36"/>
    </row>
    <row r="14166" spans="2:2">
      <c r="B14166" s="36"/>
    </row>
    <row r="14167" spans="2:2">
      <c r="B14167" s="36"/>
    </row>
    <row r="14168" spans="2:2">
      <c r="B14168" s="36"/>
    </row>
    <row r="14169" spans="2:2">
      <c r="B14169" s="36"/>
    </row>
    <row r="14170" spans="2:2">
      <c r="B14170" s="36"/>
    </row>
    <row r="14171" spans="2:2">
      <c r="B14171" s="36"/>
    </row>
    <row r="14172" spans="2:2">
      <c r="B14172" s="36"/>
    </row>
    <row r="14173" spans="2:2">
      <c r="B14173" s="36"/>
    </row>
    <row r="14174" spans="2:2">
      <c r="B14174" s="36"/>
    </row>
    <row r="14175" spans="2:2">
      <c r="B14175" s="36"/>
    </row>
    <row r="14176" spans="2:2">
      <c r="B14176" s="36"/>
    </row>
    <row r="14177" spans="2:2">
      <c r="B14177" s="36"/>
    </row>
    <row r="14178" spans="2:2">
      <c r="B14178" s="36"/>
    </row>
    <row r="14179" spans="2:2">
      <c r="B14179" s="36"/>
    </row>
    <row r="14180" spans="2:2">
      <c r="B14180" s="36"/>
    </row>
    <row r="14181" spans="2:2">
      <c r="B14181" s="36"/>
    </row>
    <row r="14182" spans="2:2">
      <c r="B14182" s="36"/>
    </row>
    <row r="14183" spans="2:2">
      <c r="B14183" s="36"/>
    </row>
    <row r="14184" spans="2:2">
      <c r="B14184" s="36"/>
    </row>
    <row r="14185" spans="2:2">
      <c r="B14185" s="36"/>
    </row>
    <row r="14186" spans="2:2">
      <c r="B14186" s="36"/>
    </row>
    <row r="14187" spans="2:2">
      <c r="B14187" s="36"/>
    </row>
    <row r="14188" spans="2:2">
      <c r="B14188" s="36"/>
    </row>
    <row r="14189" spans="2:2">
      <c r="B14189" s="36"/>
    </row>
    <row r="14190" spans="2:2">
      <c r="B14190" s="36"/>
    </row>
    <row r="14191" spans="2:2">
      <c r="B14191" s="36"/>
    </row>
    <row r="14192" spans="2:2">
      <c r="B14192" s="36"/>
    </row>
    <row r="14193" spans="2:2">
      <c r="B14193" s="36"/>
    </row>
    <row r="14194" spans="2:2">
      <c r="B14194" s="36"/>
    </row>
    <row r="14195" spans="2:2">
      <c r="B14195" s="36"/>
    </row>
    <row r="14196" spans="2:2">
      <c r="B14196" s="36"/>
    </row>
    <row r="14197" spans="2:2">
      <c r="B14197" s="36"/>
    </row>
    <row r="14198" spans="2:2">
      <c r="B14198" s="36"/>
    </row>
    <row r="14199" spans="2:2">
      <c r="B14199" s="36"/>
    </row>
    <row r="14200" spans="2:2">
      <c r="B14200" s="36"/>
    </row>
    <row r="14201" spans="2:2">
      <c r="B14201" s="36"/>
    </row>
    <row r="14202" spans="2:2">
      <c r="B14202" s="36"/>
    </row>
    <row r="14203" spans="2:2">
      <c r="B14203" s="36"/>
    </row>
    <row r="14204" spans="2:2">
      <c r="B14204" s="36"/>
    </row>
    <row r="14205" spans="2:2">
      <c r="B14205" s="36"/>
    </row>
    <row r="14206" spans="2:2">
      <c r="B14206" s="36"/>
    </row>
    <row r="14207" spans="2:2">
      <c r="B14207" s="36"/>
    </row>
    <row r="14208" spans="2:2">
      <c r="B14208" s="36"/>
    </row>
    <row r="14209" spans="2:2">
      <c r="B14209" s="36"/>
    </row>
    <row r="14210" spans="2:2">
      <c r="B14210" s="36"/>
    </row>
    <row r="14211" spans="2:2">
      <c r="B14211" s="36"/>
    </row>
    <row r="14212" spans="2:2">
      <c r="B14212" s="36"/>
    </row>
    <row r="14213" spans="2:2">
      <c r="B14213" s="36"/>
    </row>
    <row r="14214" spans="2:2">
      <c r="B14214" s="36"/>
    </row>
    <row r="14215" spans="2:2">
      <c r="B14215" s="36"/>
    </row>
    <row r="14216" spans="2:2">
      <c r="B14216" s="36"/>
    </row>
    <row r="14217" spans="2:2">
      <c r="B14217" s="36"/>
    </row>
    <row r="14218" spans="2:2">
      <c r="B14218" s="36"/>
    </row>
    <row r="14219" spans="2:2">
      <c r="B14219" s="36"/>
    </row>
    <row r="14220" spans="2:2">
      <c r="B14220" s="36"/>
    </row>
    <row r="14221" spans="2:2">
      <c r="B14221" s="36"/>
    </row>
    <row r="14222" spans="2:2">
      <c r="B14222" s="36"/>
    </row>
    <row r="14223" spans="2:2">
      <c r="B14223" s="36"/>
    </row>
    <row r="14224" spans="2:2">
      <c r="B14224" s="36"/>
    </row>
    <row r="14225" spans="2:2">
      <c r="B14225" s="36"/>
    </row>
    <row r="14226" spans="2:2">
      <c r="B14226" s="36"/>
    </row>
    <row r="14227" spans="2:2">
      <c r="B14227" s="36"/>
    </row>
    <row r="14228" spans="2:2">
      <c r="B14228" s="36"/>
    </row>
    <row r="14229" spans="2:2">
      <c r="B14229" s="36"/>
    </row>
    <row r="14230" spans="2:2">
      <c r="B14230" s="36"/>
    </row>
    <row r="14231" spans="2:2">
      <c r="B14231" s="36"/>
    </row>
    <row r="14232" spans="2:2">
      <c r="B14232" s="36"/>
    </row>
    <row r="14233" spans="2:2">
      <c r="B14233" s="36"/>
    </row>
    <row r="14234" spans="2:2">
      <c r="B14234" s="36"/>
    </row>
    <row r="14235" spans="2:2">
      <c r="B14235" s="36"/>
    </row>
    <row r="14236" spans="2:2">
      <c r="B14236" s="36"/>
    </row>
    <row r="14237" spans="2:2">
      <c r="B14237" s="36"/>
    </row>
    <row r="14238" spans="2:2">
      <c r="B14238" s="36"/>
    </row>
    <row r="14239" spans="2:2">
      <c r="B14239" s="36"/>
    </row>
    <row r="14240" spans="2:2">
      <c r="B14240" s="36"/>
    </row>
    <row r="14241" spans="2:2">
      <c r="B14241" s="36"/>
    </row>
    <row r="14242" spans="2:2">
      <c r="B14242" s="36"/>
    </row>
    <row r="14243" spans="2:2">
      <c r="B14243" s="36"/>
    </row>
    <row r="14244" spans="2:2">
      <c r="B14244" s="36"/>
    </row>
    <row r="14245" spans="2:2">
      <c r="B14245" s="36"/>
    </row>
    <row r="14246" spans="2:2">
      <c r="B14246" s="36"/>
    </row>
    <row r="14247" spans="2:2">
      <c r="B14247" s="36"/>
    </row>
    <row r="14248" spans="2:2">
      <c r="B14248" s="36"/>
    </row>
    <row r="14249" spans="2:2">
      <c r="B14249" s="36"/>
    </row>
    <row r="14250" spans="2:2">
      <c r="B14250" s="36"/>
    </row>
    <row r="14251" spans="2:2">
      <c r="B14251" s="36"/>
    </row>
    <row r="14252" spans="2:2">
      <c r="B14252" s="36"/>
    </row>
    <row r="14253" spans="2:2">
      <c r="B14253" s="36"/>
    </row>
    <row r="14254" spans="2:2">
      <c r="B14254" s="36"/>
    </row>
    <row r="14255" spans="2:2">
      <c r="B14255" s="36"/>
    </row>
    <row r="14256" spans="2:2">
      <c r="B14256" s="36"/>
    </row>
    <row r="14257" spans="2:2">
      <c r="B14257" s="36"/>
    </row>
    <row r="14258" spans="2:2">
      <c r="B14258" s="36"/>
    </row>
    <row r="14259" spans="2:2">
      <c r="B14259" s="36"/>
    </row>
    <row r="14260" spans="2:2">
      <c r="B14260" s="36"/>
    </row>
    <row r="14261" spans="2:2">
      <c r="B14261" s="36"/>
    </row>
    <row r="14262" spans="2:2">
      <c r="B14262" s="36"/>
    </row>
    <row r="14263" spans="2:2">
      <c r="B14263" s="36"/>
    </row>
    <row r="14264" spans="2:2">
      <c r="B14264" s="36"/>
    </row>
    <row r="14265" spans="2:2">
      <c r="B14265" s="36"/>
    </row>
    <row r="14266" spans="2:2">
      <c r="B14266" s="36"/>
    </row>
    <row r="14267" spans="2:2">
      <c r="B14267" s="36"/>
    </row>
    <row r="14268" spans="2:2">
      <c r="B14268" s="36"/>
    </row>
    <row r="14269" spans="2:2">
      <c r="B14269" s="36"/>
    </row>
    <row r="14270" spans="2:2">
      <c r="B14270" s="36"/>
    </row>
    <row r="14271" spans="2:2">
      <c r="B14271" s="36"/>
    </row>
    <row r="14272" spans="2:2">
      <c r="B14272" s="36"/>
    </row>
    <row r="14273" spans="2:2">
      <c r="B14273" s="36"/>
    </row>
    <row r="14274" spans="2:2">
      <c r="B14274" s="36"/>
    </row>
    <row r="14275" spans="2:2">
      <c r="B14275" s="36"/>
    </row>
    <row r="14276" spans="2:2">
      <c r="B14276" s="36"/>
    </row>
    <row r="14277" spans="2:2">
      <c r="B14277" s="36"/>
    </row>
    <row r="14278" spans="2:2">
      <c r="B14278" s="36"/>
    </row>
    <row r="14279" spans="2:2">
      <c r="B14279" s="36"/>
    </row>
    <row r="14280" spans="2:2">
      <c r="B14280" s="36"/>
    </row>
    <row r="14281" spans="2:2">
      <c r="B14281" s="36"/>
    </row>
    <row r="14282" spans="2:2">
      <c r="B14282" s="36"/>
    </row>
    <row r="14283" spans="2:2">
      <c r="B14283" s="36"/>
    </row>
    <row r="14284" spans="2:2">
      <c r="B14284" s="36"/>
    </row>
    <row r="14285" spans="2:2">
      <c r="B14285" s="36"/>
    </row>
    <row r="14286" spans="2:2">
      <c r="B14286" s="36"/>
    </row>
    <row r="14287" spans="2:2">
      <c r="B14287" s="36"/>
    </row>
    <row r="14288" spans="2:2">
      <c r="B14288" s="36"/>
    </row>
    <row r="14289" spans="2:2">
      <c r="B14289" s="36"/>
    </row>
    <row r="14290" spans="2:2">
      <c r="B14290" s="36"/>
    </row>
    <row r="14291" spans="2:2">
      <c r="B14291" s="36"/>
    </row>
    <row r="14292" spans="2:2">
      <c r="B14292" s="36"/>
    </row>
    <row r="14293" spans="2:2">
      <c r="B14293" s="36"/>
    </row>
    <row r="14294" spans="2:2">
      <c r="B14294" s="36"/>
    </row>
    <row r="14295" spans="2:2">
      <c r="B14295" s="36"/>
    </row>
    <row r="14296" spans="2:2">
      <c r="B14296" s="36"/>
    </row>
    <row r="14297" spans="2:2">
      <c r="B14297" s="36"/>
    </row>
    <row r="14298" spans="2:2">
      <c r="B14298" s="36"/>
    </row>
    <row r="14299" spans="2:2">
      <c r="B14299" s="36"/>
    </row>
    <row r="14300" spans="2:2">
      <c r="B14300" s="36"/>
    </row>
    <row r="14301" spans="2:2">
      <c r="B14301" s="36"/>
    </row>
    <row r="14302" spans="2:2">
      <c r="B14302" s="36"/>
    </row>
    <row r="14303" spans="2:2">
      <c r="B14303" s="36"/>
    </row>
    <row r="14304" spans="2:2">
      <c r="B14304" s="36"/>
    </row>
    <row r="14305" spans="2:2">
      <c r="B14305" s="36"/>
    </row>
    <row r="14306" spans="2:2">
      <c r="B14306" s="36"/>
    </row>
    <row r="14307" spans="2:2">
      <c r="B14307" s="36"/>
    </row>
    <row r="14308" spans="2:2">
      <c r="B14308" s="36"/>
    </row>
    <row r="14309" spans="2:2">
      <c r="B14309" s="36"/>
    </row>
    <row r="14310" spans="2:2">
      <c r="B14310" s="36"/>
    </row>
    <row r="14311" spans="2:2">
      <c r="B14311" s="36"/>
    </row>
    <row r="14312" spans="2:2">
      <c r="B14312" s="36"/>
    </row>
    <row r="14313" spans="2:2">
      <c r="B14313" s="36"/>
    </row>
    <row r="14314" spans="2:2">
      <c r="B14314" s="36"/>
    </row>
    <row r="14315" spans="2:2">
      <c r="B14315" s="36"/>
    </row>
    <row r="14316" spans="2:2">
      <c r="B14316" s="36"/>
    </row>
    <row r="14317" spans="2:2">
      <c r="B14317" s="36"/>
    </row>
    <row r="14318" spans="2:2">
      <c r="B14318" s="36"/>
    </row>
    <row r="14319" spans="2:2">
      <c r="B14319" s="36"/>
    </row>
    <row r="14320" spans="2:2">
      <c r="B14320" s="36"/>
    </row>
    <row r="14321" spans="2:2">
      <c r="B14321" s="36"/>
    </row>
    <row r="14322" spans="2:2">
      <c r="B14322" s="36"/>
    </row>
    <row r="14323" spans="2:2">
      <c r="B14323" s="36"/>
    </row>
    <row r="14324" spans="2:2">
      <c r="B14324" s="36"/>
    </row>
    <row r="14325" spans="2:2">
      <c r="B14325" s="36"/>
    </row>
    <row r="14326" spans="2:2">
      <c r="B14326" s="36"/>
    </row>
    <row r="14327" spans="2:2">
      <c r="B14327" s="36"/>
    </row>
    <row r="14328" spans="2:2">
      <c r="B14328" s="36"/>
    </row>
    <row r="14329" spans="2:2">
      <c r="B14329" s="36"/>
    </row>
    <row r="14330" spans="2:2">
      <c r="B14330" s="36"/>
    </row>
    <row r="14331" spans="2:2">
      <c r="B14331" s="36"/>
    </row>
    <row r="14332" spans="2:2">
      <c r="B14332" s="36"/>
    </row>
    <row r="14333" spans="2:2">
      <c r="B14333" s="36"/>
    </row>
    <row r="14334" spans="2:2">
      <c r="B14334" s="36"/>
    </row>
    <row r="14335" spans="2:2">
      <c r="B14335" s="36"/>
    </row>
    <row r="14336" spans="2:2">
      <c r="B14336" s="36"/>
    </row>
    <row r="14337" spans="2:2">
      <c r="B14337" s="36"/>
    </row>
    <row r="14338" spans="2:2">
      <c r="B14338" s="36"/>
    </row>
    <row r="14339" spans="2:2">
      <c r="B14339" s="36"/>
    </row>
    <row r="14340" spans="2:2">
      <c r="B14340" s="36"/>
    </row>
    <row r="14341" spans="2:2">
      <c r="B14341" s="36"/>
    </row>
    <row r="14342" spans="2:2">
      <c r="B14342" s="36"/>
    </row>
    <row r="14343" spans="2:2">
      <c r="B14343" s="36"/>
    </row>
    <row r="14344" spans="2:2">
      <c r="B14344" s="36"/>
    </row>
    <row r="14345" spans="2:2">
      <c r="B14345" s="36"/>
    </row>
    <row r="14346" spans="2:2">
      <c r="B14346" s="36"/>
    </row>
    <row r="14347" spans="2:2">
      <c r="B14347" s="36"/>
    </row>
    <row r="14348" spans="2:2">
      <c r="B14348" s="36"/>
    </row>
    <row r="14349" spans="2:2">
      <c r="B14349" s="36"/>
    </row>
    <row r="14350" spans="2:2">
      <c r="B14350" s="36"/>
    </row>
    <row r="14351" spans="2:2">
      <c r="B14351" s="36"/>
    </row>
    <row r="14352" spans="2:2">
      <c r="B14352" s="36"/>
    </row>
    <row r="14353" spans="2:2">
      <c r="B14353" s="36"/>
    </row>
    <row r="14354" spans="2:2">
      <c r="B14354" s="36"/>
    </row>
    <row r="14355" spans="2:2">
      <c r="B14355" s="36"/>
    </row>
    <row r="14356" spans="2:2">
      <c r="B14356" s="36"/>
    </row>
    <row r="14357" spans="2:2">
      <c r="B14357" s="36"/>
    </row>
    <row r="14358" spans="2:2">
      <c r="B14358" s="36"/>
    </row>
    <row r="14359" spans="2:2">
      <c r="B14359" s="36"/>
    </row>
    <row r="14360" spans="2:2">
      <c r="B14360" s="36"/>
    </row>
    <row r="14361" spans="2:2">
      <c r="B14361" s="36"/>
    </row>
    <row r="14362" spans="2:2">
      <c r="B14362" s="36"/>
    </row>
    <row r="14363" spans="2:2">
      <c r="B14363" s="36"/>
    </row>
    <row r="14364" spans="2:2">
      <c r="B14364" s="36"/>
    </row>
    <row r="14365" spans="2:2">
      <c r="B14365" s="36"/>
    </row>
    <row r="14366" spans="2:2">
      <c r="B14366" s="36"/>
    </row>
    <row r="14367" spans="2:2">
      <c r="B14367" s="36"/>
    </row>
    <row r="14368" spans="2:2">
      <c r="B14368" s="36"/>
    </row>
    <row r="14369" spans="2:2">
      <c r="B14369" s="36"/>
    </row>
    <row r="14370" spans="2:2">
      <c r="B14370" s="36"/>
    </row>
    <row r="14371" spans="2:2">
      <c r="B14371" s="36"/>
    </row>
    <row r="14372" spans="2:2">
      <c r="B14372" s="36"/>
    </row>
    <row r="14373" spans="2:2">
      <c r="B14373" s="36"/>
    </row>
    <row r="14374" spans="2:2">
      <c r="B14374" s="36"/>
    </row>
    <row r="14375" spans="2:2">
      <c r="B14375" s="36"/>
    </row>
    <row r="14376" spans="2:2">
      <c r="B14376" s="36"/>
    </row>
    <row r="14377" spans="2:2">
      <c r="B14377" s="36"/>
    </row>
    <row r="14378" spans="2:2">
      <c r="B14378" s="36"/>
    </row>
    <row r="14379" spans="2:2">
      <c r="B14379" s="36"/>
    </row>
    <row r="14380" spans="2:2">
      <c r="B14380" s="36"/>
    </row>
    <row r="14381" spans="2:2">
      <c r="B14381" s="36"/>
    </row>
    <row r="14382" spans="2:2">
      <c r="B14382" s="36"/>
    </row>
    <row r="14383" spans="2:2">
      <c r="B14383" s="36"/>
    </row>
    <row r="14384" spans="2:2">
      <c r="B14384" s="36"/>
    </row>
    <row r="14385" spans="2:2">
      <c r="B14385" s="36"/>
    </row>
    <row r="14386" spans="2:2">
      <c r="B14386" s="36"/>
    </row>
    <row r="14387" spans="2:2">
      <c r="B14387" s="36"/>
    </row>
    <row r="14388" spans="2:2">
      <c r="B14388" s="36"/>
    </row>
    <row r="14389" spans="2:2">
      <c r="B14389" s="36"/>
    </row>
    <row r="14390" spans="2:2">
      <c r="B14390" s="36"/>
    </row>
    <row r="14391" spans="2:2">
      <c r="B14391" s="36"/>
    </row>
    <row r="14392" spans="2:2">
      <c r="B14392" s="36"/>
    </row>
    <row r="14393" spans="2:2">
      <c r="B14393" s="36"/>
    </row>
    <row r="14394" spans="2:2">
      <c r="B14394" s="36"/>
    </row>
    <row r="14395" spans="2:2">
      <c r="B14395" s="36"/>
    </row>
    <row r="14396" spans="2:2">
      <c r="B14396" s="36"/>
    </row>
    <row r="14397" spans="2:2">
      <c r="B14397" s="36"/>
    </row>
    <row r="14398" spans="2:2">
      <c r="B14398" s="36"/>
    </row>
    <row r="14399" spans="2:2">
      <c r="B14399" s="36"/>
    </row>
    <row r="14400" spans="2:2">
      <c r="B14400" s="36"/>
    </row>
    <row r="14401" spans="2:2">
      <c r="B14401" s="36"/>
    </row>
    <row r="14402" spans="2:2">
      <c r="B14402" s="36"/>
    </row>
    <row r="14403" spans="2:2">
      <c r="B14403" s="36"/>
    </row>
    <row r="14404" spans="2:2">
      <c r="B14404" s="36"/>
    </row>
    <row r="14405" spans="2:2">
      <c r="B14405" s="36"/>
    </row>
    <row r="14406" spans="2:2">
      <c r="B14406" s="36"/>
    </row>
    <row r="14407" spans="2:2">
      <c r="B14407" s="36"/>
    </row>
    <row r="14408" spans="2:2">
      <c r="B14408" s="36"/>
    </row>
    <row r="14409" spans="2:2">
      <c r="B14409" s="36"/>
    </row>
    <row r="14410" spans="2:2">
      <c r="B14410" s="36"/>
    </row>
    <row r="14411" spans="2:2">
      <c r="B14411" s="36"/>
    </row>
    <row r="14412" spans="2:2">
      <c r="B14412" s="36"/>
    </row>
    <row r="14413" spans="2:2">
      <c r="B14413" s="36"/>
    </row>
    <row r="14414" spans="2:2">
      <c r="B14414" s="36"/>
    </row>
    <row r="14415" spans="2:2">
      <c r="B14415" s="36"/>
    </row>
    <row r="14416" spans="2:2">
      <c r="B14416" s="36"/>
    </row>
    <row r="14417" spans="2:2">
      <c r="B14417" s="36"/>
    </row>
    <row r="14418" spans="2:2">
      <c r="B14418" s="36"/>
    </row>
    <row r="14419" spans="2:2">
      <c r="B14419" s="36"/>
    </row>
    <row r="14420" spans="2:2">
      <c r="B14420" s="36"/>
    </row>
    <row r="14421" spans="2:2">
      <c r="B14421" s="36"/>
    </row>
    <row r="14422" spans="2:2">
      <c r="B14422" s="36"/>
    </row>
    <row r="14423" spans="2:2">
      <c r="B14423" s="36"/>
    </row>
    <row r="14424" spans="2:2">
      <c r="B14424" s="36"/>
    </row>
    <row r="14425" spans="2:2">
      <c r="B14425" s="36"/>
    </row>
    <row r="14426" spans="2:2">
      <c r="B14426" s="36"/>
    </row>
    <row r="14427" spans="2:2">
      <c r="B14427" s="36"/>
    </row>
    <row r="14428" spans="2:2">
      <c r="B14428" s="36"/>
    </row>
    <row r="14429" spans="2:2">
      <c r="B14429" s="36"/>
    </row>
    <row r="14430" spans="2:2">
      <c r="B14430" s="36"/>
    </row>
    <row r="14431" spans="2:2">
      <c r="B14431" s="36"/>
    </row>
    <row r="14432" spans="2:2">
      <c r="B14432" s="36"/>
    </row>
    <row r="14433" spans="2:2">
      <c r="B14433" s="36"/>
    </row>
    <row r="14434" spans="2:2">
      <c r="B14434" s="36"/>
    </row>
    <row r="14435" spans="2:2">
      <c r="B14435" s="36"/>
    </row>
    <row r="14436" spans="2:2">
      <c r="B14436" s="36"/>
    </row>
    <row r="14437" spans="2:2">
      <c r="B14437" s="36"/>
    </row>
    <row r="14438" spans="2:2">
      <c r="B14438" s="36"/>
    </row>
    <row r="14439" spans="2:2">
      <c r="B14439" s="36"/>
    </row>
    <row r="14440" spans="2:2">
      <c r="B14440" s="36"/>
    </row>
    <row r="14441" spans="2:2">
      <c r="B14441" s="36"/>
    </row>
    <row r="14442" spans="2:2">
      <c r="B14442" s="36"/>
    </row>
    <row r="14443" spans="2:2">
      <c r="B14443" s="36"/>
    </row>
    <row r="14444" spans="2:2">
      <c r="B14444" s="36"/>
    </row>
    <row r="14445" spans="2:2">
      <c r="B14445" s="36"/>
    </row>
    <row r="14446" spans="2:2">
      <c r="B14446" s="36"/>
    </row>
    <row r="14447" spans="2:2">
      <c r="B14447" s="36"/>
    </row>
    <row r="14448" spans="2:2">
      <c r="B14448" s="36"/>
    </row>
    <row r="14449" spans="2:2">
      <c r="B14449" s="36"/>
    </row>
    <row r="14450" spans="2:2">
      <c r="B14450" s="36"/>
    </row>
    <row r="14451" spans="2:2">
      <c r="B14451" s="36"/>
    </row>
    <row r="14452" spans="2:2">
      <c r="B14452" s="36"/>
    </row>
    <row r="14453" spans="2:2">
      <c r="B14453" s="36"/>
    </row>
    <row r="14454" spans="2:2">
      <c r="B14454" s="36"/>
    </row>
    <row r="14455" spans="2:2">
      <c r="B14455" s="36"/>
    </row>
    <row r="14456" spans="2:2">
      <c r="B14456" s="36"/>
    </row>
    <row r="14457" spans="2:2">
      <c r="B14457" s="36"/>
    </row>
    <row r="14458" spans="2:2">
      <c r="B14458" s="36"/>
    </row>
    <row r="14459" spans="2:2">
      <c r="B14459" s="36"/>
    </row>
    <row r="14460" spans="2:2">
      <c r="B14460" s="36"/>
    </row>
    <row r="14461" spans="2:2">
      <c r="B14461" s="36"/>
    </row>
    <row r="14462" spans="2:2">
      <c r="B14462" s="36"/>
    </row>
    <row r="14463" spans="2:2">
      <c r="B14463" s="36"/>
    </row>
    <row r="14464" spans="2:2">
      <c r="B14464" s="36"/>
    </row>
    <row r="14465" spans="2:2">
      <c r="B14465" s="36"/>
    </row>
    <row r="14466" spans="2:2">
      <c r="B14466" s="36"/>
    </row>
    <row r="14467" spans="2:2">
      <c r="B14467" s="36"/>
    </row>
    <row r="14468" spans="2:2">
      <c r="B14468" s="36"/>
    </row>
    <row r="14469" spans="2:2">
      <c r="B14469" s="36"/>
    </row>
    <row r="14470" spans="2:2">
      <c r="B14470" s="36"/>
    </row>
    <row r="14471" spans="2:2">
      <c r="B14471" s="36"/>
    </row>
    <row r="14472" spans="2:2">
      <c r="B14472" s="36"/>
    </row>
    <row r="14473" spans="2:2">
      <c r="B14473" s="36"/>
    </row>
    <row r="14474" spans="2:2">
      <c r="B14474" s="36"/>
    </row>
    <row r="14475" spans="2:2">
      <c r="B14475" s="36"/>
    </row>
    <row r="14476" spans="2:2">
      <c r="B14476" s="36"/>
    </row>
    <row r="14477" spans="2:2">
      <c r="B14477" s="36"/>
    </row>
    <row r="14478" spans="2:2">
      <c r="B14478" s="36"/>
    </row>
    <row r="14479" spans="2:2">
      <c r="B14479" s="36"/>
    </row>
    <row r="14480" spans="2:2">
      <c r="B14480" s="36"/>
    </row>
    <row r="14481" spans="2:2">
      <c r="B14481" s="36"/>
    </row>
    <row r="14482" spans="2:2">
      <c r="B14482" s="36"/>
    </row>
    <row r="14483" spans="2:2">
      <c r="B14483" s="36"/>
    </row>
    <row r="14484" spans="2:2">
      <c r="B14484" s="36"/>
    </row>
    <row r="14485" spans="2:2">
      <c r="B14485" s="36"/>
    </row>
    <row r="14486" spans="2:2">
      <c r="B14486" s="36"/>
    </row>
    <row r="14487" spans="2:2">
      <c r="B14487" s="36"/>
    </row>
    <row r="14488" spans="2:2">
      <c r="B14488" s="36"/>
    </row>
    <row r="14489" spans="2:2">
      <c r="B14489" s="36"/>
    </row>
    <row r="14490" spans="2:2">
      <c r="B14490" s="36"/>
    </row>
    <row r="14491" spans="2:2">
      <c r="B14491" s="36"/>
    </row>
    <row r="14492" spans="2:2">
      <c r="B14492" s="36"/>
    </row>
    <row r="14493" spans="2:2">
      <c r="B14493" s="36"/>
    </row>
    <row r="14494" spans="2:2">
      <c r="B14494" s="36"/>
    </row>
    <row r="14495" spans="2:2">
      <c r="B14495" s="36"/>
    </row>
    <row r="14496" spans="2:2">
      <c r="B14496" s="36"/>
    </row>
    <row r="14497" spans="2:2">
      <c r="B14497" s="36"/>
    </row>
    <row r="14498" spans="2:2">
      <c r="B14498" s="36"/>
    </row>
    <row r="14499" spans="2:2">
      <c r="B14499" s="36"/>
    </row>
    <row r="14500" spans="2:2">
      <c r="B14500" s="36"/>
    </row>
    <row r="14501" spans="2:2">
      <c r="B14501" s="36"/>
    </row>
    <row r="14502" spans="2:2">
      <c r="B14502" s="36"/>
    </row>
    <row r="14503" spans="2:2">
      <c r="B14503" s="36"/>
    </row>
    <row r="14504" spans="2:2">
      <c r="B14504" s="36"/>
    </row>
    <row r="14505" spans="2:2">
      <c r="B14505" s="36"/>
    </row>
    <row r="14506" spans="2:2">
      <c r="B14506" s="36"/>
    </row>
    <row r="14507" spans="2:2">
      <c r="B14507" s="36"/>
    </row>
    <row r="14508" spans="2:2">
      <c r="B14508" s="36"/>
    </row>
    <row r="14509" spans="2:2">
      <c r="B14509" s="36"/>
    </row>
    <row r="14510" spans="2:2">
      <c r="B14510" s="36"/>
    </row>
    <row r="14511" spans="2:2">
      <c r="B14511" s="36"/>
    </row>
    <row r="14512" spans="2:2">
      <c r="B14512" s="36"/>
    </row>
    <row r="14513" spans="2:2">
      <c r="B14513" s="36"/>
    </row>
    <row r="14514" spans="2:2">
      <c r="B14514" s="36"/>
    </row>
    <row r="14515" spans="2:2">
      <c r="B14515" s="36"/>
    </row>
    <row r="14516" spans="2:2">
      <c r="B14516" s="36"/>
    </row>
    <row r="14517" spans="2:2">
      <c r="B14517" s="36"/>
    </row>
    <row r="14518" spans="2:2">
      <c r="B14518" s="36"/>
    </row>
    <row r="14519" spans="2:2">
      <c r="B14519" s="36"/>
    </row>
    <row r="14520" spans="2:2">
      <c r="B14520" s="36"/>
    </row>
    <row r="14521" spans="2:2">
      <c r="B14521" s="36"/>
    </row>
    <row r="14522" spans="2:2">
      <c r="B14522" s="36"/>
    </row>
    <row r="14523" spans="2:2">
      <c r="B14523" s="36"/>
    </row>
    <row r="14524" spans="2:2">
      <c r="B14524" s="36"/>
    </row>
    <row r="14525" spans="2:2">
      <c r="B14525" s="36"/>
    </row>
    <row r="14526" spans="2:2">
      <c r="B14526" s="36"/>
    </row>
    <row r="14527" spans="2:2">
      <c r="B14527" s="36"/>
    </row>
    <row r="14528" spans="2:2">
      <c r="B14528" s="36"/>
    </row>
    <row r="14529" spans="2:2">
      <c r="B14529" s="36"/>
    </row>
    <row r="14530" spans="2:2">
      <c r="B14530" s="36"/>
    </row>
    <row r="14531" spans="2:2">
      <c r="B14531" s="36"/>
    </row>
    <row r="14532" spans="2:2">
      <c r="B14532" s="36"/>
    </row>
    <row r="14533" spans="2:2">
      <c r="B14533" s="36"/>
    </row>
    <row r="14534" spans="2:2">
      <c r="B14534" s="36"/>
    </row>
    <row r="14535" spans="2:2">
      <c r="B14535" s="36"/>
    </row>
    <row r="14536" spans="2:2">
      <c r="B14536" s="36"/>
    </row>
    <row r="14537" spans="2:2">
      <c r="B14537" s="36"/>
    </row>
    <row r="14538" spans="2:2">
      <c r="B14538" s="36"/>
    </row>
    <row r="14539" spans="2:2">
      <c r="B14539" s="36"/>
    </row>
    <row r="14540" spans="2:2">
      <c r="B14540" s="36"/>
    </row>
    <row r="14541" spans="2:2">
      <c r="B14541" s="36"/>
    </row>
    <row r="14542" spans="2:2">
      <c r="B14542" s="36"/>
    </row>
    <row r="14543" spans="2:2">
      <c r="B14543" s="36"/>
    </row>
    <row r="14544" spans="2:2">
      <c r="B14544" s="36"/>
    </row>
    <row r="14545" spans="2:2">
      <c r="B14545" s="36"/>
    </row>
    <row r="14546" spans="2:2">
      <c r="B14546" s="36"/>
    </row>
    <row r="14547" spans="2:2">
      <c r="B14547" s="36"/>
    </row>
    <row r="14548" spans="2:2">
      <c r="B14548" s="36"/>
    </row>
    <row r="14549" spans="2:2">
      <c r="B14549" s="36"/>
    </row>
    <row r="14550" spans="2:2">
      <c r="B14550" s="36"/>
    </row>
    <row r="14551" spans="2:2">
      <c r="B14551" s="36"/>
    </row>
    <row r="14552" spans="2:2">
      <c r="B14552" s="36"/>
    </row>
    <row r="14553" spans="2:2">
      <c r="B14553" s="36"/>
    </row>
    <row r="14554" spans="2:2">
      <c r="B14554" s="36"/>
    </row>
    <row r="14555" spans="2:2">
      <c r="B14555" s="36"/>
    </row>
    <row r="14556" spans="2:2">
      <c r="B14556" s="36"/>
    </row>
    <row r="14557" spans="2:2">
      <c r="B14557" s="36"/>
    </row>
    <row r="14558" spans="2:2">
      <c r="B14558" s="36"/>
    </row>
    <row r="14559" spans="2:2">
      <c r="B14559" s="36"/>
    </row>
    <row r="14560" spans="2:2">
      <c r="B14560" s="36"/>
    </row>
    <row r="14561" spans="2:2">
      <c r="B14561" s="36"/>
    </row>
    <row r="14562" spans="2:2">
      <c r="B14562" s="36"/>
    </row>
    <row r="14563" spans="2:2">
      <c r="B14563" s="36"/>
    </row>
    <row r="14564" spans="2:2">
      <c r="B14564" s="36"/>
    </row>
    <row r="14565" spans="2:2">
      <c r="B14565" s="36"/>
    </row>
    <row r="14566" spans="2:2">
      <c r="B14566" s="36"/>
    </row>
    <row r="14567" spans="2:2">
      <c r="B14567" s="36"/>
    </row>
    <row r="14568" spans="2:2">
      <c r="B14568" s="36"/>
    </row>
    <row r="14569" spans="2:2">
      <c r="B14569" s="36"/>
    </row>
    <row r="14570" spans="2:2">
      <c r="B14570" s="36"/>
    </row>
    <row r="14571" spans="2:2">
      <c r="B14571" s="36"/>
    </row>
    <row r="14572" spans="2:2">
      <c r="B14572" s="36"/>
    </row>
    <row r="14573" spans="2:2">
      <c r="B14573" s="36"/>
    </row>
    <row r="14574" spans="2:2">
      <c r="B14574" s="36"/>
    </row>
    <row r="14575" spans="2:2">
      <c r="B14575" s="36"/>
    </row>
    <row r="14576" spans="2:2">
      <c r="B14576" s="36"/>
    </row>
    <row r="14577" spans="2:2">
      <c r="B14577" s="36"/>
    </row>
    <row r="14578" spans="2:2">
      <c r="B14578" s="36"/>
    </row>
    <row r="14579" spans="2:2">
      <c r="B14579" s="36"/>
    </row>
    <row r="14580" spans="2:2">
      <c r="B14580" s="36"/>
    </row>
    <row r="14581" spans="2:2">
      <c r="B14581" s="36"/>
    </row>
    <row r="14582" spans="2:2">
      <c r="B14582" s="36"/>
    </row>
    <row r="14583" spans="2:2">
      <c r="B14583" s="36"/>
    </row>
    <row r="14584" spans="2:2">
      <c r="B14584" s="36"/>
    </row>
    <row r="14585" spans="2:2">
      <c r="B14585" s="36"/>
    </row>
    <row r="14586" spans="2:2">
      <c r="B14586" s="36"/>
    </row>
    <row r="14587" spans="2:2">
      <c r="B14587" s="36"/>
    </row>
    <row r="14588" spans="2:2">
      <c r="B14588" s="36"/>
    </row>
    <row r="14589" spans="2:2">
      <c r="B14589" s="36"/>
    </row>
    <row r="14590" spans="2:2">
      <c r="B14590" s="36"/>
    </row>
    <row r="14591" spans="2:2">
      <c r="B14591" s="36"/>
    </row>
    <row r="14592" spans="2:2">
      <c r="B14592" s="36"/>
    </row>
    <row r="14593" spans="2:2">
      <c r="B14593" s="36"/>
    </row>
    <row r="14594" spans="2:2">
      <c r="B14594" s="36"/>
    </row>
    <row r="14595" spans="2:2">
      <c r="B14595" s="36"/>
    </row>
    <row r="14596" spans="2:2">
      <c r="B14596" s="36"/>
    </row>
    <row r="14597" spans="2:2">
      <c r="B14597" s="36"/>
    </row>
    <row r="14598" spans="2:2">
      <c r="B14598" s="36"/>
    </row>
    <row r="14599" spans="2:2">
      <c r="B14599" s="36"/>
    </row>
    <row r="14600" spans="2:2">
      <c r="B14600" s="36"/>
    </row>
    <row r="14601" spans="2:2">
      <c r="B14601" s="36"/>
    </row>
    <row r="14602" spans="2:2">
      <c r="B14602" s="36"/>
    </row>
    <row r="14603" spans="2:2">
      <c r="B14603" s="36"/>
    </row>
    <row r="14604" spans="2:2">
      <c r="B14604" s="36"/>
    </row>
    <row r="14605" spans="2:2">
      <c r="B14605" s="36"/>
    </row>
    <row r="14606" spans="2:2">
      <c r="B14606" s="36"/>
    </row>
    <row r="14607" spans="2:2">
      <c r="B14607" s="36"/>
    </row>
    <row r="14608" spans="2:2">
      <c r="B14608" s="36"/>
    </row>
    <row r="14609" spans="2:2">
      <c r="B14609" s="36"/>
    </row>
    <row r="14610" spans="2:2">
      <c r="B14610" s="36"/>
    </row>
    <row r="14611" spans="2:2">
      <c r="B14611" s="36"/>
    </row>
    <row r="14612" spans="2:2">
      <c r="B14612" s="36"/>
    </row>
    <row r="14613" spans="2:2">
      <c r="B14613" s="36"/>
    </row>
    <row r="14614" spans="2:2">
      <c r="B14614" s="36"/>
    </row>
    <row r="14615" spans="2:2">
      <c r="B14615" s="36"/>
    </row>
    <row r="14616" spans="2:2">
      <c r="B14616" s="36"/>
    </row>
    <row r="14617" spans="2:2">
      <c r="B14617" s="36"/>
    </row>
    <row r="14618" spans="2:2">
      <c r="B14618" s="36"/>
    </row>
    <row r="14619" spans="2:2">
      <c r="B14619" s="36"/>
    </row>
    <row r="14620" spans="2:2">
      <c r="B14620" s="36"/>
    </row>
    <row r="14621" spans="2:2">
      <c r="B14621" s="36"/>
    </row>
    <row r="14622" spans="2:2">
      <c r="B14622" s="36"/>
    </row>
    <row r="14623" spans="2:2">
      <c r="B14623" s="36"/>
    </row>
    <row r="14624" spans="2:2">
      <c r="B14624" s="36"/>
    </row>
    <row r="14625" spans="2:2">
      <c r="B14625" s="36"/>
    </row>
    <row r="14626" spans="2:2">
      <c r="B14626" s="36"/>
    </row>
    <row r="14627" spans="2:2">
      <c r="B14627" s="36"/>
    </row>
    <row r="14628" spans="2:2">
      <c r="B14628" s="36"/>
    </row>
    <row r="14629" spans="2:2">
      <c r="B14629" s="36"/>
    </row>
    <row r="14630" spans="2:2">
      <c r="B14630" s="36"/>
    </row>
    <row r="14631" spans="2:2">
      <c r="B14631" s="36"/>
    </row>
    <row r="14632" spans="2:2">
      <c r="B14632" s="36"/>
    </row>
    <row r="14633" spans="2:2">
      <c r="B14633" s="36"/>
    </row>
    <row r="14634" spans="2:2">
      <c r="B14634" s="36"/>
    </row>
    <row r="14635" spans="2:2">
      <c r="B14635" s="36"/>
    </row>
    <row r="14636" spans="2:2">
      <c r="B14636" s="36"/>
    </row>
    <row r="14637" spans="2:2">
      <c r="B14637" s="36"/>
    </row>
    <row r="14638" spans="2:2">
      <c r="B14638" s="36"/>
    </row>
    <row r="14639" spans="2:2">
      <c r="B14639" s="36"/>
    </row>
    <row r="14640" spans="2:2">
      <c r="B14640" s="36"/>
    </row>
    <row r="14641" spans="2:2">
      <c r="B14641" s="36"/>
    </row>
    <row r="14642" spans="2:2">
      <c r="B14642" s="36"/>
    </row>
    <row r="14643" spans="2:2">
      <c r="B14643" s="36"/>
    </row>
    <row r="14644" spans="2:2">
      <c r="B14644" s="36"/>
    </row>
    <row r="14645" spans="2:2">
      <c r="B14645" s="36"/>
    </row>
    <row r="14646" spans="2:2">
      <c r="B14646" s="36"/>
    </row>
    <row r="14647" spans="2:2">
      <c r="B14647" s="36"/>
    </row>
    <row r="14648" spans="2:2">
      <c r="B14648" s="36"/>
    </row>
    <row r="14649" spans="2:2">
      <c r="B14649" s="36"/>
    </row>
    <row r="14650" spans="2:2">
      <c r="B14650" s="36"/>
    </row>
    <row r="14651" spans="2:2">
      <c r="B14651" s="36"/>
    </row>
    <row r="14652" spans="2:2">
      <c r="B14652" s="36"/>
    </row>
    <row r="14653" spans="2:2">
      <c r="B14653" s="36"/>
    </row>
    <row r="14654" spans="2:2">
      <c r="B14654" s="36"/>
    </row>
    <row r="14655" spans="2:2">
      <c r="B14655" s="36"/>
    </row>
    <row r="14656" spans="2:2">
      <c r="B14656" s="36"/>
    </row>
    <row r="14657" spans="2:2">
      <c r="B14657" s="36"/>
    </row>
    <row r="14658" spans="2:2">
      <c r="B14658" s="36"/>
    </row>
    <row r="14659" spans="2:2">
      <c r="B14659" s="36"/>
    </row>
    <row r="14660" spans="2:2">
      <c r="B14660" s="36"/>
    </row>
    <row r="14661" spans="2:2">
      <c r="B14661" s="36"/>
    </row>
    <row r="14662" spans="2:2">
      <c r="B14662" s="36"/>
    </row>
    <row r="14663" spans="2:2">
      <c r="B14663" s="36"/>
    </row>
    <row r="14664" spans="2:2">
      <c r="B14664" s="36"/>
    </row>
    <row r="14665" spans="2:2">
      <c r="B14665" s="36"/>
    </row>
    <row r="14666" spans="2:2">
      <c r="B14666" s="36"/>
    </row>
    <row r="14667" spans="2:2">
      <c r="B14667" s="36"/>
    </row>
    <row r="14668" spans="2:2">
      <c r="B14668" s="36"/>
    </row>
    <row r="14669" spans="2:2">
      <c r="B14669" s="36"/>
    </row>
    <row r="14670" spans="2:2">
      <c r="B14670" s="36"/>
    </row>
    <row r="14671" spans="2:2">
      <c r="B14671" s="36"/>
    </row>
    <row r="14672" spans="2:2">
      <c r="B14672" s="36"/>
    </row>
    <row r="14673" spans="2:2">
      <c r="B14673" s="36"/>
    </row>
    <row r="14674" spans="2:2">
      <c r="B14674" s="36"/>
    </row>
    <row r="14675" spans="2:2">
      <c r="B14675" s="36"/>
    </row>
    <row r="14676" spans="2:2">
      <c r="B14676" s="36"/>
    </row>
    <row r="14677" spans="2:2">
      <c r="B14677" s="36"/>
    </row>
    <row r="14678" spans="2:2">
      <c r="B14678" s="36"/>
    </row>
    <row r="14679" spans="2:2">
      <c r="B14679" s="36"/>
    </row>
    <row r="14680" spans="2:2">
      <c r="B14680" s="36"/>
    </row>
    <row r="14681" spans="2:2">
      <c r="B14681" s="36"/>
    </row>
    <row r="14682" spans="2:2">
      <c r="B14682" s="36"/>
    </row>
    <row r="14683" spans="2:2">
      <c r="B14683" s="36"/>
    </row>
    <row r="14684" spans="2:2">
      <c r="B14684" s="36"/>
    </row>
    <row r="14685" spans="2:2">
      <c r="B14685" s="36"/>
    </row>
    <row r="14686" spans="2:2">
      <c r="B14686" s="36"/>
    </row>
    <row r="14687" spans="2:2">
      <c r="B14687" s="36"/>
    </row>
    <row r="14688" spans="2:2">
      <c r="B14688" s="36"/>
    </row>
    <row r="14689" spans="2:2">
      <c r="B14689" s="36"/>
    </row>
    <row r="14690" spans="2:2">
      <c r="B14690" s="36"/>
    </row>
    <row r="14691" spans="2:2">
      <c r="B14691" s="36"/>
    </row>
    <row r="14692" spans="2:2">
      <c r="B14692" s="36"/>
    </row>
    <row r="14693" spans="2:2">
      <c r="B14693" s="36"/>
    </row>
    <row r="14694" spans="2:2">
      <c r="B14694" s="36"/>
    </row>
    <row r="14695" spans="2:2">
      <c r="B14695" s="36"/>
    </row>
    <row r="14696" spans="2:2">
      <c r="B14696" s="36"/>
    </row>
    <row r="14697" spans="2:2">
      <c r="B14697" s="36"/>
    </row>
    <row r="14698" spans="2:2">
      <c r="B14698" s="36"/>
    </row>
    <row r="14699" spans="2:2">
      <c r="B14699" s="36"/>
    </row>
    <row r="14700" spans="2:2">
      <c r="B14700" s="36"/>
    </row>
    <row r="14701" spans="2:2">
      <c r="B14701" s="36"/>
    </row>
    <row r="14702" spans="2:2">
      <c r="B14702" s="36"/>
    </row>
    <row r="14703" spans="2:2">
      <c r="B14703" s="36"/>
    </row>
    <row r="14704" spans="2:2">
      <c r="B14704" s="36"/>
    </row>
    <row r="14705" spans="2:2">
      <c r="B14705" s="36"/>
    </row>
    <row r="14706" spans="2:2">
      <c r="B14706" s="36"/>
    </row>
    <row r="14707" spans="2:2">
      <c r="B14707" s="36"/>
    </row>
    <row r="14708" spans="2:2">
      <c r="B14708" s="36"/>
    </row>
    <row r="14709" spans="2:2">
      <c r="B14709" s="36"/>
    </row>
    <row r="14710" spans="2:2">
      <c r="B14710" s="36"/>
    </row>
    <row r="14711" spans="2:2">
      <c r="B14711" s="36"/>
    </row>
    <row r="14712" spans="2:2">
      <c r="B14712" s="36"/>
    </row>
    <row r="14713" spans="2:2">
      <c r="B14713" s="36"/>
    </row>
    <row r="14714" spans="2:2">
      <c r="B14714" s="36"/>
    </row>
    <row r="14715" spans="2:2">
      <c r="B14715" s="36"/>
    </row>
    <row r="14716" spans="2:2">
      <c r="B14716" s="36"/>
    </row>
    <row r="14717" spans="2:2">
      <c r="B14717" s="36"/>
    </row>
    <row r="14718" spans="2:2">
      <c r="B14718" s="36"/>
    </row>
    <row r="14719" spans="2:2">
      <c r="B14719" s="36"/>
    </row>
    <row r="14720" spans="2:2">
      <c r="B14720" s="36"/>
    </row>
    <row r="14721" spans="2:2">
      <c r="B14721" s="36"/>
    </row>
    <row r="14722" spans="2:2">
      <c r="B14722" s="36"/>
    </row>
    <row r="14723" spans="2:2">
      <c r="B14723" s="36"/>
    </row>
    <row r="14724" spans="2:2">
      <c r="B14724" s="36"/>
    </row>
    <row r="14725" spans="2:2">
      <c r="B14725" s="36"/>
    </row>
    <row r="14726" spans="2:2">
      <c r="B14726" s="36"/>
    </row>
    <row r="14727" spans="2:2">
      <c r="B14727" s="36"/>
    </row>
    <row r="14728" spans="2:2">
      <c r="B14728" s="36"/>
    </row>
    <row r="14729" spans="2:2">
      <c r="B14729" s="36"/>
    </row>
    <row r="14730" spans="2:2">
      <c r="B14730" s="36"/>
    </row>
    <row r="14731" spans="2:2">
      <c r="B14731" s="36"/>
    </row>
    <row r="14732" spans="2:2">
      <c r="B14732" s="36"/>
    </row>
    <row r="14733" spans="2:2">
      <c r="B14733" s="36"/>
    </row>
    <row r="14734" spans="2:2">
      <c r="B14734" s="36"/>
    </row>
    <row r="14735" spans="2:2">
      <c r="B14735" s="36"/>
    </row>
    <row r="14736" spans="2:2">
      <c r="B14736" s="36"/>
    </row>
    <row r="14737" spans="2:2">
      <c r="B14737" s="36"/>
    </row>
    <row r="14738" spans="2:2">
      <c r="B14738" s="36"/>
    </row>
    <row r="14739" spans="2:2">
      <c r="B14739" s="36"/>
    </row>
    <row r="14740" spans="2:2">
      <c r="B14740" s="36"/>
    </row>
    <row r="14741" spans="2:2">
      <c r="B14741" s="36"/>
    </row>
    <row r="14742" spans="2:2">
      <c r="B14742" s="36"/>
    </row>
    <row r="14743" spans="2:2">
      <c r="B14743" s="36"/>
    </row>
    <row r="14744" spans="2:2">
      <c r="B14744" s="36"/>
    </row>
    <row r="14745" spans="2:2">
      <c r="B14745" s="36"/>
    </row>
    <row r="14746" spans="2:2">
      <c r="B14746" s="36"/>
    </row>
    <row r="14747" spans="2:2">
      <c r="B14747" s="36"/>
    </row>
    <row r="14748" spans="2:2">
      <c r="B14748" s="36"/>
    </row>
    <row r="14749" spans="2:2">
      <c r="B14749" s="36"/>
    </row>
    <row r="14750" spans="2:2">
      <c r="B14750" s="36"/>
    </row>
    <row r="14751" spans="2:2">
      <c r="B14751" s="36"/>
    </row>
    <row r="14752" spans="2:2">
      <c r="B14752" s="36"/>
    </row>
    <row r="14753" spans="2:2">
      <c r="B14753" s="36"/>
    </row>
    <row r="14754" spans="2:2">
      <c r="B14754" s="36"/>
    </row>
    <row r="14755" spans="2:2">
      <c r="B14755" s="36"/>
    </row>
    <row r="14756" spans="2:2">
      <c r="B14756" s="36"/>
    </row>
    <row r="14757" spans="2:2">
      <c r="B14757" s="36"/>
    </row>
    <row r="14758" spans="2:2">
      <c r="B14758" s="36"/>
    </row>
    <row r="14759" spans="2:2">
      <c r="B14759" s="36"/>
    </row>
    <row r="14760" spans="2:2">
      <c r="B14760" s="36"/>
    </row>
    <row r="14761" spans="2:2">
      <c r="B14761" s="36"/>
    </row>
    <row r="14762" spans="2:2">
      <c r="B14762" s="36"/>
    </row>
    <row r="14763" spans="2:2">
      <c r="B14763" s="36"/>
    </row>
    <row r="14764" spans="2:2">
      <c r="B14764" s="36"/>
    </row>
    <row r="14765" spans="2:2">
      <c r="B14765" s="36"/>
    </row>
    <row r="14766" spans="2:2">
      <c r="B14766" s="36"/>
    </row>
    <row r="14767" spans="2:2">
      <c r="B14767" s="36"/>
    </row>
    <row r="14768" spans="2:2">
      <c r="B14768" s="36"/>
    </row>
    <row r="14769" spans="2:2">
      <c r="B14769" s="36"/>
    </row>
    <row r="14770" spans="2:2">
      <c r="B14770" s="36"/>
    </row>
    <row r="14771" spans="2:2">
      <c r="B14771" s="36"/>
    </row>
    <row r="14772" spans="2:2">
      <c r="B14772" s="36"/>
    </row>
    <row r="14773" spans="2:2">
      <c r="B14773" s="36"/>
    </row>
    <row r="14774" spans="2:2">
      <c r="B14774" s="36"/>
    </row>
    <row r="14775" spans="2:2">
      <c r="B14775" s="36"/>
    </row>
    <row r="14776" spans="2:2">
      <c r="B14776" s="36"/>
    </row>
    <row r="14777" spans="2:2">
      <c r="B14777" s="36"/>
    </row>
    <row r="14778" spans="2:2">
      <c r="B14778" s="36"/>
    </row>
    <row r="14779" spans="2:2">
      <c r="B14779" s="36"/>
    </row>
    <row r="14780" spans="2:2">
      <c r="B14780" s="36"/>
    </row>
    <row r="14781" spans="2:2">
      <c r="B14781" s="36"/>
    </row>
    <row r="14782" spans="2:2">
      <c r="B14782" s="36"/>
    </row>
    <row r="14783" spans="2:2">
      <c r="B14783" s="36"/>
    </row>
    <row r="14784" spans="2:2">
      <c r="B14784" s="36"/>
    </row>
    <row r="14785" spans="2:2">
      <c r="B14785" s="36"/>
    </row>
    <row r="14786" spans="2:2">
      <c r="B14786" s="36"/>
    </row>
    <row r="14787" spans="2:2">
      <c r="B14787" s="36"/>
    </row>
    <row r="14788" spans="2:2">
      <c r="B14788" s="36"/>
    </row>
    <row r="14789" spans="2:2">
      <c r="B14789" s="36"/>
    </row>
    <row r="14790" spans="2:2">
      <c r="B14790" s="36"/>
    </row>
    <row r="14791" spans="2:2">
      <c r="B14791" s="36"/>
    </row>
    <row r="14792" spans="2:2">
      <c r="B14792" s="36"/>
    </row>
    <row r="14793" spans="2:2">
      <c r="B14793" s="36"/>
    </row>
    <row r="14794" spans="2:2">
      <c r="B14794" s="36"/>
    </row>
    <row r="14795" spans="2:2">
      <c r="B14795" s="36"/>
    </row>
    <row r="14796" spans="2:2">
      <c r="B14796" s="36"/>
    </row>
    <row r="14797" spans="2:2">
      <c r="B14797" s="36"/>
    </row>
    <row r="14798" spans="2:2">
      <c r="B14798" s="36"/>
    </row>
    <row r="14799" spans="2:2">
      <c r="B14799" s="36"/>
    </row>
    <row r="14800" spans="2:2">
      <c r="B14800" s="36"/>
    </row>
    <row r="14801" spans="2:2">
      <c r="B14801" s="36"/>
    </row>
    <row r="14802" spans="2:2">
      <c r="B14802" s="36"/>
    </row>
    <row r="14803" spans="2:2">
      <c r="B14803" s="36"/>
    </row>
    <row r="14804" spans="2:2">
      <c r="B14804" s="36"/>
    </row>
    <row r="14805" spans="2:2">
      <c r="B14805" s="36"/>
    </row>
    <row r="14806" spans="2:2">
      <c r="B14806" s="36"/>
    </row>
    <row r="14807" spans="2:2">
      <c r="B14807" s="36"/>
    </row>
    <row r="14808" spans="2:2">
      <c r="B14808" s="36"/>
    </row>
    <row r="14809" spans="2:2">
      <c r="B14809" s="36"/>
    </row>
    <row r="14810" spans="2:2">
      <c r="B14810" s="36"/>
    </row>
    <row r="14811" spans="2:2">
      <c r="B14811" s="36"/>
    </row>
    <row r="14812" spans="2:2">
      <c r="B14812" s="36"/>
    </row>
    <row r="14813" spans="2:2">
      <c r="B14813" s="36"/>
    </row>
    <row r="14814" spans="2:2">
      <c r="B14814" s="36"/>
    </row>
    <row r="14815" spans="2:2">
      <c r="B14815" s="36"/>
    </row>
    <row r="14816" spans="2:2">
      <c r="B14816" s="36"/>
    </row>
    <row r="14817" spans="2:2">
      <c r="B14817" s="36"/>
    </row>
    <row r="14818" spans="2:2">
      <c r="B14818" s="36"/>
    </row>
    <row r="14819" spans="2:2">
      <c r="B14819" s="36"/>
    </row>
    <row r="14820" spans="2:2">
      <c r="B14820" s="36"/>
    </row>
    <row r="14821" spans="2:2">
      <c r="B14821" s="36"/>
    </row>
    <row r="14822" spans="2:2">
      <c r="B14822" s="36"/>
    </row>
    <row r="14823" spans="2:2">
      <c r="B14823" s="36"/>
    </row>
    <row r="14824" spans="2:2">
      <c r="B14824" s="36"/>
    </row>
    <row r="14825" spans="2:2">
      <c r="B14825" s="36"/>
    </row>
    <row r="14826" spans="2:2">
      <c r="B14826" s="36"/>
    </row>
    <row r="14827" spans="2:2">
      <c r="B14827" s="36"/>
    </row>
    <row r="14828" spans="2:2">
      <c r="B14828" s="36"/>
    </row>
    <row r="14829" spans="2:2">
      <c r="B14829" s="36"/>
    </row>
    <row r="14830" spans="2:2">
      <c r="B14830" s="36"/>
    </row>
    <row r="14831" spans="2:2">
      <c r="B14831" s="36"/>
    </row>
    <row r="14832" spans="2:2">
      <c r="B14832" s="36"/>
    </row>
    <row r="14833" spans="2:2">
      <c r="B14833" s="36"/>
    </row>
    <row r="14834" spans="2:2">
      <c r="B14834" s="36"/>
    </row>
    <row r="14835" spans="2:2">
      <c r="B14835" s="36"/>
    </row>
    <row r="14836" spans="2:2">
      <c r="B14836" s="36"/>
    </row>
    <row r="14837" spans="2:2">
      <c r="B14837" s="36"/>
    </row>
    <row r="14838" spans="2:2">
      <c r="B14838" s="36"/>
    </row>
    <row r="14839" spans="2:2">
      <c r="B14839" s="36"/>
    </row>
    <row r="14840" spans="2:2">
      <c r="B14840" s="36"/>
    </row>
    <row r="14841" spans="2:2">
      <c r="B14841" s="36"/>
    </row>
    <row r="14842" spans="2:2">
      <c r="B14842" s="36"/>
    </row>
    <row r="14843" spans="2:2">
      <c r="B14843" s="36"/>
    </row>
    <row r="14844" spans="2:2">
      <c r="B14844" s="36"/>
    </row>
    <row r="14845" spans="2:2">
      <c r="B14845" s="36"/>
    </row>
    <row r="14846" spans="2:2">
      <c r="B14846" s="36"/>
    </row>
    <row r="14847" spans="2:2">
      <c r="B14847" s="36"/>
    </row>
    <row r="14848" spans="2:2">
      <c r="B14848" s="36"/>
    </row>
    <row r="14849" spans="2:2">
      <c r="B14849" s="36"/>
    </row>
    <row r="14850" spans="2:2">
      <c r="B14850" s="36"/>
    </row>
    <row r="14851" spans="2:2">
      <c r="B14851" s="36"/>
    </row>
    <row r="14852" spans="2:2">
      <c r="B14852" s="36"/>
    </row>
    <row r="14853" spans="2:2">
      <c r="B14853" s="36"/>
    </row>
    <row r="14854" spans="2:2">
      <c r="B14854" s="36"/>
    </row>
    <row r="14855" spans="2:2">
      <c r="B14855" s="36"/>
    </row>
    <row r="14856" spans="2:2">
      <c r="B14856" s="36"/>
    </row>
    <row r="14857" spans="2:2">
      <c r="B14857" s="36"/>
    </row>
    <row r="14858" spans="2:2">
      <c r="B14858" s="36"/>
    </row>
    <row r="14859" spans="2:2">
      <c r="B14859" s="36"/>
    </row>
    <row r="14860" spans="2:2">
      <c r="B14860" s="36"/>
    </row>
    <row r="14861" spans="2:2">
      <c r="B14861" s="36"/>
    </row>
    <row r="14862" spans="2:2">
      <c r="B14862" s="36"/>
    </row>
    <row r="14863" spans="2:2">
      <c r="B14863" s="36"/>
    </row>
    <row r="14864" spans="2:2">
      <c r="B14864" s="36"/>
    </row>
    <row r="14865" spans="2:2">
      <c r="B14865" s="36"/>
    </row>
    <row r="14866" spans="2:2">
      <c r="B14866" s="36"/>
    </row>
    <row r="14867" spans="2:2">
      <c r="B14867" s="36"/>
    </row>
    <row r="14868" spans="2:2">
      <c r="B14868" s="36"/>
    </row>
    <row r="14869" spans="2:2">
      <c r="B14869" s="36"/>
    </row>
    <row r="14870" spans="2:2">
      <c r="B14870" s="36"/>
    </row>
    <row r="14871" spans="2:2">
      <c r="B14871" s="36"/>
    </row>
    <row r="14872" spans="2:2">
      <c r="B14872" s="36"/>
    </row>
    <row r="14873" spans="2:2">
      <c r="B14873" s="36"/>
    </row>
    <row r="14874" spans="2:2">
      <c r="B14874" s="36"/>
    </row>
    <row r="14875" spans="2:2">
      <c r="B14875" s="36"/>
    </row>
    <row r="14876" spans="2:2">
      <c r="B14876" s="36"/>
    </row>
    <row r="14877" spans="2:2">
      <c r="B14877" s="36"/>
    </row>
    <row r="14878" spans="2:2">
      <c r="B14878" s="36"/>
    </row>
    <row r="14879" spans="2:2">
      <c r="B14879" s="36"/>
    </row>
    <row r="14880" spans="2:2">
      <c r="B14880" s="36"/>
    </row>
    <row r="14881" spans="2:2">
      <c r="B14881" s="36"/>
    </row>
    <row r="14882" spans="2:2">
      <c r="B14882" s="36"/>
    </row>
    <row r="14883" spans="2:2">
      <c r="B14883" s="36"/>
    </row>
    <row r="14884" spans="2:2">
      <c r="B14884" s="36"/>
    </row>
    <row r="14885" spans="2:2">
      <c r="B14885" s="36"/>
    </row>
    <row r="14886" spans="2:2">
      <c r="B14886" s="36"/>
    </row>
    <row r="14887" spans="2:2">
      <c r="B14887" s="36"/>
    </row>
    <row r="14888" spans="2:2">
      <c r="B14888" s="36"/>
    </row>
    <row r="14889" spans="2:2">
      <c r="B14889" s="36"/>
    </row>
    <row r="14890" spans="2:2">
      <c r="B14890" s="36"/>
    </row>
    <row r="14891" spans="2:2">
      <c r="B14891" s="36"/>
    </row>
    <row r="14892" spans="2:2">
      <c r="B14892" s="36"/>
    </row>
    <row r="14893" spans="2:2">
      <c r="B14893" s="36"/>
    </row>
    <row r="14894" spans="2:2">
      <c r="B14894" s="36"/>
    </row>
    <row r="14895" spans="2:2">
      <c r="B14895" s="36"/>
    </row>
    <row r="14896" spans="2:2">
      <c r="B14896" s="36"/>
    </row>
    <row r="14897" spans="2:2">
      <c r="B14897" s="36"/>
    </row>
    <row r="14898" spans="2:2">
      <c r="B14898" s="36"/>
    </row>
    <row r="14899" spans="2:2">
      <c r="B14899" s="36"/>
    </row>
    <row r="14900" spans="2:2">
      <c r="B14900" s="36"/>
    </row>
    <row r="14901" spans="2:2">
      <c r="B14901" s="36"/>
    </row>
    <row r="14902" spans="2:2">
      <c r="B14902" s="36"/>
    </row>
    <row r="14903" spans="2:2">
      <c r="B14903" s="36"/>
    </row>
    <row r="14904" spans="2:2">
      <c r="B14904" s="36"/>
    </row>
    <row r="14905" spans="2:2">
      <c r="B14905" s="36"/>
    </row>
    <row r="14906" spans="2:2">
      <c r="B14906" s="36"/>
    </row>
    <row r="14907" spans="2:2">
      <c r="B14907" s="36"/>
    </row>
    <row r="14908" spans="2:2">
      <c r="B14908" s="36"/>
    </row>
    <row r="14909" spans="2:2">
      <c r="B14909" s="36"/>
    </row>
    <row r="14910" spans="2:2">
      <c r="B14910" s="36"/>
    </row>
    <row r="14911" spans="2:2">
      <c r="B14911" s="36"/>
    </row>
    <row r="14912" spans="2:2">
      <c r="B14912" s="36"/>
    </row>
    <row r="14913" spans="2:2">
      <c r="B14913" s="36"/>
    </row>
    <row r="14914" spans="2:2">
      <c r="B14914" s="36"/>
    </row>
    <row r="14915" spans="2:2">
      <c r="B14915" s="36"/>
    </row>
    <row r="14916" spans="2:2">
      <c r="B14916" s="36"/>
    </row>
    <row r="14917" spans="2:2">
      <c r="B14917" s="36"/>
    </row>
    <row r="14918" spans="2:2">
      <c r="B14918" s="36"/>
    </row>
    <row r="14919" spans="2:2">
      <c r="B14919" s="36"/>
    </row>
    <row r="14920" spans="2:2">
      <c r="B14920" s="36"/>
    </row>
    <row r="14921" spans="2:2">
      <c r="B14921" s="36"/>
    </row>
    <row r="14922" spans="2:2">
      <c r="B14922" s="36"/>
    </row>
    <row r="14923" spans="2:2">
      <c r="B14923" s="36"/>
    </row>
    <row r="14924" spans="2:2">
      <c r="B14924" s="36"/>
    </row>
    <row r="14925" spans="2:2">
      <c r="B14925" s="36"/>
    </row>
    <row r="14926" spans="2:2">
      <c r="B14926" s="36"/>
    </row>
    <row r="14927" spans="2:2">
      <c r="B14927" s="36"/>
    </row>
    <row r="14928" spans="2:2">
      <c r="B14928" s="36"/>
    </row>
    <row r="14929" spans="2:2">
      <c r="B14929" s="36"/>
    </row>
    <row r="14930" spans="2:2">
      <c r="B14930" s="36"/>
    </row>
    <row r="14931" spans="2:2">
      <c r="B14931" s="36"/>
    </row>
    <row r="14932" spans="2:2">
      <c r="B14932" s="36"/>
    </row>
    <row r="14933" spans="2:2">
      <c r="B14933" s="36"/>
    </row>
    <row r="14934" spans="2:2">
      <c r="B14934" s="36"/>
    </row>
    <row r="14935" spans="2:2">
      <c r="B14935" s="36"/>
    </row>
    <row r="14936" spans="2:2">
      <c r="B14936" s="36"/>
    </row>
    <row r="14937" spans="2:2">
      <c r="B14937" s="36"/>
    </row>
    <row r="14938" spans="2:2">
      <c r="B14938" s="36"/>
    </row>
    <row r="14939" spans="2:2">
      <c r="B14939" s="36"/>
    </row>
    <row r="14940" spans="2:2">
      <c r="B14940" s="36"/>
    </row>
    <row r="14941" spans="2:2">
      <c r="B14941" s="36"/>
    </row>
    <row r="14942" spans="2:2">
      <c r="B14942" s="36"/>
    </row>
    <row r="14943" spans="2:2">
      <c r="B14943" s="36"/>
    </row>
    <row r="14944" spans="2:2">
      <c r="B14944" s="36"/>
    </row>
    <row r="14945" spans="2:2">
      <c r="B14945" s="36"/>
    </row>
    <row r="14946" spans="2:2">
      <c r="B14946" s="36"/>
    </row>
    <row r="14947" spans="2:2">
      <c r="B14947" s="36"/>
    </row>
    <row r="14948" spans="2:2">
      <c r="B14948" s="36"/>
    </row>
    <row r="14949" spans="2:2">
      <c r="B14949" s="36"/>
    </row>
    <row r="14950" spans="2:2">
      <c r="B14950" s="36"/>
    </row>
    <row r="14951" spans="2:2">
      <c r="B14951" s="36"/>
    </row>
    <row r="14952" spans="2:2">
      <c r="B14952" s="36"/>
    </row>
    <row r="14953" spans="2:2">
      <c r="B14953" s="36"/>
    </row>
    <row r="14954" spans="2:2">
      <c r="B14954" s="36"/>
    </row>
    <row r="14955" spans="2:2">
      <c r="B14955" s="36"/>
    </row>
    <row r="14956" spans="2:2">
      <c r="B14956" s="36"/>
    </row>
    <row r="14957" spans="2:2">
      <c r="B14957" s="36"/>
    </row>
    <row r="14958" spans="2:2">
      <c r="B14958" s="36"/>
    </row>
    <row r="14959" spans="2:2">
      <c r="B14959" s="36"/>
    </row>
    <row r="14960" spans="2:2">
      <c r="B14960" s="36"/>
    </row>
    <row r="14961" spans="2:2">
      <c r="B14961" s="36"/>
    </row>
    <row r="14962" spans="2:2">
      <c r="B14962" s="36"/>
    </row>
    <row r="14963" spans="2:2">
      <c r="B14963" s="36"/>
    </row>
    <row r="14964" spans="2:2">
      <c r="B14964" s="36"/>
    </row>
    <row r="14965" spans="2:2">
      <c r="B14965" s="36"/>
    </row>
    <row r="14966" spans="2:2">
      <c r="B14966" s="36"/>
    </row>
    <row r="14967" spans="2:2">
      <c r="B14967" s="36"/>
    </row>
    <row r="14968" spans="2:2">
      <c r="B14968" s="36"/>
    </row>
    <row r="14969" spans="2:2">
      <c r="B14969" s="36"/>
    </row>
    <row r="14970" spans="2:2">
      <c r="B14970" s="36"/>
    </row>
    <row r="14971" spans="2:2">
      <c r="B14971" s="36"/>
    </row>
    <row r="14972" spans="2:2">
      <c r="B14972" s="36"/>
    </row>
    <row r="14973" spans="2:2">
      <c r="B14973" s="36"/>
    </row>
    <row r="14974" spans="2:2">
      <c r="B14974" s="36"/>
    </row>
    <row r="14975" spans="2:2">
      <c r="B14975" s="36"/>
    </row>
    <row r="14976" spans="2:2">
      <c r="B14976" s="36"/>
    </row>
    <row r="14977" spans="2:2">
      <c r="B14977" s="36"/>
    </row>
    <row r="14978" spans="2:2">
      <c r="B14978" s="36"/>
    </row>
    <row r="14979" spans="2:2">
      <c r="B14979" s="36"/>
    </row>
    <row r="14980" spans="2:2">
      <c r="B14980" s="36"/>
    </row>
    <row r="14981" spans="2:2">
      <c r="B14981" s="36"/>
    </row>
    <row r="14982" spans="2:2">
      <c r="B14982" s="36"/>
    </row>
    <row r="14983" spans="2:2">
      <c r="B14983" s="36"/>
    </row>
    <row r="14984" spans="2:2">
      <c r="B14984" s="36"/>
    </row>
    <row r="14985" spans="2:2">
      <c r="B14985" s="36"/>
    </row>
    <row r="14986" spans="2:2">
      <c r="B14986" s="36"/>
    </row>
    <row r="14987" spans="2:2">
      <c r="B14987" s="36"/>
    </row>
    <row r="14988" spans="2:2">
      <c r="B14988" s="36"/>
    </row>
    <row r="14989" spans="2:2">
      <c r="B14989" s="36"/>
    </row>
    <row r="14990" spans="2:2">
      <c r="B14990" s="36"/>
    </row>
    <row r="14991" spans="2:2">
      <c r="B14991" s="36"/>
    </row>
    <row r="14992" spans="2:2">
      <c r="B14992" s="36"/>
    </row>
    <row r="14993" spans="2:2">
      <c r="B14993" s="36"/>
    </row>
    <row r="14994" spans="2:2">
      <c r="B14994" s="36"/>
    </row>
    <row r="14995" spans="2:2">
      <c r="B14995" s="36"/>
    </row>
    <row r="14996" spans="2:2">
      <c r="B14996" s="36"/>
    </row>
    <row r="14997" spans="2:2">
      <c r="B14997" s="36"/>
    </row>
    <row r="14998" spans="2:2">
      <c r="B14998" s="36"/>
    </row>
    <row r="14999" spans="2:2">
      <c r="B14999" s="36"/>
    </row>
    <row r="15000" spans="2:2">
      <c r="B15000" s="36"/>
    </row>
    <row r="15001" spans="2:2">
      <c r="B15001" s="36"/>
    </row>
    <row r="15002" spans="2:2">
      <c r="B15002" s="36"/>
    </row>
    <row r="15003" spans="2:2">
      <c r="B15003" s="36"/>
    </row>
    <row r="15004" spans="2:2">
      <c r="B15004" s="36"/>
    </row>
    <row r="15005" spans="2:2">
      <c r="B15005" s="36"/>
    </row>
    <row r="15006" spans="2:2">
      <c r="B15006" s="36"/>
    </row>
    <row r="15007" spans="2:2">
      <c r="B15007" s="36"/>
    </row>
    <row r="15008" spans="2:2">
      <c r="B15008" s="36"/>
    </row>
    <row r="15009" spans="2:2">
      <c r="B15009" s="36"/>
    </row>
    <row r="15010" spans="2:2">
      <c r="B15010" s="36"/>
    </row>
    <row r="15011" spans="2:2">
      <c r="B15011" s="36"/>
    </row>
    <row r="15012" spans="2:2">
      <c r="B15012" s="36"/>
    </row>
    <row r="15013" spans="2:2">
      <c r="B15013" s="36"/>
    </row>
    <row r="15014" spans="2:2">
      <c r="B15014" s="36"/>
    </row>
    <row r="15015" spans="2:2">
      <c r="B15015" s="36"/>
    </row>
    <row r="15016" spans="2:2">
      <c r="B15016" s="36"/>
    </row>
    <row r="15017" spans="2:2">
      <c r="B15017" s="36"/>
    </row>
    <row r="15018" spans="2:2">
      <c r="B15018" s="36"/>
    </row>
    <row r="15019" spans="2:2">
      <c r="B15019" s="36"/>
    </row>
    <row r="15020" spans="2:2">
      <c r="B15020" s="36"/>
    </row>
    <row r="15021" spans="2:2">
      <c r="B15021" s="36"/>
    </row>
    <row r="15022" spans="2:2">
      <c r="B15022" s="36"/>
    </row>
    <row r="15023" spans="2:2">
      <c r="B15023" s="36"/>
    </row>
    <row r="15024" spans="2:2">
      <c r="B15024" s="36"/>
    </row>
    <row r="15025" spans="2:2">
      <c r="B15025" s="36"/>
    </row>
    <row r="15026" spans="2:2">
      <c r="B15026" s="36"/>
    </row>
    <row r="15027" spans="2:2">
      <c r="B15027" s="36"/>
    </row>
    <row r="15028" spans="2:2">
      <c r="B15028" s="36"/>
    </row>
    <row r="15029" spans="2:2">
      <c r="B15029" s="36"/>
    </row>
    <row r="15030" spans="2:2">
      <c r="B15030" s="36"/>
    </row>
    <row r="15031" spans="2:2">
      <c r="B15031" s="36"/>
    </row>
    <row r="15032" spans="2:2">
      <c r="B15032" s="36"/>
    </row>
    <row r="15033" spans="2:2">
      <c r="B15033" s="36"/>
    </row>
    <row r="15034" spans="2:2">
      <c r="B15034" s="36"/>
    </row>
    <row r="15035" spans="2:2">
      <c r="B15035" s="36"/>
    </row>
    <row r="15036" spans="2:2">
      <c r="B15036" s="36"/>
    </row>
    <row r="15037" spans="2:2">
      <c r="B15037" s="36"/>
    </row>
    <row r="15038" spans="2:2">
      <c r="B15038" s="36"/>
    </row>
    <row r="15039" spans="2:2">
      <c r="B15039" s="36"/>
    </row>
    <row r="15040" spans="2:2">
      <c r="B15040" s="36"/>
    </row>
    <row r="15041" spans="2:2">
      <c r="B15041" s="36"/>
    </row>
    <row r="15042" spans="2:2">
      <c r="B15042" s="36"/>
    </row>
    <row r="15043" spans="2:2">
      <c r="B15043" s="36"/>
    </row>
    <row r="15044" spans="2:2">
      <c r="B15044" s="36"/>
    </row>
    <row r="15045" spans="2:2">
      <c r="B15045" s="36"/>
    </row>
    <row r="15046" spans="2:2">
      <c r="B15046" s="36"/>
    </row>
    <row r="15047" spans="2:2">
      <c r="B15047" s="36"/>
    </row>
    <row r="15048" spans="2:2">
      <c r="B15048" s="36"/>
    </row>
    <row r="15049" spans="2:2">
      <c r="B15049" s="36"/>
    </row>
    <row r="15050" spans="2:2">
      <c r="B15050" s="36"/>
    </row>
    <row r="15051" spans="2:2">
      <c r="B15051" s="36"/>
    </row>
    <row r="15052" spans="2:2">
      <c r="B15052" s="36"/>
    </row>
    <row r="15053" spans="2:2">
      <c r="B15053" s="36"/>
    </row>
    <row r="15054" spans="2:2">
      <c r="B15054" s="36"/>
    </row>
    <row r="15055" spans="2:2">
      <c r="B15055" s="36"/>
    </row>
    <row r="15056" spans="2:2">
      <c r="B15056" s="36"/>
    </row>
    <row r="15057" spans="2:2">
      <c r="B15057" s="36"/>
    </row>
    <row r="15058" spans="2:2">
      <c r="B15058" s="36"/>
    </row>
    <row r="15059" spans="2:2">
      <c r="B15059" s="36"/>
    </row>
    <row r="15060" spans="2:2">
      <c r="B15060" s="36"/>
    </row>
    <row r="15061" spans="2:2">
      <c r="B15061" s="36"/>
    </row>
    <row r="15062" spans="2:2">
      <c r="B15062" s="36"/>
    </row>
    <row r="15063" spans="2:2">
      <c r="B15063" s="36"/>
    </row>
    <row r="15064" spans="2:2">
      <c r="B15064" s="36"/>
    </row>
    <row r="15065" spans="2:2">
      <c r="B15065" s="36"/>
    </row>
    <row r="15066" spans="2:2">
      <c r="B15066" s="36"/>
    </row>
    <row r="15067" spans="2:2">
      <c r="B15067" s="36"/>
    </row>
    <row r="15068" spans="2:2">
      <c r="B15068" s="36"/>
    </row>
    <row r="15069" spans="2:2">
      <c r="B15069" s="36"/>
    </row>
    <row r="15070" spans="2:2">
      <c r="B15070" s="36"/>
    </row>
    <row r="15071" spans="2:2">
      <c r="B15071" s="36"/>
    </row>
    <row r="15072" spans="2:2">
      <c r="B15072" s="36"/>
    </row>
    <row r="15073" spans="2:2">
      <c r="B15073" s="36"/>
    </row>
    <row r="15074" spans="2:2">
      <c r="B15074" s="36"/>
    </row>
    <row r="15075" spans="2:2">
      <c r="B15075" s="36"/>
    </row>
    <row r="15076" spans="2:2">
      <c r="B15076" s="36"/>
    </row>
    <row r="15077" spans="2:2">
      <c r="B15077" s="36"/>
    </row>
    <row r="15078" spans="2:2">
      <c r="B15078" s="36"/>
    </row>
    <row r="15079" spans="2:2">
      <c r="B15079" s="36"/>
    </row>
    <row r="15080" spans="2:2">
      <c r="B15080" s="36"/>
    </row>
    <row r="15081" spans="2:2">
      <c r="B15081" s="36"/>
    </row>
    <row r="15082" spans="2:2">
      <c r="B15082" s="36"/>
    </row>
    <row r="15083" spans="2:2">
      <c r="B15083" s="36"/>
    </row>
    <row r="15084" spans="2:2">
      <c r="B15084" s="36"/>
    </row>
    <row r="15085" spans="2:2">
      <c r="B15085" s="36"/>
    </row>
    <row r="15086" spans="2:2">
      <c r="B15086" s="36"/>
    </row>
    <row r="15087" spans="2:2">
      <c r="B15087" s="36"/>
    </row>
    <row r="15088" spans="2:2">
      <c r="B15088" s="36"/>
    </row>
    <row r="15089" spans="2:2">
      <c r="B15089" s="36"/>
    </row>
    <row r="15090" spans="2:2">
      <c r="B15090" s="36"/>
    </row>
    <row r="15091" spans="2:2">
      <c r="B15091" s="36"/>
    </row>
    <row r="15092" spans="2:2">
      <c r="B15092" s="36"/>
    </row>
    <row r="15093" spans="2:2">
      <c r="B15093" s="36"/>
    </row>
    <row r="15094" spans="2:2">
      <c r="B15094" s="36"/>
    </row>
    <row r="15095" spans="2:2">
      <c r="B15095" s="36"/>
    </row>
    <row r="15096" spans="2:2">
      <c r="B15096" s="36"/>
    </row>
    <row r="15097" spans="2:2">
      <c r="B15097" s="36"/>
    </row>
    <row r="15098" spans="2:2">
      <c r="B15098" s="36"/>
    </row>
    <row r="15099" spans="2:2">
      <c r="B15099" s="36"/>
    </row>
    <row r="15100" spans="2:2">
      <c r="B15100" s="36"/>
    </row>
    <row r="15101" spans="2:2">
      <c r="B15101" s="36"/>
    </row>
    <row r="15102" spans="2:2">
      <c r="B15102" s="36"/>
    </row>
    <row r="15103" spans="2:2">
      <c r="B15103" s="36"/>
    </row>
    <row r="15104" spans="2:2">
      <c r="B15104" s="36"/>
    </row>
    <row r="15105" spans="2:2">
      <c r="B15105" s="36"/>
    </row>
    <row r="15106" spans="2:2">
      <c r="B15106" s="36"/>
    </row>
    <row r="15107" spans="2:2">
      <c r="B15107" s="36"/>
    </row>
    <row r="15108" spans="2:2">
      <c r="B15108" s="36"/>
    </row>
    <row r="15109" spans="2:2">
      <c r="B15109" s="36"/>
    </row>
    <row r="15110" spans="2:2">
      <c r="B15110" s="36"/>
    </row>
    <row r="15111" spans="2:2">
      <c r="B15111" s="36"/>
    </row>
    <row r="15112" spans="2:2">
      <c r="B15112" s="36"/>
    </row>
    <row r="15113" spans="2:2">
      <c r="B15113" s="36"/>
    </row>
    <row r="15114" spans="2:2">
      <c r="B15114" s="36"/>
    </row>
    <row r="15115" spans="2:2">
      <c r="B15115" s="36"/>
    </row>
    <row r="15116" spans="2:2">
      <c r="B15116" s="36"/>
    </row>
    <row r="15117" spans="2:2">
      <c r="B15117" s="36"/>
    </row>
    <row r="15118" spans="2:2">
      <c r="B15118" s="36"/>
    </row>
    <row r="15119" spans="2:2">
      <c r="B15119" s="36"/>
    </row>
    <row r="15120" spans="2:2">
      <c r="B15120" s="36"/>
    </row>
    <row r="15121" spans="2:2">
      <c r="B15121" s="36"/>
    </row>
    <row r="15122" spans="2:2">
      <c r="B15122" s="36"/>
    </row>
    <row r="15123" spans="2:2">
      <c r="B15123" s="36"/>
    </row>
    <row r="15124" spans="2:2">
      <c r="B15124" s="36"/>
    </row>
    <row r="15125" spans="2:2">
      <c r="B15125" s="36"/>
    </row>
    <row r="15126" spans="2:2">
      <c r="B15126" s="36"/>
    </row>
    <row r="15127" spans="2:2">
      <c r="B15127" s="36"/>
    </row>
    <row r="15128" spans="2:2">
      <c r="B15128" s="36"/>
    </row>
    <row r="15129" spans="2:2">
      <c r="B15129" s="36"/>
    </row>
    <row r="15130" spans="2:2">
      <c r="B15130" s="36"/>
    </row>
    <row r="15131" spans="2:2">
      <c r="B15131" s="36"/>
    </row>
    <row r="15132" spans="2:2">
      <c r="B15132" s="36"/>
    </row>
    <row r="15133" spans="2:2">
      <c r="B15133" s="36"/>
    </row>
    <row r="15134" spans="2:2">
      <c r="B15134" s="36"/>
    </row>
    <row r="15135" spans="2:2">
      <c r="B15135" s="36"/>
    </row>
    <row r="15136" spans="2:2">
      <c r="B15136" s="36"/>
    </row>
    <row r="15137" spans="2:2">
      <c r="B15137" s="36"/>
    </row>
    <row r="15138" spans="2:2">
      <c r="B15138" s="36"/>
    </row>
    <row r="15139" spans="2:2">
      <c r="B15139" s="36"/>
    </row>
    <row r="15140" spans="2:2">
      <c r="B15140" s="36"/>
    </row>
    <row r="15141" spans="2:2">
      <c r="B15141" s="36"/>
    </row>
    <row r="15142" spans="2:2">
      <c r="B15142" s="36"/>
    </row>
    <row r="15143" spans="2:2">
      <c r="B15143" s="36"/>
    </row>
    <row r="15144" spans="2:2">
      <c r="B15144" s="36"/>
    </row>
    <row r="15145" spans="2:2">
      <c r="B15145" s="36"/>
    </row>
    <row r="15146" spans="2:2">
      <c r="B15146" s="36"/>
    </row>
    <row r="15147" spans="2:2">
      <c r="B15147" s="36"/>
    </row>
    <row r="15148" spans="2:2">
      <c r="B15148" s="36"/>
    </row>
    <row r="15149" spans="2:2">
      <c r="B15149" s="36"/>
    </row>
    <row r="15150" spans="2:2">
      <c r="B15150" s="36"/>
    </row>
    <row r="15151" spans="2:2">
      <c r="B15151" s="36"/>
    </row>
    <row r="15152" spans="2:2">
      <c r="B15152" s="36"/>
    </row>
    <row r="15153" spans="2:2">
      <c r="B15153" s="36"/>
    </row>
    <row r="15154" spans="2:2">
      <c r="B15154" s="36"/>
    </row>
    <row r="15155" spans="2:2">
      <c r="B15155" s="36"/>
    </row>
    <row r="15156" spans="2:2">
      <c r="B15156" s="36"/>
    </row>
    <row r="15157" spans="2:2">
      <c r="B15157" s="36"/>
    </row>
    <row r="15158" spans="2:2">
      <c r="B15158" s="36"/>
    </row>
    <row r="15159" spans="2:2">
      <c r="B15159" s="36"/>
    </row>
    <row r="15160" spans="2:2">
      <c r="B15160" s="36"/>
    </row>
    <row r="15161" spans="2:2">
      <c r="B15161" s="36"/>
    </row>
    <row r="15162" spans="2:2">
      <c r="B15162" s="36"/>
    </row>
    <row r="15163" spans="2:2">
      <c r="B15163" s="36"/>
    </row>
    <row r="15164" spans="2:2">
      <c r="B15164" s="36"/>
    </row>
    <row r="15165" spans="2:2">
      <c r="B15165" s="36"/>
    </row>
    <row r="15166" spans="2:2">
      <c r="B15166" s="36"/>
    </row>
    <row r="15167" spans="2:2">
      <c r="B15167" s="36"/>
    </row>
    <row r="15168" spans="2:2">
      <c r="B15168" s="36"/>
    </row>
    <row r="15169" spans="2:2">
      <c r="B15169" s="36"/>
    </row>
    <row r="15170" spans="2:2">
      <c r="B15170" s="36"/>
    </row>
    <row r="15171" spans="2:2">
      <c r="B15171" s="36"/>
    </row>
    <row r="15172" spans="2:2">
      <c r="B15172" s="36"/>
    </row>
    <row r="15173" spans="2:2">
      <c r="B15173" s="36"/>
    </row>
    <row r="15174" spans="2:2">
      <c r="B15174" s="36"/>
    </row>
    <row r="15175" spans="2:2">
      <c r="B15175" s="36"/>
    </row>
    <row r="15176" spans="2:2">
      <c r="B15176" s="36"/>
    </row>
    <row r="15177" spans="2:2">
      <c r="B15177" s="36"/>
    </row>
    <row r="15178" spans="2:2">
      <c r="B15178" s="36"/>
    </row>
    <row r="15179" spans="2:2">
      <c r="B15179" s="36"/>
    </row>
    <row r="15180" spans="2:2">
      <c r="B15180" s="36"/>
    </row>
    <row r="15181" spans="2:2">
      <c r="B15181" s="36"/>
    </row>
    <row r="15182" spans="2:2">
      <c r="B15182" s="36"/>
    </row>
    <row r="15183" spans="2:2">
      <c r="B15183" s="36"/>
    </row>
    <row r="15184" spans="2:2">
      <c r="B15184" s="36"/>
    </row>
    <row r="15185" spans="2:2">
      <c r="B15185" s="36"/>
    </row>
    <row r="15186" spans="2:2">
      <c r="B15186" s="36"/>
    </row>
    <row r="15187" spans="2:2">
      <c r="B15187" s="36"/>
    </row>
    <row r="15188" spans="2:2">
      <c r="B15188" s="36"/>
    </row>
    <row r="15189" spans="2:2">
      <c r="B15189" s="36"/>
    </row>
    <row r="15190" spans="2:2">
      <c r="B15190" s="36"/>
    </row>
    <row r="15191" spans="2:2">
      <c r="B15191" s="36"/>
    </row>
    <row r="15192" spans="2:2">
      <c r="B15192" s="36"/>
    </row>
    <row r="15193" spans="2:2">
      <c r="B15193" s="36"/>
    </row>
    <row r="15194" spans="2:2">
      <c r="B15194" s="36"/>
    </row>
    <row r="15195" spans="2:2">
      <c r="B15195" s="36"/>
    </row>
    <row r="15196" spans="2:2">
      <c r="B15196" s="36"/>
    </row>
    <row r="15197" spans="2:2">
      <c r="B15197" s="36"/>
    </row>
    <row r="15198" spans="2:2">
      <c r="B15198" s="36"/>
    </row>
    <row r="15199" spans="2:2">
      <c r="B15199" s="36"/>
    </row>
    <row r="15200" spans="2:2">
      <c r="B15200" s="36"/>
    </row>
    <row r="15201" spans="2:2">
      <c r="B15201" s="36"/>
    </row>
    <row r="15202" spans="2:2">
      <c r="B15202" s="36"/>
    </row>
    <row r="15203" spans="2:2">
      <c r="B15203" s="36"/>
    </row>
    <row r="15204" spans="2:2">
      <c r="B15204" s="36"/>
    </row>
    <row r="15205" spans="2:2">
      <c r="B15205" s="36"/>
    </row>
    <row r="15206" spans="2:2">
      <c r="B15206" s="36"/>
    </row>
    <row r="15207" spans="2:2">
      <c r="B15207" s="36"/>
    </row>
    <row r="15208" spans="2:2">
      <c r="B15208" s="36"/>
    </row>
    <row r="15209" spans="2:2">
      <c r="B15209" s="36"/>
    </row>
    <row r="15210" spans="2:2">
      <c r="B15210" s="36"/>
    </row>
    <row r="15211" spans="2:2">
      <c r="B15211" s="36"/>
    </row>
    <row r="15212" spans="2:2">
      <c r="B15212" s="36"/>
    </row>
    <row r="15213" spans="2:2">
      <c r="B15213" s="36"/>
    </row>
    <row r="15214" spans="2:2">
      <c r="B15214" s="36"/>
    </row>
    <row r="15215" spans="2:2">
      <c r="B15215" s="36"/>
    </row>
    <row r="15216" spans="2:2">
      <c r="B15216" s="36"/>
    </row>
    <row r="15217" spans="2:2">
      <c r="B15217" s="36"/>
    </row>
    <row r="15218" spans="2:2">
      <c r="B15218" s="36"/>
    </row>
    <row r="15219" spans="2:2">
      <c r="B15219" s="36"/>
    </row>
    <row r="15220" spans="2:2">
      <c r="B15220" s="36"/>
    </row>
    <row r="15221" spans="2:2">
      <c r="B15221" s="36"/>
    </row>
    <row r="15222" spans="2:2">
      <c r="B15222" s="36"/>
    </row>
    <row r="15223" spans="2:2">
      <c r="B15223" s="36"/>
    </row>
    <row r="15224" spans="2:2">
      <c r="B15224" s="36"/>
    </row>
    <row r="15225" spans="2:2">
      <c r="B15225" s="36"/>
    </row>
    <row r="15226" spans="2:2">
      <c r="B15226" s="36"/>
    </row>
    <row r="15227" spans="2:2">
      <c r="B15227" s="36"/>
    </row>
    <row r="15228" spans="2:2">
      <c r="B15228" s="36"/>
    </row>
    <row r="15229" spans="2:2">
      <c r="B15229" s="36"/>
    </row>
    <row r="15230" spans="2:2">
      <c r="B15230" s="36"/>
    </row>
    <row r="15231" spans="2:2">
      <c r="B15231" s="36"/>
    </row>
    <row r="15232" spans="2:2">
      <c r="B15232" s="36"/>
    </row>
    <row r="15233" spans="2:2">
      <c r="B15233" s="36"/>
    </row>
    <row r="15234" spans="2:2">
      <c r="B15234" s="36"/>
    </row>
    <row r="15235" spans="2:2">
      <c r="B15235" s="36"/>
    </row>
    <row r="15236" spans="2:2">
      <c r="B15236" s="36"/>
    </row>
    <row r="15237" spans="2:2">
      <c r="B15237" s="36"/>
    </row>
    <row r="15238" spans="2:2">
      <c r="B15238" s="36"/>
    </row>
    <row r="15239" spans="2:2">
      <c r="B15239" s="36"/>
    </row>
    <row r="15240" spans="2:2">
      <c r="B15240" s="36"/>
    </row>
    <row r="15241" spans="2:2">
      <c r="B15241" s="36"/>
    </row>
    <row r="15242" spans="2:2">
      <c r="B15242" s="36"/>
    </row>
    <row r="15243" spans="2:2">
      <c r="B15243" s="36"/>
    </row>
    <row r="15244" spans="2:2">
      <c r="B15244" s="36"/>
    </row>
    <row r="15245" spans="2:2">
      <c r="B15245" s="36"/>
    </row>
    <row r="15246" spans="2:2">
      <c r="B15246" s="36"/>
    </row>
    <row r="15247" spans="2:2">
      <c r="B15247" s="36"/>
    </row>
    <row r="15248" spans="2:2">
      <c r="B15248" s="36"/>
    </row>
    <row r="15249" spans="2:2">
      <c r="B15249" s="36"/>
    </row>
    <row r="15250" spans="2:2">
      <c r="B15250" s="36"/>
    </row>
    <row r="15251" spans="2:2">
      <c r="B15251" s="36"/>
    </row>
    <row r="15252" spans="2:2">
      <c r="B15252" s="36"/>
    </row>
    <row r="15253" spans="2:2">
      <c r="B15253" s="36"/>
    </row>
    <row r="15254" spans="2:2">
      <c r="B15254" s="36"/>
    </row>
    <row r="15255" spans="2:2">
      <c r="B15255" s="36"/>
    </row>
    <row r="15256" spans="2:2">
      <c r="B15256" s="36"/>
    </row>
    <row r="15257" spans="2:2">
      <c r="B15257" s="36"/>
    </row>
    <row r="15258" spans="2:2">
      <c r="B15258" s="36"/>
    </row>
    <row r="15259" spans="2:2">
      <c r="B15259" s="36"/>
    </row>
    <row r="15260" spans="2:2">
      <c r="B15260" s="36"/>
    </row>
    <row r="15261" spans="2:2">
      <c r="B15261" s="36"/>
    </row>
    <row r="15262" spans="2:2">
      <c r="B15262" s="36"/>
    </row>
    <row r="15263" spans="2:2">
      <c r="B15263" s="36"/>
    </row>
    <row r="15264" spans="2:2">
      <c r="B15264" s="36"/>
    </row>
    <row r="15265" spans="2:2">
      <c r="B15265" s="36"/>
    </row>
    <row r="15266" spans="2:2">
      <c r="B15266" s="36"/>
    </row>
    <row r="15267" spans="2:2">
      <c r="B15267" s="36"/>
    </row>
    <row r="15268" spans="2:2">
      <c r="B15268" s="36"/>
    </row>
    <row r="15269" spans="2:2">
      <c r="B15269" s="36"/>
    </row>
    <row r="15270" spans="2:2">
      <c r="B15270" s="36"/>
    </row>
    <row r="15271" spans="2:2">
      <c r="B15271" s="36"/>
    </row>
    <row r="15272" spans="2:2">
      <c r="B15272" s="36"/>
    </row>
    <row r="15273" spans="2:2">
      <c r="B15273" s="36"/>
    </row>
    <row r="15274" spans="2:2">
      <c r="B15274" s="36"/>
    </row>
    <row r="15275" spans="2:2">
      <c r="B15275" s="36"/>
    </row>
    <row r="15276" spans="2:2">
      <c r="B15276" s="36"/>
    </row>
    <row r="15277" spans="2:2">
      <c r="B15277" s="36"/>
    </row>
    <row r="15278" spans="2:2">
      <c r="B15278" s="36"/>
    </row>
    <row r="15279" spans="2:2">
      <c r="B15279" s="36"/>
    </row>
    <row r="15280" spans="2:2">
      <c r="B15280" s="36"/>
    </row>
    <row r="15281" spans="2:2">
      <c r="B15281" s="36"/>
    </row>
    <row r="15282" spans="2:2">
      <c r="B15282" s="36"/>
    </row>
    <row r="15283" spans="2:2">
      <c r="B15283" s="36"/>
    </row>
    <row r="15284" spans="2:2">
      <c r="B15284" s="36"/>
    </row>
    <row r="15285" spans="2:2">
      <c r="B15285" s="36"/>
    </row>
    <row r="15286" spans="2:2">
      <c r="B15286" s="36"/>
    </row>
    <row r="15287" spans="2:2">
      <c r="B15287" s="36"/>
    </row>
    <row r="15288" spans="2:2">
      <c r="B15288" s="36"/>
    </row>
    <row r="15289" spans="2:2">
      <c r="B15289" s="36"/>
    </row>
    <row r="15290" spans="2:2">
      <c r="B15290" s="36"/>
    </row>
    <row r="15291" spans="2:2">
      <c r="B15291" s="36"/>
    </row>
    <row r="15292" spans="2:2">
      <c r="B15292" s="36"/>
    </row>
    <row r="15293" spans="2:2">
      <c r="B15293" s="36"/>
    </row>
    <row r="15294" spans="2:2">
      <c r="B15294" s="36"/>
    </row>
    <row r="15295" spans="2:2">
      <c r="B15295" s="36"/>
    </row>
    <row r="15296" spans="2:2">
      <c r="B15296" s="36"/>
    </row>
    <row r="15297" spans="2:2">
      <c r="B15297" s="36"/>
    </row>
    <row r="15298" spans="2:2">
      <c r="B15298" s="36"/>
    </row>
    <row r="15299" spans="2:2">
      <c r="B15299" s="36"/>
    </row>
    <row r="15300" spans="2:2">
      <c r="B15300" s="36"/>
    </row>
    <row r="15301" spans="2:2">
      <c r="B15301" s="36"/>
    </row>
    <row r="15302" spans="2:2">
      <c r="B15302" s="36"/>
    </row>
    <row r="15303" spans="2:2">
      <c r="B15303" s="36"/>
    </row>
    <row r="15304" spans="2:2">
      <c r="B15304" s="36"/>
    </row>
    <row r="15305" spans="2:2">
      <c r="B15305" s="36"/>
    </row>
    <row r="15306" spans="2:2">
      <c r="B15306" s="36"/>
    </row>
    <row r="15307" spans="2:2">
      <c r="B15307" s="36"/>
    </row>
    <row r="15308" spans="2:2">
      <c r="B15308" s="36"/>
    </row>
    <row r="15309" spans="2:2">
      <c r="B15309" s="36"/>
    </row>
    <row r="15310" spans="2:2">
      <c r="B15310" s="36"/>
    </row>
    <row r="15311" spans="2:2">
      <c r="B15311" s="36"/>
    </row>
    <row r="15312" spans="2:2">
      <c r="B15312" s="36"/>
    </row>
    <row r="15313" spans="2:2">
      <c r="B15313" s="36"/>
    </row>
    <row r="15314" spans="2:2">
      <c r="B15314" s="36"/>
    </row>
    <row r="15315" spans="2:2">
      <c r="B15315" s="36"/>
    </row>
    <row r="15316" spans="2:2">
      <c r="B15316" s="36"/>
    </row>
    <row r="15317" spans="2:2">
      <c r="B15317" s="36"/>
    </row>
    <row r="15318" spans="2:2">
      <c r="B15318" s="36"/>
    </row>
    <row r="15319" spans="2:2">
      <c r="B15319" s="36"/>
    </row>
    <row r="15320" spans="2:2">
      <c r="B15320" s="36"/>
    </row>
    <row r="15321" spans="2:2">
      <c r="B15321" s="36"/>
    </row>
    <row r="15322" spans="2:2">
      <c r="B15322" s="36"/>
    </row>
    <row r="15323" spans="2:2">
      <c r="B15323" s="36"/>
    </row>
    <row r="15324" spans="2:2">
      <c r="B15324" s="36"/>
    </row>
    <row r="15325" spans="2:2">
      <c r="B15325" s="36"/>
    </row>
    <row r="15326" spans="2:2">
      <c r="B15326" s="36"/>
    </row>
    <row r="15327" spans="2:2">
      <c r="B15327" s="36"/>
    </row>
    <row r="15328" spans="2:2">
      <c r="B15328" s="36"/>
    </row>
    <row r="15329" spans="2:2">
      <c r="B15329" s="36"/>
    </row>
    <row r="15330" spans="2:2">
      <c r="B15330" s="36"/>
    </row>
    <row r="15331" spans="2:2">
      <c r="B15331" s="36"/>
    </row>
    <row r="15332" spans="2:2">
      <c r="B15332" s="36"/>
    </row>
    <row r="15333" spans="2:2">
      <c r="B15333" s="36"/>
    </row>
    <row r="15334" spans="2:2">
      <c r="B15334" s="36"/>
    </row>
    <row r="15335" spans="2:2">
      <c r="B15335" s="36"/>
    </row>
    <row r="15336" spans="2:2">
      <c r="B15336" s="36"/>
    </row>
    <row r="15337" spans="2:2">
      <c r="B15337" s="36"/>
    </row>
    <row r="15338" spans="2:2">
      <c r="B15338" s="36"/>
    </row>
    <row r="15339" spans="2:2">
      <c r="B15339" s="36"/>
    </row>
    <row r="15340" spans="2:2">
      <c r="B15340" s="36"/>
    </row>
    <row r="15341" spans="2:2">
      <c r="B15341" s="36"/>
    </row>
    <row r="15342" spans="2:2">
      <c r="B15342" s="36"/>
    </row>
    <row r="15343" spans="2:2">
      <c r="B15343" s="36"/>
    </row>
    <row r="15344" spans="2:2">
      <c r="B15344" s="36"/>
    </row>
    <row r="15345" spans="2:2">
      <c r="B15345" s="36"/>
    </row>
    <row r="15346" spans="2:2">
      <c r="B15346" s="36"/>
    </row>
    <row r="15347" spans="2:2">
      <c r="B15347" s="36"/>
    </row>
    <row r="15348" spans="2:2">
      <c r="B15348" s="36"/>
    </row>
    <row r="15349" spans="2:2">
      <c r="B15349" s="36"/>
    </row>
    <row r="15350" spans="2:2">
      <c r="B15350" s="36"/>
    </row>
    <row r="15351" spans="2:2">
      <c r="B15351" s="36"/>
    </row>
    <row r="15352" spans="2:2">
      <c r="B15352" s="36"/>
    </row>
    <row r="15353" spans="2:2">
      <c r="B15353" s="36"/>
    </row>
    <row r="15354" spans="2:2">
      <c r="B15354" s="36"/>
    </row>
    <row r="15355" spans="2:2">
      <c r="B15355" s="36"/>
    </row>
    <row r="15356" spans="2:2">
      <c r="B15356" s="36"/>
    </row>
    <row r="15357" spans="2:2">
      <c r="B15357" s="36"/>
    </row>
    <row r="15358" spans="2:2">
      <c r="B15358" s="36"/>
    </row>
    <row r="15359" spans="2:2">
      <c r="B15359" s="36"/>
    </row>
    <row r="15360" spans="2:2">
      <c r="B15360" s="36"/>
    </row>
    <row r="15361" spans="2:2">
      <c r="B15361" s="36"/>
    </row>
    <row r="15362" spans="2:2">
      <c r="B15362" s="36"/>
    </row>
    <row r="15363" spans="2:2">
      <c r="B15363" s="36"/>
    </row>
    <row r="15364" spans="2:2">
      <c r="B15364" s="36"/>
    </row>
    <row r="15365" spans="2:2">
      <c r="B15365" s="36"/>
    </row>
    <row r="15366" spans="2:2">
      <c r="B15366" s="36"/>
    </row>
    <row r="15367" spans="2:2">
      <c r="B15367" s="36"/>
    </row>
    <row r="15368" spans="2:2">
      <c r="B15368" s="36"/>
    </row>
    <row r="15369" spans="2:2">
      <c r="B15369" s="36"/>
    </row>
    <row r="15370" spans="2:2">
      <c r="B15370" s="36"/>
    </row>
    <row r="15371" spans="2:2">
      <c r="B15371" s="36"/>
    </row>
    <row r="15372" spans="2:2">
      <c r="B15372" s="36"/>
    </row>
    <row r="15373" spans="2:2">
      <c r="B15373" s="36"/>
    </row>
    <row r="15374" spans="2:2">
      <c r="B15374" s="36"/>
    </row>
    <row r="15375" spans="2:2">
      <c r="B15375" s="36"/>
    </row>
    <row r="15376" spans="2:2">
      <c r="B15376" s="36"/>
    </row>
    <row r="15377" spans="2:2">
      <c r="B15377" s="36"/>
    </row>
    <row r="15378" spans="2:2">
      <c r="B15378" s="36"/>
    </row>
    <row r="15379" spans="2:2">
      <c r="B15379" s="36"/>
    </row>
    <row r="15380" spans="2:2">
      <c r="B15380" s="36"/>
    </row>
    <row r="15381" spans="2:2">
      <c r="B15381" s="36"/>
    </row>
    <row r="15382" spans="2:2">
      <c r="B15382" s="36"/>
    </row>
    <row r="15383" spans="2:2">
      <c r="B15383" s="36"/>
    </row>
    <row r="15384" spans="2:2">
      <c r="B15384" s="36"/>
    </row>
    <row r="15385" spans="2:2">
      <c r="B15385" s="36"/>
    </row>
    <row r="15386" spans="2:2">
      <c r="B15386" s="36"/>
    </row>
    <row r="15387" spans="2:2">
      <c r="B15387" s="36"/>
    </row>
    <row r="15388" spans="2:2">
      <c r="B15388" s="36"/>
    </row>
    <row r="15389" spans="2:2">
      <c r="B15389" s="36"/>
    </row>
    <row r="15390" spans="2:2">
      <c r="B15390" s="36"/>
    </row>
    <row r="15391" spans="2:2">
      <c r="B15391" s="36"/>
    </row>
    <row r="15392" spans="2:2">
      <c r="B15392" s="36"/>
    </row>
    <row r="15393" spans="2:2">
      <c r="B15393" s="36"/>
    </row>
    <row r="15394" spans="2:2">
      <c r="B15394" s="36"/>
    </row>
    <row r="15395" spans="2:2">
      <c r="B15395" s="36"/>
    </row>
    <row r="15396" spans="2:2">
      <c r="B15396" s="36"/>
    </row>
    <row r="15397" spans="2:2">
      <c r="B15397" s="36"/>
    </row>
    <row r="15398" spans="2:2">
      <c r="B15398" s="36"/>
    </row>
    <row r="15399" spans="2:2">
      <c r="B15399" s="36"/>
    </row>
    <row r="15400" spans="2:2">
      <c r="B15400" s="36"/>
    </row>
    <row r="15401" spans="2:2">
      <c r="B15401" s="36"/>
    </row>
    <row r="15402" spans="2:2">
      <c r="B15402" s="36"/>
    </row>
    <row r="15403" spans="2:2">
      <c r="B15403" s="36"/>
    </row>
    <row r="15404" spans="2:2">
      <c r="B15404" s="36"/>
    </row>
    <row r="15405" spans="2:2">
      <c r="B15405" s="36"/>
    </row>
    <row r="15406" spans="2:2">
      <c r="B15406" s="36"/>
    </row>
    <row r="15407" spans="2:2">
      <c r="B15407" s="36"/>
    </row>
    <row r="15408" spans="2:2">
      <c r="B15408" s="36"/>
    </row>
    <row r="15409" spans="2:2">
      <c r="B15409" s="36"/>
    </row>
    <row r="15410" spans="2:2">
      <c r="B15410" s="36"/>
    </row>
    <row r="15411" spans="2:2">
      <c r="B15411" s="36"/>
    </row>
    <row r="15412" spans="2:2">
      <c r="B15412" s="36"/>
    </row>
    <row r="15413" spans="2:2">
      <c r="B15413" s="36"/>
    </row>
    <row r="15414" spans="2:2">
      <c r="B15414" s="36"/>
    </row>
    <row r="15415" spans="2:2">
      <c r="B15415" s="36"/>
    </row>
    <row r="15416" spans="2:2">
      <c r="B15416" s="36"/>
    </row>
    <row r="15417" spans="2:2">
      <c r="B15417" s="36"/>
    </row>
    <row r="15418" spans="2:2">
      <c r="B15418" s="36"/>
    </row>
    <row r="15419" spans="2:2">
      <c r="B15419" s="36"/>
    </row>
    <row r="15420" spans="2:2">
      <c r="B15420" s="36"/>
    </row>
    <row r="15421" spans="2:2">
      <c r="B15421" s="36"/>
    </row>
    <row r="15422" spans="2:2">
      <c r="B15422" s="36"/>
    </row>
    <row r="15423" spans="2:2">
      <c r="B15423" s="36"/>
    </row>
    <row r="15424" spans="2:2">
      <c r="B15424" s="36"/>
    </row>
    <row r="15425" spans="2:2">
      <c r="B15425" s="36"/>
    </row>
    <row r="15426" spans="2:2">
      <c r="B15426" s="36"/>
    </row>
    <row r="15427" spans="2:2">
      <c r="B15427" s="36"/>
    </row>
    <row r="15428" spans="2:2">
      <c r="B15428" s="36"/>
    </row>
    <row r="15429" spans="2:2">
      <c r="B15429" s="36"/>
    </row>
    <row r="15430" spans="2:2">
      <c r="B15430" s="36"/>
    </row>
    <row r="15431" spans="2:2">
      <c r="B15431" s="36"/>
    </row>
    <row r="15432" spans="2:2">
      <c r="B15432" s="36"/>
    </row>
    <row r="15433" spans="2:2">
      <c r="B15433" s="36"/>
    </row>
    <row r="15434" spans="2:2">
      <c r="B15434" s="36"/>
    </row>
    <row r="15435" spans="2:2">
      <c r="B15435" s="36"/>
    </row>
    <row r="15436" spans="2:2">
      <c r="B15436" s="36"/>
    </row>
    <row r="15437" spans="2:2">
      <c r="B15437" s="36"/>
    </row>
    <row r="15438" spans="2:2">
      <c r="B15438" s="36"/>
    </row>
    <row r="15439" spans="2:2">
      <c r="B15439" s="36"/>
    </row>
    <row r="15440" spans="2:2">
      <c r="B15440" s="36"/>
    </row>
    <row r="15441" spans="2:2">
      <c r="B15441" s="36"/>
    </row>
    <row r="15442" spans="2:2">
      <c r="B15442" s="36"/>
    </row>
    <row r="15443" spans="2:2">
      <c r="B15443" s="36"/>
    </row>
    <row r="15444" spans="2:2">
      <c r="B15444" s="36"/>
    </row>
    <row r="15445" spans="2:2">
      <c r="B15445" s="36"/>
    </row>
    <row r="15446" spans="2:2">
      <c r="B15446" s="36"/>
    </row>
    <row r="15447" spans="2:2">
      <c r="B15447" s="36"/>
    </row>
    <row r="15448" spans="2:2">
      <c r="B15448" s="36"/>
    </row>
    <row r="15449" spans="2:2">
      <c r="B15449" s="36"/>
    </row>
    <row r="15450" spans="2:2">
      <c r="B15450" s="36"/>
    </row>
    <row r="15451" spans="2:2">
      <c r="B15451" s="36"/>
    </row>
    <row r="15452" spans="2:2">
      <c r="B15452" s="36"/>
    </row>
    <row r="15453" spans="2:2">
      <c r="B15453" s="36"/>
    </row>
    <row r="15454" spans="2:2">
      <c r="B15454" s="36"/>
    </row>
    <row r="15455" spans="2:2">
      <c r="B15455" s="36"/>
    </row>
    <row r="15456" spans="2:2">
      <c r="B15456" s="36"/>
    </row>
    <row r="15457" spans="2:2">
      <c r="B15457" s="36"/>
    </row>
    <row r="15458" spans="2:2">
      <c r="B15458" s="36"/>
    </row>
    <row r="15459" spans="2:2">
      <c r="B15459" s="36"/>
    </row>
    <row r="15460" spans="2:2">
      <c r="B15460" s="36"/>
    </row>
    <row r="15461" spans="2:2">
      <c r="B15461" s="36"/>
    </row>
    <row r="15462" spans="2:2">
      <c r="B15462" s="36"/>
    </row>
    <row r="15463" spans="2:2">
      <c r="B15463" s="36"/>
    </row>
    <row r="15464" spans="2:2">
      <c r="B15464" s="36"/>
    </row>
    <row r="15465" spans="2:2">
      <c r="B15465" s="36"/>
    </row>
    <row r="15466" spans="2:2">
      <c r="B15466" s="36"/>
    </row>
    <row r="15467" spans="2:2">
      <c r="B15467" s="36"/>
    </row>
    <row r="15468" spans="2:2">
      <c r="B15468" s="36"/>
    </row>
    <row r="15469" spans="2:2">
      <c r="B15469" s="36"/>
    </row>
    <row r="15470" spans="2:2">
      <c r="B15470" s="36"/>
    </row>
    <row r="15471" spans="2:2">
      <c r="B15471" s="36"/>
    </row>
    <row r="15472" spans="2:2">
      <c r="B15472" s="36"/>
    </row>
    <row r="15473" spans="2:2">
      <c r="B15473" s="36"/>
    </row>
    <row r="15474" spans="2:2">
      <c r="B15474" s="36"/>
    </row>
    <row r="15475" spans="2:2">
      <c r="B15475" s="36"/>
    </row>
    <row r="15476" spans="2:2">
      <c r="B15476" s="36"/>
    </row>
    <row r="15477" spans="2:2">
      <c r="B15477" s="36"/>
    </row>
    <row r="15478" spans="2:2">
      <c r="B15478" s="36"/>
    </row>
    <row r="15479" spans="2:2">
      <c r="B15479" s="36"/>
    </row>
    <row r="15480" spans="2:2">
      <c r="B15480" s="36"/>
    </row>
    <row r="15481" spans="2:2">
      <c r="B15481" s="36"/>
    </row>
    <row r="15482" spans="2:2">
      <c r="B15482" s="36"/>
    </row>
    <row r="15483" spans="2:2">
      <c r="B15483" s="36"/>
    </row>
    <row r="15484" spans="2:2">
      <c r="B15484" s="36"/>
    </row>
    <row r="15485" spans="2:2">
      <c r="B15485" s="36"/>
    </row>
    <row r="15486" spans="2:2">
      <c r="B15486" s="36"/>
    </row>
    <row r="15487" spans="2:2">
      <c r="B15487" s="36"/>
    </row>
    <row r="15488" spans="2:2">
      <c r="B15488" s="36"/>
    </row>
    <row r="15489" spans="2:2">
      <c r="B15489" s="36"/>
    </row>
    <row r="15490" spans="2:2">
      <c r="B15490" s="36"/>
    </row>
    <row r="15491" spans="2:2">
      <c r="B15491" s="36"/>
    </row>
    <row r="15492" spans="2:2">
      <c r="B15492" s="36"/>
    </row>
    <row r="15493" spans="2:2">
      <c r="B15493" s="36"/>
    </row>
    <row r="15494" spans="2:2">
      <c r="B15494" s="36"/>
    </row>
    <row r="15495" spans="2:2">
      <c r="B15495" s="36"/>
    </row>
    <row r="15496" spans="2:2">
      <c r="B15496" s="36"/>
    </row>
    <row r="15497" spans="2:2">
      <c r="B15497" s="36"/>
    </row>
    <row r="15498" spans="2:2">
      <c r="B15498" s="36"/>
    </row>
    <row r="15499" spans="2:2">
      <c r="B15499" s="36"/>
    </row>
    <row r="15500" spans="2:2">
      <c r="B15500" s="36"/>
    </row>
    <row r="15501" spans="2:2">
      <c r="B15501" s="36"/>
    </row>
    <row r="15502" spans="2:2">
      <c r="B15502" s="36"/>
    </row>
    <row r="15503" spans="2:2">
      <c r="B15503" s="36"/>
    </row>
    <row r="15504" spans="2:2">
      <c r="B15504" s="36"/>
    </row>
    <row r="15505" spans="2:2">
      <c r="B15505" s="36"/>
    </row>
    <row r="15506" spans="2:2">
      <c r="B15506" s="36"/>
    </row>
    <row r="15507" spans="2:2">
      <c r="B15507" s="36"/>
    </row>
    <row r="15508" spans="2:2">
      <c r="B15508" s="36"/>
    </row>
    <row r="15509" spans="2:2">
      <c r="B15509" s="36"/>
    </row>
    <row r="15510" spans="2:2">
      <c r="B15510" s="36"/>
    </row>
    <row r="15511" spans="2:2">
      <c r="B15511" s="36"/>
    </row>
    <row r="15512" spans="2:2">
      <c r="B15512" s="36"/>
    </row>
    <row r="15513" spans="2:2">
      <c r="B15513" s="36"/>
    </row>
    <row r="15514" spans="2:2">
      <c r="B15514" s="36"/>
    </row>
    <row r="15515" spans="2:2">
      <c r="B15515" s="36"/>
    </row>
    <row r="15516" spans="2:2">
      <c r="B15516" s="36"/>
    </row>
    <row r="15517" spans="2:2">
      <c r="B15517" s="36"/>
    </row>
    <row r="15518" spans="2:2">
      <c r="B15518" s="36"/>
    </row>
    <row r="15519" spans="2:2">
      <c r="B15519" s="36"/>
    </row>
    <row r="15520" spans="2:2">
      <c r="B15520" s="36"/>
    </row>
    <row r="15521" spans="2:2">
      <c r="B15521" s="36"/>
    </row>
    <row r="15522" spans="2:2">
      <c r="B15522" s="36"/>
    </row>
    <row r="15523" spans="2:2">
      <c r="B15523" s="36"/>
    </row>
    <row r="15524" spans="2:2">
      <c r="B15524" s="36"/>
    </row>
    <row r="15525" spans="2:2">
      <c r="B15525" s="36"/>
    </row>
    <row r="15526" spans="2:2">
      <c r="B15526" s="36"/>
    </row>
    <row r="15527" spans="2:2">
      <c r="B15527" s="36"/>
    </row>
    <row r="15528" spans="2:2">
      <c r="B15528" s="36"/>
    </row>
    <row r="15529" spans="2:2">
      <c r="B15529" s="36"/>
    </row>
    <row r="15530" spans="2:2">
      <c r="B15530" s="36"/>
    </row>
    <row r="15531" spans="2:2">
      <c r="B15531" s="36"/>
    </row>
    <row r="15532" spans="2:2">
      <c r="B15532" s="36"/>
    </row>
    <row r="15533" spans="2:2">
      <c r="B15533" s="36"/>
    </row>
    <row r="15534" spans="2:2">
      <c r="B15534" s="36"/>
    </row>
    <row r="15535" spans="2:2">
      <c r="B15535" s="36"/>
    </row>
    <row r="15536" spans="2:2">
      <c r="B15536" s="36"/>
    </row>
    <row r="15537" spans="2:2">
      <c r="B15537" s="36"/>
    </row>
    <row r="15538" spans="2:2">
      <c r="B15538" s="36"/>
    </row>
    <row r="15539" spans="2:2">
      <c r="B15539" s="36"/>
    </row>
    <row r="15540" spans="2:2">
      <c r="B15540" s="36"/>
    </row>
    <row r="15541" spans="2:2">
      <c r="B15541" s="36"/>
    </row>
    <row r="15542" spans="2:2">
      <c r="B15542" s="36"/>
    </row>
    <row r="15543" spans="2:2">
      <c r="B15543" s="36"/>
    </row>
    <row r="15544" spans="2:2">
      <c r="B15544" s="36"/>
    </row>
    <row r="15545" spans="2:2">
      <c r="B15545" s="36"/>
    </row>
    <row r="15546" spans="2:2">
      <c r="B15546" s="36"/>
    </row>
    <row r="15547" spans="2:2">
      <c r="B15547" s="36"/>
    </row>
    <row r="15548" spans="2:2">
      <c r="B15548" s="36"/>
    </row>
    <row r="15549" spans="2:2">
      <c r="B15549" s="36"/>
    </row>
    <row r="15550" spans="2:2">
      <c r="B15550" s="36"/>
    </row>
    <row r="15551" spans="2:2">
      <c r="B15551" s="36"/>
    </row>
    <row r="15552" spans="2:2">
      <c r="B15552" s="36"/>
    </row>
    <row r="15553" spans="2:2">
      <c r="B15553" s="36"/>
    </row>
    <row r="15554" spans="2:2">
      <c r="B15554" s="36"/>
    </row>
    <row r="15555" spans="2:2">
      <c r="B15555" s="36"/>
    </row>
    <row r="15556" spans="2:2">
      <c r="B15556" s="36"/>
    </row>
    <row r="15557" spans="2:2">
      <c r="B15557" s="36"/>
    </row>
    <row r="15558" spans="2:2">
      <c r="B15558" s="36"/>
    </row>
    <row r="15559" spans="2:2">
      <c r="B15559" s="36"/>
    </row>
    <row r="15560" spans="2:2">
      <c r="B15560" s="36"/>
    </row>
    <row r="15561" spans="2:2">
      <c r="B15561" s="36"/>
    </row>
    <row r="15562" spans="2:2">
      <c r="B15562" s="36"/>
    </row>
    <row r="15563" spans="2:2">
      <c r="B15563" s="36"/>
    </row>
    <row r="15564" spans="2:2">
      <c r="B15564" s="36"/>
    </row>
    <row r="15565" spans="2:2">
      <c r="B15565" s="36"/>
    </row>
    <row r="15566" spans="2:2">
      <c r="B15566" s="36"/>
    </row>
    <row r="15567" spans="2:2">
      <c r="B15567" s="36"/>
    </row>
    <row r="15568" spans="2:2">
      <c r="B15568" s="36"/>
    </row>
    <row r="15569" spans="2:2">
      <c r="B15569" s="36"/>
    </row>
    <row r="15570" spans="2:2">
      <c r="B15570" s="36"/>
    </row>
    <row r="15571" spans="2:2">
      <c r="B15571" s="36"/>
    </row>
    <row r="15572" spans="2:2">
      <c r="B15572" s="36"/>
    </row>
    <row r="15573" spans="2:2">
      <c r="B15573" s="36"/>
    </row>
    <row r="15574" spans="2:2">
      <c r="B15574" s="36"/>
    </row>
    <row r="15575" spans="2:2">
      <c r="B15575" s="36"/>
    </row>
    <row r="15576" spans="2:2">
      <c r="B15576" s="36"/>
    </row>
    <row r="15577" spans="2:2">
      <c r="B15577" s="36"/>
    </row>
    <row r="15578" spans="2:2">
      <c r="B15578" s="36"/>
    </row>
    <row r="15579" spans="2:2">
      <c r="B15579" s="36"/>
    </row>
    <row r="15580" spans="2:2">
      <c r="B15580" s="36"/>
    </row>
    <row r="15581" spans="2:2">
      <c r="B15581" s="36"/>
    </row>
    <row r="15582" spans="2:2">
      <c r="B15582" s="36"/>
    </row>
    <row r="15583" spans="2:2">
      <c r="B15583" s="36"/>
    </row>
    <row r="15584" spans="2:2">
      <c r="B15584" s="36"/>
    </row>
    <row r="15585" spans="2:2">
      <c r="B15585" s="36"/>
    </row>
    <row r="15586" spans="2:2">
      <c r="B15586" s="36"/>
    </row>
    <row r="15587" spans="2:2">
      <c r="B15587" s="36"/>
    </row>
    <row r="15588" spans="2:2">
      <c r="B15588" s="36"/>
    </row>
    <row r="15589" spans="2:2">
      <c r="B15589" s="36"/>
    </row>
    <row r="15590" spans="2:2">
      <c r="B15590" s="36"/>
    </row>
    <row r="15591" spans="2:2">
      <c r="B15591" s="36"/>
    </row>
    <row r="15592" spans="2:2">
      <c r="B15592" s="36"/>
    </row>
    <row r="15593" spans="2:2">
      <c r="B15593" s="36"/>
    </row>
    <row r="15594" spans="2:2">
      <c r="B15594" s="36"/>
    </row>
    <row r="15595" spans="2:2">
      <c r="B15595" s="36"/>
    </row>
    <row r="15596" spans="2:2">
      <c r="B15596" s="36"/>
    </row>
    <row r="15597" spans="2:2">
      <c r="B15597" s="36"/>
    </row>
    <row r="15598" spans="2:2">
      <c r="B15598" s="36"/>
    </row>
    <row r="15599" spans="2:2">
      <c r="B15599" s="36"/>
    </row>
    <row r="15600" spans="2:2">
      <c r="B15600" s="36"/>
    </row>
    <row r="15601" spans="2:2">
      <c r="B15601" s="36"/>
    </row>
    <row r="15602" spans="2:2">
      <c r="B15602" s="36"/>
    </row>
    <row r="15603" spans="2:2">
      <c r="B15603" s="36"/>
    </row>
    <row r="15604" spans="2:2">
      <c r="B15604" s="36"/>
    </row>
    <row r="15605" spans="2:2">
      <c r="B15605" s="36"/>
    </row>
    <row r="15606" spans="2:2">
      <c r="B15606" s="36"/>
    </row>
    <row r="15607" spans="2:2">
      <c r="B15607" s="36"/>
    </row>
    <row r="15608" spans="2:2">
      <c r="B15608" s="36"/>
    </row>
    <row r="15609" spans="2:2">
      <c r="B15609" s="36"/>
    </row>
    <row r="15610" spans="2:2">
      <c r="B15610" s="36"/>
    </row>
    <row r="15611" spans="2:2">
      <c r="B15611" s="36"/>
    </row>
    <row r="15612" spans="2:2">
      <c r="B15612" s="36"/>
    </row>
    <row r="15613" spans="2:2">
      <c r="B15613" s="36"/>
    </row>
    <row r="15614" spans="2:2">
      <c r="B15614" s="36"/>
    </row>
    <row r="15615" spans="2:2">
      <c r="B15615" s="36"/>
    </row>
    <row r="15616" spans="2:2">
      <c r="B15616" s="36"/>
    </row>
    <row r="15617" spans="2:2">
      <c r="B15617" s="36"/>
    </row>
    <row r="15618" spans="2:2">
      <c r="B15618" s="36"/>
    </row>
    <row r="15619" spans="2:2">
      <c r="B15619" s="36"/>
    </row>
    <row r="15620" spans="2:2">
      <c r="B15620" s="36"/>
    </row>
    <row r="15621" spans="2:2">
      <c r="B15621" s="36"/>
    </row>
    <row r="15622" spans="2:2">
      <c r="B15622" s="36"/>
    </row>
    <row r="15623" spans="2:2">
      <c r="B15623" s="36"/>
    </row>
    <row r="15624" spans="2:2">
      <c r="B15624" s="36"/>
    </row>
    <row r="15625" spans="2:2">
      <c r="B15625" s="36"/>
    </row>
    <row r="15626" spans="2:2">
      <c r="B15626" s="36"/>
    </row>
    <row r="15627" spans="2:2">
      <c r="B15627" s="36"/>
    </row>
    <row r="15628" spans="2:2">
      <c r="B15628" s="36"/>
    </row>
    <row r="15629" spans="2:2">
      <c r="B15629" s="36"/>
    </row>
    <row r="15630" spans="2:2">
      <c r="B15630" s="36"/>
    </row>
    <row r="15631" spans="2:2">
      <c r="B15631" s="36"/>
    </row>
    <row r="15632" spans="2:2">
      <c r="B15632" s="36"/>
    </row>
    <row r="15633" spans="2:2">
      <c r="B15633" s="36"/>
    </row>
    <row r="15634" spans="2:2">
      <c r="B15634" s="36"/>
    </row>
    <row r="15635" spans="2:2">
      <c r="B15635" s="36"/>
    </row>
    <row r="15636" spans="2:2">
      <c r="B15636" s="36"/>
    </row>
    <row r="15637" spans="2:2">
      <c r="B15637" s="36"/>
    </row>
    <row r="15638" spans="2:2">
      <c r="B15638" s="36"/>
    </row>
    <row r="15639" spans="2:2">
      <c r="B15639" s="36"/>
    </row>
    <row r="15640" spans="2:2">
      <c r="B15640" s="36"/>
    </row>
    <row r="15641" spans="2:2">
      <c r="B15641" s="36"/>
    </row>
    <row r="15642" spans="2:2">
      <c r="B15642" s="36"/>
    </row>
    <row r="15643" spans="2:2">
      <c r="B15643" s="36"/>
    </row>
    <row r="15644" spans="2:2">
      <c r="B15644" s="36"/>
    </row>
    <row r="15645" spans="2:2">
      <c r="B15645" s="36"/>
    </row>
    <row r="15646" spans="2:2">
      <c r="B15646" s="36"/>
    </row>
    <row r="15647" spans="2:2">
      <c r="B15647" s="36"/>
    </row>
    <row r="15648" spans="2:2">
      <c r="B15648" s="36"/>
    </row>
    <row r="15649" spans="2:2">
      <c r="B15649" s="36"/>
    </row>
    <row r="15650" spans="2:2">
      <c r="B15650" s="36"/>
    </row>
    <row r="15651" spans="2:2">
      <c r="B15651" s="36"/>
    </row>
    <row r="15652" spans="2:2">
      <c r="B15652" s="36"/>
    </row>
    <row r="15653" spans="2:2">
      <c r="B15653" s="36"/>
    </row>
    <row r="15654" spans="2:2">
      <c r="B15654" s="36"/>
    </row>
    <row r="15655" spans="2:2">
      <c r="B15655" s="36"/>
    </row>
    <row r="15656" spans="2:2">
      <c r="B15656" s="36"/>
    </row>
    <row r="15657" spans="2:2">
      <c r="B15657" s="36"/>
    </row>
    <row r="15658" spans="2:2">
      <c r="B15658" s="36"/>
    </row>
    <row r="15659" spans="2:2">
      <c r="B15659" s="36"/>
    </row>
    <row r="15660" spans="2:2">
      <c r="B15660" s="36"/>
    </row>
    <row r="15661" spans="2:2">
      <c r="B15661" s="36"/>
    </row>
    <row r="15662" spans="2:2">
      <c r="B15662" s="36"/>
    </row>
    <row r="15663" spans="2:2">
      <c r="B15663" s="36"/>
    </row>
    <row r="15664" spans="2:2">
      <c r="B15664" s="36"/>
    </row>
    <row r="15665" spans="2:2">
      <c r="B15665" s="36"/>
    </row>
    <row r="15666" spans="2:2">
      <c r="B15666" s="36"/>
    </row>
    <row r="15667" spans="2:2">
      <c r="B15667" s="36"/>
    </row>
    <row r="15668" spans="2:2">
      <c r="B15668" s="36"/>
    </row>
    <row r="15669" spans="2:2">
      <c r="B15669" s="36"/>
    </row>
    <row r="15670" spans="2:2">
      <c r="B15670" s="36"/>
    </row>
    <row r="15671" spans="2:2">
      <c r="B15671" s="36"/>
    </row>
    <row r="15672" spans="2:2">
      <c r="B15672" s="36"/>
    </row>
    <row r="15673" spans="2:2">
      <c r="B15673" s="36"/>
    </row>
    <row r="15674" spans="2:2">
      <c r="B15674" s="36"/>
    </row>
    <row r="15675" spans="2:2">
      <c r="B15675" s="36"/>
    </row>
    <row r="15676" spans="2:2">
      <c r="B15676" s="36"/>
    </row>
    <row r="15677" spans="2:2">
      <c r="B15677" s="36"/>
    </row>
    <row r="15678" spans="2:2">
      <c r="B15678" s="36"/>
    </row>
    <row r="15679" spans="2:2">
      <c r="B15679" s="36"/>
    </row>
    <row r="15680" spans="2:2">
      <c r="B15680" s="36"/>
    </row>
    <row r="15681" spans="2:2">
      <c r="B15681" s="36"/>
    </row>
    <row r="15682" spans="2:2">
      <c r="B15682" s="36"/>
    </row>
    <row r="15683" spans="2:2">
      <c r="B15683" s="36"/>
    </row>
    <row r="15684" spans="2:2">
      <c r="B15684" s="36"/>
    </row>
    <row r="15685" spans="2:2">
      <c r="B15685" s="36"/>
    </row>
    <row r="15686" spans="2:2">
      <c r="B15686" s="36"/>
    </row>
    <row r="15687" spans="2:2">
      <c r="B15687" s="36"/>
    </row>
    <row r="15688" spans="2:2">
      <c r="B15688" s="36"/>
    </row>
    <row r="15689" spans="2:2">
      <c r="B15689" s="36"/>
    </row>
    <row r="15690" spans="2:2">
      <c r="B15690" s="36"/>
    </row>
    <row r="15691" spans="2:2">
      <c r="B15691" s="36"/>
    </row>
    <row r="15692" spans="2:2">
      <c r="B15692" s="36"/>
    </row>
    <row r="15693" spans="2:2">
      <c r="B15693" s="36"/>
    </row>
    <row r="15694" spans="2:2">
      <c r="B15694" s="36"/>
    </row>
    <row r="15695" spans="2:2">
      <c r="B15695" s="36"/>
    </row>
    <row r="15696" spans="2:2">
      <c r="B15696" s="36"/>
    </row>
    <row r="15697" spans="2:2">
      <c r="B15697" s="36"/>
    </row>
    <row r="15698" spans="2:2">
      <c r="B15698" s="36"/>
    </row>
    <row r="15699" spans="2:2">
      <c r="B15699" s="36"/>
    </row>
    <row r="15700" spans="2:2">
      <c r="B15700" s="36"/>
    </row>
    <row r="15701" spans="2:2">
      <c r="B15701" s="36"/>
    </row>
    <row r="15702" spans="2:2">
      <c r="B15702" s="36"/>
    </row>
    <row r="15703" spans="2:2">
      <c r="B15703" s="36"/>
    </row>
    <row r="15704" spans="2:2">
      <c r="B15704" s="36"/>
    </row>
    <row r="15705" spans="2:2">
      <c r="B15705" s="36"/>
    </row>
    <row r="15706" spans="2:2">
      <c r="B15706" s="36"/>
    </row>
    <row r="15707" spans="2:2">
      <c r="B15707" s="36"/>
    </row>
    <row r="15708" spans="2:2">
      <c r="B15708" s="36"/>
    </row>
    <row r="15709" spans="2:2">
      <c r="B15709" s="36"/>
    </row>
    <row r="15710" spans="2:2">
      <c r="B15710" s="36"/>
    </row>
    <row r="15711" spans="2:2">
      <c r="B15711" s="36"/>
    </row>
    <row r="15712" spans="2:2">
      <c r="B15712" s="36"/>
    </row>
    <row r="15713" spans="2:2">
      <c r="B15713" s="36"/>
    </row>
    <row r="15714" spans="2:2">
      <c r="B15714" s="36"/>
    </row>
    <row r="15715" spans="2:2">
      <c r="B15715" s="36"/>
    </row>
    <row r="15716" spans="2:2">
      <c r="B15716" s="36"/>
    </row>
    <row r="15717" spans="2:2">
      <c r="B15717" s="36"/>
    </row>
    <row r="15718" spans="2:2">
      <c r="B15718" s="36"/>
    </row>
    <row r="15719" spans="2:2">
      <c r="B15719" s="36"/>
    </row>
    <row r="15720" spans="2:2">
      <c r="B15720" s="36"/>
    </row>
    <row r="15721" spans="2:2">
      <c r="B15721" s="36"/>
    </row>
    <row r="15722" spans="2:2">
      <c r="B15722" s="36"/>
    </row>
    <row r="15723" spans="2:2">
      <c r="B15723" s="36"/>
    </row>
    <row r="15724" spans="2:2">
      <c r="B15724" s="36"/>
    </row>
    <row r="15725" spans="2:2">
      <c r="B15725" s="36"/>
    </row>
    <row r="15726" spans="2:2">
      <c r="B15726" s="36"/>
    </row>
    <row r="15727" spans="2:2">
      <c r="B15727" s="36"/>
    </row>
    <row r="15728" spans="2:2">
      <c r="B15728" s="36"/>
    </row>
    <row r="15729" spans="2:2">
      <c r="B15729" s="36"/>
    </row>
    <row r="15730" spans="2:2">
      <c r="B15730" s="36"/>
    </row>
    <row r="15731" spans="2:2">
      <c r="B15731" s="36"/>
    </row>
    <row r="15732" spans="2:2">
      <c r="B15732" s="36"/>
    </row>
    <row r="15733" spans="2:2">
      <c r="B15733" s="36"/>
    </row>
    <row r="15734" spans="2:2">
      <c r="B15734" s="36"/>
    </row>
    <row r="15735" spans="2:2">
      <c r="B15735" s="36"/>
    </row>
    <row r="15736" spans="2:2">
      <c r="B15736" s="36"/>
    </row>
    <row r="15737" spans="2:2">
      <c r="B15737" s="36"/>
    </row>
    <row r="15738" spans="2:2">
      <c r="B15738" s="36"/>
    </row>
    <row r="15739" spans="2:2">
      <c r="B15739" s="36"/>
    </row>
    <row r="15740" spans="2:2">
      <c r="B15740" s="36"/>
    </row>
    <row r="15741" spans="2:2">
      <c r="B15741" s="36"/>
    </row>
    <row r="15742" spans="2:2">
      <c r="B15742" s="36"/>
    </row>
    <row r="15743" spans="2:2">
      <c r="B15743" s="36"/>
    </row>
    <row r="15744" spans="2:2">
      <c r="B15744" s="36"/>
    </row>
    <row r="15745" spans="2:2">
      <c r="B15745" s="36"/>
    </row>
    <row r="15746" spans="2:2">
      <c r="B15746" s="36"/>
    </row>
    <row r="15747" spans="2:2">
      <c r="B15747" s="36"/>
    </row>
    <row r="15748" spans="2:2">
      <c r="B15748" s="36"/>
    </row>
    <row r="15749" spans="2:2">
      <c r="B15749" s="36"/>
    </row>
    <row r="15750" spans="2:2">
      <c r="B15750" s="36"/>
    </row>
    <row r="15751" spans="2:2">
      <c r="B15751" s="36"/>
    </row>
    <row r="15752" spans="2:2">
      <c r="B15752" s="36"/>
    </row>
    <row r="15753" spans="2:2">
      <c r="B15753" s="36"/>
    </row>
    <row r="15754" spans="2:2">
      <c r="B15754" s="36"/>
    </row>
    <row r="15755" spans="2:2">
      <c r="B15755" s="36"/>
    </row>
    <row r="15756" spans="2:2">
      <c r="B15756" s="36"/>
    </row>
    <row r="15757" spans="2:2">
      <c r="B15757" s="36"/>
    </row>
    <row r="15758" spans="2:2">
      <c r="B15758" s="36"/>
    </row>
    <row r="15759" spans="2:2">
      <c r="B15759" s="36"/>
    </row>
    <row r="15760" spans="2:2">
      <c r="B15760" s="36"/>
    </row>
    <row r="15761" spans="2:2">
      <c r="B15761" s="36"/>
    </row>
    <row r="15762" spans="2:2">
      <c r="B15762" s="36"/>
    </row>
    <row r="15763" spans="2:2">
      <c r="B15763" s="36"/>
    </row>
    <row r="15764" spans="2:2">
      <c r="B15764" s="36"/>
    </row>
    <row r="15765" spans="2:2">
      <c r="B15765" s="36"/>
    </row>
    <row r="15766" spans="2:2">
      <c r="B15766" s="36"/>
    </row>
    <row r="15767" spans="2:2">
      <c r="B15767" s="36"/>
    </row>
    <row r="15768" spans="2:2">
      <c r="B15768" s="36"/>
    </row>
    <row r="15769" spans="2:2">
      <c r="B15769" s="36"/>
    </row>
    <row r="15770" spans="2:2">
      <c r="B15770" s="36"/>
    </row>
    <row r="15771" spans="2:2">
      <c r="B15771" s="36"/>
    </row>
    <row r="15772" spans="2:2">
      <c r="B15772" s="36"/>
    </row>
    <row r="15773" spans="2:2">
      <c r="B15773" s="36"/>
    </row>
    <row r="15774" spans="2:2">
      <c r="B15774" s="36"/>
    </row>
    <row r="15775" spans="2:2">
      <c r="B15775" s="36"/>
    </row>
    <row r="15776" spans="2:2">
      <c r="B15776" s="36"/>
    </row>
    <row r="15777" spans="2:2">
      <c r="B15777" s="36"/>
    </row>
    <row r="15778" spans="2:2">
      <c r="B15778" s="36"/>
    </row>
    <row r="15779" spans="2:2">
      <c r="B15779" s="36"/>
    </row>
    <row r="15780" spans="2:2">
      <c r="B15780" s="36"/>
    </row>
    <row r="15781" spans="2:2">
      <c r="B15781" s="36"/>
    </row>
    <row r="15782" spans="2:2">
      <c r="B15782" s="36"/>
    </row>
    <row r="15783" spans="2:2">
      <c r="B15783" s="36"/>
    </row>
    <row r="15784" spans="2:2">
      <c r="B15784" s="36"/>
    </row>
    <row r="15785" spans="2:2">
      <c r="B15785" s="36"/>
    </row>
    <row r="15786" spans="2:2">
      <c r="B15786" s="36"/>
    </row>
    <row r="15787" spans="2:2">
      <c r="B15787" s="36"/>
    </row>
    <row r="15788" spans="2:2">
      <c r="B15788" s="36"/>
    </row>
    <row r="15789" spans="2:2">
      <c r="B15789" s="36"/>
    </row>
    <row r="15790" spans="2:2">
      <c r="B15790" s="36"/>
    </row>
    <row r="15791" spans="2:2">
      <c r="B15791" s="36"/>
    </row>
    <row r="15792" spans="2:2">
      <c r="B15792" s="36"/>
    </row>
    <row r="15793" spans="2:2">
      <c r="B15793" s="36"/>
    </row>
    <row r="15794" spans="2:2">
      <c r="B15794" s="36"/>
    </row>
    <row r="15795" spans="2:2">
      <c r="B15795" s="36"/>
    </row>
    <row r="15796" spans="2:2">
      <c r="B15796" s="36"/>
    </row>
    <row r="15797" spans="2:2">
      <c r="B15797" s="36"/>
    </row>
    <row r="15798" spans="2:2">
      <c r="B15798" s="36"/>
    </row>
    <row r="15799" spans="2:2">
      <c r="B15799" s="36"/>
    </row>
    <row r="15800" spans="2:2">
      <c r="B15800" s="36"/>
    </row>
    <row r="15801" spans="2:2">
      <c r="B15801" s="36"/>
    </row>
    <row r="15802" spans="2:2">
      <c r="B15802" s="36"/>
    </row>
    <row r="15803" spans="2:2">
      <c r="B15803" s="36"/>
    </row>
    <row r="15804" spans="2:2">
      <c r="B15804" s="36"/>
    </row>
    <row r="15805" spans="2:2">
      <c r="B15805" s="36"/>
    </row>
    <row r="15806" spans="2:2">
      <c r="B15806" s="36"/>
    </row>
    <row r="15807" spans="2:2">
      <c r="B15807" s="36"/>
    </row>
    <row r="15808" spans="2:2">
      <c r="B15808" s="36"/>
    </row>
    <row r="15809" spans="2:2">
      <c r="B15809" s="36"/>
    </row>
    <row r="15810" spans="2:2">
      <c r="B15810" s="36"/>
    </row>
    <row r="15811" spans="2:2">
      <c r="B15811" s="36"/>
    </row>
    <row r="15812" spans="2:2">
      <c r="B15812" s="36"/>
    </row>
    <row r="15813" spans="2:2">
      <c r="B15813" s="36"/>
    </row>
    <row r="15814" spans="2:2">
      <c r="B15814" s="36"/>
    </row>
    <row r="15815" spans="2:2">
      <c r="B15815" s="36"/>
    </row>
    <row r="15816" spans="2:2">
      <c r="B15816" s="36"/>
    </row>
    <row r="15817" spans="2:2">
      <c r="B15817" s="36"/>
    </row>
    <row r="15818" spans="2:2">
      <c r="B15818" s="36"/>
    </row>
    <row r="15819" spans="2:2">
      <c r="B15819" s="36"/>
    </row>
    <row r="15820" spans="2:2">
      <c r="B15820" s="36"/>
    </row>
    <row r="15821" spans="2:2">
      <c r="B15821" s="36"/>
    </row>
    <row r="15822" spans="2:2">
      <c r="B15822" s="36"/>
    </row>
    <row r="15823" spans="2:2">
      <c r="B15823" s="36"/>
    </row>
    <row r="15824" spans="2:2">
      <c r="B15824" s="36"/>
    </row>
    <row r="15825" spans="2:2">
      <c r="B15825" s="36"/>
    </row>
    <row r="15826" spans="2:2">
      <c r="B15826" s="36"/>
    </row>
    <row r="15827" spans="2:2">
      <c r="B15827" s="36"/>
    </row>
    <row r="15828" spans="2:2">
      <c r="B15828" s="36"/>
    </row>
    <row r="15829" spans="2:2">
      <c r="B15829" s="36"/>
    </row>
    <row r="15830" spans="2:2">
      <c r="B15830" s="36"/>
    </row>
    <row r="15831" spans="2:2">
      <c r="B15831" s="36"/>
    </row>
    <row r="15832" spans="2:2">
      <c r="B15832" s="36"/>
    </row>
    <row r="15833" spans="2:2">
      <c r="B15833" s="36"/>
    </row>
    <row r="15834" spans="2:2">
      <c r="B15834" s="36"/>
    </row>
    <row r="15835" spans="2:2">
      <c r="B15835" s="36"/>
    </row>
    <row r="15836" spans="2:2">
      <c r="B15836" s="36"/>
    </row>
    <row r="15837" spans="2:2">
      <c r="B15837" s="36"/>
    </row>
    <row r="15838" spans="2:2">
      <c r="B15838" s="36"/>
    </row>
    <row r="15839" spans="2:2">
      <c r="B15839" s="36"/>
    </row>
    <row r="15840" spans="2:2">
      <c r="B15840" s="36"/>
    </row>
    <row r="15841" spans="2:2">
      <c r="B15841" s="36"/>
    </row>
    <row r="15842" spans="2:2">
      <c r="B15842" s="36"/>
    </row>
    <row r="15843" spans="2:2">
      <c r="B15843" s="36"/>
    </row>
    <row r="15844" spans="2:2">
      <c r="B15844" s="36"/>
    </row>
    <row r="15845" spans="2:2">
      <c r="B15845" s="36"/>
    </row>
    <row r="15846" spans="2:2">
      <c r="B15846" s="36"/>
    </row>
    <row r="15847" spans="2:2">
      <c r="B15847" s="36"/>
    </row>
    <row r="15848" spans="2:2">
      <c r="B15848" s="36"/>
    </row>
    <row r="15849" spans="2:2">
      <c r="B15849" s="36"/>
    </row>
    <row r="15850" spans="2:2">
      <c r="B15850" s="36"/>
    </row>
    <row r="15851" spans="2:2">
      <c r="B15851" s="36"/>
    </row>
    <row r="15852" spans="2:2">
      <c r="B15852" s="36"/>
    </row>
    <row r="15853" spans="2:2">
      <c r="B15853" s="36"/>
    </row>
    <row r="15854" spans="2:2">
      <c r="B15854" s="36"/>
    </row>
    <row r="15855" spans="2:2">
      <c r="B15855" s="36"/>
    </row>
    <row r="15856" spans="2:2">
      <c r="B15856" s="36"/>
    </row>
    <row r="15857" spans="2:2">
      <c r="B15857" s="36"/>
    </row>
    <row r="15858" spans="2:2">
      <c r="B15858" s="36"/>
    </row>
    <row r="15859" spans="2:2">
      <c r="B15859" s="36"/>
    </row>
    <row r="15860" spans="2:2">
      <c r="B15860" s="36"/>
    </row>
    <row r="15861" spans="2:2">
      <c r="B15861" s="36"/>
    </row>
    <row r="15862" spans="2:2">
      <c r="B15862" s="36"/>
    </row>
    <row r="15863" spans="2:2">
      <c r="B15863" s="36"/>
    </row>
    <row r="15864" spans="2:2">
      <c r="B15864" s="36"/>
    </row>
    <row r="15865" spans="2:2">
      <c r="B15865" s="36"/>
    </row>
    <row r="15866" spans="2:2">
      <c r="B15866" s="36"/>
    </row>
    <row r="15867" spans="2:2">
      <c r="B15867" s="36"/>
    </row>
    <row r="15868" spans="2:2">
      <c r="B15868" s="36"/>
    </row>
    <row r="15869" spans="2:2">
      <c r="B15869" s="36"/>
    </row>
    <row r="15870" spans="2:2">
      <c r="B15870" s="36"/>
    </row>
    <row r="15871" spans="2:2">
      <c r="B15871" s="36"/>
    </row>
    <row r="15872" spans="2:2">
      <c r="B15872" s="36"/>
    </row>
    <row r="15873" spans="2:2">
      <c r="B15873" s="36"/>
    </row>
    <row r="15874" spans="2:2">
      <c r="B15874" s="36"/>
    </row>
    <row r="15875" spans="2:2">
      <c r="B15875" s="36"/>
    </row>
    <row r="15876" spans="2:2">
      <c r="B15876" s="36"/>
    </row>
    <row r="15877" spans="2:2">
      <c r="B15877" s="36"/>
    </row>
    <row r="15878" spans="2:2">
      <c r="B15878" s="36"/>
    </row>
    <row r="15879" spans="2:2">
      <c r="B15879" s="36"/>
    </row>
    <row r="15880" spans="2:2">
      <c r="B15880" s="36"/>
    </row>
    <row r="15881" spans="2:2">
      <c r="B15881" s="36"/>
    </row>
    <row r="15882" spans="2:2">
      <c r="B15882" s="36"/>
    </row>
    <row r="15883" spans="2:2">
      <c r="B15883" s="36"/>
    </row>
    <row r="15884" spans="2:2">
      <c r="B15884" s="36"/>
    </row>
    <row r="15885" spans="2:2">
      <c r="B15885" s="36"/>
    </row>
    <row r="15886" spans="2:2">
      <c r="B15886" s="36"/>
    </row>
    <row r="15887" spans="2:2">
      <c r="B15887" s="36"/>
    </row>
    <row r="15888" spans="2:2">
      <c r="B15888" s="36"/>
    </row>
    <row r="15889" spans="2:2">
      <c r="B15889" s="36"/>
    </row>
    <row r="15890" spans="2:2">
      <c r="B15890" s="36"/>
    </row>
    <row r="15891" spans="2:2">
      <c r="B15891" s="36"/>
    </row>
    <row r="15892" spans="2:2">
      <c r="B15892" s="36"/>
    </row>
    <row r="15893" spans="2:2">
      <c r="B15893" s="36"/>
    </row>
    <row r="15894" spans="2:2">
      <c r="B15894" s="36"/>
    </row>
    <row r="15895" spans="2:2">
      <c r="B15895" s="36"/>
    </row>
    <row r="15896" spans="2:2">
      <c r="B15896" s="36"/>
    </row>
    <row r="15897" spans="2:2">
      <c r="B15897" s="36"/>
    </row>
    <row r="15898" spans="2:2">
      <c r="B15898" s="36"/>
    </row>
    <row r="15899" spans="2:2">
      <c r="B15899" s="36"/>
    </row>
    <row r="15900" spans="2:2">
      <c r="B15900" s="36"/>
    </row>
    <row r="15901" spans="2:2">
      <c r="B15901" s="36"/>
    </row>
    <row r="15902" spans="2:2">
      <c r="B15902" s="36"/>
    </row>
    <row r="15903" spans="2:2">
      <c r="B15903" s="36"/>
    </row>
    <row r="15904" spans="2:2">
      <c r="B15904" s="36"/>
    </row>
    <row r="15905" spans="2:2">
      <c r="B15905" s="36"/>
    </row>
    <row r="15906" spans="2:2">
      <c r="B15906" s="36"/>
    </row>
    <row r="15907" spans="2:2">
      <c r="B15907" s="36"/>
    </row>
    <row r="15908" spans="2:2">
      <c r="B15908" s="36"/>
    </row>
    <row r="15909" spans="2:2">
      <c r="B15909" s="36"/>
    </row>
    <row r="15910" spans="2:2">
      <c r="B15910" s="36"/>
    </row>
    <row r="15911" spans="2:2">
      <c r="B15911" s="36"/>
    </row>
    <row r="15912" spans="2:2">
      <c r="B15912" s="36"/>
    </row>
    <row r="15913" spans="2:2">
      <c r="B15913" s="36"/>
    </row>
    <row r="15914" spans="2:2">
      <c r="B15914" s="36"/>
    </row>
    <row r="15915" spans="2:2">
      <c r="B15915" s="36"/>
    </row>
    <row r="15916" spans="2:2">
      <c r="B15916" s="36"/>
    </row>
    <row r="15917" spans="2:2">
      <c r="B15917" s="36"/>
    </row>
    <row r="15918" spans="2:2">
      <c r="B15918" s="36"/>
    </row>
    <row r="15919" spans="2:2">
      <c r="B15919" s="36"/>
    </row>
    <row r="15920" spans="2:2">
      <c r="B15920" s="36"/>
    </row>
    <row r="15921" spans="2:2">
      <c r="B15921" s="36"/>
    </row>
    <row r="15922" spans="2:2">
      <c r="B15922" s="36"/>
    </row>
    <row r="15923" spans="2:2">
      <c r="B15923" s="36"/>
    </row>
    <row r="15924" spans="2:2">
      <c r="B15924" s="36"/>
    </row>
    <row r="15925" spans="2:2">
      <c r="B15925" s="36"/>
    </row>
    <row r="15926" spans="2:2">
      <c r="B15926" s="36"/>
    </row>
    <row r="15927" spans="2:2">
      <c r="B15927" s="36"/>
    </row>
    <row r="15928" spans="2:2">
      <c r="B15928" s="36"/>
    </row>
    <row r="15929" spans="2:2">
      <c r="B15929" s="36"/>
    </row>
    <row r="15930" spans="2:2">
      <c r="B15930" s="36"/>
    </row>
    <row r="15931" spans="2:2">
      <c r="B15931" s="36"/>
    </row>
    <row r="15932" spans="2:2">
      <c r="B15932" s="36"/>
    </row>
    <row r="15933" spans="2:2">
      <c r="B15933" s="36"/>
    </row>
    <row r="15934" spans="2:2">
      <c r="B15934" s="36"/>
    </row>
    <row r="15935" spans="2:2">
      <c r="B15935" s="36"/>
    </row>
    <row r="15936" spans="2:2">
      <c r="B15936" s="36"/>
    </row>
    <row r="15937" spans="2:2">
      <c r="B15937" s="36"/>
    </row>
    <row r="15938" spans="2:2">
      <c r="B15938" s="36"/>
    </row>
    <row r="15939" spans="2:2">
      <c r="B15939" s="36"/>
    </row>
    <row r="15940" spans="2:2">
      <c r="B15940" s="36"/>
    </row>
    <row r="15941" spans="2:2">
      <c r="B15941" s="36"/>
    </row>
    <row r="15942" spans="2:2">
      <c r="B15942" s="36"/>
    </row>
    <row r="15943" spans="2:2">
      <c r="B15943" s="36"/>
    </row>
    <row r="15944" spans="2:2">
      <c r="B15944" s="36"/>
    </row>
    <row r="15945" spans="2:2">
      <c r="B15945" s="36"/>
    </row>
    <row r="15946" spans="2:2">
      <c r="B15946" s="36"/>
    </row>
    <row r="15947" spans="2:2">
      <c r="B15947" s="36"/>
    </row>
    <row r="15948" spans="2:2">
      <c r="B15948" s="36"/>
    </row>
    <row r="15949" spans="2:2">
      <c r="B15949" s="36"/>
    </row>
    <row r="15950" spans="2:2">
      <c r="B15950" s="36"/>
    </row>
    <row r="15951" spans="2:2">
      <c r="B15951" s="36"/>
    </row>
    <row r="15952" spans="2:2">
      <c r="B15952" s="36"/>
    </row>
    <row r="15953" spans="2:2">
      <c r="B15953" s="36"/>
    </row>
    <row r="15954" spans="2:2">
      <c r="B15954" s="36"/>
    </row>
    <row r="15955" spans="2:2">
      <c r="B15955" s="36"/>
    </row>
    <row r="15956" spans="2:2">
      <c r="B15956" s="36"/>
    </row>
    <row r="15957" spans="2:2">
      <c r="B15957" s="36"/>
    </row>
    <row r="15958" spans="2:2">
      <c r="B15958" s="36"/>
    </row>
    <row r="15959" spans="2:2">
      <c r="B15959" s="36"/>
    </row>
    <row r="15960" spans="2:2">
      <c r="B15960" s="36"/>
    </row>
    <row r="15961" spans="2:2">
      <c r="B15961" s="36"/>
    </row>
    <row r="15962" spans="2:2">
      <c r="B15962" s="36"/>
    </row>
    <row r="15963" spans="2:2">
      <c r="B15963" s="36"/>
    </row>
    <row r="15964" spans="2:2">
      <c r="B15964" s="36"/>
    </row>
    <row r="15965" spans="2:2">
      <c r="B15965" s="36"/>
    </row>
    <row r="15966" spans="2:2">
      <c r="B15966" s="36"/>
    </row>
    <row r="15967" spans="2:2">
      <c r="B15967" s="36"/>
    </row>
    <row r="15968" spans="2:2">
      <c r="B15968" s="36"/>
    </row>
    <row r="15969" spans="2:2">
      <c r="B15969" s="36"/>
    </row>
    <row r="15970" spans="2:2">
      <c r="B15970" s="36"/>
    </row>
    <row r="15971" spans="2:2">
      <c r="B15971" s="36"/>
    </row>
    <row r="15972" spans="2:2">
      <c r="B15972" s="36"/>
    </row>
    <row r="15973" spans="2:2">
      <c r="B15973" s="36"/>
    </row>
    <row r="15974" spans="2:2">
      <c r="B15974" s="36"/>
    </row>
    <row r="15975" spans="2:2">
      <c r="B15975" s="36"/>
    </row>
    <row r="15976" spans="2:2">
      <c r="B15976" s="36"/>
    </row>
    <row r="15977" spans="2:2">
      <c r="B15977" s="36"/>
    </row>
    <row r="15978" spans="2:2">
      <c r="B15978" s="36"/>
    </row>
    <row r="15979" spans="2:2">
      <c r="B15979" s="36"/>
    </row>
    <row r="15980" spans="2:2">
      <c r="B15980" s="36"/>
    </row>
    <row r="15981" spans="2:2">
      <c r="B15981" s="36"/>
    </row>
    <row r="15982" spans="2:2">
      <c r="B15982" s="36"/>
    </row>
    <row r="15983" spans="2:2">
      <c r="B15983" s="36"/>
    </row>
    <row r="15984" spans="2:2">
      <c r="B15984" s="36"/>
    </row>
    <row r="15985" spans="2:2">
      <c r="B15985" s="36"/>
    </row>
    <row r="15986" spans="2:2">
      <c r="B15986" s="36"/>
    </row>
    <row r="15987" spans="2:2">
      <c r="B15987" s="36"/>
    </row>
    <row r="15988" spans="2:2">
      <c r="B15988" s="36"/>
    </row>
    <row r="15989" spans="2:2">
      <c r="B15989" s="36"/>
    </row>
    <row r="15990" spans="2:2">
      <c r="B15990" s="36"/>
    </row>
    <row r="15991" spans="2:2">
      <c r="B15991" s="36"/>
    </row>
    <row r="15992" spans="2:2">
      <c r="B15992" s="36"/>
    </row>
    <row r="15993" spans="2:2">
      <c r="B15993" s="36"/>
    </row>
    <row r="15994" spans="2:2">
      <c r="B15994" s="36"/>
    </row>
    <row r="15995" spans="2:2">
      <c r="B15995" s="36"/>
    </row>
    <row r="15996" spans="2:2">
      <c r="B15996" s="36"/>
    </row>
    <row r="15997" spans="2:2">
      <c r="B15997" s="36"/>
    </row>
    <row r="15998" spans="2:2">
      <c r="B15998" s="36"/>
    </row>
    <row r="15999" spans="2:2">
      <c r="B15999" s="36"/>
    </row>
    <row r="16000" spans="2:2">
      <c r="B16000" s="36"/>
    </row>
    <row r="16001" spans="2:2">
      <c r="B16001" s="36"/>
    </row>
    <row r="16002" spans="2:2">
      <c r="B16002" s="36"/>
    </row>
    <row r="16003" spans="2:2">
      <c r="B16003" s="36"/>
    </row>
    <row r="16004" spans="2:2">
      <c r="B16004" s="36"/>
    </row>
    <row r="16005" spans="2:2">
      <c r="B16005" s="36"/>
    </row>
    <row r="16006" spans="2:2">
      <c r="B16006" s="36"/>
    </row>
    <row r="16007" spans="2:2">
      <c r="B16007" s="36"/>
    </row>
    <row r="16008" spans="2:2">
      <c r="B16008" s="36"/>
    </row>
    <row r="16009" spans="2:2">
      <c r="B16009" s="36"/>
    </row>
    <row r="16010" spans="2:2">
      <c r="B16010" s="36"/>
    </row>
    <row r="16011" spans="2:2">
      <c r="B16011" s="36"/>
    </row>
    <row r="16012" spans="2:2">
      <c r="B16012" s="36"/>
    </row>
    <row r="16013" spans="2:2">
      <c r="B16013" s="36"/>
    </row>
    <row r="16014" spans="2:2">
      <c r="B16014" s="36"/>
    </row>
    <row r="16015" spans="2:2">
      <c r="B16015" s="36"/>
    </row>
    <row r="16016" spans="2:2">
      <c r="B16016" s="36"/>
    </row>
    <row r="16017" spans="2:2">
      <c r="B16017" s="36"/>
    </row>
    <row r="16018" spans="2:2">
      <c r="B16018" s="36"/>
    </row>
    <row r="16019" spans="2:2">
      <c r="B16019" s="36"/>
    </row>
    <row r="16020" spans="2:2">
      <c r="B16020" s="36"/>
    </row>
    <row r="16021" spans="2:2">
      <c r="B16021" s="36"/>
    </row>
    <row r="16022" spans="2:2">
      <c r="B16022" s="36"/>
    </row>
    <row r="16023" spans="2:2">
      <c r="B16023" s="36"/>
    </row>
    <row r="16024" spans="2:2">
      <c r="B16024" s="36"/>
    </row>
    <row r="16025" spans="2:2">
      <c r="B16025" s="36"/>
    </row>
    <row r="16026" spans="2:2">
      <c r="B16026" s="36"/>
    </row>
    <row r="16027" spans="2:2">
      <c r="B16027" s="36"/>
    </row>
    <row r="16028" spans="2:2">
      <c r="B16028" s="36"/>
    </row>
    <row r="16029" spans="2:2">
      <c r="B16029" s="36"/>
    </row>
    <row r="16030" spans="2:2">
      <c r="B16030" s="36"/>
    </row>
    <row r="16031" spans="2:2">
      <c r="B16031" s="36"/>
    </row>
    <row r="16032" spans="2:2">
      <c r="B16032" s="36"/>
    </row>
    <row r="16033" spans="2:2">
      <c r="B16033" s="36"/>
    </row>
    <row r="16034" spans="2:2">
      <c r="B16034" s="36"/>
    </row>
    <row r="16035" spans="2:2">
      <c r="B16035" s="36"/>
    </row>
    <row r="16036" spans="2:2">
      <c r="B16036" s="36"/>
    </row>
    <row r="16037" spans="2:2">
      <c r="B16037" s="36"/>
    </row>
    <row r="16038" spans="2:2">
      <c r="B16038" s="36"/>
    </row>
    <row r="16039" spans="2:2">
      <c r="B16039" s="36"/>
    </row>
    <row r="16040" spans="2:2">
      <c r="B16040" s="36"/>
    </row>
    <row r="16041" spans="2:2">
      <c r="B16041" s="36"/>
    </row>
    <row r="16042" spans="2:2">
      <c r="B16042" s="36"/>
    </row>
    <row r="16043" spans="2:2">
      <c r="B16043" s="36"/>
    </row>
    <row r="16044" spans="2:2">
      <c r="B16044" s="36"/>
    </row>
    <row r="16045" spans="2:2">
      <c r="B16045" s="36"/>
    </row>
    <row r="16046" spans="2:2">
      <c r="B16046" s="36"/>
    </row>
    <row r="16047" spans="2:2">
      <c r="B16047" s="36"/>
    </row>
    <row r="16048" spans="2:2">
      <c r="B16048" s="36"/>
    </row>
    <row r="16049" spans="2:2">
      <c r="B16049" s="36"/>
    </row>
    <row r="16050" spans="2:2">
      <c r="B16050" s="36"/>
    </row>
    <row r="16051" spans="2:2">
      <c r="B16051" s="36"/>
    </row>
    <row r="16052" spans="2:2">
      <c r="B16052" s="36"/>
    </row>
    <row r="16053" spans="2:2">
      <c r="B16053" s="36"/>
    </row>
    <row r="16054" spans="2:2">
      <c r="B16054" s="36"/>
    </row>
    <row r="16055" spans="2:2">
      <c r="B16055" s="36"/>
    </row>
    <row r="16056" spans="2:2">
      <c r="B16056" s="36"/>
    </row>
    <row r="16057" spans="2:2">
      <c r="B16057" s="36"/>
    </row>
    <row r="16058" spans="2:2">
      <c r="B16058" s="36"/>
    </row>
    <row r="16059" spans="2:2">
      <c r="B16059" s="36"/>
    </row>
    <row r="16060" spans="2:2">
      <c r="B16060" s="36"/>
    </row>
    <row r="16061" spans="2:2">
      <c r="B16061" s="36"/>
    </row>
    <row r="16062" spans="2:2">
      <c r="B16062" s="36"/>
    </row>
    <row r="16063" spans="2:2">
      <c r="B16063" s="36"/>
    </row>
    <row r="16064" spans="2:2">
      <c r="B16064" s="36"/>
    </row>
    <row r="16065" spans="2:2">
      <c r="B16065" s="36"/>
    </row>
    <row r="16066" spans="2:2">
      <c r="B16066" s="36"/>
    </row>
    <row r="16067" spans="2:2">
      <c r="B16067" s="36"/>
    </row>
    <row r="16068" spans="2:2">
      <c r="B16068" s="36"/>
    </row>
    <row r="16069" spans="2:2">
      <c r="B16069" s="36"/>
    </row>
    <row r="16070" spans="2:2">
      <c r="B16070" s="36"/>
    </row>
    <row r="16071" spans="2:2">
      <c r="B16071" s="36"/>
    </row>
    <row r="16072" spans="2:2">
      <c r="B16072" s="36"/>
    </row>
    <row r="16073" spans="2:2">
      <c r="B16073" s="36"/>
    </row>
    <row r="16074" spans="2:2">
      <c r="B16074" s="36"/>
    </row>
    <row r="16075" spans="2:2">
      <c r="B16075" s="36"/>
    </row>
    <row r="16076" spans="2:2">
      <c r="B16076" s="36"/>
    </row>
    <row r="16077" spans="2:2">
      <c r="B16077" s="36"/>
    </row>
    <row r="16078" spans="2:2">
      <c r="B16078" s="36"/>
    </row>
    <row r="16079" spans="2:2">
      <c r="B16079" s="36"/>
    </row>
    <row r="16080" spans="2:2">
      <c r="B16080" s="36"/>
    </row>
    <row r="16081" spans="2:2">
      <c r="B16081" s="36"/>
    </row>
    <row r="16082" spans="2:2">
      <c r="B16082" s="36"/>
    </row>
    <row r="16083" spans="2:2">
      <c r="B16083" s="36"/>
    </row>
    <row r="16084" spans="2:2">
      <c r="B16084" s="36"/>
    </row>
    <row r="16085" spans="2:2">
      <c r="B16085" s="36"/>
    </row>
    <row r="16086" spans="2:2">
      <c r="B16086" s="36"/>
    </row>
    <row r="16087" spans="2:2">
      <c r="B16087" s="36"/>
    </row>
    <row r="16088" spans="2:2">
      <c r="B16088" s="36"/>
    </row>
    <row r="16089" spans="2:2">
      <c r="B16089" s="36"/>
    </row>
    <row r="16090" spans="2:2">
      <c r="B16090" s="36"/>
    </row>
    <row r="16091" spans="2:2">
      <c r="B16091" s="36"/>
    </row>
    <row r="16092" spans="2:2">
      <c r="B16092" s="36"/>
    </row>
    <row r="16093" spans="2:2">
      <c r="B16093" s="36"/>
    </row>
    <row r="16094" spans="2:2">
      <c r="B16094" s="36"/>
    </row>
    <row r="16095" spans="2:2">
      <c r="B16095" s="36"/>
    </row>
    <row r="16096" spans="2:2">
      <c r="B16096" s="36"/>
    </row>
    <row r="16097" spans="2:2">
      <c r="B16097" s="36"/>
    </row>
    <row r="16098" spans="2:2">
      <c r="B16098" s="36"/>
    </row>
    <row r="16099" spans="2:2">
      <c r="B16099" s="36"/>
    </row>
    <row r="16100" spans="2:2">
      <c r="B16100" s="36"/>
    </row>
    <row r="16101" spans="2:2">
      <c r="B16101" s="36"/>
    </row>
    <row r="16102" spans="2:2">
      <c r="B16102" s="36"/>
    </row>
    <row r="16103" spans="2:2">
      <c r="B16103" s="36"/>
    </row>
    <row r="16104" spans="2:2">
      <c r="B16104" s="36"/>
    </row>
    <row r="16105" spans="2:2">
      <c r="B16105" s="36"/>
    </row>
    <row r="16106" spans="2:2">
      <c r="B16106" s="36"/>
    </row>
    <row r="16107" spans="2:2">
      <c r="B16107" s="36"/>
    </row>
    <row r="16108" spans="2:2">
      <c r="B16108" s="36"/>
    </row>
    <row r="16109" spans="2:2">
      <c r="B16109" s="36"/>
    </row>
    <row r="16110" spans="2:2">
      <c r="B16110" s="36"/>
    </row>
    <row r="16111" spans="2:2">
      <c r="B16111" s="36"/>
    </row>
    <row r="16112" spans="2:2">
      <c r="B16112" s="36"/>
    </row>
    <row r="16113" spans="2:2">
      <c r="B16113" s="36"/>
    </row>
    <row r="16114" spans="2:2">
      <c r="B16114" s="36"/>
    </row>
    <row r="16115" spans="2:2">
      <c r="B16115" s="36"/>
    </row>
    <row r="16116" spans="2:2">
      <c r="B16116" s="36"/>
    </row>
    <row r="16117" spans="2:2">
      <c r="B16117" s="36"/>
    </row>
    <row r="16118" spans="2:2">
      <c r="B16118" s="36"/>
    </row>
    <row r="16119" spans="2:2">
      <c r="B16119" s="36"/>
    </row>
    <row r="16120" spans="2:2">
      <c r="B16120" s="36"/>
    </row>
    <row r="16121" spans="2:2">
      <c r="B16121" s="36"/>
    </row>
    <row r="16122" spans="2:2">
      <c r="B16122" s="36"/>
    </row>
    <row r="16123" spans="2:2">
      <c r="B16123" s="36"/>
    </row>
    <row r="16124" spans="2:2">
      <c r="B16124" s="36"/>
    </row>
    <row r="16125" spans="2:2">
      <c r="B16125" s="36"/>
    </row>
    <row r="16126" spans="2:2">
      <c r="B16126" s="36"/>
    </row>
    <row r="16127" spans="2:2">
      <c r="B16127" s="36"/>
    </row>
    <row r="16128" spans="2:2">
      <c r="B16128" s="36"/>
    </row>
    <row r="16129" spans="2:2">
      <c r="B16129" s="36"/>
    </row>
    <row r="16130" spans="2:2">
      <c r="B16130" s="36"/>
    </row>
    <row r="16131" spans="2:2">
      <c r="B16131" s="36"/>
    </row>
    <row r="16132" spans="2:2">
      <c r="B16132" s="36"/>
    </row>
    <row r="16133" spans="2:2">
      <c r="B16133" s="36"/>
    </row>
    <row r="16134" spans="2:2">
      <c r="B16134" s="36"/>
    </row>
    <row r="16135" spans="2:2">
      <c r="B16135" s="36"/>
    </row>
    <row r="16136" spans="2:2">
      <c r="B16136" s="36"/>
    </row>
    <row r="16137" spans="2:2">
      <c r="B16137" s="36"/>
    </row>
    <row r="16138" spans="2:2">
      <c r="B16138" s="36"/>
    </row>
    <row r="16139" spans="2:2">
      <c r="B16139" s="36"/>
    </row>
    <row r="16140" spans="2:2">
      <c r="B16140" s="36"/>
    </row>
    <row r="16141" spans="2:2">
      <c r="B16141" s="36"/>
    </row>
    <row r="16142" spans="2:2">
      <c r="B16142" s="36"/>
    </row>
    <row r="16143" spans="2:2">
      <c r="B16143" s="36"/>
    </row>
    <row r="16144" spans="2:2">
      <c r="B16144" s="36"/>
    </row>
    <row r="16145" spans="2:2">
      <c r="B16145" s="36"/>
    </row>
    <row r="16146" spans="2:2">
      <c r="B16146" s="36"/>
    </row>
    <row r="16147" spans="2:2">
      <c r="B16147" s="36"/>
    </row>
    <row r="16148" spans="2:2">
      <c r="B16148" s="36"/>
    </row>
    <row r="16149" spans="2:2">
      <c r="B16149" s="36"/>
    </row>
    <row r="16150" spans="2:2">
      <c r="B16150" s="36"/>
    </row>
    <row r="16151" spans="2:2">
      <c r="B16151" s="36"/>
    </row>
    <row r="16152" spans="2:2">
      <c r="B16152" s="36"/>
    </row>
    <row r="16153" spans="2:2">
      <c r="B16153" s="36"/>
    </row>
    <row r="16154" spans="2:2">
      <c r="B16154" s="36"/>
    </row>
    <row r="16155" spans="2:2">
      <c r="B16155" s="36"/>
    </row>
    <row r="16156" spans="2:2">
      <c r="B16156" s="36"/>
    </row>
    <row r="16157" spans="2:2">
      <c r="B16157" s="36"/>
    </row>
    <row r="16158" spans="2:2">
      <c r="B16158" s="36"/>
    </row>
    <row r="16159" spans="2:2">
      <c r="B16159" s="36"/>
    </row>
    <row r="16160" spans="2:2">
      <c r="B16160" s="36"/>
    </row>
    <row r="16161" spans="2:2">
      <c r="B16161" s="36"/>
    </row>
    <row r="16162" spans="2:2">
      <c r="B16162" s="36"/>
    </row>
    <row r="16163" spans="2:2">
      <c r="B16163" s="36"/>
    </row>
    <row r="16164" spans="2:2">
      <c r="B16164" s="36"/>
    </row>
    <row r="16165" spans="2:2">
      <c r="B16165" s="36"/>
    </row>
    <row r="16166" spans="2:2">
      <c r="B16166" s="36"/>
    </row>
    <row r="16167" spans="2:2">
      <c r="B16167" s="36"/>
    </row>
    <row r="16168" spans="2:2">
      <c r="B16168" s="36"/>
    </row>
    <row r="16169" spans="2:2">
      <c r="B16169" s="36"/>
    </row>
    <row r="16170" spans="2:2">
      <c r="B16170" s="36"/>
    </row>
    <row r="16171" spans="2:2">
      <c r="B16171" s="36"/>
    </row>
    <row r="16172" spans="2:2">
      <c r="B16172" s="36"/>
    </row>
    <row r="16173" spans="2:2">
      <c r="B16173" s="36"/>
    </row>
    <row r="16174" spans="2:2">
      <c r="B16174" s="36"/>
    </row>
    <row r="16175" spans="2:2">
      <c r="B16175" s="36"/>
    </row>
    <row r="16176" spans="2:2">
      <c r="B16176" s="36"/>
    </row>
    <row r="16177" spans="2:2">
      <c r="B16177" s="36"/>
    </row>
    <row r="16178" spans="2:2">
      <c r="B16178" s="36"/>
    </row>
    <row r="16179" spans="2:2">
      <c r="B16179" s="36"/>
    </row>
    <row r="16180" spans="2:2">
      <c r="B16180" s="36"/>
    </row>
    <row r="16181" spans="2:2">
      <c r="B16181" s="36"/>
    </row>
    <row r="16182" spans="2:2">
      <c r="B16182" s="36"/>
    </row>
    <row r="16183" spans="2:2">
      <c r="B16183" s="36"/>
    </row>
    <row r="16184" spans="2:2">
      <c r="B16184" s="36"/>
    </row>
    <row r="16185" spans="2:2">
      <c r="B16185" s="36"/>
    </row>
    <row r="16186" spans="2:2">
      <c r="B16186" s="36"/>
    </row>
    <row r="16187" spans="2:2">
      <c r="B16187" s="36"/>
    </row>
    <row r="16188" spans="2:2">
      <c r="B16188" s="36"/>
    </row>
    <row r="16189" spans="2:2">
      <c r="B16189" s="36"/>
    </row>
    <row r="16190" spans="2:2">
      <c r="B16190" s="36"/>
    </row>
    <row r="16191" spans="2:2">
      <c r="B16191" s="36"/>
    </row>
    <row r="16192" spans="2:2">
      <c r="B16192" s="36"/>
    </row>
    <row r="16193" spans="2:2">
      <c r="B16193" s="36"/>
    </row>
    <row r="16194" spans="2:2">
      <c r="B16194" s="36"/>
    </row>
    <row r="16195" spans="2:2">
      <c r="B16195" s="36"/>
    </row>
    <row r="16196" spans="2:2">
      <c r="B16196" s="36"/>
    </row>
    <row r="16197" spans="2:2">
      <c r="B16197" s="36"/>
    </row>
    <row r="16198" spans="2:2">
      <c r="B16198" s="36"/>
    </row>
    <row r="16199" spans="2:2">
      <c r="B16199" s="36"/>
    </row>
    <row r="16200" spans="2:2">
      <c r="B16200" s="36"/>
    </row>
    <row r="16201" spans="2:2">
      <c r="B16201" s="36"/>
    </row>
    <row r="16202" spans="2:2">
      <c r="B16202" s="36"/>
    </row>
    <row r="16203" spans="2:2">
      <c r="B16203" s="36"/>
    </row>
    <row r="16204" spans="2:2">
      <c r="B16204" s="36"/>
    </row>
    <row r="16205" spans="2:2">
      <c r="B16205" s="36"/>
    </row>
    <row r="16206" spans="2:2">
      <c r="B16206" s="36"/>
    </row>
    <row r="16207" spans="2:2">
      <c r="B16207" s="36"/>
    </row>
    <row r="16208" spans="2:2">
      <c r="B16208" s="36"/>
    </row>
    <row r="16209" spans="2:2">
      <c r="B16209" s="36"/>
    </row>
    <row r="16210" spans="2:2">
      <c r="B16210" s="36"/>
    </row>
    <row r="16211" spans="2:2">
      <c r="B16211" s="36"/>
    </row>
    <row r="16212" spans="2:2">
      <c r="B16212" s="36"/>
    </row>
    <row r="16213" spans="2:2">
      <c r="B16213" s="36"/>
    </row>
    <row r="16214" spans="2:2">
      <c r="B16214" s="36"/>
    </row>
    <row r="16215" spans="2:2">
      <c r="B16215" s="36"/>
    </row>
    <row r="16216" spans="2:2">
      <c r="B16216" s="36"/>
    </row>
    <row r="16217" spans="2:2">
      <c r="B16217" s="36"/>
    </row>
    <row r="16218" spans="2:2">
      <c r="B16218" s="36"/>
    </row>
    <row r="16219" spans="2:2">
      <c r="B16219" s="36"/>
    </row>
    <row r="16220" spans="2:2">
      <c r="B16220" s="36"/>
    </row>
  </sheetData>
  <mergeCells count="10">
    <mergeCell ref="C28:R28"/>
    <mergeCell ref="C30:R30"/>
    <mergeCell ref="B2:M3"/>
    <mergeCell ref="B6:M6"/>
    <mergeCell ref="B4:M4"/>
    <mergeCell ref="B16:R18"/>
    <mergeCell ref="B24:B25"/>
    <mergeCell ref="C20:R22"/>
    <mergeCell ref="C24:R26"/>
    <mergeCell ref="B11:P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2:AB49"/>
  <sheetViews>
    <sheetView showGridLines="0" zoomScaleNormal="100" workbookViewId="0">
      <selection activeCell="B2" sqref="B2"/>
    </sheetView>
  </sheetViews>
  <sheetFormatPr defaultColWidth="11.5" defaultRowHeight="15.6"/>
  <cols>
    <col min="1" max="1" width="4.5" style="429" customWidth="1"/>
    <col min="2" max="2" width="58.5" style="429" bestFit="1" customWidth="1"/>
    <col min="3" max="3" width="20" style="429" customWidth="1"/>
    <col min="4" max="4" width="11.125" style="429" customWidth="1"/>
    <col min="5" max="5" width="66.5" style="429" bestFit="1" customWidth="1"/>
    <col min="6" max="6" width="44.5" style="429" bestFit="1" customWidth="1"/>
    <col min="7" max="9" width="42" style="429" bestFit="1" customWidth="1"/>
    <col min="10" max="16384" width="11.5" style="429"/>
  </cols>
  <sheetData>
    <row r="2" spans="1:17" s="437" customFormat="1" ht="15.95" customHeight="1">
      <c r="B2" s="438" t="s">
        <v>3063</v>
      </c>
      <c r="E2" s="439" t="s">
        <v>3064</v>
      </c>
    </row>
    <row r="3" spans="1:17" ht="16.5" customHeight="1"/>
    <row r="4" spans="1:17">
      <c r="B4" s="432" t="s">
        <v>3065</v>
      </c>
      <c r="C4" s="433" t="s">
        <v>3066</v>
      </c>
      <c r="H4" s="430"/>
      <c r="I4" s="430"/>
      <c r="J4" s="430"/>
      <c r="K4" s="430"/>
      <c r="L4" s="430"/>
      <c r="M4" s="430"/>
      <c r="N4" s="430"/>
      <c r="O4" s="430"/>
      <c r="P4" s="430"/>
      <c r="Q4" s="430"/>
    </row>
    <row r="5" spans="1:17" ht="18" customHeight="1">
      <c r="B5" s="136" t="s">
        <v>3029</v>
      </c>
      <c r="C5" s="429">
        <f>VLOOKUP(B5,'Aggregates by country group'!B:F,5,0)</f>
        <v>51.836561775840053</v>
      </c>
      <c r="D5" s="430"/>
      <c r="F5" s="430"/>
      <c r="G5" s="430"/>
      <c r="N5" s="430"/>
      <c r="O5" s="430"/>
      <c r="P5" s="431"/>
    </row>
    <row r="6" spans="1:17">
      <c r="B6" s="136" t="s">
        <v>2548</v>
      </c>
      <c r="C6" s="429">
        <f>VLOOKUP(B6,'Aggregates by country group'!B:F,5,0)</f>
        <v>47.819232685600397</v>
      </c>
    </row>
    <row r="7" spans="1:17">
      <c r="B7" s="255" t="s">
        <v>3067</v>
      </c>
      <c r="C7" s="429">
        <f>VLOOKUP("Other donor countries", 'Aggregates by country group'!B:F,5,0)+VLOOKUP("United Kingdom", 'Aggregates by country group'!B:F,5,0)+VLOOKUP("Canada", 'Aggregates by country group'!B:F,5,0)+VLOOKUP("Australia", 'Aggregates by country group'!B:F,5,0)+VLOOKUP("New Zealand", 'Aggregates by country group'!B:F,5,0)</f>
        <v>13.452748643748549</v>
      </c>
      <c r="D7" s="434"/>
      <c r="E7" s="434"/>
      <c r="F7" s="434"/>
      <c r="G7" s="434"/>
      <c r="H7" s="434"/>
      <c r="I7" s="434"/>
    </row>
    <row r="8" spans="1:17">
      <c r="G8" s="125"/>
    </row>
    <row r="9" spans="1:17">
      <c r="B9" s="435" t="s">
        <v>3026</v>
      </c>
      <c r="C9" s="436">
        <f>SUM(C5:C7)</f>
        <v>113.108543105189</v>
      </c>
      <c r="G9" s="125"/>
    </row>
    <row r="10" spans="1:17">
      <c r="G10" s="125"/>
    </row>
    <row r="11" spans="1:17">
      <c r="A11" s="136"/>
      <c r="B11" s="430"/>
    </row>
    <row r="12" spans="1:17">
      <c r="B12" s="890" t="s">
        <v>3068</v>
      </c>
      <c r="C12" s="890"/>
    </row>
    <row r="13" spans="1:17">
      <c r="B13" s="890"/>
      <c r="C13" s="890"/>
    </row>
    <row r="14" spans="1:17">
      <c r="B14" s="890"/>
      <c r="C14" s="890"/>
    </row>
    <row r="17" spans="2:2">
      <c r="B17" s="136"/>
    </row>
    <row r="18" spans="2:2">
      <c r="B18" s="136"/>
    </row>
    <row r="20" spans="2:2">
      <c r="B20" s="136"/>
    </row>
    <row r="21" spans="2:2">
      <c r="B21" s="136"/>
    </row>
    <row r="22" spans="2:2">
      <c r="B22" s="136"/>
    </row>
    <row r="23" spans="2:2">
      <c r="B23" s="136"/>
    </row>
    <row r="24" spans="2:2">
      <c r="B24" s="136"/>
    </row>
    <row r="25" spans="2:2">
      <c r="B25" s="136"/>
    </row>
    <row r="26" spans="2:2">
      <c r="B26" s="136"/>
    </row>
    <row r="27" spans="2:2">
      <c r="B27" s="136"/>
    </row>
    <row r="28" spans="2:2">
      <c r="B28" s="136"/>
    </row>
    <row r="29" spans="2:2">
      <c r="B29" s="136"/>
    </row>
    <row r="30" spans="2:2">
      <c r="B30" s="136"/>
    </row>
    <row r="31" spans="2:2">
      <c r="B31" s="136"/>
    </row>
    <row r="32" spans="2:2">
      <c r="B32" s="136"/>
    </row>
    <row r="33" spans="2:28" ht="15" customHeight="1">
      <c r="B33" s="136"/>
      <c r="J33" s="889"/>
      <c r="K33" s="889"/>
      <c r="L33" s="889"/>
      <c r="M33" s="889"/>
      <c r="N33" s="889"/>
      <c r="O33" s="889"/>
      <c r="P33" s="889"/>
      <c r="Q33" s="889"/>
      <c r="R33" s="889"/>
      <c r="S33" s="889"/>
      <c r="T33" s="889"/>
      <c r="U33" s="889"/>
      <c r="V33" s="889"/>
      <c r="W33" s="889"/>
      <c r="X33" s="889"/>
    </row>
    <row r="34" spans="2:28">
      <c r="J34" s="889"/>
      <c r="K34" s="889"/>
      <c r="L34" s="889"/>
      <c r="M34" s="889"/>
      <c r="N34" s="889"/>
      <c r="O34" s="889"/>
      <c r="P34" s="889"/>
      <c r="Q34" s="889"/>
      <c r="R34" s="889"/>
      <c r="S34" s="889"/>
      <c r="T34" s="889"/>
      <c r="U34" s="889"/>
      <c r="V34" s="889"/>
      <c r="W34" s="889"/>
      <c r="X34" s="889"/>
    </row>
    <row r="35" spans="2:28">
      <c r="J35" s="889"/>
      <c r="K35" s="889"/>
      <c r="L35" s="889"/>
      <c r="M35" s="889"/>
      <c r="N35" s="889"/>
      <c r="O35" s="889"/>
      <c r="P35" s="889"/>
      <c r="Q35" s="889"/>
      <c r="R35" s="889"/>
      <c r="S35" s="889"/>
      <c r="T35" s="889"/>
      <c r="U35" s="889"/>
      <c r="V35" s="889"/>
      <c r="W35" s="889"/>
      <c r="X35" s="889"/>
    </row>
    <row r="36" spans="2:28">
      <c r="J36" s="889"/>
      <c r="K36" s="889"/>
      <c r="L36" s="889"/>
      <c r="M36" s="889"/>
      <c r="N36" s="889"/>
      <c r="O36" s="889"/>
      <c r="P36" s="889"/>
      <c r="Q36" s="889"/>
      <c r="R36" s="889"/>
      <c r="S36" s="889"/>
      <c r="T36" s="889"/>
      <c r="U36" s="889"/>
      <c r="V36" s="889"/>
      <c r="W36" s="889"/>
      <c r="X36" s="889"/>
    </row>
    <row r="37" spans="2:28">
      <c r="J37" s="889"/>
      <c r="K37" s="889"/>
      <c r="L37" s="889"/>
      <c r="M37" s="889"/>
      <c r="N37" s="889"/>
      <c r="O37" s="889"/>
      <c r="P37" s="889"/>
      <c r="Q37" s="889"/>
      <c r="R37" s="889"/>
      <c r="S37" s="889"/>
      <c r="T37" s="889"/>
      <c r="U37" s="889"/>
      <c r="V37" s="889"/>
      <c r="W37" s="889"/>
      <c r="X37" s="889"/>
    </row>
    <row r="38" spans="2:28">
      <c r="J38" s="889"/>
      <c r="K38" s="889"/>
      <c r="L38" s="889"/>
      <c r="M38" s="889"/>
      <c r="N38" s="889"/>
      <c r="O38" s="889"/>
      <c r="P38" s="889"/>
      <c r="Q38" s="889"/>
      <c r="R38" s="889"/>
      <c r="S38" s="889"/>
      <c r="T38" s="889"/>
      <c r="U38" s="889"/>
      <c r="V38" s="889"/>
      <c r="W38" s="889"/>
      <c r="X38" s="889"/>
    </row>
    <row r="43" spans="2:28">
      <c r="R43" s="889"/>
      <c r="S43" s="889"/>
      <c r="T43" s="889"/>
      <c r="U43" s="889"/>
      <c r="V43" s="889"/>
      <c r="W43" s="889"/>
      <c r="X43" s="889"/>
      <c r="Y43" s="889"/>
      <c r="Z43" s="889"/>
      <c r="AA43" s="889"/>
      <c r="AB43" s="889"/>
    </row>
    <row r="44" spans="2:28">
      <c r="R44" s="889"/>
      <c r="S44" s="889"/>
      <c r="T44" s="889"/>
      <c r="U44" s="889"/>
      <c r="V44" s="889"/>
      <c r="W44" s="889"/>
      <c r="X44" s="889"/>
      <c r="Y44" s="889"/>
      <c r="Z44" s="889"/>
      <c r="AA44" s="889"/>
      <c r="AB44" s="889"/>
    </row>
    <row r="45" spans="2:28">
      <c r="R45" s="889"/>
      <c r="S45" s="889"/>
      <c r="T45" s="889"/>
      <c r="U45" s="889"/>
      <c r="V45" s="889"/>
      <c r="W45" s="889"/>
      <c r="X45" s="889"/>
      <c r="Y45" s="889"/>
      <c r="Z45" s="889"/>
      <c r="AA45" s="889"/>
      <c r="AB45" s="889"/>
    </row>
    <row r="46" spans="2:28">
      <c r="R46" s="889"/>
      <c r="S46" s="889"/>
      <c r="T46" s="889"/>
      <c r="U46" s="889"/>
      <c r="V46" s="889"/>
      <c r="W46" s="889"/>
      <c r="X46" s="889"/>
      <c r="Y46" s="889"/>
      <c r="Z46" s="889"/>
      <c r="AA46" s="889"/>
      <c r="AB46" s="889"/>
    </row>
    <row r="47" spans="2:28">
      <c r="R47" s="889"/>
      <c r="S47" s="889"/>
      <c r="T47" s="889"/>
      <c r="U47" s="889"/>
      <c r="V47" s="889"/>
      <c r="W47" s="889"/>
      <c r="X47" s="889"/>
      <c r="Y47" s="889"/>
      <c r="Z47" s="889"/>
      <c r="AA47" s="889"/>
      <c r="AB47" s="889"/>
    </row>
    <row r="48" spans="2:28">
      <c r="R48" s="889"/>
      <c r="S48" s="889"/>
      <c r="T48" s="889"/>
      <c r="U48" s="889"/>
      <c r="V48" s="889"/>
      <c r="W48" s="889"/>
      <c r="X48" s="889"/>
      <c r="Y48" s="889"/>
      <c r="Z48" s="889"/>
      <c r="AA48" s="889"/>
      <c r="AB48" s="889"/>
    </row>
    <row r="49" spans="18:28">
      <c r="R49" s="889"/>
      <c r="S49" s="889"/>
      <c r="T49" s="889"/>
      <c r="U49" s="889"/>
      <c r="V49" s="889"/>
      <c r="W49" s="889"/>
      <c r="X49" s="889"/>
      <c r="Y49" s="889"/>
      <c r="Z49" s="889"/>
      <c r="AA49" s="889"/>
      <c r="AB49" s="889"/>
    </row>
  </sheetData>
  <mergeCells count="3">
    <mergeCell ref="J33:X38"/>
    <mergeCell ref="R43:AB49"/>
    <mergeCell ref="B12:C14"/>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B2:N61"/>
  <sheetViews>
    <sheetView showGridLines="0" zoomScaleNormal="100" workbookViewId="0">
      <selection activeCell="B2" sqref="B2"/>
    </sheetView>
  </sheetViews>
  <sheetFormatPr defaultColWidth="11.5" defaultRowHeight="15.6"/>
  <cols>
    <col min="1" max="1" width="5" style="138" customWidth="1"/>
    <col min="2" max="2" width="16" style="138" customWidth="1"/>
    <col min="3" max="3" width="15.5" style="408" bestFit="1" customWidth="1"/>
    <col min="4" max="5" width="11.5" style="408" customWidth="1"/>
    <col min="6" max="6" width="12.5" style="408" bestFit="1" customWidth="1"/>
    <col min="7" max="7" width="15" style="138" customWidth="1"/>
    <col min="8" max="8" width="67" style="138" customWidth="1"/>
    <col min="9" max="16384" width="11.5" style="138"/>
  </cols>
  <sheetData>
    <row r="2" spans="2:8" s="142" customFormat="1" ht="15.95" customHeight="1">
      <c r="B2" s="141" t="s">
        <v>3069</v>
      </c>
      <c r="C2" s="406"/>
      <c r="D2" s="406"/>
      <c r="E2" s="406"/>
      <c r="F2" s="406"/>
      <c r="H2" s="440" t="s">
        <v>3070</v>
      </c>
    </row>
    <row r="4" spans="2:8">
      <c r="B4" s="143" t="s">
        <v>3006</v>
      </c>
      <c r="C4" s="407" t="s">
        <v>366</v>
      </c>
      <c r="D4" s="407" t="s">
        <v>228</v>
      </c>
      <c r="E4" s="407" t="s">
        <v>252</v>
      </c>
      <c r="F4" s="407" t="s">
        <v>3026</v>
      </c>
    </row>
    <row r="5" spans="2:8">
      <c r="B5" s="144" t="s">
        <v>2548</v>
      </c>
      <c r="C5" s="408">
        <f>VLOOKUP(B5,'Country summary'!B:J,3,0)</f>
        <v>15.053313403089188</v>
      </c>
      <c r="D5" s="408">
        <f>VLOOKUP(B5,'Country summary'!B:J,4,0)</f>
        <v>9.903936223218734</v>
      </c>
      <c r="E5" s="408">
        <f>VLOOKUP(B5,'Country summary'!B:J,5,0)</f>
        <v>22.861983059292474</v>
      </c>
      <c r="F5" s="408">
        <f>VLOOKUP(B5,'Country summary'!B:J,6,0)</f>
        <v>47.819232685600397</v>
      </c>
    </row>
    <row r="6" spans="2:8">
      <c r="B6" s="138" t="s">
        <v>3071</v>
      </c>
      <c r="C6" s="408">
        <f>VLOOKUP(B6,'Aggregates by country group'!B:F,2,0)</f>
        <v>30.322500000000002</v>
      </c>
      <c r="D6" s="408">
        <f>VLOOKUP(B6,'Aggregates by country group'!B:F,3,0)</f>
        <v>1.57</v>
      </c>
      <c r="E6" s="408">
        <f>VLOOKUP(B6,'Aggregates by country group'!B:F,4,0)</f>
        <v>3.1</v>
      </c>
      <c r="F6" s="408">
        <f>VLOOKUP(B6,'Aggregates by country group'!B:F,5,0)</f>
        <v>34.9925</v>
      </c>
    </row>
    <row r="7" spans="2:8">
      <c r="B7" s="144" t="s">
        <v>2392</v>
      </c>
      <c r="C7" s="408">
        <f>VLOOKUP(B7,'Country summary'!B:J,3,0)</f>
        <v>2.5548820828345602</v>
      </c>
      <c r="D7" s="408">
        <f>VLOOKUP(B7,'Country summary'!B:J,4,0)</f>
        <v>0.39777831531548291</v>
      </c>
      <c r="E7" s="408">
        <f>VLOOKUP(B7,'Country summary'!B:J,5,0)</f>
        <v>4.1291557278298399</v>
      </c>
      <c r="F7" s="408">
        <f>VLOOKUP(B7,'Country summary'!B:J,6,0)</f>
        <v>7.0818161259798824</v>
      </c>
    </row>
    <row r="8" spans="2:8">
      <c r="B8" s="144" t="s">
        <v>1136</v>
      </c>
      <c r="C8" s="408">
        <f>VLOOKUP(B8,'Country summary'!B:J,3,0)</f>
        <v>1.1499999999999999</v>
      </c>
      <c r="D8" s="408">
        <f>VLOOKUP(B8,'Country summary'!B:J,4,0)</f>
        <v>1.95</v>
      </c>
      <c r="E8" s="408">
        <f>VLOOKUP(B8,'Country summary'!B:J,5,0)</f>
        <v>2.3448872384566926</v>
      </c>
      <c r="F8" s="408">
        <f>VLOOKUP(B8,'Country summary'!B:J,6,0)</f>
        <v>5.4448872384566922</v>
      </c>
    </row>
    <row r="9" spans="2:8">
      <c r="B9" s="144" t="s">
        <v>452</v>
      </c>
      <c r="C9" s="408">
        <f>VLOOKUP(B9,'Country summary'!B:J,3,0)</f>
        <v>2.1391160220994476</v>
      </c>
      <c r="D9" s="408">
        <f>VLOOKUP(B9,'Country summary'!B:J,4,0)</f>
        <v>0.28780847145488037</v>
      </c>
      <c r="E9" s="408">
        <f>VLOOKUP(B9,'Country summary'!B:J,5,0)</f>
        <v>1.3567179918845094</v>
      </c>
      <c r="F9" s="408">
        <f>VLOOKUP(B9,'Country summary'!B:J,6,0)</f>
        <v>3.7836424854388375</v>
      </c>
    </row>
    <row r="10" spans="2:8">
      <c r="B10" s="144" t="s">
        <v>1894</v>
      </c>
      <c r="C10" s="408">
        <f>VLOOKUP(B10,'Country summary'!B:J,3,0)</f>
        <v>1.0028667931673585</v>
      </c>
      <c r="D10" s="408">
        <f>VLOOKUP(B10,'Country summary'!B:J,4,0)</f>
        <v>0.1753413054309915</v>
      </c>
      <c r="E10" s="408">
        <f>VLOOKUP(B10,'Country summary'!B:J,5,0)</f>
        <v>1.8223833594419532</v>
      </c>
      <c r="F10" s="408">
        <f>VLOOKUP(B10,'Country summary'!B:J,6,0)</f>
        <v>3.0005914580403035</v>
      </c>
    </row>
    <row r="11" spans="2:8">
      <c r="B11" s="144" t="s">
        <v>1012</v>
      </c>
      <c r="C11" s="408">
        <f>VLOOKUP(B11,'Country summary'!B:J,3,0)</f>
        <v>0.8</v>
      </c>
      <c r="D11" s="408">
        <f>VLOOKUP(B11,'Country summary'!B:J,4,0)</f>
        <v>0.14250096271449927</v>
      </c>
      <c r="E11" s="408">
        <f>VLOOKUP(B11,'Country summary'!B:J,5,0)</f>
        <v>0.47165789192610524</v>
      </c>
      <c r="F11" s="408">
        <f>VLOOKUP(B11,'Country summary'!B:J,6,0)</f>
        <v>1.4141588546406045</v>
      </c>
    </row>
    <row r="12" spans="2:8">
      <c r="B12" s="139" t="s">
        <v>1804</v>
      </c>
      <c r="C12" s="408">
        <f>VLOOKUP(B12,'Country summary'!B:J,3,0)</f>
        <v>0.32416322344038784</v>
      </c>
      <c r="D12" s="408">
        <f>VLOOKUP(B12,'Country summary'!B:J,4,0)</f>
        <v>0.32561470056027014</v>
      </c>
      <c r="E12" s="408">
        <f>VLOOKUP(B12,'Country summary'!B:J,5,0)</f>
        <v>0.56014572529324125</v>
      </c>
      <c r="F12" s="408">
        <f>VLOOKUP(B12,'Country summary'!B:J,6,0)</f>
        <v>1.2099236492938994</v>
      </c>
    </row>
    <row r="13" spans="2:8">
      <c r="B13" s="144" t="s">
        <v>1687</v>
      </c>
      <c r="C13" s="408">
        <f>VLOOKUP(B13,'Country summary'!B:J,3,0)</f>
        <v>0.34849999999999998</v>
      </c>
      <c r="D13" s="408">
        <f>VLOOKUP(B13,'Country summary'!B:J,4,0)</f>
        <v>0.20888495266567014</v>
      </c>
      <c r="E13" s="408">
        <f>VLOOKUP(B13,'Country summary'!B:J,5,0)</f>
        <v>0.28984679372995431</v>
      </c>
      <c r="F13" s="408">
        <f>VLOOKUP(B13,'Country summary'!B:J,6,0)</f>
        <v>0.84723174639562449</v>
      </c>
    </row>
    <row r="14" spans="2:8">
      <c r="B14" s="144" t="s">
        <v>2258</v>
      </c>
      <c r="C14" s="408">
        <f>VLOOKUP(B14,'Country summary'!B:J,3,0)</f>
        <v>0.15249814428378561</v>
      </c>
      <c r="D14" s="408">
        <f>VLOOKUP(B14,'Country summary'!B:J,4,0)</f>
        <v>0.10780913666852486</v>
      </c>
      <c r="E14" s="408">
        <f>VLOOKUP(B14,'Country summary'!B:J,5,0)</f>
        <v>0.54622043014465871</v>
      </c>
      <c r="F14" s="408">
        <f>VLOOKUP(B14,'Country summary'!B:J,6,0)</f>
        <v>0.80652771109696919</v>
      </c>
    </row>
    <row r="15" spans="2:8">
      <c r="B15" s="144" t="s">
        <v>1412</v>
      </c>
      <c r="C15" s="408">
        <f>VLOOKUP(B15,'Country summary'!B:J,3,0)</f>
        <v>0.31</v>
      </c>
      <c r="D15" s="408">
        <f>VLOOKUP(B15,'Country summary'!B:J,4,0)</f>
        <v>4.3375171898355755E-2</v>
      </c>
      <c r="E15" s="408">
        <f>VLOOKUP(B15,'Country summary'!B:J,5,0)</f>
        <v>0.31914838062565365</v>
      </c>
      <c r="F15" s="408">
        <f>VLOOKUP(B15,'Country summary'!B:J,6,0)</f>
        <v>0.67252355252400942</v>
      </c>
    </row>
    <row r="16" spans="2:8">
      <c r="B16" s="144" t="s">
        <v>767</v>
      </c>
      <c r="C16" s="408">
        <f>VLOOKUP(B16,'Country summary'!B:J,3,0)</f>
        <v>5.7500000000000002E-2</v>
      </c>
      <c r="D16" s="408">
        <f>VLOOKUP(B16,'Country summary'!B:J,4,0)</f>
        <v>7.3583308466739258E-2</v>
      </c>
      <c r="E16" s="408">
        <f>VLOOKUP(B16,'Country summary'!B:J,5,0)</f>
        <v>0.50996679973654857</v>
      </c>
      <c r="F16" s="408">
        <f>VLOOKUP(B16,'Country summary'!B:J,6,0)</f>
        <v>0.64105010820328778</v>
      </c>
    </row>
    <row r="17" spans="2:6">
      <c r="B17" s="144" t="s">
        <v>1471</v>
      </c>
      <c r="C17" s="408">
        <f>VLOOKUP(B17,'Country summary'!B:J,3,0)</f>
        <v>0.59790732436472349</v>
      </c>
      <c r="D17" s="408">
        <f>VLOOKUP(B17,'Country summary'!B:J,4,0)</f>
        <v>5.6003986048829089E-3</v>
      </c>
      <c r="E17" s="408">
        <f>VLOOKUP(B17,'Country summary'!B:J,5,0)</f>
        <v>2.4434479322371699E-3</v>
      </c>
      <c r="F17" s="408">
        <f>VLOOKUP(B17,'Country summary'!B:J,6,0)</f>
        <v>0.60595117090184358</v>
      </c>
    </row>
    <row r="18" spans="2:6">
      <c r="B18" s="144" t="s">
        <v>632</v>
      </c>
      <c r="C18" s="408">
        <f>VLOOKUP(B18,'Country summary'!B:J,3,0)</f>
        <v>0</v>
      </c>
      <c r="D18" s="408">
        <f>VLOOKUP(B18,'Country summary'!B:J,4,0)</f>
        <v>0.1082203296569451</v>
      </c>
      <c r="E18" s="408">
        <f>VLOOKUP(B18,'Country summary'!B:J,5,0)</f>
        <v>0.47848954751909611</v>
      </c>
      <c r="F18" s="408">
        <f>VLOOKUP(B18,'Country summary'!B:J,6,0)</f>
        <v>0.58670987717604117</v>
      </c>
    </row>
    <row r="19" spans="2:6">
      <c r="B19" s="144" t="s">
        <v>312</v>
      </c>
      <c r="C19" s="408">
        <f>VLOOKUP(B19,'Country summary'!B:J,3,0)</f>
        <v>0.01</v>
      </c>
      <c r="D19" s="408">
        <f>VLOOKUP(B19,'Country summary'!B:J,4,0)</f>
        <v>0.56652379546586951</v>
      </c>
      <c r="E19" s="408">
        <f>VLOOKUP(B19,'Country summary'!B:J,5,0)</f>
        <v>3.5748620328849025E-3</v>
      </c>
      <c r="F19" s="408">
        <f>VLOOKUP(B19,'Country summary'!B:J,6,0)</f>
        <v>0.58009865749875444</v>
      </c>
    </row>
    <row r="20" spans="2:6">
      <c r="B20" s="144" t="s">
        <v>2162</v>
      </c>
      <c r="C20" s="408">
        <f>VLOOKUP(B20,'Country summary'!B:J,3,0)</f>
        <v>0.2</v>
      </c>
      <c r="D20" s="408">
        <f>VLOOKUP(B20,'Country summary'!B:J,4,0)</f>
        <v>0.10096943935924264</v>
      </c>
      <c r="E20" s="408">
        <f>VLOOKUP(B20,'Country summary'!B:J,5,0)</f>
        <v>8.1106233554433915E-2</v>
      </c>
      <c r="F20" s="408">
        <f>VLOOKUP(B20,'Country summary'!B:J,6,0)</f>
        <v>0.38207567291367656</v>
      </c>
    </row>
    <row r="21" spans="2:6">
      <c r="B21" s="144" t="s">
        <v>840</v>
      </c>
      <c r="C21" s="408">
        <f>VLOOKUP(B21,'Country summary'!B:J,3,0)</f>
        <v>0</v>
      </c>
      <c r="D21" s="408">
        <f>VLOOKUP(B21,'Country summary'!B:J,4,0)</f>
        <v>4.9702280000000001E-3</v>
      </c>
      <c r="E21" s="408">
        <f>VLOOKUP(B21,'Country summary'!B:J,5,0)</f>
        <v>0.33</v>
      </c>
      <c r="F21" s="408">
        <f>VLOOKUP(B21,'Country summary'!B:J,6,0)</f>
        <v>0.33497022800000004</v>
      </c>
    </row>
    <row r="22" spans="2:6">
      <c r="B22" s="144" t="s">
        <v>1957</v>
      </c>
      <c r="C22" s="408">
        <f>VLOOKUP(B22,'Country summary'!B:J,3,0)</f>
        <v>0.25</v>
      </c>
      <c r="D22" s="408">
        <f>VLOOKUP(B22,'Country summary'!B:J,4,0)</f>
        <v>1.1999999999999999E-3</v>
      </c>
      <c r="E22" s="408">
        <f>VLOOKUP(B22,'Country summary'!B:J,5,0)</f>
        <v>8.3582285780958554E-2</v>
      </c>
      <c r="F22" s="408">
        <f>VLOOKUP(B22,'Country summary'!B:J,6,0)</f>
        <v>0.33478228578095853</v>
      </c>
    </row>
    <row r="23" spans="2:6">
      <c r="B23" s="139" t="s">
        <v>227</v>
      </c>
      <c r="C23" s="408">
        <f>VLOOKUP(B23,'Country summary'!B:J,3,0)</f>
        <v>0</v>
      </c>
      <c r="D23" s="408">
        <f>VLOOKUP(B23,'Country summary'!B:J,4,0)</f>
        <v>5.1384674972564721E-2</v>
      </c>
      <c r="E23" s="408">
        <f>VLOOKUP(B23,'Country summary'!B:J,5,0)</f>
        <v>0.26905945387644442</v>
      </c>
      <c r="F23" s="408">
        <f>VLOOKUP(B23,'Country summary'!B:J,6,0)</f>
        <v>0.32044412884900914</v>
      </c>
    </row>
    <row r="24" spans="2:6">
      <c r="B24" s="144" t="s">
        <v>1516</v>
      </c>
      <c r="C24" s="408">
        <f>VLOOKUP(B24,'Country summary'!B:J,3,0)</f>
        <v>1.4999999999999999E-2</v>
      </c>
      <c r="D24" s="408">
        <f>VLOOKUP(B24,'Country summary'!B:J,4,0)</f>
        <v>1.3674169999999999E-3</v>
      </c>
      <c r="E24" s="408">
        <f>VLOOKUP(B24,'Country summary'!B:J,5,0)</f>
        <v>0.29713953547322053</v>
      </c>
      <c r="F24" s="408">
        <f>VLOOKUP(B24,'Country summary'!B:J,6,0)</f>
        <v>0.31350695247322052</v>
      </c>
    </row>
    <row r="25" spans="2:6">
      <c r="B25" s="144" t="s">
        <v>917</v>
      </c>
      <c r="C25" s="408">
        <f>VLOOKUP(B25,'Country summary'!B:J,3,0)</f>
        <v>8.1500000000000003E-2</v>
      </c>
      <c r="D25" s="408">
        <f>VLOOKUP(B25,'Country summary'!B:J,4,0)</f>
        <v>4.6199999999999998E-2</v>
      </c>
      <c r="E25" s="408">
        <f>VLOOKUP(B25,'Country summary'!B:J,5,0)</f>
        <v>0.1779</v>
      </c>
      <c r="F25" s="408">
        <f>VLOOKUP(B25,'Country summary'!B:J,6,0)</f>
        <v>0.30559999999999998</v>
      </c>
    </row>
    <row r="26" spans="2:6">
      <c r="B26" s="144" t="s">
        <v>1562</v>
      </c>
      <c r="C26" s="408">
        <f>VLOOKUP(B26,'Country summary'!B:J,3,0)</f>
        <v>5.0000000000000001E-3</v>
      </c>
      <c r="D26" s="408">
        <f>VLOOKUP(B26,'Country summary'!B:J,4,0)</f>
        <v>5.7000000000000002E-2</v>
      </c>
      <c r="E26" s="408">
        <f>VLOOKUP(B26,'Country summary'!B:J,5,0)</f>
        <v>0.19868747583457896</v>
      </c>
      <c r="F26" s="408">
        <f>VLOOKUP(B26,'Country summary'!B:J,6,0)</f>
        <v>0.26068747583457896</v>
      </c>
    </row>
    <row r="27" spans="2:6">
      <c r="B27" s="144" t="s">
        <v>370</v>
      </c>
      <c r="C27" s="408">
        <f>VLOOKUP(B27,'Country summary'!B:J,3,0)</f>
        <v>4.96E-3</v>
      </c>
      <c r="D27" s="408">
        <f>VLOOKUP(B27,'Country summary'!B:J,4,0)</f>
        <v>0.1172</v>
      </c>
      <c r="E27" s="408">
        <f>VLOOKUP(B27,'Country summary'!B:J,5,0)</f>
        <v>9.6000000000000002E-2</v>
      </c>
      <c r="F27" s="408">
        <f>VLOOKUP(B27,'Country summary'!B:J,6,0)</f>
        <v>0.21816000000000002</v>
      </c>
    </row>
    <row r="28" spans="2:6">
      <c r="B28" s="144" t="s">
        <v>2063</v>
      </c>
      <c r="C28" s="408">
        <f>VLOOKUP(B28,'Country summary'!B:J,3,0)</f>
        <v>0</v>
      </c>
      <c r="D28" s="408">
        <f>VLOOKUP(B28,'Country summary'!B:J,4,0)</f>
        <v>5.0000000000000001E-3</v>
      </c>
      <c r="E28" s="408">
        <f>VLOOKUP(B28,'Country summary'!B:J,5,0)</f>
        <v>0.21017157538614847</v>
      </c>
      <c r="F28" s="408">
        <f>VLOOKUP(B28,'Country summary'!B:J,6,0)</f>
        <v>0.21517157538614848</v>
      </c>
    </row>
    <row r="29" spans="2:6">
      <c r="B29" s="139" t="s">
        <v>2329</v>
      </c>
      <c r="C29" s="408">
        <f>VLOOKUP(B29,'Country summary'!B:J,3,0)</f>
        <v>0</v>
      </c>
      <c r="D29" s="408">
        <f>VLOOKUP(B29,'Country summary'!B:J,4,0)</f>
        <v>0.202757502027575</v>
      </c>
      <c r="E29" s="408">
        <f>VLOOKUP(B29,'Country summary'!B:J,5,0)</f>
        <v>0</v>
      </c>
      <c r="F29" s="408">
        <f>VLOOKUP(B29,'Country summary'!B:J,6,0)</f>
        <v>0.202757502027575</v>
      </c>
    </row>
    <row r="30" spans="2:6">
      <c r="B30" s="144" t="s">
        <v>1294</v>
      </c>
      <c r="C30" s="408">
        <f>VLOOKUP(B30,'Country summary'!B:J,3,0)</f>
        <v>0</v>
      </c>
      <c r="D30" s="408">
        <f>VLOOKUP(B30,'Country summary'!B:J,4,0)</f>
        <v>0</v>
      </c>
      <c r="E30" s="408">
        <f>VLOOKUP(B30,'Country summary'!B:J,5,0)</f>
        <v>0.19116831928251124</v>
      </c>
      <c r="F30" s="408">
        <f>VLOOKUP(B30,'Country summary'!B:J,6,0)</f>
        <v>0.19116831928251124</v>
      </c>
    </row>
    <row r="31" spans="2:6">
      <c r="B31" s="139" t="s">
        <v>2002</v>
      </c>
      <c r="C31" s="408">
        <f>VLOOKUP(B31,'Country summary'!B:J,3,0)</f>
        <v>0</v>
      </c>
      <c r="D31" s="408">
        <f>VLOOKUP(B31,'Country summary'!B:J,4,0)</f>
        <v>9.088191330343795E-2</v>
      </c>
      <c r="E31" s="408">
        <f>VLOOKUP(B31,'Country summary'!B:J,5,0)</f>
        <v>3.5675137020428497E-3</v>
      </c>
      <c r="F31" s="408">
        <f>VLOOKUP(B31,'Country summary'!B:J,6,0)</f>
        <v>9.4449427005480799E-2</v>
      </c>
    </row>
    <row r="32" spans="2:6">
      <c r="B32" s="144" t="s">
        <v>1653</v>
      </c>
      <c r="C32" s="408">
        <f>VLOOKUP(B32,'Country summary'!B:J,3,0)</f>
        <v>0</v>
      </c>
      <c r="D32" s="408">
        <f>VLOOKUP(B32,'Country summary'!B:J,4,0)</f>
        <v>4.0000000000000001E-3</v>
      </c>
      <c r="E32" s="408">
        <f>VLOOKUP(B32,'Country summary'!B:J,5,0)</f>
        <v>7.1999999999999995E-2</v>
      </c>
      <c r="F32" s="408">
        <f>VLOOKUP(B32,'Country summary'!B:J,6,0)</f>
        <v>7.5999999999999998E-2</v>
      </c>
    </row>
    <row r="33" spans="2:11">
      <c r="B33" s="144" t="s">
        <v>1383</v>
      </c>
      <c r="C33" s="408">
        <f>VLOOKUP(B33,'Country summary'!B:J,3,0)</f>
        <v>0</v>
      </c>
      <c r="D33" s="408">
        <f>VLOOKUP(B33,'Country summary'!B:J,4,0)</f>
        <v>6.8687030891878428E-2</v>
      </c>
      <c r="E33" s="408">
        <f>VLOOKUP(B33,'Country summary'!B:J,5,0)</f>
        <v>0</v>
      </c>
      <c r="F33" s="408">
        <f>VLOOKUP(B33,'Country summary'!B:J,6,0)</f>
        <v>6.8687030891878428E-2</v>
      </c>
    </row>
    <row r="34" spans="2:11">
      <c r="B34" s="138" t="s">
        <v>2368</v>
      </c>
      <c r="C34" s="408">
        <f>VLOOKUP(B34,'Country summary'!B:J,3,0)</f>
        <v>0</v>
      </c>
      <c r="D34" s="408">
        <f>VLOOKUP(B34,'Country summary'!B:J,4,0)</f>
        <v>6.8261086198305926E-2</v>
      </c>
      <c r="E34" s="408">
        <f>VLOOKUP(B34,'Country summary'!B:J,5,0)</f>
        <v>0</v>
      </c>
      <c r="F34" s="408">
        <f>VLOOKUP(B34,'Country summary'!B:J,6,0)</f>
        <v>6.8261086198305926E-2</v>
      </c>
    </row>
    <row r="35" spans="2:11">
      <c r="B35" s="139" t="s">
        <v>2348</v>
      </c>
      <c r="C35" s="408">
        <f>VLOOKUP(B35,'Country summary'!B:J,3,0)</f>
        <v>0</v>
      </c>
      <c r="D35" s="408">
        <f>VLOOKUP(B35,'Country summary'!B:J,4,0)</f>
        <v>2.4716691579471843E-4</v>
      </c>
      <c r="E35" s="408">
        <f>VLOOKUP(B35,'Country summary'!B:J,5,0)</f>
        <v>6.4198804185351274E-2</v>
      </c>
      <c r="F35" s="408">
        <f>VLOOKUP(B35,'Country summary'!B:J,6,0)</f>
        <v>6.4445971101145999E-2</v>
      </c>
    </row>
    <row r="36" spans="2:11">
      <c r="B36" s="144" t="s">
        <v>2106</v>
      </c>
      <c r="C36" s="408">
        <f>VLOOKUP(B36,'Country summary'!B:J,3,0)</f>
        <v>0</v>
      </c>
      <c r="D36" s="408">
        <f>VLOOKUP(B36,'Country summary'!B:J,4,0)</f>
        <v>2.0830000000000002E-3</v>
      </c>
      <c r="E36" s="408">
        <f>VLOOKUP(B36,'Country summary'!B:J,5,0)</f>
        <v>5.8821012667663181E-2</v>
      </c>
      <c r="F36" s="408">
        <f>VLOOKUP(B36,'Country summary'!B:J,6,0)</f>
        <v>6.0904012667663182E-2</v>
      </c>
    </row>
    <row r="37" spans="2:11">
      <c r="B37" s="144" t="s">
        <v>1335</v>
      </c>
      <c r="C37" s="408">
        <f>VLOOKUP(B37,'Country summary'!B:J,3,0)</f>
        <v>0</v>
      </c>
      <c r="D37" s="408">
        <f>VLOOKUP(B37,'Country summary'!B:J,4,0)</f>
        <v>4.6688822031581839E-2</v>
      </c>
      <c r="E37" s="408">
        <f>VLOOKUP(B37,'Country summary'!B:J,5,0)</f>
        <v>0</v>
      </c>
      <c r="F37" s="408">
        <f>VLOOKUP(B37,'Country summary'!B:J,6,0)</f>
        <v>4.6688822031581839E-2</v>
      </c>
    </row>
    <row r="38" spans="2:11">
      <c r="B38" s="144" t="s">
        <v>591</v>
      </c>
      <c r="C38" s="408">
        <f>VLOOKUP(B38,'Country summary'!B:J,3,0)</f>
        <v>0</v>
      </c>
      <c r="D38" s="408">
        <f>VLOOKUP(B38,'Country summary'!B:J,4,0)</f>
        <v>6.4415119932073866E-3</v>
      </c>
      <c r="E38" s="408">
        <f>VLOOKUP(B38,'Country summary'!B:J,5,0)</f>
        <v>1.6450859690087031E-2</v>
      </c>
      <c r="F38" s="408">
        <f>VLOOKUP(B38,'Country summary'!B:J,6,0)</f>
        <v>2.2892371683294416E-2</v>
      </c>
    </row>
    <row r="39" spans="2:11">
      <c r="B39" s="139" t="s">
        <v>1766</v>
      </c>
      <c r="C39" s="408">
        <f>VLOOKUP(B39,'Country summary'!B:J,3,0)</f>
        <v>0</v>
      </c>
      <c r="D39" s="408">
        <f>VLOOKUP(B39,'Country summary'!B:J,4,0)</f>
        <v>2.3485204321277591E-3</v>
      </c>
      <c r="E39" s="408">
        <f>VLOOKUP(B39,'Country summary'!B:J,5,0)</f>
        <v>1.4694117792985236E-2</v>
      </c>
      <c r="F39" s="408">
        <f>VLOOKUP(B39,'Country summary'!B:J,6,0)</f>
        <v>1.7042638225112997E-2</v>
      </c>
    </row>
    <row r="40" spans="2:11" ht="15" customHeight="1">
      <c r="B40" s="144" t="s">
        <v>2034</v>
      </c>
      <c r="C40" s="408">
        <f>VLOOKUP(B40,'Country summary'!B:J,3,0)</f>
        <v>0</v>
      </c>
      <c r="D40" s="408">
        <f>VLOOKUP(B40,'Country summary'!B:J,4,0)</f>
        <v>7.8450784746080197E-3</v>
      </c>
      <c r="E40" s="408">
        <f>VLOOKUP(B40,'Country summary'!B:J,5,0)</f>
        <v>3.0000000000000001E-3</v>
      </c>
      <c r="F40" s="408">
        <f>VLOOKUP(B40,'Country summary'!B:J,6,0)</f>
        <v>1.0845078474608021E-2</v>
      </c>
      <c r="I40" s="145"/>
      <c r="J40" s="145"/>
    </row>
    <row r="41" spans="2:11">
      <c r="B41" s="138" t="s">
        <v>428</v>
      </c>
      <c r="C41" s="408">
        <f>VLOOKUP(B41,'Country summary'!B:J,3,0)</f>
        <v>0</v>
      </c>
      <c r="D41" s="408">
        <f>VLOOKUP(B41,'Country summary'!B:J,4,0)</f>
        <v>7.0600000000000003E-4</v>
      </c>
      <c r="E41" s="408">
        <f>VLOOKUP(B41,'Country summary'!B:J,5,0)</f>
        <v>3.7867463876432484E-3</v>
      </c>
      <c r="F41" s="408">
        <f>VLOOKUP(B41,'Country summary'!B:J,6,0)</f>
        <v>4.4927463876432479E-3</v>
      </c>
      <c r="H41" s="145"/>
      <c r="I41" s="145"/>
      <c r="J41" s="145"/>
    </row>
    <row r="42" spans="2:11">
      <c r="B42" s="144" t="s">
        <v>618</v>
      </c>
      <c r="C42" s="408">
        <f>VLOOKUP(B42,'Country summary'!B:J,3,0)</f>
        <v>0</v>
      </c>
      <c r="D42" s="408">
        <f>VLOOKUP(B42,'Country summary'!B:J,4,0)</f>
        <v>2.5000000000000001E-3</v>
      </c>
      <c r="E42" s="408">
        <f>VLOOKUP(B42,'Country summary'!B:J,5,0)</f>
        <v>0</v>
      </c>
      <c r="F42" s="408">
        <f>VLOOKUP(B42,'Country summary'!B:J,6,0)</f>
        <v>2.5000000000000001E-3</v>
      </c>
      <c r="H42" s="145"/>
      <c r="I42" s="145"/>
      <c r="J42" s="145"/>
    </row>
    <row r="43" spans="2:11" ht="14.25" customHeight="1">
      <c r="B43" s="138" t="s">
        <v>583</v>
      </c>
      <c r="C43" s="408">
        <f>VLOOKUP(B43,'Country summary'!B:J,3,0)</f>
        <v>0</v>
      </c>
      <c r="D43" s="408">
        <f>VLOOKUP(B43,'Country summary'!B:J,4,0)</f>
        <v>2.0740003318400532E-3</v>
      </c>
      <c r="E43" s="408">
        <f>VLOOKUP(B43,'Country summary'!B:J,5,0)</f>
        <v>0</v>
      </c>
      <c r="F43" s="408">
        <f>VLOOKUP(B43,'Country summary'!B:J,6,0)</f>
        <v>2.0740003318400532E-3</v>
      </c>
    </row>
    <row r="44" spans="2:11" ht="14.25" customHeight="1">
      <c r="B44" s="142" t="s">
        <v>1369</v>
      </c>
      <c r="C44" s="408">
        <f>VLOOKUP(B44,'Country summary'!B:J,3,0)</f>
        <v>0</v>
      </c>
      <c r="D44" s="408">
        <f>VLOOKUP(B44,'Country summary'!B:J,4,0)</f>
        <v>1.9404583956153462E-3</v>
      </c>
      <c r="E44" s="408">
        <f>VLOOKUP(B44,'Country summary'!B:J,5,0)</f>
        <v>0</v>
      </c>
      <c r="F44" s="408">
        <f>VLOOKUP(B44,'Country summary'!B:J,6,0)</f>
        <v>1.9404583956153462E-3</v>
      </c>
      <c r="I44" s="891"/>
      <c r="J44" s="891"/>
      <c r="K44" s="891"/>
    </row>
    <row r="45" spans="2:11" s="142" customFormat="1" ht="15.75" customHeight="1">
      <c r="B45" s="144" t="s">
        <v>1682</v>
      </c>
      <c r="C45" s="408">
        <f>VLOOKUP(B45,'Country summary'!B:J,3,0)</f>
        <v>0</v>
      </c>
      <c r="D45" s="408">
        <f>VLOOKUP(B45,'Country summary'!B:J,4,0)</f>
        <v>1.15E-3</v>
      </c>
      <c r="E45" s="408">
        <f>VLOOKUP(B45,'Country summary'!B:J,5,0)</f>
        <v>0</v>
      </c>
      <c r="F45" s="408">
        <f>VLOOKUP(B45,'Country summary'!B:J,6,0)</f>
        <v>1.15E-3</v>
      </c>
      <c r="I45" s="891"/>
      <c r="J45" s="891"/>
      <c r="K45" s="891"/>
    </row>
    <row r="46" spans="2:11" ht="15" customHeight="1">
      <c r="I46" s="891"/>
      <c r="J46" s="891"/>
      <c r="K46" s="891"/>
    </row>
    <row r="47" spans="2:11">
      <c r="B47" s="278" t="s">
        <v>3026</v>
      </c>
      <c r="C47" s="409">
        <f>SUM(C5:C45)</f>
        <v>55.379706993279449</v>
      </c>
      <c r="D47" s="409">
        <f>SUM(D5:D45)</f>
        <v>16.760880922449626</v>
      </c>
      <c r="E47" s="409">
        <f>SUM(E5:E45)</f>
        <v>40.967955189459929</v>
      </c>
      <c r="F47" s="409">
        <f>SUM(F5:F45)</f>
        <v>113.10854310518897</v>
      </c>
      <c r="I47" s="891"/>
      <c r="J47" s="891"/>
      <c r="K47" s="891"/>
    </row>
    <row r="49" spans="2:14">
      <c r="B49" s="147"/>
      <c r="C49" s="410"/>
    </row>
    <row r="50" spans="2:14">
      <c r="B50" s="148"/>
      <c r="C50" s="411"/>
      <c r="H50" s="892" t="s">
        <v>3072</v>
      </c>
      <c r="I50" s="892"/>
      <c r="J50" s="892"/>
      <c r="K50" s="892"/>
      <c r="L50" s="892"/>
      <c r="M50" s="892"/>
      <c r="N50" s="892"/>
    </row>
    <row r="51" spans="2:14" ht="15.75" customHeight="1">
      <c r="B51" s="148"/>
      <c r="C51" s="411"/>
      <c r="H51" s="892"/>
      <c r="I51" s="892"/>
      <c r="J51" s="892"/>
      <c r="K51" s="892"/>
      <c r="L51" s="892"/>
      <c r="M51" s="892"/>
      <c r="N51" s="892"/>
    </row>
    <row r="52" spans="2:14">
      <c r="B52" s="148"/>
      <c r="C52" s="411"/>
      <c r="H52" s="892"/>
      <c r="I52" s="892"/>
      <c r="J52" s="892"/>
      <c r="K52" s="892"/>
      <c r="L52" s="892"/>
      <c r="M52" s="892"/>
      <c r="N52" s="892"/>
    </row>
    <row r="53" spans="2:14">
      <c r="B53" s="148"/>
      <c r="C53" s="411"/>
      <c r="H53" s="892"/>
      <c r="I53" s="892"/>
      <c r="J53" s="892"/>
      <c r="K53" s="892"/>
      <c r="L53" s="892"/>
      <c r="M53" s="892"/>
      <c r="N53" s="892"/>
    </row>
    <row r="54" spans="2:14">
      <c r="B54" s="148"/>
      <c r="C54" s="411"/>
      <c r="H54" s="892"/>
      <c r="I54" s="892"/>
      <c r="J54" s="892"/>
      <c r="K54" s="892"/>
      <c r="L54" s="892"/>
      <c r="M54" s="892"/>
      <c r="N54" s="892"/>
    </row>
    <row r="55" spans="2:14">
      <c r="B55" s="148"/>
      <c r="C55" s="411"/>
    </row>
    <row r="56" spans="2:14">
      <c r="B56" s="148"/>
      <c r="C56" s="411"/>
    </row>
    <row r="57" spans="2:14">
      <c r="B57" s="148"/>
      <c r="C57" s="411"/>
    </row>
    <row r="58" spans="2:14">
      <c r="B58" s="148"/>
      <c r="C58" s="411"/>
    </row>
    <row r="59" spans="2:14" ht="15" customHeight="1">
      <c r="B59" s="148"/>
      <c r="C59" s="411"/>
    </row>
    <row r="60" spans="2:14" ht="15" customHeight="1">
      <c r="B60" s="148"/>
      <c r="C60" s="411"/>
    </row>
    <row r="61" spans="2:14" ht="15" customHeight="1">
      <c r="C61" s="411"/>
    </row>
  </sheetData>
  <autoFilter ref="B4:F42" xr:uid="{00000000-0009-0000-0000-000008000000}">
    <sortState xmlns:xlrd2="http://schemas.microsoft.com/office/spreadsheetml/2017/richdata2" ref="B5:F45">
      <sortCondition descending="1" ref="F4:F42"/>
    </sortState>
  </autoFilter>
  <sortState xmlns:xlrd2="http://schemas.microsoft.com/office/spreadsheetml/2017/richdata2" ref="B5:F45">
    <sortCondition descending="1" ref="F5"/>
  </sortState>
  <mergeCells count="2">
    <mergeCell ref="I44:K47"/>
    <mergeCell ref="H50:N5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B1:N48"/>
  <sheetViews>
    <sheetView showGridLines="0" zoomScaleNormal="100" workbookViewId="0">
      <selection activeCell="B2" sqref="B2"/>
    </sheetView>
  </sheetViews>
  <sheetFormatPr defaultColWidth="11.5" defaultRowHeight="15.6"/>
  <cols>
    <col min="1" max="1" width="5" style="139" customWidth="1"/>
    <col min="2" max="2" width="15.5" style="139" customWidth="1"/>
    <col min="3" max="3" width="24.5" style="149" customWidth="1"/>
    <col min="4" max="4" width="12" style="139" bestFit="1" customWidth="1"/>
    <col min="5" max="16384" width="11.5" style="139"/>
  </cols>
  <sheetData>
    <row r="1" spans="2:14">
      <c r="F1" s="142"/>
      <c r="G1" s="142"/>
      <c r="H1" s="142"/>
      <c r="I1" s="142"/>
      <c r="J1" s="142"/>
      <c r="K1" s="142"/>
      <c r="L1" s="142"/>
      <c r="M1" s="142"/>
      <c r="N1" s="142"/>
    </row>
    <row r="2" spans="2:14" s="142" customFormat="1" ht="15.95" customHeight="1">
      <c r="B2" s="141" t="s">
        <v>3073</v>
      </c>
      <c r="C2" s="150"/>
      <c r="F2" s="290" t="s">
        <v>3074</v>
      </c>
    </row>
    <row r="4" spans="2:14">
      <c r="B4" s="151" t="s">
        <v>3006</v>
      </c>
      <c r="C4" s="277" t="s">
        <v>3011</v>
      </c>
    </row>
    <row r="5" spans="2:14">
      <c r="B5" s="136" t="s">
        <v>840</v>
      </c>
      <c r="C5" s="149">
        <f>VLOOKUP(B5,'Country summary'!B:J,9,0)</f>
        <v>1.0967029147130423</v>
      </c>
    </row>
    <row r="6" spans="2:14">
      <c r="B6" s="136" t="s">
        <v>1516</v>
      </c>
      <c r="C6" s="149">
        <f>VLOOKUP(B6,'Country summary'!B:J,9,0)</f>
        <v>0.93334096809499167</v>
      </c>
    </row>
    <row r="7" spans="2:14">
      <c r="B7" s="136" t="s">
        <v>1894</v>
      </c>
      <c r="C7" s="149">
        <f>VLOOKUP(B7,'Country summary'!B:J,9,0)</f>
        <v>0.5046883315564662</v>
      </c>
    </row>
    <row r="8" spans="2:14">
      <c r="B8" s="136" t="s">
        <v>1562</v>
      </c>
      <c r="C8" s="149">
        <f>VLOOKUP(B8,'Country summary'!B:J,9,0)</f>
        <v>0.46262413045723411</v>
      </c>
    </row>
    <row r="9" spans="2:14">
      <c r="B9" s="139" t="s">
        <v>1804</v>
      </c>
      <c r="C9" s="149">
        <f>VLOOKUP(B9,'Country summary'!B:J,9,0)</f>
        <v>0.33521922114706038</v>
      </c>
    </row>
    <row r="10" spans="2:14">
      <c r="B10" s="136" t="s">
        <v>2392</v>
      </c>
      <c r="C10" s="149">
        <f>VLOOKUP(B10,'Country summary'!B:J,9,0)</f>
        <v>0.25750387809853476</v>
      </c>
    </row>
    <row r="11" spans="2:14">
      <c r="B11" s="136" t="s">
        <v>632</v>
      </c>
      <c r="C11" s="149">
        <f>VLOOKUP(B11,'Country summary'!B:J,9,0)</f>
        <v>0.23997920991472438</v>
      </c>
    </row>
    <row r="12" spans="2:14">
      <c r="B12" s="136" t="s">
        <v>452</v>
      </c>
      <c r="C12" s="149">
        <f>VLOOKUP(B12,'Country summary'!B:J,9,0)</f>
        <v>0.23075429771221459</v>
      </c>
    </row>
    <row r="13" spans="2:14">
      <c r="B13" s="136" t="s">
        <v>2548</v>
      </c>
      <c r="C13" s="149">
        <f>VLOOKUP(B13,'Country summary'!B:J,9,0)</f>
        <v>0.22901986013478723</v>
      </c>
    </row>
    <row r="14" spans="2:14">
      <c r="B14" s="136" t="s">
        <v>2063</v>
      </c>
      <c r="C14" s="149">
        <f>VLOOKUP(B14,'Country summary'!B:J,9,0)</f>
        <v>0.20530514413645537</v>
      </c>
    </row>
    <row r="15" spans="2:14">
      <c r="B15" s="136" t="s">
        <v>767</v>
      </c>
      <c r="C15" s="149">
        <f>VLOOKUP(B15,'Country summary'!B:J,9,0)</f>
        <v>0.18065743247726287</v>
      </c>
    </row>
    <row r="16" spans="2:14">
      <c r="B16" s="136" t="s">
        <v>2258</v>
      </c>
      <c r="C16" s="149">
        <f>VLOOKUP(B16,'Country summary'!B:J,9,0)</f>
        <v>0.14954186252553325</v>
      </c>
    </row>
    <row r="17" spans="2:3">
      <c r="B17" s="136" t="s">
        <v>1957</v>
      </c>
      <c r="C17" s="149">
        <f>VLOOKUP(B17,'Country summary'!B:J,9,0)</f>
        <v>0.14700074113441991</v>
      </c>
    </row>
    <row r="18" spans="2:3">
      <c r="B18" s="136" t="s">
        <v>1136</v>
      </c>
      <c r="C18" s="149">
        <f>VLOOKUP(B18,'Country summary'!B:J,9,0)</f>
        <v>0.14205294706259788</v>
      </c>
    </row>
    <row r="19" spans="2:3">
      <c r="B19" s="136" t="s">
        <v>312</v>
      </c>
      <c r="C19" s="149">
        <f>VLOOKUP(B19,'Country summary'!B:J,9,0)</f>
        <v>0.13436067454145792</v>
      </c>
    </row>
    <row r="20" spans="2:3">
      <c r="B20" s="136" t="s">
        <v>2106</v>
      </c>
      <c r="C20" s="149">
        <f>VLOOKUP(B20,'Country summary'!B:J,9,0)</f>
        <v>0.11404669149459316</v>
      </c>
    </row>
    <row r="21" spans="2:3">
      <c r="B21" s="136" t="s">
        <v>917</v>
      </c>
      <c r="C21" s="149">
        <f>VLOOKUP(B21,'Country summary'!B:J,9,0)</f>
        <v>0.11375203300449048</v>
      </c>
    </row>
    <row r="22" spans="2:3">
      <c r="B22" s="136" t="s">
        <v>1653</v>
      </c>
      <c r="C22" s="149">
        <f>VLOOKUP(B22,'Country summary'!B:J,9,0)</f>
        <v>0.10397102345871267</v>
      </c>
    </row>
    <row r="23" spans="2:3">
      <c r="B23" s="136" t="s">
        <v>1294</v>
      </c>
      <c r="C23" s="149">
        <f>VLOOKUP(B23,'Country summary'!B:J,9,0)</f>
        <v>0.10158985634034336</v>
      </c>
    </row>
    <row r="24" spans="2:3">
      <c r="B24" s="136" t="s">
        <v>1687</v>
      </c>
      <c r="C24" s="149">
        <f>VLOOKUP(B24,'Country summary'!B:J,9,0)</f>
        <v>9.3033072212604734E-2</v>
      </c>
    </row>
    <row r="25" spans="2:3">
      <c r="B25" s="136" t="s">
        <v>1012</v>
      </c>
      <c r="C25" s="149">
        <f>VLOOKUP(B25,'Country summary'!B:J,9,0)</f>
        <v>5.3951976768671459E-2</v>
      </c>
    </row>
    <row r="26" spans="2:3">
      <c r="B26" s="136" t="s">
        <v>370</v>
      </c>
      <c r="C26" s="149">
        <f>VLOOKUP(B26,'Country summary'!B:J,9,0)</f>
        <v>4.1950526738628195E-2</v>
      </c>
    </row>
    <row r="27" spans="2:3">
      <c r="B27" s="136" t="s">
        <v>591</v>
      </c>
      <c r="C27" s="149">
        <f>VLOOKUP(B27,'Country summary'!B:J,9,0)</f>
        <v>4.0159050650474405E-2</v>
      </c>
    </row>
    <row r="28" spans="2:3">
      <c r="B28" s="136" t="s">
        <v>1412</v>
      </c>
      <c r="C28" s="149">
        <f>VLOOKUP(B28,'Country summary'!B:J,9,0)</f>
        <v>3.5732197375888765E-2</v>
      </c>
    </row>
    <row r="29" spans="2:3">
      <c r="B29" s="136" t="s">
        <v>1335</v>
      </c>
      <c r="C29" s="149">
        <f>VLOOKUP(B29,'Country summary'!B:J,9,0)</f>
        <v>3.0070407552179063E-2</v>
      </c>
    </row>
    <row r="30" spans="2:3">
      <c r="B30" s="136" t="s">
        <v>2162</v>
      </c>
      <c r="C30" s="149">
        <f>VLOOKUP(B30,'Country summary'!B:J,9,0)</f>
        <v>2.9919432960887813E-2</v>
      </c>
    </row>
    <row r="31" spans="2:3">
      <c r="B31" s="139" t="s">
        <v>2329</v>
      </c>
      <c r="C31" s="149">
        <f>VLOOKUP(B31,'Country summary'!B:J,9,0)</f>
        <v>2.7047880607943921E-2</v>
      </c>
    </row>
    <row r="32" spans="2:3">
      <c r="B32" s="139" t="s">
        <v>227</v>
      </c>
      <c r="C32" s="149">
        <f>VLOOKUP(B32,'Country summary'!B:J,9,0)</f>
        <v>2.4217270948509912E-2</v>
      </c>
    </row>
    <row r="33" spans="2:8">
      <c r="B33" s="136" t="s">
        <v>1383</v>
      </c>
      <c r="C33" s="149">
        <f>VLOOKUP(B33,'Country summary'!B:J,9,0)</f>
        <v>1.6184366231576774E-2</v>
      </c>
    </row>
    <row r="34" spans="2:8">
      <c r="B34" s="136" t="s">
        <v>1471</v>
      </c>
      <c r="C34" s="149">
        <f>VLOOKUP(B34,'Country summary'!B:J,9,0)</f>
        <v>1.2022557911696131E-2</v>
      </c>
    </row>
    <row r="35" spans="2:8">
      <c r="B35" s="139" t="s">
        <v>2368</v>
      </c>
      <c r="C35" s="149">
        <f>VLOOKUP(B35,'Country summary'!B:J,9,0)</f>
        <v>1.1189738764522157E-2</v>
      </c>
    </row>
    <row r="36" spans="2:8">
      <c r="B36" s="136" t="s">
        <v>618</v>
      </c>
      <c r="C36" s="149">
        <f>VLOOKUP(B36,'Country summary'!B:J,9,0)</f>
        <v>1.0192929245733395E-2</v>
      </c>
    </row>
    <row r="37" spans="2:8">
      <c r="B37" s="139" t="s">
        <v>2348</v>
      </c>
      <c r="C37" s="149">
        <f>VLOOKUP(B37,'Country summary'!B:J,9,0)</f>
        <v>8.9827208669556458E-3</v>
      </c>
    </row>
    <row r="38" spans="2:8">
      <c r="B38" s="139" t="s">
        <v>1766</v>
      </c>
      <c r="C38" s="149">
        <f>VLOOKUP(B38,'Country summary'!B:J,9,0)</f>
        <v>8.1168574033848011E-3</v>
      </c>
    </row>
    <row r="39" spans="2:8">
      <c r="B39" s="136" t="s">
        <v>1682</v>
      </c>
      <c r="C39" s="149">
        <f>VLOOKUP(B39,'Country summary'!B:J,9,0)</f>
        <v>7.8787127800330169E-3</v>
      </c>
    </row>
    <row r="40" spans="2:8">
      <c r="B40" s="139" t="s">
        <v>428</v>
      </c>
      <c r="C40" s="149">
        <f>VLOOKUP(B40,'Country summary'!B:J,9,0)</f>
        <v>6.4508700761502875E-3</v>
      </c>
    </row>
    <row r="41" spans="2:8">
      <c r="B41" s="139" t="s">
        <v>2002</v>
      </c>
      <c r="C41" s="149">
        <f>VLOOKUP(B41,'Country summary'!B:J,9,0)</f>
        <v>5.7866928920865075E-3</v>
      </c>
    </row>
    <row r="42" spans="2:8">
      <c r="B42" s="136" t="s">
        <v>2034</v>
      </c>
      <c r="C42" s="149">
        <f>VLOOKUP(B42,'Country summary'!B:J,9,0)</f>
        <v>4.3756959503614265E-3</v>
      </c>
    </row>
    <row r="43" spans="2:8" ht="15.75" customHeight="1">
      <c r="B43" s="139" t="s">
        <v>1369</v>
      </c>
      <c r="C43" s="149">
        <f>VLOOKUP(B43,'Country summary'!B:J,9,0)</f>
        <v>7.3198138435895518E-5</v>
      </c>
      <c r="D43" s="153"/>
      <c r="E43" s="153"/>
      <c r="F43" s="153"/>
      <c r="G43" s="153"/>
      <c r="H43" s="153"/>
    </row>
    <row r="44" spans="2:8" ht="15" customHeight="1">
      <c r="B44" s="146" t="s">
        <v>583</v>
      </c>
      <c r="C44" s="154">
        <f>VLOOKUP(B44,'Country summary'!B:J,9,0)</f>
        <v>1.4136367605363934E-5</v>
      </c>
      <c r="D44" s="153"/>
      <c r="E44" s="153"/>
      <c r="F44" s="153"/>
      <c r="G44" s="153"/>
      <c r="H44" s="153"/>
    </row>
    <row r="45" spans="2:8" ht="15" customHeight="1">
      <c r="D45" s="153"/>
      <c r="E45" s="153"/>
      <c r="F45" s="153"/>
      <c r="G45" s="153"/>
      <c r="H45" s="153"/>
    </row>
    <row r="46" spans="2:8" ht="15" customHeight="1">
      <c r="D46" s="153"/>
      <c r="E46" s="153"/>
      <c r="F46" s="153"/>
      <c r="G46" s="153"/>
      <c r="H46" s="153"/>
    </row>
    <row r="47" spans="2:8" ht="15" customHeight="1">
      <c r="D47" s="149"/>
      <c r="E47" s="153"/>
      <c r="F47" s="153"/>
      <c r="G47" s="153"/>
      <c r="H47" s="153"/>
    </row>
    <row r="48" spans="2:8" ht="15" customHeight="1">
      <c r="D48" s="153"/>
      <c r="E48" s="153"/>
      <c r="F48" s="153"/>
      <c r="G48" s="153"/>
      <c r="H48" s="153"/>
    </row>
  </sheetData>
  <autoFilter ref="B4:C4" xr:uid="{00000000-0009-0000-0000-000009000000}">
    <sortState xmlns:xlrd2="http://schemas.microsoft.com/office/spreadsheetml/2017/richdata2" ref="B5:C44">
      <sortCondition descending="1" ref="C4"/>
    </sortState>
  </autoFilter>
  <sortState xmlns:xlrd2="http://schemas.microsoft.com/office/spreadsheetml/2017/richdata2" ref="B5:C44">
    <sortCondition descending="1" ref="C5:C44"/>
  </sortState>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B2:Q51"/>
  <sheetViews>
    <sheetView showGridLines="0" zoomScaleNormal="100" workbookViewId="0">
      <selection activeCell="B2" sqref="B2"/>
    </sheetView>
  </sheetViews>
  <sheetFormatPr defaultColWidth="11.5" defaultRowHeight="15.6"/>
  <cols>
    <col min="1" max="1" width="5" style="139" customWidth="1"/>
    <col min="2" max="2" width="16.5" style="139" customWidth="1"/>
    <col min="3" max="3" width="24.5" style="149" customWidth="1"/>
    <col min="4" max="4" width="22.5" style="149" customWidth="1"/>
    <col min="5" max="5" width="28.5" style="149" customWidth="1"/>
    <col min="6" max="6" width="11.5" style="139" customWidth="1"/>
    <col min="7" max="7" width="11.5" style="139"/>
    <col min="8" max="8" width="12.5" style="139" customWidth="1"/>
    <col min="9" max="16384" width="11.5" style="139"/>
  </cols>
  <sheetData>
    <row r="2" spans="2:8" ht="15.95" customHeight="1">
      <c r="B2" s="140" t="s">
        <v>3075</v>
      </c>
      <c r="H2" s="441" t="s">
        <v>3076</v>
      </c>
    </row>
    <row r="4" spans="2:8">
      <c r="B4" s="151" t="s">
        <v>3006</v>
      </c>
      <c r="C4" s="152" t="s">
        <v>3011</v>
      </c>
      <c r="D4" s="155" t="s">
        <v>3077</v>
      </c>
      <c r="E4" s="155" t="s">
        <v>3078</v>
      </c>
      <c r="F4" s="140"/>
      <c r="G4" s="140"/>
    </row>
    <row r="5" spans="2:8">
      <c r="B5" s="136" t="s">
        <v>840</v>
      </c>
      <c r="C5" s="149">
        <f>VLOOKUP(B5,'Country summary'!B:J,9,0)</f>
        <v>1.0967029147130423</v>
      </c>
      <c r="D5" s="149">
        <f>VLOOKUP(B5,'Country summary'!B:O,14,0)</f>
        <v>0.22063866696278725</v>
      </c>
      <c r="E5" s="149">
        <f>VLOOKUP(B5,'Country summary'!B:Q,16,0)</f>
        <v>1.3173415816758296</v>
      </c>
    </row>
    <row r="6" spans="2:8">
      <c r="B6" s="136" t="s">
        <v>1516</v>
      </c>
      <c r="C6" s="149">
        <f>VLOOKUP(B6,'Country summary'!B:J,9,0)</f>
        <v>0.93334096809499167</v>
      </c>
      <c r="D6" s="149">
        <f>VLOOKUP(B6,'Country summary'!B:O,14,0)</f>
        <v>0.20829576580430037</v>
      </c>
      <c r="E6" s="149">
        <f>VLOOKUP(B6,'Country summary'!B:Q,16,0)</f>
        <v>1.1416367338992921</v>
      </c>
    </row>
    <row r="7" spans="2:8">
      <c r="B7" s="136" t="s">
        <v>1894</v>
      </c>
      <c r="C7" s="149">
        <f>VLOOKUP(B7,'Country summary'!B:J,9,0)</f>
        <v>0.5046883315564662</v>
      </c>
      <c r="D7" s="149">
        <f>VLOOKUP(B7,'Country summary'!B:O,14,0)</f>
        <v>0.24522915216183597</v>
      </c>
      <c r="E7" s="149">
        <f>VLOOKUP(B7,'Country summary'!B:Q,16,0)</f>
        <v>0.74991748371830214</v>
      </c>
    </row>
    <row r="8" spans="2:8">
      <c r="B8" s="136" t="s">
        <v>1562</v>
      </c>
      <c r="C8" s="149">
        <f>VLOOKUP(B8,'Country summary'!B:J,9,0)</f>
        <v>0.46262413045723411</v>
      </c>
      <c r="D8" s="149">
        <f>VLOOKUP(B8,'Country summary'!B:O,14,0)</f>
        <v>0.19909047611931049</v>
      </c>
      <c r="E8" s="149">
        <f>VLOOKUP(B8,'Country summary'!B:Q,16,0)</f>
        <v>0.66171460657654457</v>
      </c>
    </row>
    <row r="9" spans="2:8">
      <c r="B9" s="136" t="s">
        <v>2063</v>
      </c>
      <c r="C9" s="149">
        <f>VLOOKUP(B9,'Country summary'!B:J,9,0)</f>
        <v>0.20530514413645537</v>
      </c>
      <c r="D9" s="149">
        <f>VLOOKUP(B9,'Country summary'!B:O,14,0)</f>
        <v>0.29052372614435157</v>
      </c>
      <c r="E9" s="149">
        <f>VLOOKUP(B9,'Country summary'!B:Q,16,0)</f>
        <v>0.49582887028080697</v>
      </c>
    </row>
    <row r="10" spans="2:8">
      <c r="B10" s="136" t="s">
        <v>632</v>
      </c>
      <c r="C10" s="149">
        <f>VLOOKUP(B10,'Country summary'!B:J,9,0)</f>
        <v>0.23997920991472438</v>
      </c>
      <c r="D10" s="149">
        <f>VLOOKUP(B10,'Country summary'!B:O,14,0)</f>
        <v>0.2062263720285484</v>
      </c>
      <c r="E10" s="149">
        <f>VLOOKUP(B10,'Country summary'!B:Q,16,0)</f>
        <v>0.44620558194327276</v>
      </c>
    </row>
    <row r="11" spans="2:8">
      <c r="B11" s="136" t="s">
        <v>767</v>
      </c>
      <c r="C11" s="149">
        <f>VLOOKUP(B11,'Country summary'!B:J,9,0)</f>
        <v>0.18065743247726287</v>
      </c>
      <c r="D11" s="149">
        <f>VLOOKUP(B11,'Country summary'!B:O,14,0)</f>
        <v>0.24966132692405568</v>
      </c>
      <c r="E11" s="149">
        <f>VLOOKUP(B11,'Country summary'!B:Q,16,0)</f>
        <v>0.43031875940131847</v>
      </c>
    </row>
    <row r="12" spans="2:8">
      <c r="B12" s="136" t="s">
        <v>1687</v>
      </c>
      <c r="C12" s="149">
        <f>VLOOKUP(B12,'Country summary'!B:J,9,0)</f>
        <v>9.3033072212604734E-2</v>
      </c>
      <c r="D12" s="149">
        <f>VLOOKUP(B12,'Country summary'!B:O,14,0)</f>
        <v>0.29035752853576458</v>
      </c>
      <c r="E12" s="149">
        <f>VLOOKUP(B12,'Country summary'!B:Q,16,0)</f>
        <v>0.38339060074836934</v>
      </c>
    </row>
    <row r="13" spans="2:8">
      <c r="B13" s="136" t="s">
        <v>312</v>
      </c>
      <c r="C13" s="149">
        <f>VLOOKUP(B13,'Country summary'!B:J,9,0)</f>
        <v>0.13436067454145792</v>
      </c>
      <c r="D13" s="149">
        <f>VLOOKUP(B13,'Country summary'!B:O,14,0)</f>
        <v>0.23503317221905162</v>
      </c>
      <c r="E13" s="149">
        <f>VLOOKUP(B13,'Country summary'!B:Q,16,0)</f>
        <v>0.36939384676050951</v>
      </c>
    </row>
    <row r="14" spans="2:8">
      <c r="B14" s="136" t="s">
        <v>2258</v>
      </c>
      <c r="C14" s="149">
        <f>VLOOKUP(B14,'Country summary'!B:J,9,0)</f>
        <v>0.14954186252553325</v>
      </c>
      <c r="D14" s="149">
        <f>VLOOKUP(B14,'Country summary'!B:O,14,0)</f>
        <v>0.21879850800862621</v>
      </c>
      <c r="E14" s="149">
        <f>VLOOKUP(B14,'Country summary'!B:Q,16,0)</f>
        <v>0.36834037053415947</v>
      </c>
    </row>
    <row r="15" spans="2:8">
      <c r="B15" s="136" t="s">
        <v>1294</v>
      </c>
      <c r="C15" s="149">
        <f>VLOOKUP(B15,'Country summary'!B:J,9,0)</f>
        <v>0.10158985634034336</v>
      </c>
      <c r="D15" s="149">
        <f>VLOOKUP(B15,'Country summary'!B:O,14,0)</f>
        <v>0.26389362335339239</v>
      </c>
      <c r="E15" s="149">
        <f>VLOOKUP(B15,'Country summary'!B:Q,16,0)</f>
        <v>0.36548347969373574</v>
      </c>
    </row>
    <row r="16" spans="2:8">
      <c r="B16" s="136" t="s">
        <v>1957</v>
      </c>
      <c r="C16" s="149">
        <f>VLOOKUP(B16,'Country summary'!B:J,9,0)</f>
        <v>0.14700074113441991</v>
      </c>
      <c r="D16" s="149">
        <f>VLOOKUP(B16,'Country summary'!B:O,14,0)</f>
        <v>0.21791251861559205</v>
      </c>
      <c r="E16" s="149">
        <f>VLOOKUP(B16,'Country summary'!B:Q,16,0)</f>
        <v>0.36491325975001199</v>
      </c>
    </row>
    <row r="17" spans="2:5">
      <c r="B17" s="136" t="s">
        <v>2106</v>
      </c>
      <c r="C17" s="149">
        <f>VLOOKUP(B17,'Country summary'!B:J,9,0)</f>
        <v>0.11404669149459316</v>
      </c>
      <c r="D17" s="149">
        <f>VLOOKUP(B17,'Country summary'!B:O,14,0)</f>
        <v>0.23209238325494025</v>
      </c>
      <c r="E17" s="149">
        <f>VLOOKUP(B17,'Country summary'!B:Q,16,0)</f>
        <v>0.34613907474953343</v>
      </c>
    </row>
    <row r="18" spans="2:5">
      <c r="B18" s="136" t="s">
        <v>2162</v>
      </c>
      <c r="C18" s="149">
        <f>VLOOKUP(B18,'Country summary'!B:J,9,0)</f>
        <v>2.9919432960887813E-2</v>
      </c>
      <c r="D18" s="149">
        <f>VLOOKUP(B18,'Country summary'!B:O,14,0)</f>
        <v>0.31600172248266084</v>
      </c>
      <c r="E18" s="149">
        <f>VLOOKUP(B18,'Country summary'!B:Q,16,0)</f>
        <v>0.34592115544354862</v>
      </c>
    </row>
    <row r="19" spans="2:5">
      <c r="B19" s="139" t="s">
        <v>1804</v>
      </c>
      <c r="C19" s="149">
        <f>VLOOKUP(B19,'Country summary'!B:J,9,0)</f>
        <v>0.33521922114706038</v>
      </c>
      <c r="D19" s="149">
        <f>VLOOKUP(B19,'Country summary'!B:O,14,0)</f>
        <v>0</v>
      </c>
      <c r="E19" s="149">
        <f>VLOOKUP(B19,'Country summary'!B:Q,16,0)</f>
        <v>0.33521922114706038</v>
      </c>
    </row>
    <row r="20" spans="2:5">
      <c r="B20" s="136" t="s">
        <v>917</v>
      </c>
      <c r="C20" s="149">
        <f>VLOOKUP(B20,'Country summary'!B:J,9,0)</f>
        <v>0.11375203300449048</v>
      </c>
      <c r="D20" s="149">
        <f>VLOOKUP(B20,'Country summary'!B:O,14,0)</f>
        <v>0.22116901136425507</v>
      </c>
      <c r="E20" s="149">
        <f>VLOOKUP(B20,'Country summary'!B:Q,16,0)</f>
        <v>0.33492104436874559</v>
      </c>
    </row>
    <row r="21" spans="2:5">
      <c r="B21" s="136" t="s">
        <v>1136</v>
      </c>
      <c r="C21" s="149">
        <f>VLOOKUP(B21,'Country summary'!B:J,9,0)</f>
        <v>0.14205294706259788</v>
      </c>
      <c r="D21" s="149">
        <f>VLOOKUP(B21,'Country summary'!B:O,14,0)</f>
        <v>0.18716090643008126</v>
      </c>
      <c r="E21" s="149">
        <f>VLOOKUP(B21,'Country summary'!B:Q,16,0)</f>
        <v>0.32921385349267912</v>
      </c>
    </row>
    <row r="22" spans="2:5">
      <c r="B22" s="139" t="s">
        <v>428</v>
      </c>
      <c r="C22" s="149">
        <f>VLOOKUP(B22,'Country summary'!B:J,9,0)</f>
        <v>6.4508700761502875E-3</v>
      </c>
      <c r="D22" s="149">
        <f>VLOOKUP(B22,'Country summary'!B:O,14,0)</f>
        <v>0.29457018588172124</v>
      </c>
      <c r="E22" s="149">
        <f>VLOOKUP(B22,'Country summary'!B:Q,16,0)</f>
        <v>0.30102105595787149</v>
      </c>
    </row>
    <row r="23" spans="2:5">
      <c r="B23" s="136" t="s">
        <v>591</v>
      </c>
      <c r="C23" s="149">
        <f>VLOOKUP(B23,'Country summary'!B:J,9,0)</f>
        <v>4.0159050650474405E-2</v>
      </c>
      <c r="D23" s="149">
        <f>VLOOKUP(B23,'Country summary'!B:O,14,0)</f>
        <v>0.25551518370420978</v>
      </c>
      <c r="E23" s="149">
        <f>VLOOKUP(B23,'Country summary'!B:Q,16,0)</f>
        <v>0.29567423435468415</v>
      </c>
    </row>
    <row r="24" spans="2:5">
      <c r="B24" s="136" t="s">
        <v>1335</v>
      </c>
      <c r="C24" s="149">
        <f>VLOOKUP(B24,'Country summary'!B:J,9,0)</f>
        <v>3.0070407552179063E-2</v>
      </c>
      <c r="D24" s="149">
        <f>VLOOKUP(B24,'Country summary'!B:O,14,0)</f>
        <v>0.25877079311432827</v>
      </c>
      <c r="E24" s="149">
        <f>VLOOKUP(B24,'Country summary'!B:Q,16,0)</f>
        <v>0.28884120066650731</v>
      </c>
    </row>
    <row r="25" spans="2:5">
      <c r="B25" s="136" t="s">
        <v>370</v>
      </c>
      <c r="C25" s="149">
        <f>VLOOKUP(B25,'Country summary'!B:J,9,0)</f>
        <v>4.1950526738628195E-2</v>
      </c>
      <c r="D25" s="149">
        <f>VLOOKUP(B25,'Country summary'!B:O,14,0)</f>
        <v>0.24122559315040867</v>
      </c>
      <c r="E25" s="149">
        <f>VLOOKUP(B25,'Country summary'!B:Q,16,0)</f>
        <v>0.2831761198890369</v>
      </c>
    </row>
    <row r="26" spans="2:5">
      <c r="B26" s="136" t="s">
        <v>1012</v>
      </c>
      <c r="C26" s="149">
        <f>VLOOKUP(B26,'Country summary'!B:J,9,0)</f>
        <v>5.3951976768671459E-2</v>
      </c>
      <c r="D26" s="149">
        <f>VLOOKUP(B26,'Country summary'!B:O,14,0)</f>
        <v>0.22805955572435763</v>
      </c>
      <c r="E26" s="149">
        <f>VLOOKUP(B26,'Country summary'!B:Q,16,0)</f>
        <v>0.28201153249302907</v>
      </c>
    </row>
    <row r="27" spans="2:5">
      <c r="B27" s="136" t="s">
        <v>1412</v>
      </c>
      <c r="C27" s="149">
        <f>VLOOKUP(B27,'Country summary'!B:J,9,0)</f>
        <v>3.5732197375888765E-2</v>
      </c>
      <c r="D27" s="149">
        <f>VLOOKUP(B27,'Country summary'!B:O,14,0)</f>
        <v>0.23456874880485212</v>
      </c>
      <c r="E27" s="149">
        <f>VLOOKUP(B27,'Country summary'!B:Q,16,0)</f>
        <v>0.27030094618074091</v>
      </c>
    </row>
    <row r="28" spans="2:5">
      <c r="B28" s="136" t="s">
        <v>2392</v>
      </c>
      <c r="C28" s="149">
        <f>VLOOKUP(B28,'Country summary'!B:J,9,0)</f>
        <v>0.25750387809853476</v>
      </c>
      <c r="D28" s="149">
        <f>VLOOKUP(B28,'Country summary'!B:O,14,0)</f>
        <v>0</v>
      </c>
      <c r="E28" s="149">
        <f>VLOOKUP(B28,'Country summary'!B:Q,16,0)</f>
        <v>0.25750387809853476</v>
      </c>
    </row>
    <row r="29" spans="2:5">
      <c r="B29" s="136" t="s">
        <v>1653</v>
      </c>
      <c r="C29" s="149">
        <f>VLOOKUP(B29,'Country summary'!B:J,9,0)</f>
        <v>0.10397102345871267</v>
      </c>
      <c r="D29" s="149">
        <f>VLOOKUP(B29,'Country summary'!B:O,14,0)</f>
        <v>0.14861211202058278</v>
      </c>
      <c r="E29" s="149">
        <f>VLOOKUP(B29,'Country summary'!B:Q,16,0)</f>
        <v>0.25258313547929545</v>
      </c>
    </row>
    <row r="30" spans="2:5">
      <c r="B30" s="136" t="s">
        <v>618</v>
      </c>
      <c r="C30" s="149">
        <f>VLOOKUP(B30,'Country summary'!B:J,9,0)</f>
        <v>1.0192929245733395E-2</v>
      </c>
      <c r="D30" s="149">
        <f>VLOOKUP(B30,'Country summary'!B:O,14,0)</f>
        <v>0.22115832053457282</v>
      </c>
      <c r="E30" s="149">
        <f>VLOOKUP(B30,'Country summary'!B:Q,16,0)</f>
        <v>0.23135124978030625</v>
      </c>
    </row>
    <row r="31" spans="2:5">
      <c r="B31" s="136" t="s">
        <v>452</v>
      </c>
      <c r="C31" s="149">
        <f>VLOOKUP(B31,'Country summary'!B:J,9,0)</f>
        <v>0.23075429771221459</v>
      </c>
      <c r="D31" s="149">
        <f>VLOOKUP(B31,'Country summary'!B:O,14,0)</f>
        <v>0</v>
      </c>
      <c r="E31" s="149">
        <f>VLOOKUP(B31,'Country summary'!B:Q,16,0)</f>
        <v>0.23075429771221459</v>
      </c>
    </row>
    <row r="32" spans="2:5">
      <c r="B32" s="136" t="s">
        <v>2034</v>
      </c>
      <c r="C32" s="149">
        <f>VLOOKUP(B32,'Country summary'!B:J,9,0)</f>
        <v>4.3756959503614265E-3</v>
      </c>
      <c r="D32" s="149">
        <f>VLOOKUP(B32,'Country summary'!B:O,14,0)</f>
        <v>0.22505972158532719</v>
      </c>
      <c r="E32" s="149">
        <f>VLOOKUP(B32,'Country summary'!B:Q,16,0)</f>
        <v>0.22943541753568863</v>
      </c>
    </row>
    <row r="33" spans="2:17">
      <c r="B33" s="136" t="s">
        <v>2548</v>
      </c>
      <c r="C33" s="149">
        <f>VLOOKUP(B33,'Country summary'!B:J,9,0)</f>
        <v>0.22901986013478723</v>
      </c>
      <c r="D33" s="149">
        <f>VLOOKUP(B33,'Country summary'!B:O,14,0)</f>
        <v>0</v>
      </c>
      <c r="E33" s="149">
        <f>VLOOKUP(B33,'Country summary'!B:Q,16,0)</f>
        <v>0.22901986013478723</v>
      </c>
    </row>
    <row r="34" spans="2:17">
      <c r="B34" s="136" t="s">
        <v>1682</v>
      </c>
      <c r="C34" s="149">
        <f>VLOOKUP(B34,'Country summary'!B:J,9,0)</f>
        <v>7.8787127800330169E-3</v>
      </c>
      <c r="D34" s="149">
        <f>VLOOKUP(B34,'Country summary'!B:O,14,0)</f>
        <v>0.19581252359203918</v>
      </c>
      <c r="E34" s="149">
        <f>VLOOKUP(B34,'Country summary'!B:Q,16,0)</f>
        <v>0.2036912363720722</v>
      </c>
    </row>
    <row r="35" spans="2:17">
      <c r="B35" s="136" t="s">
        <v>1383</v>
      </c>
      <c r="C35" s="149">
        <f>VLOOKUP(B35,'Country summary'!B:J,9,0)</f>
        <v>1.6184366231576774E-2</v>
      </c>
      <c r="D35" s="149">
        <f>VLOOKUP(B35,'Country summary'!B:O,14,0)</f>
        <v>0.16072975738343165</v>
      </c>
      <c r="E35" s="149">
        <f>VLOOKUP(B35,'Country summary'!B:Q,16,0)</f>
        <v>0.17691412361500841</v>
      </c>
    </row>
    <row r="36" spans="2:17">
      <c r="B36" s="139" t="s">
        <v>2329</v>
      </c>
      <c r="C36" s="149">
        <f>VLOOKUP(B36,'Country summary'!B:J,9,0)</f>
        <v>2.7047880607943921E-2</v>
      </c>
      <c r="D36" s="149">
        <f>VLOOKUP(B36,'Country summary'!B:O,14,0)</f>
        <v>0</v>
      </c>
      <c r="E36" s="149">
        <f>VLOOKUP(B36,'Country summary'!B:Q,16,0)</f>
        <v>2.7047880607943921E-2</v>
      </c>
    </row>
    <row r="37" spans="2:17">
      <c r="B37" s="139" t="s">
        <v>227</v>
      </c>
      <c r="C37" s="149">
        <f>VLOOKUP(B37,'Country summary'!B:J,9,0)</f>
        <v>2.4217270948509912E-2</v>
      </c>
      <c r="D37" s="149">
        <f>VLOOKUP(B37,'Country summary'!B:O,14,0)</f>
        <v>0</v>
      </c>
      <c r="E37" s="149">
        <f>VLOOKUP(B37,'Country summary'!B:Q,16,0)</f>
        <v>2.4217270948509912E-2</v>
      </c>
    </row>
    <row r="38" spans="2:17">
      <c r="B38" s="136" t="s">
        <v>1471</v>
      </c>
      <c r="C38" s="149">
        <f>VLOOKUP(B38,'Country summary'!B:J,9,0)</f>
        <v>1.2022557911696131E-2</v>
      </c>
      <c r="D38" s="149">
        <f>VLOOKUP(B38,'Country summary'!B:O,14,0)</f>
        <v>0</v>
      </c>
      <c r="E38" s="149">
        <f>VLOOKUP(B38,'Country summary'!B:Q,16,0)</f>
        <v>1.2022557911696131E-2</v>
      </c>
    </row>
    <row r="39" spans="2:17">
      <c r="B39" s="139" t="s">
        <v>2368</v>
      </c>
      <c r="C39" s="149">
        <f>VLOOKUP(B39,'Country summary'!B:J,9,0)</f>
        <v>1.1189738764522157E-2</v>
      </c>
      <c r="D39" s="156">
        <f>VLOOKUP(B39,'Country summary'!B:O,14,0)</f>
        <v>0</v>
      </c>
      <c r="E39" s="156">
        <f>VLOOKUP(B39,'Country summary'!B:Q,16,0)</f>
        <v>1.1189738764522157E-2</v>
      </c>
    </row>
    <row r="40" spans="2:17">
      <c r="B40" s="139" t="s">
        <v>2348</v>
      </c>
      <c r="C40" s="149">
        <f>VLOOKUP(B40,'Country summary'!B:J,9,0)</f>
        <v>8.9827208669556458E-3</v>
      </c>
      <c r="D40" s="149">
        <f>VLOOKUP(B40,'Country summary'!B:O,14,0)</f>
        <v>0</v>
      </c>
      <c r="E40" s="149">
        <f>VLOOKUP(B40,'Country summary'!B:Q,16,0)</f>
        <v>8.9827208669556458E-3</v>
      </c>
    </row>
    <row r="41" spans="2:17">
      <c r="B41" s="139" t="s">
        <v>1766</v>
      </c>
      <c r="C41" s="149">
        <f>VLOOKUP(B41,'Country summary'!B:J,9,0)</f>
        <v>8.1168574033848011E-3</v>
      </c>
      <c r="D41" s="149">
        <f>VLOOKUP(B41,'Country summary'!B:O,14,0)</f>
        <v>0</v>
      </c>
      <c r="E41" s="149">
        <f>VLOOKUP(B41,'Country summary'!B:Q,16,0)</f>
        <v>8.1168574033848011E-3</v>
      </c>
    </row>
    <row r="42" spans="2:17">
      <c r="B42" s="139" t="s">
        <v>2002</v>
      </c>
      <c r="C42" s="149">
        <f>VLOOKUP(B42,'Country summary'!B:J,9,0)</f>
        <v>5.7866928920865075E-3</v>
      </c>
      <c r="D42" s="149">
        <f>VLOOKUP(B42,'Country summary'!B:O,14,0)</f>
        <v>0</v>
      </c>
      <c r="E42" s="149">
        <f>VLOOKUP(B42,'Country summary'!B:Q,16,0)</f>
        <v>5.7866928920865075E-3</v>
      </c>
    </row>
    <row r="43" spans="2:17" ht="15.75" customHeight="1">
      <c r="B43" s="139" t="s">
        <v>1369</v>
      </c>
      <c r="C43" s="149">
        <f>VLOOKUP(B43,'Country summary'!B:J,9,0)</f>
        <v>7.3198138435895518E-5</v>
      </c>
      <c r="D43" s="156">
        <f>VLOOKUP(B43,'Country summary'!B:O,14,0)</f>
        <v>0</v>
      </c>
      <c r="E43" s="156">
        <f>VLOOKUP(B43,'Country summary'!B:Q,16,0)</f>
        <v>7.3198138435895518E-5</v>
      </c>
      <c r="G43" s="153"/>
      <c r="H43" s="153"/>
      <c r="I43" s="153"/>
      <c r="J43" s="153"/>
      <c r="K43" s="153"/>
      <c r="L43" s="153"/>
      <c r="M43" s="153"/>
      <c r="N43" s="153"/>
      <c r="O43" s="153"/>
      <c r="P43" s="153"/>
    </row>
    <row r="44" spans="2:17" ht="15" customHeight="1">
      <c r="B44" s="146" t="s">
        <v>583</v>
      </c>
      <c r="C44" s="154">
        <f>VLOOKUP(B44,'Country summary'!B:J,9,0)</f>
        <v>1.4136367605363934E-5</v>
      </c>
      <c r="D44" s="157">
        <f>VLOOKUP(B44,'Country summary'!B:O,14,0)</f>
        <v>0</v>
      </c>
      <c r="E44" s="157">
        <f>VLOOKUP(B44,'Country summary'!B:Q,16,0)</f>
        <v>1.4136367605363934E-5</v>
      </c>
      <c r="G44" s="153"/>
      <c r="H44" s="153"/>
      <c r="I44" s="153"/>
      <c r="J44" s="153"/>
      <c r="K44" s="893"/>
      <c r="L44" s="893"/>
      <c r="M44" s="893"/>
      <c r="N44" s="893"/>
      <c r="O44" s="893"/>
      <c r="P44" s="893"/>
      <c r="Q44" s="893"/>
    </row>
    <row r="45" spans="2:17" ht="15" customHeight="1">
      <c r="G45" s="153"/>
      <c r="H45" s="153"/>
      <c r="I45" s="153"/>
      <c r="J45" s="153"/>
      <c r="K45" s="893"/>
      <c r="L45" s="893"/>
      <c r="M45" s="893"/>
      <c r="N45" s="893"/>
      <c r="O45" s="893"/>
      <c r="P45" s="893"/>
      <c r="Q45" s="893"/>
    </row>
    <row r="46" spans="2:17" ht="15" customHeight="1">
      <c r="G46" s="153"/>
      <c r="H46" s="153"/>
      <c r="I46" s="153"/>
      <c r="J46" s="153"/>
      <c r="K46" s="893"/>
      <c r="L46" s="893"/>
      <c r="M46" s="893"/>
      <c r="N46" s="893"/>
      <c r="O46" s="893"/>
      <c r="P46" s="893"/>
      <c r="Q46" s="893"/>
    </row>
    <row r="47" spans="2:17" ht="15" customHeight="1">
      <c r="C47" s="156"/>
      <c r="D47" s="156"/>
      <c r="E47" s="156"/>
      <c r="G47" s="153"/>
      <c r="H47" s="153"/>
      <c r="I47" s="153"/>
      <c r="J47" s="153"/>
      <c r="K47" s="893"/>
      <c r="L47" s="893"/>
      <c r="M47" s="893"/>
      <c r="N47" s="893"/>
      <c r="O47" s="893"/>
      <c r="P47" s="893"/>
      <c r="Q47" s="893"/>
    </row>
    <row r="48" spans="2:17" ht="15" customHeight="1">
      <c r="G48" s="153"/>
      <c r="H48" s="153"/>
      <c r="I48" s="153"/>
      <c r="J48" s="153"/>
      <c r="K48" s="893"/>
      <c r="L48" s="893"/>
      <c r="M48" s="893"/>
      <c r="N48" s="893"/>
      <c r="O48" s="893"/>
      <c r="P48" s="893"/>
      <c r="Q48" s="893"/>
    </row>
    <row r="49" spans="7:17" ht="15" customHeight="1">
      <c r="G49" s="153"/>
      <c r="H49" s="153"/>
      <c r="I49" s="153"/>
      <c r="J49" s="153"/>
      <c r="K49" s="893"/>
      <c r="L49" s="893"/>
      <c r="M49" s="893"/>
      <c r="N49" s="893"/>
      <c r="O49" s="893"/>
      <c r="P49" s="893"/>
      <c r="Q49" s="893"/>
    </row>
    <row r="50" spans="7:17" ht="15" customHeight="1">
      <c r="G50" s="153"/>
      <c r="H50" s="153"/>
      <c r="I50" s="153"/>
      <c r="J50" s="153"/>
      <c r="K50" s="153"/>
      <c r="L50" s="153"/>
      <c r="M50" s="153"/>
      <c r="N50" s="153"/>
      <c r="O50" s="153"/>
      <c r="P50" s="153"/>
    </row>
    <row r="51" spans="7:17" ht="15" customHeight="1">
      <c r="G51" s="153"/>
      <c r="H51" s="153"/>
      <c r="I51" s="153"/>
      <c r="J51" s="153"/>
      <c r="K51" s="153"/>
      <c r="L51" s="153"/>
      <c r="M51" s="153"/>
      <c r="N51" s="153"/>
      <c r="O51" s="153"/>
      <c r="P51" s="153"/>
    </row>
  </sheetData>
  <autoFilter ref="B4:E4" xr:uid="{00000000-0009-0000-0000-00000A000000}">
    <sortState xmlns:xlrd2="http://schemas.microsoft.com/office/spreadsheetml/2017/richdata2" ref="B5:E44">
      <sortCondition descending="1" ref="E4"/>
    </sortState>
  </autoFilter>
  <sortState xmlns:xlrd2="http://schemas.microsoft.com/office/spreadsheetml/2017/richdata2" ref="B5:E44">
    <sortCondition descending="1" ref="E5"/>
  </sortState>
  <mergeCells count="1">
    <mergeCell ref="K44:Q4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B2:M69"/>
  <sheetViews>
    <sheetView showGridLines="0" zoomScaleNormal="100" workbookViewId="0">
      <selection activeCell="B2" sqref="B2"/>
    </sheetView>
  </sheetViews>
  <sheetFormatPr defaultColWidth="11.5" defaultRowHeight="15.6"/>
  <cols>
    <col min="1" max="1" width="5" style="158" customWidth="1"/>
    <col min="2" max="2" width="23.5" style="158" customWidth="1"/>
    <col min="3" max="3" width="31" style="158" customWidth="1"/>
    <col min="4" max="4" width="23" style="158" customWidth="1"/>
    <col min="5" max="5" width="21" style="158" bestFit="1" customWidth="1"/>
    <col min="6" max="6" width="12" style="158" bestFit="1" customWidth="1"/>
    <col min="7" max="7" width="10.5" style="158" customWidth="1"/>
    <col min="8" max="8" width="17.5" style="158" customWidth="1"/>
    <col min="9" max="9" width="15" style="158" customWidth="1"/>
    <col min="10" max="10" width="67" style="158" customWidth="1"/>
    <col min="11" max="16384" width="11.5" style="158"/>
  </cols>
  <sheetData>
    <row r="2" spans="2:8" ht="15.95" customHeight="1">
      <c r="B2" s="159" t="s">
        <v>3079</v>
      </c>
      <c r="H2" s="442" t="s">
        <v>3080</v>
      </c>
    </row>
    <row r="4" spans="2:8">
      <c r="B4" s="160" t="s">
        <v>3006</v>
      </c>
      <c r="C4" s="127" t="s">
        <v>3019</v>
      </c>
      <c r="D4" s="127" t="s">
        <v>3081</v>
      </c>
      <c r="E4" s="127" t="s">
        <v>3082</v>
      </c>
      <c r="F4" s="158" t="s">
        <v>3059</v>
      </c>
    </row>
    <row r="5" spans="2:8">
      <c r="B5" s="161" t="s">
        <v>2548</v>
      </c>
      <c r="C5" s="279">
        <f>VLOOKUP(B5,'Country summary'!B:R,17,0)</f>
        <v>18.507245201088665</v>
      </c>
      <c r="D5" s="279">
        <f>VLOOKUP(B5,'Country summary'!B:S,18,0)</f>
        <v>4.3547378582038085</v>
      </c>
      <c r="E5" s="279">
        <f>VLOOKUP(B5,'Country summary'!B:J,5,0)</f>
        <v>22.861983059292474</v>
      </c>
    </row>
    <row r="6" spans="2:8">
      <c r="B6" s="148" t="s">
        <v>2392</v>
      </c>
      <c r="C6" s="279">
        <f>VLOOKUP(B6,'Country summary'!B:R,17,0)</f>
        <v>1.8979460118298399</v>
      </c>
      <c r="D6" s="279">
        <f>VLOOKUP(B6,'Country summary'!B:S,18,0)</f>
        <v>2.231209716</v>
      </c>
      <c r="E6" s="279">
        <f>VLOOKUP(B6,'Country summary'!B:J,5,0)</f>
        <v>4.1291557278298399</v>
      </c>
    </row>
    <row r="7" spans="2:8">
      <c r="B7" s="148" t="s">
        <v>1136</v>
      </c>
      <c r="C7" s="279">
        <f>VLOOKUP(B7,'Country summary'!B:R,17,0)</f>
        <v>2.3448872384566926</v>
      </c>
      <c r="D7" s="279">
        <f>VLOOKUP(B7,'Country summary'!B:S,18,0)</f>
        <v>0</v>
      </c>
      <c r="E7" s="279">
        <f>VLOOKUP(B7,'Country summary'!B:J,5,0)</f>
        <v>2.3448872384566926</v>
      </c>
    </row>
    <row r="8" spans="2:8">
      <c r="B8" s="148" t="s">
        <v>1894</v>
      </c>
      <c r="C8" s="279">
        <f>VLOOKUP(B8,'Country summary'!B:R,17,0)</f>
        <v>1.8223833594419532</v>
      </c>
      <c r="D8" s="279">
        <f>VLOOKUP(B8,'Country summary'!B:S,18,0)</f>
        <v>0</v>
      </c>
      <c r="E8" s="279">
        <f>VLOOKUP(B8,'Country summary'!B:J,5,0)</f>
        <v>1.8223833594419532</v>
      </c>
    </row>
    <row r="9" spans="2:8">
      <c r="B9" s="148" t="s">
        <v>452</v>
      </c>
      <c r="C9" s="279">
        <f>VLOOKUP(B9,'Country summary'!B:R,17,0)</f>
        <v>0.98839386665430684</v>
      </c>
      <c r="D9" s="279">
        <f>VLOOKUP(B9,'Country summary'!B:S,18,0)</f>
        <v>0.36832412523020253</v>
      </c>
      <c r="E9" s="279">
        <f>VLOOKUP(B9,'Country summary'!B:J,5,0)</f>
        <v>1.3567179918845094</v>
      </c>
    </row>
    <row r="10" spans="2:8">
      <c r="B10" s="133" t="s">
        <v>1804</v>
      </c>
      <c r="C10" s="279">
        <f>VLOOKUP(B10,'Country summary'!B:R,17,0)</f>
        <v>0.20047757878657899</v>
      </c>
      <c r="D10" s="279">
        <f>VLOOKUP(B10,'Country summary'!B:S,18,0)</f>
        <v>0.35966814650666223</v>
      </c>
      <c r="E10" s="279">
        <f>VLOOKUP(B10,'Country summary'!B:J,5,0)</f>
        <v>0.56014572529324125</v>
      </c>
    </row>
    <row r="11" spans="2:8">
      <c r="B11" s="148" t="s">
        <v>2258</v>
      </c>
      <c r="C11" s="279">
        <f>VLOOKUP(B11,'Country summary'!B:R,17,0)</f>
        <v>0.38893220132177642</v>
      </c>
      <c r="D11" s="279">
        <f>VLOOKUP(B11,'Country summary'!B:S,18,0)</f>
        <v>0.15728822882288229</v>
      </c>
      <c r="E11" s="279">
        <f>VLOOKUP(B11,'Country summary'!B:J,5,0)</f>
        <v>0.54622043014465871</v>
      </c>
    </row>
    <row r="12" spans="2:8">
      <c r="B12" s="148" t="s">
        <v>767</v>
      </c>
      <c r="C12" s="279">
        <f>VLOOKUP(B12,'Country summary'!B:R,17,0)</f>
        <v>0.26882804414156486</v>
      </c>
      <c r="D12" s="279">
        <f>VLOOKUP(B12,'Country summary'!B:S,18,0)</f>
        <v>0.24113875559498371</v>
      </c>
      <c r="E12" s="279">
        <f>VLOOKUP(B12,'Country summary'!B:J,5,0)</f>
        <v>0.50996679973654857</v>
      </c>
    </row>
    <row r="13" spans="2:8">
      <c r="B13" s="148" t="s">
        <v>632</v>
      </c>
      <c r="C13" s="279">
        <f>VLOOKUP(B13,'Country summary'!B:R,17,0)</f>
        <v>0.43703463969647527</v>
      </c>
      <c r="D13" s="279">
        <f>VLOOKUP(B13,'Country summary'!B:S,18,0)</f>
        <v>4.1454907822620846E-2</v>
      </c>
      <c r="E13" s="279">
        <f>VLOOKUP(B13,'Country summary'!B:J,5,0)</f>
        <v>0.47848954751909611</v>
      </c>
    </row>
    <row r="14" spans="2:8">
      <c r="B14" s="148" t="s">
        <v>1012</v>
      </c>
      <c r="C14" s="279">
        <f>VLOOKUP(B14,'Country summary'!B:R,17,0)</f>
        <v>0.4716578919261053</v>
      </c>
      <c r="D14" s="279">
        <f>VLOOKUP(B14,'Country summary'!B:S,18,0)</f>
        <v>0</v>
      </c>
      <c r="E14" s="279">
        <f>VLOOKUP(B14,'Country summary'!B:J,5,0)</f>
        <v>0.47165789192610524</v>
      </c>
    </row>
    <row r="15" spans="2:8">
      <c r="B15" s="148" t="s">
        <v>840</v>
      </c>
      <c r="C15" s="279">
        <f>VLOOKUP(B15,'Country summary'!B:R,17,0)</f>
        <v>0.33</v>
      </c>
      <c r="D15" s="279">
        <f>VLOOKUP(B15,'Country summary'!B:S,18,0)</f>
        <v>0</v>
      </c>
      <c r="E15" s="279">
        <f>VLOOKUP(B15,'Country summary'!B:J,5,0)</f>
        <v>0.33</v>
      </c>
    </row>
    <row r="16" spans="2:8">
      <c r="B16" s="148" t="s">
        <v>1412</v>
      </c>
      <c r="C16" s="279">
        <f>VLOOKUP(B16,'Country summary'!B:R,17,0)</f>
        <v>0.31914838062565365</v>
      </c>
      <c r="D16" s="279">
        <f>VLOOKUP(B16,'Country summary'!B:S,18,0)</f>
        <v>0</v>
      </c>
      <c r="E16" s="279">
        <f>VLOOKUP(B16,'Country summary'!B:J,5,0)</f>
        <v>0.31914838062565365</v>
      </c>
    </row>
    <row r="17" spans="2:5">
      <c r="B17" s="148" t="s">
        <v>1516</v>
      </c>
      <c r="C17" s="279">
        <f>VLOOKUP(B17,'Country summary'!B:R,17,0)</f>
        <v>0.29713953547322058</v>
      </c>
      <c r="D17" s="279">
        <f>VLOOKUP(B17,'Country summary'!B:S,18,0)</f>
        <v>0</v>
      </c>
      <c r="E17" s="279">
        <f>VLOOKUP(B17,'Country summary'!B:J,5,0)</f>
        <v>0.29713953547322053</v>
      </c>
    </row>
    <row r="18" spans="2:5">
      <c r="B18" s="148" t="s">
        <v>1687</v>
      </c>
      <c r="C18" s="279">
        <f>VLOOKUP(B18,'Country summary'!B:R,17,0)</f>
        <v>0.2798467937299543</v>
      </c>
      <c r="D18" s="279">
        <f>VLOOKUP(B18,'Country summary'!B:S,18,0)</f>
        <v>1.0000000000000009E-2</v>
      </c>
      <c r="E18" s="279">
        <f>VLOOKUP(B18,'Country summary'!B:J,5,0)</f>
        <v>0.28984679372995431</v>
      </c>
    </row>
    <row r="19" spans="2:5">
      <c r="B19" s="133" t="s">
        <v>227</v>
      </c>
      <c r="C19" s="279">
        <f>VLOOKUP(B19,'Country summary'!B:R,17,0)</f>
        <v>0.26344328965205605</v>
      </c>
      <c r="D19" s="279">
        <f>VLOOKUP(B19,'Country summary'!B:S,18,0)</f>
        <v>5.6161642243883758E-3</v>
      </c>
      <c r="E19" s="279">
        <f>VLOOKUP(B19,'Country summary'!B:J,5,0)</f>
        <v>0.26905945387644442</v>
      </c>
    </row>
    <row r="20" spans="2:5">
      <c r="B20" s="148" t="s">
        <v>2063</v>
      </c>
      <c r="C20" s="279">
        <f>VLOOKUP(B20,'Country summary'!B:R,17,0)</f>
        <v>0.21017157538614847</v>
      </c>
      <c r="D20" s="279">
        <f>VLOOKUP(B20,'Country summary'!B:S,18,0)</f>
        <v>0</v>
      </c>
      <c r="E20" s="279">
        <f>VLOOKUP(B20,'Country summary'!B:J,5,0)</f>
        <v>0.21017157538614847</v>
      </c>
    </row>
    <row r="21" spans="2:5">
      <c r="B21" s="148" t="s">
        <v>1562</v>
      </c>
      <c r="C21" s="279">
        <f>VLOOKUP(B21,'Country summary'!B:R,17,0)</f>
        <v>0.19868747583457899</v>
      </c>
      <c r="D21" s="279">
        <f>VLOOKUP(B21,'Country summary'!B:S,18,0)</f>
        <v>0</v>
      </c>
      <c r="E21" s="279">
        <f>VLOOKUP(B21,'Country summary'!B:J,5,0)</f>
        <v>0.19868747583457896</v>
      </c>
    </row>
    <row r="22" spans="2:5">
      <c r="B22" s="148" t="s">
        <v>1294</v>
      </c>
      <c r="C22" s="279">
        <f>VLOOKUP(B22,'Country summary'!B:R,17,0)</f>
        <v>0.19116831928251124</v>
      </c>
      <c r="D22" s="279">
        <f>VLOOKUP(B22,'Country summary'!B:S,18,0)</f>
        <v>0</v>
      </c>
      <c r="E22" s="279">
        <f>VLOOKUP(B22,'Country summary'!B:J,5,0)</f>
        <v>0.19116831928251124</v>
      </c>
    </row>
    <row r="23" spans="2:5">
      <c r="B23" s="148" t="s">
        <v>917</v>
      </c>
      <c r="C23" s="279">
        <f>VLOOKUP(B23,'Country summary'!B:R,17,0)</f>
        <v>0.1479</v>
      </c>
      <c r="D23" s="279">
        <f>VLOOKUP(B23,'Country summary'!B:S,18,0)</f>
        <v>0.03</v>
      </c>
      <c r="E23" s="279">
        <f>VLOOKUP(B23,'Country summary'!B:J,5,0)</f>
        <v>0.1779</v>
      </c>
    </row>
    <row r="24" spans="2:5">
      <c r="B24" s="148" t="s">
        <v>370</v>
      </c>
      <c r="C24" s="279">
        <f>VLOOKUP(B24,'Country summary'!B:R,17,0)</f>
        <v>9.6000000000000002E-2</v>
      </c>
      <c r="D24" s="279">
        <f>VLOOKUP(B24,'Country summary'!B:S,18,0)</f>
        <v>0</v>
      </c>
      <c r="E24" s="279">
        <f>VLOOKUP(B24,'Country summary'!B:J,5,0)</f>
        <v>9.6000000000000002E-2</v>
      </c>
    </row>
    <row r="25" spans="2:5">
      <c r="B25" s="148" t="s">
        <v>1957</v>
      </c>
      <c r="C25" s="279">
        <f>VLOOKUP(B25,'Country summary'!B:R,17,0)</f>
        <v>8.3582285780958554E-2</v>
      </c>
      <c r="D25" s="279">
        <f>VLOOKUP(B25,'Country summary'!B:S,18,0)</f>
        <v>0</v>
      </c>
      <c r="E25" s="279">
        <f>VLOOKUP(B25,'Country summary'!B:J,5,0)</f>
        <v>8.3582285780958554E-2</v>
      </c>
    </row>
    <row r="26" spans="2:5">
      <c r="B26" s="148" t="s">
        <v>2162</v>
      </c>
      <c r="C26" s="279">
        <f>VLOOKUP(B26,'Country summary'!B:R,17,0)</f>
        <v>8.1106233554433929E-2</v>
      </c>
      <c r="D26" s="279">
        <f>VLOOKUP(B26,'Country summary'!B:S,18,0)</f>
        <v>0</v>
      </c>
      <c r="E26" s="279">
        <f>VLOOKUP(B26,'Country summary'!B:J,5,0)</f>
        <v>8.1106233554433915E-2</v>
      </c>
    </row>
    <row r="27" spans="2:5">
      <c r="B27" s="148" t="s">
        <v>1653</v>
      </c>
      <c r="C27" s="279">
        <f>VLOOKUP(B27,'Country summary'!B:R,17,0)</f>
        <v>7.1999999999999995E-2</v>
      </c>
      <c r="D27" s="279">
        <f>VLOOKUP(B27,'Country summary'!B:S,18,0)</f>
        <v>0</v>
      </c>
      <c r="E27" s="279">
        <f>VLOOKUP(B27,'Country summary'!B:J,5,0)</f>
        <v>7.1999999999999995E-2</v>
      </c>
    </row>
    <row r="28" spans="2:5">
      <c r="B28" s="133" t="s">
        <v>2348</v>
      </c>
      <c r="C28" s="279">
        <f>VLOOKUP(B28,'Country summary'!B:R,17,0)</f>
        <v>6.4198804185351274E-2</v>
      </c>
      <c r="D28" s="279">
        <f>VLOOKUP(B28,'Country summary'!B:S,18,0)</f>
        <v>0</v>
      </c>
      <c r="E28" s="279">
        <f>VLOOKUP(B28,'Country summary'!B:J,5,0)</f>
        <v>6.4198804185351274E-2</v>
      </c>
    </row>
    <row r="29" spans="2:5">
      <c r="B29" s="148" t="s">
        <v>2106</v>
      </c>
      <c r="C29" s="279">
        <f>VLOOKUP(B29,'Country summary'!B:R,17,0)</f>
        <v>5.8821012667663181E-2</v>
      </c>
      <c r="D29" s="279">
        <f>VLOOKUP(B29,'Country summary'!B:S,18,0)</f>
        <v>0</v>
      </c>
      <c r="E29" s="279">
        <f>VLOOKUP(B29,'Country summary'!B:J,5,0)</f>
        <v>5.8821012667663181E-2</v>
      </c>
    </row>
    <row r="30" spans="2:5">
      <c r="B30" s="148" t="s">
        <v>591</v>
      </c>
      <c r="C30" s="279">
        <f>VLOOKUP(B30,'Country summary'!B:R,17,0)</f>
        <v>1.6450859690087031E-2</v>
      </c>
      <c r="D30" s="279">
        <f>VLOOKUP(B30,'Country summary'!B:S,18,0)</f>
        <v>0</v>
      </c>
      <c r="E30" s="279">
        <f>VLOOKUP(B30,'Country summary'!B:J,5,0)</f>
        <v>1.6450859690087031E-2</v>
      </c>
    </row>
    <row r="31" spans="2:5">
      <c r="B31" s="133" t="s">
        <v>1766</v>
      </c>
      <c r="C31" s="279">
        <f>VLOOKUP(B31,'Country summary'!B:R,17,0)</f>
        <v>3.6267152565831709E-3</v>
      </c>
      <c r="D31" s="279">
        <f>VLOOKUP(B31,'Country summary'!B:S,18,0)</f>
        <v>1.1067402536402066E-2</v>
      </c>
      <c r="E31" s="279">
        <f>VLOOKUP(B31,'Country summary'!B:J,5,0)</f>
        <v>1.4694117792985236E-2</v>
      </c>
    </row>
    <row r="32" spans="2:5">
      <c r="B32" s="158" t="s">
        <v>428</v>
      </c>
      <c r="C32" s="279">
        <f>VLOOKUP(B32,'Country summary'!B:R,17,0)</f>
        <v>3.7867463876432484E-3</v>
      </c>
      <c r="D32" s="279">
        <f>VLOOKUP(B32,'Country summary'!B:S,18,0)</f>
        <v>0</v>
      </c>
      <c r="E32" s="279">
        <f>VLOOKUP(B32,'Country summary'!B:J,5,0)</f>
        <v>3.7867463876432484E-3</v>
      </c>
    </row>
    <row r="33" spans="2:13">
      <c r="B33" s="148" t="s">
        <v>312</v>
      </c>
      <c r="C33" s="279">
        <f>VLOOKUP(B33,'Country summary'!B:R,17,0)</f>
        <v>3.5748620328849025E-3</v>
      </c>
      <c r="D33" s="279">
        <f>VLOOKUP(B33,'Country summary'!B:S,18,0)</f>
        <v>0</v>
      </c>
      <c r="E33" s="279">
        <f>VLOOKUP(B33,'Country summary'!B:J,5,0)</f>
        <v>3.5748620328849025E-3</v>
      </c>
    </row>
    <row r="34" spans="2:13">
      <c r="B34" s="133" t="s">
        <v>2002</v>
      </c>
      <c r="C34" s="279">
        <f>VLOOKUP(B34,'Country summary'!B:R,17,0)</f>
        <v>3.5675137020428497E-3</v>
      </c>
      <c r="D34" s="279">
        <f>VLOOKUP(B34,'Country summary'!B:S,18,0)</f>
        <v>0</v>
      </c>
      <c r="E34" s="279">
        <f>VLOOKUP(B34,'Country summary'!B:J,5,0)</f>
        <v>3.5675137020428497E-3</v>
      </c>
    </row>
    <row r="35" spans="2:13" ht="15.75" customHeight="1">
      <c r="B35" s="148" t="s">
        <v>2034</v>
      </c>
      <c r="C35" s="279">
        <f>VLOOKUP(B35,'Country summary'!B:R,17,0)</f>
        <v>3.0000000000000001E-3</v>
      </c>
      <c r="D35" s="279">
        <f>VLOOKUP(B35,'Country summary'!B:S,18,0)</f>
        <v>0</v>
      </c>
      <c r="E35" s="279">
        <f>VLOOKUP(B35,'Country summary'!B:J,5,0)</f>
        <v>3.0000000000000001E-3</v>
      </c>
      <c r="K35" s="162"/>
      <c r="L35" s="162"/>
    </row>
    <row r="36" spans="2:13" ht="15" customHeight="1">
      <c r="B36" s="148" t="s">
        <v>1471</v>
      </c>
      <c r="C36" s="279">
        <f>VLOOKUP(B36,'Country summary'!B:R,17,0)</f>
        <v>2.4434479322371699E-3</v>
      </c>
      <c r="D36" s="279">
        <f>VLOOKUP(B36,'Country summary'!B:S,18,0)</f>
        <v>0</v>
      </c>
      <c r="E36" s="279">
        <f>VLOOKUP(B36,'Country summary'!B:J,5,0)</f>
        <v>2.4434479322371699E-3</v>
      </c>
      <c r="J36" s="162"/>
      <c r="K36" s="162"/>
      <c r="L36" s="162"/>
      <c r="M36" s="163"/>
    </row>
    <row r="37" spans="2:13" ht="15" customHeight="1">
      <c r="B37" s="148" t="s">
        <v>1335</v>
      </c>
      <c r="C37" s="279">
        <f>VLOOKUP(B37,'Country summary'!B:R,17,0)</f>
        <v>0</v>
      </c>
      <c r="D37" s="279">
        <f>VLOOKUP(B37,'Country summary'!B:S,18,0)</f>
        <v>0</v>
      </c>
      <c r="E37" s="279">
        <f>VLOOKUP(B37,'Country summary'!B:J,5,0)</f>
        <v>0</v>
      </c>
      <c r="J37" s="162"/>
      <c r="K37" s="162"/>
      <c r="L37" s="162"/>
      <c r="M37" s="163"/>
    </row>
    <row r="38" spans="2:13" ht="15" customHeight="1">
      <c r="B38" s="148" t="s">
        <v>1383</v>
      </c>
      <c r="C38" s="279">
        <f>VLOOKUP(B38,'Country summary'!B:R,17,0)</f>
        <v>0</v>
      </c>
      <c r="D38" s="279">
        <f>VLOOKUP(B38,'Country summary'!B:S,18,0)</f>
        <v>0</v>
      </c>
      <c r="E38" s="279">
        <f>VLOOKUP(B38,'Country summary'!B:J,5,0)</f>
        <v>0</v>
      </c>
      <c r="K38" s="162"/>
      <c r="L38" s="162"/>
      <c r="M38" s="163"/>
    </row>
    <row r="39" spans="2:13" ht="15" customHeight="1">
      <c r="B39" s="133" t="s">
        <v>2329</v>
      </c>
      <c r="C39" s="279">
        <f>VLOOKUP(B39,'Country summary'!B:R,17,0)</f>
        <v>0</v>
      </c>
      <c r="D39" s="279">
        <f>VLOOKUP(B39,'Country summary'!B:S,18,0)</f>
        <v>0</v>
      </c>
      <c r="E39" s="279">
        <f>VLOOKUP(B39,'Country summary'!B:J,5,0)</f>
        <v>0</v>
      </c>
      <c r="J39" s="162"/>
      <c r="K39" s="162"/>
      <c r="L39" s="162"/>
      <c r="M39" s="163"/>
    </row>
    <row r="40" spans="2:13" ht="15" customHeight="1">
      <c r="B40" s="148" t="s">
        <v>618</v>
      </c>
      <c r="C40" s="279">
        <f>VLOOKUP(B40,'Country summary'!B:R,17,0)</f>
        <v>0</v>
      </c>
      <c r="D40" s="279">
        <f>VLOOKUP(B40,'Country summary'!B:S,18,0)</f>
        <v>0</v>
      </c>
      <c r="E40" s="279">
        <f>VLOOKUP(B40,'Country summary'!B:J,5,0)</f>
        <v>0</v>
      </c>
      <c r="J40" s="163"/>
      <c r="K40" s="163"/>
      <c r="L40" s="163"/>
      <c r="M40" s="163"/>
    </row>
    <row r="41" spans="2:13" ht="15" customHeight="1">
      <c r="B41" s="148" t="s">
        <v>1682</v>
      </c>
      <c r="C41" s="279">
        <f>VLOOKUP(B41,'Country summary'!B:R,17,0)</f>
        <v>0</v>
      </c>
      <c r="D41" s="279">
        <f>VLOOKUP(B41,'Country summary'!B:S,18,0)</f>
        <v>0</v>
      </c>
      <c r="E41" s="279">
        <f>VLOOKUP(B41,'Country summary'!B:J,5,0)</f>
        <v>0</v>
      </c>
      <c r="J41" s="163"/>
      <c r="K41" s="163"/>
      <c r="L41" s="163"/>
      <c r="M41" s="163"/>
    </row>
    <row r="42" spans="2:13">
      <c r="B42" s="158" t="s">
        <v>583</v>
      </c>
      <c r="C42" s="279">
        <f>VLOOKUP(B42,'Country summary'!B:R,17,0)</f>
        <v>0</v>
      </c>
      <c r="D42" s="279">
        <f>VLOOKUP(B42,'Country summary'!B:S,18,0)</f>
        <v>0</v>
      </c>
      <c r="E42" s="279">
        <f>VLOOKUP(B42,'Country summary'!B:J,5,0)</f>
        <v>0</v>
      </c>
    </row>
    <row r="43" spans="2:13">
      <c r="B43" s="158" t="s">
        <v>2368</v>
      </c>
      <c r="C43" s="279">
        <f>VLOOKUP(B43,'Country summary'!B:R,17,0)</f>
        <v>0</v>
      </c>
      <c r="D43" s="279">
        <f>VLOOKUP(B43,'Country summary'!B:S,18,0)</f>
        <v>0</v>
      </c>
      <c r="E43" s="279">
        <f>VLOOKUP(B43,'Country summary'!B:J,5,0)</f>
        <v>0</v>
      </c>
    </row>
    <row r="44" spans="2:13" ht="18" customHeight="1">
      <c r="B44" s="158" t="s">
        <v>1369</v>
      </c>
      <c r="C44" s="279">
        <f>VLOOKUP(B44,'Country summary'!B:R,17,0)</f>
        <v>0</v>
      </c>
      <c r="D44" s="279">
        <f>VLOOKUP(B44,'Country summary'!B:S,18,0)</f>
        <v>0</v>
      </c>
      <c r="E44" s="279">
        <f>VLOOKUP(B44,'Country summary'!B:J,5,0)</f>
        <v>0</v>
      </c>
      <c r="J44" s="162" t="s">
        <v>3083</v>
      </c>
    </row>
    <row r="46" spans="2:13">
      <c r="B46" s="280" t="s">
        <v>3026</v>
      </c>
      <c r="C46" s="281">
        <f>SUM(C5:C44)</f>
        <v>30.057449884517965</v>
      </c>
      <c r="D46" s="281">
        <f>SUM(D5:D44)</f>
        <v>7.8105053049419499</v>
      </c>
      <c r="E46" s="281">
        <f>SUM(E5:E44)</f>
        <v>37.867955189459927</v>
      </c>
    </row>
    <row r="47" spans="2:13">
      <c r="B47" s="125"/>
      <c r="C47" s="125"/>
      <c r="D47" s="125"/>
      <c r="E47" s="125"/>
    </row>
    <row r="48" spans="2:13">
      <c r="B48" s="148"/>
      <c r="C48" s="125"/>
      <c r="D48" s="125"/>
      <c r="E48" s="125"/>
    </row>
    <row r="49" spans="2:5">
      <c r="B49" s="148"/>
      <c r="C49" s="125"/>
      <c r="D49" s="125"/>
      <c r="E49" s="125"/>
    </row>
    <row r="50" spans="2:5">
      <c r="B50" s="148"/>
      <c r="C50" s="125"/>
      <c r="D50" s="125"/>
      <c r="E50" s="125"/>
    </row>
    <row r="51" spans="2:5">
      <c r="B51" s="148"/>
      <c r="C51" s="125"/>
      <c r="D51" s="125"/>
      <c r="E51" s="125"/>
    </row>
    <row r="52" spans="2:5">
      <c r="B52" s="148"/>
      <c r="C52" s="125"/>
      <c r="D52" s="125"/>
      <c r="E52" s="125"/>
    </row>
    <row r="53" spans="2:5">
      <c r="B53" s="148"/>
      <c r="C53" s="125"/>
      <c r="D53" s="125"/>
      <c r="E53" s="125"/>
    </row>
    <row r="54" spans="2:5">
      <c r="B54" s="148"/>
      <c r="C54" s="125"/>
      <c r="D54" s="125"/>
      <c r="E54" s="125"/>
    </row>
    <row r="55" spans="2:5">
      <c r="B55" s="148"/>
      <c r="C55" s="125"/>
      <c r="D55" s="125"/>
      <c r="E55" s="125"/>
    </row>
    <row r="56" spans="2:5">
      <c r="B56" s="148"/>
      <c r="C56" s="125"/>
      <c r="D56" s="125"/>
      <c r="E56" s="125"/>
    </row>
    <row r="57" spans="2:5">
      <c r="B57" s="148"/>
      <c r="C57" s="125"/>
      <c r="D57" s="125"/>
      <c r="E57" s="125"/>
    </row>
    <row r="58" spans="2:5">
      <c r="B58" s="148"/>
      <c r="C58" s="125"/>
      <c r="D58" s="125"/>
      <c r="E58" s="125"/>
    </row>
    <row r="59" spans="2:5">
      <c r="B59" s="148"/>
      <c r="C59" s="125"/>
      <c r="D59" s="125"/>
      <c r="E59" s="125"/>
    </row>
    <row r="60" spans="2:5">
      <c r="B60" s="148"/>
      <c r="C60" s="125"/>
      <c r="D60" s="125"/>
      <c r="E60" s="125"/>
    </row>
    <row r="61" spans="2:5">
      <c r="B61" s="148"/>
      <c r="C61" s="125"/>
      <c r="D61" s="125"/>
      <c r="E61" s="125"/>
    </row>
    <row r="62" spans="2:5">
      <c r="B62" s="148"/>
      <c r="C62" s="125"/>
      <c r="D62" s="125"/>
      <c r="E62" s="125"/>
    </row>
    <row r="63" spans="2:5">
      <c r="B63" s="148"/>
      <c r="C63" s="125"/>
      <c r="D63" s="125"/>
      <c r="E63" s="125"/>
    </row>
    <row r="64" spans="2:5">
      <c r="B64" s="148"/>
      <c r="C64" s="125"/>
      <c r="D64" s="125"/>
      <c r="E64" s="125"/>
    </row>
    <row r="65" spans="2:5" ht="15" customHeight="1">
      <c r="B65" s="148"/>
      <c r="C65" s="125"/>
      <c r="D65" s="125"/>
      <c r="E65" s="125"/>
    </row>
    <row r="66" spans="2:5" ht="15" customHeight="1">
      <c r="C66" s="125"/>
      <c r="D66" s="125"/>
      <c r="E66" s="125"/>
    </row>
    <row r="67" spans="2:5" ht="15" customHeight="1">
      <c r="B67" s="148"/>
      <c r="C67" s="125"/>
      <c r="D67" s="125"/>
      <c r="E67" s="125"/>
    </row>
    <row r="68" spans="2:5" ht="15" customHeight="1">
      <c r="B68" s="148"/>
      <c r="C68" s="125"/>
      <c r="D68" s="125"/>
      <c r="E68" s="125"/>
    </row>
    <row r="69" spans="2:5" ht="15" customHeight="1">
      <c r="C69" s="125"/>
      <c r="D69" s="125"/>
      <c r="E69" s="125"/>
    </row>
  </sheetData>
  <autoFilter ref="B4:E4" xr:uid="{00000000-0009-0000-0000-00000B000000}">
    <sortState xmlns:xlrd2="http://schemas.microsoft.com/office/spreadsheetml/2017/richdata2" ref="B5:E44">
      <sortCondition descending="1" ref="E4"/>
    </sortState>
  </autoFilter>
  <sortState xmlns:xlrd2="http://schemas.microsoft.com/office/spreadsheetml/2017/richdata2" ref="B5:F44">
    <sortCondition descending="1" ref="E5"/>
  </sortState>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B2:AA52"/>
  <sheetViews>
    <sheetView showGridLines="0" zoomScaleNormal="100" workbookViewId="0">
      <selection activeCell="B2" sqref="B2"/>
    </sheetView>
  </sheetViews>
  <sheetFormatPr defaultColWidth="9" defaultRowHeight="15.6"/>
  <cols>
    <col min="1" max="1" width="9" style="33"/>
    <col min="2" max="2" width="20" style="33" customWidth="1"/>
    <col min="3" max="3" width="9.5" style="33" bestFit="1" customWidth="1"/>
    <col min="4" max="4" width="10" style="33" bestFit="1" customWidth="1"/>
    <col min="5" max="5" width="14" style="33" bestFit="1" customWidth="1"/>
    <col min="6" max="6" width="24" style="33" bestFit="1" customWidth="1"/>
    <col min="7" max="7" width="21" style="33" bestFit="1" customWidth="1"/>
    <col min="8" max="16384" width="9" style="33"/>
  </cols>
  <sheetData>
    <row r="2" spans="2:10" ht="15.95" customHeight="1">
      <c r="B2" s="131" t="s">
        <v>3084</v>
      </c>
      <c r="J2" s="290" t="s">
        <v>3085</v>
      </c>
    </row>
    <row r="4" spans="2:10">
      <c r="B4" s="164" t="s">
        <v>3006</v>
      </c>
      <c r="C4" s="283" t="s">
        <v>3086</v>
      </c>
      <c r="D4" s="283" t="s">
        <v>3087</v>
      </c>
      <c r="E4" s="283" t="s">
        <v>3088</v>
      </c>
      <c r="F4" s="283" t="s">
        <v>3089</v>
      </c>
      <c r="G4" s="164" t="s">
        <v>3082</v>
      </c>
    </row>
    <row r="5" spans="2:10">
      <c r="B5" s="118" t="s">
        <v>3071</v>
      </c>
      <c r="C5" s="282">
        <f>VLOOKUP("EU (Commission and Council)",'Financial aid by type'!B:G,2,0)+VLOOKUP("European Investment Bank",'Financial aid by type'!B:G,2,0)</f>
        <v>30.2</v>
      </c>
      <c r="D5" s="282">
        <f>VLOOKUP("EU (Commission and Council)",'Financial aid by type'!B:G,3,0)+VLOOKUP("European Investment Bank",'Financial aid by type'!B:G,3,0)</f>
        <v>0.1225</v>
      </c>
      <c r="E5" s="282">
        <f>VLOOKUP("EU (Commission and Council)",'Financial aid by type'!B:G,5,0)+VLOOKUP("European Investment Bank",'Financial aid by type'!B:G,5,0)</f>
        <v>0</v>
      </c>
      <c r="F5" s="282">
        <f>VLOOKUP("EU (Commission and Council)",'Financial aid by type'!B:G,4,0)+VLOOKUP("European Investment Bank",'Financial aid by type'!B:G,4,0)</f>
        <v>0</v>
      </c>
      <c r="G5" s="282">
        <f t="shared" ref="G5:G45" si="0">SUM(C5:F5)</f>
        <v>30.322499999999998</v>
      </c>
    </row>
    <row r="6" spans="2:10">
      <c r="B6" s="118" t="s">
        <v>2548</v>
      </c>
      <c r="C6" s="282">
        <f>VLOOKUP(B6,'Financial aid by type'!B:G,2,0)</f>
        <v>0.49825610363726958</v>
      </c>
      <c r="D6" s="282">
        <f>VLOOKUP(B6,'Financial aid by type'!B:G,3,0)</f>
        <v>13.558545092177377</v>
      </c>
      <c r="E6" s="282">
        <f>VLOOKUP(B6,'Financial aid by type'!B:G,5,0)</f>
        <v>0.99651220727453915</v>
      </c>
      <c r="F6" s="282">
        <f>VLOOKUP(B6,'Financial aid by type'!B:G,4,0)</f>
        <v>0</v>
      </c>
      <c r="G6" s="282">
        <f t="shared" si="0"/>
        <v>15.053313403089186</v>
      </c>
    </row>
    <row r="7" spans="2:10">
      <c r="B7" s="118" t="s">
        <v>2392</v>
      </c>
      <c r="C7" s="282">
        <f>VLOOKUP(B7,'Financial aid by type'!B:G,2,0)</f>
        <v>0.5763024435223606</v>
      </c>
      <c r="D7" s="282">
        <f>VLOOKUP(B7,'Financial aid by type'!B:G,3,0)</f>
        <v>0.65621104143795483</v>
      </c>
      <c r="E7" s="282">
        <f>VLOOKUP(B7,'Financial aid by type'!B:G,5,0)</f>
        <v>1.339657671179916</v>
      </c>
      <c r="F7" s="282">
        <f>VLOOKUP(B7,'Financial aid by type'!B:G,4,0)</f>
        <v>0</v>
      </c>
      <c r="G7" s="282">
        <f t="shared" si="0"/>
        <v>2.5721711561402314</v>
      </c>
    </row>
    <row r="8" spans="2:10">
      <c r="B8" s="118" t="s">
        <v>452</v>
      </c>
      <c r="C8" s="282">
        <f>VLOOKUP(B8,'Financial aid by type'!B:G,2,0)</f>
        <v>1.7679558011049725</v>
      </c>
      <c r="D8" s="282">
        <f>VLOOKUP(B8,'Financial aid by type'!B:G,3,0)</f>
        <v>0.73948434622467785</v>
      </c>
      <c r="E8" s="282">
        <f>VLOOKUP(B8,'Financial aid by type'!B:G,5,0)</f>
        <v>0</v>
      </c>
      <c r="F8" s="282">
        <f>VLOOKUP(B8,'Financial aid by type'!B:G,4,0)</f>
        <v>0</v>
      </c>
      <c r="G8" s="282">
        <f t="shared" si="0"/>
        <v>2.5074401473296506</v>
      </c>
    </row>
    <row r="9" spans="2:10">
      <c r="B9" s="118" t="s">
        <v>1136</v>
      </c>
      <c r="C9" s="282">
        <f>VLOOKUP(B9,'Financial aid by type'!B:G,2,0)</f>
        <v>0.15</v>
      </c>
      <c r="D9" s="282">
        <f>VLOOKUP(B9,'Financial aid by type'!B:G,3,0)</f>
        <v>1.2</v>
      </c>
      <c r="E9" s="282">
        <f>VLOOKUP(B9,'Financial aid by type'!B:G,5,0)</f>
        <v>0</v>
      </c>
      <c r="F9" s="282">
        <f>VLOOKUP(B9,'Financial aid by type'!B:G,4,0)</f>
        <v>0</v>
      </c>
      <c r="G9" s="282">
        <f t="shared" si="0"/>
        <v>1.3499999999999999</v>
      </c>
    </row>
    <row r="10" spans="2:10">
      <c r="B10" s="118" t="s">
        <v>1894</v>
      </c>
      <c r="C10" s="282">
        <f>VLOOKUP(B10,'Financial aid by type'!B:G,2,0)</f>
        <v>0</v>
      </c>
      <c r="D10" s="282">
        <f>VLOOKUP(B10,'Financial aid by type'!B:G,3,0)</f>
        <v>6.3545858928193179E-3</v>
      </c>
      <c r="E10" s="282">
        <f>VLOOKUP(B10,'Financial aid by type'!B:G,5,0)</f>
        <v>0</v>
      </c>
      <c r="F10" s="282">
        <f>VLOOKUP(B10,'Financial aid by type'!B:G,4,0)</f>
        <v>0.99651220727453915</v>
      </c>
      <c r="G10" s="282">
        <f t="shared" si="0"/>
        <v>1.0028667931673585</v>
      </c>
    </row>
    <row r="11" spans="2:10">
      <c r="B11" s="118" t="s">
        <v>1012</v>
      </c>
      <c r="C11" s="282">
        <f>VLOOKUP(B11,'Financial aid by type'!B:G,2,0)</f>
        <v>0.8</v>
      </c>
      <c r="D11" s="282">
        <f>VLOOKUP(B11,'Financial aid by type'!B:G,3,0)</f>
        <v>0</v>
      </c>
      <c r="E11" s="282">
        <f>VLOOKUP(B11,'Financial aid by type'!B:G,5,0)</f>
        <v>0</v>
      </c>
      <c r="F11" s="282">
        <f>VLOOKUP(B11,'Financial aid by type'!B:G,4,0)</f>
        <v>0</v>
      </c>
      <c r="G11" s="282">
        <f t="shared" si="0"/>
        <v>0.8</v>
      </c>
    </row>
    <row r="12" spans="2:10">
      <c r="B12" s="8" t="s">
        <v>1804</v>
      </c>
      <c r="C12" s="282">
        <f>VLOOKUP(B12,'Financial aid by type'!B:G,2,0)</f>
        <v>0</v>
      </c>
      <c r="D12" s="282">
        <f>VLOOKUP(B12,'Financial aid by type'!B:G,3,0)</f>
        <v>0.61445864741685452</v>
      </c>
      <c r="E12" s="282">
        <f>VLOOKUP(B12,'Financial aid by type'!B:G,5,0)</f>
        <v>0</v>
      </c>
      <c r="F12" s="282">
        <f>VLOOKUP(B12,'Financial aid by type'!B:G,4,0)</f>
        <v>0</v>
      </c>
      <c r="G12" s="282">
        <f t="shared" si="0"/>
        <v>0.61445864741685452</v>
      </c>
    </row>
    <row r="13" spans="2:10">
      <c r="B13" s="118" t="s">
        <v>1471</v>
      </c>
      <c r="C13" s="282">
        <f>VLOOKUP(B13,'Financial aid by type'!B:G,2,0)</f>
        <v>0.59790732436472349</v>
      </c>
      <c r="D13" s="282">
        <f>VLOOKUP(B13,'Financial aid by type'!B:G,3,0)</f>
        <v>0</v>
      </c>
      <c r="E13" s="282">
        <f>VLOOKUP(B13,'Financial aid by type'!B:G,5,0)</f>
        <v>0</v>
      </c>
      <c r="F13" s="282">
        <f>VLOOKUP(B13,'Financial aid by type'!B:G,4,0)</f>
        <v>0</v>
      </c>
      <c r="G13" s="282">
        <f t="shared" si="0"/>
        <v>0.59790732436472349</v>
      </c>
    </row>
    <row r="14" spans="2:10">
      <c r="B14" s="118" t="s">
        <v>312</v>
      </c>
      <c r="C14" s="282">
        <f>VLOOKUP(B14,'Financial aid by type'!B:G,2,0)</f>
        <v>0</v>
      </c>
      <c r="D14" s="282">
        <f>VLOOKUP(B14,'Financial aid by type'!B:G,3,0)</f>
        <v>4.6899999999999997E-2</v>
      </c>
      <c r="E14" s="282">
        <f>VLOOKUP(B14,'Financial aid by type'!B:G,5,0)</f>
        <v>0.5</v>
      </c>
      <c r="F14" s="282">
        <f>VLOOKUP(B14,'Financial aid by type'!B:G,4,0)</f>
        <v>0</v>
      </c>
      <c r="G14" s="282">
        <f t="shared" si="0"/>
        <v>0.54689999999999994</v>
      </c>
    </row>
    <row r="15" spans="2:10">
      <c r="B15" s="118" t="s">
        <v>1687</v>
      </c>
      <c r="C15" s="282">
        <f>VLOOKUP(B15,'Financial aid by type'!B:G,2,0)</f>
        <v>0.2</v>
      </c>
      <c r="D15" s="282">
        <f>VLOOKUP(B15,'Financial aid by type'!B:G,3,0)</f>
        <v>6.8500000000000005E-2</v>
      </c>
      <c r="E15" s="282">
        <f>VLOOKUP(B15,'Financial aid by type'!B:G,5,0)</f>
        <v>0.08</v>
      </c>
      <c r="F15" s="282">
        <f>VLOOKUP(B15,'Financial aid by type'!B:G,4,0)</f>
        <v>0</v>
      </c>
      <c r="G15" s="282">
        <f t="shared" si="0"/>
        <v>0.34850000000000003</v>
      </c>
    </row>
    <row r="16" spans="2:10">
      <c r="B16" s="118" t="s">
        <v>1412</v>
      </c>
      <c r="C16" s="282">
        <f>VLOOKUP(B16,'Financial aid by type'!B:G,2,0)</f>
        <v>0.2</v>
      </c>
      <c r="D16" s="282">
        <f>VLOOKUP(B16,'Financial aid by type'!B:G,3,0)</f>
        <v>0.127</v>
      </c>
      <c r="E16" s="282">
        <f>VLOOKUP(B16,'Financial aid by type'!B:G,5,0)</f>
        <v>0</v>
      </c>
      <c r="F16" s="282">
        <f>VLOOKUP(B16,'Financial aid by type'!B:G,4,0)</f>
        <v>0</v>
      </c>
      <c r="G16" s="282">
        <f t="shared" si="0"/>
        <v>0.32700000000000001</v>
      </c>
    </row>
    <row r="17" spans="2:7">
      <c r="B17" s="118" t="s">
        <v>2258</v>
      </c>
      <c r="C17" s="282">
        <f>VLOOKUP(B17,'Financial aid by type'!B:G,2,0)</f>
        <v>0</v>
      </c>
      <c r="D17" s="282">
        <f>VLOOKUP(B17,'Financial aid by type'!B:G,3,0)</f>
        <v>0.21596076274294096</v>
      </c>
      <c r="E17" s="282">
        <f>VLOOKUP(B17,'Financial aid by type'!B:G,5,0)</f>
        <v>9.3825610363726941E-2</v>
      </c>
      <c r="F17" s="282">
        <f>VLOOKUP(B17,'Financial aid by type'!B:G,4,0)</f>
        <v>0</v>
      </c>
      <c r="G17" s="282">
        <f t="shared" si="0"/>
        <v>0.3097863731066679</v>
      </c>
    </row>
    <row r="18" spans="2:7">
      <c r="B18" s="118" t="s">
        <v>1957</v>
      </c>
      <c r="C18" s="282">
        <f>VLOOKUP(B18,'Financial aid by type'!B:G,2,0)</f>
        <v>0</v>
      </c>
      <c r="D18" s="282">
        <f>VLOOKUP(B18,'Financial aid by type'!B:G,3,0)</f>
        <v>0.25</v>
      </c>
      <c r="E18" s="282">
        <f>VLOOKUP(B18,'Financial aid by type'!B:G,5,0)</f>
        <v>0</v>
      </c>
      <c r="F18" s="282">
        <f>VLOOKUP(B18,'Financial aid by type'!B:G,4,0)</f>
        <v>0</v>
      </c>
      <c r="G18" s="282">
        <f t="shared" si="0"/>
        <v>0.25</v>
      </c>
    </row>
    <row r="19" spans="2:7">
      <c r="B19" s="118" t="s">
        <v>2162</v>
      </c>
      <c r="C19" s="282">
        <f>VLOOKUP(B19,'Financial aid by type'!B:G,2,0)</f>
        <v>0</v>
      </c>
      <c r="D19" s="282">
        <f>VLOOKUP(B19,'Financial aid by type'!B:G,3,0)</f>
        <v>0.15</v>
      </c>
      <c r="E19" s="282">
        <f>VLOOKUP(B19,'Financial aid by type'!B:G,5,0)</f>
        <v>0.1</v>
      </c>
      <c r="F19" s="282">
        <f>VLOOKUP(B19,'Financial aid by type'!B:G,4,0)</f>
        <v>0</v>
      </c>
      <c r="G19" s="282">
        <f t="shared" si="0"/>
        <v>0.25</v>
      </c>
    </row>
    <row r="20" spans="2:7">
      <c r="B20" s="118" t="s">
        <v>917</v>
      </c>
      <c r="C20" s="282">
        <f>VLOOKUP(B20,'Financial aid by type'!B:G,2,0)</f>
        <v>0</v>
      </c>
      <c r="D20" s="282">
        <f>VLOOKUP(B20,'Financial aid by type'!B:G,3,0)</f>
        <v>8.1500000000000003E-2</v>
      </c>
      <c r="E20" s="282">
        <f>VLOOKUP(B20,'Financial aid by type'!B:G,5,0)</f>
        <v>0</v>
      </c>
      <c r="F20" s="282">
        <f>VLOOKUP(B20,'Financial aid by type'!B:G,4,0)</f>
        <v>0</v>
      </c>
      <c r="G20" s="282">
        <f t="shared" si="0"/>
        <v>8.1500000000000003E-2</v>
      </c>
    </row>
    <row r="21" spans="2:7">
      <c r="B21" s="118" t="s">
        <v>767</v>
      </c>
      <c r="C21" s="282">
        <f>VLOOKUP(B21,'Financial aid by type'!B:G,2,0)</f>
        <v>0</v>
      </c>
      <c r="D21" s="282">
        <f>VLOOKUP(B21,'Financial aid by type'!B:G,3,0)</f>
        <v>5.7500000000000002E-2</v>
      </c>
      <c r="E21" s="282">
        <f>VLOOKUP(B21,'Financial aid by type'!B:G,5,0)</f>
        <v>0</v>
      </c>
      <c r="F21" s="282">
        <f>VLOOKUP(B21,'Financial aid by type'!B:G,4,0)</f>
        <v>0</v>
      </c>
      <c r="G21" s="282">
        <f t="shared" si="0"/>
        <v>5.7500000000000002E-2</v>
      </c>
    </row>
    <row r="22" spans="2:7">
      <c r="B22" s="118" t="s">
        <v>1516</v>
      </c>
      <c r="C22" s="282">
        <f>VLOOKUP(B22,'Financial aid by type'!B:G,2,0)</f>
        <v>0.01</v>
      </c>
      <c r="D22" s="282">
        <f>VLOOKUP(B22,'Financial aid by type'!B:G,3,0)</f>
        <v>5.0000000000000001E-3</v>
      </c>
      <c r="E22" s="282">
        <f>VLOOKUP(B22,'Financial aid by type'!B:G,5,0)</f>
        <v>0</v>
      </c>
      <c r="F22" s="282">
        <f>VLOOKUP(B22,'Financial aid by type'!B:G,4,0)</f>
        <v>0</v>
      </c>
      <c r="G22" s="282">
        <f t="shared" si="0"/>
        <v>1.4999999999999999E-2</v>
      </c>
    </row>
    <row r="23" spans="2:7">
      <c r="B23" s="118" t="s">
        <v>1562</v>
      </c>
      <c r="C23" s="282">
        <f>VLOOKUP(B23,'Financial aid by type'!B:G,2,0)</f>
        <v>0</v>
      </c>
      <c r="D23" s="282">
        <f>VLOOKUP(B23,'Financial aid by type'!B:G,3,0)</f>
        <v>1.4999999999999999E-2</v>
      </c>
      <c r="E23" s="282">
        <f>VLOOKUP(B23,'Financial aid by type'!B:G,5,0)</f>
        <v>0</v>
      </c>
      <c r="F23" s="282">
        <f>VLOOKUP(B23,'Financial aid by type'!B:G,4,0)</f>
        <v>0</v>
      </c>
      <c r="G23" s="282">
        <f t="shared" si="0"/>
        <v>1.4999999999999999E-2</v>
      </c>
    </row>
    <row r="24" spans="2:7">
      <c r="B24" s="33" t="s">
        <v>2368</v>
      </c>
      <c r="C24" s="282">
        <f>VLOOKUP(B24,'Financial aid by type'!B:G,2,0)</f>
        <v>0</v>
      </c>
      <c r="D24" s="282">
        <f>VLOOKUP(B24,'Financial aid by type'!B:G,3,0)</f>
        <v>1.2456402590931734E-2</v>
      </c>
      <c r="E24" s="282">
        <f>VLOOKUP(B24,'Financial aid by type'!B:G,5,0)</f>
        <v>0</v>
      </c>
      <c r="F24" s="282">
        <f>VLOOKUP(B24,'Financial aid by type'!B:G,4,0)</f>
        <v>0</v>
      </c>
      <c r="G24" s="282">
        <f t="shared" si="0"/>
        <v>1.2456402590931734E-2</v>
      </c>
    </row>
    <row r="25" spans="2:7">
      <c r="B25" s="118" t="s">
        <v>370</v>
      </c>
      <c r="C25" s="282">
        <f>VLOOKUP(B25,'Financial aid by type'!B:G,2,0)</f>
        <v>0</v>
      </c>
      <c r="D25" s="282">
        <f>VLOOKUP(B25,'Financial aid by type'!B:G,3,0)</f>
        <v>4.96E-3</v>
      </c>
      <c r="E25" s="282">
        <f>VLOOKUP(B25,'Financial aid by type'!B:G,5,0)</f>
        <v>0</v>
      </c>
      <c r="F25" s="282">
        <f>VLOOKUP(B25,'Financial aid by type'!B:G,4,0)</f>
        <v>0</v>
      </c>
      <c r="G25" s="282">
        <f t="shared" si="0"/>
        <v>4.96E-3</v>
      </c>
    </row>
    <row r="26" spans="2:7">
      <c r="B26" s="118" t="s">
        <v>632</v>
      </c>
      <c r="C26" s="282">
        <f>VLOOKUP(B26,'Financial aid by type'!B:G,2,0)</f>
        <v>0</v>
      </c>
      <c r="D26" s="282">
        <f>VLOOKUP(B26,'Financial aid by type'!B:G,3,0)</f>
        <v>4.0946687412988288E-4</v>
      </c>
      <c r="E26" s="282">
        <f>VLOOKUP(B26,'Financial aid by type'!B:G,5,0)</f>
        <v>0</v>
      </c>
      <c r="F26" s="282">
        <f>VLOOKUP(B26,'Financial aid by type'!B:G,4,0)</f>
        <v>0</v>
      </c>
      <c r="G26" s="282">
        <f t="shared" si="0"/>
        <v>4.0946687412988288E-4</v>
      </c>
    </row>
    <row r="27" spans="2:7">
      <c r="B27" s="118" t="s">
        <v>2106</v>
      </c>
      <c r="C27" s="282">
        <f>VLOOKUP(B27,'Financial aid by type'!B:G,2,0)</f>
        <v>0</v>
      </c>
      <c r="D27" s="282">
        <f>VLOOKUP(B27,'Financial aid by type'!B:G,3,0)</f>
        <v>1E-4</v>
      </c>
      <c r="E27" s="282">
        <f>VLOOKUP(B27,'Financial aid by type'!B:G,5,0)</f>
        <v>0</v>
      </c>
      <c r="F27" s="282">
        <f>VLOOKUP(B27,'Financial aid by type'!B:G,4,0)</f>
        <v>0</v>
      </c>
      <c r="G27" s="282">
        <f t="shared" si="0"/>
        <v>1E-4</v>
      </c>
    </row>
    <row r="28" spans="2:7">
      <c r="B28" s="8" t="s">
        <v>227</v>
      </c>
      <c r="C28" s="282">
        <f>VLOOKUP(B28,'Financial aid by type'!B:G,2,0)</f>
        <v>0</v>
      </c>
      <c r="D28" s="282">
        <f>VLOOKUP(B28,'Financial aid by type'!B:G,3,0)</f>
        <v>0</v>
      </c>
      <c r="E28" s="282">
        <f>VLOOKUP(B28,'Financial aid by type'!B:G,5,0)</f>
        <v>0</v>
      </c>
      <c r="F28" s="282">
        <f>VLOOKUP(B28,'Financial aid by type'!B:G,4,0)</f>
        <v>0</v>
      </c>
      <c r="G28" s="282">
        <f t="shared" si="0"/>
        <v>0</v>
      </c>
    </row>
    <row r="29" spans="2:7">
      <c r="B29" s="118" t="s">
        <v>428</v>
      </c>
      <c r="C29" s="282">
        <f>VLOOKUP(B29,'Financial aid by type'!B:G,2,0)</f>
        <v>0</v>
      </c>
      <c r="D29" s="282">
        <f>VLOOKUP(B29,'Financial aid by type'!B:G,3,0)</f>
        <v>0</v>
      </c>
      <c r="E29" s="282">
        <f>VLOOKUP(B29,'Financial aid by type'!B:G,5,0)</f>
        <v>0</v>
      </c>
      <c r="F29" s="282">
        <f>VLOOKUP(B29,'Financial aid by type'!B:G,4,0)</f>
        <v>0</v>
      </c>
      <c r="G29" s="282">
        <f t="shared" si="0"/>
        <v>0</v>
      </c>
    </row>
    <row r="30" spans="2:7">
      <c r="B30" s="118" t="s">
        <v>591</v>
      </c>
      <c r="C30" s="282">
        <f>VLOOKUP(B30,'Financial aid by type'!B:G,2,0)</f>
        <v>0</v>
      </c>
      <c r="D30" s="282">
        <f>VLOOKUP(B30,'Financial aid by type'!B:G,3,0)</f>
        <v>0</v>
      </c>
      <c r="E30" s="282">
        <f>VLOOKUP(B30,'Financial aid by type'!B:G,5,0)</f>
        <v>0</v>
      </c>
      <c r="F30" s="282">
        <f>VLOOKUP(B30,'Financial aid by type'!B:G,4,0)</f>
        <v>0</v>
      </c>
      <c r="G30" s="282">
        <f t="shared" si="0"/>
        <v>0</v>
      </c>
    </row>
    <row r="31" spans="2:7">
      <c r="B31" s="118" t="s">
        <v>618</v>
      </c>
      <c r="C31" s="282">
        <f>VLOOKUP(B31,'Financial aid by type'!B:G,2,0)</f>
        <v>0</v>
      </c>
      <c r="D31" s="282">
        <f>VLOOKUP(B31,'Financial aid by type'!B:G,3,0)</f>
        <v>0</v>
      </c>
      <c r="E31" s="282">
        <f>VLOOKUP(B31,'Financial aid by type'!B:G,5,0)</f>
        <v>0</v>
      </c>
      <c r="F31" s="282">
        <f>VLOOKUP(B31,'Financial aid by type'!B:G,4,0)</f>
        <v>0</v>
      </c>
      <c r="G31" s="282">
        <f t="shared" si="0"/>
        <v>0</v>
      </c>
    </row>
    <row r="32" spans="2:7">
      <c r="B32" s="118" t="s">
        <v>840</v>
      </c>
      <c r="C32" s="282">
        <f>VLOOKUP(B32,'Financial aid by type'!B:G,2,0)</f>
        <v>0</v>
      </c>
      <c r="D32" s="282">
        <f>VLOOKUP(B32,'Financial aid by type'!B:G,3,0)</f>
        <v>0</v>
      </c>
      <c r="E32" s="282">
        <f>VLOOKUP(B32,'Financial aid by type'!B:G,5,0)</f>
        <v>0</v>
      </c>
      <c r="F32" s="282">
        <f>VLOOKUP(B32,'Financial aid by type'!B:G,4,0)</f>
        <v>0</v>
      </c>
      <c r="G32" s="282">
        <f t="shared" si="0"/>
        <v>0</v>
      </c>
    </row>
    <row r="33" spans="2:27">
      <c r="B33" s="118" t="s">
        <v>1294</v>
      </c>
      <c r="C33" s="282">
        <f>VLOOKUP(B33,'Financial aid by type'!B:G,2,0)</f>
        <v>0</v>
      </c>
      <c r="D33" s="282">
        <f>VLOOKUP(B33,'Financial aid by type'!B:G,3,0)</f>
        <v>0</v>
      </c>
      <c r="E33" s="282">
        <f>VLOOKUP(B33,'Financial aid by type'!B:G,5,0)</f>
        <v>0</v>
      </c>
      <c r="F33" s="282">
        <f>VLOOKUP(B33,'Financial aid by type'!B:G,4,0)</f>
        <v>0</v>
      </c>
      <c r="G33" s="282">
        <f t="shared" si="0"/>
        <v>0</v>
      </c>
    </row>
    <row r="34" spans="2:27">
      <c r="B34" s="118" t="s">
        <v>1335</v>
      </c>
      <c r="C34" s="282">
        <f>VLOOKUP(B34,'Financial aid by type'!B:G,2,0)</f>
        <v>0</v>
      </c>
      <c r="D34" s="282">
        <f>VLOOKUP(B34,'Financial aid by type'!B:G,3,0)</f>
        <v>0</v>
      </c>
      <c r="E34" s="282">
        <f>VLOOKUP(B34,'Financial aid by type'!B:G,5,0)</f>
        <v>0</v>
      </c>
      <c r="F34" s="282">
        <f>VLOOKUP(B34,'Financial aid by type'!B:G,4,0)</f>
        <v>0</v>
      </c>
      <c r="G34" s="282">
        <f t="shared" si="0"/>
        <v>0</v>
      </c>
    </row>
    <row r="35" spans="2:27">
      <c r="B35" s="118" t="s">
        <v>1383</v>
      </c>
      <c r="C35" s="282">
        <f>VLOOKUP(B35,'Financial aid by type'!B:G,2,0)</f>
        <v>0</v>
      </c>
      <c r="D35" s="282">
        <f>VLOOKUP(B35,'Financial aid by type'!B:G,3,0)</f>
        <v>0</v>
      </c>
      <c r="E35" s="282">
        <f>VLOOKUP(B35,'Financial aid by type'!B:G,5,0)</f>
        <v>0</v>
      </c>
      <c r="F35" s="282">
        <f>VLOOKUP(B35,'Financial aid by type'!B:G,4,0)</f>
        <v>0</v>
      </c>
      <c r="G35" s="282">
        <f t="shared" si="0"/>
        <v>0</v>
      </c>
    </row>
    <row r="36" spans="2:27">
      <c r="B36" s="118" t="s">
        <v>1653</v>
      </c>
      <c r="C36" s="282">
        <f>VLOOKUP(B36,'Financial aid by type'!B:G,2,0)</f>
        <v>0</v>
      </c>
      <c r="D36" s="282">
        <f>VLOOKUP(B36,'Financial aid by type'!B:G,3,0)</f>
        <v>0</v>
      </c>
      <c r="E36" s="282">
        <f>VLOOKUP(B36,'Financial aid by type'!B:G,5,0)</f>
        <v>0</v>
      </c>
      <c r="F36" s="282">
        <f>VLOOKUP(B36,'Financial aid by type'!B:G,4,0)</f>
        <v>0</v>
      </c>
      <c r="G36" s="282">
        <f t="shared" si="0"/>
        <v>0</v>
      </c>
    </row>
    <row r="37" spans="2:27">
      <c r="B37" s="118" t="s">
        <v>1682</v>
      </c>
      <c r="C37" s="282">
        <f>VLOOKUP(B37,'Financial aid by type'!B:G,2,0)</f>
        <v>0</v>
      </c>
      <c r="D37" s="282">
        <f>VLOOKUP(B37,'Financial aid by type'!B:G,3,0)</f>
        <v>0</v>
      </c>
      <c r="E37" s="282">
        <f>VLOOKUP(B37,'Financial aid by type'!B:G,5,0)</f>
        <v>0</v>
      </c>
      <c r="F37" s="282">
        <f>VLOOKUP(B37,'Financial aid by type'!B:G,4,0)</f>
        <v>0</v>
      </c>
      <c r="G37" s="282">
        <f t="shared" si="0"/>
        <v>0</v>
      </c>
    </row>
    <row r="38" spans="2:27">
      <c r="B38" s="8" t="s">
        <v>1766</v>
      </c>
      <c r="C38" s="282">
        <f>VLOOKUP(B38,'Financial aid by type'!B:G,2,0)</f>
        <v>0</v>
      </c>
      <c r="D38" s="282">
        <f>VLOOKUP(B38,'Financial aid by type'!B:G,3,0)</f>
        <v>0</v>
      </c>
      <c r="E38" s="282">
        <f>VLOOKUP(B38,'Financial aid by type'!B:G,5,0)</f>
        <v>0</v>
      </c>
      <c r="F38" s="282">
        <f>VLOOKUP(B38,'Financial aid by type'!B:G,4,0)</f>
        <v>0</v>
      </c>
      <c r="G38" s="282">
        <f t="shared" si="0"/>
        <v>0</v>
      </c>
    </row>
    <row r="39" spans="2:27">
      <c r="B39" s="8" t="s">
        <v>2002</v>
      </c>
      <c r="C39" s="282">
        <f>VLOOKUP(B39,'Financial aid by type'!B:G,2,0)</f>
        <v>0</v>
      </c>
      <c r="D39" s="282">
        <f>VLOOKUP(B39,'Financial aid by type'!B:G,3,0)</f>
        <v>0</v>
      </c>
      <c r="E39" s="282">
        <f>VLOOKUP(B39,'Financial aid by type'!B:G,5,0)</f>
        <v>0</v>
      </c>
      <c r="F39" s="282">
        <f>VLOOKUP(B39,'Financial aid by type'!B:G,4,0)</f>
        <v>0</v>
      </c>
      <c r="G39" s="282">
        <f t="shared" si="0"/>
        <v>0</v>
      </c>
    </row>
    <row r="40" spans="2:27">
      <c r="B40" s="118" t="s">
        <v>2034</v>
      </c>
      <c r="C40" s="282">
        <f>VLOOKUP(B40,'Financial aid by type'!B:G,2,0)</f>
        <v>0</v>
      </c>
      <c r="D40" s="282">
        <f>VLOOKUP(B40,'Financial aid by type'!B:G,3,0)</f>
        <v>0</v>
      </c>
      <c r="E40" s="282">
        <f>VLOOKUP(B40,'Financial aid by type'!B:G,5,0)</f>
        <v>0</v>
      </c>
      <c r="F40" s="282">
        <f>VLOOKUP(B40,'Financial aid by type'!B:G,4,0)</f>
        <v>0</v>
      </c>
      <c r="G40" s="282">
        <f t="shared" si="0"/>
        <v>0</v>
      </c>
    </row>
    <row r="41" spans="2:27">
      <c r="B41" s="118" t="s">
        <v>2063</v>
      </c>
      <c r="C41" s="282">
        <f>VLOOKUP(B41,'Financial aid by type'!B:G,2,0)</f>
        <v>0</v>
      </c>
      <c r="D41" s="282">
        <f>VLOOKUP(B41,'Financial aid by type'!B:G,3,0)</f>
        <v>0</v>
      </c>
      <c r="E41" s="282">
        <f>VLOOKUP(B41,'Financial aid by type'!B:G,5,0)</f>
        <v>0</v>
      </c>
      <c r="F41" s="282">
        <f>VLOOKUP(B41,'Financial aid by type'!B:G,4,0)</f>
        <v>0</v>
      </c>
      <c r="G41" s="282">
        <f t="shared" si="0"/>
        <v>0</v>
      </c>
    </row>
    <row r="42" spans="2:27">
      <c r="B42" s="8" t="s">
        <v>2329</v>
      </c>
      <c r="C42" s="282">
        <f>VLOOKUP(B42,'Financial aid by type'!B:G,2,0)</f>
        <v>0</v>
      </c>
      <c r="D42" s="282">
        <f>VLOOKUP(B42,'Financial aid by type'!B:G,3,0)</f>
        <v>0</v>
      </c>
      <c r="E42" s="282">
        <f>VLOOKUP(B42,'Financial aid by type'!B:G,5,0)</f>
        <v>0</v>
      </c>
      <c r="F42" s="282">
        <f>VLOOKUP(B42,'Financial aid by type'!B:G,4,0)</f>
        <v>0</v>
      </c>
      <c r="G42" s="282">
        <f t="shared" si="0"/>
        <v>0</v>
      </c>
    </row>
    <row r="43" spans="2:27">
      <c r="B43" s="8" t="s">
        <v>2348</v>
      </c>
      <c r="C43" s="282">
        <f>VLOOKUP(B43,'Financial aid by type'!B:G,2,0)</f>
        <v>0</v>
      </c>
      <c r="D43" s="282">
        <f>VLOOKUP(B43,'Financial aid by type'!B:G,3,0)</f>
        <v>0</v>
      </c>
      <c r="E43" s="282">
        <f>VLOOKUP(B43,'Financial aid by type'!B:G,5,0)</f>
        <v>0</v>
      </c>
      <c r="F43" s="282">
        <f>VLOOKUP(B43,'Financial aid by type'!B:G,4,0)</f>
        <v>0</v>
      </c>
      <c r="G43" s="282">
        <f t="shared" si="0"/>
        <v>0</v>
      </c>
    </row>
    <row r="44" spans="2:27">
      <c r="B44" s="33" t="s">
        <v>583</v>
      </c>
      <c r="C44" s="282">
        <f>VLOOKUP(B44,'Financial aid by type'!B:G,2,0)</f>
        <v>0</v>
      </c>
      <c r="D44" s="282">
        <f>VLOOKUP(B44,'Financial aid by type'!B:G,3,0)</f>
        <v>0</v>
      </c>
      <c r="E44" s="282">
        <f>VLOOKUP(B44,'Financial aid by type'!B:G,5,0)</f>
        <v>0</v>
      </c>
      <c r="F44" s="282">
        <f>VLOOKUP(B44,'Financial aid by type'!B:G,4,0)</f>
        <v>0</v>
      </c>
      <c r="G44" s="282">
        <f t="shared" si="0"/>
        <v>0</v>
      </c>
    </row>
    <row r="45" spans="2:27">
      <c r="B45" s="8" t="s">
        <v>1369</v>
      </c>
      <c r="C45" s="282">
        <f>VLOOKUP(B45,'Financial aid by type'!B:G,2,0)</f>
        <v>0</v>
      </c>
      <c r="D45" s="282">
        <f>VLOOKUP(B45,'Financial aid by type'!B:G,3,0)</f>
        <v>0</v>
      </c>
      <c r="E45" s="282">
        <f>VLOOKUP(B45,'Financial aid by type'!B:G,5,0)</f>
        <v>0</v>
      </c>
      <c r="F45" s="282">
        <f>VLOOKUP(B45,'Financial aid by type'!B:G,4,0)</f>
        <v>0</v>
      </c>
      <c r="G45" s="282">
        <f t="shared" si="0"/>
        <v>0</v>
      </c>
      <c r="M45" s="166"/>
      <c r="N45" s="166"/>
      <c r="O45" s="166"/>
      <c r="P45" s="166"/>
      <c r="Q45" s="166"/>
      <c r="R45" s="166"/>
      <c r="S45" s="166"/>
      <c r="T45" s="166"/>
      <c r="U45" s="166"/>
      <c r="V45" s="166"/>
      <c r="W45" s="166"/>
      <c r="X45" s="166"/>
      <c r="Y45" s="166"/>
      <c r="Z45" s="166"/>
      <c r="AA45" s="166"/>
    </row>
    <row r="46" spans="2:27">
      <c r="M46" s="166"/>
      <c r="N46" s="166"/>
      <c r="O46" s="166"/>
      <c r="P46" s="166"/>
      <c r="Q46" s="166"/>
      <c r="R46" s="166"/>
      <c r="S46" s="166"/>
      <c r="T46" s="166"/>
      <c r="U46" s="166"/>
      <c r="V46" s="166"/>
      <c r="W46" s="166"/>
      <c r="X46" s="166"/>
      <c r="Y46" s="166"/>
      <c r="Z46" s="166"/>
      <c r="AA46" s="166"/>
    </row>
    <row r="47" spans="2:27">
      <c r="B47" s="280" t="s">
        <v>3026</v>
      </c>
      <c r="C47" s="281">
        <f>SUM(C5:C45)</f>
        <v>35.000421672629329</v>
      </c>
      <c r="D47" s="281">
        <f>SUM(D5:D45)</f>
        <v>17.932840345357683</v>
      </c>
      <c r="E47" s="281">
        <f>SUM(E5:E45)</f>
        <v>3.109995488818182</v>
      </c>
      <c r="F47" s="281">
        <f>SUM(F5:F45)</f>
        <v>0.99651220727453915</v>
      </c>
      <c r="G47" s="281">
        <f>SUM(G5:G45)</f>
        <v>57.039769714079732</v>
      </c>
      <c r="M47" s="166"/>
      <c r="N47" s="166"/>
      <c r="O47" s="166"/>
      <c r="P47" s="166"/>
      <c r="Q47" s="166"/>
      <c r="R47" s="166"/>
      <c r="S47" s="166"/>
      <c r="T47" s="166"/>
      <c r="U47" s="166"/>
      <c r="V47" s="166"/>
      <c r="W47" s="166"/>
      <c r="X47" s="166"/>
      <c r="Y47" s="166"/>
      <c r="Z47" s="166"/>
      <c r="AA47" s="166"/>
    </row>
    <row r="52" spans="4:4">
      <c r="D52" s="282"/>
    </row>
  </sheetData>
  <autoFilter ref="B4:G4" xr:uid="{00000000-0009-0000-0000-00000C000000}">
    <sortState xmlns:xlrd2="http://schemas.microsoft.com/office/spreadsheetml/2017/richdata2" ref="B5:G45">
      <sortCondition descending="1" ref="G4"/>
    </sortState>
  </autoFilter>
  <sortState xmlns:xlrd2="http://schemas.microsoft.com/office/spreadsheetml/2017/richdata2" ref="B5:G45">
    <sortCondition descending="1" ref="G5"/>
  </sortState>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B2:AD58"/>
  <sheetViews>
    <sheetView zoomScaleNormal="100" workbookViewId="0">
      <selection activeCell="B2" sqref="B2"/>
    </sheetView>
  </sheetViews>
  <sheetFormatPr defaultColWidth="8" defaultRowHeight="14.1"/>
  <cols>
    <col min="1" max="1" width="7.5" style="284" customWidth="1"/>
    <col min="2" max="2" width="30.5" style="284" bestFit="1" customWidth="1"/>
    <col min="3" max="3" width="20" style="284" bestFit="1" customWidth="1"/>
    <col min="4" max="5" width="12.5" style="284" customWidth="1"/>
    <col min="6" max="6" width="17.5" style="284" customWidth="1"/>
    <col min="7" max="7" width="22.5" style="284" bestFit="1" customWidth="1"/>
    <col min="8" max="8" width="10.5" style="284" customWidth="1"/>
    <col min="9" max="14" width="8" style="284"/>
    <col min="15" max="15" width="8" style="284" customWidth="1"/>
    <col min="16" max="16384" width="8" style="284"/>
  </cols>
  <sheetData>
    <row r="2" spans="2:20" ht="15.95" customHeight="1">
      <c r="B2" s="285" t="s">
        <v>3090</v>
      </c>
      <c r="I2" s="646" t="s">
        <v>3091</v>
      </c>
    </row>
    <row r="4" spans="2:20" ht="15">
      <c r="B4" s="296" t="s">
        <v>2968</v>
      </c>
      <c r="C4" s="302" t="s">
        <v>3092</v>
      </c>
      <c r="D4" s="302" t="s">
        <v>3093</v>
      </c>
      <c r="E4" s="302" t="s">
        <v>3094</v>
      </c>
      <c r="F4" s="302" t="s">
        <v>3095</v>
      </c>
      <c r="G4" s="296" t="s">
        <v>3096</v>
      </c>
    </row>
    <row r="5" spans="2:20">
      <c r="B5" s="284" t="s">
        <v>3097</v>
      </c>
      <c r="C5" s="295">
        <f>86+1758+60+150+100+150</f>
        <v>2304</v>
      </c>
      <c r="D5" s="295">
        <f>1056</f>
        <v>1056</v>
      </c>
      <c r="E5" s="295">
        <f>2927+330+160</f>
        <v>3417</v>
      </c>
      <c r="F5" s="295">
        <f>1700+5180+6050+1260+400+130+882</f>
        <v>15602</v>
      </c>
      <c r="G5" s="284" t="s">
        <v>3098</v>
      </c>
      <c r="I5" s="167"/>
    </row>
    <row r="6" spans="2:20" ht="15.6">
      <c r="B6" s="297" t="s">
        <v>3099</v>
      </c>
      <c r="C6" s="298">
        <f>302+13+18+440</f>
        <v>773</v>
      </c>
      <c r="D6" s="298">
        <v>354</v>
      </c>
      <c r="E6" s="298">
        <f>858+69+60</f>
        <v>987</v>
      </c>
      <c r="F6" s="298">
        <f>547+1212+622+187</f>
        <v>2568</v>
      </c>
      <c r="G6" s="297" t="s">
        <v>3098</v>
      </c>
      <c r="I6" s="288"/>
      <c r="K6" s="168"/>
      <c r="L6" s="286"/>
      <c r="M6" s="286"/>
    </row>
    <row r="7" spans="2:20" ht="15.6">
      <c r="B7" s="284" t="s">
        <v>3100</v>
      </c>
      <c r="C7" s="295">
        <v>1000</v>
      </c>
      <c r="D7" s="295">
        <v>300</v>
      </c>
      <c r="E7" s="295">
        <v>500</v>
      </c>
      <c r="F7" s="295">
        <v>2000</v>
      </c>
      <c r="G7" s="287" t="s">
        <v>3101</v>
      </c>
      <c r="K7" s="284" t="s">
        <v>3059</v>
      </c>
    </row>
    <row r="8" spans="2:20" ht="15.6">
      <c r="B8" s="297" t="s">
        <v>3102</v>
      </c>
      <c r="C8" s="298" t="s">
        <v>232</v>
      </c>
      <c r="D8" s="298">
        <v>100</v>
      </c>
      <c r="E8" s="298" t="s">
        <v>232</v>
      </c>
      <c r="F8" s="298" t="s">
        <v>232</v>
      </c>
      <c r="G8" s="300" t="s">
        <v>3103</v>
      </c>
      <c r="I8" s="288"/>
    </row>
    <row r="9" spans="2:20" ht="16.5" customHeight="1">
      <c r="B9" s="284" t="s">
        <v>3104</v>
      </c>
      <c r="C9" s="295">
        <f>SUM('Share, heavy weapons to Ukraine'!AJ2:AJ39)</f>
        <v>312</v>
      </c>
      <c r="D9" s="295">
        <f>SUM('Share, heavy weapons to Ukraine'!AK2:AK39)</f>
        <v>76</v>
      </c>
      <c r="E9" s="295">
        <f>SUM('Share, heavy weapons to Ukraine'!AD2:AD39)</f>
        <v>443</v>
      </c>
      <c r="F9" s="295">
        <f>SUM('Share, heavy weapons to Ukraine'!AI2:AI39)</f>
        <v>1949</v>
      </c>
      <c r="G9" s="289" t="s">
        <v>3105</v>
      </c>
      <c r="I9" s="167"/>
      <c r="L9" s="286"/>
      <c r="M9" s="286"/>
      <c r="T9" s="290"/>
    </row>
    <row r="10" spans="2:20">
      <c r="B10" s="284" t="s">
        <v>3106</v>
      </c>
      <c r="C10" s="295">
        <f>SUM('Share, heavy weapons to Ukraine'!AX2:AX39)</f>
        <v>265</v>
      </c>
      <c r="D10" s="295">
        <f>SUM('Share, heavy weapons to Ukraine'!AY2:AY39)</f>
        <v>49</v>
      </c>
      <c r="E10" s="295">
        <f>SUM('Share, heavy weapons to Ukraine'!AR2:AR39)</f>
        <v>280</v>
      </c>
      <c r="F10" s="295">
        <f>SUM('Share, heavy weapons to Ukraine'!AW2:AW39)</f>
        <v>979</v>
      </c>
      <c r="G10" s="289" t="s">
        <v>3105</v>
      </c>
      <c r="I10" s="167"/>
    </row>
    <row r="11" spans="2:20">
      <c r="B11" s="297" t="s">
        <v>3107</v>
      </c>
      <c r="C11" s="299">
        <f>C9-C10</f>
        <v>47</v>
      </c>
      <c r="D11" s="299">
        <f t="shared" ref="D11:F11" si="0">D9-D10</f>
        <v>27</v>
      </c>
      <c r="E11" s="299">
        <f t="shared" si="0"/>
        <v>163</v>
      </c>
      <c r="F11" s="299">
        <f t="shared" si="0"/>
        <v>970</v>
      </c>
      <c r="G11" s="301" t="s">
        <v>3105</v>
      </c>
      <c r="I11" s="167"/>
    </row>
    <row r="12" spans="2:20">
      <c r="G12" s="289"/>
      <c r="H12" s="167"/>
      <c r="K12" s="167"/>
    </row>
    <row r="13" spans="2:20">
      <c r="G13" s="289"/>
      <c r="H13" s="167"/>
      <c r="K13" s="167"/>
    </row>
    <row r="14" spans="2:20">
      <c r="K14" s="167"/>
    </row>
    <row r="15" spans="2:20" ht="15">
      <c r="B15" s="296" t="s">
        <v>2968</v>
      </c>
      <c r="C15" s="296" t="s">
        <v>3108</v>
      </c>
      <c r="D15" s="296" t="s">
        <v>3109</v>
      </c>
      <c r="E15" s="296" t="s">
        <v>3106</v>
      </c>
      <c r="F15" s="296" t="s">
        <v>3107</v>
      </c>
      <c r="G15" s="291"/>
      <c r="H15" s="285"/>
      <c r="I15" s="167"/>
    </row>
    <row r="16" spans="2:20" ht="15.6">
      <c r="B16" s="292" t="s">
        <v>3093</v>
      </c>
      <c r="C16" s="292" t="s">
        <v>3110</v>
      </c>
      <c r="D16" s="304" t="s">
        <v>232</v>
      </c>
      <c r="E16" s="304">
        <f>$D$10</f>
        <v>49</v>
      </c>
      <c r="F16" s="304">
        <f>$D$9-$D$10</f>
        <v>27</v>
      </c>
      <c r="G16" s="292"/>
      <c r="H16" s="292"/>
      <c r="I16" s="167"/>
    </row>
    <row r="17" spans="2:11" ht="15.6">
      <c r="B17" s="292"/>
      <c r="C17" s="292" t="s">
        <v>3111</v>
      </c>
      <c r="D17" s="304">
        <f>D8</f>
        <v>100</v>
      </c>
      <c r="E17" s="304">
        <v>200</v>
      </c>
      <c r="F17" s="304" t="s">
        <v>232</v>
      </c>
      <c r="G17" s="292"/>
      <c r="H17" s="292"/>
      <c r="I17" s="167"/>
    </row>
    <row r="18" spans="2:11" ht="15.6">
      <c r="B18" s="292"/>
      <c r="C18" s="292" t="s">
        <v>3112</v>
      </c>
      <c r="D18" s="304" t="s">
        <v>232</v>
      </c>
      <c r="E18" s="304">
        <f>$D$5</f>
        <v>1056</v>
      </c>
      <c r="F18" s="304" t="s">
        <v>232</v>
      </c>
      <c r="G18" s="292"/>
      <c r="H18" s="292"/>
      <c r="I18" s="167"/>
    </row>
    <row r="19" spans="2:11" ht="15.6">
      <c r="B19" s="292" t="s">
        <v>3113</v>
      </c>
      <c r="C19" s="292" t="s">
        <v>3110</v>
      </c>
      <c r="D19" s="304" t="s">
        <v>232</v>
      </c>
      <c r="E19" s="304">
        <f>$C$10</f>
        <v>265</v>
      </c>
      <c r="F19" s="304">
        <f>$C$9-$C$10</f>
        <v>47</v>
      </c>
      <c r="G19" s="292"/>
      <c r="H19" s="292"/>
      <c r="I19" s="167"/>
    </row>
    <row r="20" spans="2:11" ht="15.6">
      <c r="B20" s="292"/>
      <c r="C20" s="292" t="s">
        <v>3111</v>
      </c>
      <c r="D20" s="304" t="s">
        <v>232</v>
      </c>
      <c r="E20" s="304">
        <v>1000</v>
      </c>
      <c r="F20" s="304" t="s">
        <v>232</v>
      </c>
      <c r="G20" s="292"/>
      <c r="H20" s="292"/>
      <c r="I20" s="167"/>
    </row>
    <row r="21" spans="2:11" ht="15.6">
      <c r="B21" s="292"/>
      <c r="C21" s="292" t="s">
        <v>3112</v>
      </c>
      <c r="D21" s="304" t="s">
        <v>232</v>
      </c>
      <c r="E21" s="304">
        <f>$C$5</f>
        <v>2304</v>
      </c>
      <c r="F21" s="304" t="s">
        <v>232</v>
      </c>
      <c r="G21" s="292"/>
      <c r="H21" s="292"/>
      <c r="I21" s="167"/>
    </row>
    <row r="22" spans="2:11" ht="15.6">
      <c r="B22" s="292" t="s">
        <v>3094</v>
      </c>
      <c r="C22" s="292" t="s">
        <v>3110</v>
      </c>
      <c r="D22" s="304" t="s">
        <v>232</v>
      </c>
      <c r="E22" s="305">
        <f>$E$10</f>
        <v>280</v>
      </c>
      <c r="F22" s="304">
        <f>E9-E10</f>
        <v>163</v>
      </c>
      <c r="G22" s="292"/>
      <c r="H22" s="292"/>
      <c r="I22" s="167"/>
    </row>
    <row r="23" spans="2:11" ht="15.6">
      <c r="B23" s="292"/>
      <c r="C23" s="292" t="s">
        <v>3111</v>
      </c>
      <c r="D23" s="304" t="s">
        <v>232</v>
      </c>
      <c r="E23" s="305">
        <f>$E$7</f>
        <v>500</v>
      </c>
      <c r="F23" s="304" t="s">
        <v>232</v>
      </c>
      <c r="G23" s="292"/>
      <c r="H23" s="292"/>
      <c r="I23" s="167"/>
    </row>
    <row r="24" spans="2:11" ht="15.6">
      <c r="B24" s="292"/>
      <c r="C24" s="292" t="s">
        <v>3112</v>
      </c>
      <c r="D24" s="304" t="s">
        <v>232</v>
      </c>
      <c r="E24" s="305">
        <f>$E$5</f>
        <v>3417</v>
      </c>
      <c r="F24" s="304" t="s">
        <v>232</v>
      </c>
      <c r="G24" s="292"/>
      <c r="H24" s="292"/>
      <c r="I24" s="167"/>
    </row>
    <row r="25" spans="2:11" ht="15.6">
      <c r="B25" s="292" t="s">
        <v>3095</v>
      </c>
      <c r="C25" s="292" t="s">
        <v>3110</v>
      </c>
      <c r="D25" s="304" t="s">
        <v>232</v>
      </c>
      <c r="E25" s="305">
        <f>$F$10</f>
        <v>979</v>
      </c>
      <c r="F25" s="304">
        <f>F9-F10</f>
        <v>970</v>
      </c>
      <c r="G25" s="292"/>
      <c r="H25" s="292"/>
      <c r="I25" s="167"/>
    </row>
    <row r="26" spans="2:11" ht="15.6">
      <c r="B26" s="292"/>
      <c r="C26" s="292" t="s">
        <v>3111</v>
      </c>
      <c r="D26" s="304" t="s">
        <v>232</v>
      </c>
      <c r="E26" s="305">
        <f>$F$7</f>
        <v>2000</v>
      </c>
      <c r="F26" s="304" t="s">
        <v>232</v>
      </c>
      <c r="G26" s="292"/>
      <c r="H26" s="292"/>
      <c r="I26" s="167"/>
    </row>
    <row r="27" spans="2:11" ht="15.6">
      <c r="B27" s="303"/>
      <c r="C27" s="303" t="s">
        <v>3112</v>
      </c>
      <c r="D27" s="307" t="s">
        <v>232</v>
      </c>
      <c r="E27" s="306">
        <f>$F$5</f>
        <v>15602</v>
      </c>
      <c r="F27" s="307" t="s">
        <v>232</v>
      </c>
      <c r="G27" s="292"/>
      <c r="H27" s="292"/>
      <c r="I27" s="167"/>
    </row>
    <row r="28" spans="2:11" ht="15.6">
      <c r="E28" s="293"/>
      <c r="K28" s="167"/>
    </row>
    <row r="29" spans="2:11" ht="15.6">
      <c r="E29" s="293"/>
      <c r="K29" s="167"/>
    </row>
    <row r="32" spans="2:11" ht="15.6">
      <c r="C32" s="293"/>
      <c r="D32" s="293"/>
    </row>
    <row r="33" spans="3:4" ht="15.6">
      <c r="C33" s="293"/>
      <c r="D33" s="293"/>
    </row>
    <row r="34" spans="3:4" ht="15.6">
      <c r="C34" s="293"/>
      <c r="D34" s="293"/>
    </row>
    <row r="52" spans="13:30">
      <c r="M52" s="294"/>
      <c r="N52" s="294"/>
      <c r="O52" s="294"/>
      <c r="P52" s="294"/>
      <c r="Q52" s="294"/>
      <c r="R52" s="294"/>
      <c r="S52" s="294"/>
      <c r="T52" s="294"/>
      <c r="U52" s="294"/>
      <c r="V52" s="294"/>
      <c r="W52" s="294"/>
      <c r="X52" s="294"/>
      <c r="Y52" s="294"/>
      <c r="Z52" s="294"/>
      <c r="AA52" s="294"/>
      <c r="AB52" s="294"/>
      <c r="AC52" s="294"/>
      <c r="AD52" s="294"/>
    </row>
    <row r="53" spans="13:30">
      <c r="M53" s="294"/>
      <c r="N53" s="294"/>
      <c r="O53" s="294"/>
      <c r="P53" s="294"/>
      <c r="Q53" s="294"/>
      <c r="R53" s="294"/>
      <c r="S53" s="294"/>
      <c r="T53" s="294"/>
      <c r="U53" s="294"/>
      <c r="V53" s="294"/>
      <c r="W53" s="294"/>
      <c r="X53" s="294"/>
      <c r="Y53" s="294"/>
      <c r="Z53" s="294"/>
      <c r="AA53" s="294"/>
      <c r="AB53" s="294"/>
      <c r="AC53" s="294"/>
      <c r="AD53" s="294"/>
    </row>
    <row r="54" spans="13:30">
      <c r="M54" s="294"/>
      <c r="N54" s="294"/>
      <c r="O54" s="294"/>
      <c r="P54" s="294"/>
      <c r="Q54" s="294"/>
      <c r="R54" s="294"/>
      <c r="S54" s="294"/>
      <c r="T54" s="294"/>
      <c r="U54" s="294"/>
      <c r="V54" s="294"/>
      <c r="W54" s="294"/>
      <c r="X54" s="294"/>
      <c r="Y54" s="294"/>
      <c r="Z54" s="294"/>
      <c r="AA54" s="294"/>
      <c r="AB54" s="294"/>
      <c r="AC54" s="294"/>
      <c r="AD54" s="294"/>
    </row>
    <row r="55" spans="13:30">
      <c r="M55" s="294"/>
      <c r="N55" s="294"/>
      <c r="O55" s="294"/>
      <c r="P55" s="294"/>
      <c r="Q55" s="294"/>
      <c r="R55" s="294"/>
      <c r="S55" s="294"/>
      <c r="T55" s="294"/>
      <c r="U55" s="294"/>
      <c r="V55" s="294"/>
      <c r="W55" s="294"/>
      <c r="X55" s="294"/>
      <c r="Y55" s="294"/>
      <c r="Z55" s="294"/>
      <c r="AA55" s="294"/>
      <c r="AB55" s="294"/>
      <c r="AC55" s="294"/>
      <c r="AD55" s="294"/>
    </row>
    <row r="56" spans="13:30">
      <c r="M56" s="294"/>
      <c r="N56" s="294"/>
      <c r="O56" s="294"/>
      <c r="P56" s="294"/>
      <c r="Q56" s="294"/>
      <c r="R56" s="294"/>
      <c r="S56" s="294"/>
      <c r="T56" s="294"/>
      <c r="U56" s="294"/>
      <c r="V56" s="294"/>
      <c r="W56" s="294"/>
      <c r="X56" s="294"/>
      <c r="Y56" s="294"/>
      <c r="Z56" s="294"/>
      <c r="AA56" s="294"/>
      <c r="AB56" s="294"/>
      <c r="AC56" s="294"/>
      <c r="AD56" s="294"/>
    </row>
    <row r="57" spans="13:30">
      <c r="M57" s="294"/>
      <c r="N57" s="294"/>
      <c r="O57" s="294"/>
      <c r="P57" s="294"/>
      <c r="Q57" s="294"/>
      <c r="R57" s="294"/>
      <c r="S57" s="294"/>
      <c r="T57" s="294"/>
      <c r="U57" s="294"/>
      <c r="V57" s="294"/>
      <c r="W57" s="294"/>
      <c r="X57" s="294"/>
      <c r="Y57" s="294"/>
      <c r="Z57" s="294"/>
      <c r="AA57" s="294"/>
      <c r="AB57" s="294"/>
      <c r="AC57" s="294"/>
      <c r="AD57" s="294"/>
    </row>
    <row r="58" spans="13:30">
      <c r="M58" s="294"/>
      <c r="N58" s="294"/>
      <c r="O58" s="294"/>
      <c r="P58" s="294"/>
      <c r="Q58" s="294"/>
      <c r="R58" s="294"/>
      <c r="S58" s="294"/>
      <c r="T58" s="294"/>
      <c r="U58" s="294"/>
      <c r="V58" s="294"/>
      <c r="W58" s="294"/>
      <c r="X58" s="294"/>
      <c r="Y58" s="294"/>
      <c r="Z58" s="294"/>
      <c r="AA58" s="294"/>
      <c r="AB58" s="294"/>
      <c r="AC58" s="294"/>
      <c r="AD58" s="294"/>
    </row>
  </sheetData>
  <hyperlinks>
    <hyperlink ref="G8" r:id="rId1" xr:uid="{00000000-0004-0000-0D00-000000000000}"/>
    <hyperlink ref="G7" r:id="rId2" xr:uid="{00000000-0004-0000-0D00-000001000000}"/>
  </hyperlinks>
  <pageMargins left="0.7" right="0.7" top="0.75" bottom="0.75" header="0.3" footer="0.3"/>
  <pageSetup paperSize="9"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AF154"/>
  <sheetViews>
    <sheetView showGridLines="0" zoomScaleNormal="100" workbookViewId="0">
      <selection activeCell="B2" sqref="B2"/>
    </sheetView>
  </sheetViews>
  <sheetFormatPr defaultColWidth="8.5" defaultRowHeight="15.6"/>
  <cols>
    <col min="1" max="1" width="8.5" style="33"/>
    <col min="2" max="2" width="28.5" style="33" customWidth="1"/>
    <col min="3" max="3" width="11.875" style="282" customWidth="1"/>
    <col min="4" max="4" width="12.375" style="282" customWidth="1"/>
    <col min="5" max="6" width="19" style="33" bestFit="1" customWidth="1"/>
    <col min="7" max="7" width="12" style="33" customWidth="1"/>
    <col min="8" max="8" width="35.5" style="33" customWidth="1"/>
    <col min="9" max="16384" width="8.5" style="33"/>
  </cols>
  <sheetData>
    <row r="1" spans="1:32">
      <c r="A1" s="148" t="s">
        <v>301</v>
      </c>
      <c r="B1" s="148" t="s">
        <v>301</v>
      </c>
      <c r="C1" s="309"/>
      <c r="D1" s="174"/>
      <c r="E1" s="148" t="s">
        <v>301</v>
      </c>
      <c r="F1" s="46"/>
      <c r="I1" s="148" t="s">
        <v>301</v>
      </c>
      <c r="J1" s="148" t="s">
        <v>301</v>
      </c>
      <c r="K1" s="148" t="s">
        <v>301</v>
      </c>
      <c r="L1" s="46"/>
      <c r="M1" s="148" t="s">
        <v>301</v>
      </c>
      <c r="N1" s="148" t="s">
        <v>301</v>
      </c>
      <c r="O1" s="148" t="s">
        <v>301</v>
      </c>
      <c r="P1" s="125" t="s">
        <v>301</v>
      </c>
      <c r="Q1" s="125" t="s">
        <v>301</v>
      </c>
      <c r="R1" s="125" t="s">
        <v>301</v>
      </c>
      <c r="S1" s="125" t="s">
        <v>301</v>
      </c>
      <c r="T1" s="125" t="s">
        <v>301</v>
      </c>
      <c r="U1" s="125" t="s">
        <v>301</v>
      </c>
      <c r="V1" s="125" t="s">
        <v>301</v>
      </c>
      <c r="W1" s="125" t="s">
        <v>301</v>
      </c>
      <c r="X1" s="125" t="s">
        <v>301</v>
      </c>
      <c r="Y1" s="148" t="s">
        <v>301</v>
      </c>
      <c r="Z1" s="46"/>
      <c r="AA1" s="148" t="s">
        <v>301</v>
      </c>
      <c r="AB1" s="148" t="s">
        <v>301</v>
      </c>
      <c r="AC1" s="171" t="s">
        <v>301</v>
      </c>
      <c r="AD1" s="171"/>
      <c r="AE1" s="171"/>
      <c r="AF1" s="171"/>
    </row>
    <row r="2" spans="1:32" ht="15.95" customHeight="1">
      <c r="A2" s="148" t="s">
        <v>301</v>
      </c>
      <c r="B2" s="131" t="s">
        <v>3114</v>
      </c>
      <c r="H2" s="894" t="s">
        <v>3115</v>
      </c>
      <c r="I2" s="894"/>
      <c r="J2" s="894"/>
      <c r="K2" s="894"/>
      <c r="L2" s="894"/>
      <c r="M2" s="894"/>
      <c r="N2" s="894"/>
      <c r="O2" s="894"/>
      <c r="P2" s="125" t="s">
        <v>301</v>
      </c>
      <c r="Q2" s="125" t="s">
        <v>301</v>
      </c>
      <c r="R2" s="125" t="s">
        <v>301</v>
      </c>
      <c r="S2" s="125" t="s">
        <v>301</v>
      </c>
      <c r="T2" s="125" t="s">
        <v>301</v>
      </c>
      <c r="U2" s="125" t="s">
        <v>301</v>
      </c>
      <c r="V2" s="125" t="s">
        <v>301</v>
      </c>
      <c r="W2" s="125" t="s">
        <v>301</v>
      </c>
      <c r="X2" s="125" t="s">
        <v>301</v>
      </c>
      <c r="Y2" s="148" t="s">
        <v>301</v>
      </c>
      <c r="Z2" s="46"/>
      <c r="AA2" s="148" t="s">
        <v>301</v>
      </c>
      <c r="AB2" s="148" t="s">
        <v>301</v>
      </c>
      <c r="AC2" s="171"/>
      <c r="AD2" s="171"/>
      <c r="AE2" s="171"/>
      <c r="AF2" s="171"/>
    </row>
    <row r="3" spans="1:32">
      <c r="A3" s="148" t="s">
        <v>301</v>
      </c>
      <c r="B3" s="148" t="s">
        <v>301</v>
      </c>
      <c r="C3" s="309"/>
      <c r="D3" s="174"/>
      <c r="E3" s="148"/>
      <c r="F3" s="46"/>
      <c r="I3" s="148" t="s">
        <v>301</v>
      </c>
      <c r="J3" s="148" t="s">
        <v>301</v>
      </c>
      <c r="K3" s="148" t="s">
        <v>301</v>
      </c>
      <c r="L3" s="46"/>
      <c r="M3" s="148" t="s">
        <v>301</v>
      </c>
      <c r="N3" s="148" t="s">
        <v>301</v>
      </c>
      <c r="O3" s="148" t="s">
        <v>301</v>
      </c>
      <c r="P3" s="125" t="s">
        <v>301</v>
      </c>
      <c r="Q3" s="125" t="s">
        <v>301</v>
      </c>
      <c r="R3" s="125" t="s">
        <v>301</v>
      </c>
      <c r="S3" s="125" t="s">
        <v>301</v>
      </c>
      <c r="T3" s="125" t="s">
        <v>301</v>
      </c>
      <c r="U3" s="125" t="s">
        <v>301</v>
      </c>
      <c r="V3" s="125" t="s">
        <v>301</v>
      </c>
      <c r="W3" s="125" t="s">
        <v>301</v>
      </c>
      <c r="X3" s="125" t="s">
        <v>301</v>
      </c>
      <c r="Y3" s="148" t="s">
        <v>301</v>
      </c>
      <c r="Z3" s="46"/>
      <c r="AA3" s="148" t="s">
        <v>301</v>
      </c>
      <c r="AB3" s="148" t="s">
        <v>301</v>
      </c>
      <c r="AC3" s="171"/>
      <c r="AD3" s="171"/>
      <c r="AE3" s="171"/>
      <c r="AF3" s="171"/>
    </row>
    <row r="4" spans="1:32">
      <c r="A4" s="148" t="s">
        <v>301</v>
      </c>
      <c r="B4" s="172" t="s">
        <v>3006</v>
      </c>
      <c r="C4" s="557" t="s">
        <v>3116</v>
      </c>
      <c r="D4" s="557" t="s">
        <v>3117</v>
      </c>
      <c r="E4" s="172" t="s">
        <v>3118</v>
      </c>
      <c r="F4" s="173" t="s">
        <v>3119</v>
      </c>
      <c r="I4" s="148" t="s">
        <v>301</v>
      </c>
      <c r="J4" s="148" t="s">
        <v>301</v>
      </c>
      <c r="K4" s="148" t="s">
        <v>301</v>
      </c>
      <c r="L4" s="46"/>
      <c r="M4" s="148" t="s">
        <v>301</v>
      </c>
      <c r="N4" s="148" t="s">
        <v>301</v>
      </c>
      <c r="O4" s="148" t="s">
        <v>301</v>
      </c>
      <c r="P4" s="125" t="s">
        <v>301</v>
      </c>
      <c r="Q4" s="125" t="s">
        <v>301</v>
      </c>
      <c r="R4" s="125" t="s">
        <v>301</v>
      </c>
      <c r="S4" s="125" t="s">
        <v>301</v>
      </c>
      <c r="T4" s="125" t="s">
        <v>301</v>
      </c>
      <c r="U4" s="125" t="s">
        <v>301</v>
      </c>
      <c r="V4" s="125" t="s">
        <v>301</v>
      </c>
      <c r="W4" s="125" t="s">
        <v>301</v>
      </c>
      <c r="X4" s="125" t="s">
        <v>301</v>
      </c>
      <c r="Y4" s="148" t="s">
        <v>301</v>
      </c>
      <c r="Z4" s="46"/>
      <c r="AA4" s="148" t="s">
        <v>301</v>
      </c>
      <c r="AB4" s="148" t="s">
        <v>301</v>
      </c>
      <c r="AC4" s="171"/>
      <c r="AD4" s="171"/>
      <c r="AE4" s="171"/>
      <c r="AF4" s="171"/>
    </row>
    <row r="5" spans="1:32">
      <c r="A5" s="148" t="s">
        <v>301</v>
      </c>
      <c r="B5" s="148" t="s">
        <v>2548</v>
      </c>
      <c r="C5" s="309">
        <f>SUM(VLOOKUP(B5,'Financial aid by type'!B:D,2,0),VLOOKUP(B5,'Financial aid by type'!B:D,3,0))</f>
        <v>14.056801195814646</v>
      </c>
      <c r="D5" s="174">
        <v>8.49</v>
      </c>
      <c r="E5" s="308">
        <f>C5-D5</f>
        <v>5.5668011958146462</v>
      </c>
      <c r="F5" s="310">
        <f t="shared" ref="F5:F22" si="0">D5/C5*100</f>
        <v>60.397809442790319</v>
      </c>
      <c r="I5" s="148" t="s">
        <v>301</v>
      </c>
      <c r="J5" s="148" t="s">
        <v>301</v>
      </c>
      <c r="K5" s="148" t="s">
        <v>301</v>
      </c>
      <c r="L5" s="46"/>
      <c r="M5" s="148" t="s">
        <v>301</v>
      </c>
      <c r="N5" s="148" t="s">
        <v>301</v>
      </c>
      <c r="O5" s="148" t="s">
        <v>301</v>
      </c>
      <c r="P5" s="125" t="s">
        <v>301</v>
      </c>
      <c r="Q5" s="125" t="s">
        <v>301</v>
      </c>
      <c r="R5" s="125" t="s">
        <v>301</v>
      </c>
      <c r="S5" s="125" t="s">
        <v>301</v>
      </c>
      <c r="T5" s="125" t="s">
        <v>301</v>
      </c>
      <c r="U5" s="125" t="s">
        <v>301</v>
      </c>
      <c r="V5" s="125" t="s">
        <v>301</v>
      </c>
      <c r="W5" s="125" t="s">
        <v>301</v>
      </c>
      <c r="X5" s="125" t="s">
        <v>301</v>
      </c>
      <c r="Y5" s="148" t="s">
        <v>301</v>
      </c>
      <c r="Z5" s="46"/>
      <c r="AA5" s="148" t="s">
        <v>301</v>
      </c>
      <c r="AB5" s="148" t="s">
        <v>301</v>
      </c>
      <c r="AC5" s="148" t="s">
        <v>301</v>
      </c>
      <c r="AD5" s="148" t="s">
        <v>301</v>
      </c>
      <c r="AE5" s="148" t="s">
        <v>301</v>
      </c>
      <c r="AF5" s="148" t="s">
        <v>301</v>
      </c>
    </row>
    <row r="6" spans="1:32">
      <c r="A6" s="148" t="s">
        <v>301</v>
      </c>
      <c r="B6" s="148" t="s">
        <v>3120</v>
      </c>
      <c r="C6" s="309">
        <f>'Aggregates by country group'!C9</f>
        <v>30.322500000000002</v>
      </c>
      <c r="D6" s="174">
        <v>8.0869999999999997</v>
      </c>
      <c r="E6" s="308">
        <f t="shared" ref="E6:E22" si="1">C6-D6</f>
        <v>22.235500000000002</v>
      </c>
      <c r="F6" s="310">
        <f t="shared" si="0"/>
        <v>26.669964547778051</v>
      </c>
      <c r="I6" s="148" t="s">
        <v>301</v>
      </c>
      <c r="J6" s="148" t="s">
        <v>301</v>
      </c>
      <c r="K6" s="148" t="s">
        <v>301</v>
      </c>
      <c r="L6" s="46"/>
      <c r="M6" s="148" t="s">
        <v>301</v>
      </c>
      <c r="N6" s="148" t="s">
        <v>301</v>
      </c>
      <c r="O6" s="148" t="s">
        <v>301</v>
      </c>
      <c r="P6" s="125" t="s">
        <v>301</v>
      </c>
      <c r="Q6" s="125" t="s">
        <v>301</v>
      </c>
      <c r="R6" s="125" t="s">
        <v>301</v>
      </c>
      <c r="S6" s="125" t="s">
        <v>301</v>
      </c>
      <c r="T6" s="125" t="s">
        <v>301</v>
      </c>
      <c r="U6" s="125" t="s">
        <v>301</v>
      </c>
      <c r="V6" s="125" t="s">
        <v>301</v>
      </c>
      <c r="W6" s="125" t="s">
        <v>301</v>
      </c>
      <c r="X6" s="125" t="s">
        <v>301</v>
      </c>
      <c r="Y6" s="148" t="s">
        <v>301</v>
      </c>
      <c r="Z6" s="148" t="s">
        <v>301</v>
      </c>
      <c r="AB6" s="148" t="s">
        <v>301</v>
      </c>
      <c r="AC6" s="148" t="s">
        <v>301</v>
      </c>
      <c r="AD6" s="148" t="s">
        <v>301</v>
      </c>
      <c r="AE6" s="148" t="s">
        <v>301</v>
      </c>
      <c r="AF6" s="148" t="s">
        <v>301</v>
      </c>
    </row>
    <row r="7" spans="1:32">
      <c r="A7" s="148" t="s">
        <v>301</v>
      </c>
      <c r="B7" s="148" t="s">
        <v>452</v>
      </c>
      <c r="C7" s="309">
        <f>SUM(VLOOKUP(B7,'Financial aid by type'!B:D,2,0),VLOOKUP(B7,'Financial aid by type'!B:D,3,0))</f>
        <v>2.5074401473296506</v>
      </c>
      <c r="D7" s="174">
        <v>1.5209999999999999</v>
      </c>
      <c r="E7" s="308">
        <f t="shared" si="1"/>
        <v>0.98644014732965069</v>
      </c>
      <c r="F7" s="310">
        <f t="shared" si="0"/>
        <v>60.659473831102993</v>
      </c>
      <c r="I7" s="148" t="s">
        <v>301</v>
      </c>
      <c r="J7" s="148" t="s">
        <v>301</v>
      </c>
      <c r="K7" s="148" t="s">
        <v>301</v>
      </c>
      <c r="L7" s="46"/>
      <c r="M7" s="148" t="s">
        <v>301</v>
      </c>
      <c r="N7" s="148" t="s">
        <v>301</v>
      </c>
      <c r="O7" s="148" t="s">
        <v>301</v>
      </c>
      <c r="P7" s="125" t="s">
        <v>301</v>
      </c>
      <c r="Q7" s="125" t="s">
        <v>301</v>
      </c>
      <c r="R7" s="125" t="s">
        <v>301</v>
      </c>
      <c r="S7" s="125" t="s">
        <v>301</v>
      </c>
      <c r="T7" s="125" t="s">
        <v>301</v>
      </c>
      <c r="U7" s="125" t="s">
        <v>301</v>
      </c>
      <c r="V7" s="125" t="s">
        <v>301</v>
      </c>
      <c r="W7" s="125" t="s">
        <v>301</v>
      </c>
      <c r="X7" s="125" t="s">
        <v>301</v>
      </c>
      <c r="Y7" s="148" t="s">
        <v>301</v>
      </c>
      <c r="Z7" s="46"/>
      <c r="AA7" s="148" t="s">
        <v>301</v>
      </c>
      <c r="AB7" s="148" t="s">
        <v>301</v>
      </c>
      <c r="AC7" s="148" t="s">
        <v>301</v>
      </c>
      <c r="AD7" s="148" t="s">
        <v>301</v>
      </c>
      <c r="AE7" s="148" t="s">
        <v>301</v>
      </c>
      <c r="AF7" s="148" t="s">
        <v>301</v>
      </c>
    </row>
    <row r="8" spans="1:32">
      <c r="A8" s="148" t="s">
        <v>301</v>
      </c>
      <c r="B8" s="148" t="s">
        <v>1136</v>
      </c>
      <c r="C8" s="309">
        <f>SUM(VLOOKUP(B8,'Financial aid by type'!B:D,2,0),VLOOKUP(B8,'Financial aid by type'!B:D,3,0))</f>
        <v>1.3499999999999999</v>
      </c>
      <c r="D8" s="174">
        <v>1.35</v>
      </c>
      <c r="E8" s="308">
        <f t="shared" si="1"/>
        <v>0</v>
      </c>
      <c r="F8" s="310">
        <f t="shared" si="0"/>
        <v>100.00000000000003</v>
      </c>
      <c r="I8" s="148" t="s">
        <v>301</v>
      </c>
      <c r="J8" s="148" t="s">
        <v>301</v>
      </c>
      <c r="K8" s="148" t="s">
        <v>301</v>
      </c>
      <c r="L8" s="46"/>
      <c r="M8" s="148" t="s">
        <v>301</v>
      </c>
      <c r="N8" s="148" t="s">
        <v>301</v>
      </c>
      <c r="O8" s="148" t="s">
        <v>301</v>
      </c>
      <c r="P8" s="125" t="s">
        <v>301</v>
      </c>
      <c r="Q8" s="125" t="s">
        <v>301</v>
      </c>
      <c r="R8" s="125" t="s">
        <v>301</v>
      </c>
      <c r="S8" s="125" t="s">
        <v>301</v>
      </c>
      <c r="T8" s="125" t="s">
        <v>301</v>
      </c>
      <c r="U8" s="125" t="s">
        <v>301</v>
      </c>
      <c r="V8" s="125" t="s">
        <v>301</v>
      </c>
      <c r="W8" s="125" t="s">
        <v>301</v>
      </c>
      <c r="X8" s="125" t="s">
        <v>301</v>
      </c>
      <c r="Y8" s="148" t="s">
        <v>301</v>
      </c>
      <c r="Z8" s="46"/>
      <c r="AA8" s="148" t="s">
        <v>301</v>
      </c>
      <c r="AB8" s="148" t="s">
        <v>301</v>
      </c>
      <c r="AC8" s="148" t="s">
        <v>301</v>
      </c>
      <c r="AD8" s="148" t="s">
        <v>301</v>
      </c>
      <c r="AE8" s="148" t="s">
        <v>301</v>
      </c>
      <c r="AF8" s="148" t="s">
        <v>301</v>
      </c>
    </row>
    <row r="9" spans="1:32">
      <c r="A9" s="148" t="s">
        <v>301</v>
      </c>
      <c r="B9" s="148" t="s">
        <v>2392</v>
      </c>
      <c r="C9" s="309">
        <f>SUM(VLOOKUP(B9,'Financial aid by type'!B:D,2,0),VLOOKUP(B9,'Financial aid by type'!B:D,3,0))</f>
        <v>1.2325134849603154</v>
      </c>
      <c r="D9" s="174">
        <v>1.0760000000000001</v>
      </c>
      <c r="E9" s="308">
        <f t="shared" si="1"/>
        <v>0.15651348496031536</v>
      </c>
      <c r="F9" s="310">
        <f t="shared" si="0"/>
        <v>87.301276061465998</v>
      </c>
      <c r="I9" s="148" t="s">
        <v>301</v>
      </c>
      <c r="J9" s="148" t="s">
        <v>301</v>
      </c>
      <c r="K9" s="148" t="s">
        <v>301</v>
      </c>
      <c r="L9" s="46"/>
      <c r="M9" s="148" t="s">
        <v>301</v>
      </c>
      <c r="N9" s="148" t="s">
        <v>301</v>
      </c>
      <c r="O9" s="148" t="s">
        <v>301</v>
      </c>
      <c r="P9" s="125" t="s">
        <v>301</v>
      </c>
      <c r="Q9" s="125" t="s">
        <v>301</v>
      </c>
      <c r="R9" s="125" t="s">
        <v>301</v>
      </c>
      <c r="S9" s="125" t="s">
        <v>301</v>
      </c>
      <c r="T9" s="125" t="s">
        <v>301</v>
      </c>
      <c r="U9" s="125" t="s">
        <v>301</v>
      </c>
      <c r="V9" s="125" t="s">
        <v>301</v>
      </c>
      <c r="W9" s="125" t="s">
        <v>301</v>
      </c>
      <c r="X9" s="125" t="s">
        <v>301</v>
      </c>
      <c r="Y9" s="148" t="s">
        <v>301</v>
      </c>
      <c r="Z9" s="46"/>
      <c r="AA9" s="148" t="s">
        <v>301</v>
      </c>
      <c r="AB9" s="148" t="s">
        <v>301</v>
      </c>
      <c r="AC9" s="148" t="s">
        <v>301</v>
      </c>
      <c r="AD9" s="148" t="s">
        <v>301</v>
      </c>
      <c r="AE9" s="148" t="s">
        <v>301</v>
      </c>
      <c r="AF9" s="148" t="s">
        <v>301</v>
      </c>
    </row>
    <row r="10" spans="1:32">
      <c r="A10" s="148" t="s">
        <v>301</v>
      </c>
      <c r="B10" s="148" t="s">
        <v>1471</v>
      </c>
      <c r="C10" s="309">
        <f>SUM(VLOOKUP(B10,'Financial aid by type'!B:D,2,0),VLOOKUP(B10,'Financial aid by type'!B:D,3,0))</f>
        <v>0.59790732436472349</v>
      </c>
      <c r="D10" s="174">
        <v>0.58099999999999996</v>
      </c>
      <c r="E10" s="308">
        <f t="shared" si="1"/>
        <v>1.6907324364723531E-2</v>
      </c>
      <c r="F10" s="310">
        <f t="shared" si="0"/>
        <v>97.172249999999991</v>
      </c>
      <c r="I10" s="148" t="s">
        <v>301</v>
      </c>
      <c r="J10" s="148" t="s">
        <v>301</v>
      </c>
      <c r="K10" s="148" t="s">
        <v>301</v>
      </c>
      <c r="L10" s="46"/>
      <c r="M10" s="148" t="s">
        <v>301</v>
      </c>
      <c r="N10" s="148" t="s">
        <v>301</v>
      </c>
      <c r="O10" s="148" t="s">
        <v>301</v>
      </c>
      <c r="P10" s="125" t="s">
        <v>301</v>
      </c>
      <c r="Q10" s="125" t="s">
        <v>301</v>
      </c>
      <c r="R10" s="125" t="s">
        <v>301</v>
      </c>
      <c r="S10" s="125" t="s">
        <v>301</v>
      </c>
      <c r="T10" s="125" t="s">
        <v>301</v>
      </c>
      <c r="U10" s="125" t="s">
        <v>301</v>
      </c>
      <c r="V10" s="125" t="s">
        <v>301</v>
      </c>
      <c r="W10" s="125" t="s">
        <v>301</v>
      </c>
      <c r="X10" s="125" t="s">
        <v>301</v>
      </c>
      <c r="Y10" s="148" t="s">
        <v>301</v>
      </c>
      <c r="Z10" s="46"/>
      <c r="AA10" s="148" t="s">
        <v>301</v>
      </c>
      <c r="AB10" s="148" t="s">
        <v>301</v>
      </c>
      <c r="AC10" s="148" t="s">
        <v>301</v>
      </c>
      <c r="AD10" s="148" t="s">
        <v>301</v>
      </c>
      <c r="AE10" s="148" t="s">
        <v>301</v>
      </c>
      <c r="AF10" s="148" t="s">
        <v>301</v>
      </c>
    </row>
    <row r="11" spans="1:32">
      <c r="A11" s="148" t="s">
        <v>301</v>
      </c>
      <c r="B11" s="148" t="s">
        <v>1012</v>
      </c>
      <c r="C11" s="309">
        <f>SUM(VLOOKUP(B11,'Financial aid by type'!B:D,2,0),VLOOKUP(B11,'Financial aid by type'!B:D,3,0))</f>
        <v>0.8</v>
      </c>
      <c r="D11" s="174">
        <v>0.33200000000000002</v>
      </c>
      <c r="E11" s="308">
        <f t="shared" si="1"/>
        <v>0.46800000000000003</v>
      </c>
      <c r="F11" s="310">
        <f t="shared" si="0"/>
        <v>41.5</v>
      </c>
      <c r="I11" s="148" t="s">
        <v>301</v>
      </c>
      <c r="J11" s="148" t="s">
        <v>301</v>
      </c>
      <c r="K11" s="148" t="s">
        <v>301</v>
      </c>
      <c r="L11" s="46"/>
      <c r="M11" s="148" t="s">
        <v>301</v>
      </c>
      <c r="N11" s="148" t="s">
        <v>301</v>
      </c>
      <c r="O11" s="148" t="s">
        <v>301</v>
      </c>
      <c r="P11" s="125" t="s">
        <v>301</v>
      </c>
      <c r="Q11" s="125" t="s">
        <v>301</v>
      </c>
      <c r="R11" s="125" t="s">
        <v>301</v>
      </c>
      <c r="S11" s="125" t="s">
        <v>301</v>
      </c>
      <c r="T11" s="125" t="s">
        <v>301</v>
      </c>
      <c r="U11" s="125" t="s">
        <v>301</v>
      </c>
      <c r="V11" s="125" t="s">
        <v>301</v>
      </c>
      <c r="W11" s="125" t="s">
        <v>301</v>
      </c>
      <c r="X11" s="125" t="s">
        <v>301</v>
      </c>
      <c r="Y11" s="148" t="s">
        <v>301</v>
      </c>
      <c r="Z11" s="46"/>
      <c r="AA11" s="148" t="s">
        <v>301</v>
      </c>
      <c r="AB11" s="148" t="s">
        <v>301</v>
      </c>
      <c r="AC11" s="148" t="s">
        <v>301</v>
      </c>
      <c r="AD11" s="148" t="s">
        <v>301</v>
      </c>
      <c r="AE11" s="148" t="s">
        <v>301</v>
      </c>
      <c r="AF11" s="148" t="s">
        <v>301</v>
      </c>
    </row>
    <row r="12" spans="1:32">
      <c r="A12" s="148" t="s">
        <v>301</v>
      </c>
      <c r="B12" s="148" t="s">
        <v>1412</v>
      </c>
      <c r="C12" s="309">
        <f>SUM(VLOOKUP(B12,'Financial aid by type'!B:D,2,0),VLOOKUP(B12,'Financial aid by type'!B:D,3,0))</f>
        <v>0.32700000000000001</v>
      </c>
      <c r="D12" s="174">
        <v>0.32700000000000001</v>
      </c>
      <c r="E12" s="308">
        <f t="shared" si="1"/>
        <v>0</v>
      </c>
      <c r="F12" s="310">
        <f t="shared" si="0"/>
        <v>100</v>
      </c>
      <c r="I12" s="148" t="s">
        <v>301</v>
      </c>
      <c r="J12" s="148" t="s">
        <v>301</v>
      </c>
      <c r="K12" s="148" t="s">
        <v>301</v>
      </c>
      <c r="L12" s="46"/>
      <c r="M12" s="148" t="s">
        <v>301</v>
      </c>
      <c r="N12" s="148" t="s">
        <v>301</v>
      </c>
      <c r="O12" s="148" t="s">
        <v>301</v>
      </c>
      <c r="P12" s="125" t="s">
        <v>301</v>
      </c>
      <c r="Q12" s="125" t="s">
        <v>301</v>
      </c>
      <c r="R12" s="125" t="s">
        <v>301</v>
      </c>
      <c r="S12" s="125" t="s">
        <v>301</v>
      </c>
      <c r="T12" s="125" t="s">
        <v>301</v>
      </c>
      <c r="U12" s="125" t="s">
        <v>301</v>
      </c>
      <c r="V12" s="125" t="s">
        <v>301</v>
      </c>
      <c r="W12" s="125" t="s">
        <v>301</v>
      </c>
      <c r="X12" s="125" t="s">
        <v>301</v>
      </c>
      <c r="Y12" s="148" t="s">
        <v>301</v>
      </c>
      <c r="Z12" s="46"/>
      <c r="AA12" s="148" t="s">
        <v>301</v>
      </c>
      <c r="AB12" s="148" t="s">
        <v>301</v>
      </c>
      <c r="AC12" s="148" t="s">
        <v>301</v>
      </c>
      <c r="AD12" s="148" t="s">
        <v>301</v>
      </c>
      <c r="AE12" s="148" t="s">
        <v>301</v>
      </c>
      <c r="AF12" s="148" t="s">
        <v>301</v>
      </c>
    </row>
    <row r="13" spans="1:32">
      <c r="A13" s="148" t="s">
        <v>301</v>
      </c>
      <c r="B13" s="148" t="s">
        <v>1687</v>
      </c>
      <c r="C13" s="309">
        <f>SUM(VLOOKUP(B13,'Financial aid by type'!B:D,2,0),VLOOKUP(B13,'Financial aid by type'!B:D,3,0))</f>
        <v>0.26850000000000002</v>
      </c>
      <c r="D13" s="174">
        <v>0.106</v>
      </c>
      <c r="E13" s="308">
        <f t="shared" si="1"/>
        <v>0.16250000000000003</v>
      </c>
      <c r="F13" s="310">
        <f t="shared" si="0"/>
        <v>39.478584729981378</v>
      </c>
      <c r="I13" s="148" t="s">
        <v>301</v>
      </c>
      <c r="J13" s="148" t="s">
        <v>301</v>
      </c>
      <c r="K13" s="148" t="s">
        <v>301</v>
      </c>
      <c r="L13" s="46"/>
      <c r="M13" s="148" t="s">
        <v>301</v>
      </c>
      <c r="N13" s="148" t="s">
        <v>301</v>
      </c>
      <c r="O13" s="148" t="s">
        <v>301</v>
      </c>
      <c r="P13" s="125" t="s">
        <v>301</v>
      </c>
      <c r="Q13" s="125" t="s">
        <v>301</v>
      </c>
      <c r="R13" s="125" t="s">
        <v>301</v>
      </c>
      <c r="S13" s="125" t="s">
        <v>301</v>
      </c>
      <c r="T13" s="125" t="s">
        <v>301</v>
      </c>
      <c r="U13" s="125" t="s">
        <v>301</v>
      </c>
      <c r="V13" s="125" t="s">
        <v>301</v>
      </c>
      <c r="W13" s="125" t="s">
        <v>301</v>
      </c>
      <c r="X13" s="125" t="s">
        <v>301</v>
      </c>
      <c r="Y13" s="148" t="s">
        <v>301</v>
      </c>
      <c r="Z13" s="46"/>
      <c r="AA13" s="148" t="s">
        <v>301</v>
      </c>
      <c r="AB13" s="148" t="s">
        <v>301</v>
      </c>
      <c r="AC13" s="148" t="s">
        <v>301</v>
      </c>
      <c r="AD13" s="148" t="s">
        <v>301</v>
      </c>
      <c r="AE13" s="148" t="s">
        <v>301</v>
      </c>
      <c r="AF13" s="148" t="s">
        <v>301</v>
      </c>
    </row>
    <row r="14" spans="1:32">
      <c r="A14" s="148" t="s">
        <v>301</v>
      </c>
      <c r="B14" s="148" t="s">
        <v>2258</v>
      </c>
      <c r="C14" s="309">
        <f>SUM(VLOOKUP(B14,'Financial aid by type'!B:D,2,0),VLOOKUP(B14,'Financial aid by type'!B:D,3,0))</f>
        <v>0.21596076274294096</v>
      </c>
      <c r="D14" s="174">
        <v>4.9000000000000002E-2</v>
      </c>
      <c r="E14" s="308">
        <f t="shared" si="1"/>
        <v>0.16696076274294097</v>
      </c>
      <c r="F14" s="310">
        <f t="shared" si="0"/>
        <v>22.689306787791317</v>
      </c>
      <c r="I14" s="148" t="s">
        <v>301</v>
      </c>
      <c r="J14" s="148" t="s">
        <v>301</v>
      </c>
      <c r="K14" s="148" t="s">
        <v>301</v>
      </c>
      <c r="L14" s="46"/>
      <c r="M14" s="148" t="s">
        <v>301</v>
      </c>
      <c r="N14" s="148" t="s">
        <v>301</v>
      </c>
      <c r="O14" s="148" t="s">
        <v>301</v>
      </c>
      <c r="P14" s="125" t="s">
        <v>301</v>
      </c>
      <c r="Q14" s="125" t="s">
        <v>301</v>
      </c>
      <c r="R14" s="125" t="s">
        <v>301</v>
      </c>
      <c r="S14" s="125" t="s">
        <v>301</v>
      </c>
      <c r="T14" s="125" t="s">
        <v>301</v>
      </c>
      <c r="U14" s="125" t="s">
        <v>301</v>
      </c>
      <c r="V14" s="125" t="s">
        <v>301</v>
      </c>
      <c r="W14" s="125" t="s">
        <v>301</v>
      </c>
      <c r="X14" s="125" t="s">
        <v>301</v>
      </c>
      <c r="Y14" s="148" t="s">
        <v>301</v>
      </c>
      <c r="Z14" s="46"/>
      <c r="AA14" s="148" t="s">
        <v>301</v>
      </c>
      <c r="AB14" s="148" t="s">
        <v>301</v>
      </c>
      <c r="AC14" s="148" t="s">
        <v>301</v>
      </c>
      <c r="AD14" s="148" t="s">
        <v>301</v>
      </c>
      <c r="AE14" s="148" t="s">
        <v>301</v>
      </c>
      <c r="AF14" s="148" t="s">
        <v>301</v>
      </c>
    </row>
    <row r="15" spans="1:32">
      <c r="A15" s="148" t="s">
        <v>301</v>
      </c>
      <c r="B15" s="148" t="s">
        <v>767</v>
      </c>
      <c r="C15" s="309">
        <f>SUM(VLOOKUP(B15,'Financial aid by type'!B:D,2,0),VLOOKUP(B15,'Financial aid by type'!B:D,3,0))</f>
        <v>5.7500000000000002E-2</v>
      </c>
      <c r="D15" s="174">
        <v>2.3E-2</v>
      </c>
      <c r="E15" s="308">
        <f t="shared" si="1"/>
        <v>3.4500000000000003E-2</v>
      </c>
      <c r="F15" s="310">
        <f t="shared" si="0"/>
        <v>40</v>
      </c>
      <c r="I15" s="148" t="s">
        <v>301</v>
      </c>
      <c r="J15" s="148" t="s">
        <v>301</v>
      </c>
      <c r="K15" s="148" t="s">
        <v>301</v>
      </c>
      <c r="L15" s="46"/>
      <c r="M15" s="148" t="s">
        <v>301</v>
      </c>
      <c r="N15" s="148" t="s">
        <v>301</v>
      </c>
      <c r="O15" s="148" t="s">
        <v>301</v>
      </c>
      <c r="P15" s="125" t="s">
        <v>301</v>
      </c>
      <c r="Q15" s="125" t="s">
        <v>301</v>
      </c>
      <c r="R15" s="125" t="s">
        <v>301</v>
      </c>
      <c r="S15" s="125" t="s">
        <v>301</v>
      </c>
      <c r="T15" s="125" t="s">
        <v>301</v>
      </c>
      <c r="U15" s="125" t="s">
        <v>301</v>
      </c>
      <c r="V15" s="125" t="s">
        <v>301</v>
      </c>
      <c r="W15" s="125" t="s">
        <v>301</v>
      </c>
      <c r="X15" s="125" t="s">
        <v>301</v>
      </c>
      <c r="Y15" s="148" t="s">
        <v>301</v>
      </c>
      <c r="Z15" s="46"/>
      <c r="AA15" s="148" t="s">
        <v>301</v>
      </c>
      <c r="AB15" s="148" t="s">
        <v>301</v>
      </c>
      <c r="AC15" s="148" t="s">
        <v>301</v>
      </c>
      <c r="AD15" s="148" t="s">
        <v>301</v>
      </c>
      <c r="AE15" s="148" t="s">
        <v>301</v>
      </c>
      <c r="AF15" s="148" t="s">
        <v>301</v>
      </c>
    </row>
    <row r="16" spans="1:32">
      <c r="A16" s="148" t="s">
        <v>301</v>
      </c>
      <c r="B16" s="125" t="s">
        <v>1804</v>
      </c>
      <c r="C16" s="309">
        <f>SUM(VLOOKUP(B16,'Financial aid by type'!B:D,2,0),VLOOKUP(B16,'Financial aid by type'!B:D,3,0))</f>
        <v>0.61445864741685452</v>
      </c>
      <c r="D16" s="174">
        <v>2.1999999999999999E-2</v>
      </c>
      <c r="E16" s="308">
        <f t="shared" si="1"/>
        <v>0.5924586474168545</v>
      </c>
      <c r="F16" s="310">
        <f t="shared" si="0"/>
        <v>3.5803874015748036</v>
      </c>
      <c r="I16" s="148" t="s">
        <v>301</v>
      </c>
      <c r="J16" s="148" t="s">
        <v>301</v>
      </c>
      <c r="K16" s="148" t="s">
        <v>301</v>
      </c>
      <c r="L16" s="46"/>
      <c r="M16" s="148" t="s">
        <v>301</v>
      </c>
      <c r="N16" s="148" t="s">
        <v>301</v>
      </c>
      <c r="O16" s="148" t="s">
        <v>301</v>
      </c>
      <c r="P16" s="125" t="s">
        <v>301</v>
      </c>
      <c r="Q16" s="125" t="s">
        <v>301</v>
      </c>
      <c r="R16" s="125" t="s">
        <v>301</v>
      </c>
      <c r="S16" s="125" t="s">
        <v>301</v>
      </c>
      <c r="T16" s="125" t="s">
        <v>301</v>
      </c>
      <c r="U16" s="125" t="s">
        <v>301</v>
      </c>
      <c r="V16" s="125" t="s">
        <v>301</v>
      </c>
      <c r="W16" s="125" t="s">
        <v>301</v>
      </c>
      <c r="X16" s="125" t="s">
        <v>301</v>
      </c>
      <c r="Y16" s="148" t="s">
        <v>301</v>
      </c>
      <c r="Z16" s="46"/>
      <c r="AA16" s="148" t="s">
        <v>301</v>
      </c>
      <c r="AB16" s="148" t="s">
        <v>301</v>
      </c>
      <c r="AC16" s="148" t="s">
        <v>301</v>
      </c>
      <c r="AD16" s="148" t="s">
        <v>301</v>
      </c>
      <c r="AE16" s="148" t="s">
        <v>301</v>
      </c>
      <c r="AF16" s="148" t="s">
        <v>301</v>
      </c>
    </row>
    <row r="17" spans="1:32">
      <c r="A17" s="148"/>
      <c r="B17" s="148" t="s">
        <v>1562</v>
      </c>
      <c r="C17" s="309">
        <f>SUM(VLOOKUP(B17,'Financial aid by type'!B:D,2,0),VLOOKUP(B17,'Financial aid by type'!B:D,3,0))</f>
        <v>1.4999999999999999E-2</v>
      </c>
      <c r="D17" s="174">
        <v>1.4999999999999999E-2</v>
      </c>
      <c r="E17" s="308">
        <f t="shared" si="1"/>
        <v>0</v>
      </c>
      <c r="F17" s="310">
        <f t="shared" si="0"/>
        <v>100</v>
      </c>
      <c r="I17" s="148" t="s">
        <v>301</v>
      </c>
      <c r="J17" s="148" t="s">
        <v>301</v>
      </c>
      <c r="K17" s="148" t="s">
        <v>301</v>
      </c>
      <c r="L17" s="46"/>
      <c r="M17" s="148" t="s">
        <v>301</v>
      </c>
      <c r="N17" s="148" t="s">
        <v>301</v>
      </c>
      <c r="O17" s="148" t="s">
        <v>301</v>
      </c>
      <c r="P17" s="125" t="s">
        <v>301</v>
      </c>
      <c r="Q17" s="125" t="s">
        <v>301</v>
      </c>
      <c r="R17" s="125" t="s">
        <v>301</v>
      </c>
      <c r="S17" s="125" t="s">
        <v>301</v>
      </c>
      <c r="T17" s="125" t="s">
        <v>301</v>
      </c>
      <c r="U17" s="125" t="s">
        <v>301</v>
      </c>
      <c r="V17" s="125" t="s">
        <v>301</v>
      </c>
      <c r="W17" s="125" t="s">
        <v>301</v>
      </c>
      <c r="X17" s="125" t="s">
        <v>301</v>
      </c>
      <c r="Y17" s="148" t="s">
        <v>301</v>
      </c>
      <c r="Z17" s="46"/>
      <c r="AA17" s="148" t="s">
        <v>301</v>
      </c>
      <c r="AB17" s="148" t="s">
        <v>301</v>
      </c>
      <c r="AC17" s="148" t="s">
        <v>301</v>
      </c>
      <c r="AD17" s="148" t="s">
        <v>301</v>
      </c>
      <c r="AE17" s="148" t="s">
        <v>301</v>
      </c>
      <c r="AF17" s="148" t="s">
        <v>301</v>
      </c>
    </row>
    <row r="18" spans="1:32">
      <c r="A18" s="148" t="s">
        <v>301</v>
      </c>
      <c r="B18" s="148" t="s">
        <v>1516</v>
      </c>
      <c r="C18" s="309">
        <f>SUM(VLOOKUP(B18,'Financial aid by type'!B:D,2,0),VLOOKUP(B18,'Financial aid by type'!B:D,3,0))</f>
        <v>1.4999999999999999E-2</v>
      </c>
      <c r="D18" s="174">
        <v>1.4999999999999999E-2</v>
      </c>
      <c r="E18" s="308">
        <f t="shared" si="1"/>
        <v>0</v>
      </c>
      <c r="F18" s="310">
        <f t="shared" si="0"/>
        <v>100</v>
      </c>
      <c r="I18" s="148" t="s">
        <v>301</v>
      </c>
      <c r="J18" s="148" t="s">
        <v>301</v>
      </c>
      <c r="K18" s="148" t="s">
        <v>301</v>
      </c>
      <c r="L18" s="46"/>
      <c r="M18" s="148" t="s">
        <v>301</v>
      </c>
      <c r="N18" s="148" t="s">
        <v>301</v>
      </c>
      <c r="O18" s="148" t="s">
        <v>301</v>
      </c>
      <c r="P18" s="125" t="s">
        <v>301</v>
      </c>
      <c r="Q18" s="125" t="s">
        <v>301</v>
      </c>
      <c r="R18" s="125" t="s">
        <v>301</v>
      </c>
      <c r="S18" s="125" t="s">
        <v>301</v>
      </c>
      <c r="T18" s="125" t="s">
        <v>301</v>
      </c>
      <c r="U18" s="125" t="s">
        <v>301</v>
      </c>
      <c r="V18" s="125" t="s">
        <v>301</v>
      </c>
      <c r="W18" s="125" t="s">
        <v>301</v>
      </c>
      <c r="X18" s="125" t="s">
        <v>301</v>
      </c>
      <c r="Y18" s="148" t="s">
        <v>301</v>
      </c>
      <c r="Z18" s="46"/>
      <c r="AA18" s="148" t="s">
        <v>301</v>
      </c>
      <c r="AB18" s="148" t="s">
        <v>301</v>
      </c>
      <c r="AC18" s="148" t="s">
        <v>301</v>
      </c>
      <c r="AD18" s="148" t="s">
        <v>301</v>
      </c>
      <c r="AE18" s="148" t="s">
        <v>301</v>
      </c>
      <c r="AF18" s="148" t="s">
        <v>301</v>
      </c>
    </row>
    <row r="19" spans="1:32">
      <c r="A19" s="148" t="s">
        <v>301</v>
      </c>
      <c r="B19" s="148" t="s">
        <v>312</v>
      </c>
      <c r="C19" s="309">
        <f>SUM(VLOOKUP(B19,'Financial aid by type'!B:D,2,0),VLOOKUP(B19,'Financial aid by type'!B:D,3,0))</f>
        <v>4.6899999999999997E-2</v>
      </c>
      <c r="D19" s="174">
        <v>1.0999999999999999E-2</v>
      </c>
      <c r="E19" s="308">
        <f t="shared" si="1"/>
        <v>3.5900000000000001E-2</v>
      </c>
      <c r="F19" s="310">
        <f t="shared" si="0"/>
        <v>23.454157782515992</v>
      </c>
      <c r="I19" s="148" t="s">
        <v>301</v>
      </c>
      <c r="J19" s="148" t="s">
        <v>301</v>
      </c>
      <c r="K19" s="148" t="s">
        <v>301</v>
      </c>
      <c r="L19" s="46"/>
      <c r="M19" s="148" t="s">
        <v>301</v>
      </c>
      <c r="N19" s="148" t="s">
        <v>301</v>
      </c>
      <c r="O19" s="148" t="s">
        <v>301</v>
      </c>
      <c r="P19" s="125" t="s">
        <v>301</v>
      </c>
      <c r="Q19" s="125" t="s">
        <v>301</v>
      </c>
      <c r="R19" s="148" t="s">
        <v>301</v>
      </c>
      <c r="S19" s="148" t="s">
        <v>301</v>
      </c>
      <c r="T19" s="125" t="s">
        <v>301</v>
      </c>
      <c r="U19" s="125" t="s">
        <v>301</v>
      </c>
      <c r="V19" s="125" t="s">
        <v>301</v>
      </c>
      <c r="W19" s="125" t="s">
        <v>301</v>
      </c>
      <c r="X19" s="125" t="s">
        <v>301</v>
      </c>
      <c r="Y19" s="148" t="s">
        <v>301</v>
      </c>
      <c r="Z19" s="46"/>
      <c r="AA19" s="148" t="s">
        <v>301</v>
      </c>
      <c r="AB19" s="148" t="s">
        <v>301</v>
      </c>
      <c r="AC19" s="148" t="s">
        <v>301</v>
      </c>
      <c r="AD19" s="148" t="s">
        <v>301</v>
      </c>
      <c r="AE19" s="148" t="s">
        <v>301</v>
      </c>
      <c r="AF19" s="148" t="s">
        <v>301</v>
      </c>
    </row>
    <row r="20" spans="1:32">
      <c r="A20" s="148" t="s">
        <v>301</v>
      </c>
      <c r="B20" s="148" t="s">
        <v>1957</v>
      </c>
      <c r="C20" s="309">
        <f>SUM(VLOOKUP(B20,'Financial aid by type'!B:D,2,0),VLOOKUP(B20,'Financial aid by type'!B:D,3,0))</f>
        <v>0.25</v>
      </c>
      <c r="D20" s="174">
        <v>0</v>
      </c>
      <c r="E20" s="308">
        <f t="shared" si="1"/>
        <v>0.25</v>
      </c>
      <c r="F20" s="310">
        <f t="shared" si="0"/>
        <v>0</v>
      </c>
      <c r="I20" s="148" t="s">
        <v>301</v>
      </c>
      <c r="J20" s="148" t="s">
        <v>301</v>
      </c>
      <c r="K20" s="148" t="s">
        <v>301</v>
      </c>
      <c r="L20" s="46"/>
      <c r="M20" s="148" t="s">
        <v>301</v>
      </c>
      <c r="N20" s="148" t="s">
        <v>301</v>
      </c>
      <c r="O20" s="148" t="s">
        <v>301</v>
      </c>
      <c r="P20" s="125" t="s">
        <v>301</v>
      </c>
      <c r="Q20" s="148" t="s">
        <v>301</v>
      </c>
      <c r="R20" s="148" t="s">
        <v>301</v>
      </c>
      <c r="S20" s="148" t="s">
        <v>301</v>
      </c>
      <c r="T20" s="125" t="s">
        <v>301</v>
      </c>
      <c r="U20" s="125" t="s">
        <v>301</v>
      </c>
      <c r="V20" s="125" t="s">
        <v>301</v>
      </c>
      <c r="W20" s="125" t="s">
        <v>301</v>
      </c>
      <c r="X20" s="125" t="s">
        <v>301</v>
      </c>
      <c r="Y20" s="148" t="s">
        <v>301</v>
      </c>
      <c r="Z20" s="46"/>
      <c r="AA20" s="148" t="s">
        <v>301</v>
      </c>
      <c r="AB20" s="148" t="s">
        <v>301</v>
      </c>
      <c r="AC20" s="148" t="s">
        <v>301</v>
      </c>
      <c r="AD20" s="148" t="s">
        <v>301</v>
      </c>
      <c r="AE20" s="148" t="s">
        <v>301</v>
      </c>
      <c r="AF20" s="148" t="s">
        <v>301</v>
      </c>
    </row>
    <row r="21" spans="1:32">
      <c r="A21" s="148" t="s">
        <v>301</v>
      </c>
      <c r="B21" s="148" t="s">
        <v>2162</v>
      </c>
      <c r="C21" s="309">
        <f>SUM(VLOOKUP(B21,'Financial aid by type'!B:D,2,0),VLOOKUP(B21,'Financial aid by type'!B:D,3,0))</f>
        <v>0.15</v>
      </c>
      <c r="D21" s="174">
        <v>0</v>
      </c>
      <c r="E21" s="308">
        <f t="shared" si="1"/>
        <v>0.15</v>
      </c>
      <c r="F21" s="310">
        <f t="shared" si="0"/>
        <v>0</v>
      </c>
      <c r="I21" s="148"/>
      <c r="J21" s="148"/>
      <c r="K21" s="148"/>
      <c r="L21" s="46"/>
      <c r="M21" s="148"/>
      <c r="N21" s="148"/>
      <c r="O21" s="148"/>
      <c r="P21" s="125"/>
      <c r="Q21" s="148"/>
      <c r="R21" s="148"/>
      <c r="S21" s="148"/>
      <c r="T21" s="125"/>
      <c r="U21" s="125"/>
      <c r="V21" s="125"/>
      <c r="W21" s="125"/>
      <c r="X21" s="125"/>
      <c r="Y21" s="148"/>
      <c r="Z21" s="46"/>
      <c r="AA21" s="148"/>
      <c r="AB21" s="148"/>
      <c r="AC21" s="148"/>
      <c r="AD21" s="148"/>
      <c r="AE21" s="148"/>
      <c r="AF21" s="148"/>
    </row>
    <row r="22" spans="1:32">
      <c r="A22" s="148" t="s">
        <v>301</v>
      </c>
      <c r="B22" s="148" t="s">
        <v>917</v>
      </c>
      <c r="C22" s="309">
        <f>SUM(VLOOKUP(B22,'Financial aid by type'!B:D,2,0),VLOOKUP(B22,'Financial aid by type'!B:D,3,0))</f>
        <v>8.1500000000000003E-2</v>
      </c>
      <c r="D22" s="174">
        <v>0</v>
      </c>
      <c r="E22" s="308">
        <f t="shared" si="1"/>
        <v>8.1500000000000003E-2</v>
      </c>
      <c r="F22" s="310">
        <f t="shared" si="0"/>
        <v>0</v>
      </c>
      <c r="I22" s="148" t="s">
        <v>301</v>
      </c>
      <c r="J22" s="148" t="s">
        <v>301</v>
      </c>
      <c r="K22" s="148" t="s">
        <v>301</v>
      </c>
      <c r="L22" s="46"/>
      <c r="M22" s="148" t="s">
        <v>301</v>
      </c>
      <c r="N22" s="148" t="s">
        <v>301</v>
      </c>
      <c r="O22" s="148" t="s">
        <v>301</v>
      </c>
      <c r="P22" s="125" t="s">
        <v>301</v>
      </c>
      <c r="Q22" s="125" t="s">
        <v>301</v>
      </c>
      <c r="R22" s="125" t="s">
        <v>301</v>
      </c>
      <c r="S22" s="125" t="s">
        <v>301</v>
      </c>
      <c r="T22" s="125" t="s">
        <v>301</v>
      </c>
      <c r="U22" s="125" t="s">
        <v>301</v>
      </c>
      <c r="V22" s="125" t="s">
        <v>301</v>
      </c>
      <c r="W22" s="125" t="s">
        <v>301</v>
      </c>
      <c r="X22" s="125" t="s">
        <v>301</v>
      </c>
      <c r="Y22" s="148" t="s">
        <v>301</v>
      </c>
      <c r="Z22" s="46"/>
      <c r="AA22" s="148" t="s">
        <v>301</v>
      </c>
      <c r="AB22" s="148" t="s">
        <v>301</v>
      </c>
      <c r="AC22" s="148" t="s">
        <v>301</v>
      </c>
      <c r="AD22" s="148" t="s">
        <v>301</v>
      </c>
      <c r="AE22" s="148" t="s">
        <v>301</v>
      </c>
      <c r="AF22" s="148" t="s">
        <v>301</v>
      </c>
    </row>
    <row r="23" spans="1:32">
      <c r="A23" s="148" t="s">
        <v>301</v>
      </c>
      <c r="B23" s="311" t="s">
        <v>3026</v>
      </c>
      <c r="C23" s="314">
        <f>SUM(C5:C22)</f>
        <v>52.90898156262913</v>
      </c>
      <c r="D23" s="314">
        <f>SUM(D5:D22)</f>
        <v>22.005000000000003</v>
      </c>
      <c r="E23" s="314">
        <f>SUM(E5:E22)</f>
        <v>30.903981562629138</v>
      </c>
      <c r="F23" s="315" t="s">
        <v>232</v>
      </c>
      <c r="I23" s="148" t="s">
        <v>301</v>
      </c>
      <c r="J23" s="148" t="s">
        <v>301</v>
      </c>
      <c r="K23" s="148" t="s">
        <v>301</v>
      </c>
      <c r="L23" s="46"/>
      <c r="M23" s="148" t="s">
        <v>301</v>
      </c>
      <c r="N23" s="148" t="s">
        <v>301</v>
      </c>
      <c r="O23" s="148" t="s">
        <v>301</v>
      </c>
      <c r="P23" s="125" t="s">
        <v>301</v>
      </c>
      <c r="Q23" s="125" t="s">
        <v>301</v>
      </c>
      <c r="R23" s="125" t="s">
        <v>301</v>
      </c>
      <c r="S23" s="125" t="s">
        <v>301</v>
      </c>
      <c r="T23" s="125" t="s">
        <v>301</v>
      </c>
      <c r="U23" s="125" t="s">
        <v>301</v>
      </c>
      <c r="V23" s="125" t="s">
        <v>301</v>
      </c>
      <c r="W23" s="125" t="s">
        <v>301</v>
      </c>
      <c r="X23" s="125" t="s">
        <v>301</v>
      </c>
      <c r="Y23" s="148" t="s">
        <v>301</v>
      </c>
      <c r="Z23" s="46"/>
      <c r="AA23" s="148" t="s">
        <v>301</v>
      </c>
      <c r="AB23" s="148" t="s">
        <v>301</v>
      </c>
      <c r="AC23" s="148" t="s">
        <v>301</v>
      </c>
      <c r="AD23" s="148" t="s">
        <v>301</v>
      </c>
      <c r="AE23" s="148" t="s">
        <v>301</v>
      </c>
      <c r="AF23" s="148" t="s">
        <v>301</v>
      </c>
    </row>
    <row r="24" spans="1:32">
      <c r="A24" s="148" t="s">
        <v>301</v>
      </c>
      <c r="B24" s="148" t="s">
        <v>301</v>
      </c>
      <c r="C24" s="309"/>
      <c r="D24" s="174"/>
      <c r="E24" s="148" t="s">
        <v>301</v>
      </c>
      <c r="F24" s="46"/>
      <c r="I24" s="148" t="s">
        <v>301</v>
      </c>
      <c r="J24" s="148" t="s">
        <v>301</v>
      </c>
      <c r="K24" s="148" t="s">
        <v>301</v>
      </c>
      <c r="L24" s="46"/>
      <c r="M24" s="148" t="s">
        <v>301</v>
      </c>
      <c r="N24" s="148" t="s">
        <v>301</v>
      </c>
      <c r="O24" s="148" t="s">
        <v>301</v>
      </c>
      <c r="P24" s="125" t="s">
        <v>301</v>
      </c>
      <c r="Q24" s="125" t="s">
        <v>301</v>
      </c>
      <c r="R24" s="125" t="s">
        <v>301</v>
      </c>
      <c r="S24" s="125" t="s">
        <v>301</v>
      </c>
      <c r="T24" s="125" t="s">
        <v>301</v>
      </c>
      <c r="U24" s="125" t="s">
        <v>301</v>
      </c>
      <c r="V24" s="125" t="s">
        <v>301</v>
      </c>
      <c r="W24" s="125" t="s">
        <v>301</v>
      </c>
      <c r="X24" s="125" t="s">
        <v>301</v>
      </c>
      <c r="Y24" s="148" t="s">
        <v>301</v>
      </c>
      <c r="Z24" s="46"/>
      <c r="AA24" s="148" t="s">
        <v>301</v>
      </c>
      <c r="AB24" s="148" t="s">
        <v>301</v>
      </c>
      <c r="AC24" s="148" t="s">
        <v>301</v>
      </c>
      <c r="AD24" s="148" t="s">
        <v>301</v>
      </c>
      <c r="AE24" s="148" t="s">
        <v>301</v>
      </c>
      <c r="AF24" s="148" t="s">
        <v>301</v>
      </c>
    </row>
    <row r="25" spans="1:32">
      <c r="A25" s="148" t="s">
        <v>301</v>
      </c>
      <c r="B25" s="148" t="s">
        <v>301</v>
      </c>
      <c r="C25" s="309"/>
      <c r="D25" s="174"/>
      <c r="E25" s="148" t="s">
        <v>301</v>
      </c>
      <c r="F25" s="46"/>
      <c r="I25" s="148" t="s">
        <v>301</v>
      </c>
      <c r="J25" s="148" t="s">
        <v>301</v>
      </c>
      <c r="K25" s="148" t="s">
        <v>301</v>
      </c>
      <c r="L25" s="46"/>
      <c r="M25" s="148" t="s">
        <v>301</v>
      </c>
      <c r="N25" s="148" t="s">
        <v>301</v>
      </c>
      <c r="O25" s="148" t="s">
        <v>301</v>
      </c>
      <c r="P25" s="125" t="s">
        <v>301</v>
      </c>
      <c r="Q25" s="125" t="s">
        <v>301</v>
      </c>
      <c r="R25" s="125" t="s">
        <v>301</v>
      </c>
      <c r="S25" s="125" t="s">
        <v>301</v>
      </c>
      <c r="T25" s="125" t="s">
        <v>301</v>
      </c>
      <c r="U25" s="125" t="s">
        <v>301</v>
      </c>
      <c r="V25" s="125" t="s">
        <v>301</v>
      </c>
      <c r="W25" s="125" t="s">
        <v>301</v>
      </c>
      <c r="X25" s="125" t="s">
        <v>301</v>
      </c>
      <c r="Y25" s="148" t="s">
        <v>301</v>
      </c>
      <c r="Z25" s="46"/>
      <c r="AA25" s="148" t="s">
        <v>301</v>
      </c>
      <c r="AB25" s="148" t="s">
        <v>301</v>
      </c>
      <c r="AC25" s="148" t="s">
        <v>301</v>
      </c>
      <c r="AD25" s="148" t="s">
        <v>301</v>
      </c>
      <c r="AE25" s="148" t="s">
        <v>301</v>
      </c>
      <c r="AF25" s="148" t="s">
        <v>301</v>
      </c>
    </row>
    <row r="26" spans="1:32">
      <c r="A26" s="148" t="s">
        <v>301</v>
      </c>
      <c r="B26" s="148" t="s">
        <v>301</v>
      </c>
      <c r="C26" s="309"/>
      <c r="D26" s="174"/>
      <c r="E26" s="148" t="s">
        <v>301</v>
      </c>
      <c r="F26" s="46"/>
      <c r="I26" s="148" t="s">
        <v>301</v>
      </c>
      <c r="J26" s="148" t="s">
        <v>301</v>
      </c>
      <c r="K26" s="148" t="s">
        <v>301</v>
      </c>
      <c r="L26" s="46"/>
      <c r="M26" s="148" t="s">
        <v>301</v>
      </c>
      <c r="N26" s="148" t="s">
        <v>301</v>
      </c>
      <c r="O26" s="148" t="s">
        <v>301</v>
      </c>
      <c r="P26" s="125" t="s">
        <v>301</v>
      </c>
      <c r="Q26" s="125" t="s">
        <v>301</v>
      </c>
      <c r="R26" s="125" t="s">
        <v>301</v>
      </c>
      <c r="S26" s="125" t="s">
        <v>301</v>
      </c>
      <c r="T26" s="125" t="s">
        <v>301</v>
      </c>
      <c r="U26" s="125" t="s">
        <v>301</v>
      </c>
      <c r="V26" s="125" t="s">
        <v>301</v>
      </c>
      <c r="W26" s="125" t="s">
        <v>301</v>
      </c>
      <c r="X26" s="125" t="s">
        <v>301</v>
      </c>
      <c r="Y26" s="148" t="s">
        <v>301</v>
      </c>
      <c r="Z26" s="46"/>
      <c r="AA26" s="148" t="s">
        <v>301</v>
      </c>
      <c r="AB26" s="148" t="s">
        <v>301</v>
      </c>
      <c r="AC26" s="148" t="s">
        <v>301</v>
      </c>
      <c r="AD26" s="148" t="s">
        <v>301</v>
      </c>
      <c r="AE26" s="148" t="s">
        <v>301</v>
      </c>
      <c r="AF26" s="148" t="s">
        <v>301</v>
      </c>
    </row>
    <row r="27" spans="1:32">
      <c r="A27" s="148" t="s">
        <v>301</v>
      </c>
      <c r="B27" s="148" t="s">
        <v>301</v>
      </c>
      <c r="C27" s="309"/>
      <c r="D27" s="174"/>
      <c r="E27" s="148" t="s">
        <v>301</v>
      </c>
      <c r="F27" s="46"/>
      <c r="I27" s="148" t="s">
        <v>301</v>
      </c>
      <c r="J27" s="148" t="s">
        <v>301</v>
      </c>
      <c r="K27" s="148" t="s">
        <v>301</v>
      </c>
      <c r="L27" s="46"/>
      <c r="M27" s="148" t="s">
        <v>301</v>
      </c>
      <c r="N27" s="148" t="s">
        <v>301</v>
      </c>
      <c r="O27" s="148" t="s">
        <v>301</v>
      </c>
      <c r="P27" s="125" t="s">
        <v>301</v>
      </c>
      <c r="Q27" s="125" t="s">
        <v>301</v>
      </c>
      <c r="R27" s="125" t="s">
        <v>301</v>
      </c>
      <c r="S27" s="125" t="s">
        <v>301</v>
      </c>
      <c r="T27" s="125" t="s">
        <v>301</v>
      </c>
      <c r="U27" s="125" t="s">
        <v>301</v>
      </c>
      <c r="V27" s="125" t="s">
        <v>301</v>
      </c>
      <c r="W27" s="125" t="s">
        <v>301</v>
      </c>
      <c r="X27" s="125" t="s">
        <v>301</v>
      </c>
      <c r="Y27" s="148" t="s">
        <v>301</v>
      </c>
      <c r="Z27" s="46"/>
      <c r="AA27" s="148" t="s">
        <v>301</v>
      </c>
      <c r="AB27" s="148" t="s">
        <v>301</v>
      </c>
      <c r="AC27" s="148" t="s">
        <v>301</v>
      </c>
      <c r="AD27" s="148" t="s">
        <v>301</v>
      </c>
      <c r="AE27" s="148" t="s">
        <v>301</v>
      </c>
      <c r="AF27" s="148" t="s">
        <v>301</v>
      </c>
    </row>
    <row r="28" spans="1:32">
      <c r="A28" s="148" t="s">
        <v>301</v>
      </c>
      <c r="B28" s="148" t="s">
        <v>301</v>
      </c>
      <c r="C28" s="309"/>
      <c r="D28" s="174"/>
      <c r="E28" s="148" t="s">
        <v>301</v>
      </c>
      <c r="F28" s="46"/>
      <c r="I28" s="148" t="s">
        <v>301</v>
      </c>
      <c r="J28" s="148" t="s">
        <v>301</v>
      </c>
      <c r="K28" s="148" t="s">
        <v>301</v>
      </c>
      <c r="L28" s="46"/>
      <c r="M28" s="148" t="s">
        <v>301</v>
      </c>
      <c r="N28" s="148" t="s">
        <v>301</v>
      </c>
      <c r="O28" s="148" t="s">
        <v>301</v>
      </c>
      <c r="P28" s="125" t="s">
        <v>301</v>
      </c>
      <c r="Q28" s="125" t="s">
        <v>301</v>
      </c>
      <c r="R28" s="125" t="s">
        <v>301</v>
      </c>
      <c r="S28" s="125" t="s">
        <v>301</v>
      </c>
      <c r="T28" s="125" t="s">
        <v>301</v>
      </c>
      <c r="U28" s="125" t="s">
        <v>301</v>
      </c>
      <c r="V28" s="125" t="s">
        <v>301</v>
      </c>
      <c r="W28" s="125" t="s">
        <v>301</v>
      </c>
      <c r="X28" s="125" t="s">
        <v>301</v>
      </c>
      <c r="Y28" s="148" t="s">
        <v>301</v>
      </c>
      <c r="Z28" s="46"/>
      <c r="AA28" s="148" t="s">
        <v>301</v>
      </c>
      <c r="AB28" s="148" t="s">
        <v>301</v>
      </c>
      <c r="AC28" s="148" t="s">
        <v>301</v>
      </c>
      <c r="AD28" s="148" t="s">
        <v>301</v>
      </c>
      <c r="AE28" s="148" t="s">
        <v>301</v>
      </c>
      <c r="AF28" s="148" t="s">
        <v>301</v>
      </c>
    </row>
    <row r="29" spans="1:32">
      <c r="A29" s="148" t="s">
        <v>301</v>
      </c>
      <c r="B29" s="148" t="s">
        <v>301</v>
      </c>
      <c r="C29" s="309"/>
      <c r="D29" s="174"/>
      <c r="E29" s="148" t="s">
        <v>301</v>
      </c>
      <c r="F29" s="46"/>
      <c r="I29" s="148" t="s">
        <v>301</v>
      </c>
      <c r="J29" s="148" t="s">
        <v>301</v>
      </c>
      <c r="K29" s="148" t="s">
        <v>301</v>
      </c>
      <c r="L29" s="46"/>
      <c r="M29" s="148" t="s">
        <v>301</v>
      </c>
      <c r="N29" s="148" t="s">
        <v>301</v>
      </c>
      <c r="O29" s="148" t="s">
        <v>301</v>
      </c>
      <c r="P29" s="125" t="s">
        <v>301</v>
      </c>
      <c r="Q29" s="125" t="s">
        <v>301</v>
      </c>
      <c r="R29" s="125" t="s">
        <v>301</v>
      </c>
      <c r="S29" s="125" t="s">
        <v>301</v>
      </c>
      <c r="T29" s="125" t="s">
        <v>301</v>
      </c>
      <c r="U29" s="125" t="s">
        <v>301</v>
      </c>
      <c r="V29" s="125" t="s">
        <v>301</v>
      </c>
      <c r="W29" s="125" t="s">
        <v>301</v>
      </c>
      <c r="X29" s="125" t="s">
        <v>301</v>
      </c>
      <c r="Y29" s="148" t="s">
        <v>301</v>
      </c>
      <c r="Z29" s="46"/>
      <c r="AA29" s="148" t="s">
        <v>301</v>
      </c>
      <c r="AB29" s="148" t="s">
        <v>301</v>
      </c>
      <c r="AC29" s="148" t="s">
        <v>301</v>
      </c>
      <c r="AD29" s="148" t="s">
        <v>301</v>
      </c>
      <c r="AE29" s="148" t="s">
        <v>301</v>
      </c>
      <c r="AF29" s="148" t="s">
        <v>301</v>
      </c>
    </row>
    <row r="30" spans="1:32">
      <c r="A30" s="148" t="s">
        <v>301</v>
      </c>
      <c r="B30" s="148" t="s">
        <v>301</v>
      </c>
      <c r="C30" s="309"/>
      <c r="D30" s="174"/>
      <c r="E30" s="148" t="s">
        <v>301</v>
      </c>
      <c r="F30" s="46"/>
      <c r="I30" s="148" t="s">
        <v>301</v>
      </c>
      <c r="J30" s="148" t="s">
        <v>301</v>
      </c>
      <c r="K30" s="148" t="s">
        <v>301</v>
      </c>
      <c r="L30" s="46"/>
      <c r="M30" s="148" t="s">
        <v>301</v>
      </c>
      <c r="N30" s="148" t="s">
        <v>301</v>
      </c>
      <c r="O30" s="148" t="s">
        <v>301</v>
      </c>
      <c r="P30" s="125" t="s">
        <v>301</v>
      </c>
      <c r="Q30" s="125" t="s">
        <v>301</v>
      </c>
      <c r="R30" s="125" t="s">
        <v>301</v>
      </c>
      <c r="S30" s="125" t="s">
        <v>301</v>
      </c>
      <c r="T30" s="125" t="s">
        <v>301</v>
      </c>
      <c r="U30" s="125" t="s">
        <v>301</v>
      </c>
      <c r="V30" s="125" t="s">
        <v>301</v>
      </c>
      <c r="W30" s="125" t="s">
        <v>301</v>
      </c>
      <c r="X30" s="125" t="s">
        <v>301</v>
      </c>
      <c r="Y30" s="148" t="s">
        <v>301</v>
      </c>
      <c r="Z30" s="46"/>
      <c r="AA30" s="148" t="s">
        <v>301</v>
      </c>
      <c r="AB30" s="148" t="s">
        <v>301</v>
      </c>
      <c r="AC30" s="148" t="s">
        <v>301</v>
      </c>
      <c r="AD30" s="148" t="s">
        <v>301</v>
      </c>
      <c r="AE30" s="148" t="s">
        <v>301</v>
      </c>
      <c r="AF30" s="148" t="s">
        <v>301</v>
      </c>
    </row>
    <row r="31" spans="1:32">
      <c r="A31" s="148" t="s">
        <v>301</v>
      </c>
      <c r="B31" s="148" t="s">
        <v>301</v>
      </c>
      <c r="C31" s="309"/>
      <c r="D31" s="174"/>
      <c r="E31" s="148" t="s">
        <v>301</v>
      </c>
      <c r="F31" s="46"/>
      <c r="I31" s="175" t="s">
        <v>301</v>
      </c>
      <c r="J31" s="175" t="s">
        <v>301</v>
      </c>
      <c r="K31" s="175" t="s">
        <v>301</v>
      </c>
      <c r="L31" s="176" t="s">
        <v>301</v>
      </c>
      <c r="M31" s="175" t="s">
        <v>301</v>
      </c>
      <c r="N31" s="148" t="s">
        <v>301</v>
      </c>
      <c r="O31" s="148" t="s">
        <v>301</v>
      </c>
      <c r="P31" s="125" t="s">
        <v>301</v>
      </c>
      <c r="Q31" s="125" t="s">
        <v>301</v>
      </c>
      <c r="R31" s="125" t="s">
        <v>301</v>
      </c>
      <c r="S31" s="125" t="s">
        <v>301</v>
      </c>
      <c r="T31" s="125" t="s">
        <v>301</v>
      </c>
      <c r="U31" s="125" t="s">
        <v>301</v>
      </c>
      <c r="V31" s="125" t="s">
        <v>301</v>
      </c>
      <c r="W31" s="125" t="s">
        <v>301</v>
      </c>
      <c r="X31" s="125" t="s">
        <v>301</v>
      </c>
      <c r="Y31" s="148" t="s">
        <v>301</v>
      </c>
      <c r="Z31" s="46" t="s">
        <v>301</v>
      </c>
      <c r="AA31" s="148" t="s">
        <v>301</v>
      </c>
      <c r="AB31" s="148" t="s">
        <v>301</v>
      </c>
      <c r="AC31" s="148" t="s">
        <v>301</v>
      </c>
      <c r="AD31" s="148" t="s">
        <v>301</v>
      </c>
      <c r="AE31" s="148" t="s">
        <v>301</v>
      </c>
      <c r="AF31" s="148" t="s">
        <v>301</v>
      </c>
    </row>
    <row r="33" spans="1:32">
      <c r="A33" s="148" t="s">
        <v>301</v>
      </c>
      <c r="B33" s="148" t="s">
        <v>301</v>
      </c>
      <c r="C33" s="309"/>
      <c r="D33" s="174"/>
      <c r="E33" s="148" t="s">
        <v>301</v>
      </c>
      <c r="F33" s="46"/>
      <c r="I33" s="148" t="s">
        <v>301</v>
      </c>
      <c r="J33" s="148" t="s">
        <v>301</v>
      </c>
      <c r="K33" s="148" t="s">
        <v>301</v>
      </c>
      <c r="L33" s="46"/>
      <c r="M33" s="148" t="s">
        <v>301</v>
      </c>
      <c r="N33" s="148" t="s">
        <v>301</v>
      </c>
      <c r="O33" s="148" t="s">
        <v>301</v>
      </c>
      <c r="P33" s="125" t="s">
        <v>301</v>
      </c>
      <c r="Q33" s="125" t="s">
        <v>301</v>
      </c>
      <c r="R33" s="125" t="s">
        <v>301</v>
      </c>
      <c r="S33" s="125" t="s">
        <v>301</v>
      </c>
      <c r="T33" s="125" t="s">
        <v>301</v>
      </c>
      <c r="U33" s="125" t="s">
        <v>301</v>
      </c>
      <c r="V33" s="125" t="s">
        <v>301</v>
      </c>
      <c r="W33" s="125" t="s">
        <v>301</v>
      </c>
      <c r="X33" s="125" t="s">
        <v>301</v>
      </c>
      <c r="Y33" s="148" t="s">
        <v>301</v>
      </c>
      <c r="Z33" s="46"/>
      <c r="AA33" s="148" t="s">
        <v>301</v>
      </c>
      <c r="AB33" s="148" t="s">
        <v>301</v>
      </c>
      <c r="AC33" s="148" t="s">
        <v>301</v>
      </c>
      <c r="AD33" s="148" t="s">
        <v>301</v>
      </c>
      <c r="AE33" s="148" t="s">
        <v>301</v>
      </c>
      <c r="AF33" s="148" t="s">
        <v>301</v>
      </c>
    </row>
    <row r="34" spans="1:32">
      <c r="A34" s="148" t="s">
        <v>301</v>
      </c>
      <c r="B34" s="148" t="s">
        <v>301</v>
      </c>
      <c r="C34" s="309"/>
      <c r="D34" s="174"/>
      <c r="E34" s="148" t="s">
        <v>301</v>
      </c>
      <c r="F34" s="46"/>
      <c r="I34" s="148" t="s">
        <v>301</v>
      </c>
      <c r="J34" s="148" t="s">
        <v>301</v>
      </c>
      <c r="K34" s="148" t="s">
        <v>301</v>
      </c>
      <c r="L34" s="46"/>
      <c r="M34" s="148" t="s">
        <v>301</v>
      </c>
      <c r="N34" s="148" t="s">
        <v>301</v>
      </c>
      <c r="O34" s="148" t="s">
        <v>301</v>
      </c>
      <c r="P34" s="125" t="s">
        <v>301</v>
      </c>
      <c r="Q34" s="125" t="s">
        <v>301</v>
      </c>
      <c r="R34" s="125" t="s">
        <v>301</v>
      </c>
      <c r="S34" s="125" t="s">
        <v>301</v>
      </c>
      <c r="T34" s="125" t="s">
        <v>301</v>
      </c>
      <c r="U34" s="125" t="s">
        <v>301</v>
      </c>
      <c r="V34" s="125" t="s">
        <v>301</v>
      </c>
      <c r="W34" s="125" t="s">
        <v>301</v>
      </c>
      <c r="X34" s="125" t="s">
        <v>301</v>
      </c>
      <c r="Y34" s="148" t="s">
        <v>301</v>
      </c>
      <c r="Z34" s="46"/>
      <c r="AA34" s="148" t="s">
        <v>301</v>
      </c>
      <c r="AB34" s="148" t="s">
        <v>301</v>
      </c>
      <c r="AC34" s="148" t="s">
        <v>301</v>
      </c>
      <c r="AD34" s="148" t="s">
        <v>301</v>
      </c>
      <c r="AE34" s="148" t="s">
        <v>301</v>
      </c>
      <c r="AF34" s="148" t="s">
        <v>301</v>
      </c>
    </row>
    <row r="35" spans="1:32">
      <c r="A35" s="148" t="s">
        <v>301</v>
      </c>
      <c r="B35" s="148" t="s">
        <v>301</v>
      </c>
      <c r="C35" s="309"/>
      <c r="D35" s="174"/>
      <c r="E35" s="148" t="s">
        <v>301</v>
      </c>
      <c r="F35" s="46"/>
      <c r="I35" s="148" t="s">
        <v>301</v>
      </c>
      <c r="J35" s="148" t="s">
        <v>301</v>
      </c>
      <c r="K35" s="148" t="s">
        <v>301</v>
      </c>
      <c r="L35" s="46"/>
      <c r="M35" s="148" t="s">
        <v>301</v>
      </c>
      <c r="N35" s="148" t="s">
        <v>301</v>
      </c>
      <c r="O35" s="148" t="s">
        <v>301</v>
      </c>
      <c r="P35" s="148" t="s">
        <v>301</v>
      </c>
      <c r="Q35" s="148" t="s">
        <v>301</v>
      </c>
      <c r="R35" s="148" t="s">
        <v>301</v>
      </c>
      <c r="S35" s="148" t="s">
        <v>301</v>
      </c>
      <c r="T35" s="125" t="s">
        <v>301</v>
      </c>
      <c r="U35" s="125" t="s">
        <v>301</v>
      </c>
      <c r="V35" s="125" t="s">
        <v>301</v>
      </c>
      <c r="W35" s="125" t="s">
        <v>301</v>
      </c>
      <c r="X35" s="125" t="s">
        <v>301</v>
      </c>
      <c r="Y35" s="148" t="s">
        <v>301</v>
      </c>
      <c r="Z35" s="46"/>
      <c r="AA35" s="148" t="s">
        <v>301</v>
      </c>
      <c r="AB35" s="148" t="s">
        <v>301</v>
      </c>
      <c r="AC35" s="148" t="s">
        <v>301</v>
      </c>
      <c r="AD35" s="148" t="s">
        <v>301</v>
      </c>
      <c r="AE35" s="148" t="s">
        <v>301</v>
      </c>
      <c r="AF35" s="148" t="s">
        <v>301</v>
      </c>
    </row>
    <row r="36" spans="1:32">
      <c r="A36" s="148" t="s">
        <v>301</v>
      </c>
      <c r="B36" s="148" t="s">
        <v>301</v>
      </c>
      <c r="C36" s="309"/>
      <c r="D36" s="174"/>
      <c r="E36" s="148" t="s">
        <v>301</v>
      </c>
      <c r="F36" s="46"/>
      <c r="I36" s="148" t="s">
        <v>301</v>
      </c>
      <c r="J36" s="148" t="s">
        <v>301</v>
      </c>
      <c r="K36" s="148" t="s">
        <v>301</v>
      </c>
      <c r="L36" s="46"/>
      <c r="M36" s="148" t="s">
        <v>301</v>
      </c>
      <c r="N36" s="148" t="s">
        <v>301</v>
      </c>
      <c r="O36" s="148" t="s">
        <v>301</v>
      </c>
      <c r="P36" s="125" t="s">
        <v>301</v>
      </c>
      <c r="Q36" s="125" t="s">
        <v>301</v>
      </c>
      <c r="R36" s="125" t="s">
        <v>301</v>
      </c>
      <c r="S36" s="125" t="s">
        <v>301</v>
      </c>
      <c r="T36" s="125" t="s">
        <v>301</v>
      </c>
      <c r="U36" s="125" t="s">
        <v>301</v>
      </c>
      <c r="V36" s="125" t="s">
        <v>301</v>
      </c>
      <c r="W36" s="125" t="s">
        <v>301</v>
      </c>
      <c r="X36" s="125" t="s">
        <v>301</v>
      </c>
      <c r="Y36" s="148" t="s">
        <v>301</v>
      </c>
      <c r="Z36" s="46"/>
      <c r="AA36" s="148" t="s">
        <v>301</v>
      </c>
      <c r="AB36" s="148" t="s">
        <v>301</v>
      </c>
      <c r="AC36" s="148" t="s">
        <v>301</v>
      </c>
      <c r="AD36" s="148" t="s">
        <v>301</v>
      </c>
      <c r="AE36" s="148" t="s">
        <v>301</v>
      </c>
      <c r="AF36" s="148" t="s">
        <v>301</v>
      </c>
    </row>
    <row r="37" spans="1:32">
      <c r="A37" s="148" t="s">
        <v>301</v>
      </c>
      <c r="B37" s="148" t="s">
        <v>301</v>
      </c>
      <c r="C37" s="309"/>
      <c r="D37" s="174"/>
      <c r="E37" s="148" t="s">
        <v>301</v>
      </c>
      <c r="F37" s="46"/>
      <c r="I37" s="148" t="s">
        <v>301</v>
      </c>
      <c r="J37" s="148" t="s">
        <v>301</v>
      </c>
      <c r="K37" s="148" t="s">
        <v>301</v>
      </c>
      <c r="L37" s="46"/>
      <c r="M37" s="148" t="s">
        <v>301</v>
      </c>
      <c r="N37" s="148" t="s">
        <v>301</v>
      </c>
      <c r="O37" s="148" t="s">
        <v>301</v>
      </c>
      <c r="P37" s="125" t="s">
        <v>301</v>
      </c>
      <c r="Q37" s="125" t="s">
        <v>301</v>
      </c>
      <c r="R37" s="125" t="s">
        <v>301</v>
      </c>
      <c r="S37" s="125" t="s">
        <v>301</v>
      </c>
      <c r="T37" s="125" t="s">
        <v>301</v>
      </c>
      <c r="U37" s="125" t="s">
        <v>301</v>
      </c>
      <c r="V37" s="125" t="s">
        <v>301</v>
      </c>
      <c r="W37" s="125" t="s">
        <v>301</v>
      </c>
      <c r="X37" s="125" t="s">
        <v>301</v>
      </c>
      <c r="Y37" s="148" t="s">
        <v>301</v>
      </c>
      <c r="Z37" s="46"/>
      <c r="AA37" s="148" t="s">
        <v>301</v>
      </c>
      <c r="AB37" s="148" t="s">
        <v>301</v>
      </c>
      <c r="AC37" s="148" t="s">
        <v>301</v>
      </c>
      <c r="AD37" s="148" t="s">
        <v>301</v>
      </c>
      <c r="AE37" s="148" t="s">
        <v>301</v>
      </c>
      <c r="AF37" s="148" t="s">
        <v>301</v>
      </c>
    </row>
    <row r="38" spans="1:32">
      <c r="A38" s="148" t="s">
        <v>301</v>
      </c>
      <c r="B38" s="148" t="s">
        <v>301</v>
      </c>
      <c r="C38" s="309"/>
      <c r="D38" s="174"/>
      <c r="E38" s="148" t="s">
        <v>301</v>
      </c>
      <c r="F38" s="46"/>
      <c r="I38" s="148" t="s">
        <v>301</v>
      </c>
      <c r="J38" s="148" t="s">
        <v>301</v>
      </c>
      <c r="K38" s="148" t="s">
        <v>301</v>
      </c>
      <c r="L38" s="46"/>
      <c r="M38" s="148" t="s">
        <v>301</v>
      </c>
      <c r="N38" s="148" t="s">
        <v>301</v>
      </c>
      <c r="O38" s="148" t="s">
        <v>301</v>
      </c>
      <c r="P38" s="125" t="s">
        <v>301</v>
      </c>
      <c r="Q38" s="125" t="s">
        <v>301</v>
      </c>
      <c r="R38" s="125" t="s">
        <v>301</v>
      </c>
      <c r="S38" s="125" t="s">
        <v>301</v>
      </c>
      <c r="T38" s="125" t="s">
        <v>301</v>
      </c>
      <c r="U38" s="125" t="s">
        <v>301</v>
      </c>
      <c r="V38" s="125" t="s">
        <v>301</v>
      </c>
      <c r="W38" s="125" t="s">
        <v>301</v>
      </c>
      <c r="X38" s="125" t="s">
        <v>301</v>
      </c>
      <c r="Y38" s="148" t="s">
        <v>301</v>
      </c>
      <c r="Z38" s="46"/>
      <c r="AA38" s="148" t="s">
        <v>301</v>
      </c>
      <c r="AB38" s="148" t="s">
        <v>301</v>
      </c>
      <c r="AC38" s="148" t="s">
        <v>301</v>
      </c>
      <c r="AD38" s="148" t="s">
        <v>301</v>
      </c>
      <c r="AE38" s="148" t="s">
        <v>301</v>
      </c>
      <c r="AF38" s="148" t="s">
        <v>301</v>
      </c>
    </row>
    <row r="39" spans="1:32">
      <c r="A39" s="148" t="s">
        <v>301</v>
      </c>
      <c r="B39" s="148" t="s">
        <v>301</v>
      </c>
      <c r="C39" s="309"/>
      <c r="D39" s="174"/>
      <c r="E39" s="148" t="s">
        <v>301</v>
      </c>
      <c r="F39" s="46"/>
      <c r="I39" s="148" t="s">
        <v>301</v>
      </c>
      <c r="J39" s="148" t="s">
        <v>301</v>
      </c>
      <c r="K39" s="177"/>
      <c r="L39" s="177"/>
      <c r="M39" s="177"/>
      <c r="N39" s="177"/>
      <c r="O39" s="177"/>
      <c r="P39" s="177"/>
      <c r="Q39" s="177"/>
      <c r="R39" s="177"/>
      <c r="S39" s="177"/>
      <c r="T39" s="177"/>
      <c r="U39" s="177"/>
      <c r="V39" s="177"/>
      <c r="W39" s="177"/>
      <c r="X39" s="177"/>
      <c r="Y39" s="177"/>
      <c r="Z39" s="46"/>
      <c r="AA39" s="148" t="s">
        <v>301</v>
      </c>
      <c r="AB39" s="148" t="s">
        <v>301</v>
      </c>
      <c r="AC39" s="148" t="s">
        <v>301</v>
      </c>
      <c r="AD39" s="148" t="s">
        <v>301</v>
      </c>
      <c r="AE39" s="148" t="s">
        <v>301</v>
      </c>
      <c r="AF39" s="148" t="s">
        <v>301</v>
      </c>
    </row>
    <row r="40" spans="1:32">
      <c r="A40" s="148" t="s">
        <v>301</v>
      </c>
      <c r="B40" s="148" t="s">
        <v>301</v>
      </c>
      <c r="C40" s="309"/>
      <c r="D40" s="174"/>
      <c r="E40" s="148" t="s">
        <v>301</v>
      </c>
      <c r="F40" s="46"/>
      <c r="I40" s="148" t="s">
        <v>301</v>
      </c>
      <c r="J40" s="148" t="s">
        <v>301</v>
      </c>
      <c r="K40" s="177"/>
      <c r="L40" s="177"/>
      <c r="M40" s="177"/>
      <c r="N40" s="177"/>
      <c r="O40" s="177"/>
      <c r="P40" s="177"/>
      <c r="Q40" s="177"/>
      <c r="R40" s="177"/>
      <c r="S40" s="177"/>
      <c r="T40" s="177"/>
      <c r="U40" s="177"/>
      <c r="V40" s="177"/>
      <c r="W40" s="177"/>
      <c r="X40" s="177"/>
      <c r="Y40" s="177"/>
      <c r="Z40" s="46"/>
      <c r="AA40" s="148" t="s">
        <v>301</v>
      </c>
      <c r="AB40" s="148" t="s">
        <v>301</v>
      </c>
      <c r="AC40" s="148" t="s">
        <v>301</v>
      </c>
      <c r="AD40" s="148" t="s">
        <v>301</v>
      </c>
      <c r="AE40" s="148" t="s">
        <v>301</v>
      </c>
      <c r="AF40" s="148" t="s">
        <v>301</v>
      </c>
    </row>
    <row r="41" spans="1:32" ht="15.75" customHeight="1">
      <c r="A41" s="148" t="s">
        <v>301</v>
      </c>
      <c r="B41" s="148" t="s">
        <v>301</v>
      </c>
      <c r="C41" s="309"/>
      <c r="D41" s="174"/>
      <c r="E41" s="148" t="s">
        <v>301</v>
      </c>
      <c r="F41" s="46"/>
      <c r="I41" s="148" t="s">
        <v>301</v>
      </c>
      <c r="J41" s="148" t="s">
        <v>301</v>
      </c>
      <c r="K41" s="177"/>
      <c r="L41" s="177"/>
      <c r="M41" s="177"/>
      <c r="N41" s="177"/>
      <c r="O41" s="177"/>
      <c r="P41" s="177"/>
      <c r="Q41" s="177"/>
      <c r="R41" s="177"/>
      <c r="S41" s="177"/>
      <c r="T41" s="177"/>
      <c r="U41" s="177"/>
      <c r="V41" s="177"/>
      <c r="W41" s="177"/>
      <c r="X41" s="177"/>
      <c r="Y41" s="177"/>
      <c r="Z41" s="46"/>
      <c r="AA41" s="148" t="s">
        <v>301</v>
      </c>
      <c r="AB41" s="148" t="s">
        <v>301</v>
      </c>
      <c r="AC41" s="148" t="s">
        <v>301</v>
      </c>
      <c r="AD41" s="148" t="s">
        <v>301</v>
      </c>
      <c r="AE41" s="148" t="s">
        <v>301</v>
      </c>
      <c r="AF41" s="148" t="s">
        <v>301</v>
      </c>
    </row>
    <row r="42" spans="1:32">
      <c r="A42" s="148" t="s">
        <v>301</v>
      </c>
      <c r="B42" s="148" t="s">
        <v>301</v>
      </c>
      <c r="C42" s="309"/>
      <c r="D42" s="174"/>
      <c r="E42" s="148" t="s">
        <v>301</v>
      </c>
      <c r="F42" s="46"/>
      <c r="I42" s="148" t="s">
        <v>301</v>
      </c>
      <c r="J42" s="148" t="s">
        <v>301</v>
      </c>
      <c r="K42" s="177"/>
      <c r="L42" s="177"/>
      <c r="M42" s="177"/>
      <c r="N42" s="177"/>
      <c r="O42" s="177"/>
      <c r="P42" s="177"/>
      <c r="Q42" s="177"/>
      <c r="R42" s="177"/>
      <c r="S42" s="177"/>
      <c r="T42" s="177"/>
      <c r="U42" s="177"/>
      <c r="V42" s="177"/>
      <c r="W42" s="177"/>
      <c r="X42" s="177"/>
      <c r="Y42" s="177"/>
      <c r="Z42" s="46"/>
      <c r="AA42" s="148" t="s">
        <v>301</v>
      </c>
      <c r="AB42" s="148" t="s">
        <v>301</v>
      </c>
      <c r="AC42" s="148" t="s">
        <v>301</v>
      </c>
      <c r="AD42" s="148" t="s">
        <v>301</v>
      </c>
      <c r="AE42" s="148" t="s">
        <v>301</v>
      </c>
      <c r="AF42" s="148" t="s">
        <v>301</v>
      </c>
    </row>
    <row r="43" spans="1:32">
      <c r="A43" s="148" t="s">
        <v>301</v>
      </c>
      <c r="B43" s="148" t="s">
        <v>301</v>
      </c>
      <c r="C43" s="309"/>
      <c r="D43" s="174"/>
      <c r="E43" s="148" t="s">
        <v>301</v>
      </c>
      <c r="F43" s="46"/>
      <c r="I43" s="148" t="s">
        <v>301</v>
      </c>
      <c r="J43" s="148" t="s">
        <v>301</v>
      </c>
      <c r="K43" s="177"/>
      <c r="L43" s="177"/>
      <c r="M43" s="177"/>
      <c r="N43" s="177"/>
      <c r="O43" s="177"/>
      <c r="P43" s="177"/>
      <c r="Q43" s="177"/>
      <c r="R43" s="177"/>
      <c r="S43" s="177"/>
      <c r="T43" s="177"/>
      <c r="U43" s="177"/>
      <c r="V43" s="177"/>
      <c r="W43" s="177"/>
      <c r="X43" s="177"/>
      <c r="Y43" s="177"/>
      <c r="Z43" s="46"/>
      <c r="AA43" s="148" t="s">
        <v>301</v>
      </c>
      <c r="AB43" s="148" t="s">
        <v>301</v>
      </c>
      <c r="AC43" s="148" t="s">
        <v>301</v>
      </c>
      <c r="AD43" s="148" t="s">
        <v>301</v>
      </c>
      <c r="AE43" s="148" t="s">
        <v>301</v>
      </c>
      <c r="AF43" s="148" t="s">
        <v>301</v>
      </c>
    </row>
    <row r="44" spans="1:32">
      <c r="A44" s="148" t="s">
        <v>301</v>
      </c>
      <c r="B44" s="148" t="s">
        <v>301</v>
      </c>
      <c r="C44" s="309"/>
      <c r="D44" s="174"/>
      <c r="E44" s="148" t="s">
        <v>301</v>
      </c>
      <c r="F44" s="46"/>
      <c r="I44" s="148" t="s">
        <v>301</v>
      </c>
      <c r="J44" s="148" t="s">
        <v>301</v>
      </c>
      <c r="K44" s="148" t="s">
        <v>301</v>
      </c>
      <c r="L44" s="46"/>
      <c r="M44" s="148" t="s">
        <v>301</v>
      </c>
      <c r="N44" s="148" t="s">
        <v>301</v>
      </c>
      <c r="O44" s="148" t="s">
        <v>301</v>
      </c>
      <c r="P44" s="125" t="s">
        <v>301</v>
      </c>
      <c r="Q44" s="125" t="s">
        <v>301</v>
      </c>
      <c r="R44" s="125" t="s">
        <v>301</v>
      </c>
      <c r="S44" s="125" t="s">
        <v>301</v>
      </c>
      <c r="T44" s="125" t="s">
        <v>301</v>
      </c>
      <c r="U44" s="125" t="s">
        <v>301</v>
      </c>
      <c r="V44" s="125" t="s">
        <v>301</v>
      </c>
      <c r="W44" s="125" t="s">
        <v>301</v>
      </c>
      <c r="X44" s="125" t="s">
        <v>301</v>
      </c>
      <c r="Y44" s="148" t="s">
        <v>301</v>
      </c>
      <c r="Z44" s="46"/>
      <c r="AA44" s="148" t="s">
        <v>301</v>
      </c>
      <c r="AB44" s="148" t="s">
        <v>301</v>
      </c>
      <c r="AC44" s="148" t="s">
        <v>301</v>
      </c>
      <c r="AD44" s="148" t="s">
        <v>301</v>
      </c>
      <c r="AE44" s="148" t="s">
        <v>301</v>
      </c>
      <c r="AF44" s="148" t="s">
        <v>301</v>
      </c>
    </row>
    <row r="45" spans="1:32">
      <c r="A45" s="148" t="s">
        <v>301</v>
      </c>
      <c r="B45" s="148" t="s">
        <v>301</v>
      </c>
      <c r="C45" s="309"/>
      <c r="D45" s="174"/>
      <c r="E45" s="148" t="s">
        <v>301</v>
      </c>
      <c r="F45" s="46"/>
      <c r="I45" s="148" t="s">
        <v>301</v>
      </c>
      <c r="J45" s="148" t="s">
        <v>301</v>
      </c>
      <c r="K45" s="148" t="s">
        <v>301</v>
      </c>
      <c r="L45" s="46"/>
      <c r="M45" s="148" t="s">
        <v>301</v>
      </c>
      <c r="N45" s="148" t="s">
        <v>301</v>
      </c>
      <c r="O45" s="148" t="s">
        <v>301</v>
      </c>
      <c r="P45" s="125" t="s">
        <v>301</v>
      </c>
      <c r="Q45" s="125" t="s">
        <v>301</v>
      </c>
      <c r="R45" s="125" t="s">
        <v>301</v>
      </c>
      <c r="S45" s="125" t="s">
        <v>301</v>
      </c>
      <c r="T45" s="125" t="s">
        <v>301</v>
      </c>
      <c r="U45" s="125" t="s">
        <v>301</v>
      </c>
      <c r="V45" s="125" t="s">
        <v>301</v>
      </c>
      <c r="W45" s="125" t="s">
        <v>301</v>
      </c>
      <c r="X45" s="125" t="s">
        <v>301</v>
      </c>
      <c r="Y45" s="148" t="s">
        <v>301</v>
      </c>
      <c r="Z45" s="46"/>
      <c r="AA45" s="148" t="s">
        <v>301</v>
      </c>
      <c r="AB45" s="148" t="s">
        <v>301</v>
      </c>
      <c r="AC45" s="148" t="s">
        <v>301</v>
      </c>
      <c r="AD45" s="148" t="s">
        <v>301</v>
      </c>
      <c r="AE45" s="148" t="s">
        <v>301</v>
      </c>
      <c r="AF45" s="148" t="s">
        <v>301</v>
      </c>
    </row>
    <row r="46" spans="1:32">
      <c r="A46" s="148" t="s">
        <v>301</v>
      </c>
      <c r="B46" s="148" t="s">
        <v>301</v>
      </c>
      <c r="C46" s="309"/>
      <c r="D46" s="174"/>
      <c r="E46" s="148" t="s">
        <v>301</v>
      </c>
      <c r="F46" s="46"/>
      <c r="I46" s="148" t="s">
        <v>301</v>
      </c>
      <c r="J46" s="148" t="s">
        <v>301</v>
      </c>
      <c r="K46" s="148" t="s">
        <v>301</v>
      </c>
      <c r="L46" s="46"/>
      <c r="M46" s="148" t="s">
        <v>301</v>
      </c>
      <c r="N46" s="148" t="s">
        <v>301</v>
      </c>
      <c r="O46" s="148" t="s">
        <v>301</v>
      </c>
      <c r="P46" s="125" t="s">
        <v>301</v>
      </c>
      <c r="Q46" s="125" t="s">
        <v>301</v>
      </c>
      <c r="R46" s="125" t="s">
        <v>301</v>
      </c>
      <c r="S46" s="125" t="s">
        <v>301</v>
      </c>
      <c r="T46" s="125" t="s">
        <v>301</v>
      </c>
      <c r="U46" s="125" t="s">
        <v>301</v>
      </c>
      <c r="V46" s="125" t="s">
        <v>301</v>
      </c>
      <c r="W46" s="125" t="s">
        <v>301</v>
      </c>
      <c r="X46" s="125" t="s">
        <v>301</v>
      </c>
      <c r="Y46" s="148" t="s">
        <v>301</v>
      </c>
      <c r="Z46" s="46"/>
      <c r="AA46" s="148" t="s">
        <v>301</v>
      </c>
      <c r="AB46" s="148" t="s">
        <v>301</v>
      </c>
      <c r="AC46" s="148" t="s">
        <v>301</v>
      </c>
      <c r="AD46" s="148" t="s">
        <v>301</v>
      </c>
      <c r="AE46" s="148" t="s">
        <v>301</v>
      </c>
      <c r="AF46" s="148" t="s">
        <v>301</v>
      </c>
    </row>
    <row r="47" spans="1:32">
      <c r="A47" s="148" t="s">
        <v>301</v>
      </c>
      <c r="B47" s="148" t="s">
        <v>301</v>
      </c>
      <c r="C47" s="309"/>
      <c r="D47" s="174"/>
      <c r="E47" s="148" t="s">
        <v>301</v>
      </c>
      <c r="F47" s="46"/>
      <c r="I47" s="148" t="s">
        <v>301</v>
      </c>
      <c r="J47" s="148" t="s">
        <v>301</v>
      </c>
      <c r="K47" s="148" t="s">
        <v>301</v>
      </c>
      <c r="L47" s="46"/>
      <c r="M47" s="148" t="s">
        <v>301</v>
      </c>
      <c r="N47" s="148" t="s">
        <v>301</v>
      </c>
      <c r="O47" s="148" t="s">
        <v>301</v>
      </c>
      <c r="P47" s="125" t="s">
        <v>301</v>
      </c>
      <c r="Q47" s="125" t="s">
        <v>301</v>
      </c>
      <c r="R47" s="125" t="s">
        <v>301</v>
      </c>
      <c r="S47" s="125" t="s">
        <v>301</v>
      </c>
      <c r="T47" s="125" t="s">
        <v>301</v>
      </c>
      <c r="U47" s="125" t="s">
        <v>301</v>
      </c>
      <c r="V47" s="125" t="s">
        <v>301</v>
      </c>
      <c r="W47" s="125" t="s">
        <v>301</v>
      </c>
      <c r="X47" s="125" t="s">
        <v>301</v>
      </c>
      <c r="Y47" s="148" t="s">
        <v>301</v>
      </c>
      <c r="Z47" s="46"/>
      <c r="AA47" s="148" t="s">
        <v>301</v>
      </c>
      <c r="AB47" s="148" t="s">
        <v>301</v>
      </c>
      <c r="AC47" s="148" t="s">
        <v>301</v>
      </c>
      <c r="AD47" s="148" t="s">
        <v>301</v>
      </c>
      <c r="AE47" s="148" t="s">
        <v>301</v>
      </c>
      <c r="AF47" s="148" t="s">
        <v>301</v>
      </c>
    </row>
    <row r="48" spans="1:32">
      <c r="A48" s="148" t="s">
        <v>301</v>
      </c>
      <c r="B48" s="148" t="s">
        <v>301</v>
      </c>
      <c r="C48" s="309"/>
      <c r="D48" s="174"/>
      <c r="E48" s="148" t="s">
        <v>301</v>
      </c>
      <c r="F48" s="46"/>
      <c r="I48" s="148" t="s">
        <v>301</v>
      </c>
      <c r="J48" s="148" t="s">
        <v>301</v>
      </c>
      <c r="K48" s="148" t="s">
        <v>301</v>
      </c>
      <c r="L48" s="46"/>
      <c r="M48" s="148" t="s">
        <v>301</v>
      </c>
      <c r="N48" s="148" t="s">
        <v>301</v>
      </c>
      <c r="O48" s="148" t="s">
        <v>301</v>
      </c>
      <c r="P48" s="125" t="s">
        <v>301</v>
      </c>
      <c r="Q48" s="125" t="s">
        <v>301</v>
      </c>
      <c r="R48" s="125" t="s">
        <v>301</v>
      </c>
      <c r="S48" s="125" t="s">
        <v>301</v>
      </c>
      <c r="T48" s="125" t="s">
        <v>301</v>
      </c>
      <c r="U48" s="125" t="s">
        <v>301</v>
      </c>
      <c r="V48" s="125" t="s">
        <v>301</v>
      </c>
      <c r="W48" s="125" t="s">
        <v>301</v>
      </c>
      <c r="X48" s="125" t="s">
        <v>301</v>
      </c>
      <c r="Y48" s="148" t="s">
        <v>301</v>
      </c>
      <c r="Z48" s="46"/>
      <c r="AA48" s="148" t="s">
        <v>301</v>
      </c>
      <c r="AB48" s="148" t="s">
        <v>301</v>
      </c>
      <c r="AC48" s="148" t="s">
        <v>301</v>
      </c>
      <c r="AD48" s="148" t="s">
        <v>301</v>
      </c>
      <c r="AE48" s="148" t="s">
        <v>301</v>
      </c>
      <c r="AF48" s="148" t="s">
        <v>301</v>
      </c>
    </row>
    <row r="49" spans="1:32">
      <c r="A49" s="148" t="s">
        <v>301</v>
      </c>
      <c r="B49" s="148" t="s">
        <v>301</v>
      </c>
      <c r="C49" s="309"/>
      <c r="D49" s="174"/>
      <c r="E49" s="148" t="s">
        <v>301</v>
      </c>
      <c r="F49" s="46"/>
      <c r="I49" s="148" t="s">
        <v>301</v>
      </c>
      <c r="J49" s="148" t="s">
        <v>301</v>
      </c>
      <c r="K49" s="148" t="s">
        <v>301</v>
      </c>
      <c r="L49" s="46"/>
      <c r="M49" s="148" t="s">
        <v>301</v>
      </c>
      <c r="N49" s="148" t="s">
        <v>301</v>
      </c>
      <c r="O49" s="148" t="s">
        <v>301</v>
      </c>
      <c r="P49" s="125" t="s">
        <v>301</v>
      </c>
      <c r="Q49" s="125" t="s">
        <v>301</v>
      </c>
      <c r="R49" s="125" t="s">
        <v>301</v>
      </c>
      <c r="S49" s="125" t="s">
        <v>301</v>
      </c>
      <c r="T49" s="125" t="s">
        <v>301</v>
      </c>
      <c r="U49" s="125" t="s">
        <v>301</v>
      </c>
      <c r="V49" s="125" t="s">
        <v>301</v>
      </c>
      <c r="W49" s="125" t="s">
        <v>301</v>
      </c>
      <c r="X49" s="125" t="s">
        <v>301</v>
      </c>
      <c r="Y49" s="148" t="s">
        <v>301</v>
      </c>
      <c r="Z49" s="46"/>
      <c r="AA49" s="148" t="s">
        <v>301</v>
      </c>
      <c r="AB49" s="148" t="s">
        <v>301</v>
      </c>
      <c r="AC49" s="148" t="s">
        <v>301</v>
      </c>
      <c r="AD49" s="148" t="s">
        <v>301</v>
      </c>
      <c r="AE49" s="148" t="s">
        <v>301</v>
      </c>
      <c r="AF49" s="148" t="s">
        <v>301</v>
      </c>
    </row>
    <row r="50" spans="1:32">
      <c r="A50" s="148" t="s">
        <v>301</v>
      </c>
      <c r="B50" s="148" t="s">
        <v>301</v>
      </c>
      <c r="C50" s="309"/>
      <c r="D50" s="174"/>
      <c r="E50" s="148" t="s">
        <v>301</v>
      </c>
      <c r="F50" s="46"/>
      <c r="I50" s="148" t="s">
        <v>301</v>
      </c>
      <c r="J50" s="148" t="s">
        <v>301</v>
      </c>
      <c r="K50" s="148" t="s">
        <v>301</v>
      </c>
      <c r="L50" s="46"/>
      <c r="M50" s="148" t="s">
        <v>301</v>
      </c>
      <c r="N50" s="148" t="s">
        <v>301</v>
      </c>
      <c r="O50" s="148" t="s">
        <v>301</v>
      </c>
      <c r="P50" s="125" t="s">
        <v>301</v>
      </c>
      <c r="Q50" s="125" t="s">
        <v>301</v>
      </c>
      <c r="R50" s="125" t="s">
        <v>301</v>
      </c>
      <c r="S50" s="125" t="s">
        <v>301</v>
      </c>
      <c r="T50" s="125" t="s">
        <v>301</v>
      </c>
      <c r="U50" s="125" t="s">
        <v>301</v>
      </c>
      <c r="V50" s="125" t="s">
        <v>301</v>
      </c>
      <c r="W50" s="125" t="s">
        <v>301</v>
      </c>
      <c r="X50" s="125" t="s">
        <v>301</v>
      </c>
      <c r="Y50" s="148" t="s">
        <v>301</v>
      </c>
      <c r="Z50" s="46"/>
      <c r="AA50" s="148" t="s">
        <v>301</v>
      </c>
      <c r="AB50" s="148" t="s">
        <v>301</v>
      </c>
      <c r="AC50" s="148" t="s">
        <v>301</v>
      </c>
      <c r="AD50" s="148" t="s">
        <v>301</v>
      </c>
      <c r="AE50" s="148" t="s">
        <v>301</v>
      </c>
      <c r="AF50" s="148" t="s">
        <v>301</v>
      </c>
    </row>
    <row r="51" spans="1:32">
      <c r="A51" s="148" t="s">
        <v>301</v>
      </c>
      <c r="B51" s="148" t="s">
        <v>301</v>
      </c>
      <c r="C51" s="309"/>
      <c r="D51" s="174"/>
      <c r="E51" s="148" t="s">
        <v>301</v>
      </c>
      <c r="F51" s="46"/>
      <c r="I51" s="148" t="s">
        <v>301</v>
      </c>
      <c r="J51" s="148" t="s">
        <v>301</v>
      </c>
      <c r="K51" s="148" t="s">
        <v>301</v>
      </c>
      <c r="L51" s="46"/>
      <c r="M51" s="148" t="s">
        <v>301</v>
      </c>
      <c r="N51" s="148" t="s">
        <v>301</v>
      </c>
      <c r="O51" s="148" t="s">
        <v>301</v>
      </c>
      <c r="P51" s="125" t="s">
        <v>301</v>
      </c>
      <c r="Q51" s="125" t="s">
        <v>301</v>
      </c>
      <c r="R51" s="125" t="s">
        <v>301</v>
      </c>
      <c r="S51" s="125" t="s">
        <v>301</v>
      </c>
      <c r="T51" s="125" t="s">
        <v>301</v>
      </c>
      <c r="U51" s="125" t="s">
        <v>301</v>
      </c>
      <c r="V51" s="125" t="s">
        <v>301</v>
      </c>
      <c r="W51" s="125" t="s">
        <v>301</v>
      </c>
      <c r="X51" s="125" t="s">
        <v>301</v>
      </c>
      <c r="Y51" s="148" t="s">
        <v>301</v>
      </c>
      <c r="Z51" s="46"/>
      <c r="AA51" s="148" t="s">
        <v>301</v>
      </c>
      <c r="AB51" s="148" t="s">
        <v>301</v>
      </c>
      <c r="AC51" s="148" t="s">
        <v>301</v>
      </c>
      <c r="AD51" s="148" t="s">
        <v>301</v>
      </c>
      <c r="AE51" s="148" t="s">
        <v>301</v>
      </c>
      <c r="AF51" s="148" t="s">
        <v>301</v>
      </c>
    </row>
    <row r="52" spans="1:32">
      <c r="A52" s="148" t="s">
        <v>301</v>
      </c>
      <c r="B52" s="148" t="s">
        <v>301</v>
      </c>
      <c r="C52" s="309"/>
      <c r="D52" s="174"/>
      <c r="E52" s="148" t="s">
        <v>301</v>
      </c>
      <c r="F52" s="46"/>
      <c r="I52" s="148" t="s">
        <v>301</v>
      </c>
      <c r="J52" s="148" t="s">
        <v>301</v>
      </c>
      <c r="K52" s="148" t="s">
        <v>301</v>
      </c>
      <c r="L52" s="46"/>
      <c r="M52" s="148" t="s">
        <v>301</v>
      </c>
      <c r="N52" s="148" t="s">
        <v>301</v>
      </c>
      <c r="O52" s="148" t="s">
        <v>301</v>
      </c>
      <c r="P52" s="125" t="s">
        <v>301</v>
      </c>
      <c r="Q52" s="125" t="s">
        <v>301</v>
      </c>
      <c r="R52" s="125" t="s">
        <v>301</v>
      </c>
      <c r="S52" s="125" t="s">
        <v>301</v>
      </c>
      <c r="T52" s="125" t="s">
        <v>301</v>
      </c>
      <c r="U52" s="125" t="s">
        <v>301</v>
      </c>
      <c r="V52" s="125" t="s">
        <v>301</v>
      </c>
      <c r="W52" s="125" t="s">
        <v>301</v>
      </c>
      <c r="X52" s="125" t="s">
        <v>301</v>
      </c>
      <c r="Y52" s="148" t="s">
        <v>301</v>
      </c>
      <c r="Z52" s="46"/>
      <c r="AA52" s="148" t="s">
        <v>301</v>
      </c>
      <c r="AB52" s="148" t="s">
        <v>301</v>
      </c>
      <c r="AC52" s="148" t="s">
        <v>301</v>
      </c>
      <c r="AD52" s="148" t="s">
        <v>301</v>
      </c>
      <c r="AE52" s="148" t="s">
        <v>301</v>
      </c>
      <c r="AF52" s="148" t="s">
        <v>301</v>
      </c>
    </row>
    <row r="53" spans="1:32">
      <c r="A53" s="148" t="s">
        <v>301</v>
      </c>
      <c r="B53" s="148" t="s">
        <v>301</v>
      </c>
      <c r="C53" s="309"/>
      <c r="D53" s="174"/>
      <c r="E53" s="148" t="s">
        <v>301</v>
      </c>
      <c r="F53" s="46"/>
      <c r="I53" s="148" t="s">
        <v>301</v>
      </c>
      <c r="J53" s="148" t="s">
        <v>301</v>
      </c>
      <c r="K53" s="148" t="s">
        <v>301</v>
      </c>
      <c r="L53" s="46"/>
      <c r="M53" s="148" t="s">
        <v>301</v>
      </c>
      <c r="N53" s="148" t="s">
        <v>301</v>
      </c>
      <c r="O53" s="148" t="s">
        <v>301</v>
      </c>
      <c r="P53" s="125" t="s">
        <v>301</v>
      </c>
      <c r="Q53" s="125" t="s">
        <v>301</v>
      </c>
      <c r="R53" s="125" t="s">
        <v>301</v>
      </c>
      <c r="S53" s="125" t="s">
        <v>301</v>
      </c>
      <c r="T53" s="125" t="s">
        <v>301</v>
      </c>
      <c r="U53" s="125" t="s">
        <v>301</v>
      </c>
      <c r="V53" s="125" t="s">
        <v>301</v>
      </c>
      <c r="W53" s="125" t="s">
        <v>301</v>
      </c>
      <c r="X53" s="125" t="s">
        <v>301</v>
      </c>
      <c r="Y53" s="148" t="s">
        <v>301</v>
      </c>
      <c r="Z53" s="46"/>
      <c r="AA53" s="148" t="s">
        <v>301</v>
      </c>
      <c r="AB53" s="148" t="s">
        <v>301</v>
      </c>
      <c r="AC53" s="148" t="s">
        <v>301</v>
      </c>
      <c r="AD53" s="148" t="s">
        <v>301</v>
      </c>
      <c r="AE53" s="148" t="s">
        <v>301</v>
      </c>
      <c r="AF53" s="148" t="s">
        <v>301</v>
      </c>
    </row>
    <row r="54" spans="1:32">
      <c r="A54" s="148" t="s">
        <v>301</v>
      </c>
      <c r="B54" s="148" t="s">
        <v>301</v>
      </c>
      <c r="C54" s="309"/>
      <c r="D54" s="174"/>
      <c r="E54" s="148" t="s">
        <v>301</v>
      </c>
      <c r="F54" s="46"/>
      <c r="I54" s="148" t="s">
        <v>301</v>
      </c>
      <c r="J54" s="148" t="s">
        <v>301</v>
      </c>
      <c r="K54" s="148" t="s">
        <v>301</v>
      </c>
      <c r="L54" s="46"/>
      <c r="M54" s="148" t="s">
        <v>301</v>
      </c>
      <c r="N54" s="148" t="s">
        <v>301</v>
      </c>
      <c r="O54" s="148" t="s">
        <v>301</v>
      </c>
      <c r="P54" s="125" t="s">
        <v>301</v>
      </c>
      <c r="Q54" s="125" t="s">
        <v>301</v>
      </c>
      <c r="R54" s="125" t="s">
        <v>301</v>
      </c>
      <c r="S54" s="125" t="s">
        <v>301</v>
      </c>
      <c r="T54" s="125" t="s">
        <v>301</v>
      </c>
      <c r="U54" s="125" t="s">
        <v>301</v>
      </c>
      <c r="V54" s="125" t="s">
        <v>301</v>
      </c>
      <c r="W54" s="125" t="s">
        <v>301</v>
      </c>
      <c r="X54" s="125" t="s">
        <v>301</v>
      </c>
      <c r="Y54" s="148" t="s">
        <v>301</v>
      </c>
      <c r="Z54" s="46"/>
      <c r="AA54" s="148" t="s">
        <v>301</v>
      </c>
      <c r="AB54" s="148" t="s">
        <v>301</v>
      </c>
      <c r="AC54" s="148" t="s">
        <v>301</v>
      </c>
      <c r="AD54" s="148" t="s">
        <v>301</v>
      </c>
      <c r="AE54" s="148" t="s">
        <v>301</v>
      </c>
      <c r="AF54" s="148" t="s">
        <v>301</v>
      </c>
    </row>
    <row r="55" spans="1:32">
      <c r="A55" s="148" t="s">
        <v>301</v>
      </c>
      <c r="B55" s="148" t="s">
        <v>301</v>
      </c>
      <c r="C55" s="309"/>
      <c r="D55" s="174"/>
      <c r="E55" s="148" t="s">
        <v>301</v>
      </c>
      <c r="F55" s="46"/>
      <c r="I55" s="148" t="s">
        <v>301</v>
      </c>
      <c r="J55" s="148" t="s">
        <v>301</v>
      </c>
      <c r="K55" s="148" t="s">
        <v>301</v>
      </c>
      <c r="L55" s="46"/>
      <c r="M55" s="148" t="s">
        <v>301</v>
      </c>
      <c r="N55" s="148" t="s">
        <v>301</v>
      </c>
      <c r="O55" s="148" t="s">
        <v>301</v>
      </c>
      <c r="P55" s="125" t="s">
        <v>301</v>
      </c>
      <c r="Q55" s="125" t="s">
        <v>301</v>
      </c>
      <c r="R55" s="125" t="s">
        <v>301</v>
      </c>
      <c r="S55" s="125" t="s">
        <v>301</v>
      </c>
      <c r="T55" s="125" t="s">
        <v>301</v>
      </c>
      <c r="U55" s="125" t="s">
        <v>301</v>
      </c>
      <c r="V55" s="125" t="s">
        <v>301</v>
      </c>
      <c r="W55" s="125" t="s">
        <v>301</v>
      </c>
      <c r="X55" s="125" t="s">
        <v>301</v>
      </c>
      <c r="Y55" s="148" t="s">
        <v>301</v>
      </c>
      <c r="Z55" s="46"/>
      <c r="AA55" s="148" t="s">
        <v>301</v>
      </c>
      <c r="AB55" s="148" t="s">
        <v>301</v>
      </c>
      <c r="AC55" s="148" t="s">
        <v>301</v>
      </c>
      <c r="AD55" s="148" t="s">
        <v>301</v>
      </c>
      <c r="AE55" s="148" t="s">
        <v>301</v>
      </c>
      <c r="AF55" s="148" t="s">
        <v>301</v>
      </c>
    </row>
    <row r="56" spans="1:32">
      <c r="A56" s="148" t="s">
        <v>301</v>
      </c>
      <c r="B56" s="148" t="s">
        <v>301</v>
      </c>
      <c r="C56" s="309"/>
      <c r="D56" s="174"/>
      <c r="E56" s="148" t="s">
        <v>301</v>
      </c>
      <c r="F56" s="46"/>
      <c r="I56" s="148" t="s">
        <v>301</v>
      </c>
      <c r="J56" s="148" t="s">
        <v>301</v>
      </c>
      <c r="K56" s="148" t="s">
        <v>301</v>
      </c>
      <c r="L56" s="46"/>
      <c r="M56" s="148" t="s">
        <v>301</v>
      </c>
      <c r="N56" s="148" t="s">
        <v>301</v>
      </c>
      <c r="O56" s="148" t="s">
        <v>301</v>
      </c>
      <c r="P56" s="125" t="s">
        <v>301</v>
      </c>
      <c r="Q56" s="125" t="s">
        <v>301</v>
      </c>
      <c r="R56" s="125" t="s">
        <v>301</v>
      </c>
      <c r="S56" s="125" t="s">
        <v>301</v>
      </c>
      <c r="T56" s="125" t="s">
        <v>301</v>
      </c>
      <c r="U56" s="125" t="s">
        <v>301</v>
      </c>
      <c r="V56" s="125" t="s">
        <v>301</v>
      </c>
      <c r="W56" s="125" t="s">
        <v>301</v>
      </c>
      <c r="X56" s="125" t="s">
        <v>301</v>
      </c>
      <c r="Y56" s="148" t="s">
        <v>301</v>
      </c>
      <c r="Z56" s="46"/>
      <c r="AA56" s="148" t="s">
        <v>301</v>
      </c>
      <c r="AB56" s="148" t="s">
        <v>301</v>
      </c>
      <c r="AC56" s="148" t="s">
        <v>301</v>
      </c>
      <c r="AD56" s="148" t="s">
        <v>301</v>
      </c>
      <c r="AE56" s="148" t="s">
        <v>301</v>
      </c>
      <c r="AF56" s="148" t="s">
        <v>301</v>
      </c>
    </row>
    <row r="57" spans="1:32">
      <c r="A57" s="148" t="s">
        <v>301</v>
      </c>
      <c r="B57" s="148" t="s">
        <v>301</v>
      </c>
      <c r="C57" s="309"/>
      <c r="D57" s="174"/>
      <c r="E57" s="148" t="s">
        <v>301</v>
      </c>
      <c r="F57" s="46"/>
      <c r="I57" s="148" t="s">
        <v>301</v>
      </c>
      <c r="J57" s="148" t="s">
        <v>301</v>
      </c>
      <c r="K57" s="148" t="s">
        <v>301</v>
      </c>
      <c r="L57" s="46"/>
      <c r="M57" s="148" t="s">
        <v>301</v>
      </c>
      <c r="N57" s="148" t="s">
        <v>301</v>
      </c>
      <c r="O57" s="148" t="s">
        <v>301</v>
      </c>
      <c r="P57" s="125" t="s">
        <v>301</v>
      </c>
      <c r="Q57" s="125" t="s">
        <v>301</v>
      </c>
      <c r="R57" s="125" t="s">
        <v>301</v>
      </c>
      <c r="S57" s="125" t="s">
        <v>301</v>
      </c>
      <c r="T57" s="125" t="s">
        <v>301</v>
      </c>
      <c r="U57" s="125" t="s">
        <v>301</v>
      </c>
      <c r="V57" s="125" t="s">
        <v>301</v>
      </c>
      <c r="W57" s="125" t="s">
        <v>301</v>
      </c>
      <c r="X57" s="125" t="s">
        <v>301</v>
      </c>
      <c r="Y57" s="148" t="s">
        <v>301</v>
      </c>
      <c r="Z57" s="46"/>
      <c r="AA57" s="148" t="s">
        <v>301</v>
      </c>
      <c r="AB57" s="148" t="s">
        <v>301</v>
      </c>
      <c r="AC57" s="148" t="s">
        <v>301</v>
      </c>
      <c r="AD57" s="148" t="s">
        <v>301</v>
      </c>
      <c r="AE57" s="148" t="s">
        <v>301</v>
      </c>
      <c r="AF57" s="148" t="s">
        <v>301</v>
      </c>
    </row>
    <row r="58" spans="1:32">
      <c r="A58" s="148" t="s">
        <v>301</v>
      </c>
      <c r="B58" s="148" t="s">
        <v>301</v>
      </c>
      <c r="C58" s="309"/>
      <c r="D58" s="174"/>
      <c r="E58" s="148" t="s">
        <v>301</v>
      </c>
      <c r="F58" s="46"/>
      <c r="I58" s="148" t="s">
        <v>301</v>
      </c>
      <c r="J58" s="148" t="s">
        <v>301</v>
      </c>
      <c r="K58" s="148" t="s">
        <v>301</v>
      </c>
      <c r="L58" s="46"/>
      <c r="M58" s="148" t="s">
        <v>301</v>
      </c>
      <c r="N58" s="148" t="s">
        <v>301</v>
      </c>
      <c r="O58" s="148" t="s">
        <v>301</v>
      </c>
      <c r="P58" s="125" t="s">
        <v>301</v>
      </c>
      <c r="Q58" s="125" t="s">
        <v>301</v>
      </c>
      <c r="R58" s="125" t="s">
        <v>301</v>
      </c>
      <c r="S58" s="125" t="s">
        <v>301</v>
      </c>
      <c r="T58" s="125" t="s">
        <v>301</v>
      </c>
      <c r="U58" s="125" t="s">
        <v>301</v>
      </c>
      <c r="V58" s="125" t="s">
        <v>301</v>
      </c>
      <c r="W58" s="125" t="s">
        <v>301</v>
      </c>
      <c r="X58" s="125" t="s">
        <v>301</v>
      </c>
      <c r="Y58" s="148" t="s">
        <v>301</v>
      </c>
      <c r="Z58" s="46"/>
      <c r="AA58" s="148" t="s">
        <v>301</v>
      </c>
      <c r="AB58" s="148" t="s">
        <v>301</v>
      </c>
      <c r="AC58" s="148" t="s">
        <v>301</v>
      </c>
      <c r="AD58" s="148" t="s">
        <v>301</v>
      </c>
      <c r="AE58" s="148" t="s">
        <v>301</v>
      </c>
      <c r="AF58" s="148" t="s">
        <v>301</v>
      </c>
    </row>
    <row r="59" spans="1:32">
      <c r="A59" s="148" t="s">
        <v>301</v>
      </c>
      <c r="B59" s="148" t="s">
        <v>301</v>
      </c>
      <c r="C59" s="309"/>
      <c r="D59" s="174"/>
      <c r="E59" s="148" t="s">
        <v>301</v>
      </c>
      <c r="F59" s="46"/>
      <c r="I59" s="148" t="s">
        <v>301</v>
      </c>
      <c r="J59" s="148" t="s">
        <v>301</v>
      </c>
      <c r="K59" s="148" t="s">
        <v>301</v>
      </c>
      <c r="L59" s="46"/>
      <c r="M59" s="148" t="s">
        <v>301</v>
      </c>
      <c r="N59" s="148" t="s">
        <v>301</v>
      </c>
      <c r="O59" s="148" t="s">
        <v>301</v>
      </c>
      <c r="P59" s="125" t="s">
        <v>301</v>
      </c>
      <c r="Q59" s="125" t="s">
        <v>301</v>
      </c>
      <c r="R59" s="125" t="s">
        <v>301</v>
      </c>
      <c r="S59" s="125" t="s">
        <v>301</v>
      </c>
      <c r="T59" s="125" t="s">
        <v>301</v>
      </c>
      <c r="U59" s="125" t="s">
        <v>301</v>
      </c>
      <c r="V59" s="125" t="s">
        <v>301</v>
      </c>
      <c r="W59" s="125" t="s">
        <v>301</v>
      </c>
      <c r="X59" s="125" t="s">
        <v>301</v>
      </c>
      <c r="Y59" s="148" t="s">
        <v>301</v>
      </c>
      <c r="Z59" s="46"/>
      <c r="AA59" s="148" t="s">
        <v>301</v>
      </c>
      <c r="AB59" s="148" t="s">
        <v>301</v>
      </c>
      <c r="AC59" s="148" t="s">
        <v>301</v>
      </c>
      <c r="AD59" s="148" t="s">
        <v>301</v>
      </c>
      <c r="AE59" s="148" t="s">
        <v>301</v>
      </c>
      <c r="AF59" s="148" t="s">
        <v>301</v>
      </c>
    </row>
    <row r="60" spans="1:32">
      <c r="A60" s="148" t="s">
        <v>301</v>
      </c>
      <c r="B60" s="148" t="s">
        <v>301</v>
      </c>
      <c r="C60" s="309"/>
      <c r="D60" s="174"/>
      <c r="E60" s="148" t="s">
        <v>301</v>
      </c>
      <c r="F60" s="46"/>
      <c r="I60" s="148" t="s">
        <v>301</v>
      </c>
      <c r="J60" s="148" t="s">
        <v>301</v>
      </c>
      <c r="K60" s="148" t="s">
        <v>301</v>
      </c>
      <c r="L60" s="46"/>
      <c r="M60" s="148" t="s">
        <v>301</v>
      </c>
      <c r="N60" s="148" t="s">
        <v>301</v>
      </c>
      <c r="O60" s="148" t="s">
        <v>301</v>
      </c>
      <c r="P60" s="125" t="s">
        <v>301</v>
      </c>
      <c r="Q60" s="125" t="s">
        <v>301</v>
      </c>
      <c r="R60" s="125" t="s">
        <v>301</v>
      </c>
      <c r="S60" s="125" t="s">
        <v>301</v>
      </c>
      <c r="T60" s="125" t="s">
        <v>301</v>
      </c>
      <c r="U60" s="125" t="s">
        <v>301</v>
      </c>
      <c r="V60" s="125" t="s">
        <v>301</v>
      </c>
      <c r="W60" s="125" t="s">
        <v>301</v>
      </c>
      <c r="X60" s="125" t="s">
        <v>301</v>
      </c>
      <c r="Y60" s="148" t="s">
        <v>301</v>
      </c>
      <c r="Z60" s="46"/>
      <c r="AA60" s="148" t="s">
        <v>301</v>
      </c>
      <c r="AB60" s="148" t="s">
        <v>301</v>
      </c>
      <c r="AC60" s="148" t="s">
        <v>301</v>
      </c>
      <c r="AD60" s="148" t="s">
        <v>301</v>
      </c>
      <c r="AE60" s="148" t="s">
        <v>301</v>
      </c>
      <c r="AF60" s="148" t="s">
        <v>301</v>
      </c>
    </row>
    <row r="61" spans="1:32">
      <c r="A61" s="148" t="s">
        <v>301</v>
      </c>
      <c r="B61" s="148" t="s">
        <v>301</v>
      </c>
      <c r="C61" s="309"/>
      <c r="D61" s="174"/>
      <c r="E61" s="148" t="s">
        <v>301</v>
      </c>
      <c r="F61" s="46"/>
      <c r="I61" s="148" t="s">
        <v>301</v>
      </c>
      <c r="J61" s="148" t="s">
        <v>301</v>
      </c>
      <c r="K61" s="148" t="s">
        <v>301</v>
      </c>
      <c r="L61" s="46"/>
      <c r="M61" s="148" t="s">
        <v>301</v>
      </c>
      <c r="N61" s="148" t="s">
        <v>301</v>
      </c>
      <c r="O61" s="148" t="s">
        <v>301</v>
      </c>
      <c r="P61" s="125" t="s">
        <v>301</v>
      </c>
      <c r="Q61" s="125" t="s">
        <v>301</v>
      </c>
      <c r="R61" s="125" t="s">
        <v>301</v>
      </c>
      <c r="S61" s="125" t="s">
        <v>301</v>
      </c>
      <c r="T61" s="125" t="s">
        <v>301</v>
      </c>
      <c r="U61" s="125" t="s">
        <v>301</v>
      </c>
      <c r="V61" s="125" t="s">
        <v>301</v>
      </c>
      <c r="W61" s="125" t="s">
        <v>301</v>
      </c>
      <c r="X61" s="125" t="s">
        <v>301</v>
      </c>
      <c r="Y61" s="148" t="s">
        <v>301</v>
      </c>
      <c r="Z61" s="46"/>
      <c r="AA61" s="148" t="s">
        <v>301</v>
      </c>
      <c r="AB61" s="148" t="s">
        <v>301</v>
      </c>
      <c r="AC61" s="148" t="s">
        <v>301</v>
      </c>
      <c r="AD61" s="148" t="s">
        <v>301</v>
      </c>
      <c r="AE61" s="148" t="s">
        <v>301</v>
      </c>
      <c r="AF61" s="148" t="s">
        <v>301</v>
      </c>
    </row>
    <row r="62" spans="1:32">
      <c r="A62" s="148" t="s">
        <v>301</v>
      </c>
      <c r="B62" s="148" t="s">
        <v>301</v>
      </c>
      <c r="C62" s="309"/>
      <c r="D62" s="174"/>
      <c r="E62" s="148" t="s">
        <v>301</v>
      </c>
      <c r="F62" s="46"/>
      <c r="I62" s="148" t="s">
        <v>301</v>
      </c>
      <c r="J62" s="148" t="s">
        <v>301</v>
      </c>
      <c r="K62" s="148" t="s">
        <v>301</v>
      </c>
      <c r="L62" s="46"/>
      <c r="M62" s="148" t="s">
        <v>301</v>
      </c>
      <c r="N62" s="148" t="s">
        <v>301</v>
      </c>
      <c r="O62" s="148" t="s">
        <v>301</v>
      </c>
      <c r="P62" s="125" t="s">
        <v>301</v>
      </c>
      <c r="Q62" s="125" t="s">
        <v>301</v>
      </c>
      <c r="R62" s="125" t="s">
        <v>301</v>
      </c>
      <c r="S62" s="125" t="s">
        <v>301</v>
      </c>
      <c r="T62" s="125" t="s">
        <v>301</v>
      </c>
      <c r="U62" s="125" t="s">
        <v>301</v>
      </c>
      <c r="V62" s="125" t="s">
        <v>301</v>
      </c>
      <c r="W62" s="125" t="s">
        <v>301</v>
      </c>
      <c r="X62" s="125" t="s">
        <v>301</v>
      </c>
      <c r="Y62" s="148" t="s">
        <v>301</v>
      </c>
      <c r="Z62" s="46"/>
      <c r="AA62" s="148" t="s">
        <v>301</v>
      </c>
      <c r="AB62" s="148" t="s">
        <v>301</v>
      </c>
      <c r="AC62" s="148" t="s">
        <v>301</v>
      </c>
      <c r="AD62" s="148" t="s">
        <v>301</v>
      </c>
      <c r="AE62" s="148" t="s">
        <v>301</v>
      </c>
      <c r="AF62" s="148" t="s">
        <v>301</v>
      </c>
    </row>
    <row r="63" spans="1:32">
      <c r="A63" s="148" t="s">
        <v>301</v>
      </c>
      <c r="B63" s="148" t="s">
        <v>301</v>
      </c>
      <c r="C63" s="309"/>
      <c r="D63" s="174"/>
      <c r="E63" s="148" t="s">
        <v>301</v>
      </c>
      <c r="F63" s="46"/>
      <c r="I63" s="148" t="s">
        <v>301</v>
      </c>
      <c r="J63" s="148" t="s">
        <v>301</v>
      </c>
      <c r="K63" s="148" t="s">
        <v>301</v>
      </c>
      <c r="L63" s="46"/>
      <c r="M63" s="148" t="s">
        <v>301</v>
      </c>
      <c r="N63" s="148" t="s">
        <v>301</v>
      </c>
      <c r="O63" s="148" t="s">
        <v>301</v>
      </c>
      <c r="P63" s="125" t="s">
        <v>301</v>
      </c>
      <c r="Q63" s="125" t="s">
        <v>301</v>
      </c>
      <c r="R63" s="125" t="s">
        <v>301</v>
      </c>
      <c r="S63" s="125" t="s">
        <v>301</v>
      </c>
      <c r="T63" s="125" t="s">
        <v>301</v>
      </c>
      <c r="U63" s="125" t="s">
        <v>301</v>
      </c>
      <c r="V63" s="125" t="s">
        <v>301</v>
      </c>
      <c r="W63" s="125" t="s">
        <v>301</v>
      </c>
      <c r="X63" s="125" t="s">
        <v>301</v>
      </c>
      <c r="Y63" s="148" t="s">
        <v>301</v>
      </c>
      <c r="Z63" s="46"/>
      <c r="AA63" s="148" t="s">
        <v>301</v>
      </c>
      <c r="AB63" s="148" t="s">
        <v>301</v>
      </c>
      <c r="AC63" s="148" t="s">
        <v>301</v>
      </c>
      <c r="AD63" s="148" t="s">
        <v>301</v>
      </c>
      <c r="AE63" s="148" t="s">
        <v>301</v>
      </c>
      <c r="AF63" s="148" t="s">
        <v>301</v>
      </c>
    </row>
    <row r="64" spans="1:32">
      <c r="A64" s="148" t="s">
        <v>301</v>
      </c>
      <c r="B64" s="148" t="s">
        <v>301</v>
      </c>
      <c r="C64" s="309"/>
      <c r="D64" s="174"/>
      <c r="E64" s="148" t="s">
        <v>301</v>
      </c>
      <c r="F64" s="46"/>
      <c r="I64" s="148" t="s">
        <v>301</v>
      </c>
      <c r="J64" s="148" t="s">
        <v>301</v>
      </c>
      <c r="K64" s="148" t="s">
        <v>301</v>
      </c>
      <c r="L64" s="46"/>
      <c r="M64" s="148" t="s">
        <v>301</v>
      </c>
      <c r="N64" s="148" t="s">
        <v>301</v>
      </c>
      <c r="O64" s="148" t="s">
        <v>301</v>
      </c>
      <c r="P64" s="125" t="s">
        <v>301</v>
      </c>
      <c r="Q64" s="125" t="s">
        <v>301</v>
      </c>
      <c r="R64" s="125" t="s">
        <v>301</v>
      </c>
      <c r="S64" s="125" t="s">
        <v>301</v>
      </c>
      <c r="T64" s="125" t="s">
        <v>301</v>
      </c>
      <c r="U64" s="125" t="s">
        <v>301</v>
      </c>
      <c r="V64" s="125" t="s">
        <v>301</v>
      </c>
      <c r="W64" s="125" t="s">
        <v>301</v>
      </c>
      <c r="X64" s="125" t="s">
        <v>301</v>
      </c>
      <c r="Y64" s="148" t="s">
        <v>301</v>
      </c>
      <c r="Z64" s="46"/>
      <c r="AA64" s="148" t="s">
        <v>301</v>
      </c>
      <c r="AB64" s="148" t="s">
        <v>301</v>
      </c>
      <c r="AC64" s="148" t="s">
        <v>301</v>
      </c>
      <c r="AD64" s="148" t="s">
        <v>301</v>
      </c>
      <c r="AE64" s="148" t="s">
        <v>301</v>
      </c>
      <c r="AF64" s="148" t="s">
        <v>301</v>
      </c>
    </row>
    <row r="65" spans="1:32">
      <c r="A65" s="148" t="s">
        <v>301</v>
      </c>
      <c r="B65" s="148" t="s">
        <v>301</v>
      </c>
      <c r="C65" s="309"/>
      <c r="D65" s="174"/>
      <c r="E65" s="148" t="s">
        <v>301</v>
      </c>
      <c r="F65" s="46"/>
      <c r="I65" s="148" t="s">
        <v>301</v>
      </c>
      <c r="J65" s="148" t="s">
        <v>301</v>
      </c>
      <c r="K65" s="148" t="s">
        <v>301</v>
      </c>
      <c r="L65" s="46"/>
      <c r="M65" s="148" t="s">
        <v>301</v>
      </c>
      <c r="N65" s="148" t="s">
        <v>301</v>
      </c>
      <c r="O65" s="148" t="s">
        <v>301</v>
      </c>
      <c r="P65" s="125" t="s">
        <v>301</v>
      </c>
      <c r="Q65" s="125" t="s">
        <v>301</v>
      </c>
      <c r="R65" s="125" t="s">
        <v>301</v>
      </c>
      <c r="S65" s="125" t="s">
        <v>301</v>
      </c>
      <c r="T65" s="125" t="s">
        <v>301</v>
      </c>
      <c r="U65" s="125" t="s">
        <v>301</v>
      </c>
      <c r="V65" s="125" t="s">
        <v>301</v>
      </c>
      <c r="W65" s="125" t="s">
        <v>301</v>
      </c>
      <c r="X65" s="125" t="s">
        <v>301</v>
      </c>
      <c r="Y65" s="148" t="s">
        <v>301</v>
      </c>
      <c r="Z65" s="46"/>
      <c r="AA65" s="148" t="s">
        <v>301</v>
      </c>
      <c r="AB65" s="148" t="s">
        <v>301</v>
      </c>
      <c r="AC65" s="148" t="s">
        <v>301</v>
      </c>
      <c r="AD65" s="148" t="s">
        <v>301</v>
      </c>
      <c r="AE65" s="148" t="s">
        <v>301</v>
      </c>
      <c r="AF65" s="148" t="s">
        <v>301</v>
      </c>
    </row>
    <row r="66" spans="1:32">
      <c r="A66" s="148" t="s">
        <v>301</v>
      </c>
      <c r="B66" s="148" t="s">
        <v>301</v>
      </c>
      <c r="C66" s="309"/>
      <c r="D66" s="174"/>
      <c r="E66" s="148" t="s">
        <v>301</v>
      </c>
      <c r="F66" s="46"/>
      <c r="I66" s="148" t="s">
        <v>301</v>
      </c>
      <c r="J66" s="148" t="s">
        <v>301</v>
      </c>
      <c r="K66" s="148" t="s">
        <v>301</v>
      </c>
      <c r="L66" s="46"/>
      <c r="M66" s="148" t="s">
        <v>301</v>
      </c>
      <c r="N66" s="148" t="s">
        <v>301</v>
      </c>
      <c r="O66" s="148" t="s">
        <v>301</v>
      </c>
      <c r="P66" s="125" t="s">
        <v>301</v>
      </c>
      <c r="Q66" s="125" t="s">
        <v>301</v>
      </c>
      <c r="R66" s="125" t="s">
        <v>301</v>
      </c>
      <c r="S66" s="125" t="s">
        <v>301</v>
      </c>
      <c r="T66" s="125" t="s">
        <v>301</v>
      </c>
      <c r="U66" s="125" t="s">
        <v>301</v>
      </c>
      <c r="V66" s="125" t="s">
        <v>301</v>
      </c>
      <c r="W66" s="125" t="s">
        <v>301</v>
      </c>
      <c r="X66" s="125" t="s">
        <v>301</v>
      </c>
      <c r="Y66" s="148" t="s">
        <v>301</v>
      </c>
      <c r="Z66" s="46"/>
      <c r="AA66" s="148" t="s">
        <v>301</v>
      </c>
      <c r="AB66" s="148" t="s">
        <v>301</v>
      </c>
      <c r="AC66" s="148" t="s">
        <v>301</v>
      </c>
      <c r="AD66" s="148" t="s">
        <v>301</v>
      </c>
      <c r="AE66" s="148" t="s">
        <v>301</v>
      </c>
      <c r="AF66" s="148" t="s">
        <v>301</v>
      </c>
    </row>
    <row r="67" spans="1:32">
      <c r="A67" s="148" t="s">
        <v>301</v>
      </c>
      <c r="B67" s="148" t="s">
        <v>301</v>
      </c>
      <c r="C67" s="309"/>
      <c r="D67" s="174"/>
      <c r="E67" s="148" t="s">
        <v>301</v>
      </c>
      <c r="F67" s="46"/>
      <c r="I67" s="148" t="s">
        <v>301</v>
      </c>
      <c r="J67" s="148" t="s">
        <v>301</v>
      </c>
      <c r="K67" s="148" t="s">
        <v>301</v>
      </c>
      <c r="L67" s="46"/>
      <c r="M67" s="148" t="s">
        <v>301</v>
      </c>
      <c r="N67" s="148" t="s">
        <v>301</v>
      </c>
      <c r="O67" s="148" t="s">
        <v>301</v>
      </c>
      <c r="P67" s="125" t="s">
        <v>301</v>
      </c>
      <c r="Q67" s="125" t="s">
        <v>301</v>
      </c>
      <c r="R67" s="125" t="s">
        <v>301</v>
      </c>
      <c r="S67" s="125" t="s">
        <v>301</v>
      </c>
      <c r="T67" s="125" t="s">
        <v>301</v>
      </c>
      <c r="U67" s="125" t="s">
        <v>301</v>
      </c>
      <c r="V67" s="125" t="s">
        <v>301</v>
      </c>
      <c r="W67" s="125" t="s">
        <v>301</v>
      </c>
      <c r="X67" s="125" t="s">
        <v>301</v>
      </c>
      <c r="Y67" s="148" t="s">
        <v>301</v>
      </c>
      <c r="Z67" s="46"/>
      <c r="AA67" s="148" t="s">
        <v>301</v>
      </c>
      <c r="AB67" s="148" t="s">
        <v>301</v>
      </c>
      <c r="AC67" s="148" t="s">
        <v>301</v>
      </c>
      <c r="AD67" s="148" t="s">
        <v>301</v>
      </c>
      <c r="AE67" s="148" t="s">
        <v>301</v>
      </c>
      <c r="AF67" s="148" t="s">
        <v>301</v>
      </c>
    </row>
    <row r="68" spans="1:32">
      <c r="A68" s="148" t="s">
        <v>301</v>
      </c>
      <c r="B68" s="148" t="s">
        <v>301</v>
      </c>
      <c r="C68" s="309"/>
      <c r="D68" s="174"/>
      <c r="E68" s="148" t="s">
        <v>301</v>
      </c>
      <c r="F68" s="46"/>
      <c r="I68" s="148" t="s">
        <v>301</v>
      </c>
      <c r="J68" s="148" t="s">
        <v>301</v>
      </c>
      <c r="K68" s="148" t="s">
        <v>301</v>
      </c>
      <c r="L68" s="46"/>
      <c r="M68" s="148" t="s">
        <v>301</v>
      </c>
      <c r="N68" s="148" t="s">
        <v>301</v>
      </c>
      <c r="O68" s="148" t="s">
        <v>301</v>
      </c>
      <c r="P68" s="125" t="s">
        <v>301</v>
      </c>
      <c r="Q68" s="125" t="s">
        <v>301</v>
      </c>
      <c r="R68" s="125" t="s">
        <v>301</v>
      </c>
      <c r="S68" s="125" t="s">
        <v>301</v>
      </c>
      <c r="T68" s="125" t="s">
        <v>301</v>
      </c>
      <c r="U68" s="125" t="s">
        <v>301</v>
      </c>
      <c r="V68" s="125" t="s">
        <v>301</v>
      </c>
      <c r="W68" s="125" t="s">
        <v>301</v>
      </c>
      <c r="X68" s="125" t="s">
        <v>301</v>
      </c>
      <c r="Y68" s="148" t="s">
        <v>301</v>
      </c>
      <c r="Z68" s="46"/>
      <c r="AA68" s="148" t="s">
        <v>301</v>
      </c>
      <c r="AB68" s="148" t="s">
        <v>301</v>
      </c>
      <c r="AC68" s="148" t="s">
        <v>301</v>
      </c>
      <c r="AD68" s="148" t="s">
        <v>301</v>
      </c>
      <c r="AE68" s="148" t="s">
        <v>301</v>
      </c>
      <c r="AF68" s="148" t="s">
        <v>301</v>
      </c>
    </row>
    <row r="69" spans="1:32">
      <c r="A69" s="148" t="s">
        <v>301</v>
      </c>
      <c r="B69" s="148" t="s">
        <v>301</v>
      </c>
      <c r="C69" s="309"/>
      <c r="D69" s="174"/>
      <c r="E69" s="148" t="s">
        <v>301</v>
      </c>
      <c r="F69" s="46"/>
      <c r="I69" s="148" t="s">
        <v>301</v>
      </c>
      <c r="J69" s="148" t="s">
        <v>301</v>
      </c>
      <c r="K69" s="148" t="s">
        <v>301</v>
      </c>
      <c r="L69" s="46"/>
      <c r="M69" s="148" t="s">
        <v>301</v>
      </c>
      <c r="N69" s="148" t="s">
        <v>301</v>
      </c>
      <c r="O69" s="148" t="s">
        <v>301</v>
      </c>
      <c r="P69" s="125" t="s">
        <v>301</v>
      </c>
      <c r="Q69" s="125" t="s">
        <v>301</v>
      </c>
      <c r="R69" s="125" t="s">
        <v>301</v>
      </c>
      <c r="S69" s="125" t="s">
        <v>301</v>
      </c>
      <c r="T69" s="125" t="s">
        <v>301</v>
      </c>
      <c r="U69" s="125" t="s">
        <v>301</v>
      </c>
      <c r="V69" s="125" t="s">
        <v>301</v>
      </c>
      <c r="W69" s="125" t="s">
        <v>301</v>
      </c>
      <c r="X69" s="125" t="s">
        <v>301</v>
      </c>
      <c r="Y69" s="148" t="s">
        <v>301</v>
      </c>
      <c r="Z69" s="46"/>
      <c r="AA69" s="148" t="s">
        <v>301</v>
      </c>
      <c r="AB69" s="148" t="s">
        <v>301</v>
      </c>
      <c r="AC69" s="148" t="s">
        <v>301</v>
      </c>
      <c r="AD69" s="148" t="s">
        <v>301</v>
      </c>
      <c r="AE69" s="148" t="s">
        <v>301</v>
      </c>
      <c r="AF69" s="148" t="s">
        <v>301</v>
      </c>
    </row>
    <row r="70" spans="1:32">
      <c r="A70" s="148" t="s">
        <v>301</v>
      </c>
      <c r="B70" s="148" t="s">
        <v>301</v>
      </c>
      <c r="C70" s="309"/>
      <c r="D70" s="174"/>
      <c r="E70" s="148" t="s">
        <v>301</v>
      </c>
      <c r="F70" s="46"/>
      <c r="I70" s="148" t="s">
        <v>301</v>
      </c>
      <c r="J70" s="148" t="s">
        <v>301</v>
      </c>
      <c r="K70" s="148" t="s">
        <v>301</v>
      </c>
      <c r="L70" s="46"/>
      <c r="M70" s="148" t="s">
        <v>301</v>
      </c>
      <c r="N70" s="148" t="s">
        <v>301</v>
      </c>
      <c r="O70" s="148" t="s">
        <v>301</v>
      </c>
      <c r="P70" s="125" t="s">
        <v>301</v>
      </c>
      <c r="Q70" s="125" t="s">
        <v>301</v>
      </c>
      <c r="R70" s="125" t="s">
        <v>301</v>
      </c>
      <c r="S70" s="125" t="s">
        <v>301</v>
      </c>
      <c r="T70" s="125" t="s">
        <v>301</v>
      </c>
      <c r="U70" s="125" t="s">
        <v>301</v>
      </c>
      <c r="V70" s="125" t="s">
        <v>301</v>
      </c>
      <c r="W70" s="125" t="s">
        <v>301</v>
      </c>
      <c r="X70" s="125" t="s">
        <v>301</v>
      </c>
      <c r="Y70" s="148" t="s">
        <v>301</v>
      </c>
      <c r="Z70" s="46"/>
      <c r="AA70" s="148" t="s">
        <v>301</v>
      </c>
      <c r="AB70" s="148" t="s">
        <v>301</v>
      </c>
      <c r="AC70" s="148" t="s">
        <v>301</v>
      </c>
      <c r="AD70" s="148" t="s">
        <v>301</v>
      </c>
      <c r="AE70" s="148" t="s">
        <v>301</v>
      </c>
      <c r="AF70" s="148" t="s">
        <v>301</v>
      </c>
    </row>
    <row r="71" spans="1:32">
      <c r="A71" s="148" t="s">
        <v>301</v>
      </c>
      <c r="B71" s="148" t="s">
        <v>301</v>
      </c>
      <c r="C71" s="309"/>
      <c r="D71" s="174"/>
      <c r="E71" s="148" t="s">
        <v>301</v>
      </c>
      <c r="F71" s="46"/>
      <c r="I71" s="148" t="s">
        <v>301</v>
      </c>
      <c r="J71" s="148" t="s">
        <v>301</v>
      </c>
      <c r="K71" s="148" t="s">
        <v>301</v>
      </c>
      <c r="L71" s="46"/>
      <c r="M71" s="148" t="s">
        <v>301</v>
      </c>
      <c r="N71" s="148" t="s">
        <v>301</v>
      </c>
      <c r="O71" s="148" t="s">
        <v>301</v>
      </c>
      <c r="P71" s="125" t="s">
        <v>301</v>
      </c>
      <c r="Q71" s="125" t="s">
        <v>301</v>
      </c>
      <c r="R71" s="125" t="s">
        <v>301</v>
      </c>
      <c r="S71" s="125" t="s">
        <v>301</v>
      </c>
      <c r="T71" s="125" t="s">
        <v>301</v>
      </c>
      <c r="U71" s="125" t="s">
        <v>301</v>
      </c>
      <c r="V71" s="125" t="s">
        <v>301</v>
      </c>
      <c r="W71" s="125" t="s">
        <v>301</v>
      </c>
      <c r="X71" s="125" t="s">
        <v>301</v>
      </c>
      <c r="Y71" s="148" t="s">
        <v>301</v>
      </c>
      <c r="Z71" s="46"/>
      <c r="AA71" s="148" t="s">
        <v>301</v>
      </c>
      <c r="AB71" s="148" t="s">
        <v>301</v>
      </c>
      <c r="AC71" s="148" t="s">
        <v>301</v>
      </c>
      <c r="AD71" s="148" t="s">
        <v>301</v>
      </c>
      <c r="AE71" s="148" t="s">
        <v>301</v>
      </c>
      <c r="AF71" s="148" t="s">
        <v>301</v>
      </c>
    </row>
    <row r="72" spans="1:32">
      <c r="A72" s="148" t="s">
        <v>301</v>
      </c>
      <c r="B72" s="148" t="s">
        <v>301</v>
      </c>
      <c r="C72" s="309"/>
      <c r="D72" s="174"/>
      <c r="E72" s="148" t="s">
        <v>301</v>
      </c>
      <c r="F72" s="46"/>
      <c r="I72" s="148" t="s">
        <v>301</v>
      </c>
      <c r="J72" s="148" t="s">
        <v>301</v>
      </c>
      <c r="K72" s="148" t="s">
        <v>301</v>
      </c>
      <c r="L72" s="46"/>
      <c r="M72" s="148" t="s">
        <v>301</v>
      </c>
      <c r="N72" s="148" t="s">
        <v>301</v>
      </c>
      <c r="O72" s="148" t="s">
        <v>301</v>
      </c>
      <c r="P72" s="125" t="s">
        <v>301</v>
      </c>
      <c r="Q72" s="125" t="s">
        <v>301</v>
      </c>
      <c r="R72" s="125" t="s">
        <v>301</v>
      </c>
      <c r="S72" s="125" t="s">
        <v>301</v>
      </c>
      <c r="T72" s="125" t="s">
        <v>301</v>
      </c>
      <c r="U72" s="125" t="s">
        <v>301</v>
      </c>
      <c r="V72" s="125" t="s">
        <v>301</v>
      </c>
      <c r="W72" s="125" t="s">
        <v>301</v>
      </c>
      <c r="X72" s="125" t="s">
        <v>301</v>
      </c>
      <c r="Y72" s="148" t="s">
        <v>301</v>
      </c>
      <c r="Z72" s="46"/>
      <c r="AA72" s="148" t="s">
        <v>301</v>
      </c>
      <c r="AB72" s="148" t="s">
        <v>301</v>
      </c>
      <c r="AC72" s="148" t="s">
        <v>301</v>
      </c>
      <c r="AD72" s="148" t="s">
        <v>301</v>
      </c>
      <c r="AE72" s="148" t="s">
        <v>301</v>
      </c>
      <c r="AF72" s="148" t="s">
        <v>301</v>
      </c>
    </row>
    <row r="73" spans="1:32">
      <c r="A73" s="148" t="s">
        <v>301</v>
      </c>
      <c r="B73" s="148" t="s">
        <v>301</v>
      </c>
      <c r="C73" s="309"/>
      <c r="D73" s="174"/>
      <c r="E73" s="148" t="s">
        <v>301</v>
      </c>
      <c r="F73" s="46"/>
      <c r="I73" s="148" t="s">
        <v>301</v>
      </c>
      <c r="J73" s="148" t="s">
        <v>301</v>
      </c>
      <c r="K73" s="148" t="s">
        <v>301</v>
      </c>
      <c r="L73" s="46"/>
      <c r="M73" s="148" t="s">
        <v>301</v>
      </c>
      <c r="N73" s="148" t="s">
        <v>301</v>
      </c>
      <c r="O73" s="148" t="s">
        <v>301</v>
      </c>
      <c r="P73" s="125" t="s">
        <v>301</v>
      </c>
      <c r="Q73" s="125" t="s">
        <v>301</v>
      </c>
      <c r="R73" s="125" t="s">
        <v>301</v>
      </c>
      <c r="S73" s="125" t="s">
        <v>301</v>
      </c>
      <c r="T73" s="125" t="s">
        <v>301</v>
      </c>
      <c r="U73" s="125" t="s">
        <v>301</v>
      </c>
      <c r="V73" s="125" t="s">
        <v>301</v>
      </c>
      <c r="W73" s="125" t="s">
        <v>301</v>
      </c>
      <c r="X73" s="125" t="s">
        <v>301</v>
      </c>
      <c r="Y73" s="148" t="s">
        <v>301</v>
      </c>
      <c r="Z73" s="46"/>
      <c r="AA73" s="148" t="s">
        <v>301</v>
      </c>
      <c r="AB73" s="148" t="s">
        <v>301</v>
      </c>
      <c r="AC73" s="148" t="s">
        <v>301</v>
      </c>
      <c r="AD73" s="148" t="s">
        <v>301</v>
      </c>
      <c r="AE73" s="148" t="s">
        <v>301</v>
      </c>
      <c r="AF73" s="148" t="s">
        <v>301</v>
      </c>
    </row>
    <row r="74" spans="1:32">
      <c r="A74" s="148" t="s">
        <v>301</v>
      </c>
      <c r="B74" s="148" t="s">
        <v>301</v>
      </c>
      <c r="C74" s="309"/>
      <c r="D74" s="174"/>
      <c r="E74" s="148" t="s">
        <v>301</v>
      </c>
      <c r="F74" s="46"/>
      <c r="I74" s="148" t="s">
        <v>301</v>
      </c>
      <c r="J74" s="148" t="s">
        <v>301</v>
      </c>
      <c r="K74" s="148" t="s">
        <v>301</v>
      </c>
      <c r="L74" s="46"/>
      <c r="M74" s="148" t="s">
        <v>301</v>
      </c>
      <c r="N74" s="148" t="s">
        <v>301</v>
      </c>
      <c r="O74" s="148" t="s">
        <v>301</v>
      </c>
      <c r="P74" s="125" t="s">
        <v>301</v>
      </c>
      <c r="Q74" s="125" t="s">
        <v>301</v>
      </c>
      <c r="R74" s="125" t="s">
        <v>301</v>
      </c>
      <c r="S74" s="125" t="s">
        <v>301</v>
      </c>
      <c r="T74" s="125" t="s">
        <v>301</v>
      </c>
      <c r="U74" s="125" t="s">
        <v>301</v>
      </c>
      <c r="V74" s="125" t="s">
        <v>301</v>
      </c>
      <c r="W74" s="125" t="s">
        <v>301</v>
      </c>
      <c r="X74" s="125" t="s">
        <v>301</v>
      </c>
      <c r="Y74" s="148" t="s">
        <v>301</v>
      </c>
      <c r="Z74" s="46"/>
      <c r="AA74" s="148" t="s">
        <v>301</v>
      </c>
      <c r="AB74" s="148" t="s">
        <v>301</v>
      </c>
      <c r="AC74" s="148" t="s">
        <v>301</v>
      </c>
      <c r="AD74" s="148" t="s">
        <v>301</v>
      </c>
      <c r="AE74" s="148" t="s">
        <v>301</v>
      </c>
      <c r="AF74" s="148" t="s">
        <v>301</v>
      </c>
    </row>
    <row r="75" spans="1:32">
      <c r="A75" s="148" t="s">
        <v>301</v>
      </c>
      <c r="B75" s="148" t="s">
        <v>301</v>
      </c>
      <c r="C75" s="309"/>
      <c r="D75" s="174"/>
      <c r="E75" s="148" t="s">
        <v>301</v>
      </c>
      <c r="F75" s="46"/>
      <c r="I75" s="148" t="s">
        <v>301</v>
      </c>
      <c r="J75" s="148" t="s">
        <v>301</v>
      </c>
      <c r="K75" s="148" t="s">
        <v>301</v>
      </c>
      <c r="L75" s="46"/>
      <c r="M75" s="148" t="s">
        <v>301</v>
      </c>
      <c r="N75" s="148" t="s">
        <v>301</v>
      </c>
      <c r="O75" s="148" t="s">
        <v>301</v>
      </c>
      <c r="P75" s="125" t="s">
        <v>301</v>
      </c>
      <c r="Q75" s="125" t="s">
        <v>301</v>
      </c>
      <c r="R75" s="125" t="s">
        <v>301</v>
      </c>
      <c r="S75" s="125" t="s">
        <v>301</v>
      </c>
      <c r="T75" s="125" t="s">
        <v>301</v>
      </c>
      <c r="U75" s="125" t="s">
        <v>301</v>
      </c>
      <c r="V75" s="125" t="s">
        <v>301</v>
      </c>
      <c r="W75" s="125" t="s">
        <v>301</v>
      </c>
      <c r="X75" s="125" t="s">
        <v>301</v>
      </c>
      <c r="Y75" s="148" t="s">
        <v>301</v>
      </c>
      <c r="Z75" s="46"/>
      <c r="AA75" s="148" t="s">
        <v>301</v>
      </c>
      <c r="AB75" s="148" t="s">
        <v>301</v>
      </c>
      <c r="AC75" s="148" t="s">
        <v>301</v>
      </c>
      <c r="AD75" s="148" t="s">
        <v>301</v>
      </c>
      <c r="AE75" s="148" t="s">
        <v>301</v>
      </c>
      <c r="AF75" s="148" t="s">
        <v>301</v>
      </c>
    </row>
    <row r="76" spans="1:32">
      <c r="A76" s="148" t="s">
        <v>301</v>
      </c>
      <c r="B76" s="148" t="s">
        <v>301</v>
      </c>
      <c r="C76" s="309"/>
      <c r="D76" s="174"/>
      <c r="E76" s="148" t="s">
        <v>301</v>
      </c>
      <c r="F76" s="46"/>
      <c r="I76" s="148" t="s">
        <v>301</v>
      </c>
      <c r="J76" s="148" t="s">
        <v>301</v>
      </c>
      <c r="K76" s="148" t="s">
        <v>301</v>
      </c>
      <c r="L76" s="46"/>
      <c r="M76" s="148" t="s">
        <v>301</v>
      </c>
      <c r="N76" s="148" t="s">
        <v>301</v>
      </c>
      <c r="O76" s="148" t="s">
        <v>301</v>
      </c>
      <c r="P76" s="125" t="s">
        <v>301</v>
      </c>
      <c r="Q76" s="125" t="s">
        <v>301</v>
      </c>
      <c r="R76" s="125" t="s">
        <v>301</v>
      </c>
      <c r="S76" s="125" t="s">
        <v>301</v>
      </c>
      <c r="T76" s="125" t="s">
        <v>301</v>
      </c>
      <c r="U76" s="125" t="s">
        <v>301</v>
      </c>
      <c r="V76" s="125" t="s">
        <v>301</v>
      </c>
      <c r="W76" s="125" t="s">
        <v>301</v>
      </c>
      <c r="X76" s="125" t="s">
        <v>301</v>
      </c>
      <c r="Y76" s="148" t="s">
        <v>301</v>
      </c>
      <c r="Z76" s="46"/>
      <c r="AA76" s="148" t="s">
        <v>301</v>
      </c>
      <c r="AB76" s="148" t="s">
        <v>301</v>
      </c>
      <c r="AC76" s="148" t="s">
        <v>301</v>
      </c>
      <c r="AD76" s="148" t="s">
        <v>301</v>
      </c>
      <c r="AE76" s="148" t="s">
        <v>301</v>
      </c>
      <c r="AF76" s="148" t="s">
        <v>301</v>
      </c>
    </row>
    <row r="77" spans="1:32">
      <c r="A77" s="148" t="s">
        <v>301</v>
      </c>
      <c r="B77" s="148" t="s">
        <v>301</v>
      </c>
      <c r="C77" s="309"/>
      <c r="D77" s="174"/>
      <c r="E77" s="148" t="s">
        <v>301</v>
      </c>
      <c r="F77" s="46"/>
      <c r="I77" s="148" t="s">
        <v>301</v>
      </c>
      <c r="J77" s="148" t="s">
        <v>301</v>
      </c>
      <c r="K77" s="148" t="s">
        <v>301</v>
      </c>
      <c r="L77" s="46"/>
      <c r="M77" s="148" t="s">
        <v>301</v>
      </c>
      <c r="N77" s="148" t="s">
        <v>301</v>
      </c>
      <c r="O77" s="148" t="s">
        <v>301</v>
      </c>
      <c r="P77" s="125" t="s">
        <v>301</v>
      </c>
      <c r="Q77" s="125" t="s">
        <v>301</v>
      </c>
      <c r="R77" s="125" t="s">
        <v>301</v>
      </c>
      <c r="S77" s="125" t="s">
        <v>301</v>
      </c>
      <c r="T77" s="125" t="s">
        <v>301</v>
      </c>
      <c r="U77" s="125" t="s">
        <v>301</v>
      </c>
      <c r="V77" s="125" t="s">
        <v>301</v>
      </c>
      <c r="W77" s="125" t="s">
        <v>301</v>
      </c>
      <c r="X77" s="125" t="s">
        <v>301</v>
      </c>
      <c r="Y77" s="148" t="s">
        <v>301</v>
      </c>
      <c r="Z77" s="46"/>
      <c r="AA77" s="148" t="s">
        <v>301</v>
      </c>
      <c r="AB77" s="148" t="s">
        <v>301</v>
      </c>
      <c r="AC77" s="148" t="s">
        <v>301</v>
      </c>
      <c r="AD77" s="148" t="s">
        <v>301</v>
      </c>
      <c r="AE77" s="148" t="s">
        <v>301</v>
      </c>
      <c r="AF77" s="148" t="s">
        <v>301</v>
      </c>
    </row>
    <row r="78" spans="1:32">
      <c r="A78" s="148" t="s">
        <v>301</v>
      </c>
      <c r="B78" s="148" t="s">
        <v>301</v>
      </c>
      <c r="C78" s="309"/>
      <c r="D78" s="174"/>
      <c r="E78" s="148" t="s">
        <v>301</v>
      </c>
      <c r="F78" s="46"/>
      <c r="I78" s="148" t="s">
        <v>301</v>
      </c>
      <c r="J78" s="148" t="s">
        <v>301</v>
      </c>
      <c r="K78" s="148" t="s">
        <v>301</v>
      </c>
      <c r="L78" s="46"/>
      <c r="M78" s="148" t="s">
        <v>301</v>
      </c>
      <c r="N78" s="148" t="s">
        <v>301</v>
      </c>
      <c r="O78" s="148" t="s">
        <v>301</v>
      </c>
      <c r="P78" s="125" t="s">
        <v>301</v>
      </c>
      <c r="Q78" s="125" t="s">
        <v>301</v>
      </c>
      <c r="R78" s="125" t="s">
        <v>301</v>
      </c>
      <c r="S78" s="125" t="s">
        <v>301</v>
      </c>
      <c r="T78" s="125" t="s">
        <v>301</v>
      </c>
      <c r="U78" s="125" t="s">
        <v>301</v>
      </c>
      <c r="V78" s="125" t="s">
        <v>301</v>
      </c>
      <c r="W78" s="125" t="s">
        <v>301</v>
      </c>
      <c r="X78" s="125" t="s">
        <v>301</v>
      </c>
      <c r="Y78" s="148" t="s">
        <v>301</v>
      </c>
      <c r="Z78" s="46"/>
      <c r="AA78" s="148" t="s">
        <v>301</v>
      </c>
      <c r="AB78" s="148" t="s">
        <v>301</v>
      </c>
      <c r="AC78" s="148" t="s">
        <v>301</v>
      </c>
      <c r="AD78" s="148" t="s">
        <v>301</v>
      </c>
      <c r="AE78" s="148" t="s">
        <v>301</v>
      </c>
      <c r="AF78" s="148" t="s">
        <v>301</v>
      </c>
    </row>
    <row r="79" spans="1:32">
      <c r="A79" s="148" t="s">
        <v>301</v>
      </c>
      <c r="B79" s="148" t="s">
        <v>301</v>
      </c>
      <c r="C79" s="309"/>
      <c r="D79" s="174"/>
      <c r="E79" s="148" t="s">
        <v>301</v>
      </c>
      <c r="F79" s="46"/>
      <c r="I79" s="148" t="s">
        <v>301</v>
      </c>
      <c r="J79" s="148" t="s">
        <v>301</v>
      </c>
      <c r="K79" s="148" t="s">
        <v>301</v>
      </c>
      <c r="L79" s="46"/>
      <c r="M79" s="148" t="s">
        <v>301</v>
      </c>
      <c r="N79" s="148" t="s">
        <v>301</v>
      </c>
      <c r="O79" s="148" t="s">
        <v>301</v>
      </c>
      <c r="P79" s="125" t="s">
        <v>301</v>
      </c>
      <c r="Q79" s="125" t="s">
        <v>301</v>
      </c>
      <c r="R79" s="125" t="s">
        <v>301</v>
      </c>
      <c r="S79" s="125" t="s">
        <v>301</v>
      </c>
      <c r="T79" s="125" t="s">
        <v>301</v>
      </c>
      <c r="U79" s="125" t="s">
        <v>301</v>
      </c>
      <c r="V79" s="125" t="s">
        <v>301</v>
      </c>
      <c r="W79" s="125" t="s">
        <v>301</v>
      </c>
      <c r="X79" s="125" t="s">
        <v>301</v>
      </c>
      <c r="Y79" s="148" t="s">
        <v>301</v>
      </c>
      <c r="Z79" s="46"/>
      <c r="AA79" s="148" t="s">
        <v>301</v>
      </c>
      <c r="AB79" s="148" t="s">
        <v>301</v>
      </c>
      <c r="AC79" s="148" t="s">
        <v>301</v>
      </c>
      <c r="AD79" s="148" t="s">
        <v>301</v>
      </c>
      <c r="AE79" s="148" t="s">
        <v>301</v>
      </c>
      <c r="AF79" s="148" t="s">
        <v>301</v>
      </c>
    </row>
    <row r="80" spans="1:32">
      <c r="A80" s="148" t="s">
        <v>301</v>
      </c>
      <c r="B80" s="148" t="s">
        <v>301</v>
      </c>
      <c r="C80" s="309"/>
      <c r="D80" s="174"/>
      <c r="E80" s="148" t="s">
        <v>301</v>
      </c>
      <c r="F80" s="46"/>
      <c r="I80" s="148" t="s">
        <v>301</v>
      </c>
      <c r="J80" s="148" t="s">
        <v>301</v>
      </c>
      <c r="K80" s="148" t="s">
        <v>301</v>
      </c>
      <c r="L80" s="46"/>
      <c r="M80" s="148" t="s">
        <v>301</v>
      </c>
      <c r="N80" s="148" t="s">
        <v>301</v>
      </c>
      <c r="O80" s="148" t="s">
        <v>301</v>
      </c>
      <c r="P80" s="125" t="s">
        <v>301</v>
      </c>
      <c r="Q80" s="125" t="s">
        <v>301</v>
      </c>
      <c r="R80" s="125" t="s">
        <v>301</v>
      </c>
      <c r="S80" s="125" t="s">
        <v>301</v>
      </c>
      <c r="T80" s="125" t="s">
        <v>301</v>
      </c>
      <c r="U80" s="125" t="s">
        <v>301</v>
      </c>
      <c r="V80" s="125" t="s">
        <v>301</v>
      </c>
      <c r="W80" s="125" t="s">
        <v>301</v>
      </c>
      <c r="X80" s="125" t="s">
        <v>301</v>
      </c>
      <c r="Y80" s="148" t="s">
        <v>301</v>
      </c>
      <c r="Z80" s="46"/>
      <c r="AA80" s="148" t="s">
        <v>301</v>
      </c>
      <c r="AB80" s="148" t="s">
        <v>301</v>
      </c>
      <c r="AC80" s="148" t="s">
        <v>301</v>
      </c>
      <c r="AD80" s="148" t="s">
        <v>301</v>
      </c>
      <c r="AE80" s="148" t="s">
        <v>301</v>
      </c>
      <c r="AF80" s="148" t="s">
        <v>301</v>
      </c>
    </row>
    <row r="81" spans="1:32">
      <c r="A81" s="148" t="s">
        <v>301</v>
      </c>
      <c r="B81" s="148" t="s">
        <v>301</v>
      </c>
      <c r="C81" s="309"/>
      <c r="D81" s="174"/>
      <c r="E81" s="148" t="s">
        <v>301</v>
      </c>
      <c r="F81" s="46"/>
      <c r="I81" s="148" t="s">
        <v>301</v>
      </c>
      <c r="J81" s="148" t="s">
        <v>301</v>
      </c>
      <c r="K81" s="148" t="s">
        <v>301</v>
      </c>
      <c r="L81" s="46"/>
      <c r="M81" s="148" t="s">
        <v>301</v>
      </c>
      <c r="N81" s="148" t="s">
        <v>301</v>
      </c>
      <c r="O81" s="148" t="s">
        <v>301</v>
      </c>
      <c r="P81" s="125" t="s">
        <v>301</v>
      </c>
      <c r="Q81" s="125" t="s">
        <v>301</v>
      </c>
      <c r="R81" s="125" t="s">
        <v>301</v>
      </c>
      <c r="S81" s="125" t="s">
        <v>301</v>
      </c>
      <c r="T81" s="125" t="s">
        <v>301</v>
      </c>
      <c r="U81" s="125" t="s">
        <v>301</v>
      </c>
      <c r="V81" s="125" t="s">
        <v>301</v>
      </c>
      <c r="W81" s="125" t="s">
        <v>301</v>
      </c>
      <c r="X81" s="125" t="s">
        <v>301</v>
      </c>
      <c r="Y81" s="148" t="s">
        <v>301</v>
      </c>
      <c r="Z81" s="46"/>
      <c r="AA81" s="148" t="s">
        <v>301</v>
      </c>
      <c r="AB81" s="148" t="s">
        <v>301</v>
      </c>
      <c r="AC81" s="148" t="s">
        <v>301</v>
      </c>
      <c r="AD81" s="148" t="s">
        <v>301</v>
      </c>
      <c r="AE81" s="148" t="s">
        <v>301</v>
      </c>
      <c r="AF81" s="148" t="s">
        <v>301</v>
      </c>
    </row>
    <row r="82" spans="1:32">
      <c r="A82" s="148" t="s">
        <v>301</v>
      </c>
      <c r="B82" s="148" t="s">
        <v>301</v>
      </c>
      <c r="C82" s="309"/>
      <c r="D82" s="174"/>
      <c r="E82" s="148" t="s">
        <v>301</v>
      </c>
      <c r="F82" s="46"/>
      <c r="I82" s="148" t="s">
        <v>301</v>
      </c>
      <c r="J82" s="148" t="s">
        <v>301</v>
      </c>
      <c r="K82" s="148" t="s">
        <v>301</v>
      </c>
      <c r="L82" s="46"/>
      <c r="M82" s="148" t="s">
        <v>301</v>
      </c>
      <c r="N82" s="148" t="s">
        <v>301</v>
      </c>
      <c r="O82" s="148" t="s">
        <v>301</v>
      </c>
      <c r="P82" s="125" t="s">
        <v>301</v>
      </c>
      <c r="Q82" s="125" t="s">
        <v>301</v>
      </c>
      <c r="R82" s="125" t="s">
        <v>301</v>
      </c>
      <c r="S82" s="125" t="s">
        <v>301</v>
      </c>
      <c r="T82" s="125" t="s">
        <v>301</v>
      </c>
      <c r="U82" s="125" t="s">
        <v>301</v>
      </c>
      <c r="V82" s="125" t="s">
        <v>301</v>
      </c>
      <c r="W82" s="125" t="s">
        <v>301</v>
      </c>
      <c r="X82" s="125" t="s">
        <v>301</v>
      </c>
      <c r="Y82" s="148" t="s">
        <v>301</v>
      </c>
      <c r="Z82" s="46"/>
      <c r="AA82" s="148" t="s">
        <v>301</v>
      </c>
      <c r="AB82" s="148" t="s">
        <v>301</v>
      </c>
      <c r="AC82" s="148" t="s">
        <v>301</v>
      </c>
      <c r="AD82" s="148" t="s">
        <v>301</v>
      </c>
      <c r="AE82" s="148" t="s">
        <v>301</v>
      </c>
      <c r="AF82" s="148" t="s">
        <v>301</v>
      </c>
    </row>
    <row r="83" spans="1:32">
      <c r="A83" s="148" t="s">
        <v>301</v>
      </c>
      <c r="B83" s="148" t="s">
        <v>301</v>
      </c>
      <c r="C83" s="309"/>
      <c r="D83" s="174"/>
      <c r="E83" s="148" t="s">
        <v>301</v>
      </c>
      <c r="F83" s="46"/>
      <c r="I83" s="148" t="s">
        <v>301</v>
      </c>
      <c r="J83" s="148" t="s">
        <v>301</v>
      </c>
      <c r="K83" s="148" t="s">
        <v>301</v>
      </c>
      <c r="L83" s="46"/>
      <c r="M83" s="148" t="s">
        <v>301</v>
      </c>
      <c r="N83" s="148" t="s">
        <v>301</v>
      </c>
      <c r="O83" s="148" t="s">
        <v>301</v>
      </c>
      <c r="P83" s="125" t="s">
        <v>301</v>
      </c>
      <c r="Q83" s="125" t="s">
        <v>301</v>
      </c>
      <c r="R83" s="125" t="s">
        <v>301</v>
      </c>
      <c r="S83" s="125" t="s">
        <v>301</v>
      </c>
      <c r="T83" s="125" t="s">
        <v>301</v>
      </c>
      <c r="U83" s="125" t="s">
        <v>301</v>
      </c>
      <c r="V83" s="125" t="s">
        <v>301</v>
      </c>
      <c r="W83" s="125" t="s">
        <v>301</v>
      </c>
      <c r="X83" s="125" t="s">
        <v>301</v>
      </c>
      <c r="Y83" s="148" t="s">
        <v>301</v>
      </c>
      <c r="Z83" s="46"/>
      <c r="AA83" s="148" t="s">
        <v>301</v>
      </c>
      <c r="AB83" s="148" t="s">
        <v>301</v>
      </c>
      <c r="AC83" s="148" t="s">
        <v>301</v>
      </c>
      <c r="AD83" s="148" t="s">
        <v>301</v>
      </c>
      <c r="AE83" s="148" t="s">
        <v>301</v>
      </c>
      <c r="AF83" s="148" t="s">
        <v>301</v>
      </c>
    </row>
    <row r="84" spans="1:32">
      <c r="A84" s="148" t="s">
        <v>301</v>
      </c>
      <c r="B84" s="148" t="s">
        <v>301</v>
      </c>
      <c r="C84" s="309"/>
      <c r="D84" s="174"/>
      <c r="E84" s="148" t="s">
        <v>301</v>
      </c>
      <c r="F84" s="46"/>
      <c r="I84" s="148" t="s">
        <v>301</v>
      </c>
      <c r="J84" s="148" t="s">
        <v>301</v>
      </c>
      <c r="K84" s="148" t="s">
        <v>301</v>
      </c>
      <c r="L84" s="46"/>
      <c r="M84" s="148" t="s">
        <v>301</v>
      </c>
      <c r="N84" s="148" t="s">
        <v>301</v>
      </c>
      <c r="O84" s="148" t="s">
        <v>301</v>
      </c>
      <c r="P84" s="125" t="s">
        <v>301</v>
      </c>
      <c r="Q84" s="125" t="s">
        <v>301</v>
      </c>
      <c r="R84" s="125" t="s">
        <v>301</v>
      </c>
      <c r="S84" s="125" t="s">
        <v>301</v>
      </c>
      <c r="T84" s="125" t="s">
        <v>301</v>
      </c>
      <c r="U84" s="125" t="s">
        <v>301</v>
      </c>
      <c r="V84" s="125" t="s">
        <v>301</v>
      </c>
      <c r="W84" s="125" t="s">
        <v>301</v>
      </c>
      <c r="X84" s="125" t="s">
        <v>301</v>
      </c>
      <c r="Y84" s="148" t="s">
        <v>301</v>
      </c>
      <c r="Z84" s="46"/>
      <c r="AA84" s="148" t="s">
        <v>301</v>
      </c>
      <c r="AB84" s="148" t="s">
        <v>301</v>
      </c>
      <c r="AC84" s="148" t="s">
        <v>301</v>
      </c>
      <c r="AD84" s="148" t="s">
        <v>301</v>
      </c>
      <c r="AE84" s="148" t="s">
        <v>301</v>
      </c>
      <c r="AF84" s="148" t="s">
        <v>301</v>
      </c>
    </row>
    <row r="85" spans="1:32">
      <c r="A85" s="148" t="s">
        <v>301</v>
      </c>
      <c r="B85" s="148" t="s">
        <v>301</v>
      </c>
      <c r="C85" s="309"/>
      <c r="D85" s="174"/>
      <c r="E85" s="148" t="s">
        <v>301</v>
      </c>
      <c r="F85" s="46"/>
      <c r="I85" s="148" t="s">
        <v>301</v>
      </c>
      <c r="J85" s="148" t="s">
        <v>301</v>
      </c>
      <c r="K85" s="148" t="s">
        <v>301</v>
      </c>
      <c r="L85" s="46"/>
      <c r="M85" s="148" t="s">
        <v>301</v>
      </c>
      <c r="N85" s="148" t="s">
        <v>301</v>
      </c>
      <c r="O85" s="148" t="s">
        <v>301</v>
      </c>
      <c r="P85" s="125" t="s">
        <v>301</v>
      </c>
      <c r="Q85" s="125" t="s">
        <v>301</v>
      </c>
      <c r="R85" s="125" t="s">
        <v>301</v>
      </c>
      <c r="S85" s="125" t="s">
        <v>301</v>
      </c>
      <c r="T85" s="125" t="s">
        <v>301</v>
      </c>
      <c r="U85" s="125" t="s">
        <v>301</v>
      </c>
      <c r="V85" s="125" t="s">
        <v>301</v>
      </c>
      <c r="W85" s="125" t="s">
        <v>301</v>
      </c>
      <c r="X85" s="125" t="s">
        <v>301</v>
      </c>
      <c r="Y85" s="148" t="s">
        <v>301</v>
      </c>
      <c r="Z85" s="46"/>
      <c r="AA85" s="148" t="s">
        <v>301</v>
      </c>
      <c r="AB85" s="148" t="s">
        <v>301</v>
      </c>
      <c r="AC85" s="148" t="s">
        <v>301</v>
      </c>
      <c r="AD85" s="148" t="s">
        <v>301</v>
      </c>
      <c r="AE85" s="148" t="s">
        <v>301</v>
      </c>
      <c r="AF85" s="148" t="s">
        <v>301</v>
      </c>
    </row>
    <row r="86" spans="1:32">
      <c r="A86" s="148" t="s">
        <v>301</v>
      </c>
      <c r="B86" s="148" t="s">
        <v>301</v>
      </c>
      <c r="C86" s="309"/>
      <c r="D86" s="174"/>
      <c r="E86" s="148" t="s">
        <v>301</v>
      </c>
      <c r="F86" s="46"/>
      <c r="I86" s="148" t="s">
        <v>301</v>
      </c>
      <c r="J86" s="148" t="s">
        <v>301</v>
      </c>
      <c r="K86" s="148" t="s">
        <v>301</v>
      </c>
      <c r="L86" s="46"/>
      <c r="M86" s="148" t="s">
        <v>301</v>
      </c>
      <c r="N86" s="148" t="s">
        <v>301</v>
      </c>
      <c r="O86" s="148" t="s">
        <v>301</v>
      </c>
      <c r="P86" s="125" t="s">
        <v>301</v>
      </c>
      <c r="Q86" s="125" t="s">
        <v>301</v>
      </c>
      <c r="R86" s="125" t="s">
        <v>301</v>
      </c>
      <c r="S86" s="125" t="s">
        <v>301</v>
      </c>
      <c r="T86" s="125" t="s">
        <v>301</v>
      </c>
      <c r="U86" s="125" t="s">
        <v>301</v>
      </c>
      <c r="V86" s="125" t="s">
        <v>301</v>
      </c>
      <c r="W86" s="125" t="s">
        <v>301</v>
      </c>
      <c r="X86" s="125" t="s">
        <v>301</v>
      </c>
      <c r="Y86" s="148" t="s">
        <v>301</v>
      </c>
      <c r="Z86" s="46"/>
      <c r="AA86" s="148" t="s">
        <v>301</v>
      </c>
      <c r="AB86" s="148" t="s">
        <v>301</v>
      </c>
      <c r="AC86" s="148" t="s">
        <v>301</v>
      </c>
      <c r="AD86" s="148" t="s">
        <v>301</v>
      </c>
      <c r="AE86" s="148" t="s">
        <v>301</v>
      </c>
      <c r="AF86" s="148" t="s">
        <v>301</v>
      </c>
    </row>
    <row r="87" spans="1:32">
      <c r="A87" s="148" t="s">
        <v>301</v>
      </c>
      <c r="B87" s="148" t="s">
        <v>301</v>
      </c>
      <c r="C87" s="309"/>
      <c r="D87" s="174"/>
      <c r="E87" s="148" t="s">
        <v>301</v>
      </c>
      <c r="F87" s="46"/>
      <c r="I87" s="148" t="s">
        <v>301</v>
      </c>
      <c r="J87" s="148" t="s">
        <v>301</v>
      </c>
      <c r="K87" s="148" t="s">
        <v>301</v>
      </c>
      <c r="L87" s="46"/>
      <c r="M87" s="148" t="s">
        <v>301</v>
      </c>
      <c r="N87" s="148" t="s">
        <v>301</v>
      </c>
      <c r="O87" s="148" t="s">
        <v>301</v>
      </c>
      <c r="P87" s="125" t="s">
        <v>301</v>
      </c>
      <c r="Q87" s="125" t="s">
        <v>301</v>
      </c>
      <c r="R87" s="125" t="s">
        <v>301</v>
      </c>
      <c r="S87" s="125" t="s">
        <v>301</v>
      </c>
      <c r="T87" s="125" t="s">
        <v>301</v>
      </c>
      <c r="U87" s="125" t="s">
        <v>301</v>
      </c>
      <c r="V87" s="125" t="s">
        <v>301</v>
      </c>
      <c r="W87" s="125" t="s">
        <v>301</v>
      </c>
      <c r="X87" s="125" t="s">
        <v>301</v>
      </c>
      <c r="Y87" s="148" t="s">
        <v>301</v>
      </c>
      <c r="Z87" s="46"/>
      <c r="AA87" s="148" t="s">
        <v>301</v>
      </c>
      <c r="AB87" s="148" t="s">
        <v>301</v>
      </c>
      <c r="AC87" s="148" t="s">
        <v>301</v>
      </c>
      <c r="AD87" s="148" t="s">
        <v>301</v>
      </c>
      <c r="AE87" s="148" t="s">
        <v>301</v>
      </c>
      <c r="AF87" s="148" t="s">
        <v>301</v>
      </c>
    </row>
    <row r="88" spans="1:32">
      <c r="A88" s="148" t="s">
        <v>301</v>
      </c>
      <c r="B88" s="148" t="s">
        <v>301</v>
      </c>
      <c r="C88" s="309"/>
      <c r="D88" s="174"/>
      <c r="E88" s="148" t="s">
        <v>301</v>
      </c>
      <c r="F88" s="46"/>
      <c r="I88" s="148" t="s">
        <v>301</v>
      </c>
      <c r="J88" s="148" t="s">
        <v>301</v>
      </c>
      <c r="K88" s="148" t="s">
        <v>301</v>
      </c>
      <c r="L88" s="46"/>
      <c r="M88" s="148" t="s">
        <v>301</v>
      </c>
      <c r="N88" s="148" t="s">
        <v>301</v>
      </c>
      <c r="O88" s="148" t="s">
        <v>301</v>
      </c>
      <c r="P88" s="125" t="s">
        <v>301</v>
      </c>
      <c r="Q88" s="125" t="s">
        <v>301</v>
      </c>
      <c r="R88" s="125" t="s">
        <v>301</v>
      </c>
      <c r="S88" s="125" t="s">
        <v>301</v>
      </c>
      <c r="T88" s="125" t="s">
        <v>301</v>
      </c>
      <c r="U88" s="125" t="s">
        <v>301</v>
      </c>
      <c r="V88" s="125" t="s">
        <v>301</v>
      </c>
      <c r="W88" s="125" t="s">
        <v>301</v>
      </c>
      <c r="X88" s="125" t="s">
        <v>301</v>
      </c>
      <c r="Y88" s="148" t="s">
        <v>301</v>
      </c>
      <c r="Z88" s="46"/>
      <c r="AA88" s="148" t="s">
        <v>301</v>
      </c>
      <c r="AB88" s="148" t="s">
        <v>301</v>
      </c>
      <c r="AC88" s="148" t="s">
        <v>301</v>
      </c>
      <c r="AD88" s="148" t="s">
        <v>301</v>
      </c>
      <c r="AE88" s="148" t="s">
        <v>301</v>
      </c>
      <c r="AF88" s="148" t="s">
        <v>301</v>
      </c>
    </row>
    <row r="89" spans="1:32">
      <c r="A89" s="148" t="s">
        <v>301</v>
      </c>
      <c r="B89" s="148" t="s">
        <v>301</v>
      </c>
      <c r="C89" s="309"/>
      <c r="D89" s="174"/>
      <c r="E89" s="148" t="s">
        <v>301</v>
      </c>
      <c r="F89" s="46"/>
      <c r="I89" s="148" t="s">
        <v>301</v>
      </c>
      <c r="J89" s="148" t="s">
        <v>301</v>
      </c>
      <c r="K89" s="148" t="s">
        <v>301</v>
      </c>
      <c r="L89" s="46"/>
      <c r="M89" s="148" t="s">
        <v>301</v>
      </c>
      <c r="N89" s="148" t="s">
        <v>301</v>
      </c>
      <c r="O89" s="148" t="s">
        <v>301</v>
      </c>
      <c r="P89" s="125" t="s">
        <v>301</v>
      </c>
      <c r="Q89" s="125" t="s">
        <v>301</v>
      </c>
      <c r="R89" s="125" t="s">
        <v>301</v>
      </c>
      <c r="S89" s="125" t="s">
        <v>301</v>
      </c>
      <c r="T89" s="125" t="s">
        <v>301</v>
      </c>
      <c r="U89" s="125" t="s">
        <v>301</v>
      </c>
      <c r="V89" s="125" t="s">
        <v>301</v>
      </c>
      <c r="W89" s="125" t="s">
        <v>301</v>
      </c>
      <c r="X89" s="125" t="s">
        <v>301</v>
      </c>
      <c r="Y89" s="148" t="s">
        <v>301</v>
      </c>
      <c r="Z89" s="46"/>
      <c r="AA89" s="148" t="s">
        <v>301</v>
      </c>
      <c r="AB89" s="148" t="s">
        <v>301</v>
      </c>
      <c r="AC89" s="148" t="s">
        <v>301</v>
      </c>
      <c r="AD89" s="148" t="s">
        <v>301</v>
      </c>
      <c r="AE89" s="148" t="s">
        <v>301</v>
      </c>
      <c r="AF89" s="148" t="s">
        <v>301</v>
      </c>
    </row>
    <row r="90" spans="1:32">
      <c r="A90" s="148" t="s">
        <v>301</v>
      </c>
      <c r="B90" s="148" t="s">
        <v>301</v>
      </c>
      <c r="C90" s="309"/>
      <c r="D90" s="174"/>
      <c r="E90" s="148" t="s">
        <v>301</v>
      </c>
      <c r="F90" s="46"/>
      <c r="I90" s="148" t="s">
        <v>301</v>
      </c>
      <c r="J90" s="148" t="s">
        <v>301</v>
      </c>
      <c r="K90" s="148" t="s">
        <v>301</v>
      </c>
      <c r="L90" s="46"/>
      <c r="M90" s="148" t="s">
        <v>301</v>
      </c>
      <c r="N90" s="148" t="s">
        <v>301</v>
      </c>
      <c r="O90" s="148" t="s">
        <v>301</v>
      </c>
      <c r="P90" s="125" t="s">
        <v>301</v>
      </c>
      <c r="Q90" s="125" t="s">
        <v>301</v>
      </c>
      <c r="R90" s="125" t="s">
        <v>301</v>
      </c>
      <c r="S90" s="125" t="s">
        <v>301</v>
      </c>
      <c r="T90" s="125" t="s">
        <v>301</v>
      </c>
      <c r="U90" s="125" t="s">
        <v>301</v>
      </c>
      <c r="V90" s="125" t="s">
        <v>301</v>
      </c>
      <c r="W90" s="125" t="s">
        <v>301</v>
      </c>
      <c r="X90" s="125" t="s">
        <v>301</v>
      </c>
      <c r="Y90" s="148" t="s">
        <v>301</v>
      </c>
      <c r="Z90" s="46"/>
      <c r="AA90" s="148" t="s">
        <v>301</v>
      </c>
      <c r="AB90" s="148" t="s">
        <v>301</v>
      </c>
      <c r="AC90" s="148" t="s">
        <v>301</v>
      </c>
      <c r="AD90" s="148" t="s">
        <v>301</v>
      </c>
      <c r="AE90" s="148" t="s">
        <v>301</v>
      </c>
      <c r="AF90" s="148" t="s">
        <v>301</v>
      </c>
    </row>
    <row r="91" spans="1:32">
      <c r="A91" s="148" t="s">
        <v>301</v>
      </c>
      <c r="B91" s="148" t="s">
        <v>301</v>
      </c>
      <c r="C91" s="309"/>
      <c r="D91" s="174"/>
      <c r="E91" s="148" t="s">
        <v>301</v>
      </c>
      <c r="F91" s="46"/>
      <c r="I91" s="148" t="s">
        <v>301</v>
      </c>
      <c r="J91" s="148" t="s">
        <v>301</v>
      </c>
      <c r="K91" s="148" t="s">
        <v>301</v>
      </c>
      <c r="L91" s="46"/>
      <c r="M91" s="148" t="s">
        <v>301</v>
      </c>
      <c r="N91" s="148" t="s">
        <v>301</v>
      </c>
      <c r="O91" s="148" t="s">
        <v>301</v>
      </c>
      <c r="P91" s="125" t="s">
        <v>301</v>
      </c>
      <c r="Q91" s="125" t="s">
        <v>301</v>
      </c>
      <c r="R91" s="125" t="s">
        <v>301</v>
      </c>
      <c r="S91" s="125" t="s">
        <v>301</v>
      </c>
      <c r="T91" s="125" t="s">
        <v>301</v>
      </c>
      <c r="U91" s="125" t="s">
        <v>301</v>
      </c>
      <c r="V91" s="125" t="s">
        <v>301</v>
      </c>
      <c r="W91" s="125" t="s">
        <v>301</v>
      </c>
      <c r="X91" s="125" t="s">
        <v>301</v>
      </c>
      <c r="Y91" s="148" t="s">
        <v>301</v>
      </c>
      <c r="Z91" s="46"/>
      <c r="AA91" s="148" t="s">
        <v>301</v>
      </c>
      <c r="AB91" s="148" t="s">
        <v>301</v>
      </c>
      <c r="AC91" s="148" t="s">
        <v>301</v>
      </c>
      <c r="AD91" s="148" t="s">
        <v>301</v>
      </c>
      <c r="AE91" s="148" t="s">
        <v>301</v>
      </c>
      <c r="AF91" s="148" t="s">
        <v>301</v>
      </c>
    </row>
    <row r="92" spans="1:32">
      <c r="A92" s="148" t="s">
        <v>301</v>
      </c>
      <c r="B92" s="148" t="s">
        <v>301</v>
      </c>
      <c r="C92" s="309"/>
      <c r="D92" s="174"/>
      <c r="E92" s="148" t="s">
        <v>301</v>
      </c>
      <c r="F92" s="46"/>
      <c r="I92" s="148" t="s">
        <v>301</v>
      </c>
      <c r="J92" s="148" t="s">
        <v>301</v>
      </c>
      <c r="K92" s="148" t="s">
        <v>301</v>
      </c>
      <c r="L92" s="46"/>
      <c r="M92" s="148" t="s">
        <v>301</v>
      </c>
      <c r="N92" s="148" t="s">
        <v>301</v>
      </c>
      <c r="O92" s="148" t="s">
        <v>301</v>
      </c>
      <c r="P92" s="125" t="s">
        <v>301</v>
      </c>
      <c r="Q92" s="125" t="s">
        <v>301</v>
      </c>
      <c r="R92" s="125" t="s">
        <v>301</v>
      </c>
      <c r="S92" s="125" t="s">
        <v>301</v>
      </c>
      <c r="T92" s="125" t="s">
        <v>301</v>
      </c>
      <c r="U92" s="125" t="s">
        <v>301</v>
      </c>
      <c r="V92" s="125" t="s">
        <v>301</v>
      </c>
      <c r="W92" s="125" t="s">
        <v>301</v>
      </c>
      <c r="X92" s="125" t="s">
        <v>301</v>
      </c>
      <c r="Y92" s="148" t="s">
        <v>301</v>
      </c>
      <c r="Z92" s="46"/>
      <c r="AA92" s="148" t="s">
        <v>301</v>
      </c>
      <c r="AB92" s="148" t="s">
        <v>301</v>
      </c>
      <c r="AC92" s="148" t="s">
        <v>301</v>
      </c>
      <c r="AD92" s="148" t="s">
        <v>301</v>
      </c>
      <c r="AE92" s="148" t="s">
        <v>301</v>
      </c>
      <c r="AF92" s="148" t="s">
        <v>301</v>
      </c>
    </row>
    <row r="93" spans="1:32">
      <c r="A93" s="148" t="s">
        <v>301</v>
      </c>
      <c r="B93" s="148" t="s">
        <v>301</v>
      </c>
      <c r="C93" s="309"/>
      <c r="D93" s="174"/>
      <c r="E93" s="148" t="s">
        <v>301</v>
      </c>
      <c r="F93" s="46"/>
      <c r="I93" s="148" t="s">
        <v>301</v>
      </c>
      <c r="J93" s="148" t="s">
        <v>301</v>
      </c>
      <c r="K93" s="148" t="s">
        <v>301</v>
      </c>
      <c r="L93" s="46"/>
      <c r="M93" s="148" t="s">
        <v>301</v>
      </c>
      <c r="N93" s="148" t="s">
        <v>301</v>
      </c>
      <c r="O93" s="148" t="s">
        <v>301</v>
      </c>
      <c r="P93" s="125" t="s">
        <v>301</v>
      </c>
      <c r="Q93" s="125" t="s">
        <v>301</v>
      </c>
      <c r="R93" s="125" t="s">
        <v>301</v>
      </c>
      <c r="S93" s="125" t="s">
        <v>301</v>
      </c>
      <c r="T93" s="125" t="s">
        <v>301</v>
      </c>
      <c r="U93" s="125" t="s">
        <v>301</v>
      </c>
      <c r="V93" s="125" t="s">
        <v>301</v>
      </c>
      <c r="W93" s="125" t="s">
        <v>301</v>
      </c>
      <c r="X93" s="125" t="s">
        <v>301</v>
      </c>
      <c r="Y93" s="148" t="s">
        <v>301</v>
      </c>
      <c r="Z93" s="46"/>
      <c r="AA93" s="148" t="s">
        <v>301</v>
      </c>
      <c r="AB93" s="148" t="s">
        <v>301</v>
      </c>
      <c r="AC93" s="148" t="s">
        <v>301</v>
      </c>
      <c r="AD93" s="148" t="s">
        <v>301</v>
      </c>
      <c r="AE93" s="148" t="s">
        <v>301</v>
      </c>
      <c r="AF93" s="148" t="s">
        <v>301</v>
      </c>
    </row>
    <row r="94" spans="1:32">
      <c r="A94" s="148" t="s">
        <v>301</v>
      </c>
      <c r="B94" s="148" t="s">
        <v>301</v>
      </c>
      <c r="C94" s="309"/>
      <c r="D94" s="174"/>
      <c r="E94" s="148" t="s">
        <v>301</v>
      </c>
      <c r="F94" s="46"/>
      <c r="I94" s="148" t="s">
        <v>301</v>
      </c>
      <c r="J94" s="148" t="s">
        <v>301</v>
      </c>
      <c r="K94" s="148" t="s">
        <v>301</v>
      </c>
      <c r="L94" s="46"/>
      <c r="M94" s="148" t="s">
        <v>301</v>
      </c>
      <c r="N94" s="148" t="s">
        <v>301</v>
      </c>
      <c r="O94" s="148" t="s">
        <v>301</v>
      </c>
      <c r="P94" s="125" t="s">
        <v>301</v>
      </c>
      <c r="Q94" s="125" t="s">
        <v>301</v>
      </c>
      <c r="R94" s="125" t="s">
        <v>301</v>
      </c>
      <c r="S94" s="125" t="s">
        <v>301</v>
      </c>
      <c r="T94" s="125" t="s">
        <v>301</v>
      </c>
      <c r="U94" s="125" t="s">
        <v>301</v>
      </c>
      <c r="V94" s="125" t="s">
        <v>301</v>
      </c>
      <c r="W94" s="125" t="s">
        <v>301</v>
      </c>
      <c r="X94" s="125" t="s">
        <v>301</v>
      </c>
      <c r="Y94" s="148" t="s">
        <v>301</v>
      </c>
      <c r="Z94" s="46"/>
      <c r="AA94" s="148" t="s">
        <v>301</v>
      </c>
      <c r="AB94" s="148" t="s">
        <v>301</v>
      </c>
      <c r="AC94" s="148" t="s">
        <v>301</v>
      </c>
      <c r="AD94" s="148" t="s">
        <v>301</v>
      </c>
      <c r="AE94" s="148" t="s">
        <v>301</v>
      </c>
      <c r="AF94" s="148" t="s">
        <v>301</v>
      </c>
    </row>
    <row r="95" spans="1:32">
      <c r="A95" s="148" t="s">
        <v>301</v>
      </c>
      <c r="B95" s="148" t="s">
        <v>301</v>
      </c>
      <c r="C95" s="309"/>
      <c r="D95" s="174"/>
      <c r="E95" s="148" t="s">
        <v>301</v>
      </c>
      <c r="F95" s="46"/>
      <c r="I95" s="148" t="s">
        <v>301</v>
      </c>
      <c r="J95" s="148" t="s">
        <v>301</v>
      </c>
      <c r="K95" s="148" t="s">
        <v>301</v>
      </c>
      <c r="L95" s="46"/>
      <c r="M95" s="148" t="s">
        <v>301</v>
      </c>
      <c r="N95" s="148" t="s">
        <v>301</v>
      </c>
      <c r="O95" s="148" t="s">
        <v>301</v>
      </c>
      <c r="P95" s="125" t="s">
        <v>301</v>
      </c>
      <c r="Q95" s="125" t="s">
        <v>301</v>
      </c>
      <c r="R95" s="125" t="s">
        <v>301</v>
      </c>
      <c r="S95" s="125" t="s">
        <v>301</v>
      </c>
      <c r="T95" s="125" t="s">
        <v>301</v>
      </c>
      <c r="U95" s="125" t="s">
        <v>301</v>
      </c>
      <c r="V95" s="125" t="s">
        <v>301</v>
      </c>
      <c r="W95" s="125" t="s">
        <v>301</v>
      </c>
      <c r="X95" s="125" t="s">
        <v>301</v>
      </c>
      <c r="Y95" s="148" t="s">
        <v>301</v>
      </c>
      <c r="Z95" s="46"/>
      <c r="AA95" s="148" t="s">
        <v>301</v>
      </c>
      <c r="AB95" s="148" t="s">
        <v>301</v>
      </c>
      <c r="AC95" s="148" t="s">
        <v>301</v>
      </c>
      <c r="AD95" s="148" t="s">
        <v>301</v>
      </c>
      <c r="AE95" s="148" t="s">
        <v>301</v>
      </c>
      <c r="AF95" s="148" t="s">
        <v>301</v>
      </c>
    </row>
    <row r="96" spans="1:32">
      <c r="A96" s="148" t="s">
        <v>301</v>
      </c>
      <c r="B96" s="148" t="s">
        <v>301</v>
      </c>
      <c r="C96" s="309"/>
      <c r="D96" s="174"/>
      <c r="E96" s="148" t="s">
        <v>301</v>
      </c>
      <c r="F96" s="46"/>
      <c r="I96" s="148" t="s">
        <v>301</v>
      </c>
      <c r="J96" s="148" t="s">
        <v>301</v>
      </c>
      <c r="K96" s="148" t="s">
        <v>301</v>
      </c>
      <c r="L96" s="46"/>
      <c r="M96" s="148" t="s">
        <v>301</v>
      </c>
      <c r="N96" s="148" t="s">
        <v>301</v>
      </c>
      <c r="O96" s="148" t="s">
        <v>301</v>
      </c>
      <c r="P96" s="125" t="s">
        <v>301</v>
      </c>
      <c r="Q96" s="125" t="s">
        <v>301</v>
      </c>
      <c r="R96" s="125" t="s">
        <v>301</v>
      </c>
      <c r="S96" s="125" t="s">
        <v>301</v>
      </c>
      <c r="T96" s="125" t="s">
        <v>301</v>
      </c>
      <c r="U96" s="125" t="s">
        <v>301</v>
      </c>
      <c r="V96" s="125" t="s">
        <v>301</v>
      </c>
      <c r="W96" s="125" t="s">
        <v>301</v>
      </c>
      <c r="X96" s="125" t="s">
        <v>301</v>
      </c>
      <c r="Y96" s="148" t="s">
        <v>301</v>
      </c>
      <c r="Z96" s="46"/>
      <c r="AA96" s="148" t="s">
        <v>301</v>
      </c>
      <c r="AB96" s="148" t="s">
        <v>301</v>
      </c>
      <c r="AC96" s="148" t="s">
        <v>301</v>
      </c>
      <c r="AD96" s="148" t="s">
        <v>301</v>
      </c>
      <c r="AE96" s="148" t="s">
        <v>301</v>
      </c>
      <c r="AF96" s="148" t="s">
        <v>301</v>
      </c>
    </row>
    <row r="97" spans="1:32">
      <c r="A97" s="148" t="s">
        <v>301</v>
      </c>
      <c r="B97" s="148" t="s">
        <v>301</v>
      </c>
      <c r="C97" s="309"/>
      <c r="D97" s="174"/>
      <c r="E97" s="148" t="s">
        <v>301</v>
      </c>
      <c r="F97" s="46"/>
      <c r="I97" s="148" t="s">
        <v>301</v>
      </c>
      <c r="J97" s="148" t="s">
        <v>301</v>
      </c>
      <c r="K97" s="148" t="s">
        <v>301</v>
      </c>
      <c r="L97" s="46"/>
      <c r="M97" s="148" t="s">
        <v>301</v>
      </c>
      <c r="N97" s="148" t="s">
        <v>301</v>
      </c>
      <c r="O97" s="148" t="s">
        <v>301</v>
      </c>
      <c r="P97" s="125" t="s">
        <v>301</v>
      </c>
      <c r="Q97" s="125" t="s">
        <v>301</v>
      </c>
      <c r="R97" s="125" t="s">
        <v>301</v>
      </c>
      <c r="S97" s="125" t="s">
        <v>301</v>
      </c>
      <c r="T97" s="125" t="s">
        <v>301</v>
      </c>
      <c r="U97" s="125" t="s">
        <v>301</v>
      </c>
      <c r="V97" s="125" t="s">
        <v>301</v>
      </c>
      <c r="W97" s="125" t="s">
        <v>301</v>
      </c>
      <c r="X97" s="125" t="s">
        <v>301</v>
      </c>
      <c r="Y97" s="148" t="s">
        <v>301</v>
      </c>
      <c r="Z97" s="46"/>
      <c r="AA97" s="148" t="s">
        <v>301</v>
      </c>
      <c r="AB97" s="148" t="s">
        <v>301</v>
      </c>
      <c r="AC97" s="148" t="s">
        <v>301</v>
      </c>
      <c r="AD97" s="148" t="s">
        <v>301</v>
      </c>
      <c r="AE97" s="148" t="s">
        <v>301</v>
      </c>
      <c r="AF97" s="148" t="s">
        <v>301</v>
      </c>
    </row>
    <row r="98" spans="1:32">
      <c r="A98" s="148" t="s">
        <v>301</v>
      </c>
      <c r="B98" s="148" t="s">
        <v>301</v>
      </c>
      <c r="C98" s="309"/>
      <c r="D98" s="174"/>
      <c r="E98" s="148" t="s">
        <v>301</v>
      </c>
      <c r="F98" s="46"/>
      <c r="I98" s="148" t="s">
        <v>301</v>
      </c>
      <c r="J98" s="148" t="s">
        <v>301</v>
      </c>
      <c r="K98" s="148" t="s">
        <v>301</v>
      </c>
      <c r="L98" s="46"/>
      <c r="M98" s="148" t="s">
        <v>301</v>
      </c>
      <c r="N98" s="148" t="s">
        <v>301</v>
      </c>
      <c r="O98" s="148" t="s">
        <v>301</v>
      </c>
      <c r="P98" s="125" t="s">
        <v>301</v>
      </c>
      <c r="Q98" s="125" t="s">
        <v>301</v>
      </c>
      <c r="R98" s="125" t="s">
        <v>301</v>
      </c>
      <c r="S98" s="125" t="s">
        <v>301</v>
      </c>
      <c r="T98" s="125" t="s">
        <v>301</v>
      </c>
      <c r="U98" s="125" t="s">
        <v>301</v>
      </c>
      <c r="V98" s="125" t="s">
        <v>301</v>
      </c>
      <c r="W98" s="125" t="s">
        <v>301</v>
      </c>
      <c r="X98" s="125" t="s">
        <v>301</v>
      </c>
      <c r="Y98" s="148" t="s">
        <v>301</v>
      </c>
      <c r="Z98" s="46"/>
      <c r="AA98" s="148" t="s">
        <v>301</v>
      </c>
      <c r="AB98" s="148" t="s">
        <v>301</v>
      </c>
      <c r="AC98" s="148" t="s">
        <v>301</v>
      </c>
      <c r="AD98" s="148" t="s">
        <v>301</v>
      </c>
      <c r="AE98" s="148" t="s">
        <v>301</v>
      </c>
      <c r="AF98" s="148" t="s">
        <v>301</v>
      </c>
    </row>
    <row r="99" spans="1:32">
      <c r="A99" s="148" t="s">
        <v>301</v>
      </c>
      <c r="B99" s="148" t="s">
        <v>301</v>
      </c>
      <c r="C99" s="309"/>
      <c r="D99" s="174"/>
      <c r="E99" s="148" t="s">
        <v>301</v>
      </c>
      <c r="F99" s="46"/>
      <c r="I99" s="148" t="s">
        <v>301</v>
      </c>
      <c r="J99" s="148" t="s">
        <v>301</v>
      </c>
      <c r="K99" s="148" t="s">
        <v>301</v>
      </c>
      <c r="L99" s="46"/>
      <c r="M99" s="148" t="s">
        <v>301</v>
      </c>
      <c r="N99" s="148" t="s">
        <v>301</v>
      </c>
      <c r="O99" s="148" t="s">
        <v>301</v>
      </c>
      <c r="P99" s="125" t="s">
        <v>301</v>
      </c>
      <c r="Q99" s="125" t="s">
        <v>301</v>
      </c>
      <c r="R99" s="125" t="s">
        <v>301</v>
      </c>
      <c r="S99" s="125" t="s">
        <v>301</v>
      </c>
      <c r="T99" s="125" t="s">
        <v>301</v>
      </c>
      <c r="U99" s="125" t="s">
        <v>301</v>
      </c>
      <c r="V99" s="125" t="s">
        <v>301</v>
      </c>
      <c r="W99" s="125" t="s">
        <v>301</v>
      </c>
      <c r="X99" s="125" t="s">
        <v>301</v>
      </c>
      <c r="Y99" s="148" t="s">
        <v>301</v>
      </c>
      <c r="Z99" s="46"/>
      <c r="AA99" s="148" t="s">
        <v>301</v>
      </c>
      <c r="AB99" s="148" t="s">
        <v>301</v>
      </c>
      <c r="AC99" s="148" t="s">
        <v>301</v>
      </c>
      <c r="AD99" s="148" t="s">
        <v>301</v>
      </c>
      <c r="AE99" s="148" t="s">
        <v>301</v>
      </c>
      <c r="AF99" s="148" t="s">
        <v>301</v>
      </c>
    </row>
    <row r="100" spans="1:32">
      <c r="A100" s="148" t="s">
        <v>301</v>
      </c>
      <c r="B100" s="148" t="s">
        <v>301</v>
      </c>
      <c r="C100" s="309"/>
      <c r="D100" s="174"/>
      <c r="E100" s="148" t="s">
        <v>301</v>
      </c>
      <c r="F100" s="46"/>
      <c r="I100" s="148" t="s">
        <v>301</v>
      </c>
      <c r="J100" s="148" t="s">
        <v>301</v>
      </c>
      <c r="K100" s="148" t="s">
        <v>301</v>
      </c>
      <c r="L100" s="46"/>
      <c r="M100" s="148" t="s">
        <v>301</v>
      </c>
      <c r="N100" s="148" t="s">
        <v>301</v>
      </c>
      <c r="O100" s="148" t="s">
        <v>301</v>
      </c>
      <c r="P100" s="125" t="s">
        <v>301</v>
      </c>
      <c r="Q100" s="125" t="s">
        <v>301</v>
      </c>
      <c r="R100" s="125" t="s">
        <v>301</v>
      </c>
      <c r="S100" s="125" t="s">
        <v>301</v>
      </c>
      <c r="T100" s="125" t="s">
        <v>301</v>
      </c>
      <c r="U100" s="125" t="s">
        <v>301</v>
      </c>
      <c r="V100" s="125" t="s">
        <v>301</v>
      </c>
      <c r="W100" s="125" t="s">
        <v>301</v>
      </c>
      <c r="X100" s="125" t="s">
        <v>301</v>
      </c>
      <c r="Y100" s="148" t="s">
        <v>301</v>
      </c>
      <c r="Z100" s="46"/>
      <c r="AA100" s="148" t="s">
        <v>301</v>
      </c>
      <c r="AB100" s="148" t="s">
        <v>301</v>
      </c>
      <c r="AC100" s="148" t="s">
        <v>301</v>
      </c>
      <c r="AD100" s="148" t="s">
        <v>301</v>
      </c>
      <c r="AE100" s="148" t="s">
        <v>301</v>
      </c>
      <c r="AF100" s="148" t="s">
        <v>301</v>
      </c>
    </row>
    <row r="101" spans="1:32">
      <c r="A101" s="148" t="s">
        <v>301</v>
      </c>
      <c r="B101" s="148" t="s">
        <v>301</v>
      </c>
      <c r="C101" s="309"/>
      <c r="D101" s="174"/>
      <c r="E101" s="148" t="s">
        <v>301</v>
      </c>
      <c r="F101" s="46"/>
      <c r="I101" s="148" t="s">
        <v>301</v>
      </c>
      <c r="J101" s="148" t="s">
        <v>301</v>
      </c>
      <c r="K101" s="148" t="s">
        <v>301</v>
      </c>
      <c r="L101" s="46"/>
      <c r="M101" s="148" t="s">
        <v>301</v>
      </c>
      <c r="N101" s="148" t="s">
        <v>301</v>
      </c>
      <c r="O101" s="148" t="s">
        <v>301</v>
      </c>
      <c r="P101" s="125" t="s">
        <v>301</v>
      </c>
      <c r="Q101" s="125" t="s">
        <v>301</v>
      </c>
      <c r="R101" s="125" t="s">
        <v>301</v>
      </c>
      <c r="S101" s="125" t="s">
        <v>301</v>
      </c>
      <c r="T101" s="125" t="s">
        <v>301</v>
      </c>
      <c r="U101" s="125" t="s">
        <v>301</v>
      </c>
      <c r="V101" s="125" t="s">
        <v>301</v>
      </c>
      <c r="W101" s="125" t="s">
        <v>301</v>
      </c>
      <c r="X101" s="125" t="s">
        <v>301</v>
      </c>
      <c r="Y101" s="148" t="s">
        <v>301</v>
      </c>
      <c r="Z101" s="46"/>
      <c r="AA101" s="148" t="s">
        <v>301</v>
      </c>
      <c r="AB101" s="148" t="s">
        <v>301</v>
      </c>
      <c r="AC101" s="148" t="s">
        <v>301</v>
      </c>
      <c r="AD101" s="148" t="s">
        <v>301</v>
      </c>
      <c r="AE101" s="148" t="s">
        <v>301</v>
      </c>
      <c r="AF101" s="148" t="s">
        <v>301</v>
      </c>
    </row>
    <row r="102" spans="1:32">
      <c r="A102" s="148" t="s">
        <v>301</v>
      </c>
      <c r="B102" s="148" t="s">
        <v>301</v>
      </c>
      <c r="C102" s="309"/>
      <c r="D102" s="174"/>
      <c r="E102" s="148" t="s">
        <v>301</v>
      </c>
      <c r="F102" s="46"/>
      <c r="I102" s="148" t="s">
        <v>301</v>
      </c>
      <c r="J102" s="148" t="s">
        <v>301</v>
      </c>
      <c r="K102" s="148" t="s">
        <v>301</v>
      </c>
      <c r="L102" s="46"/>
      <c r="M102" s="148" t="s">
        <v>301</v>
      </c>
      <c r="N102" s="148" t="s">
        <v>301</v>
      </c>
      <c r="O102" s="148" t="s">
        <v>301</v>
      </c>
      <c r="P102" s="125" t="s">
        <v>301</v>
      </c>
      <c r="Q102" s="125" t="s">
        <v>301</v>
      </c>
      <c r="R102" s="125" t="s">
        <v>301</v>
      </c>
      <c r="S102" s="125" t="s">
        <v>301</v>
      </c>
      <c r="T102" s="125" t="s">
        <v>301</v>
      </c>
      <c r="U102" s="125" t="s">
        <v>301</v>
      </c>
      <c r="V102" s="125" t="s">
        <v>301</v>
      </c>
      <c r="W102" s="125" t="s">
        <v>301</v>
      </c>
      <c r="X102" s="125" t="s">
        <v>301</v>
      </c>
      <c r="Y102" s="148" t="s">
        <v>301</v>
      </c>
      <c r="Z102" s="46"/>
      <c r="AA102" s="148" t="s">
        <v>301</v>
      </c>
      <c r="AB102" s="148" t="s">
        <v>301</v>
      </c>
      <c r="AC102" s="148" t="s">
        <v>301</v>
      </c>
      <c r="AD102" s="148" t="s">
        <v>301</v>
      </c>
      <c r="AE102" s="148" t="s">
        <v>301</v>
      </c>
      <c r="AF102" s="148" t="s">
        <v>301</v>
      </c>
    </row>
    <row r="103" spans="1:32">
      <c r="A103" s="148" t="s">
        <v>301</v>
      </c>
      <c r="B103" s="148" t="s">
        <v>301</v>
      </c>
      <c r="C103" s="309"/>
      <c r="D103" s="174"/>
      <c r="E103" s="148" t="s">
        <v>301</v>
      </c>
      <c r="F103" s="46"/>
      <c r="I103" s="148" t="s">
        <v>301</v>
      </c>
      <c r="J103" s="148" t="s">
        <v>301</v>
      </c>
      <c r="K103" s="148" t="s">
        <v>301</v>
      </c>
      <c r="L103" s="46"/>
      <c r="M103" s="148" t="s">
        <v>301</v>
      </c>
      <c r="N103" s="148" t="s">
        <v>301</v>
      </c>
      <c r="O103" s="148" t="s">
        <v>301</v>
      </c>
      <c r="P103" s="125" t="s">
        <v>301</v>
      </c>
      <c r="Q103" s="125" t="s">
        <v>301</v>
      </c>
      <c r="R103" s="125" t="s">
        <v>301</v>
      </c>
      <c r="S103" s="125" t="s">
        <v>301</v>
      </c>
      <c r="T103" s="125" t="s">
        <v>301</v>
      </c>
      <c r="U103" s="125" t="s">
        <v>301</v>
      </c>
      <c r="V103" s="125" t="s">
        <v>301</v>
      </c>
      <c r="W103" s="125" t="s">
        <v>301</v>
      </c>
      <c r="X103" s="125" t="s">
        <v>301</v>
      </c>
      <c r="Y103" s="148" t="s">
        <v>301</v>
      </c>
      <c r="Z103" s="46"/>
      <c r="AA103" s="148" t="s">
        <v>301</v>
      </c>
      <c r="AB103" s="148" t="s">
        <v>301</v>
      </c>
      <c r="AC103" s="148" t="s">
        <v>301</v>
      </c>
      <c r="AD103" s="148" t="s">
        <v>301</v>
      </c>
      <c r="AE103" s="148" t="s">
        <v>301</v>
      </c>
      <c r="AF103" s="148" t="s">
        <v>301</v>
      </c>
    </row>
    <row r="104" spans="1:32">
      <c r="A104" s="148" t="s">
        <v>301</v>
      </c>
      <c r="B104" s="148" t="s">
        <v>301</v>
      </c>
      <c r="C104" s="309"/>
      <c r="D104" s="174"/>
      <c r="E104" s="148" t="s">
        <v>301</v>
      </c>
      <c r="F104" s="46"/>
      <c r="I104" s="148" t="s">
        <v>301</v>
      </c>
      <c r="J104" s="148" t="s">
        <v>301</v>
      </c>
      <c r="K104" s="148" t="s">
        <v>301</v>
      </c>
      <c r="L104" s="46"/>
      <c r="M104" s="148" t="s">
        <v>301</v>
      </c>
      <c r="N104" s="148" t="s">
        <v>301</v>
      </c>
      <c r="O104" s="148" t="s">
        <v>301</v>
      </c>
      <c r="P104" s="125" t="s">
        <v>301</v>
      </c>
      <c r="Q104" s="125" t="s">
        <v>301</v>
      </c>
      <c r="R104" s="125" t="s">
        <v>301</v>
      </c>
      <c r="S104" s="125" t="s">
        <v>301</v>
      </c>
      <c r="T104" s="125" t="s">
        <v>301</v>
      </c>
      <c r="U104" s="125" t="s">
        <v>301</v>
      </c>
      <c r="V104" s="125" t="s">
        <v>301</v>
      </c>
      <c r="W104" s="125" t="s">
        <v>301</v>
      </c>
      <c r="X104" s="125" t="s">
        <v>301</v>
      </c>
      <c r="Y104" s="148" t="s">
        <v>301</v>
      </c>
      <c r="Z104" s="46"/>
      <c r="AA104" s="148" t="s">
        <v>301</v>
      </c>
      <c r="AB104" s="148" t="s">
        <v>301</v>
      </c>
      <c r="AC104" s="148" t="s">
        <v>301</v>
      </c>
      <c r="AD104" s="148" t="s">
        <v>301</v>
      </c>
      <c r="AE104" s="148" t="s">
        <v>301</v>
      </c>
      <c r="AF104" s="148" t="s">
        <v>301</v>
      </c>
    </row>
    <row r="105" spans="1:32">
      <c r="A105" s="148" t="s">
        <v>301</v>
      </c>
      <c r="B105" s="148" t="s">
        <v>301</v>
      </c>
      <c r="C105" s="309"/>
      <c r="D105" s="174"/>
      <c r="E105" s="148" t="s">
        <v>301</v>
      </c>
      <c r="F105" s="46"/>
      <c r="I105" s="148" t="s">
        <v>301</v>
      </c>
      <c r="J105" s="148" t="s">
        <v>301</v>
      </c>
      <c r="K105" s="148" t="s">
        <v>301</v>
      </c>
      <c r="L105" s="46"/>
      <c r="M105" s="148" t="s">
        <v>301</v>
      </c>
      <c r="N105" s="148" t="s">
        <v>301</v>
      </c>
      <c r="O105" s="148" t="s">
        <v>301</v>
      </c>
      <c r="P105" s="125" t="s">
        <v>301</v>
      </c>
      <c r="Q105" s="125" t="s">
        <v>301</v>
      </c>
      <c r="R105" s="125" t="s">
        <v>301</v>
      </c>
      <c r="S105" s="125" t="s">
        <v>301</v>
      </c>
      <c r="T105" s="125" t="s">
        <v>301</v>
      </c>
      <c r="U105" s="125" t="s">
        <v>301</v>
      </c>
      <c r="V105" s="125" t="s">
        <v>301</v>
      </c>
      <c r="W105" s="125" t="s">
        <v>301</v>
      </c>
      <c r="X105" s="125" t="s">
        <v>301</v>
      </c>
      <c r="Y105" s="148" t="s">
        <v>301</v>
      </c>
      <c r="Z105" s="46"/>
      <c r="AA105" s="148" t="s">
        <v>301</v>
      </c>
      <c r="AB105" s="148" t="s">
        <v>301</v>
      </c>
      <c r="AC105" s="148" t="s">
        <v>301</v>
      </c>
      <c r="AD105" s="148" t="s">
        <v>301</v>
      </c>
      <c r="AE105" s="148" t="s">
        <v>301</v>
      </c>
      <c r="AF105" s="148" t="s">
        <v>301</v>
      </c>
    </row>
    <row r="106" spans="1:32">
      <c r="A106" s="148" t="s">
        <v>301</v>
      </c>
      <c r="B106" s="148" t="s">
        <v>301</v>
      </c>
      <c r="C106" s="309"/>
      <c r="D106" s="174"/>
      <c r="E106" s="148" t="s">
        <v>301</v>
      </c>
      <c r="F106" s="46"/>
      <c r="I106" s="148" t="s">
        <v>301</v>
      </c>
      <c r="J106" s="148" t="s">
        <v>301</v>
      </c>
      <c r="K106" s="148" t="s">
        <v>301</v>
      </c>
      <c r="L106" s="46"/>
      <c r="M106" s="148" t="s">
        <v>301</v>
      </c>
      <c r="N106" s="148" t="s">
        <v>301</v>
      </c>
      <c r="O106" s="148" t="s">
        <v>301</v>
      </c>
      <c r="P106" s="125" t="s">
        <v>301</v>
      </c>
      <c r="Q106" s="125" t="s">
        <v>301</v>
      </c>
      <c r="R106" s="125" t="s">
        <v>301</v>
      </c>
      <c r="S106" s="125" t="s">
        <v>301</v>
      </c>
      <c r="T106" s="125" t="s">
        <v>301</v>
      </c>
      <c r="U106" s="125" t="s">
        <v>301</v>
      </c>
      <c r="V106" s="125" t="s">
        <v>301</v>
      </c>
      <c r="W106" s="125" t="s">
        <v>301</v>
      </c>
      <c r="X106" s="125" t="s">
        <v>301</v>
      </c>
      <c r="Y106" s="148" t="s">
        <v>301</v>
      </c>
      <c r="Z106" s="46"/>
      <c r="AA106" s="148" t="s">
        <v>301</v>
      </c>
      <c r="AB106" s="148" t="s">
        <v>301</v>
      </c>
      <c r="AC106" s="148" t="s">
        <v>301</v>
      </c>
      <c r="AD106" s="148" t="s">
        <v>301</v>
      </c>
      <c r="AE106" s="148" t="s">
        <v>301</v>
      </c>
      <c r="AF106" s="148" t="s">
        <v>301</v>
      </c>
    </row>
    <row r="107" spans="1:32">
      <c r="A107" s="148" t="s">
        <v>301</v>
      </c>
      <c r="B107" s="148" t="s">
        <v>301</v>
      </c>
      <c r="C107" s="309"/>
      <c r="D107" s="174"/>
      <c r="E107" s="148" t="s">
        <v>301</v>
      </c>
      <c r="F107" s="46"/>
      <c r="I107" s="148" t="s">
        <v>301</v>
      </c>
      <c r="J107" s="148" t="s">
        <v>301</v>
      </c>
      <c r="K107" s="148" t="s">
        <v>301</v>
      </c>
      <c r="L107" s="46"/>
      <c r="M107" s="148" t="s">
        <v>301</v>
      </c>
      <c r="N107" s="148" t="s">
        <v>301</v>
      </c>
      <c r="O107" s="148" t="s">
        <v>301</v>
      </c>
      <c r="P107" s="125" t="s">
        <v>301</v>
      </c>
      <c r="Q107" s="125" t="s">
        <v>301</v>
      </c>
      <c r="R107" s="125" t="s">
        <v>301</v>
      </c>
      <c r="S107" s="178" t="s">
        <v>301</v>
      </c>
      <c r="T107" s="125" t="s">
        <v>301</v>
      </c>
      <c r="U107" s="125" t="s">
        <v>301</v>
      </c>
      <c r="V107" s="125" t="s">
        <v>301</v>
      </c>
      <c r="W107" s="125" t="s">
        <v>301</v>
      </c>
      <c r="X107" s="125" t="s">
        <v>301</v>
      </c>
      <c r="Y107" s="148" t="s">
        <v>301</v>
      </c>
      <c r="Z107" s="46"/>
      <c r="AA107" s="148" t="s">
        <v>301</v>
      </c>
      <c r="AB107" s="148" t="s">
        <v>301</v>
      </c>
      <c r="AC107" s="148" t="s">
        <v>301</v>
      </c>
      <c r="AD107" s="148" t="s">
        <v>301</v>
      </c>
      <c r="AE107" s="148" t="s">
        <v>301</v>
      </c>
      <c r="AF107" s="148" t="s">
        <v>301</v>
      </c>
    </row>
    <row r="108" spans="1:32">
      <c r="A108" s="148" t="s">
        <v>301</v>
      </c>
      <c r="B108" s="148" t="s">
        <v>301</v>
      </c>
      <c r="C108" s="309"/>
      <c r="D108" s="174"/>
      <c r="E108" s="148" t="s">
        <v>301</v>
      </c>
      <c r="F108" s="46"/>
      <c r="I108" s="148" t="s">
        <v>301</v>
      </c>
      <c r="J108" s="148" t="s">
        <v>301</v>
      </c>
      <c r="K108" s="148" t="s">
        <v>301</v>
      </c>
      <c r="L108" s="46"/>
      <c r="M108" s="148" t="s">
        <v>301</v>
      </c>
      <c r="N108" s="148" t="s">
        <v>301</v>
      </c>
      <c r="O108" s="148" t="s">
        <v>301</v>
      </c>
      <c r="P108" s="125" t="s">
        <v>301</v>
      </c>
      <c r="Q108" s="125" t="s">
        <v>301</v>
      </c>
      <c r="R108" s="125" t="s">
        <v>301</v>
      </c>
      <c r="S108" s="125" t="s">
        <v>301</v>
      </c>
      <c r="T108" s="125" t="s">
        <v>301</v>
      </c>
      <c r="U108" s="125" t="s">
        <v>301</v>
      </c>
      <c r="V108" s="125" t="s">
        <v>301</v>
      </c>
      <c r="W108" s="125" t="s">
        <v>301</v>
      </c>
      <c r="X108" s="125" t="s">
        <v>301</v>
      </c>
      <c r="Y108" s="148" t="s">
        <v>301</v>
      </c>
      <c r="Z108" s="46"/>
      <c r="AA108" s="148" t="s">
        <v>301</v>
      </c>
      <c r="AB108" s="148" t="s">
        <v>301</v>
      </c>
      <c r="AC108" s="148" t="s">
        <v>301</v>
      </c>
      <c r="AD108" s="148" t="s">
        <v>301</v>
      </c>
      <c r="AE108" s="148" t="s">
        <v>301</v>
      </c>
      <c r="AF108" s="148" t="s">
        <v>301</v>
      </c>
    </row>
    <row r="109" spans="1:32">
      <c r="A109" s="148" t="s">
        <v>301</v>
      </c>
      <c r="B109" s="148" t="s">
        <v>301</v>
      </c>
      <c r="C109" s="309"/>
      <c r="D109" s="174"/>
      <c r="E109" s="148" t="s">
        <v>301</v>
      </c>
      <c r="F109" s="46"/>
      <c r="I109" s="148" t="s">
        <v>301</v>
      </c>
      <c r="J109" s="148" t="s">
        <v>301</v>
      </c>
      <c r="K109" s="148" t="s">
        <v>301</v>
      </c>
      <c r="L109" s="46"/>
      <c r="M109" s="148" t="s">
        <v>301</v>
      </c>
      <c r="N109" s="148" t="s">
        <v>301</v>
      </c>
      <c r="O109" s="148" t="s">
        <v>301</v>
      </c>
      <c r="P109" s="125" t="s">
        <v>301</v>
      </c>
      <c r="Q109" s="125" t="s">
        <v>301</v>
      </c>
      <c r="R109" s="125" t="s">
        <v>301</v>
      </c>
      <c r="S109" s="125" t="s">
        <v>301</v>
      </c>
      <c r="T109" s="125" t="s">
        <v>301</v>
      </c>
      <c r="U109" s="125" t="s">
        <v>301</v>
      </c>
      <c r="V109" s="125" t="s">
        <v>301</v>
      </c>
      <c r="W109" s="125" t="s">
        <v>301</v>
      </c>
      <c r="X109" s="125" t="s">
        <v>301</v>
      </c>
      <c r="Y109" s="148" t="s">
        <v>301</v>
      </c>
      <c r="Z109" s="46"/>
      <c r="AA109" s="148" t="s">
        <v>301</v>
      </c>
      <c r="AB109" s="148" t="s">
        <v>301</v>
      </c>
      <c r="AC109" s="148" t="s">
        <v>301</v>
      </c>
      <c r="AD109" s="148" t="s">
        <v>301</v>
      </c>
      <c r="AE109" s="148" t="s">
        <v>301</v>
      </c>
      <c r="AF109" s="148" t="s">
        <v>301</v>
      </c>
    </row>
    <row r="110" spans="1:32">
      <c r="A110" s="148" t="s">
        <v>301</v>
      </c>
      <c r="B110" s="148" t="s">
        <v>301</v>
      </c>
      <c r="C110" s="309"/>
      <c r="D110" s="174"/>
      <c r="E110" s="148" t="s">
        <v>301</v>
      </c>
      <c r="F110" s="46"/>
      <c r="I110" s="148" t="s">
        <v>301</v>
      </c>
      <c r="J110" s="148" t="s">
        <v>301</v>
      </c>
      <c r="K110" s="148" t="s">
        <v>301</v>
      </c>
      <c r="L110" s="46"/>
      <c r="M110" s="148" t="s">
        <v>301</v>
      </c>
      <c r="N110" s="148" t="s">
        <v>301</v>
      </c>
      <c r="O110" s="148" t="s">
        <v>301</v>
      </c>
      <c r="P110" s="125" t="s">
        <v>301</v>
      </c>
      <c r="Q110" s="125" t="s">
        <v>301</v>
      </c>
      <c r="R110" s="125" t="s">
        <v>301</v>
      </c>
      <c r="S110" s="125" t="s">
        <v>301</v>
      </c>
      <c r="T110" s="125" t="s">
        <v>301</v>
      </c>
      <c r="U110" s="125" t="s">
        <v>301</v>
      </c>
      <c r="V110" s="125" t="s">
        <v>301</v>
      </c>
      <c r="W110" s="125" t="s">
        <v>301</v>
      </c>
      <c r="X110" s="125" t="s">
        <v>301</v>
      </c>
      <c r="Y110" s="148" t="s">
        <v>301</v>
      </c>
      <c r="Z110" s="46"/>
      <c r="AA110" s="148" t="s">
        <v>301</v>
      </c>
      <c r="AB110" s="148" t="s">
        <v>301</v>
      </c>
      <c r="AC110" s="148" t="s">
        <v>301</v>
      </c>
      <c r="AD110" s="148" t="s">
        <v>301</v>
      </c>
      <c r="AE110" s="148" t="s">
        <v>301</v>
      </c>
      <c r="AF110" s="148" t="s">
        <v>301</v>
      </c>
    </row>
    <row r="111" spans="1:32">
      <c r="A111" s="148" t="s">
        <v>301</v>
      </c>
      <c r="B111" s="148" t="s">
        <v>301</v>
      </c>
      <c r="C111" s="309"/>
      <c r="D111" s="174"/>
      <c r="E111" s="148" t="s">
        <v>301</v>
      </c>
      <c r="F111" s="46"/>
      <c r="I111" s="148" t="s">
        <v>301</v>
      </c>
      <c r="J111" s="148" t="s">
        <v>301</v>
      </c>
      <c r="K111" s="148" t="s">
        <v>301</v>
      </c>
      <c r="L111" s="46"/>
      <c r="M111" s="148" t="s">
        <v>301</v>
      </c>
      <c r="N111" s="148" t="s">
        <v>301</v>
      </c>
      <c r="O111" s="148" t="s">
        <v>301</v>
      </c>
      <c r="P111" s="148" t="s">
        <v>301</v>
      </c>
      <c r="Q111" s="148" t="s">
        <v>301</v>
      </c>
      <c r="R111" s="148" t="s">
        <v>301</v>
      </c>
      <c r="S111" s="148" t="s">
        <v>301</v>
      </c>
      <c r="T111" s="125" t="s">
        <v>301</v>
      </c>
      <c r="U111" s="125" t="s">
        <v>301</v>
      </c>
      <c r="V111" s="125" t="s">
        <v>301</v>
      </c>
      <c r="W111" s="125" t="s">
        <v>301</v>
      </c>
      <c r="X111" s="125" t="s">
        <v>301</v>
      </c>
      <c r="Y111" s="148" t="s">
        <v>301</v>
      </c>
      <c r="Z111" s="46"/>
      <c r="AA111" s="148" t="s">
        <v>301</v>
      </c>
      <c r="AB111" s="148" t="s">
        <v>301</v>
      </c>
      <c r="AC111" s="148" t="s">
        <v>301</v>
      </c>
      <c r="AD111" s="148" t="s">
        <v>301</v>
      </c>
      <c r="AE111" s="148" t="s">
        <v>301</v>
      </c>
      <c r="AF111" s="148" t="s">
        <v>301</v>
      </c>
    </row>
    <row r="112" spans="1:32">
      <c r="A112" s="148" t="s">
        <v>301</v>
      </c>
      <c r="B112" s="148" t="s">
        <v>301</v>
      </c>
      <c r="C112" s="309"/>
      <c r="D112" s="174"/>
      <c r="E112" s="148" t="s">
        <v>301</v>
      </c>
      <c r="F112" s="46"/>
      <c r="I112" s="148" t="s">
        <v>301</v>
      </c>
      <c r="J112" s="148" t="s">
        <v>301</v>
      </c>
      <c r="K112" s="148" t="s">
        <v>301</v>
      </c>
      <c r="L112" s="46"/>
      <c r="M112" s="148" t="s">
        <v>301</v>
      </c>
      <c r="N112" s="148" t="s">
        <v>301</v>
      </c>
      <c r="O112" s="148" t="s">
        <v>301</v>
      </c>
      <c r="P112" s="125" t="s">
        <v>301</v>
      </c>
      <c r="Q112" s="125" t="s">
        <v>301</v>
      </c>
      <c r="R112" s="125" t="s">
        <v>301</v>
      </c>
      <c r="S112" s="125" t="s">
        <v>301</v>
      </c>
      <c r="T112" s="125" t="s">
        <v>301</v>
      </c>
      <c r="U112" s="125" t="s">
        <v>301</v>
      </c>
      <c r="V112" s="125" t="s">
        <v>301</v>
      </c>
      <c r="W112" s="125" t="s">
        <v>301</v>
      </c>
      <c r="X112" s="125" t="s">
        <v>301</v>
      </c>
      <c r="Y112" s="148" t="s">
        <v>301</v>
      </c>
      <c r="Z112" s="46"/>
      <c r="AA112" s="148" t="s">
        <v>301</v>
      </c>
      <c r="AB112" s="148" t="s">
        <v>301</v>
      </c>
      <c r="AC112" s="148" t="s">
        <v>301</v>
      </c>
      <c r="AD112" s="148" t="s">
        <v>301</v>
      </c>
      <c r="AE112" s="148" t="s">
        <v>301</v>
      </c>
      <c r="AF112" s="148" t="s">
        <v>301</v>
      </c>
    </row>
    <row r="113" spans="1:32">
      <c r="A113" s="148" t="s">
        <v>301</v>
      </c>
      <c r="B113" s="148" t="s">
        <v>301</v>
      </c>
      <c r="C113" s="309"/>
      <c r="D113" s="174"/>
      <c r="E113" s="148" t="s">
        <v>301</v>
      </c>
      <c r="F113" s="46"/>
      <c r="I113" s="148" t="s">
        <v>301</v>
      </c>
      <c r="J113" s="148" t="s">
        <v>301</v>
      </c>
      <c r="K113" s="148" t="s">
        <v>301</v>
      </c>
      <c r="L113" s="46"/>
      <c r="M113" s="148" t="s">
        <v>301</v>
      </c>
      <c r="N113" s="148" t="s">
        <v>301</v>
      </c>
      <c r="O113" s="148" t="s">
        <v>301</v>
      </c>
      <c r="P113" s="125" t="s">
        <v>301</v>
      </c>
      <c r="Q113" s="125" t="s">
        <v>301</v>
      </c>
      <c r="R113" s="125" t="s">
        <v>301</v>
      </c>
      <c r="S113" s="125" t="s">
        <v>301</v>
      </c>
      <c r="T113" s="125" t="s">
        <v>301</v>
      </c>
      <c r="U113" s="125" t="s">
        <v>301</v>
      </c>
      <c r="V113" s="125" t="s">
        <v>301</v>
      </c>
      <c r="W113" s="125" t="s">
        <v>301</v>
      </c>
      <c r="X113" s="125" t="s">
        <v>301</v>
      </c>
      <c r="Y113" s="148" t="s">
        <v>301</v>
      </c>
      <c r="Z113" s="46"/>
      <c r="AA113" s="148" t="s">
        <v>301</v>
      </c>
      <c r="AB113" s="148" t="s">
        <v>301</v>
      </c>
      <c r="AC113" s="148" t="s">
        <v>301</v>
      </c>
      <c r="AD113" s="148" t="s">
        <v>301</v>
      </c>
      <c r="AE113" s="148" t="s">
        <v>301</v>
      </c>
      <c r="AF113" s="148" t="s">
        <v>301</v>
      </c>
    </row>
    <row r="114" spans="1:32">
      <c r="A114" s="148" t="s">
        <v>301</v>
      </c>
      <c r="B114" s="148" t="s">
        <v>301</v>
      </c>
      <c r="C114" s="309"/>
      <c r="D114" s="174"/>
      <c r="E114" s="148" t="s">
        <v>301</v>
      </c>
      <c r="F114" s="46"/>
      <c r="I114" s="148" t="s">
        <v>301</v>
      </c>
      <c r="J114" s="148" t="s">
        <v>301</v>
      </c>
      <c r="K114" s="148" t="s">
        <v>301</v>
      </c>
      <c r="L114" s="46"/>
      <c r="M114" s="148" t="s">
        <v>301</v>
      </c>
      <c r="N114" s="148" t="s">
        <v>301</v>
      </c>
      <c r="O114" s="148" t="s">
        <v>301</v>
      </c>
      <c r="P114" s="125" t="s">
        <v>301</v>
      </c>
      <c r="Q114" s="125" t="s">
        <v>301</v>
      </c>
      <c r="R114" s="125" t="s">
        <v>301</v>
      </c>
      <c r="S114" s="125" t="s">
        <v>301</v>
      </c>
      <c r="T114" s="125" t="s">
        <v>301</v>
      </c>
      <c r="U114" s="125" t="s">
        <v>301</v>
      </c>
      <c r="V114" s="125" t="s">
        <v>301</v>
      </c>
      <c r="W114" s="125" t="s">
        <v>301</v>
      </c>
      <c r="X114" s="125" t="s">
        <v>301</v>
      </c>
      <c r="Y114" s="148" t="s">
        <v>301</v>
      </c>
      <c r="Z114" s="46"/>
      <c r="AA114" s="148" t="s">
        <v>301</v>
      </c>
      <c r="AB114" s="148" t="s">
        <v>301</v>
      </c>
      <c r="AC114" s="148" t="s">
        <v>301</v>
      </c>
      <c r="AD114" s="148" t="s">
        <v>301</v>
      </c>
      <c r="AE114" s="148" t="s">
        <v>301</v>
      </c>
      <c r="AF114" s="148" t="s">
        <v>301</v>
      </c>
    </row>
    <row r="115" spans="1:32">
      <c r="A115" s="148" t="s">
        <v>301</v>
      </c>
      <c r="B115" s="148" t="s">
        <v>301</v>
      </c>
      <c r="C115" s="309"/>
      <c r="D115" s="174"/>
      <c r="E115" s="148" t="s">
        <v>301</v>
      </c>
      <c r="F115" s="46"/>
      <c r="I115" s="148" t="s">
        <v>301</v>
      </c>
      <c r="J115" s="148" t="s">
        <v>301</v>
      </c>
      <c r="K115" s="148" t="s">
        <v>301</v>
      </c>
      <c r="L115" s="46"/>
      <c r="M115" s="148" t="s">
        <v>301</v>
      </c>
      <c r="N115" s="148" t="s">
        <v>301</v>
      </c>
      <c r="O115" s="148" t="s">
        <v>301</v>
      </c>
      <c r="P115" s="125" t="s">
        <v>301</v>
      </c>
      <c r="Q115" s="125" t="s">
        <v>301</v>
      </c>
      <c r="R115" s="125" t="s">
        <v>301</v>
      </c>
      <c r="S115" s="125" t="s">
        <v>301</v>
      </c>
      <c r="T115" s="125" t="s">
        <v>301</v>
      </c>
      <c r="U115" s="125" t="s">
        <v>301</v>
      </c>
      <c r="V115" s="125" t="s">
        <v>301</v>
      </c>
      <c r="W115" s="125" t="s">
        <v>301</v>
      </c>
      <c r="X115" s="125" t="s">
        <v>301</v>
      </c>
      <c r="Y115" s="148" t="s">
        <v>301</v>
      </c>
      <c r="Z115" s="46"/>
      <c r="AA115" s="148" t="s">
        <v>301</v>
      </c>
      <c r="AB115" s="148" t="s">
        <v>301</v>
      </c>
      <c r="AC115" s="148" t="s">
        <v>301</v>
      </c>
      <c r="AD115" s="148" t="s">
        <v>301</v>
      </c>
      <c r="AE115" s="148" t="s">
        <v>301</v>
      </c>
      <c r="AF115" s="148" t="s">
        <v>301</v>
      </c>
    </row>
    <row r="116" spans="1:32">
      <c r="A116" s="148" t="s">
        <v>301</v>
      </c>
      <c r="B116" s="148" t="s">
        <v>301</v>
      </c>
      <c r="C116" s="309"/>
      <c r="D116" s="174"/>
      <c r="E116" s="148" t="s">
        <v>301</v>
      </c>
      <c r="F116" s="46"/>
      <c r="I116" s="148" t="s">
        <v>301</v>
      </c>
      <c r="J116" s="148" t="s">
        <v>301</v>
      </c>
      <c r="K116" s="148" t="s">
        <v>301</v>
      </c>
      <c r="L116" s="46"/>
      <c r="M116" s="148" t="s">
        <v>301</v>
      </c>
      <c r="N116" s="148" t="s">
        <v>301</v>
      </c>
      <c r="O116" s="148" t="s">
        <v>301</v>
      </c>
      <c r="P116" s="125" t="s">
        <v>301</v>
      </c>
      <c r="Q116" s="125" t="s">
        <v>301</v>
      </c>
      <c r="R116" s="125" t="s">
        <v>301</v>
      </c>
      <c r="S116" s="125" t="s">
        <v>301</v>
      </c>
      <c r="T116" s="125" t="s">
        <v>301</v>
      </c>
      <c r="U116" s="125" t="s">
        <v>301</v>
      </c>
      <c r="V116" s="125" t="s">
        <v>301</v>
      </c>
      <c r="W116" s="125" t="s">
        <v>301</v>
      </c>
      <c r="X116" s="125" t="s">
        <v>301</v>
      </c>
      <c r="Y116" s="148" t="s">
        <v>301</v>
      </c>
      <c r="Z116" s="46"/>
      <c r="AA116" s="148" t="s">
        <v>301</v>
      </c>
      <c r="AB116" s="148" t="s">
        <v>301</v>
      </c>
      <c r="AC116" s="148" t="s">
        <v>301</v>
      </c>
      <c r="AD116" s="148" t="s">
        <v>301</v>
      </c>
      <c r="AE116" s="148" t="s">
        <v>301</v>
      </c>
      <c r="AF116" s="148" t="s">
        <v>301</v>
      </c>
    </row>
    <row r="117" spans="1:32">
      <c r="A117" s="148" t="s">
        <v>301</v>
      </c>
      <c r="B117" s="148" t="s">
        <v>301</v>
      </c>
      <c r="C117" s="309"/>
      <c r="D117" s="174"/>
      <c r="E117" s="148" t="s">
        <v>301</v>
      </c>
      <c r="F117" s="46"/>
      <c r="I117" s="148" t="s">
        <v>301</v>
      </c>
      <c r="J117" s="148" t="s">
        <v>301</v>
      </c>
      <c r="K117" s="148" t="s">
        <v>301</v>
      </c>
      <c r="L117" s="46"/>
      <c r="M117" s="148" t="s">
        <v>301</v>
      </c>
      <c r="N117" s="148" t="s">
        <v>301</v>
      </c>
      <c r="O117" s="148" t="s">
        <v>301</v>
      </c>
      <c r="P117" s="125" t="s">
        <v>301</v>
      </c>
      <c r="Q117" s="125" t="s">
        <v>301</v>
      </c>
      <c r="R117" s="125" t="s">
        <v>301</v>
      </c>
      <c r="S117" s="125" t="s">
        <v>301</v>
      </c>
      <c r="T117" s="125" t="s">
        <v>301</v>
      </c>
      <c r="U117" s="125" t="s">
        <v>301</v>
      </c>
      <c r="V117" s="125" t="s">
        <v>301</v>
      </c>
      <c r="W117" s="125" t="s">
        <v>301</v>
      </c>
      <c r="X117" s="125" t="s">
        <v>301</v>
      </c>
      <c r="Y117" s="148" t="s">
        <v>301</v>
      </c>
      <c r="Z117" s="46"/>
      <c r="AA117" s="148" t="s">
        <v>301</v>
      </c>
      <c r="AB117" s="148" t="s">
        <v>301</v>
      </c>
      <c r="AC117" s="148" t="s">
        <v>301</v>
      </c>
      <c r="AD117" s="148" t="s">
        <v>301</v>
      </c>
      <c r="AE117" s="148" t="s">
        <v>301</v>
      </c>
      <c r="AF117" s="148" t="s">
        <v>301</v>
      </c>
    </row>
    <row r="118" spans="1:32">
      <c r="A118" s="148" t="s">
        <v>301</v>
      </c>
      <c r="B118" s="148" t="s">
        <v>301</v>
      </c>
      <c r="C118" s="309"/>
      <c r="D118" s="174"/>
      <c r="E118" s="148" t="s">
        <v>301</v>
      </c>
      <c r="F118" s="46"/>
      <c r="I118" s="148" t="s">
        <v>301</v>
      </c>
      <c r="J118" s="148" t="s">
        <v>301</v>
      </c>
      <c r="K118" s="148" t="s">
        <v>301</v>
      </c>
      <c r="L118" s="46"/>
      <c r="M118" s="148" t="s">
        <v>301</v>
      </c>
      <c r="N118" s="148" t="s">
        <v>301</v>
      </c>
      <c r="O118" s="148" t="s">
        <v>301</v>
      </c>
      <c r="P118" s="125" t="s">
        <v>301</v>
      </c>
      <c r="Q118" s="125" t="s">
        <v>301</v>
      </c>
      <c r="R118" s="125" t="s">
        <v>301</v>
      </c>
      <c r="S118" s="125" t="s">
        <v>301</v>
      </c>
      <c r="T118" s="125" t="s">
        <v>301</v>
      </c>
      <c r="U118" s="125" t="s">
        <v>301</v>
      </c>
      <c r="V118" s="125" t="s">
        <v>301</v>
      </c>
      <c r="W118" s="125" t="s">
        <v>301</v>
      </c>
      <c r="X118" s="125" t="s">
        <v>301</v>
      </c>
      <c r="Y118" s="148" t="s">
        <v>301</v>
      </c>
      <c r="Z118" s="46"/>
      <c r="AA118" s="148" t="s">
        <v>301</v>
      </c>
      <c r="AB118" s="148" t="s">
        <v>301</v>
      </c>
      <c r="AC118" s="148" t="s">
        <v>301</v>
      </c>
      <c r="AD118" s="148" t="s">
        <v>301</v>
      </c>
      <c r="AE118" s="148" t="s">
        <v>301</v>
      </c>
      <c r="AF118" s="148" t="s">
        <v>301</v>
      </c>
    </row>
    <row r="119" spans="1:32">
      <c r="A119" s="148" t="s">
        <v>301</v>
      </c>
      <c r="B119" s="148" t="s">
        <v>301</v>
      </c>
      <c r="C119" s="309"/>
      <c r="D119" s="174"/>
      <c r="E119" s="148" t="s">
        <v>301</v>
      </c>
      <c r="F119" s="46"/>
      <c r="I119" s="148" t="s">
        <v>301</v>
      </c>
      <c r="J119" s="148" t="s">
        <v>301</v>
      </c>
      <c r="K119" s="148" t="s">
        <v>301</v>
      </c>
      <c r="L119" s="46"/>
      <c r="M119" s="148" t="s">
        <v>301</v>
      </c>
      <c r="N119" s="148" t="s">
        <v>301</v>
      </c>
      <c r="O119" s="148" t="s">
        <v>301</v>
      </c>
      <c r="P119" s="125" t="s">
        <v>301</v>
      </c>
      <c r="Q119" s="125" t="s">
        <v>301</v>
      </c>
      <c r="R119" s="125" t="s">
        <v>301</v>
      </c>
      <c r="S119" s="125" t="s">
        <v>301</v>
      </c>
      <c r="T119" s="125" t="s">
        <v>301</v>
      </c>
      <c r="U119" s="125" t="s">
        <v>301</v>
      </c>
      <c r="V119" s="125" t="s">
        <v>301</v>
      </c>
      <c r="W119" s="125" t="s">
        <v>301</v>
      </c>
      <c r="X119" s="125" t="s">
        <v>301</v>
      </c>
      <c r="Y119" s="148" t="s">
        <v>301</v>
      </c>
      <c r="Z119" s="46"/>
      <c r="AA119" s="148" t="s">
        <v>301</v>
      </c>
      <c r="AB119" s="148" t="s">
        <v>301</v>
      </c>
      <c r="AC119" s="148" t="s">
        <v>301</v>
      </c>
      <c r="AD119" s="148" t="s">
        <v>301</v>
      </c>
      <c r="AE119" s="148" t="s">
        <v>301</v>
      </c>
      <c r="AF119" s="148" t="s">
        <v>301</v>
      </c>
    </row>
    <row r="120" spans="1:32">
      <c r="A120" s="148" t="s">
        <v>301</v>
      </c>
      <c r="B120" s="148" t="s">
        <v>301</v>
      </c>
      <c r="C120" s="309"/>
      <c r="D120" s="174"/>
      <c r="E120" s="148" t="s">
        <v>301</v>
      </c>
      <c r="F120" s="46"/>
      <c r="I120" s="148" t="s">
        <v>301</v>
      </c>
      <c r="J120" s="148" t="s">
        <v>301</v>
      </c>
      <c r="K120" s="148" t="s">
        <v>301</v>
      </c>
      <c r="L120" s="46"/>
      <c r="M120" s="148" t="s">
        <v>301</v>
      </c>
      <c r="N120" s="148" t="s">
        <v>301</v>
      </c>
      <c r="O120" s="148" t="s">
        <v>301</v>
      </c>
      <c r="P120" s="125" t="s">
        <v>301</v>
      </c>
      <c r="Q120" s="125" t="s">
        <v>301</v>
      </c>
      <c r="R120" s="125" t="s">
        <v>301</v>
      </c>
      <c r="S120" s="125" t="s">
        <v>301</v>
      </c>
      <c r="T120" s="125" t="s">
        <v>301</v>
      </c>
      <c r="U120" s="125" t="s">
        <v>301</v>
      </c>
      <c r="V120" s="125" t="s">
        <v>301</v>
      </c>
      <c r="W120" s="125" t="s">
        <v>301</v>
      </c>
      <c r="X120" s="125" t="s">
        <v>301</v>
      </c>
      <c r="Y120" s="148" t="s">
        <v>301</v>
      </c>
      <c r="Z120" s="46"/>
      <c r="AA120" s="148" t="s">
        <v>301</v>
      </c>
      <c r="AB120" s="148" t="s">
        <v>301</v>
      </c>
      <c r="AC120" s="148" t="s">
        <v>301</v>
      </c>
      <c r="AD120" s="148" t="s">
        <v>301</v>
      </c>
      <c r="AE120" s="148" t="s">
        <v>301</v>
      </c>
      <c r="AF120" s="148" t="s">
        <v>301</v>
      </c>
    </row>
    <row r="121" spans="1:32">
      <c r="A121" s="148" t="s">
        <v>301</v>
      </c>
      <c r="B121" s="148" t="s">
        <v>301</v>
      </c>
      <c r="C121" s="309"/>
      <c r="D121" s="174"/>
      <c r="E121" s="148" t="s">
        <v>301</v>
      </c>
      <c r="F121" s="46"/>
      <c r="I121" s="148" t="s">
        <v>301</v>
      </c>
      <c r="J121" s="148" t="s">
        <v>301</v>
      </c>
      <c r="K121" s="148" t="s">
        <v>301</v>
      </c>
      <c r="L121" s="46"/>
      <c r="M121" s="148" t="s">
        <v>301</v>
      </c>
      <c r="N121" s="148" t="s">
        <v>301</v>
      </c>
      <c r="O121" s="148" t="s">
        <v>301</v>
      </c>
      <c r="P121" s="125" t="s">
        <v>301</v>
      </c>
      <c r="Q121" s="125" t="s">
        <v>301</v>
      </c>
      <c r="R121" s="125" t="s">
        <v>301</v>
      </c>
      <c r="S121" s="125" t="s">
        <v>301</v>
      </c>
      <c r="T121" s="125" t="s">
        <v>301</v>
      </c>
      <c r="U121" s="125" t="s">
        <v>301</v>
      </c>
      <c r="V121" s="125" t="s">
        <v>301</v>
      </c>
      <c r="W121" s="125" t="s">
        <v>301</v>
      </c>
      <c r="X121" s="125" t="s">
        <v>301</v>
      </c>
      <c r="Y121" s="148" t="s">
        <v>301</v>
      </c>
      <c r="Z121" s="46"/>
      <c r="AA121" s="148" t="s">
        <v>301</v>
      </c>
      <c r="AB121" s="148" t="s">
        <v>301</v>
      </c>
      <c r="AC121" s="148" t="s">
        <v>301</v>
      </c>
      <c r="AD121" s="148" t="s">
        <v>301</v>
      </c>
      <c r="AE121" s="148" t="s">
        <v>301</v>
      </c>
      <c r="AF121" s="148" t="s">
        <v>301</v>
      </c>
    </row>
    <row r="122" spans="1:32">
      <c r="A122" s="148" t="s">
        <v>301</v>
      </c>
      <c r="B122" s="148" t="s">
        <v>301</v>
      </c>
      <c r="C122" s="309"/>
      <c r="D122" s="174"/>
      <c r="E122" s="148" t="s">
        <v>301</v>
      </c>
      <c r="F122" s="46"/>
      <c r="I122" s="148" t="s">
        <v>301</v>
      </c>
      <c r="J122" s="148" t="s">
        <v>301</v>
      </c>
      <c r="K122" s="148" t="s">
        <v>301</v>
      </c>
      <c r="L122" s="46"/>
      <c r="M122" s="148" t="s">
        <v>301</v>
      </c>
      <c r="N122" s="148" t="s">
        <v>301</v>
      </c>
      <c r="O122" s="148" t="s">
        <v>301</v>
      </c>
      <c r="P122" s="125" t="s">
        <v>301</v>
      </c>
      <c r="Q122" s="125" t="s">
        <v>301</v>
      </c>
      <c r="R122" s="125" t="s">
        <v>301</v>
      </c>
      <c r="S122" s="125" t="s">
        <v>301</v>
      </c>
      <c r="T122" s="125" t="s">
        <v>301</v>
      </c>
      <c r="U122" s="125" t="s">
        <v>301</v>
      </c>
      <c r="V122" s="125" t="s">
        <v>301</v>
      </c>
      <c r="W122" s="125" t="s">
        <v>301</v>
      </c>
      <c r="X122" s="125" t="s">
        <v>301</v>
      </c>
      <c r="Y122" s="148" t="s">
        <v>301</v>
      </c>
      <c r="Z122" s="46"/>
      <c r="AA122" s="148" t="s">
        <v>301</v>
      </c>
      <c r="AB122" s="148" t="s">
        <v>301</v>
      </c>
      <c r="AC122" s="148" t="s">
        <v>301</v>
      </c>
      <c r="AD122" s="148" t="s">
        <v>301</v>
      </c>
      <c r="AE122" s="148" t="s">
        <v>301</v>
      </c>
      <c r="AF122" s="148" t="s">
        <v>301</v>
      </c>
    </row>
    <row r="123" spans="1:32">
      <c r="A123" s="148" t="s">
        <v>301</v>
      </c>
      <c r="B123" s="148" t="s">
        <v>301</v>
      </c>
      <c r="C123" s="309"/>
      <c r="D123" s="174"/>
      <c r="E123" s="148" t="s">
        <v>301</v>
      </c>
      <c r="F123" s="46"/>
      <c r="I123" s="148" t="s">
        <v>301</v>
      </c>
      <c r="J123" s="148" t="s">
        <v>301</v>
      </c>
      <c r="K123" s="148" t="s">
        <v>301</v>
      </c>
      <c r="L123" s="46"/>
      <c r="M123" s="148" t="s">
        <v>301</v>
      </c>
      <c r="N123" s="148" t="s">
        <v>301</v>
      </c>
      <c r="O123" s="148" t="s">
        <v>301</v>
      </c>
      <c r="P123" s="125" t="s">
        <v>301</v>
      </c>
      <c r="Q123" s="125" t="s">
        <v>301</v>
      </c>
      <c r="R123" s="125" t="s">
        <v>301</v>
      </c>
      <c r="S123" s="125" t="s">
        <v>301</v>
      </c>
      <c r="T123" s="125" t="s">
        <v>301</v>
      </c>
      <c r="U123" s="125" t="s">
        <v>301</v>
      </c>
      <c r="V123" s="125" t="s">
        <v>301</v>
      </c>
      <c r="W123" s="125" t="s">
        <v>301</v>
      </c>
      <c r="X123" s="125" t="s">
        <v>301</v>
      </c>
      <c r="Y123" s="148" t="s">
        <v>301</v>
      </c>
      <c r="Z123" s="46"/>
      <c r="AA123" s="148" t="s">
        <v>301</v>
      </c>
      <c r="AB123" s="148" t="s">
        <v>301</v>
      </c>
      <c r="AC123" s="148" t="s">
        <v>301</v>
      </c>
      <c r="AD123" s="148" t="s">
        <v>301</v>
      </c>
      <c r="AE123" s="148" t="s">
        <v>301</v>
      </c>
      <c r="AF123" s="148" t="s">
        <v>301</v>
      </c>
    </row>
    <row r="124" spans="1:32">
      <c r="A124" s="148" t="s">
        <v>301</v>
      </c>
      <c r="B124" s="148" t="s">
        <v>301</v>
      </c>
      <c r="C124" s="309"/>
      <c r="D124" s="174"/>
      <c r="E124" s="148" t="s">
        <v>301</v>
      </c>
      <c r="F124" s="46"/>
      <c r="I124" s="148" t="s">
        <v>301</v>
      </c>
      <c r="J124" s="148" t="s">
        <v>301</v>
      </c>
      <c r="K124" s="148" t="s">
        <v>301</v>
      </c>
      <c r="L124" s="46"/>
      <c r="M124" s="148" t="s">
        <v>301</v>
      </c>
      <c r="N124" s="148" t="s">
        <v>301</v>
      </c>
      <c r="O124" s="148" t="s">
        <v>301</v>
      </c>
      <c r="P124" s="125" t="s">
        <v>301</v>
      </c>
      <c r="Q124" s="125" t="s">
        <v>301</v>
      </c>
      <c r="R124" s="125" t="s">
        <v>301</v>
      </c>
      <c r="S124" s="125" t="s">
        <v>301</v>
      </c>
      <c r="T124" s="125" t="s">
        <v>301</v>
      </c>
      <c r="U124" s="125" t="s">
        <v>301</v>
      </c>
      <c r="V124" s="125" t="s">
        <v>301</v>
      </c>
      <c r="W124" s="125" t="s">
        <v>301</v>
      </c>
      <c r="X124" s="125" t="s">
        <v>301</v>
      </c>
      <c r="Y124" s="148" t="s">
        <v>301</v>
      </c>
      <c r="Z124" s="46"/>
      <c r="AA124" s="148" t="s">
        <v>301</v>
      </c>
      <c r="AB124" s="148" t="s">
        <v>301</v>
      </c>
      <c r="AC124" s="148" t="s">
        <v>301</v>
      </c>
      <c r="AD124" s="148" t="s">
        <v>301</v>
      </c>
      <c r="AE124" s="148" t="s">
        <v>301</v>
      </c>
      <c r="AF124" s="148" t="s">
        <v>301</v>
      </c>
    </row>
    <row r="125" spans="1:32">
      <c r="A125" s="148" t="s">
        <v>301</v>
      </c>
      <c r="B125" s="148" t="s">
        <v>301</v>
      </c>
      <c r="C125" s="309"/>
      <c r="D125" s="174"/>
      <c r="E125" s="148" t="s">
        <v>301</v>
      </c>
      <c r="F125" s="46"/>
      <c r="I125" s="148" t="s">
        <v>301</v>
      </c>
      <c r="J125" s="148" t="s">
        <v>301</v>
      </c>
      <c r="K125" s="148" t="s">
        <v>301</v>
      </c>
      <c r="L125" s="46"/>
      <c r="M125" s="148" t="s">
        <v>301</v>
      </c>
      <c r="N125" s="148" t="s">
        <v>301</v>
      </c>
      <c r="O125" s="148" t="s">
        <v>301</v>
      </c>
      <c r="P125" s="125" t="s">
        <v>301</v>
      </c>
      <c r="Q125" s="125" t="s">
        <v>301</v>
      </c>
      <c r="R125" s="125" t="s">
        <v>301</v>
      </c>
      <c r="S125" s="125" t="s">
        <v>301</v>
      </c>
      <c r="T125" s="125" t="s">
        <v>301</v>
      </c>
      <c r="U125" s="125" t="s">
        <v>301</v>
      </c>
      <c r="V125" s="125" t="s">
        <v>301</v>
      </c>
      <c r="W125" s="125" t="s">
        <v>301</v>
      </c>
      <c r="X125" s="125" t="s">
        <v>301</v>
      </c>
      <c r="Y125" s="148" t="s">
        <v>301</v>
      </c>
      <c r="Z125" s="46"/>
      <c r="AA125" s="148" t="s">
        <v>301</v>
      </c>
      <c r="AB125" s="148" t="s">
        <v>301</v>
      </c>
      <c r="AC125" s="148" t="s">
        <v>301</v>
      </c>
      <c r="AD125" s="148" t="s">
        <v>301</v>
      </c>
      <c r="AE125" s="148" t="s">
        <v>301</v>
      </c>
      <c r="AF125" s="148" t="s">
        <v>301</v>
      </c>
    </row>
    <row r="126" spans="1:32">
      <c r="A126" s="148" t="s">
        <v>301</v>
      </c>
      <c r="B126" s="148" t="s">
        <v>301</v>
      </c>
      <c r="C126" s="309"/>
      <c r="D126" s="174"/>
      <c r="E126" s="148" t="s">
        <v>301</v>
      </c>
      <c r="F126" s="46"/>
      <c r="I126" s="148" t="s">
        <v>301</v>
      </c>
      <c r="J126" s="148" t="s">
        <v>301</v>
      </c>
      <c r="K126" s="148" t="s">
        <v>301</v>
      </c>
      <c r="L126" s="46"/>
      <c r="M126" s="148" t="s">
        <v>301</v>
      </c>
      <c r="N126" s="148" t="s">
        <v>301</v>
      </c>
      <c r="O126" s="148" t="s">
        <v>301</v>
      </c>
      <c r="P126" s="125" t="s">
        <v>301</v>
      </c>
      <c r="Q126" s="125" t="s">
        <v>301</v>
      </c>
      <c r="R126" s="125" t="s">
        <v>301</v>
      </c>
      <c r="S126" s="125" t="s">
        <v>301</v>
      </c>
      <c r="T126" s="125" t="s">
        <v>301</v>
      </c>
      <c r="U126" s="125" t="s">
        <v>301</v>
      </c>
      <c r="V126" s="125" t="s">
        <v>301</v>
      </c>
      <c r="W126" s="125" t="s">
        <v>301</v>
      </c>
      <c r="X126" s="125" t="s">
        <v>301</v>
      </c>
      <c r="Y126" s="148" t="s">
        <v>301</v>
      </c>
      <c r="Z126" s="46"/>
      <c r="AA126" s="148" t="s">
        <v>301</v>
      </c>
      <c r="AB126" s="148" t="s">
        <v>301</v>
      </c>
      <c r="AC126" s="148" t="s">
        <v>301</v>
      </c>
      <c r="AD126" s="148" t="s">
        <v>301</v>
      </c>
      <c r="AE126" s="148" t="s">
        <v>301</v>
      </c>
      <c r="AF126" s="148" t="s">
        <v>301</v>
      </c>
    </row>
    <row r="127" spans="1:32">
      <c r="A127" s="148" t="s">
        <v>301</v>
      </c>
      <c r="B127" s="148" t="s">
        <v>301</v>
      </c>
      <c r="C127" s="309"/>
      <c r="D127" s="174"/>
      <c r="E127" s="148" t="s">
        <v>301</v>
      </c>
      <c r="F127" s="46"/>
      <c r="I127" s="148" t="s">
        <v>301</v>
      </c>
      <c r="J127" s="148" t="s">
        <v>301</v>
      </c>
      <c r="K127" s="148" t="s">
        <v>301</v>
      </c>
      <c r="L127" s="46"/>
      <c r="M127" s="148" t="s">
        <v>301</v>
      </c>
      <c r="N127" s="148" t="s">
        <v>301</v>
      </c>
      <c r="O127" s="148" t="s">
        <v>301</v>
      </c>
      <c r="P127" s="125" t="s">
        <v>301</v>
      </c>
      <c r="Q127" s="125" t="s">
        <v>301</v>
      </c>
      <c r="R127" s="125" t="s">
        <v>301</v>
      </c>
      <c r="S127" s="125" t="s">
        <v>301</v>
      </c>
      <c r="T127" s="125" t="s">
        <v>301</v>
      </c>
      <c r="U127" s="125" t="s">
        <v>301</v>
      </c>
      <c r="V127" s="125" t="s">
        <v>301</v>
      </c>
      <c r="W127" s="125" t="s">
        <v>301</v>
      </c>
      <c r="X127" s="125" t="s">
        <v>301</v>
      </c>
      <c r="Y127" s="148" t="s">
        <v>301</v>
      </c>
      <c r="Z127" s="46"/>
      <c r="AA127" s="148" t="s">
        <v>301</v>
      </c>
      <c r="AB127" s="148" t="s">
        <v>301</v>
      </c>
      <c r="AC127" s="148" t="s">
        <v>301</v>
      </c>
      <c r="AD127" s="148" t="s">
        <v>301</v>
      </c>
      <c r="AE127" s="148" t="s">
        <v>301</v>
      </c>
      <c r="AF127" s="148" t="s">
        <v>301</v>
      </c>
    </row>
    <row r="128" spans="1:32">
      <c r="A128" s="148" t="s">
        <v>301</v>
      </c>
      <c r="B128" s="148" t="s">
        <v>301</v>
      </c>
      <c r="C128" s="309"/>
      <c r="D128" s="174"/>
      <c r="E128" s="148" t="s">
        <v>301</v>
      </c>
      <c r="F128" s="46"/>
      <c r="I128" s="148" t="s">
        <v>301</v>
      </c>
      <c r="J128" s="148" t="s">
        <v>301</v>
      </c>
      <c r="K128" s="148" t="s">
        <v>301</v>
      </c>
      <c r="L128" s="46"/>
      <c r="M128" s="148" t="s">
        <v>301</v>
      </c>
      <c r="N128" s="148" t="s">
        <v>301</v>
      </c>
      <c r="O128" s="148" t="s">
        <v>301</v>
      </c>
      <c r="P128" s="125" t="s">
        <v>301</v>
      </c>
      <c r="Q128" s="125" t="s">
        <v>301</v>
      </c>
      <c r="R128" s="125" t="s">
        <v>301</v>
      </c>
      <c r="S128" s="125" t="s">
        <v>301</v>
      </c>
      <c r="T128" s="125" t="s">
        <v>301</v>
      </c>
      <c r="U128" s="125" t="s">
        <v>301</v>
      </c>
      <c r="V128" s="125" t="s">
        <v>301</v>
      </c>
      <c r="W128" s="125" t="s">
        <v>301</v>
      </c>
      <c r="X128" s="125" t="s">
        <v>301</v>
      </c>
      <c r="Y128" s="148" t="s">
        <v>301</v>
      </c>
      <c r="Z128" s="46"/>
      <c r="AA128" s="148" t="s">
        <v>301</v>
      </c>
      <c r="AB128" s="148" t="s">
        <v>301</v>
      </c>
      <c r="AC128" s="148" t="s">
        <v>301</v>
      </c>
      <c r="AD128" s="148" t="s">
        <v>301</v>
      </c>
      <c r="AE128" s="148" t="s">
        <v>301</v>
      </c>
      <c r="AF128" s="148" t="s">
        <v>301</v>
      </c>
    </row>
    <row r="129" spans="1:32">
      <c r="A129" s="148" t="s">
        <v>301</v>
      </c>
      <c r="I129" s="148" t="s">
        <v>301</v>
      </c>
      <c r="J129" s="148" t="s">
        <v>301</v>
      </c>
      <c r="K129" s="148" t="s">
        <v>301</v>
      </c>
      <c r="L129" s="46"/>
      <c r="M129" s="148" t="s">
        <v>301</v>
      </c>
      <c r="N129" s="148" t="s">
        <v>301</v>
      </c>
      <c r="O129" s="148" t="s">
        <v>301</v>
      </c>
      <c r="P129" s="125" t="s">
        <v>301</v>
      </c>
      <c r="Q129" s="125" t="s">
        <v>301</v>
      </c>
      <c r="R129" s="125" t="s">
        <v>301</v>
      </c>
      <c r="S129" s="125" t="s">
        <v>301</v>
      </c>
      <c r="T129" s="125" t="s">
        <v>301</v>
      </c>
      <c r="U129" s="125" t="s">
        <v>301</v>
      </c>
      <c r="V129" s="125" t="s">
        <v>301</v>
      </c>
      <c r="W129" s="125" t="s">
        <v>301</v>
      </c>
      <c r="X129" s="125" t="s">
        <v>301</v>
      </c>
      <c r="Y129" s="148" t="s">
        <v>301</v>
      </c>
      <c r="Z129" s="46"/>
      <c r="AA129" s="148" t="s">
        <v>301</v>
      </c>
      <c r="AB129" s="148" t="s">
        <v>301</v>
      </c>
      <c r="AC129" s="148" t="s">
        <v>301</v>
      </c>
      <c r="AD129" s="148" t="s">
        <v>301</v>
      </c>
      <c r="AE129" s="148" t="s">
        <v>301</v>
      </c>
      <c r="AF129" s="148" t="s">
        <v>301</v>
      </c>
    </row>
    <row r="130" spans="1:32">
      <c r="A130" s="148" t="s">
        <v>301</v>
      </c>
      <c r="I130" s="148" t="s">
        <v>301</v>
      </c>
      <c r="J130" s="148" t="s">
        <v>301</v>
      </c>
      <c r="K130" s="148" t="s">
        <v>301</v>
      </c>
      <c r="L130" s="46"/>
      <c r="M130" s="148" t="s">
        <v>301</v>
      </c>
      <c r="N130" s="148" t="s">
        <v>301</v>
      </c>
      <c r="O130" s="148" t="s">
        <v>301</v>
      </c>
      <c r="P130" s="125" t="s">
        <v>301</v>
      </c>
      <c r="Q130" s="125" t="s">
        <v>301</v>
      </c>
      <c r="R130" s="125" t="s">
        <v>301</v>
      </c>
      <c r="S130" s="125" t="s">
        <v>301</v>
      </c>
      <c r="T130" s="125" t="s">
        <v>301</v>
      </c>
      <c r="U130" s="125" t="s">
        <v>301</v>
      </c>
      <c r="V130" s="125" t="s">
        <v>301</v>
      </c>
      <c r="W130" s="125" t="s">
        <v>301</v>
      </c>
      <c r="X130" s="125" t="s">
        <v>301</v>
      </c>
      <c r="Y130" s="148" t="s">
        <v>301</v>
      </c>
      <c r="Z130" s="46"/>
      <c r="AA130" s="148" t="s">
        <v>301</v>
      </c>
      <c r="AB130" s="148" t="s">
        <v>301</v>
      </c>
      <c r="AC130" s="148" t="s">
        <v>301</v>
      </c>
      <c r="AD130" s="148" t="s">
        <v>301</v>
      </c>
      <c r="AE130" s="148" t="s">
        <v>301</v>
      </c>
      <c r="AF130" s="148" t="s">
        <v>301</v>
      </c>
    </row>
    <row r="131" spans="1:32">
      <c r="A131" s="148" t="s">
        <v>301</v>
      </c>
      <c r="I131" s="148" t="s">
        <v>301</v>
      </c>
      <c r="J131" s="148" t="s">
        <v>301</v>
      </c>
      <c r="K131" s="148" t="s">
        <v>301</v>
      </c>
      <c r="L131" s="46"/>
      <c r="M131" s="148" t="s">
        <v>301</v>
      </c>
      <c r="N131" s="148" t="s">
        <v>301</v>
      </c>
      <c r="O131" s="148" t="s">
        <v>301</v>
      </c>
      <c r="P131" s="125" t="s">
        <v>301</v>
      </c>
      <c r="Q131" s="125" t="s">
        <v>301</v>
      </c>
      <c r="R131" s="125" t="s">
        <v>301</v>
      </c>
      <c r="S131" s="125" t="s">
        <v>301</v>
      </c>
      <c r="T131" s="125" t="s">
        <v>301</v>
      </c>
      <c r="U131" s="125" t="s">
        <v>301</v>
      </c>
      <c r="V131" s="125" t="s">
        <v>301</v>
      </c>
      <c r="W131" s="125" t="s">
        <v>301</v>
      </c>
      <c r="X131" s="125" t="s">
        <v>301</v>
      </c>
      <c r="Y131" s="148" t="s">
        <v>301</v>
      </c>
      <c r="Z131" s="46"/>
      <c r="AA131" s="148" t="s">
        <v>301</v>
      </c>
      <c r="AB131" s="148" t="s">
        <v>301</v>
      </c>
      <c r="AC131" s="148" t="s">
        <v>301</v>
      </c>
      <c r="AD131" s="148" t="s">
        <v>301</v>
      </c>
      <c r="AE131" s="148" t="s">
        <v>301</v>
      </c>
      <c r="AF131" s="148" t="s">
        <v>301</v>
      </c>
    </row>
    <row r="132" spans="1:32">
      <c r="A132" s="148" t="s">
        <v>301</v>
      </c>
      <c r="I132" s="148" t="s">
        <v>301</v>
      </c>
      <c r="J132" s="148" t="s">
        <v>301</v>
      </c>
      <c r="K132" s="148" t="s">
        <v>301</v>
      </c>
      <c r="L132" s="46"/>
      <c r="M132" s="148" t="s">
        <v>301</v>
      </c>
      <c r="N132" s="148" t="s">
        <v>301</v>
      </c>
      <c r="O132" s="148" t="s">
        <v>301</v>
      </c>
      <c r="P132" s="125" t="s">
        <v>301</v>
      </c>
      <c r="Q132" s="125" t="s">
        <v>301</v>
      </c>
      <c r="R132" s="125" t="s">
        <v>301</v>
      </c>
      <c r="S132" s="125" t="s">
        <v>301</v>
      </c>
      <c r="T132" s="125" t="s">
        <v>301</v>
      </c>
      <c r="U132" s="125" t="s">
        <v>301</v>
      </c>
      <c r="V132" s="125" t="s">
        <v>301</v>
      </c>
      <c r="W132" s="125" t="s">
        <v>301</v>
      </c>
      <c r="X132" s="125" t="s">
        <v>301</v>
      </c>
      <c r="Y132" s="148" t="s">
        <v>301</v>
      </c>
      <c r="Z132" s="46"/>
      <c r="AA132" s="148" t="s">
        <v>301</v>
      </c>
      <c r="AB132" s="148" t="s">
        <v>301</v>
      </c>
      <c r="AC132" s="148" t="s">
        <v>301</v>
      </c>
      <c r="AD132" s="148" t="s">
        <v>301</v>
      </c>
      <c r="AE132" s="148" t="s">
        <v>301</v>
      </c>
      <c r="AF132" s="148" t="s">
        <v>301</v>
      </c>
    </row>
    <row r="133" spans="1:32">
      <c r="A133" s="148" t="s">
        <v>301</v>
      </c>
      <c r="I133" s="148" t="s">
        <v>301</v>
      </c>
      <c r="J133" s="148" t="s">
        <v>301</v>
      </c>
      <c r="K133" s="148" t="s">
        <v>301</v>
      </c>
      <c r="L133" s="46"/>
      <c r="M133" s="148" t="s">
        <v>301</v>
      </c>
      <c r="N133" s="148" t="s">
        <v>301</v>
      </c>
      <c r="O133" s="148" t="s">
        <v>301</v>
      </c>
      <c r="P133" s="125" t="s">
        <v>301</v>
      </c>
      <c r="Q133" s="125" t="s">
        <v>301</v>
      </c>
      <c r="R133" s="125" t="s">
        <v>301</v>
      </c>
      <c r="S133" s="125" t="s">
        <v>301</v>
      </c>
      <c r="T133" s="125" t="s">
        <v>301</v>
      </c>
      <c r="U133" s="125" t="s">
        <v>301</v>
      </c>
      <c r="V133" s="125" t="s">
        <v>301</v>
      </c>
      <c r="W133" s="125" t="s">
        <v>301</v>
      </c>
      <c r="X133" s="125" t="s">
        <v>301</v>
      </c>
      <c r="Y133" s="148" t="s">
        <v>301</v>
      </c>
      <c r="Z133" s="46"/>
      <c r="AA133" s="148" t="s">
        <v>301</v>
      </c>
      <c r="AB133" s="148" t="s">
        <v>301</v>
      </c>
      <c r="AC133" s="148" t="s">
        <v>301</v>
      </c>
      <c r="AD133" s="148" t="s">
        <v>301</v>
      </c>
      <c r="AE133" s="148" t="s">
        <v>301</v>
      </c>
      <c r="AF133" s="148" t="s">
        <v>301</v>
      </c>
    </row>
    <row r="134" spans="1:32">
      <c r="A134" s="148" t="s">
        <v>301</v>
      </c>
      <c r="I134" s="148" t="s">
        <v>301</v>
      </c>
      <c r="J134" s="148" t="s">
        <v>301</v>
      </c>
      <c r="K134" s="148" t="s">
        <v>301</v>
      </c>
      <c r="L134" s="46"/>
      <c r="M134" s="148" t="s">
        <v>301</v>
      </c>
      <c r="N134" s="148" t="s">
        <v>301</v>
      </c>
      <c r="O134" s="148" t="s">
        <v>301</v>
      </c>
      <c r="P134" s="125" t="s">
        <v>301</v>
      </c>
      <c r="Q134" s="125" t="s">
        <v>301</v>
      </c>
      <c r="R134" s="125" t="s">
        <v>301</v>
      </c>
      <c r="S134" s="125" t="s">
        <v>301</v>
      </c>
      <c r="T134" s="125" t="s">
        <v>301</v>
      </c>
      <c r="U134" s="125" t="s">
        <v>301</v>
      </c>
      <c r="V134" s="125" t="s">
        <v>301</v>
      </c>
      <c r="W134" s="125" t="s">
        <v>301</v>
      </c>
      <c r="X134" s="125" t="s">
        <v>301</v>
      </c>
      <c r="Y134" s="148" t="s">
        <v>301</v>
      </c>
      <c r="Z134" s="46"/>
      <c r="AA134" s="148" t="s">
        <v>301</v>
      </c>
      <c r="AB134" s="148" t="s">
        <v>301</v>
      </c>
      <c r="AC134" s="148" t="s">
        <v>301</v>
      </c>
      <c r="AD134" s="148" t="s">
        <v>301</v>
      </c>
      <c r="AE134" s="148" t="s">
        <v>301</v>
      </c>
      <c r="AF134" s="148" t="s">
        <v>301</v>
      </c>
    </row>
    <row r="135" spans="1:32">
      <c r="A135" s="148" t="s">
        <v>301</v>
      </c>
      <c r="I135" s="148" t="s">
        <v>301</v>
      </c>
      <c r="J135" s="148" t="s">
        <v>301</v>
      </c>
      <c r="K135" s="148" t="s">
        <v>301</v>
      </c>
      <c r="L135" s="46"/>
      <c r="M135" s="148" t="s">
        <v>301</v>
      </c>
      <c r="N135" s="148" t="s">
        <v>301</v>
      </c>
      <c r="O135" s="148" t="s">
        <v>301</v>
      </c>
      <c r="P135" s="125" t="s">
        <v>301</v>
      </c>
      <c r="Q135" s="125" t="s">
        <v>301</v>
      </c>
      <c r="R135" s="125" t="s">
        <v>301</v>
      </c>
      <c r="S135" s="125" t="s">
        <v>301</v>
      </c>
      <c r="T135" s="125" t="s">
        <v>301</v>
      </c>
      <c r="U135" s="125" t="s">
        <v>301</v>
      </c>
      <c r="V135" s="125" t="s">
        <v>301</v>
      </c>
      <c r="W135" s="125" t="s">
        <v>301</v>
      </c>
      <c r="X135" s="125" t="s">
        <v>301</v>
      </c>
      <c r="Y135" s="148" t="s">
        <v>301</v>
      </c>
      <c r="Z135" s="46"/>
      <c r="AA135" s="148" t="s">
        <v>301</v>
      </c>
      <c r="AB135" s="148" t="s">
        <v>301</v>
      </c>
      <c r="AC135" s="148" t="s">
        <v>301</v>
      </c>
      <c r="AD135" s="148" t="s">
        <v>301</v>
      </c>
      <c r="AE135" s="148" t="s">
        <v>301</v>
      </c>
      <c r="AF135" s="148" t="s">
        <v>301</v>
      </c>
    </row>
    <row r="136" spans="1:32">
      <c r="A136" s="148" t="s">
        <v>301</v>
      </c>
      <c r="I136" s="148" t="s">
        <v>301</v>
      </c>
      <c r="J136" s="148" t="s">
        <v>301</v>
      </c>
      <c r="K136" s="148" t="s">
        <v>301</v>
      </c>
      <c r="L136" s="46"/>
      <c r="M136" s="148" t="s">
        <v>301</v>
      </c>
      <c r="N136" s="148" t="s">
        <v>301</v>
      </c>
      <c r="O136" s="148" t="s">
        <v>301</v>
      </c>
      <c r="P136" s="125" t="s">
        <v>301</v>
      </c>
      <c r="Q136" s="125" t="s">
        <v>301</v>
      </c>
      <c r="R136" s="125" t="s">
        <v>301</v>
      </c>
      <c r="S136" s="125" t="s">
        <v>301</v>
      </c>
      <c r="T136" s="125" t="s">
        <v>301</v>
      </c>
      <c r="U136" s="125" t="s">
        <v>301</v>
      </c>
      <c r="V136" s="125" t="s">
        <v>301</v>
      </c>
      <c r="W136" s="125" t="s">
        <v>301</v>
      </c>
      <c r="X136" s="125" t="s">
        <v>301</v>
      </c>
      <c r="Y136" s="148" t="s">
        <v>301</v>
      </c>
      <c r="Z136" s="46"/>
      <c r="AA136" s="148" t="s">
        <v>301</v>
      </c>
      <c r="AB136" s="148" t="s">
        <v>301</v>
      </c>
      <c r="AC136" s="148" t="s">
        <v>301</v>
      </c>
      <c r="AD136" s="148" t="s">
        <v>301</v>
      </c>
      <c r="AE136" s="148" t="s">
        <v>301</v>
      </c>
      <c r="AF136" s="148" t="s">
        <v>301</v>
      </c>
    </row>
    <row r="137" spans="1:32">
      <c r="A137" s="148" t="s">
        <v>301</v>
      </c>
      <c r="I137" s="148" t="s">
        <v>301</v>
      </c>
      <c r="J137" s="148" t="s">
        <v>301</v>
      </c>
      <c r="K137" s="148" t="s">
        <v>301</v>
      </c>
      <c r="L137" s="46"/>
      <c r="M137" s="148" t="s">
        <v>301</v>
      </c>
      <c r="N137" s="148" t="s">
        <v>301</v>
      </c>
      <c r="O137" s="148" t="s">
        <v>301</v>
      </c>
      <c r="P137" s="125" t="s">
        <v>301</v>
      </c>
      <c r="Q137" s="125" t="s">
        <v>301</v>
      </c>
      <c r="R137" s="125" t="s">
        <v>301</v>
      </c>
      <c r="S137" s="125" t="s">
        <v>301</v>
      </c>
      <c r="T137" s="125" t="s">
        <v>301</v>
      </c>
      <c r="U137" s="125" t="s">
        <v>301</v>
      </c>
      <c r="V137" s="125" t="s">
        <v>301</v>
      </c>
      <c r="W137" s="125" t="s">
        <v>301</v>
      </c>
      <c r="X137" s="125" t="s">
        <v>301</v>
      </c>
      <c r="Y137" s="148" t="s">
        <v>301</v>
      </c>
      <c r="Z137" s="46"/>
      <c r="AA137" s="148" t="s">
        <v>301</v>
      </c>
      <c r="AB137" s="148" t="s">
        <v>301</v>
      </c>
      <c r="AC137" s="148" t="s">
        <v>301</v>
      </c>
      <c r="AD137" s="148" t="s">
        <v>301</v>
      </c>
      <c r="AE137" s="148" t="s">
        <v>301</v>
      </c>
      <c r="AF137" s="148" t="s">
        <v>301</v>
      </c>
    </row>
    <row r="138" spans="1:32">
      <c r="A138" s="148" t="s">
        <v>301</v>
      </c>
      <c r="I138" s="148" t="s">
        <v>301</v>
      </c>
      <c r="J138" s="148" t="s">
        <v>301</v>
      </c>
      <c r="K138" s="148" t="s">
        <v>301</v>
      </c>
      <c r="L138" s="46"/>
      <c r="M138" s="148" t="s">
        <v>301</v>
      </c>
      <c r="N138" s="148" t="s">
        <v>301</v>
      </c>
      <c r="O138" s="148" t="s">
        <v>301</v>
      </c>
      <c r="P138" s="125" t="s">
        <v>301</v>
      </c>
      <c r="Q138" s="125" t="s">
        <v>301</v>
      </c>
      <c r="R138" s="125" t="s">
        <v>301</v>
      </c>
      <c r="S138" s="125" t="s">
        <v>301</v>
      </c>
      <c r="T138" s="125" t="s">
        <v>301</v>
      </c>
      <c r="U138" s="125" t="s">
        <v>301</v>
      </c>
      <c r="V138" s="125" t="s">
        <v>301</v>
      </c>
      <c r="W138" s="125" t="s">
        <v>301</v>
      </c>
      <c r="X138" s="125" t="s">
        <v>301</v>
      </c>
      <c r="Y138" s="148" t="s">
        <v>301</v>
      </c>
      <c r="Z138" s="46"/>
      <c r="AA138" s="148" t="s">
        <v>301</v>
      </c>
      <c r="AB138" s="148" t="s">
        <v>301</v>
      </c>
      <c r="AC138" s="148" t="s">
        <v>301</v>
      </c>
      <c r="AD138" s="148" t="s">
        <v>301</v>
      </c>
      <c r="AE138" s="148" t="s">
        <v>301</v>
      </c>
      <c r="AF138" s="148" t="s">
        <v>301</v>
      </c>
    </row>
    <row r="139" spans="1:32">
      <c r="A139" s="148" t="s">
        <v>301</v>
      </c>
      <c r="I139" s="148" t="s">
        <v>301</v>
      </c>
      <c r="J139" s="148" t="s">
        <v>301</v>
      </c>
      <c r="K139" s="148" t="s">
        <v>301</v>
      </c>
      <c r="L139" s="46"/>
      <c r="M139" s="148" t="s">
        <v>301</v>
      </c>
      <c r="N139" s="148" t="s">
        <v>301</v>
      </c>
      <c r="O139" s="148" t="s">
        <v>301</v>
      </c>
      <c r="P139" s="125" t="s">
        <v>301</v>
      </c>
      <c r="Q139" s="125" t="s">
        <v>301</v>
      </c>
      <c r="R139" s="125" t="s">
        <v>301</v>
      </c>
      <c r="S139" s="125" t="s">
        <v>301</v>
      </c>
      <c r="T139" s="125" t="s">
        <v>301</v>
      </c>
      <c r="U139" s="125" t="s">
        <v>301</v>
      </c>
      <c r="V139" s="125" t="s">
        <v>301</v>
      </c>
      <c r="W139" s="125" t="s">
        <v>301</v>
      </c>
      <c r="X139" s="125" t="s">
        <v>301</v>
      </c>
      <c r="Y139" s="148" t="s">
        <v>301</v>
      </c>
      <c r="Z139" s="46"/>
      <c r="AA139" s="148" t="s">
        <v>301</v>
      </c>
      <c r="AB139" s="148" t="s">
        <v>301</v>
      </c>
      <c r="AC139" s="148" t="s">
        <v>301</v>
      </c>
      <c r="AD139" s="148" t="s">
        <v>301</v>
      </c>
      <c r="AE139" s="148" t="s">
        <v>301</v>
      </c>
      <c r="AF139" s="148" t="s">
        <v>301</v>
      </c>
    </row>
    <row r="140" spans="1:32">
      <c r="A140" s="148" t="s">
        <v>301</v>
      </c>
      <c r="I140" s="148" t="s">
        <v>301</v>
      </c>
      <c r="J140" s="148" t="s">
        <v>301</v>
      </c>
      <c r="K140" s="148" t="s">
        <v>301</v>
      </c>
      <c r="L140" s="46"/>
      <c r="M140" s="148" t="s">
        <v>301</v>
      </c>
      <c r="N140" s="148" t="s">
        <v>301</v>
      </c>
      <c r="O140" s="148" t="s">
        <v>301</v>
      </c>
      <c r="P140" s="125" t="s">
        <v>301</v>
      </c>
      <c r="Q140" s="125" t="s">
        <v>301</v>
      </c>
      <c r="R140" s="125" t="s">
        <v>301</v>
      </c>
      <c r="S140" s="125" t="s">
        <v>301</v>
      </c>
      <c r="T140" s="125" t="s">
        <v>301</v>
      </c>
      <c r="U140" s="125" t="s">
        <v>301</v>
      </c>
      <c r="V140" s="125" t="s">
        <v>301</v>
      </c>
      <c r="W140" s="125" t="s">
        <v>301</v>
      </c>
      <c r="X140" s="125" t="s">
        <v>301</v>
      </c>
      <c r="Y140" s="148" t="s">
        <v>301</v>
      </c>
      <c r="Z140" s="46"/>
      <c r="AA140" s="148" t="s">
        <v>301</v>
      </c>
      <c r="AB140" s="148" t="s">
        <v>301</v>
      </c>
      <c r="AC140" s="148" t="s">
        <v>301</v>
      </c>
      <c r="AD140" s="148" t="s">
        <v>301</v>
      </c>
      <c r="AE140" s="148" t="s">
        <v>301</v>
      </c>
      <c r="AF140" s="148" t="s">
        <v>301</v>
      </c>
    </row>
    <row r="141" spans="1:32">
      <c r="A141" s="148" t="s">
        <v>301</v>
      </c>
      <c r="I141" s="148" t="s">
        <v>301</v>
      </c>
      <c r="J141" s="148" t="s">
        <v>301</v>
      </c>
      <c r="K141" s="148" t="s">
        <v>301</v>
      </c>
      <c r="L141" s="46"/>
      <c r="M141" s="148" t="s">
        <v>301</v>
      </c>
      <c r="N141" s="148" t="s">
        <v>301</v>
      </c>
      <c r="O141" s="148" t="s">
        <v>301</v>
      </c>
      <c r="P141" s="125" t="s">
        <v>301</v>
      </c>
      <c r="Q141" s="125" t="s">
        <v>301</v>
      </c>
      <c r="R141" s="125" t="s">
        <v>301</v>
      </c>
      <c r="S141" s="125" t="s">
        <v>301</v>
      </c>
      <c r="T141" s="125" t="s">
        <v>301</v>
      </c>
      <c r="U141" s="125" t="s">
        <v>301</v>
      </c>
      <c r="V141" s="125" t="s">
        <v>301</v>
      </c>
      <c r="W141" s="125" t="s">
        <v>301</v>
      </c>
      <c r="X141" s="125" t="s">
        <v>301</v>
      </c>
      <c r="Y141" s="148" t="s">
        <v>301</v>
      </c>
      <c r="Z141" s="46"/>
      <c r="AA141" s="148" t="s">
        <v>301</v>
      </c>
      <c r="AB141" s="148" t="s">
        <v>301</v>
      </c>
      <c r="AC141" s="148" t="s">
        <v>301</v>
      </c>
      <c r="AD141" s="148" t="s">
        <v>301</v>
      </c>
      <c r="AE141" s="148" t="s">
        <v>301</v>
      </c>
      <c r="AF141" s="148" t="s">
        <v>301</v>
      </c>
    </row>
    <row r="142" spans="1:32">
      <c r="A142" s="148" t="s">
        <v>301</v>
      </c>
      <c r="I142" s="148" t="s">
        <v>301</v>
      </c>
      <c r="J142" s="148" t="s">
        <v>301</v>
      </c>
      <c r="K142" s="148" t="s">
        <v>301</v>
      </c>
      <c r="L142" s="46"/>
      <c r="M142" s="148" t="s">
        <v>301</v>
      </c>
      <c r="N142" s="148" t="s">
        <v>301</v>
      </c>
      <c r="O142" s="148" t="s">
        <v>301</v>
      </c>
      <c r="P142" s="125" t="s">
        <v>301</v>
      </c>
      <c r="Q142" s="125" t="s">
        <v>301</v>
      </c>
      <c r="R142" s="125" t="s">
        <v>301</v>
      </c>
      <c r="S142" s="125" t="s">
        <v>301</v>
      </c>
      <c r="T142" s="125" t="s">
        <v>301</v>
      </c>
      <c r="U142" s="125" t="s">
        <v>301</v>
      </c>
      <c r="V142" s="125" t="s">
        <v>301</v>
      </c>
      <c r="W142" s="125" t="s">
        <v>301</v>
      </c>
      <c r="X142" s="125" t="s">
        <v>301</v>
      </c>
      <c r="Y142" s="148" t="s">
        <v>301</v>
      </c>
      <c r="Z142" s="46"/>
      <c r="AA142" s="148" t="s">
        <v>301</v>
      </c>
      <c r="AB142" s="148" t="s">
        <v>301</v>
      </c>
      <c r="AC142" s="148" t="s">
        <v>301</v>
      </c>
      <c r="AD142" s="148" t="s">
        <v>301</v>
      </c>
      <c r="AE142" s="148" t="s">
        <v>301</v>
      </c>
      <c r="AF142" s="148" t="s">
        <v>301</v>
      </c>
    </row>
    <row r="143" spans="1:32">
      <c r="A143" s="148" t="s">
        <v>301</v>
      </c>
      <c r="I143" s="148" t="s">
        <v>301</v>
      </c>
      <c r="J143" s="148" t="s">
        <v>301</v>
      </c>
      <c r="K143" s="148" t="s">
        <v>301</v>
      </c>
      <c r="L143" s="46"/>
      <c r="M143" s="148" t="s">
        <v>301</v>
      </c>
      <c r="N143" s="148" t="s">
        <v>301</v>
      </c>
      <c r="O143" s="148" t="s">
        <v>301</v>
      </c>
      <c r="P143" s="125" t="s">
        <v>301</v>
      </c>
      <c r="Q143" s="125" t="s">
        <v>301</v>
      </c>
      <c r="R143" s="125" t="s">
        <v>301</v>
      </c>
      <c r="S143" s="125" t="s">
        <v>301</v>
      </c>
      <c r="T143" s="125" t="s">
        <v>301</v>
      </c>
      <c r="U143" s="125" t="s">
        <v>301</v>
      </c>
      <c r="V143" s="125" t="s">
        <v>301</v>
      </c>
      <c r="W143" s="125" t="s">
        <v>301</v>
      </c>
      <c r="X143" s="125" t="s">
        <v>301</v>
      </c>
      <c r="Y143" s="148" t="s">
        <v>301</v>
      </c>
      <c r="Z143" s="46"/>
      <c r="AA143" s="148" t="s">
        <v>301</v>
      </c>
      <c r="AB143" s="148" t="s">
        <v>301</v>
      </c>
      <c r="AC143" s="148" t="s">
        <v>301</v>
      </c>
      <c r="AD143" s="148" t="s">
        <v>301</v>
      </c>
      <c r="AE143" s="148" t="s">
        <v>301</v>
      </c>
      <c r="AF143" s="148" t="s">
        <v>301</v>
      </c>
    </row>
    <row r="144" spans="1:32">
      <c r="A144" s="148" t="s">
        <v>301</v>
      </c>
      <c r="I144" s="148" t="s">
        <v>301</v>
      </c>
      <c r="J144" s="148" t="s">
        <v>301</v>
      </c>
      <c r="K144" s="148" t="s">
        <v>301</v>
      </c>
      <c r="L144" s="46"/>
      <c r="M144" s="148" t="s">
        <v>301</v>
      </c>
      <c r="N144" s="148" t="s">
        <v>301</v>
      </c>
      <c r="O144" s="148" t="s">
        <v>301</v>
      </c>
      <c r="P144" s="125" t="s">
        <v>301</v>
      </c>
      <c r="Q144" s="125" t="s">
        <v>301</v>
      </c>
      <c r="R144" s="125" t="s">
        <v>301</v>
      </c>
      <c r="S144" s="125" t="s">
        <v>301</v>
      </c>
      <c r="T144" s="125" t="s">
        <v>301</v>
      </c>
      <c r="U144" s="125" t="s">
        <v>301</v>
      </c>
      <c r="V144" s="125" t="s">
        <v>301</v>
      </c>
      <c r="W144" s="125" t="s">
        <v>301</v>
      </c>
      <c r="X144" s="125" t="s">
        <v>301</v>
      </c>
      <c r="Y144" s="148" t="s">
        <v>301</v>
      </c>
      <c r="Z144" s="46"/>
      <c r="AA144" s="148" t="s">
        <v>301</v>
      </c>
      <c r="AB144" s="148" t="s">
        <v>301</v>
      </c>
      <c r="AC144" s="148" t="s">
        <v>301</v>
      </c>
      <c r="AD144" s="148" t="s">
        <v>301</v>
      </c>
      <c r="AE144" s="148" t="s">
        <v>301</v>
      </c>
      <c r="AF144" s="148" t="s">
        <v>301</v>
      </c>
    </row>
    <row r="145" spans="1:32">
      <c r="A145" s="148" t="s">
        <v>301</v>
      </c>
      <c r="I145" s="148" t="s">
        <v>301</v>
      </c>
      <c r="J145" s="148" t="s">
        <v>301</v>
      </c>
      <c r="K145" s="148" t="s">
        <v>301</v>
      </c>
      <c r="L145" s="46"/>
      <c r="M145" s="148" t="s">
        <v>301</v>
      </c>
      <c r="N145" s="148" t="s">
        <v>301</v>
      </c>
      <c r="O145" s="148" t="s">
        <v>301</v>
      </c>
      <c r="P145" s="125" t="s">
        <v>301</v>
      </c>
      <c r="Q145" s="125" t="s">
        <v>301</v>
      </c>
      <c r="R145" s="125" t="s">
        <v>301</v>
      </c>
      <c r="S145" s="125" t="s">
        <v>301</v>
      </c>
      <c r="T145" s="125" t="s">
        <v>301</v>
      </c>
      <c r="U145" s="125" t="s">
        <v>301</v>
      </c>
      <c r="V145" s="125" t="s">
        <v>301</v>
      </c>
      <c r="W145" s="125" t="s">
        <v>301</v>
      </c>
      <c r="X145" s="125" t="s">
        <v>301</v>
      </c>
      <c r="Y145" s="148" t="s">
        <v>301</v>
      </c>
      <c r="Z145" s="46"/>
      <c r="AA145" s="148" t="s">
        <v>301</v>
      </c>
      <c r="AB145" s="148" t="s">
        <v>301</v>
      </c>
      <c r="AC145" s="148" t="s">
        <v>301</v>
      </c>
      <c r="AD145" s="148" t="s">
        <v>301</v>
      </c>
      <c r="AE145" s="148" t="s">
        <v>301</v>
      </c>
      <c r="AF145" s="148" t="s">
        <v>301</v>
      </c>
    </row>
    <row r="146" spans="1:32">
      <c r="A146" s="148" t="s">
        <v>301</v>
      </c>
      <c r="I146" s="148" t="s">
        <v>301</v>
      </c>
      <c r="J146" s="148" t="s">
        <v>301</v>
      </c>
      <c r="K146" s="148" t="s">
        <v>301</v>
      </c>
      <c r="L146" s="46"/>
      <c r="M146" s="148" t="s">
        <v>301</v>
      </c>
      <c r="N146" s="148" t="s">
        <v>301</v>
      </c>
      <c r="O146" s="148" t="s">
        <v>301</v>
      </c>
      <c r="P146" s="148" t="s">
        <v>301</v>
      </c>
      <c r="Q146" s="148" t="s">
        <v>301</v>
      </c>
      <c r="R146" s="148" t="s">
        <v>301</v>
      </c>
      <c r="S146" s="148" t="s">
        <v>301</v>
      </c>
      <c r="T146" s="125" t="s">
        <v>301</v>
      </c>
      <c r="U146" s="125" t="s">
        <v>301</v>
      </c>
      <c r="V146" s="125" t="s">
        <v>301</v>
      </c>
      <c r="W146" s="125" t="s">
        <v>301</v>
      </c>
      <c r="X146" s="125" t="s">
        <v>301</v>
      </c>
      <c r="Y146" s="148" t="s">
        <v>301</v>
      </c>
      <c r="Z146" s="46"/>
      <c r="AA146" s="148" t="s">
        <v>301</v>
      </c>
      <c r="AB146" s="148" t="s">
        <v>301</v>
      </c>
      <c r="AC146" s="148" t="s">
        <v>301</v>
      </c>
      <c r="AD146" s="148" t="s">
        <v>301</v>
      </c>
      <c r="AE146" s="148" t="s">
        <v>301</v>
      </c>
      <c r="AF146" s="148" t="s">
        <v>301</v>
      </c>
    </row>
    <row r="147" spans="1:32">
      <c r="A147" s="148" t="s">
        <v>301</v>
      </c>
      <c r="I147" s="148" t="s">
        <v>301</v>
      </c>
      <c r="J147" s="148" t="s">
        <v>301</v>
      </c>
      <c r="K147" s="148" t="s">
        <v>301</v>
      </c>
      <c r="L147" s="46"/>
      <c r="M147" s="148" t="s">
        <v>301</v>
      </c>
      <c r="N147" s="148" t="s">
        <v>301</v>
      </c>
      <c r="O147" s="148" t="s">
        <v>301</v>
      </c>
      <c r="P147" s="148" t="s">
        <v>301</v>
      </c>
      <c r="Q147" s="148" t="s">
        <v>301</v>
      </c>
      <c r="R147" s="148" t="s">
        <v>301</v>
      </c>
      <c r="S147" s="148" t="s">
        <v>301</v>
      </c>
      <c r="T147" s="125" t="s">
        <v>301</v>
      </c>
      <c r="U147" s="125" t="s">
        <v>301</v>
      </c>
      <c r="V147" s="125" t="s">
        <v>301</v>
      </c>
      <c r="W147" s="125" t="s">
        <v>301</v>
      </c>
      <c r="X147" s="125" t="s">
        <v>301</v>
      </c>
      <c r="Y147" s="148" t="s">
        <v>301</v>
      </c>
      <c r="Z147" s="46"/>
      <c r="AA147" s="148" t="s">
        <v>301</v>
      </c>
      <c r="AB147" s="148" t="s">
        <v>301</v>
      </c>
      <c r="AC147" s="148" t="s">
        <v>301</v>
      </c>
      <c r="AD147" s="148" t="s">
        <v>301</v>
      </c>
      <c r="AE147" s="148" t="s">
        <v>301</v>
      </c>
      <c r="AF147" s="148" t="s">
        <v>301</v>
      </c>
    </row>
    <row r="148" spans="1:32">
      <c r="A148" s="148" t="s">
        <v>301</v>
      </c>
      <c r="I148" s="148" t="s">
        <v>301</v>
      </c>
      <c r="J148" s="148" t="s">
        <v>301</v>
      </c>
      <c r="K148" s="148" t="s">
        <v>301</v>
      </c>
      <c r="L148" s="46"/>
      <c r="M148" s="148" t="s">
        <v>301</v>
      </c>
      <c r="N148" s="148" t="s">
        <v>301</v>
      </c>
      <c r="O148" s="148" t="s">
        <v>301</v>
      </c>
      <c r="P148" s="148" t="s">
        <v>301</v>
      </c>
      <c r="Q148" s="148" t="s">
        <v>301</v>
      </c>
      <c r="R148" s="148" t="s">
        <v>301</v>
      </c>
      <c r="S148" s="148" t="s">
        <v>301</v>
      </c>
      <c r="T148" s="125" t="s">
        <v>301</v>
      </c>
      <c r="U148" s="125" t="s">
        <v>301</v>
      </c>
      <c r="V148" s="125" t="s">
        <v>301</v>
      </c>
      <c r="W148" s="125" t="s">
        <v>301</v>
      </c>
      <c r="X148" s="125" t="s">
        <v>301</v>
      </c>
      <c r="Y148" s="148" t="s">
        <v>301</v>
      </c>
      <c r="Z148" s="46"/>
      <c r="AA148" s="148" t="s">
        <v>301</v>
      </c>
      <c r="AB148" s="148" t="s">
        <v>301</v>
      </c>
      <c r="AC148" s="148" t="s">
        <v>301</v>
      </c>
      <c r="AD148" s="148" t="s">
        <v>301</v>
      </c>
      <c r="AE148" s="148" t="s">
        <v>301</v>
      </c>
      <c r="AF148" s="148" t="s">
        <v>301</v>
      </c>
    </row>
    <row r="149" spans="1:32">
      <c r="A149" s="148" t="s">
        <v>301</v>
      </c>
      <c r="I149" s="148" t="s">
        <v>301</v>
      </c>
      <c r="J149" s="148" t="s">
        <v>301</v>
      </c>
      <c r="K149" s="148" t="s">
        <v>301</v>
      </c>
      <c r="L149" s="46"/>
      <c r="M149" s="148" t="s">
        <v>301</v>
      </c>
      <c r="N149" s="148" t="s">
        <v>301</v>
      </c>
      <c r="O149" s="148" t="s">
        <v>301</v>
      </c>
      <c r="P149" s="148" t="s">
        <v>301</v>
      </c>
      <c r="Q149" s="148" t="s">
        <v>301</v>
      </c>
      <c r="R149" s="148" t="s">
        <v>301</v>
      </c>
      <c r="S149" s="148" t="s">
        <v>301</v>
      </c>
      <c r="T149" s="125" t="s">
        <v>301</v>
      </c>
      <c r="U149" s="125" t="s">
        <v>301</v>
      </c>
      <c r="V149" s="125" t="s">
        <v>301</v>
      </c>
      <c r="W149" s="125" t="s">
        <v>301</v>
      </c>
      <c r="X149" s="125" t="s">
        <v>301</v>
      </c>
      <c r="Y149" s="148" t="s">
        <v>301</v>
      </c>
      <c r="Z149" s="46"/>
      <c r="AA149" s="148" t="s">
        <v>301</v>
      </c>
      <c r="AB149" s="148" t="s">
        <v>301</v>
      </c>
      <c r="AC149" s="148" t="s">
        <v>301</v>
      </c>
      <c r="AD149" s="148" t="s">
        <v>301</v>
      </c>
      <c r="AE149" s="148" t="s">
        <v>301</v>
      </c>
      <c r="AF149" s="148" t="s">
        <v>301</v>
      </c>
    </row>
    <row r="150" spans="1:32">
      <c r="A150" s="148" t="s">
        <v>301</v>
      </c>
      <c r="I150" s="148" t="s">
        <v>301</v>
      </c>
      <c r="J150" s="148" t="s">
        <v>301</v>
      </c>
      <c r="K150" s="148" t="s">
        <v>301</v>
      </c>
      <c r="L150" s="46"/>
      <c r="M150" s="148" t="s">
        <v>301</v>
      </c>
      <c r="N150" s="148" t="s">
        <v>301</v>
      </c>
      <c r="O150" s="148" t="s">
        <v>301</v>
      </c>
      <c r="P150" s="148" t="s">
        <v>301</v>
      </c>
      <c r="Q150" s="148" t="s">
        <v>301</v>
      </c>
      <c r="R150" s="148" t="s">
        <v>301</v>
      </c>
      <c r="S150" s="148" t="s">
        <v>301</v>
      </c>
      <c r="T150" s="125" t="s">
        <v>301</v>
      </c>
      <c r="U150" s="125" t="s">
        <v>301</v>
      </c>
      <c r="V150" s="125" t="s">
        <v>301</v>
      </c>
      <c r="W150" s="125" t="s">
        <v>301</v>
      </c>
      <c r="X150" s="125" t="s">
        <v>301</v>
      </c>
      <c r="Y150" s="148" t="s">
        <v>301</v>
      </c>
      <c r="Z150" s="46"/>
      <c r="AA150" s="148" t="s">
        <v>301</v>
      </c>
      <c r="AB150" s="148" t="s">
        <v>301</v>
      </c>
      <c r="AC150" s="148" t="s">
        <v>301</v>
      </c>
      <c r="AD150" s="148" t="s">
        <v>301</v>
      </c>
      <c r="AE150" s="148" t="s">
        <v>301</v>
      </c>
      <c r="AF150" s="148" t="s">
        <v>301</v>
      </c>
    </row>
    <row r="151" spans="1:32">
      <c r="A151" s="148" t="s">
        <v>301</v>
      </c>
      <c r="I151" s="148" t="s">
        <v>301</v>
      </c>
      <c r="J151" s="148" t="s">
        <v>301</v>
      </c>
      <c r="K151" s="148" t="s">
        <v>301</v>
      </c>
      <c r="L151" s="46"/>
      <c r="M151" s="148" t="s">
        <v>301</v>
      </c>
      <c r="N151" s="148" t="s">
        <v>301</v>
      </c>
      <c r="O151" s="148" t="s">
        <v>301</v>
      </c>
      <c r="P151" s="148" t="s">
        <v>301</v>
      </c>
      <c r="Q151" s="148" t="s">
        <v>301</v>
      </c>
      <c r="R151" s="148" t="s">
        <v>301</v>
      </c>
      <c r="S151" s="148" t="s">
        <v>301</v>
      </c>
      <c r="T151" s="125" t="s">
        <v>301</v>
      </c>
      <c r="U151" s="125" t="s">
        <v>301</v>
      </c>
      <c r="V151" s="125" t="s">
        <v>301</v>
      </c>
      <c r="W151" s="125" t="s">
        <v>301</v>
      </c>
      <c r="X151" s="125" t="s">
        <v>301</v>
      </c>
      <c r="Y151" s="148" t="s">
        <v>301</v>
      </c>
      <c r="Z151" s="46"/>
      <c r="AA151" s="148" t="s">
        <v>301</v>
      </c>
      <c r="AB151" s="148" t="s">
        <v>301</v>
      </c>
      <c r="AC151" s="148" t="s">
        <v>301</v>
      </c>
      <c r="AD151" s="148" t="s">
        <v>301</v>
      </c>
      <c r="AE151" s="148" t="s">
        <v>301</v>
      </c>
      <c r="AF151" s="148" t="s">
        <v>301</v>
      </c>
    </row>
    <row r="152" spans="1:32">
      <c r="A152" s="148" t="s">
        <v>301</v>
      </c>
      <c r="I152" s="148" t="s">
        <v>301</v>
      </c>
      <c r="J152" s="148" t="s">
        <v>301</v>
      </c>
      <c r="K152" s="148" t="s">
        <v>301</v>
      </c>
      <c r="L152" s="46"/>
      <c r="M152" s="148" t="s">
        <v>301</v>
      </c>
      <c r="N152" s="148" t="s">
        <v>301</v>
      </c>
      <c r="O152" s="148" t="s">
        <v>301</v>
      </c>
      <c r="P152" s="148" t="s">
        <v>301</v>
      </c>
      <c r="Q152" s="148" t="s">
        <v>301</v>
      </c>
      <c r="R152" s="148" t="s">
        <v>301</v>
      </c>
      <c r="S152" s="148" t="s">
        <v>301</v>
      </c>
      <c r="T152" s="125" t="s">
        <v>301</v>
      </c>
      <c r="U152" s="125" t="s">
        <v>301</v>
      </c>
      <c r="V152" s="125" t="s">
        <v>301</v>
      </c>
      <c r="W152" s="125" t="s">
        <v>301</v>
      </c>
      <c r="X152" s="125" t="s">
        <v>301</v>
      </c>
      <c r="Y152" s="148" t="s">
        <v>301</v>
      </c>
      <c r="Z152" s="46"/>
      <c r="AA152" s="148" t="s">
        <v>301</v>
      </c>
      <c r="AB152" s="148" t="s">
        <v>301</v>
      </c>
      <c r="AC152" s="148" t="s">
        <v>301</v>
      </c>
      <c r="AD152" s="148" t="s">
        <v>301</v>
      </c>
      <c r="AE152" s="148" t="s">
        <v>301</v>
      </c>
      <c r="AF152" s="148" t="s">
        <v>301</v>
      </c>
    </row>
    <row r="153" spans="1:32">
      <c r="A153" s="148" t="s">
        <v>301</v>
      </c>
      <c r="I153" s="148" t="s">
        <v>301</v>
      </c>
      <c r="J153" s="148" t="s">
        <v>301</v>
      </c>
      <c r="K153" s="148" t="s">
        <v>301</v>
      </c>
      <c r="L153" s="46"/>
      <c r="M153" s="148" t="s">
        <v>301</v>
      </c>
      <c r="N153" s="148" t="s">
        <v>301</v>
      </c>
      <c r="O153" s="148" t="s">
        <v>301</v>
      </c>
      <c r="P153" s="148" t="s">
        <v>301</v>
      </c>
      <c r="Q153" s="148" t="s">
        <v>301</v>
      </c>
      <c r="R153" s="148" t="s">
        <v>301</v>
      </c>
      <c r="S153" s="148" t="s">
        <v>301</v>
      </c>
      <c r="T153" s="125" t="s">
        <v>301</v>
      </c>
      <c r="U153" s="125" t="s">
        <v>301</v>
      </c>
      <c r="V153" s="125" t="s">
        <v>301</v>
      </c>
      <c r="W153" s="125" t="s">
        <v>301</v>
      </c>
      <c r="X153" s="125" t="s">
        <v>301</v>
      </c>
      <c r="Y153" s="148" t="s">
        <v>301</v>
      </c>
      <c r="Z153" s="46"/>
      <c r="AA153" s="148" t="s">
        <v>301</v>
      </c>
      <c r="AB153" s="148" t="s">
        <v>301</v>
      </c>
      <c r="AC153" s="148" t="s">
        <v>301</v>
      </c>
      <c r="AD153" s="148" t="s">
        <v>301</v>
      </c>
      <c r="AE153" s="148" t="s">
        <v>301</v>
      </c>
      <c r="AF153" s="148" t="s">
        <v>301</v>
      </c>
    </row>
    <row r="154" spans="1:32">
      <c r="A154" s="148" t="s">
        <v>301</v>
      </c>
      <c r="I154" s="148" t="s">
        <v>301</v>
      </c>
      <c r="J154" s="148" t="s">
        <v>301</v>
      </c>
      <c r="K154" s="148" t="s">
        <v>301</v>
      </c>
      <c r="L154" s="46"/>
      <c r="M154" s="148" t="s">
        <v>301</v>
      </c>
      <c r="N154" s="148" t="s">
        <v>301</v>
      </c>
      <c r="O154" s="148" t="s">
        <v>301</v>
      </c>
      <c r="P154" s="148" t="s">
        <v>301</v>
      </c>
      <c r="Q154" s="148" t="s">
        <v>301</v>
      </c>
      <c r="R154" s="148" t="s">
        <v>301</v>
      </c>
      <c r="S154" s="148" t="s">
        <v>301</v>
      </c>
      <c r="T154" s="125" t="s">
        <v>301</v>
      </c>
      <c r="U154" s="125" t="s">
        <v>301</v>
      </c>
      <c r="V154" s="125" t="s">
        <v>301</v>
      </c>
      <c r="W154" s="125" t="s">
        <v>301</v>
      </c>
      <c r="X154" s="125" t="s">
        <v>301</v>
      </c>
      <c r="Y154" s="148" t="s">
        <v>301</v>
      </c>
      <c r="Z154" s="46"/>
      <c r="AA154" s="148" t="s">
        <v>301</v>
      </c>
      <c r="AB154" s="148" t="s">
        <v>301</v>
      </c>
      <c r="AC154" s="148" t="s">
        <v>301</v>
      </c>
      <c r="AD154" s="148" t="s">
        <v>301</v>
      </c>
      <c r="AE154" s="148" t="s">
        <v>301</v>
      </c>
      <c r="AF154" s="148" t="s">
        <v>301</v>
      </c>
    </row>
  </sheetData>
  <autoFilter ref="B4:F22" xr:uid="{00000000-0009-0000-0000-00000E000000}">
    <sortState xmlns:xlrd2="http://schemas.microsoft.com/office/spreadsheetml/2017/richdata2" ref="B5:F160">
      <sortCondition descending="1" ref="C4:C22"/>
    </sortState>
  </autoFilter>
  <sortState xmlns:xlrd2="http://schemas.microsoft.com/office/spreadsheetml/2017/richdata2" ref="A5:F22">
    <sortCondition descending="1" ref="D5"/>
  </sortState>
  <mergeCells count="1">
    <mergeCell ref="H2:O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U54"/>
  <sheetViews>
    <sheetView showGridLines="0" zoomScaleNormal="100" workbookViewId="0">
      <selection activeCell="B2" sqref="B2"/>
    </sheetView>
  </sheetViews>
  <sheetFormatPr defaultColWidth="9" defaultRowHeight="15.6"/>
  <cols>
    <col min="1" max="1" width="9" style="33"/>
    <col min="2" max="2" width="14.5" style="33" bestFit="1" customWidth="1"/>
    <col min="3" max="3" width="19" style="33" bestFit="1" customWidth="1"/>
    <col min="4" max="4" width="13" style="33" customWidth="1"/>
    <col min="5" max="5" width="27" style="33" customWidth="1"/>
    <col min="6" max="6" width="13" style="33" customWidth="1"/>
    <col min="7" max="7" width="9" style="33"/>
    <col min="8" max="8" width="25" style="33" bestFit="1" customWidth="1"/>
    <col min="9" max="9" width="9" style="33" customWidth="1"/>
    <col min="10" max="11" width="21" style="33" customWidth="1"/>
    <col min="12" max="12" width="19.5" style="33" customWidth="1"/>
    <col min="13" max="16384" width="9" style="33"/>
  </cols>
  <sheetData>
    <row r="1" spans="1:20" ht="15" customHeight="1">
      <c r="K1" s="181"/>
      <c r="L1" s="181"/>
      <c r="M1" s="181"/>
      <c r="N1" s="181"/>
      <c r="O1" s="181"/>
      <c r="P1" s="181"/>
      <c r="Q1" s="181"/>
      <c r="R1" s="181"/>
      <c r="S1" s="181"/>
      <c r="T1" s="181"/>
    </row>
    <row r="2" spans="1:20" ht="15.95" customHeight="1">
      <c r="B2" s="131" t="s">
        <v>3121</v>
      </c>
      <c r="D2" s="170"/>
      <c r="E2" s="182"/>
      <c r="I2" s="895" t="s">
        <v>3122</v>
      </c>
      <c r="J2" s="895"/>
      <c r="K2" s="895"/>
      <c r="L2" s="895"/>
      <c r="M2" s="895"/>
      <c r="N2" s="895"/>
      <c r="O2" s="895"/>
      <c r="P2" s="45"/>
      <c r="Q2" s="45"/>
      <c r="R2" s="45"/>
      <c r="S2" s="45"/>
      <c r="T2" s="45"/>
    </row>
    <row r="3" spans="1:20" ht="15" customHeight="1">
      <c r="A3" s="183"/>
      <c r="B3" s="183"/>
      <c r="C3" s="183"/>
      <c r="J3" s="45"/>
      <c r="K3" s="45"/>
      <c r="L3" s="45"/>
      <c r="M3" s="45"/>
      <c r="N3" s="45"/>
      <c r="O3" s="45"/>
      <c r="P3" s="45"/>
      <c r="Q3" s="45"/>
      <c r="R3" s="45"/>
      <c r="S3" s="45"/>
      <c r="T3" s="45"/>
    </row>
    <row r="4" spans="1:20">
      <c r="A4" s="46"/>
      <c r="B4" s="184" t="s">
        <v>3006</v>
      </c>
      <c r="C4" s="164" t="s">
        <v>3123</v>
      </c>
      <c r="D4" s="164" t="s">
        <v>3124</v>
      </c>
      <c r="E4" s="164" t="s">
        <v>3125</v>
      </c>
      <c r="F4" s="164" t="s">
        <v>3126</v>
      </c>
      <c r="G4" s="33" t="s">
        <v>3059</v>
      </c>
      <c r="J4" s="45"/>
      <c r="K4" s="45"/>
      <c r="L4" s="45"/>
      <c r="M4" s="45"/>
      <c r="N4" s="45"/>
      <c r="O4" s="45"/>
      <c r="P4" s="45"/>
      <c r="Q4" s="45"/>
      <c r="R4" s="45"/>
      <c r="S4" s="45"/>
      <c r="T4" s="45"/>
    </row>
    <row r="5" spans="1:20">
      <c r="A5" s="46"/>
      <c r="B5" s="118" t="s">
        <v>1894</v>
      </c>
      <c r="C5" s="196">
        <f>VLOOKUP(B5,'Refugee cost calculations'!B:E,2,0)</f>
        <v>1521085</v>
      </c>
      <c r="D5" s="282">
        <f>(C5*250*8)/1000000000</f>
        <v>3.04217</v>
      </c>
      <c r="E5" s="313">
        <f>(C5*500*8)/1000000000</f>
        <v>6.0843400000000001</v>
      </c>
      <c r="F5" s="313">
        <f>(C5*750*8)/1000000000</f>
        <v>9.1265099999999997</v>
      </c>
    </row>
    <row r="6" spans="1:20">
      <c r="A6" s="46"/>
      <c r="B6" s="118" t="s">
        <v>1136</v>
      </c>
      <c r="C6" s="196">
        <f>VLOOKUP(B6,'Refugee cost calculations'!B:E,2,0)</f>
        <v>1021667</v>
      </c>
      <c r="D6" s="282">
        <f t="shared" ref="D6:D44" si="0">(C6*250*8)/1000000000</f>
        <v>2.0433340000000002</v>
      </c>
      <c r="E6" s="313">
        <f t="shared" ref="E6:E44" si="1">(C6*500*8)/1000000000</f>
        <v>4.0866680000000004</v>
      </c>
      <c r="F6" s="313">
        <f t="shared" ref="F6:F44" si="2">(C6*750*8)/1000000000</f>
        <v>6.1300020000000002</v>
      </c>
    </row>
    <row r="7" spans="1:20">
      <c r="A7" s="46"/>
      <c r="B7" s="118" t="s">
        <v>632</v>
      </c>
      <c r="C7" s="196">
        <f>VLOOKUP(B7,'Refugee cost calculations'!B:E,2,0)</f>
        <v>464701</v>
      </c>
      <c r="D7" s="282">
        <f t="shared" si="0"/>
        <v>0.92940199999999995</v>
      </c>
      <c r="E7" s="313">
        <f t="shared" si="1"/>
        <v>1.8588039999999999</v>
      </c>
      <c r="F7" s="313">
        <f t="shared" si="2"/>
        <v>2.7882060000000002</v>
      </c>
    </row>
    <row r="8" spans="1:20">
      <c r="A8" s="46"/>
      <c r="B8" s="118" t="s">
        <v>1412</v>
      </c>
      <c r="C8" s="196">
        <f>VLOOKUP(B8,'Refugee cost calculations'!B:E,2,0)</f>
        <v>165401</v>
      </c>
      <c r="D8" s="282">
        <f t="shared" si="0"/>
        <v>0.33080199999999998</v>
      </c>
      <c r="E8" s="313">
        <f t="shared" si="1"/>
        <v>0.66160399999999997</v>
      </c>
      <c r="F8" s="313">
        <f t="shared" si="2"/>
        <v>0.99240600000000001</v>
      </c>
    </row>
    <row r="9" spans="1:20">
      <c r="A9" s="46"/>
      <c r="B9" s="118" t="s">
        <v>2162</v>
      </c>
      <c r="C9" s="196">
        <f>VLOOKUP(B9,'Refugee cost calculations'!B:E,2,0)</f>
        <v>155473</v>
      </c>
      <c r="D9" s="282">
        <f t="shared" si="0"/>
        <v>0.310946</v>
      </c>
      <c r="E9" s="313">
        <f t="shared" si="1"/>
        <v>0.621892</v>
      </c>
      <c r="F9" s="313">
        <f t="shared" si="2"/>
        <v>0.93283799999999995</v>
      </c>
    </row>
    <row r="10" spans="1:20">
      <c r="A10" s="46"/>
      <c r="B10" s="118" t="s">
        <v>428</v>
      </c>
      <c r="C10" s="196">
        <f>VLOOKUP(B10,'Refugee cost calculations'!B:E,2,0)</f>
        <v>146659</v>
      </c>
      <c r="D10" s="282">
        <f t="shared" si="0"/>
        <v>0.29331800000000002</v>
      </c>
      <c r="E10" s="313">
        <f t="shared" si="1"/>
        <v>0.58663600000000005</v>
      </c>
      <c r="F10" s="313">
        <f t="shared" si="2"/>
        <v>0.87995400000000001</v>
      </c>
    </row>
    <row r="11" spans="1:20">
      <c r="A11" s="46"/>
      <c r="B11" s="118" t="s">
        <v>2392</v>
      </c>
      <c r="C11" s="196">
        <f>VLOOKUP(B11,'Refugee cost calculations'!B:E,2,0)</f>
        <v>146200</v>
      </c>
      <c r="D11" s="282">
        <f t="shared" si="0"/>
        <v>0.29239999999999999</v>
      </c>
      <c r="E11" s="313">
        <f t="shared" si="1"/>
        <v>0.58479999999999999</v>
      </c>
      <c r="F11" s="313">
        <f t="shared" si="2"/>
        <v>0.87719999999999998</v>
      </c>
    </row>
    <row r="12" spans="1:20">
      <c r="A12" s="46"/>
      <c r="B12" s="8" t="s">
        <v>2348</v>
      </c>
      <c r="C12" s="196">
        <f>VLOOKUP(B12,'Refugee cost calculations'!B:E,2,0)</f>
        <v>145000</v>
      </c>
      <c r="D12" s="282">
        <f t="shared" si="0"/>
        <v>0.28999999999999998</v>
      </c>
      <c r="E12" s="313">
        <f t="shared" si="1"/>
        <v>0.57999999999999996</v>
      </c>
      <c r="F12" s="313">
        <f t="shared" si="2"/>
        <v>0.87</v>
      </c>
    </row>
    <row r="13" spans="1:20">
      <c r="A13" s="46"/>
      <c r="B13" s="118" t="s">
        <v>1012</v>
      </c>
      <c r="C13" s="196">
        <f>VLOOKUP(B13,'Refugee cost calculations'!B:E,2,0)</f>
        <v>118994</v>
      </c>
      <c r="D13" s="282">
        <f t="shared" si="0"/>
        <v>0.23798800000000001</v>
      </c>
      <c r="E13" s="313">
        <f t="shared" si="1"/>
        <v>0.47597600000000001</v>
      </c>
      <c r="F13" s="313">
        <f t="shared" si="2"/>
        <v>0.71396400000000004</v>
      </c>
    </row>
    <row r="14" spans="1:20">
      <c r="A14" s="46"/>
      <c r="B14" s="118" t="s">
        <v>2063</v>
      </c>
      <c r="C14" s="196">
        <f>VLOOKUP(B14,'Refugee cost calculations'!B:E,2,0)</f>
        <v>102278</v>
      </c>
      <c r="D14" s="282">
        <f t="shared" si="0"/>
        <v>0.20455599999999999</v>
      </c>
      <c r="E14" s="313">
        <f t="shared" si="1"/>
        <v>0.40911199999999998</v>
      </c>
      <c r="F14" s="313">
        <f t="shared" si="2"/>
        <v>0.61366799999999999</v>
      </c>
    </row>
    <row r="15" spans="1:20">
      <c r="A15" s="46"/>
      <c r="B15" s="118" t="s">
        <v>2034</v>
      </c>
      <c r="C15" s="196">
        <f>VLOOKUP(B15,'Refugee cost calculations'!B:E,2,0)</f>
        <v>90348</v>
      </c>
      <c r="D15" s="282">
        <f t="shared" si="0"/>
        <v>0.180696</v>
      </c>
      <c r="E15" s="313">
        <f t="shared" si="1"/>
        <v>0.36139199999999999</v>
      </c>
      <c r="F15" s="313">
        <f t="shared" si="2"/>
        <v>0.54208800000000001</v>
      </c>
    </row>
    <row r="16" spans="1:20">
      <c r="A16" s="46"/>
      <c r="B16" s="118" t="s">
        <v>312</v>
      </c>
      <c r="C16" s="196">
        <f>VLOOKUP(B16,'Refugee cost calculations'!B:E,2,0)</f>
        <v>88748</v>
      </c>
      <c r="D16" s="282">
        <f t="shared" si="0"/>
        <v>0.17749599999999999</v>
      </c>
      <c r="E16" s="313">
        <f t="shared" si="1"/>
        <v>0.35499199999999997</v>
      </c>
      <c r="F16" s="313">
        <f t="shared" si="2"/>
        <v>0.53248799999999996</v>
      </c>
    </row>
    <row r="17" spans="1:6">
      <c r="A17" s="46"/>
      <c r="B17" s="118" t="s">
        <v>1687</v>
      </c>
      <c r="C17" s="196">
        <f>VLOOKUP(B17,'Refugee cost calculations'!B:E,2,0)</f>
        <v>79250</v>
      </c>
      <c r="D17" s="282">
        <f t="shared" si="0"/>
        <v>0.1585</v>
      </c>
      <c r="E17" s="313">
        <f t="shared" si="1"/>
        <v>0.317</v>
      </c>
      <c r="F17" s="313">
        <f t="shared" si="2"/>
        <v>0.47549999999999998</v>
      </c>
    </row>
    <row r="18" spans="1:6">
      <c r="A18" s="46"/>
      <c r="B18" s="118" t="s">
        <v>1562</v>
      </c>
      <c r="C18" s="196">
        <f>VLOOKUP(B18,'Refugee cost calculations'!B:E,2,0)</f>
        <v>70667</v>
      </c>
      <c r="D18" s="282">
        <f t="shared" si="0"/>
        <v>0.14133399999999999</v>
      </c>
      <c r="E18" s="313">
        <f t="shared" si="1"/>
        <v>0.28266799999999997</v>
      </c>
      <c r="F18" s="313">
        <f t="shared" si="2"/>
        <v>0.42400199999999999</v>
      </c>
    </row>
    <row r="19" spans="1:6">
      <c r="A19" s="46"/>
      <c r="B19" s="8" t="s">
        <v>2329</v>
      </c>
      <c r="C19" s="196">
        <f>VLOOKUP(B19,'Refugee cost calculations'!B:E,2,0)</f>
        <v>69607</v>
      </c>
      <c r="D19" s="282">
        <f t="shared" si="0"/>
        <v>0.139214</v>
      </c>
      <c r="E19" s="313">
        <f t="shared" si="1"/>
        <v>0.27842800000000001</v>
      </c>
      <c r="F19" s="313">
        <f t="shared" si="2"/>
        <v>0.41764200000000001</v>
      </c>
    </row>
    <row r="20" spans="1:6">
      <c r="A20" s="46"/>
      <c r="B20" s="118" t="s">
        <v>1383</v>
      </c>
      <c r="C20" s="196">
        <f>VLOOKUP(B20,'Refugee cost calculations'!B:E,2,0)</f>
        <v>64279</v>
      </c>
      <c r="D20" s="282">
        <f t="shared" si="0"/>
        <v>0.12855800000000001</v>
      </c>
      <c r="E20" s="313">
        <f t="shared" si="1"/>
        <v>0.25711600000000001</v>
      </c>
      <c r="F20" s="313">
        <f t="shared" si="2"/>
        <v>0.38567400000000002</v>
      </c>
    </row>
    <row r="21" spans="1:6">
      <c r="A21" s="46"/>
      <c r="B21" s="118" t="s">
        <v>370</v>
      </c>
      <c r="C21" s="196">
        <f>VLOOKUP(B21,'Refugee cost calculations'!B:E,2,0)</f>
        <v>61466</v>
      </c>
      <c r="D21" s="282">
        <f t="shared" si="0"/>
        <v>0.122932</v>
      </c>
      <c r="E21" s="313">
        <f t="shared" si="1"/>
        <v>0.245864</v>
      </c>
      <c r="F21" s="313">
        <f t="shared" si="2"/>
        <v>0.36879600000000001</v>
      </c>
    </row>
    <row r="22" spans="1:6">
      <c r="A22" s="46"/>
      <c r="B22" s="118" t="s">
        <v>1957</v>
      </c>
      <c r="C22" s="196">
        <f>VLOOKUP(B22,'Refugee cost calculations'!B:E,2,0)</f>
        <v>52875</v>
      </c>
      <c r="D22" s="282">
        <f t="shared" si="0"/>
        <v>0.10575</v>
      </c>
      <c r="E22" s="313">
        <f t="shared" si="1"/>
        <v>0.21149999999999999</v>
      </c>
      <c r="F22" s="313">
        <f t="shared" si="2"/>
        <v>0.31724999999999998</v>
      </c>
    </row>
    <row r="23" spans="1:6">
      <c r="A23" s="46"/>
      <c r="B23" s="118" t="s">
        <v>2258</v>
      </c>
      <c r="C23" s="196">
        <f>VLOOKUP(B23,'Refugee cost calculations'!B:E,2,0)</f>
        <v>48360</v>
      </c>
      <c r="D23" s="282">
        <f t="shared" si="0"/>
        <v>9.672E-2</v>
      </c>
      <c r="E23" s="313">
        <f t="shared" si="1"/>
        <v>0.19344</v>
      </c>
      <c r="F23" s="313">
        <f t="shared" si="2"/>
        <v>0.29015999999999997</v>
      </c>
    </row>
    <row r="24" spans="1:6">
      <c r="A24" s="46"/>
      <c r="B24" s="118" t="s">
        <v>917</v>
      </c>
      <c r="C24" s="196">
        <f>VLOOKUP(B24,'Refugee cost calculations'!B:E,2,0)</f>
        <v>43807</v>
      </c>
      <c r="D24" s="282">
        <f t="shared" si="0"/>
        <v>8.7613999999999997E-2</v>
      </c>
      <c r="E24" s="313">
        <f t="shared" si="1"/>
        <v>0.17522799999999999</v>
      </c>
      <c r="F24" s="313">
        <f t="shared" si="2"/>
        <v>0.26284200000000002</v>
      </c>
    </row>
    <row r="25" spans="1:6">
      <c r="A25" s="46"/>
      <c r="B25" s="118" t="s">
        <v>1516</v>
      </c>
      <c r="C25" s="196">
        <f>VLOOKUP(B25,'Refugee cost calculations'!B:E,2,0)</f>
        <v>42802</v>
      </c>
      <c r="D25" s="282">
        <f t="shared" si="0"/>
        <v>8.5604E-2</v>
      </c>
      <c r="E25" s="313">
        <f t="shared" si="1"/>
        <v>0.171208</v>
      </c>
      <c r="F25" s="313">
        <f t="shared" si="2"/>
        <v>0.25681199999999998</v>
      </c>
    </row>
    <row r="26" spans="1:6">
      <c r="A26" s="46"/>
      <c r="B26" s="118" t="s">
        <v>840</v>
      </c>
      <c r="C26" s="196">
        <f>VLOOKUP(B26,'Refugee cost calculations'!B:E,2,0)</f>
        <v>38729</v>
      </c>
      <c r="D26" s="282">
        <f t="shared" si="0"/>
        <v>7.7457999999999999E-2</v>
      </c>
      <c r="E26" s="313">
        <f t="shared" si="1"/>
        <v>0.154916</v>
      </c>
      <c r="F26" s="313">
        <f t="shared" si="2"/>
        <v>0.232374</v>
      </c>
    </row>
    <row r="27" spans="1:6">
      <c r="A27" s="46"/>
      <c r="B27" s="118" t="s">
        <v>767</v>
      </c>
      <c r="C27" s="196">
        <f>VLOOKUP(B27,'Refugee cost calculations'!B:E,2,0)</f>
        <v>34945</v>
      </c>
      <c r="D27" s="282">
        <f t="shared" si="0"/>
        <v>6.9889999999999994E-2</v>
      </c>
      <c r="E27" s="313">
        <f t="shared" si="1"/>
        <v>0.13977999999999999</v>
      </c>
      <c r="F27" s="313">
        <f t="shared" si="2"/>
        <v>0.20967</v>
      </c>
    </row>
    <row r="28" spans="1:6">
      <c r="A28" s="46"/>
      <c r="B28" s="118" t="s">
        <v>1335</v>
      </c>
      <c r="C28" s="196">
        <f>VLOOKUP(B28,'Refugee cost calculations'!B:E,2,0)</f>
        <v>32271</v>
      </c>
      <c r="D28" s="282">
        <f t="shared" si="0"/>
        <v>6.4542000000000002E-2</v>
      </c>
      <c r="E28" s="313">
        <f t="shared" si="1"/>
        <v>0.129084</v>
      </c>
      <c r="F28" s="313">
        <f t="shared" si="2"/>
        <v>0.19362599999999999</v>
      </c>
    </row>
    <row r="29" spans="1:6">
      <c r="A29" s="46"/>
      <c r="B29" s="8" t="s">
        <v>1804</v>
      </c>
      <c r="C29" s="196">
        <f>VLOOKUP(B29,'Refugee cost calculations'!B:E,2,0)</f>
        <v>32102</v>
      </c>
      <c r="D29" s="282">
        <f t="shared" si="0"/>
        <v>6.4203999999999997E-2</v>
      </c>
      <c r="E29" s="313">
        <f t="shared" si="1"/>
        <v>0.12840799999999999</v>
      </c>
      <c r="F29" s="313">
        <f t="shared" si="2"/>
        <v>0.19261200000000001</v>
      </c>
    </row>
    <row r="30" spans="1:6">
      <c r="A30" s="46"/>
      <c r="B30" s="118" t="s">
        <v>1294</v>
      </c>
      <c r="C30" s="196">
        <f>VLOOKUP(B30,'Refugee cost calculations'!B:E,2,0)</f>
        <v>19997</v>
      </c>
      <c r="D30" s="282">
        <f t="shared" si="0"/>
        <v>3.9994000000000002E-2</v>
      </c>
      <c r="E30" s="313">
        <f t="shared" si="1"/>
        <v>7.9988000000000004E-2</v>
      </c>
      <c r="F30" s="313">
        <f t="shared" si="2"/>
        <v>0.11998200000000001</v>
      </c>
    </row>
    <row r="31" spans="1:6">
      <c r="A31" s="46"/>
      <c r="B31" s="118" t="s">
        <v>591</v>
      </c>
      <c r="C31" s="196">
        <f>VLOOKUP(B31,'Refugee cost calculations'!B:E,2,0)</f>
        <v>19259</v>
      </c>
      <c r="D31" s="282">
        <f t="shared" si="0"/>
        <v>3.8517999999999997E-2</v>
      </c>
      <c r="E31" s="313">
        <f t="shared" si="1"/>
        <v>7.7035999999999993E-2</v>
      </c>
      <c r="F31" s="313">
        <f t="shared" si="2"/>
        <v>0.115554</v>
      </c>
    </row>
    <row r="32" spans="1:6">
      <c r="A32" s="46"/>
      <c r="B32" s="118" t="s">
        <v>618</v>
      </c>
      <c r="C32" s="196">
        <f>VLOOKUP(B32,'Refugee cost calculations'!B:E,2,0)</f>
        <v>18287</v>
      </c>
      <c r="D32" s="282">
        <f t="shared" si="0"/>
        <v>3.6574000000000002E-2</v>
      </c>
      <c r="E32" s="313">
        <f t="shared" si="1"/>
        <v>7.3148000000000005E-2</v>
      </c>
      <c r="F32" s="313">
        <f t="shared" si="2"/>
        <v>0.109722</v>
      </c>
    </row>
    <row r="33" spans="1:12">
      <c r="A33" s="46"/>
      <c r="B33" s="118" t="s">
        <v>2106</v>
      </c>
      <c r="C33" s="196">
        <f>VLOOKUP(B33,'Refugee cost calculations'!B:E,2,0)</f>
        <v>8234</v>
      </c>
      <c r="D33" s="282">
        <f t="shared" si="0"/>
        <v>1.6468E-2</v>
      </c>
      <c r="E33" s="313">
        <f t="shared" si="1"/>
        <v>3.2936E-2</v>
      </c>
      <c r="F33" s="313">
        <f t="shared" si="2"/>
        <v>4.9404000000000003E-2</v>
      </c>
    </row>
    <row r="34" spans="1:12">
      <c r="A34" s="46"/>
      <c r="B34" s="118" t="s">
        <v>1653</v>
      </c>
      <c r="C34" s="196">
        <f>VLOOKUP(B34,'Refugee cost calculations'!B:E,2,0)</f>
        <v>6756</v>
      </c>
      <c r="D34" s="282">
        <f t="shared" si="0"/>
        <v>1.3512E-2</v>
      </c>
      <c r="E34" s="313">
        <f t="shared" si="1"/>
        <v>2.7023999999999999E-2</v>
      </c>
      <c r="F34" s="313">
        <f t="shared" si="2"/>
        <v>4.0536000000000003E-2</v>
      </c>
    </row>
    <row r="35" spans="1:12">
      <c r="A35" s="118"/>
      <c r="B35" s="118" t="s">
        <v>1682</v>
      </c>
      <c r="C35" s="196">
        <f>VLOOKUP(B35,'Refugee cost calculations'!B:E,2,0)</f>
        <v>1541</v>
      </c>
      <c r="D35" s="282">
        <f t="shared" si="0"/>
        <v>3.0820000000000001E-3</v>
      </c>
      <c r="E35" s="313">
        <f t="shared" si="1"/>
        <v>6.1640000000000002E-3</v>
      </c>
      <c r="F35" s="313">
        <f t="shared" si="2"/>
        <v>9.2460000000000007E-3</v>
      </c>
    </row>
    <row r="36" spans="1:12">
      <c r="A36" s="118"/>
      <c r="B36" s="8" t="s">
        <v>227</v>
      </c>
      <c r="C36" s="196">
        <f>VLOOKUP(B36,'Refugee cost calculations'!B:E,2,0)</f>
        <v>0</v>
      </c>
      <c r="D36" s="282">
        <f t="shared" si="0"/>
        <v>0</v>
      </c>
      <c r="E36" s="313">
        <f t="shared" si="1"/>
        <v>0</v>
      </c>
      <c r="F36" s="313">
        <f t="shared" si="2"/>
        <v>0</v>
      </c>
    </row>
    <row r="37" spans="1:12">
      <c r="A37" s="118"/>
      <c r="B37" s="118" t="s">
        <v>452</v>
      </c>
      <c r="C37" s="196">
        <f>VLOOKUP(B37,'Refugee cost calculations'!B:E,2,0)</f>
        <v>0</v>
      </c>
      <c r="D37" s="282">
        <f t="shared" si="0"/>
        <v>0</v>
      </c>
      <c r="E37" s="313">
        <f t="shared" si="1"/>
        <v>0</v>
      </c>
      <c r="F37" s="313">
        <f t="shared" si="2"/>
        <v>0</v>
      </c>
    </row>
    <row r="38" spans="1:12">
      <c r="A38" s="118"/>
      <c r="B38" s="118" t="s">
        <v>1471</v>
      </c>
      <c r="C38" s="196">
        <f>VLOOKUP(B38,'Refugee cost calculations'!B:E,2,0)</f>
        <v>0</v>
      </c>
      <c r="D38" s="282">
        <f t="shared" si="0"/>
        <v>0</v>
      </c>
      <c r="E38" s="313">
        <f t="shared" si="1"/>
        <v>0</v>
      </c>
      <c r="F38" s="313">
        <f t="shared" si="2"/>
        <v>0</v>
      </c>
    </row>
    <row r="39" spans="1:12">
      <c r="A39" s="118"/>
      <c r="B39" s="8" t="s">
        <v>1766</v>
      </c>
      <c r="C39" s="196">
        <f>VLOOKUP(B39,'Refugee cost calculations'!B:E,2,0)</f>
        <v>0</v>
      </c>
      <c r="D39" s="282">
        <f t="shared" si="0"/>
        <v>0</v>
      </c>
      <c r="E39" s="313">
        <f t="shared" si="1"/>
        <v>0</v>
      </c>
      <c r="F39" s="313">
        <f t="shared" si="2"/>
        <v>0</v>
      </c>
    </row>
    <row r="40" spans="1:12">
      <c r="A40" s="118"/>
      <c r="B40" s="8" t="s">
        <v>2002</v>
      </c>
      <c r="C40" s="196">
        <f>VLOOKUP(B40,'Refugee cost calculations'!B:E,2,0)</f>
        <v>0</v>
      </c>
      <c r="D40" s="282">
        <f t="shared" si="0"/>
        <v>0</v>
      </c>
      <c r="E40" s="313">
        <f t="shared" si="1"/>
        <v>0</v>
      </c>
      <c r="F40" s="313">
        <f t="shared" si="2"/>
        <v>0</v>
      </c>
    </row>
    <row r="41" spans="1:12">
      <c r="A41" s="8"/>
      <c r="B41" s="118" t="s">
        <v>2548</v>
      </c>
      <c r="C41" s="196">
        <f>VLOOKUP(B41,'Refugee cost calculations'!B:E,2,0)</f>
        <v>0</v>
      </c>
      <c r="D41" s="282">
        <f t="shared" si="0"/>
        <v>0</v>
      </c>
      <c r="E41" s="313">
        <f t="shared" si="1"/>
        <v>0</v>
      </c>
      <c r="F41" s="313">
        <f t="shared" si="2"/>
        <v>0</v>
      </c>
      <c r="G41" s="117"/>
      <c r="H41" s="118"/>
      <c r="K41" s="185"/>
      <c r="L41" s="185"/>
    </row>
    <row r="42" spans="1:12">
      <c r="A42" s="8"/>
      <c r="B42" s="33" t="s">
        <v>583</v>
      </c>
      <c r="C42" s="196">
        <f>VLOOKUP(B42,'Refugee cost calculations'!B:E,2,0)</f>
        <v>0</v>
      </c>
      <c r="D42" s="282">
        <f t="shared" si="0"/>
        <v>0</v>
      </c>
      <c r="E42" s="313">
        <f t="shared" si="1"/>
        <v>0</v>
      </c>
      <c r="F42" s="313">
        <f t="shared" si="2"/>
        <v>0</v>
      </c>
    </row>
    <row r="43" spans="1:12">
      <c r="A43" s="118"/>
      <c r="B43" s="33" t="s">
        <v>2368</v>
      </c>
      <c r="C43" s="196">
        <f>VLOOKUP(B43,'Refugee cost calculations'!B:E,2,0)</f>
        <v>0</v>
      </c>
      <c r="D43" s="282">
        <f t="shared" si="0"/>
        <v>0</v>
      </c>
      <c r="E43" s="313">
        <f t="shared" si="1"/>
        <v>0</v>
      </c>
      <c r="F43" s="313">
        <f t="shared" si="2"/>
        <v>0</v>
      </c>
    </row>
    <row r="44" spans="1:12">
      <c r="A44" s="118"/>
      <c r="B44" s="33" t="s">
        <v>1369</v>
      </c>
      <c r="C44" s="196">
        <f>VLOOKUP(B44,'Refugee cost calculations'!B:E,2,0)</f>
        <v>0</v>
      </c>
      <c r="D44" s="282">
        <f t="shared" si="0"/>
        <v>0</v>
      </c>
      <c r="E44" s="313">
        <f t="shared" si="1"/>
        <v>0</v>
      </c>
      <c r="F44" s="313">
        <f t="shared" si="2"/>
        <v>0</v>
      </c>
    </row>
    <row r="46" spans="1:12">
      <c r="B46" s="311" t="s">
        <v>3026</v>
      </c>
      <c r="C46" s="312">
        <f>SUM(C5:C44)</f>
        <v>4911788</v>
      </c>
      <c r="D46" s="315" t="s">
        <v>232</v>
      </c>
      <c r="E46" s="315" t="s">
        <v>232</v>
      </c>
      <c r="F46" s="315" t="s">
        <v>232</v>
      </c>
    </row>
    <row r="51" spans="10:21">
      <c r="J51" s="186"/>
      <c r="K51" s="186"/>
      <c r="L51" s="186"/>
      <c r="M51" s="186"/>
      <c r="N51" s="186"/>
      <c r="O51" s="186"/>
      <c r="P51" s="186"/>
      <c r="Q51" s="186"/>
      <c r="R51" s="186"/>
      <c r="S51" s="186"/>
      <c r="T51" s="186"/>
      <c r="U51" s="186"/>
    </row>
    <row r="52" spans="10:21">
      <c r="J52" s="186"/>
      <c r="K52" s="186"/>
      <c r="L52" s="186"/>
      <c r="M52" s="186"/>
      <c r="N52" s="186"/>
      <c r="O52" s="186"/>
      <c r="P52" s="186"/>
      <c r="Q52" s="186"/>
      <c r="R52" s="186"/>
      <c r="S52" s="186"/>
      <c r="T52" s="186"/>
      <c r="U52" s="186"/>
    </row>
    <row r="53" spans="10:21">
      <c r="J53" s="186"/>
      <c r="K53" s="186"/>
      <c r="L53" s="186"/>
      <c r="M53" s="186"/>
      <c r="N53" s="186"/>
      <c r="O53" s="186"/>
      <c r="P53" s="186"/>
      <c r="Q53" s="186"/>
      <c r="R53" s="186"/>
      <c r="S53" s="186"/>
      <c r="T53" s="186"/>
      <c r="U53" s="186"/>
    </row>
    <row r="54" spans="10:21">
      <c r="J54" s="186"/>
      <c r="K54" s="186"/>
      <c r="L54" s="186"/>
      <c r="M54" s="186"/>
      <c r="N54" s="186"/>
      <c r="O54" s="186"/>
      <c r="P54" s="186"/>
      <c r="Q54" s="186"/>
      <c r="R54" s="186"/>
      <c r="S54" s="186"/>
      <c r="T54" s="186"/>
      <c r="U54" s="186"/>
    </row>
  </sheetData>
  <autoFilter ref="B4:F4" xr:uid="{00000000-0009-0000-0000-00000F000000}">
    <sortState xmlns:xlrd2="http://schemas.microsoft.com/office/spreadsheetml/2017/richdata2" ref="B5:F44">
      <sortCondition descending="1" ref="F4"/>
    </sortState>
  </autoFilter>
  <sortState xmlns:xlrd2="http://schemas.microsoft.com/office/spreadsheetml/2017/richdata2" ref="B5:G44">
    <sortCondition descending="1" ref="F5"/>
  </sortState>
  <mergeCells count="1">
    <mergeCell ref="I2:O2"/>
  </mergeCells>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B2:M82"/>
  <sheetViews>
    <sheetView showGridLines="0" zoomScaleNormal="100" workbookViewId="0">
      <selection activeCell="B2" sqref="B2"/>
    </sheetView>
  </sheetViews>
  <sheetFormatPr defaultColWidth="11.5" defaultRowHeight="15.6"/>
  <cols>
    <col min="1" max="1" width="5" style="158" customWidth="1"/>
    <col min="2" max="2" width="16" style="158" customWidth="1"/>
    <col min="3" max="3" width="15.5" style="158" bestFit="1" customWidth="1"/>
    <col min="4" max="4" width="19.5" style="158" bestFit="1" customWidth="1"/>
    <col min="5" max="5" width="15" style="158" bestFit="1" customWidth="1"/>
    <col min="6" max="6" width="24.5" style="158" hidden="1" customWidth="1"/>
    <col min="7" max="7" width="15.5" style="158" customWidth="1"/>
    <col min="8" max="8" width="13" style="158" customWidth="1"/>
    <col min="9" max="9" width="15" style="158" customWidth="1"/>
    <col min="10" max="10" width="67" style="158" customWidth="1"/>
    <col min="11" max="16384" width="11.5" style="158"/>
  </cols>
  <sheetData>
    <row r="2" spans="2:10" ht="15.95" customHeight="1">
      <c r="B2" s="141" t="s">
        <v>3127</v>
      </c>
      <c r="J2" s="442" t="s">
        <v>3128</v>
      </c>
    </row>
    <row r="4" spans="2:10">
      <c r="B4" s="187" t="s">
        <v>3006</v>
      </c>
      <c r="C4" s="318" t="s">
        <v>366</v>
      </c>
      <c r="D4" s="318" t="s">
        <v>228</v>
      </c>
      <c r="E4" s="318" t="s">
        <v>252</v>
      </c>
      <c r="F4" s="319" t="s">
        <v>3123</v>
      </c>
      <c r="G4" s="189" t="s">
        <v>3129</v>
      </c>
      <c r="H4" s="188" t="s">
        <v>3026</v>
      </c>
    </row>
    <row r="5" spans="2:10">
      <c r="B5" s="144" t="s">
        <v>2548</v>
      </c>
      <c r="C5" s="317">
        <f>VLOOKUP(B5,'Country summary'!B:J,3,0)</f>
        <v>15.053313403089188</v>
      </c>
      <c r="D5" s="317">
        <f>VLOOKUP(B5,'Country summary'!B:J,4,0)</f>
        <v>9.903936223218734</v>
      </c>
      <c r="E5" s="317">
        <f>VLOOKUP(B5,'Country summary'!B:J,5,0)</f>
        <v>22.861983059292474</v>
      </c>
      <c r="F5" s="321">
        <f>VLOOKUP(B5,'Refugee cost calculations'!B:E, 2, 0)</f>
        <v>0</v>
      </c>
      <c r="G5" s="317">
        <f>F5*500*8/1000000000</f>
        <v>0</v>
      </c>
      <c r="H5" s="317">
        <f>SUM(C5:E5,G5)</f>
        <v>47.819232685600397</v>
      </c>
    </row>
    <row r="6" spans="2:10">
      <c r="B6" s="144" t="s">
        <v>1136</v>
      </c>
      <c r="C6" s="317">
        <f>VLOOKUP(B6,'Country summary'!B:J,3,0)</f>
        <v>1.1499999999999999</v>
      </c>
      <c r="D6" s="317">
        <f>VLOOKUP(B6,'Country summary'!B:J,4,0)</f>
        <v>1.95</v>
      </c>
      <c r="E6" s="317">
        <f>VLOOKUP(B6,'Country summary'!B:J,5,0)</f>
        <v>2.3448872384566926</v>
      </c>
      <c r="F6" s="321">
        <f>VLOOKUP(B6,'Refugee cost calculations'!B:E, 2, 0)</f>
        <v>1021667</v>
      </c>
      <c r="G6" s="317">
        <f>F6*500*8/1000000000</f>
        <v>4.0866680000000004</v>
      </c>
      <c r="H6" s="317">
        <f>SUM(C6:E6,G6)</f>
        <v>9.5315552384566935</v>
      </c>
    </row>
    <row r="7" spans="2:10" ht="15.75">
      <c r="B7" s="144" t="s">
        <v>1894</v>
      </c>
      <c r="C7" s="317">
        <f>VLOOKUP(B7,'Country summary'!B:J,3,0)</f>
        <v>1.0028667931673585</v>
      </c>
      <c r="D7" s="317">
        <f>VLOOKUP(B7,'Country summary'!B:J,4,0)</f>
        <v>0.1753413054309915</v>
      </c>
      <c r="E7" s="317">
        <f>VLOOKUP(B7,'Country summary'!B:J,5,0)</f>
        <v>1.8223833594419532</v>
      </c>
      <c r="F7" s="321">
        <f>VLOOKUP(B7,'Refugee cost calculations'!B:E, 2, 0)</f>
        <v>1521085</v>
      </c>
      <c r="G7" s="317">
        <f>F7*500*8/1000000000</f>
        <v>6.0843400000000001</v>
      </c>
      <c r="H7" s="317">
        <f>SUM(C7:E7,G7)</f>
        <v>9.0849314580403036</v>
      </c>
    </row>
    <row r="8" spans="2:10" ht="15.75">
      <c r="B8" s="144" t="s">
        <v>2392</v>
      </c>
      <c r="C8" s="317">
        <f>VLOOKUP(B8,'Country summary'!B:J,3,0)</f>
        <v>2.5548820828345602</v>
      </c>
      <c r="D8" s="317">
        <f>VLOOKUP(B8,'Country summary'!B:J,4,0)</f>
        <v>0.39777831531548291</v>
      </c>
      <c r="E8" s="317">
        <f>VLOOKUP(B8,'Country summary'!B:J,5,0)</f>
        <v>4.1291557278298399</v>
      </c>
      <c r="F8" s="321">
        <f>VLOOKUP(B8,'Refugee cost calculations'!B:E, 2, 0)</f>
        <v>146200</v>
      </c>
      <c r="G8" s="317">
        <f>F8*500*8/1000000000</f>
        <v>0.58479999999999999</v>
      </c>
      <c r="H8" s="317">
        <f>SUM(C8:E8,G8)</f>
        <v>7.666616125979882</v>
      </c>
    </row>
    <row r="9" spans="2:10">
      <c r="B9" s="144" t="s">
        <v>452</v>
      </c>
      <c r="C9" s="317">
        <f>VLOOKUP(B9,'Country summary'!B:J,3,0)</f>
        <v>2.1391160220994476</v>
      </c>
      <c r="D9" s="317">
        <f>VLOOKUP(B9,'Country summary'!B:J,4,0)</f>
        <v>0.28780847145488037</v>
      </c>
      <c r="E9" s="317">
        <f>VLOOKUP(B9,'Country summary'!B:J,5,0)</f>
        <v>1.3567179918845094</v>
      </c>
      <c r="F9" s="321">
        <f>VLOOKUP(B9,'Refugee cost calculations'!B:E, 2, 0)</f>
        <v>0</v>
      </c>
      <c r="G9" s="317">
        <f>F9*500*8/1000000000</f>
        <v>0</v>
      </c>
      <c r="H9" s="317">
        <f>SUM(C9:E9,G9)</f>
        <v>3.7836424854388375</v>
      </c>
    </row>
    <row r="10" spans="2:10">
      <c r="B10" s="144" t="s">
        <v>632</v>
      </c>
      <c r="C10" s="317">
        <f>VLOOKUP(B10,'Country summary'!B:J,3,0)</f>
        <v>0</v>
      </c>
      <c r="D10" s="317">
        <f>VLOOKUP(B10,'Country summary'!B:J,4,0)</f>
        <v>0.1082203296569451</v>
      </c>
      <c r="E10" s="317">
        <f>VLOOKUP(B10,'Country summary'!B:J,5,0)</f>
        <v>0.47848954751909611</v>
      </c>
      <c r="F10" s="321">
        <f>VLOOKUP(B10,'Refugee cost calculations'!B:E, 2, 0)</f>
        <v>464701</v>
      </c>
      <c r="G10" s="317">
        <f>F10*500*8/1000000000</f>
        <v>1.8588039999999999</v>
      </c>
      <c r="H10" s="317">
        <f>SUM(C10:E10,G10)</f>
        <v>2.4455138771760412</v>
      </c>
    </row>
    <row r="11" spans="2:10">
      <c r="B11" s="144" t="s">
        <v>1012</v>
      </c>
      <c r="C11" s="317">
        <f>VLOOKUP(B11,'Country summary'!B:J,3,0)</f>
        <v>0.8</v>
      </c>
      <c r="D11" s="317">
        <f>VLOOKUP(B11,'Country summary'!B:J,4,0)</f>
        <v>0.14250096271449927</v>
      </c>
      <c r="E11" s="317">
        <f>VLOOKUP(B11,'Country summary'!B:J,5,0)</f>
        <v>0.47165789192610524</v>
      </c>
      <c r="F11" s="321">
        <f>VLOOKUP(B11,'Refugee cost calculations'!B:E, 2, 0)</f>
        <v>118994</v>
      </c>
      <c r="G11" s="317">
        <f>F11*500*8/1000000000</f>
        <v>0.47597600000000001</v>
      </c>
      <c r="H11" s="317">
        <f>SUM(C11:E11,G11)</f>
        <v>1.8901348546406045</v>
      </c>
    </row>
    <row r="12" spans="2:10">
      <c r="B12" s="133" t="s">
        <v>1804</v>
      </c>
      <c r="C12" s="317">
        <f>VLOOKUP(B12,'Country summary'!B:J,3,0)</f>
        <v>0.32416322344038784</v>
      </c>
      <c r="D12" s="317">
        <f>VLOOKUP(B12,'Country summary'!B:J,4,0)</f>
        <v>0.32561470056027014</v>
      </c>
      <c r="E12" s="317">
        <f>VLOOKUP(B12,'Country summary'!B:J,5,0)</f>
        <v>0.56014572529324125</v>
      </c>
      <c r="F12" s="321">
        <f>VLOOKUP(B12,'Refugee cost calculations'!B:E, 2, 0)</f>
        <v>32102</v>
      </c>
      <c r="G12" s="317">
        <f>F12*500*8/1000000000</f>
        <v>0.12840799999999999</v>
      </c>
      <c r="H12" s="317">
        <f>SUM(C12:E12,G12)</f>
        <v>1.3383316492938995</v>
      </c>
    </row>
    <row r="13" spans="2:10">
      <c r="B13" s="144" t="s">
        <v>1412</v>
      </c>
      <c r="C13" s="317">
        <f>VLOOKUP(B13,'Country summary'!B:J,3,0)</f>
        <v>0.31</v>
      </c>
      <c r="D13" s="317">
        <f>VLOOKUP(B13,'Country summary'!B:J,4,0)</f>
        <v>4.3375171898355755E-2</v>
      </c>
      <c r="E13" s="317">
        <f>VLOOKUP(B13,'Country summary'!B:J,5,0)</f>
        <v>0.31914838062565365</v>
      </c>
      <c r="F13" s="321">
        <f>VLOOKUP(B13,'Refugee cost calculations'!B:E, 2, 0)</f>
        <v>165401</v>
      </c>
      <c r="G13" s="317">
        <f>F13*500*8/1000000000</f>
        <v>0.66160399999999997</v>
      </c>
      <c r="H13" s="317">
        <f>SUM(C13:E13,G13)</f>
        <v>1.3341275525240093</v>
      </c>
    </row>
    <row r="14" spans="2:10">
      <c r="B14" s="144" t="s">
        <v>1687</v>
      </c>
      <c r="C14" s="317">
        <f>VLOOKUP(B14,'Country summary'!B:J,3,0)</f>
        <v>0.34849999999999998</v>
      </c>
      <c r="D14" s="317">
        <f>VLOOKUP(B14,'Country summary'!B:J,4,0)</f>
        <v>0.20888495266567014</v>
      </c>
      <c r="E14" s="317">
        <f>VLOOKUP(B14,'Country summary'!B:J,5,0)</f>
        <v>0.28984679372995431</v>
      </c>
      <c r="F14" s="321">
        <f>VLOOKUP(B14,'Refugee cost calculations'!B:E, 2, 0)</f>
        <v>79250</v>
      </c>
      <c r="G14" s="317">
        <f>F14*500*8/1000000000</f>
        <v>0.317</v>
      </c>
      <c r="H14" s="317">
        <f>SUM(C14:E14,G14)</f>
        <v>1.1642317463956244</v>
      </c>
    </row>
    <row r="15" spans="2:10" ht="15.75">
      <c r="B15" s="144" t="s">
        <v>2162</v>
      </c>
      <c r="C15" s="317">
        <f>VLOOKUP(B15,'Country summary'!B:J,3,0)</f>
        <v>0.2</v>
      </c>
      <c r="D15" s="317">
        <f>VLOOKUP(B15,'Country summary'!B:J,4,0)</f>
        <v>0.10096943935924264</v>
      </c>
      <c r="E15" s="317">
        <f>VLOOKUP(B15,'Country summary'!B:J,5,0)</f>
        <v>8.1106233554433915E-2</v>
      </c>
      <c r="F15" s="321">
        <f>VLOOKUP(B15,'Refugee cost calculations'!B:E, 2, 0)</f>
        <v>155473</v>
      </c>
      <c r="G15" s="317">
        <f>F15*500*8/1000000000</f>
        <v>0.621892</v>
      </c>
      <c r="H15" s="317">
        <f>SUM(C15:E15,G15)</f>
        <v>1.0039676729136766</v>
      </c>
    </row>
    <row r="16" spans="2:10" ht="15.75">
      <c r="B16" s="144" t="s">
        <v>2258</v>
      </c>
      <c r="C16" s="317">
        <f>VLOOKUP(B16,'Country summary'!B:J,3,0)</f>
        <v>0.15249814428378561</v>
      </c>
      <c r="D16" s="317">
        <f>VLOOKUP(B16,'Country summary'!B:J,4,0)</f>
        <v>0.10780913666852486</v>
      </c>
      <c r="E16" s="317">
        <f>VLOOKUP(B16,'Country summary'!B:J,5,0)</f>
        <v>0.54622043014465871</v>
      </c>
      <c r="F16" s="321">
        <f>VLOOKUP(B16,'Refugee cost calculations'!B:E, 2, 0)</f>
        <v>48360</v>
      </c>
      <c r="G16" s="317">
        <f>F16*500*8/1000000000</f>
        <v>0.19344</v>
      </c>
      <c r="H16" s="317">
        <f>SUM(C16:E16,G16)</f>
        <v>0.99996771109696914</v>
      </c>
    </row>
    <row r="17" spans="2:8" ht="15.75">
      <c r="B17" s="144" t="s">
        <v>312</v>
      </c>
      <c r="C17" s="317">
        <f>VLOOKUP(B17,'Country summary'!B:J,3,0)</f>
        <v>0.01</v>
      </c>
      <c r="D17" s="317">
        <f>VLOOKUP(B17,'Country summary'!B:J,4,0)</f>
        <v>0.56652379546586951</v>
      </c>
      <c r="E17" s="317">
        <f>VLOOKUP(B17,'Country summary'!B:J,5,0)</f>
        <v>3.5748620328849025E-3</v>
      </c>
      <c r="F17" s="321">
        <f>VLOOKUP(B17,'Refugee cost calculations'!B:E, 2, 0)</f>
        <v>88748</v>
      </c>
      <c r="G17" s="317">
        <f>F17*500*8/1000000000</f>
        <v>0.35499199999999997</v>
      </c>
      <c r="H17" s="317">
        <f>SUM(C17:E17,G17)</f>
        <v>0.93509065749875442</v>
      </c>
    </row>
    <row r="18" spans="2:8">
      <c r="B18" s="144" t="s">
        <v>767</v>
      </c>
      <c r="C18" s="317">
        <f>VLOOKUP(B18,'Country summary'!B:J,3,0)</f>
        <v>5.7500000000000002E-2</v>
      </c>
      <c r="D18" s="317">
        <f>VLOOKUP(B18,'Country summary'!B:J,4,0)</f>
        <v>7.3583308466739258E-2</v>
      </c>
      <c r="E18" s="317">
        <f>VLOOKUP(B18,'Country summary'!B:J,5,0)</f>
        <v>0.50996679973654857</v>
      </c>
      <c r="F18" s="321">
        <f>VLOOKUP(B18,'Refugee cost calculations'!B:E, 2, 0)</f>
        <v>34945</v>
      </c>
      <c r="G18" s="317">
        <f>F18*500*8/1000000000</f>
        <v>0.13977999999999999</v>
      </c>
      <c r="H18" s="317">
        <f>SUM(C18:E18,G18)</f>
        <v>0.7808301082032878</v>
      </c>
    </row>
    <row r="19" spans="2:8" ht="15.75">
      <c r="B19" s="133" t="s">
        <v>2348</v>
      </c>
      <c r="C19" s="317">
        <f>VLOOKUP(B19,'Country summary'!B:J,3,0)</f>
        <v>0</v>
      </c>
      <c r="D19" s="317">
        <f>VLOOKUP(B19,'Country summary'!B:J,4,0)</f>
        <v>2.4716691579471843E-4</v>
      </c>
      <c r="E19" s="317">
        <f>VLOOKUP(B19,'Country summary'!B:J,5,0)</f>
        <v>6.4198804185351274E-2</v>
      </c>
      <c r="F19" s="321">
        <f>VLOOKUP(B19,'Refugee cost calculations'!B:E, 2, 0)</f>
        <v>145000</v>
      </c>
      <c r="G19" s="317">
        <f>F19*500*8/1000000000</f>
        <v>0.57999999999999996</v>
      </c>
      <c r="H19" s="317">
        <f>SUM(C19:E19,G19)</f>
        <v>0.64444597110114599</v>
      </c>
    </row>
    <row r="20" spans="2:8" ht="15.75">
      <c r="B20" s="144" t="s">
        <v>2063</v>
      </c>
      <c r="C20" s="317">
        <f>VLOOKUP(B20,'Country summary'!B:J,3,0)</f>
        <v>0</v>
      </c>
      <c r="D20" s="317">
        <f>VLOOKUP(B20,'Country summary'!B:J,4,0)</f>
        <v>5.0000000000000001E-3</v>
      </c>
      <c r="E20" s="317">
        <f>VLOOKUP(B20,'Country summary'!B:J,5,0)</f>
        <v>0.21017157538614847</v>
      </c>
      <c r="F20" s="321">
        <f>VLOOKUP(B20,'Refugee cost calculations'!B:E, 2, 0)</f>
        <v>102278</v>
      </c>
      <c r="G20" s="317">
        <f>F20*500*8/1000000000</f>
        <v>0.40911199999999998</v>
      </c>
      <c r="H20" s="317">
        <f>SUM(C20:E20,G20)</f>
        <v>0.62428357538614843</v>
      </c>
    </row>
    <row r="21" spans="2:8" ht="15.75">
      <c r="B21" s="144" t="s">
        <v>1471</v>
      </c>
      <c r="C21" s="317">
        <f>VLOOKUP(B21,'Country summary'!B:J,3,0)</f>
        <v>0.59790732436472349</v>
      </c>
      <c r="D21" s="317">
        <f>VLOOKUP(B21,'Country summary'!B:J,4,0)</f>
        <v>5.6003986048829089E-3</v>
      </c>
      <c r="E21" s="317">
        <f>VLOOKUP(B21,'Country summary'!B:J,5,0)</f>
        <v>2.4434479322371699E-3</v>
      </c>
      <c r="F21" s="321">
        <f>VLOOKUP(B21,'Refugee cost calculations'!B:E, 2, 0)</f>
        <v>0</v>
      </c>
      <c r="G21" s="317">
        <f>F21*500*8/1000000000</f>
        <v>0</v>
      </c>
      <c r="H21" s="317">
        <f>SUM(C21:E21,G21)</f>
        <v>0.60595117090184358</v>
      </c>
    </row>
    <row r="22" spans="2:8" ht="15.75">
      <c r="B22" s="158" t="s">
        <v>428</v>
      </c>
      <c r="C22" s="317">
        <f>VLOOKUP(B22,'Country summary'!B:J,3,0)</f>
        <v>0</v>
      </c>
      <c r="D22" s="317">
        <f>VLOOKUP(B22,'Country summary'!B:J,4,0)</f>
        <v>7.0600000000000003E-4</v>
      </c>
      <c r="E22" s="317">
        <f>VLOOKUP(B22,'Country summary'!B:J,5,0)</f>
        <v>3.7867463876432484E-3</v>
      </c>
      <c r="F22" s="321">
        <f>VLOOKUP(B22,'Refugee cost calculations'!B:E, 2, 0)</f>
        <v>146659</v>
      </c>
      <c r="G22" s="317">
        <f>F22*500*8/1000000000</f>
        <v>0.58663600000000005</v>
      </c>
      <c r="H22" s="317">
        <f>SUM(C22:E22,G22)</f>
        <v>0.59112874638764334</v>
      </c>
    </row>
    <row r="23" spans="2:8">
      <c r="B23" s="144" t="s">
        <v>1957</v>
      </c>
      <c r="C23" s="317">
        <f>VLOOKUP(B23,'Country summary'!B:J,3,0)</f>
        <v>0.25</v>
      </c>
      <c r="D23" s="317">
        <f>VLOOKUP(B23,'Country summary'!B:J,4,0)</f>
        <v>1.1999999999999999E-3</v>
      </c>
      <c r="E23" s="317">
        <f>VLOOKUP(B23,'Country summary'!B:J,5,0)</f>
        <v>8.3582285780958554E-2</v>
      </c>
      <c r="F23" s="321">
        <f>VLOOKUP(B23,'Refugee cost calculations'!B:E, 2, 0)</f>
        <v>52875</v>
      </c>
      <c r="G23" s="317">
        <f>F23*500*8/1000000000</f>
        <v>0.21149999999999999</v>
      </c>
      <c r="H23" s="317">
        <f>SUM(C23:E23,G23)</f>
        <v>0.5462822857809585</v>
      </c>
    </row>
    <row r="24" spans="2:8">
      <c r="B24" s="144" t="s">
        <v>1562</v>
      </c>
      <c r="C24" s="317">
        <f>VLOOKUP(B24,'Country summary'!B:J,3,0)</f>
        <v>5.0000000000000001E-3</v>
      </c>
      <c r="D24" s="317">
        <f>VLOOKUP(B24,'Country summary'!B:J,4,0)</f>
        <v>5.7000000000000002E-2</v>
      </c>
      <c r="E24" s="317">
        <f>VLOOKUP(B24,'Country summary'!B:J,5,0)</f>
        <v>0.19868747583457896</v>
      </c>
      <c r="F24" s="321">
        <f>VLOOKUP(B24,'Refugee cost calculations'!B:E, 2, 0)</f>
        <v>70667</v>
      </c>
      <c r="G24" s="317">
        <f>F24*500*8/1000000000</f>
        <v>0.28266799999999997</v>
      </c>
      <c r="H24" s="317">
        <f>SUM(C24:E24,G24)</f>
        <v>0.54335547583457888</v>
      </c>
    </row>
    <row r="25" spans="2:8" ht="15.75">
      <c r="B25" s="144" t="s">
        <v>840</v>
      </c>
      <c r="C25" s="317">
        <f>VLOOKUP(B25,'Country summary'!B:J,3,0)</f>
        <v>0</v>
      </c>
      <c r="D25" s="317">
        <f>VLOOKUP(B25,'Country summary'!B:J,4,0)</f>
        <v>4.9702280000000001E-3</v>
      </c>
      <c r="E25" s="317">
        <f>VLOOKUP(B25,'Country summary'!B:J,5,0)</f>
        <v>0.33</v>
      </c>
      <c r="F25" s="321">
        <f>VLOOKUP(B25,'Refugee cost calculations'!B:E, 2, 0)</f>
        <v>38729</v>
      </c>
      <c r="G25" s="317">
        <f>F25*500*8/1000000000</f>
        <v>0.154916</v>
      </c>
      <c r="H25" s="317">
        <f>SUM(C25:E25,G25)</f>
        <v>0.48988622800000003</v>
      </c>
    </row>
    <row r="26" spans="2:8" ht="15.75">
      <c r="B26" s="144" t="s">
        <v>1516</v>
      </c>
      <c r="C26" s="317">
        <f>VLOOKUP(B26,'Country summary'!B:J,3,0)</f>
        <v>1.4999999999999999E-2</v>
      </c>
      <c r="D26" s="317">
        <f>VLOOKUP(B26,'Country summary'!B:J,4,0)</f>
        <v>1.3674169999999999E-3</v>
      </c>
      <c r="E26" s="317">
        <f>VLOOKUP(B26,'Country summary'!B:J,5,0)</f>
        <v>0.29713953547322053</v>
      </c>
      <c r="F26" s="321">
        <f>VLOOKUP(B26,'Refugee cost calculations'!B:E, 2, 0)</f>
        <v>42802</v>
      </c>
      <c r="G26" s="317">
        <f>F26*500*8/1000000000</f>
        <v>0.171208</v>
      </c>
      <c r="H26" s="317">
        <f>SUM(C26:E26,G26)</f>
        <v>0.4847149524732205</v>
      </c>
    </row>
    <row r="27" spans="2:8" ht="15.75">
      <c r="B27" s="133" t="s">
        <v>2329</v>
      </c>
      <c r="C27" s="317">
        <f>VLOOKUP(B27,'Country summary'!B:J,3,0)</f>
        <v>0</v>
      </c>
      <c r="D27" s="317">
        <f>VLOOKUP(B27,'Country summary'!B:J,4,0)</f>
        <v>0.202757502027575</v>
      </c>
      <c r="E27" s="317">
        <f>VLOOKUP(B27,'Country summary'!B:J,5,0)</f>
        <v>0</v>
      </c>
      <c r="F27" s="321">
        <f>VLOOKUP(B27,'Refugee cost calculations'!B:E, 2, 0)</f>
        <v>69607</v>
      </c>
      <c r="G27" s="317">
        <f>F27*500*8/1000000000</f>
        <v>0.27842800000000001</v>
      </c>
      <c r="H27" s="317">
        <f>SUM(C27:E27,G27)</f>
        <v>0.48118550202757504</v>
      </c>
    </row>
    <row r="28" spans="2:8" ht="15.75">
      <c r="B28" s="144" t="s">
        <v>917</v>
      </c>
      <c r="C28" s="317">
        <f>VLOOKUP(B28,'Country summary'!B:J,3,0)</f>
        <v>8.1500000000000003E-2</v>
      </c>
      <c r="D28" s="317">
        <f>VLOOKUP(B28,'Country summary'!B:J,4,0)</f>
        <v>4.6199999999999998E-2</v>
      </c>
      <c r="E28" s="317">
        <f>VLOOKUP(B28,'Country summary'!B:J,5,0)</f>
        <v>0.1779</v>
      </c>
      <c r="F28" s="321">
        <f>VLOOKUP(B28,'Refugee cost calculations'!B:E, 2, 0)</f>
        <v>43807</v>
      </c>
      <c r="G28" s="317">
        <f>F28*500*8/1000000000</f>
        <v>0.17522799999999999</v>
      </c>
      <c r="H28" s="317">
        <f>SUM(C28:E28,G28)</f>
        <v>0.48082799999999998</v>
      </c>
    </row>
    <row r="29" spans="2:8" ht="15.75">
      <c r="B29" s="144" t="s">
        <v>370</v>
      </c>
      <c r="C29" s="317">
        <f>VLOOKUP(B29,'Country summary'!B:J,3,0)</f>
        <v>4.96E-3</v>
      </c>
      <c r="D29" s="317">
        <f>VLOOKUP(B29,'Country summary'!B:J,4,0)</f>
        <v>0.1172</v>
      </c>
      <c r="E29" s="317">
        <f>VLOOKUP(B29,'Country summary'!B:J,5,0)</f>
        <v>9.6000000000000002E-2</v>
      </c>
      <c r="F29" s="321">
        <f>VLOOKUP(B29,'Refugee cost calculations'!B:E, 2, 0)</f>
        <v>61466</v>
      </c>
      <c r="G29" s="317">
        <f>F29*500*8/1000000000</f>
        <v>0.245864</v>
      </c>
      <c r="H29" s="317">
        <f>SUM(C29:E29,G29)</f>
        <v>0.46402399999999999</v>
      </c>
    </row>
    <row r="30" spans="2:8">
      <c r="B30" s="144" t="s">
        <v>2034</v>
      </c>
      <c r="C30" s="317">
        <f>VLOOKUP(B30,'Country summary'!B:J,3,0)</f>
        <v>0</v>
      </c>
      <c r="D30" s="317">
        <f>VLOOKUP(B30,'Country summary'!B:J,4,0)</f>
        <v>7.8450784746080197E-3</v>
      </c>
      <c r="E30" s="317">
        <f>VLOOKUP(B30,'Country summary'!B:J,5,0)</f>
        <v>3.0000000000000001E-3</v>
      </c>
      <c r="F30" s="321">
        <f>VLOOKUP(B30,'Refugee cost calculations'!B:E, 2, 0)</f>
        <v>90348</v>
      </c>
      <c r="G30" s="317">
        <f>F30*500*8/1000000000</f>
        <v>0.36139199999999999</v>
      </c>
      <c r="H30" s="317">
        <f>SUM(C30:E30,G30)</f>
        <v>0.37223707847460802</v>
      </c>
    </row>
    <row r="31" spans="2:8" ht="15.75">
      <c r="B31" s="144" t="s">
        <v>1383</v>
      </c>
      <c r="C31" s="317">
        <f>VLOOKUP(B31,'Country summary'!B:J,3,0)</f>
        <v>0</v>
      </c>
      <c r="D31" s="317">
        <f>VLOOKUP(B31,'Country summary'!B:J,4,0)</f>
        <v>6.8687030891878428E-2</v>
      </c>
      <c r="E31" s="317">
        <f>VLOOKUP(B31,'Country summary'!B:J,5,0)</f>
        <v>0</v>
      </c>
      <c r="F31" s="321">
        <f>VLOOKUP(B31,'Refugee cost calculations'!B:E, 2, 0)</f>
        <v>64279</v>
      </c>
      <c r="G31" s="317">
        <f>F31*500*8/1000000000</f>
        <v>0.25711600000000001</v>
      </c>
      <c r="H31" s="317">
        <f>SUM(C31:E31,G31)</f>
        <v>0.32580303089187845</v>
      </c>
    </row>
    <row r="32" spans="2:8" ht="15.75">
      <c r="B32" s="133" t="s">
        <v>227</v>
      </c>
      <c r="C32" s="317">
        <f>VLOOKUP(B32,'Country summary'!B:J,3,0)</f>
        <v>0</v>
      </c>
      <c r="D32" s="317">
        <f>VLOOKUP(B32,'Country summary'!B:J,4,0)</f>
        <v>5.1384674972564721E-2</v>
      </c>
      <c r="E32" s="317">
        <f>VLOOKUP(B32,'Country summary'!B:J,5,0)</f>
        <v>0.26905945387644442</v>
      </c>
      <c r="F32" s="321">
        <f>VLOOKUP(B32,'Refugee cost calculations'!B:E, 2, 0)</f>
        <v>0</v>
      </c>
      <c r="G32" s="317">
        <f>F32*500*8/1000000000</f>
        <v>0</v>
      </c>
      <c r="H32" s="317">
        <f>SUM(C32:E32,G32)</f>
        <v>0.32044412884900914</v>
      </c>
    </row>
    <row r="33" spans="2:13" ht="15.75">
      <c r="B33" s="144" t="s">
        <v>1294</v>
      </c>
      <c r="C33" s="317">
        <f>VLOOKUP(B33,'Country summary'!B:J,3,0)</f>
        <v>0</v>
      </c>
      <c r="D33" s="317">
        <f>VLOOKUP(B33,'Country summary'!B:J,4,0)</f>
        <v>0</v>
      </c>
      <c r="E33" s="317">
        <f>VLOOKUP(B33,'Country summary'!B:J,5,0)</f>
        <v>0.19116831928251124</v>
      </c>
      <c r="F33" s="321">
        <f>VLOOKUP(B33,'Refugee cost calculations'!B:E, 2, 0)</f>
        <v>19997</v>
      </c>
      <c r="G33" s="317">
        <f>F33*500*8/1000000000</f>
        <v>7.9988000000000004E-2</v>
      </c>
      <c r="H33" s="317">
        <f>SUM(C33:E33,G33)</f>
        <v>0.27115631928251127</v>
      </c>
    </row>
    <row r="34" spans="2:13">
      <c r="B34" s="144" t="s">
        <v>1335</v>
      </c>
      <c r="C34" s="317">
        <f>VLOOKUP(B34,'Country summary'!B:J,3,0)</f>
        <v>0</v>
      </c>
      <c r="D34" s="317">
        <f>VLOOKUP(B34,'Country summary'!B:J,4,0)</f>
        <v>4.6688822031581839E-2</v>
      </c>
      <c r="E34" s="317">
        <f>VLOOKUP(B34,'Country summary'!B:J,5,0)</f>
        <v>0</v>
      </c>
      <c r="F34" s="321">
        <f>VLOOKUP(B34,'Refugee cost calculations'!B:E, 2, 0)</f>
        <v>32271</v>
      </c>
      <c r="G34" s="317">
        <f>F34*500*8/1000000000</f>
        <v>0.129084</v>
      </c>
      <c r="H34" s="317">
        <f>SUM(C34:E34,G34)</f>
        <v>0.17577282203158184</v>
      </c>
    </row>
    <row r="35" spans="2:13" ht="15.75">
      <c r="B35" s="144" t="s">
        <v>1653</v>
      </c>
      <c r="C35" s="317">
        <f>VLOOKUP(B35,'Country summary'!B:J,3,0)</f>
        <v>0</v>
      </c>
      <c r="D35" s="317">
        <f>VLOOKUP(B35,'Country summary'!B:J,4,0)</f>
        <v>4.0000000000000001E-3</v>
      </c>
      <c r="E35" s="317">
        <f>VLOOKUP(B35,'Country summary'!B:J,5,0)</f>
        <v>7.1999999999999995E-2</v>
      </c>
      <c r="F35" s="321">
        <f>VLOOKUP(B35,'Refugee cost calculations'!B:E, 2, 0)</f>
        <v>6756</v>
      </c>
      <c r="G35" s="317">
        <f>F35*500*8/1000000000</f>
        <v>2.7023999999999999E-2</v>
      </c>
      <c r="H35" s="317">
        <f>SUM(C35:E35,G35)</f>
        <v>0.103024</v>
      </c>
    </row>
    <row r="36" spans="2:13" ht="15.75">
      <c r="B36" s="144" t="s">
        <v>591</v>
      </c>
      <c r="C36" s="317">
        <f>VLOOKUP(B36,'Country summary'!B:J,3,0)</f>
        <v>0</v>
      </c>
      <c r="D36" s="317">
        <f>VLOOKUP(B36,'Country summary'!B:J,4,0)</f>
        <v>6.4415119932073866E-3</v>
      </c>
      <c r="E36" s="317">
        <f>VLOOKUP(B36,'Country summary'!B:J,5,0)</f>
        <v>1.6450859690087031E-2</v>
      </c>
      <c r="F36" s="321">
        <f>VLOOKUP(B36,'Refugee cost calculations'!B:E, 2, 0)</f>
        <v>19259</v>
      </c>
      <c r="G36" s="317">
        <f>F36*500*8/1000000000</f>
        <v>7.7035999999999993E-2</v>
      </c>
      <c r="H36" s="317">
        <f>SUM(C36:E36,G36)</f>
        <v>9.9928371683294409E-2</v>
      </c>
    </row>
    <row r="37" spans="2:13" ht="15.75">
      <c r="B37" s="133" t="s">
        <v>2002</v>
      </c>
      <c r="C37" s="317">
        <f>VLOOKUP(B37,'Country summary'!B:J,3,0)</f>
        <v>0</v>
      </c>
      <c r="D37" s="317">
        <f>VLOOKUP(B37,'Country summary'!B:J,4,0)</f>
        <v>9.088191330343795E-2</v>
      </c>
      <c r="E37" s="317">
        <f>VLOOKUP(B37,'Country summary'!B:J,5,0)</f>
        <v>3.5675137020428497E-3</v>
      </c>
      <c r="F37" s="321">
        <f>VLOOKUP(B37,'Refugee cost calculations'!B:E, 2, 0)</f>
        <v>0</v>
      </c>
      <c r="G37" s="317">
        <f>F37*500*8/1000000000</f>
        <v>0</v>
      </c>
      <c r="H37" s="317">
        <f>SUM(C37:E37,G37)</f>
        <v>9.4449427005480799E-2</v>
      </c>
    </row>
    <row r="38" spans="2:13" ht="15.75">
      <c r="B38" s="144" t="s">
        <v>2106</v>
      </c>
      <c r="C38" s="317">
        <f>VLOOKUP(B38,'Country summary'!B:J,3,0)</f>
        <v>0</v>
      </c>
      <c r="D38" s="317">
        <f>VLOOKUP(B38,'Country summary'!B:J,4,0)</f>
        <v>2.0830000000000002E-3</v>
      </c>
      <c r="E38" s="317">
        <f>VLOOKUP(B38,'Country summary'!B:J,5,0)</f>
        <v>5.8821012667663181E-2</v>
      </c>
      <c r="F38" s="321">
        <f>VLOOKUP(B38,'Refugee cost calculations'!B:E, 2, 0)</f>
        <v>8234</v>
      </c>
      <c r="G38" s="317">
        <f>F38*500*8/1000000000</f>
        <v>3.2936E-2</v>
      </c>
      <c r="H38" s="317">
        <f>SUM(C38:E38,G38)</f>
        <v>9.3840012667663175E-2</v>
      </c>
    </row>
    <row r="39" spans="2:13" ht="15.75">
      <c r="B39" s="144" t="s">
        <v>618</v>
      </c>
      <c r="C39" s="317">
        <f>VLOOKUP(B39,'Country summary'!B:J,3,0)</f>
        <v>0</v>
      </c>
      <c r="D39" s="317">
        <f>VLOOKUP(B39,'Country summary'!B:J,4,0)</f>
        <v>2.5000000000000001E-3</v>
      </c>
      <c r="E39" s="317">
        <f>VLOOKUP(B39,'Country summary'!B:J,5,0)</f>
        <v>0</v>
      </c>
      <c r="F39" s="321">
        <f>VLOOKUP(B39,'Refugee cost calculations'!B:E, 2, 0)</f>
        <v>18287</v>
      </c>
      <c r="G39" s="317">
        <f>F39*500*8/1000000000</f>
        <v>7.3148000000000005E-2</v>
      </c>
      <c r="H39" s="317">
        <f>SUM(C39:E39,G39)</f>
        <v>7.5648000000000007E-2</v>
      </c>
    </row>
    <row r="40" spans="2:13" ht="15" customHeight="1">
      <c r="B40" s="158" t="s">
        <v>2368</v>
      </c>
      <c r="C40" s="317">
        <f>VLOOKUP(B40,'Country summary'!B:J,3,0)</f>
        <v>0</v>
      </c>
      <c r="D40" s="317">
        <f>VLOOKUP(B40,'Country summary'!B:J,4,0)</f>
        <v>6.8261086198305926E-2</v>
      </c>
      <c r="E40" s="317">
        <f>VLOOKUP(B40,'Country summary'!B:J,5,0)</f>
        <v>0</v>
      </c>
      <c r="F40" s="321">
        <f>VLOOKUP(B40,'Refugee cost calculations'!B:E, 2, 0)</f>
        <v>0</v>
      </c>
      <c r="G40" s="317">
        <f>F40*500*8/1000000000</f>
        <v>0</v>
      </c>
      <c r="H40" s="317">
        <f>SUM(C40:E40,G40)</f>
        <v>6.8261086198305926E-2</v>
      </c>
      <c r="K40" s="145"/>
      <c r="L40" s="145"/>
    </row>
    <row r="41" spans="2:13">
      <c r="B41" s="133" t="s">
        <v>1766</v>
      </c>
      <c r="C41" s="317">
        <f>VLOOKUP(B41,'Country summary'!B:J,3,0)</f>
        <v>0</v>
      </c>
      <c r="D41" s="317">
        <f>VLOOKUP(B41,'Country summary'!B:J,4,0)</f>
        <v>2.3485204321277591E-3</v>
      </c>
      <c r="E41" s="317">
        <f>VLOOKUP(B41,'Country summary'!B:J,5,0)</f>
        <v>1.4694117792985236E-2</v>
      </c>
      <c r="F41" s="321">
        <f>VLOOKUP(B41,'Refugee cost calculations'!B:E, 2, 0)</f>
        <v>0</v>
      </c>
      <c r="G41" s="317">
        <f>F41*500*8/1000000000</f>
        <v>0</v>
      </c>
      <c r="H41" s="317">
        <f>SUM(C41:E41,G41)</f>
        <v>1.7042638225112997E-2</v>
      </c>
      <c r="J41" s="145"/>
      <c r="K41" s="145"/>
      <c r="L41" s="145"/>
    </row>
    <row r="42" spans="2:13">
      <c r="B42" s="144" t="s">
        <v>1682</v>
      </c>
      <c r="C42" s="317">
        <f>VLOOKUP(B42,'Country summary'!B:J,3,0)</f>
        <v>0</v>
      </c>
      <c r="D42" s="317">
        <f>VLOOKUP(B42,'Country summary'!B:J,4,0)</f>
        <v>1.15E-3</v>
      </c>
      <c r="E42" s="317">
        <f>VLOOKUP(B42,'Country summary'!B:J,5,0)</f>
        <v>0</v>
      </c>
      <c r="F42" s="321">
        <f>VLOOKUP(B42,'Refugee cost calculations'!B:E, 2, 0)</f>
        <v>1541</v>
      </c>
      <c r="G42" s="317">
        <f>F42*500*8/1000000000</f>
        <v>6.1640000000000002E-3</v>
      </c>
      <c r="H42" s="317">
        <f>SUM(C42:E42,G42)</f>
        <v>7.3140000000000002E-3</v>
      </c>
      <c r="J42" s="145"/>
      <c r="K42" s="145"/>
      <c r="L42" s="145"/>
    </row>
    <row r="43" spans="2:13" ht="17.25" customHeight="1">
      <c r="B43" s="158" t="s">
        <v>583</v>
      </c>
      <c r="C43" s="317">
        <f>VLOOKUP(B43,'Country summary'!B:J,3,0)</f>
        <v>0</v>
      </c>
      <c r="D43" s="317">
        <f>VLOOKUP(B43,'Country summary'!B:J,4,0)</f>
        <v>2.0740003318400532E-3</v>
      </c>
      <c r="E43" s="317">
        <f>VLOOKUP(B43,'Country summary'!B:J,5,0)</f>
        <v>0</v>
      </c>
      <c r="F43" s="321">
        <f>VLOOKUP(B43,'Refugee cost calculations'!B:E, 2, 0)</f>
        <v>0</v>
      </c>
      <c r="G43" s="317">
        <f>F43*500*8/1000000000</f>
        <v>0</v>
      </c>
      <c r="H43" s="317">
        <f>SUM(C43:E43,G43)</f>
        <v>2.0740003318400532E-3</v>
      </c>
    </row>
    <row r="44" spans="2:13" ht="15.75" customHeight="1">
      <c r="B44" s="190" t="s">
        <v>1369</v>
      </c>
      <c r="C44" s="317">
        <f>VLOOKUP(B44,'Country summary'!B:J,3,0)</f>
        <v>0</v>
      </c>
      <c r="D44" s="317">
        <f>VLOOKUP(B44,'Country summary'!B:J,4,0)</f>
        <v>1.9404583956153462E-3</v>
      </c>
      <c r="E44" s="317">
        <f>VLOOKUP(B44,'Country summary'!B:J,5,0)</f>
        <v>0</v>
      </c>
      <c r="F44" s="321">
        <f>VLOOKUP(B44,'Refugee cost calculations'!B:E, 2, 0)</f>
        <v>0</v>
      </c>
      <c r="G44" s="317">
        <f>F44*500*8/1000000000</f>
        <v>0</v>
      </c>
      <c r="H44" s="317">
        <f>SUM(C44:E44,G44)</f>
        <v>1.9404583956153462E-3</v>
      </c>
      <c r="J44" s="191"/>
      <c r="K44" s="191"/>
      <c r="L44" s="191"/>
      <c r="M44" s="191"/>
    </row>
    <row r="45" spans="2:13" ht="15" customHeight="1">
      <c r="J45" s="191"/>
      <c r="K45" s="191"/>
      <c r="L45" s="191"/>
      <c r="M45" s="191"/>
    </row>
    <row r="46" spans="2:13">
      <c r="B46" s="316" t="s">
        <v>3026</v>
      </c>
      <c r="C46" s="320">
        <f t="shared" ref="C46:H46" si="0">SUM(C5:C44)</f>
        <v>25.057206993279451</v>
      </c>
      <c r="D46" s="320">
        <f t="shared" si="0"/>
        <v>15.19088092244963</v>
      </c>
      <c r="E46" s="320">
        <f t="shared" si="0"/>
        <v>37.867955189459927</v>
      </c>
      <c r="F46" s="322">
        <f t="shared" si="0"/>
        <v>4911788</v>
      </c>
      <c r="G46" s="320">
        <f t="shared" si="0"/>
        <v>19.647151999999998</v>
      </c>
      <c r="H46" s="323">
        <f t="shared" si="0"/>
        <v>97.763195105188984</v>
      </c>
      <c r="J46" s="191"/>
      <c r="K46" s="191"/>
      <c r="L46" s="191"/>
      <c r="M46" s="191"/>
    </row>
    <row r="47" spans="2:13">
      <c r="B47" s="192"/>
      <c r="C47" s="46"/>
      <c r="D47" s="193"/>
      <c r="E47" s="194"/>
      <c r="J47" s="191"/>
      <c r="K47" s="191"/>
      <c r="L47" s="191"/>
      <c r="M47" s="191"/>
    </row>
    <row r="48" spans="2:13">
      <c r="B48" s="192"/>
      <c r="C48" s="46"/>
      <c r="D48" s="193"/>
      <c r="E48" s="194"/>
    </row>
    <row r="49" spans="2:5">
      <c r="B49" s="195"/>
      <c r="C49" s="46"/>
      <c r="D49" s="190"/>
      <c r="E49" s="194"/>
    </row>
    <row r="50" spans="2:5">
      <c r="B50" s="195"/>
      <c r="C50" s="46"/>
      <c r="D50" s="196"/>
      <c r="E50" s="194"/>
    </row>
    <row r="51" spans="2:5">
      <c r="B51" s="195"/>
      <c r="C51" s="46"/>
      <c r="D51" s="196"/>
      <c r="E51" s="194"/>
    </row>
    <row r="52" spans="2:5">
      <c r="B52" s="195"/>
      <c r="C52" s="46"/>
      <c r="D52" s="196"/>
      <c r="E52" s="194"/>
    </row>
    <row r="53" spans="2:5">
      <c r="B53" s="195"/>
      <c r="C53" s="46"/>
      <c r="D53" s="196"/>
      <c r="E53" s="194"/>
    </row>
    <row r="54" spans="2:5">
      <c r="B54" s="195"/>
      <c r="C54" s="46"/>
      <c r="D54" s="196"/>
      <c r="E54" s="194"/>
    </row>
    <row r="55" spans="2:5">
      <c r="B55" s="195"/>
      <c r="C55" s="46"/>
      <c r="D55" s="196"/>
      <c r="E55" s="194"/>
    </row>
    <row r="56" spans="2:5">
      <c r="B56" s="195"/>
      <c r="C56" s="46"/>
      <c r="D56" s="196"/>
      <c r="E56" s="194"/>
    </row>
    <row r="57" spans="2:5">
      <c r="B57" s="195"/>
      <c r="C57" s="46"/>
      <c r="D57" s="196"/>
      <c r="E57" s="194"/>
    </row>
    <row r="58" spans="2:5">
      <c r="B58" s="195"/>
      <c r="C58" s="46"/>
      <c r="D58" s="190"/>
      <c r="E58" s="194"/>
    </row>
    <row r="59" spans="2:5">
      <c r="B59" s="195"/>
      <c r="C59" s="46"/>
      <c r="D59" s="196"/>
      <c r="E59" s="194"/>
    </row>
    <row r="60" spans="2:5">
      <c r="B60" s="195"/>
      <c r="C60" s="46"/>
      <c r="D60" s="196"/>
      <c r="E60" s="194"/>
    </row>
    <row r="61" spans="2:5">
      <c r="B61" s="195"/>
      <c r="C61" s="46"/>
      <c r="D61" s="196"/>
      <c r="E61" s="194"/>
    </row>
    <row r="62" spans="2:5">
      <c r="B62" s="195"/>
      <c r="C62" s="46"/>
      <c r="D62" s="196"/>
      <c r="E62" s="194"/>
    </row>
    <row r="63" spans="2:5">
      <c r="B63" s="195"/>
      <c r="C63" s="46"/>
      <c r="D63" s="196"/>
      <c r="E63" s="194"/>
    </row>
    <row r="64" spans="2:5">
      <c r="B64" s="195"/>
      <c r="C64" s="46"/>
      <c r="D64" s="196"/>
      <c r="E64" s="194"/>
    </row>
    <row r="65" spans="2:5">
      <c r="B65" s="195"/>
      <c r="C65" s="46"/>
      <c r="D65" s="196"/>
      <c r="E65" s="194"/>
    </row>
    <row r="66" spans="2:5">
      <c r="B66" s="195"/>
      <c r="C66" s="46"/>
      <c r="D66" s="196"/>
      <c r="E66" s="194"/>
    </row>
    <row r="67" spans="2:5">
      <c r="B67" s="195"/>
      <c r="C67" s="46"/>
      <c r="D67" s="196"/>
      <c r="E67" s="194"/>
    </row>
    <row r="68" spans="2:5">
      <c r="B68" s="195"/>
      <c r="C68" s="46"/>
      <c r="D68" s="196"/>
      <c r="E68" s="194"/>
    </row>
    <row r="69" spans="2:5">
      <c r="B69" s="195"/>
      <c r="C69" s="46"/>
      <c r="D69" s="196"/>
      <c r="E69" s="194"/>
    </row>
    <row r="70" spans="2:5">
      <c r="B70" s="195"/>
      <c r="C70" s="46"/>
      <c r="D70" s="196"/>
      <c r="E70" s="194"/>
    </row>
    <row r="71" spans="2:5">
      <c r="B71" s="195"/>
      <c r="C71" s="46"/>
      <c r="D71" s="196"/>
      <c r="E71" s="194"/>
    </row>
    <row r="72" spans="2:5">
      <c r="B72" s="195"/>
      <c r="C72" s="46"/>
      <c r="D72" s="190"/>
      <c r="E72" s="194"/>
    </row>
    <row r="73" spans="2:5">
      <c r="B73" s="195"/>
      <c r="C73" s="46"/>
      <c r="D73" s="196"/>
      <c r="E73" s="194"/>
    </row>
    <row r="74" spans="2:5">
      <c r="B74" s="148"/>
      <c r="C74" s="136"/>
      <c r="D74" s="134"/>
      <c r="E74" s="134"/>
    </row>
    <row r="75" spans="2:5" ht="15" customHeight="1">
      <c r="B75" s="148"/>
      <c r="C75" s="136"/>
      <c r="D75" s="134"/>
      <c r="E75" s="134"/>
    </row>
    <row r="76" spans="2:5" ht="15" customHeight="1">
      <c r="C76" s="136"/>
      <c r="D76" s="197"/>
      <c r="E76" s="134"/>
    </row>
    <row r="77" spans="2:5" ht="15" customHeight="1">
      <c r="B77" s="148"/>
      <c r="C77" s="136"/>
      <c r="D77" s="134"/>
      <c r="E77" s="134"/>
    </row>
    <row r="78" spans="2:5" ht="15" customHeight="1">
      <c r="B78" s="148"/>
      <c r="C78" s="136"/>
      <c r="D78" s="134"/>
      <c r="E78" s="134"/>
    </row>
    <row r="79" spans="2:5" ht="15" customHeight="1">
      <c r="C79" s="136"/>
      <c r="D79" s="134"/>
      <c r="E79" s="134"/>
    </row>
    <row r="80" spans="2:5">
      <c r="C80" s="136"/>
      <c r="D80" s="134"/>
      <c r="E80" s="134"/>
    </row>
    <row r="81" spans="3:5">
      <c r="C81" s="136"/>
      <c r="D81" s="134"/>
      <c r="E81" s="134"/>
    </row>
    <row r="82" spans="3:5">
      <c r="C82" s="136"/>
      <c r="D82" s="134"/>
      <c r="E82" s="134"/>
    </row>
  </sheetData>
  <autoFilter ref="B4:H4" xr:uid="{00000000-0009-0000-0000-000010000000}">
    <sortState xmlns:xlrd2="http://schemas.microsoft.com/office/spreadsheetml/2017/richdata2" ref="B5:H44">
      <sortCondition descending="1" ref="H4"/>
    </sortState>
  </autoFilter>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P329"/>
  <sheetViews>
    <sheetView showGridLines="0" zoomScaleNormal="100" workbookViewId="0">
      <selection activeCell="B2" sqref="B2:C2"/>
    </sheetView>
  </sheetViews>
  <sheetFormatPr defaultColWidth="10.5" defaultRowHeight="15.6"/>
  <cols>
    <col min="1" max="1" width="10.5" style="8"/>
    <col min="2" max="2" width="13.5" style="8" customWidth="1"/>
    <col min="3" max="16384" width="10.5" style="8"/>
  </cols>
  <sheetData>
    <row r="1" spans="2:3" ht="16.5">
      <c r="B1" s="10"/>
    </row>
    <row r="2" spans="2:3">
      <c r="B2" s="855" t="s">
        <v>25</v>
      </c>
      <c r="C2" s="855"/>
    </row>
    <row r="3" spans="2:3" ht="16.5">
      <c r="B3" s="809"/>
      <c r="C3" s="809"/>
    </row>
    <row r="4" spans="2:3" ht="16.5">
      <c r="B4" s="115" t="s">
        <v>26</v>
      </c>
      <c r="C4" s="809"/>
    </row>
    <row r="5" spans="2:3" ht="16.5">
      <c r="B5" s="449"/>
      <c r="C5" s="809"/>
    </row>
    <row r="6" spans="2:3" s="2" customFormat="1" ht="14.1">
      <c r="B6" s="810" t="s">
        <v>27</v>
      </c>
      <c r="C6" s="556"/>
    </row>
    <row r="7" spans="2:3" s="2" customFormat="1" ht="14.1">
      <c r="B7" s="6"/>
      <c r="C7" s="556"/>
    </row>
    <row r="8" spans="2:3" s="2" customFormat="1" ht="14.1">
      <c r="B8" s="553" t="s">
        <v>28</v>
      </c>
      <c r="C8" s="556"/>
    </row>
    <row r="9" spans="2:3" s="2" customFormat="1" ht="14.1">
      <c r="B9" s="6"/>
      <c r="C9" s="556"/>
    </row>
    <row r="10" spans="2:3" s="2" customFormat="1" ht="14.1">
      <c r="B10" s="1" t="s">
        <v>29</v>
      </c>
      <c r="C10" s="556"/>
    </row>
    <row r="11" spans="2:3" s="2" customFormat="1" ht="14.1">
      <c r="B11" s="1"/>
      <c r="C11" s="556"/>
    </row>
    <row r="12" spans="2:3" s="2" customFormat="1" ht="14.1">
      <c r="B12" s="1" t="s">
        <v>30</v>
      </c>
      <c r="C12" s="556"/>
    </row>
    <row r="13" spans="2:3" s="2" customFormat="1" ht="14.1">
      <c r="B13" s="1"/>
      <c r="C13" s="556"/>
    </row>
    <row r="14" spans="2:3" s="2" customFormat="1" ht="14.1">
      <c r="B14" s="1" t="s">
        <v>31</v>
      </c>
      <c r="C14" s="556"/>
    </row>
    <row r="15" spans="2:3" s="2" customFormat="1" ht="14.1">
      <c r="B15" s="31"/>
      <c r="C15" s="556"/>
    </row>
    <row r="16" spans="2:3" s="2" customFormat="1" ht="14.1">
      <c r="B16" s="1" t="s">
        <v>32</v>
      </c>
      <c r="C16" s="556"/>
    </row>
    <row r="17" spans="2:3" s="2" customFormat="1" ht="14.1">
      <c r="B17" s="107"/>
      <c r="C17" s="556"/>
    </row>
    <row r="18" spans="2:3" s="2" customFormat="1" ht="14.1">
      <c r="B18" s="1" t="s">
        <v>33</v>
      </c>
      <c r="C18" s="556"/>
    </row>
    <row r="19" spans="2:3" s="2" customFormat="1" ht="14.1">
      <c r="B19" s="1"/>
      <c r="C19" s="556"/>
    </row>
    <row r="20" spans="2:3" s="2" customFormat="1" ht="14.1">
      <c r="B20" s="1" t="s">
        <v>34</v>
      </c>
      <c r="C20" s="556"/>
    </row>
    <row r="21" spans="2:3" s="2" customFormat="1" ht="14.1">
      <c r="B21" s="1"/>
      <c r="C21" s="556"/>
    </row>
    <row r="22" spans="2:3" s="2" customFormat="1" ht="14.1">
      <c r="B22" s="1" t="s">
        <v>35</v>
      </c>
      <c r="C22" s="556"/>
    </row>
    <row r="23" spans="2:3" s="2" customFormat="1" ht="14.1">
      <c r="B23" s="1"/>
      <c r="C23" s="556"/>
    </row>
    <row r="24" spans="2:3" s="2" customFormat="1" ht="14.1">
      <c r="B24" s="1" t="s">
        <v>36</v>
      </c>
      <c r="C24" s="556"/>
    </row>
    <row r="25" spans="2:3" s="2" customFormat="1" ht="14.1">
      <c r="C25" s="556"/>
    </row>
    <row r="26" spans="2:3" s="2" customFormat="1" ht="14.1">
      <c r="B26" s="1" t="s">
        <v>37</v>
      </c>
      <c r="C26" s="556"/>
    </row>
    <row r="27" spans="2:3" s="2" customFormat="1" ht="14.1">
      <c r="C27" s="556"/>
    </row>
    <row r="28" spans="2:3" s="2" customFormat="1" ht="14.1">
      <c r="B28" s="1" t="s">
        <v>38</v>
      </c>
      <c r="C28" s="556"/>
    </row>
    <row r="29" spans="2:3" s="2" customFormat="1" ht="14.1">
      <c r="B29" s="1"/>
      <c r="C29" s="556"/>
    </row>
    <row r="30" spans="2:3" s="2" customFormat="1" ht="14.1">
      <c r="B30" s="1" t="s">
        <v>39</v>
      </c>
      <c r="C30" s="556"/>
    </row>
    <row r="31" spans="2:3" s="2" customFormat="1" ht="14.1">
      <c r="C31" s="556"/>
    </row>
    <row r="32" spans="2:3" s="2" customFormat="1" ht="14.1">
      <c r="B32" s="11" t="s">
        <v>40</v>
      </c>
      <c r="C32" s="556"/>
    </row>
    <row r="33" spans="2:3" s="2" customFormat="1" ht="14.1">
      <c r="B33" s="11"/>
      <c r="C33" s="556"/>
    </row>
    <row r="34" spans="2:3" s="2" customFormat="1" ht="14.1">
      <c r="B34" s="11" t="s">
        <v>41</v>
      </c>
      <c r="C34" s="556"/>
    </row>
    <row r="35" spans="2:3" s="2" customFormat="1" ht="14.1">
      <c r="B35" s="11"/>
      <c r="C35" s="556"/>
    </row>
    <row r="36" spans="2:3" s="2" customFormat="1" ht="14.1">
      <c r="B36" s="11" t="s">
        <v>42</v>
      </c>
      <c r="C36" s="556"/>
    </row>
    <row r="37" spans="2:3" s="2" customFormat="1" ht="14.1">
      <c r="C37" s="556"/>
    </row>
    <row r="38" spans="2:3" s="2" customFormat="1" ht="14.1">
      <c r="B38" s="11" t="s">
        <v>43</v>
      </c>
      <c r="C38" s="556"/>
    </row>
    <row r="39" spans="2:3" s="2" customFormat="1" ht="14.1">
      <c r="C39" s="556"/>
    </row>
    <row r="40" spans="2:3" s="2" customFormat="1" ht="14.1">
      <c r="B40" s="11" t="s">
        <v>44</v>
      </c>
      <c r="C40" s="556"/>
    </row>
    <row r="41" spans="2:3" s="2" customFormat="1" ht="14.1">
      <c r="C41" s="556"/>
    </row>
    <row r="42" spans="2:3" s="2" customFormat="1" ht="14.1">
      <c r="C42" s="556"/>
    </row>
    <row r="43" spans="2:3" s="2" customFormat="1" ht="14.1">
      <c r="B43" s="810" t="s">
        <v>45</v>
      </c>
      <c r="C43" s="556"/>
    </row>
    <row r="44" spans="2:3" s="2" customFormat="1" ht="14.1">
      <c r="B44" s="451"/>
      <c r="C44" s="556"/>
    </row>
    <row r="45" spans="2:3" s="2" customFormat="1" ht="14.1">
      <c r="B45" s="451" t="s">
        <v>46</v>
      </c>
      <c r="C45" s="556"/>
    </row>
    <row r="46" spans="2:3" s="2" customFormat="1" ht="14.1">
      <c r="B46" s="451"/>
      <c r="C46" s="556"/>
    </row>
    <row r="47" spans="2:3" s="2" customFormat="1" ht="14.1">
      <c r="B47" s="451" t="s">
        <v>47</v>
      </c>
      <c r="C47" s="556"/>
    </row>
    <row r="48" spans="2:3" s="2" customFormat="1" ht="14.1">
      <c r="B48" s="451"/>
      <c r="C48" s="556"/>
    </row>
    <row r="49" spans="2:3" s="2" customFormat="1" ht="14.1">
      <c r="B49" s="451" t="s">
        <v>48</v>
      </c>
      <c r="C49" s="556"/>
    </row>
    <row r="50" spans="2:3" s="2" customFormat="1" ht="14.1">
      <c r="B50" s="451"/>
      <c r="C50" s="556"/>
    </row>
    <row r="51" spans="2:3" s="2" customFormat="1" ht="14.1">
      <c r="B51" s="451" t="s">
        <v>49</v>
      </c>
      <c r="C51" s="556"/>
    </row>
    <row r="52" spans="2:3" s="2" customFormat="1" ht="14.1">
      <c r="B52" s="451"/>
      <c r="C52" s="556"/>
    </row>
    <row r="53" spans="2:3" s="2" customFormat="1" ht="14.1">
      <c r="B53" s="1" t="s">
        <v>50</v>
      </c>
      <c r="C53" s="556"/>
    </row>
    <row r="54" spans="2:3" s="2" customFormat="1" ht="14.1">
      <c r="B54" s="451"/>
      <c r="C54" s="556"/>
    </row>
    <row r="55" spans="2:3" s="2" customFormat="1" ht="14.1">
      <c r="B55" s="1" t="s">
        <v>51</v>
      </c>
      <c r="C55" s="556"/>
    </row>
    <row r="56" spans="2:3" s="2" customFormat="1" ht="14.1">
      <c r="B56" s="451"/>
      <c r="C56" s="556"/>
    </row>
    <row r="57" spans="2:3" s="2" customFormat="1" ht="14.1">
      <c r="B57" s="553" t="s">
        <v>52</v>
      </c>
      <c r="C57" s="556"/>
    </row>
    <row r="58" spans="2:3" s="2" customFormat="1" ht="14.1">
      <c r="B58" s="553" t="s">
        <v>53</v>
      </c>
      <c r="C58" s="556"/>
    </row>
    <row r="59" spans="2:3" s="2" customFormat="1" ht="14.1">
      <c r="B59" s="553"/>
      <c r="C59" s="556"/>
    </row>
    <row r="60" spans="2:3" s="2" customFormat="1" ht="14.1">
      <c r="B60" s="1" t="s">
        <v>54</v>
      </c>
      <c r="C60" s="556"/>
    </row>
    <row r="61" spans="2:3" s="2" customFormat="1" ht="14.1">
      <c r="B61" s="553"/>
      <c r="C61" s="556"/>
    </row>
    <row r="62" spans="2:3" s="2" customFormat="1" ht="14.1">
      <c r="B62" s="1" t="s">
        <v>55</v>
      </c>
      <c r="C62" s="556"/>
    </row>
    <row r="63" spans="2:3" s="2" customFormat="1" ht="14.1">
      <c r="B63" s="553"/>
      <c r="C63" s="556"/>
    </row>
    <row r="64" spans="2:3" s="2" customFormat="1" ht="14.1">
      <c r="B64" s="1" t="s">
        <v>56</v>
      </c>
      <c r="C64" s="556"/>
    </row>
    <row r="65" spans="2:3" s="2" customFormat="1" ht="14.1">
      <c r="B65" s="553"/>
      <c r="C65" s="556"/>
    </row>
    <row r="66" spans="2:3" s="2" customFormat="1" ht="14.1">
      <c r="B66" s="1" t="s">
        <v>57</v>
      </c>
      <c r="C66" s="556"/>
    </row>
    <row r="67" spans="2:3" s="2" customFormat="1" ht="14.1">
      <c r="B67" s="553"/>
      <c r="C67" s="556"/>
    </row>
    <row r="68" spans="2:3" s="195" customFormat="1" ht="16.5">
      <c r="B68" s="1" t="s">
        <v>58</v>
      </c>
      <c r="C68" s="812"/>
    </row>
    <row r="69" spans="2:3" ht="16.5">
      <c r="B69" s="450"/>
      <c r="C69" s="809"/>
    </row>
    <row r="70" spans="2:3" ht="16.5">
      <c r="B70" s="1" t="s">
        <v>59</v>
      </c>
      <c r="C70" s="809"/>
    </row>
    <row r="71" spans="2:3" ht="16.5">
      <c r="B71" s="450"/>
      <c r="C71" s="809"/>
    </row>
    <row r="72" spans="2:3" ht="16.5">
      <c r="B72" s="1" t="s">
        <v>60</v>
      </c>
      <c r="C72" s="809"/>
    </row>
    <row r="73" spans="2:3" ht="16.5">
      <c r="B73" s="1"/>
      <c r="C73" s="809"/>
    </row>
    <row r="74" spans="2:3" ht="16.5">
      <c r="B74" s="450"/>
      <c r="C74" s="809"/>
    </row>
    <row r="75" spans="2:3" ht="16.5">
      <c r="B75" s="115" t="s">
        <v>61</v>
      </c>
      <c r="C75" s="809"/>
    </row>
    <row r="76" spans="2:3" ht="16.5">
      <c r="B76" s="809"/>
      <c r="C76" s="809"/>
    </row>
    <row r="77" spans="2:3" ht="16.5">
      <c r="B77" s="810" t="s">
        <v>27</v>
      </c>
      <c r="C77" s="809"/>
    </row>
    <row r="78" spans="2:3" ht="16.5">
      <c r="B78" s="9"/>
      <c r="C78" s="809"/>
    </row>
    <row r="79" spans="2:3" ht="16.5">
      <c r="B79" s="2" t="s">
        <v>62</v>
      </c>
      <c r="C79" s="809"/>
    </row>
    <row r="80" spans="2:3" ht="16.5">
      <c r="C80" s="809"/>
    </row>
    <row r="81" spans="2:3" ht="16.5">
      <c r="B81" s="2" t="s">
        <v>63</v>
      </c>
      <c r="C81" s="809"/>
    </row>
    <row r="82" spans="2:3" ht="16.5">
      <c r="B82" s="2"/>
      <c r="C82" s="809"/>
    </row>
    <row r="83" spans="2:3" ht="16.5">
      <c r="B83" s="11" t="s">
        <v>64</v>
      </c>
      <c r="C83" s="809"/>
    </row>
    <row r="84" spans="2:3" ht="16.5">
      <c r="B84" s="2"/>
      <c r="C84" s="809"/>
    </row>
    <row r="85" spans="2:3" ht="16.5">
      <c r="B85" s="2" t="s">
        <v>65</v>
      </c>
      <c r="C85" s="809"/>
    </row>
    <row r="86" spans="2:3" ht="16.5">
      <c r="B86" s="2"/>
      <c r="C86" s="809"/>
    </row>
    <row r="87" spans="2:3" ht="16.5">
      <c r="B87" s="2" t="s">
        <v>66</v>
      </c>
      <c r="C87" s="809"/>
    </row>
    <row r="88" spans="2:3">
      <c r="B88" s="2"/>
      <c r="C88" s="418" t="s">
        <v>67</v>
      </c>
    </row>
    <row r="89" spans="2:3">
      <c r="B89" s="2"/>
      <c r="C89" s="418" t="s">
        <v>68</v>
      </c>
    </row>
    <row r="90" spans="2:3">
      <c r="B90" s="2"/>
      <c r="C90" s="418" t="s">
        <v>69</v>
      </c>
    </row>
    <row r="91" spans="2:3">
      <c r="B91" s="2"/>
      <c r="C91" s="418"/>
    </row>
    <row r="92" spans="2:3">
      <c r="B92" s="2" t="s">
        <v>70</v>
      </c>
      <c r="C92" s="418"/>
    </row>
    <row r="93" spans="2:3">
      <c r="B93" s="2"/>
      <c r="C93" s="418" t="s">
        <v>71</v>
      </c>
    </row>
    <row r="94" spans="2:3">
      <c r="B94" s="2"/>
      <c r="C94" s="418"/>
    </row>
    <row r="95" spans="2:3" ht="16.5">
      <c r="B95" s="9"/>
      <c r="C95" s="809"/>
    </row>
    <row r="96" spans="2:3" ht="16.5">
      <c r="B96" s="810" t="s">
        <v>72</v>
      </c>
      <c r="C96" s="809"/>
    </row>
    <row r="97" spans="2:3" ht="16.5">
      <c r="B97" s="6"/>
      <c r="C97" s="809"/>
    </row>
    <row r="98" spans="2:3" ht="16.5">
      <c r="B98" s="2" t="s">
        <v>73</v>
      </c>
      <c r="C98" s="809"/>
    </row>
    <row r="99" spans="2:3" ht="16.5">
      <c r="B99" s="6"/>
      <c r="C99" s="809"/>
    </row>
    <row r="100" spans="2:3" ht="16.5">
      <c r="B100" s="2" t="s">
        <v>74</v>
      </c>
      <c r="C100" s="809"/>
    </row>
    <row r="101" spans="2:3" ht="16.5">
      <c r="B101" s="2"/>
      <c r="C101" s="809"/>
    </row>
    <row r="102" spans="2:3" ht="16.5">
      <c r="B102" s="2" t="s">
        <v>75</v>
      </c>
      <c r="C102" s="809"/>
    </row>
    <row r="103" spans="2:3" ht="16.5">
      <c r="B103" s="2"/>
      <c r="C103" s="809"/>
    </row>
    <row r="104" spans="2:3" ht="16.5">
      <c r="B104" s="2" t="s">
        <v>76</v>
      </c>
      <c r="C104" s="809"/>
    </row>
    <row r="105" spans="2:3" ht="16.5">
      <c r="B105" s="2"/>
      <c r="C105" s="809"/>
    </row>
    <row r="106" spans="2:3" ht="16.5">
      <c r="B106" s="6"/>
      <c r="C106" s="809"/>
    </row>
    <row r="107" spans="2:3" ht="16.5">
      <c r="B107" s="810" t="s">
        <v>45</v>
      </c>
      <c r="C107" s="809"/>
    </row>
    <row r="108" spans="2:3" s="447" customFormat="1" ht="16.5">
      <c r="B108" s="6"/>
      <c r="C108" s="412"/>
    </row>
    <row r="109" spans="2:3" s="447" customFormat="1" ht="13.5" customHeight="1">
      <c r="B109" s="2" t="s">
        <v>77</v>
      </c>
      <c r="C109" s="412"/>
    </row>
    <row r="110" spans="2:3" s="447" customFormat="1" ht="13.5" customHeight="1">
      <c r="B110" s="2" t="s">
        <v>78</v>
      </c>
      <c r="C110" s="412"/>
    </row>
    <row r="111" spans="2:3" s="447" customFormat="1" ht="15.75" customHeight="1">
      <c r="B111" s="2" t="s">
        <v>79</v>
      </c>
      <c r="C111" s="412"/>
    </row>
    <row r="112" spans="2:3" s="447" customFormat="1" ht="15.75" customHeight="1">
      <c r="B112" s="2" t="s">
        <v>80</v>
      </c>
      <c r="C112" s="412"/>
    </row>
    <row r="113" spans="2:2" s="447" customFormat="1" ht="16.5" customHeight="1">
      <c r="B113" s="413"/>
    </row>
    <row r="114" spans="2:2" s="447" customFormat="1" ht="16.5" customHeight="1">
      <c r="B114" s="413"/>
    </row>
    <row r="115" spans="2:2">
      <c r="B115" s="115" t="s">
        <v>81</v>
      </c>
    </row>
    <row r="117" spans="2:2">
      <c r="B117" s="810" t="s">
        <v>27</v>
      </c>
    </row>
    <row r="118" spans="2:2">
      <c r="B118" s="6"/>
    </row>
    <row r="119" spans="2:2">
      <c r="B119" s="2" t="s">
        <v>82</v>
      </c>
    </row>
    <row r="120" spans="2:2">
      <c r="B120" s="2"/>
    </row>
    <row r="121" spans="2:2">
      <c r="B121" s="2" t="s">
        <v>83</v>
      </c>
    </row>
    <row r="122" spans="2:2">
      <c r="B122" s="2"/>
    </row>
    <row r="123" spans="2:2">
      <c r="B123" s="2" t="s">
        <v>84</v>
      </c>
    </row>
    <row r="124" spans="2:2">
      <c r="B124" s="2"/>
    </row>
    <row r="125" spans="2:2">
      <c r="B125" s="6" t="s">
        <v>72</v>
      </c>
    </row>
    <row r="126" spans="2:2">
      <c r="B126" s="6"/>
    </row>
    <row r="127" spans="2:2">
      <c r="B127" s="2" t="s">
        <v>85</v>
      </c>
    </row>
    <row r="128" spans="2:2">
      <c r="B128" s="6"/>
    </row>
    <row r="129" spans="2:2">
      <c r="B129" s="2" t="s">
        <v>86</v>
      </c>
    </row>
    <row r="130" spans="2:2">
      <c r="B130" s="2"/>
    </row>
    <row r="131" spans="2:2">
      <c r="B131" s="2" t="s">
        <v>87</v>
      </c>
    </row>
    <row r="132" spans="2:2">
      <c r="B132" s="2"/>
    </row>
    <row r="133" spans="2:2">
      <c r="B133" s="2" t="s">
        <v>88</v>
      </c>
    </row>
    <row r="134" spans="2:2">
      <c r="B134" s="2"/>
    </row>
    <row r="135" spans="2:2">
      <c r="B135" s="2"/>
    </row>
    <row r="136" spans="2:2">
      <c r="B136" s="810" t="s">
        <v>89</v>
      </c>
    </row>
    <row r="137" spans="2:2">
      <c r="B137" s="6"/>
    </row>
    <row r="138" spans="2:2">
      <c r="B138" s="2" t="s">
        <v>90</v>
      </c>
    </row>
    <row r="139" spans="2:2">
      <c r="B139" s="2" t="s">
        <v>91</v>
      </c>
    </row>
    <row r="140" spans="2:2">
      <c r="B140" s="2"/>
    </row>
    <row r="141" spans="2:2">
      <c r="B141" s="2" t="s">
        <v>92</v>
      </c>
    </row>
    <row r="142" spans="2:2">
      <c r="B142" s="2" t="s">
        <v>91</v>
      </c>
    </row>
    <row r="143" spans="2:2">
      <c r="B143" s="2"/>
    </row>
    <row r="144" spans="2:2">
      <c r="B144" s="2"/>
    </row>
    <row r="145" spans="2:2">
      <c r="B145" s="810" t="s">
        <v>45</v>
      </c>
    </row>
    <row r="146" spans="2:2">
      <c r="B146" s="6"/>
    </row>
    <row r="147" spans="2:2">
      <c r="B147" s="2" t="s">
        <v>93</v>
      </c>
    </row>
    <row r="148" spans="2:2">
      <c r="B148" s="2"/>
    </row>
    <row r="149" spans="2:2">
      <c r="B149" s="2" t="s">
        <v>94</v>
      </c>
    </row>
    <row r="150" spans="2:2">
      <c r="B150" s="2"/>
    </row>
    <row r="151" spans="2:2">
      <c r="B151" s="2" t="s">
        <v>95</v>
      </c>
    </row>
    <row r="152" spans="2:2">
      <c r="B152" s="2"/>
    </row>
    <row r="153" spans="2:2">
      <c r="B153" s="2"/>
    </row>
    <row r="154" spans="2:2">
      <c r="B154" s="115" t="s">
        <v>96</v>
      </c>
    </row>
    <row r="156" spans="2:2">
      <c r="B156" s="810" t="s">
        <v>27</v>
      </c>
    </row>
    <row r="158" spans="2:2">
      <c r="B158" s="2" t="s">
        <v>97</v>
      </c>
    </row>
    <row r="159" spans="2:2">
      <c r="B159" s="2" t="s">
        <v>98</v>
      </c>
    </row>
    <row r="160" spans="2:2">
      <c r="B160" s="2"/>
    </row>
    <row r="161" spans="2:2">
      <c r="B161" s="2" t="s">
        <v>99</v>
      </c>
    </row>
    <row r="162" spans="2:2">
      <c r="B162" s="2"/>
    </row>
    <row r="163" spans="2:2">
      <c r="B163" s="2" t="s">
        <v>100</v>
      </c>
    </row>
    <row r="164" spans="2:2">
      <c r="B164" s="2"/>
    </row>
    <row r="165" spans="2:2">
      <c r="B165" s="2" t="s">
        <v>101</v>
      </c>
    </row>
    <row r="166" spans="2:2">
      <c r="B166" s="2"/>
    </row>
    <row r="167" spans="2:2">
      <c r="B167" s="2" t="s">
        <v>102</v>
      </c>
    </row>
    <row r="168" spans="2:2">
      <c r="B168" s="2"/>
    </row>
    <row r="169" spans="2:2">
      <c r="B169" s="2"/>
    </row>
    <row r="170" spans="2:2">
      <c r="B170" s="810" t="s">
        <v>72</v>
      </c>
    </row>
    <row r="171" spans="2:2">
      <c r="B171" s="6"/>
    </row>
    <row r="172" spans="2:2">
      <c r="B172" s="11" t="s">
        <v>103</v>
      </c>
    </row>
    <row r="173" spans="2:2">
      <c r="B173" s="11"/>
    </row>
    <row r="174" spans="2:2">
      <c r="B174" s="11" t="s">
        <v>104</v>
      </c>
    </row>
    <row r="175" spans="2:2">
      <c r="B175" s="11"/>
    </row>
    <row r="176" spans="2:2">
      <c r="B176" s="11" t="s">
        <v>105</v>
      </c>
    </row>
    <row r="177" spans="2:2">
      <c r="B177" s="11"/>
    </row>
    <row r="178" spans="2:2">
      <c r="B178" s="11" t="s">
        <v>106</v>
      </c>
    </row>
    <row r="179" spans="2:2">
      <c r="B179" s="11"/>
    </row>
    <row r="180" spans="2:2">
      <c r="B180" s="11" t="s">
        <v>107</v>
      </c>
    </row>
    <row r="181" spans="2:2">
      <c r="B181" s="11"/>
    </row>
    <row r="182" spans="2:2">
      <c r="B182" s="11"/>
    </row>
    <row r="183" spans="2:2">
      <c r="B183" s="810" t="s">
        <v>89</v>
      </c>
    </row>
    <row r="184" spans="2:2">
      <c r="B184" s="6"/>
    </row>
    <row r="185" spans="2:2">
      <c r="B185" s="11" t="s">
        <v>108</v>
      </c>
    </row>
    <row r="186" spans="2:2">
      <c r="B186" s="2" t="s">
        <v>109</v>
      </c>
    </row>
    <row r="187" spans="2:2">
      <c r="B187" s="2"/>
    </row>
    <row r="188" spans="2:2">
      <c r="B188" s="2"/>
    </row>
    <row r="189" spans="2:2">
      <c r="B189" s="810" t="s">
        <v>45</v>
      </c>
    </row>
    <row r="190" spans="2:2">
      <c r="B190" s="810"/>
    </row>
    <row r="191" spans="2:2">
      <c r="B191" s="11" t="s">
        <v>110</v>
      </c>
    </row>
    <row r="194" spans="2:3">
      <c r="B194" s="115" t="s">
        <v>111</v>
      </c>
    </row>
    <row r="196" spans="2:3">
      <c r="B196" s="810" t="s">
        <v>27</v>
      </c>
    </row>
    <row r="198" spans="2:3">
      <c r="B198" s="2" t="s">
        <v>112</v>
      </c>
    </row>
    <row r="199" spans="2:3">
      <c r="B199" s="2"/>
      <c r="C199" s="2" t="s">
        <v>113</v>
      </c>
    </row>
    <row r="200" spans="2:3">
      <c r="B200" s="2"/>
      <c r="C200" s="2" t="s">
        <v>114</v>
      </c>
    </row>
    <row r="201" spans="2:3">
      <c r="B201" s="2"/>
      <c r="C201" s="2"/>
    </row>
    <row r="202" spans="2:3">
      <c r="B202" s="2" t="s">
        <v>115</v>
      </c>
      <c r="C202" s="2"/>
    </row>
    <row r="203" spans="2:3">
      <c r="B203" s="2"/>
      <c r="C203" s="2"/>
    </row>
    <row r="204" spans="2:3">
      <c r="B204" s="2" t="s">
        <v>116</v>
      </c>
      <c r="C204" s="2"/>
    </row>
    <row r="206" spans="2:3">
      <c r="B206" s="2" t="s">
        <v>117</v>
      </c>
    </row>
    <row r="207" spans="2:3">
      <c r="B207" s="2"/>
    </row>
    <row r="208" spans="2:3">
      <c r="B208" s="2" t="s">
        <v>118</v>
      </c>
    </row>
    <row r="209" spans="2:2">
      <c r="B209" s="2" t="s">
        <v>119</v>
      </c>
    </row>
    <row r="210" spans="2:2">
      <c r="B210" s="2"/>
    </row>
    <row r="211" spans="2:2">
      <c r="B211" s="2" t="s">
        <v>120</v>
      </c>
    </row>
    <row r="212" spans="2:2">
      <c r="B212" s="2"/>
    </row>
    <row r="213" spans="2:2">
      <c r="B213" s="2" t="s">
        <v>121</v>
      </c>
    </row>
    <row r="214" spans="2:2">
      <c r="B214" s="2"/>
    </row>
    <row r="215" spans="2:2">
      <c r="B215" s="2" t="s">
        <v>122</v>
      </c>
    </row>
    <row r="216" spans="2:2">
      <c r="B216" s="448"/>
    </row>
    <row r="217" spans="2:2">
      <c r="B217" s="448"/>
    </row>
    <row r="218" spans="2:2">
      <c r="B218" s="810" t="s">
        <v>89</v>
      </c>
    </row>
    <row r="219" spans="2:2" ht="18" customHeight="1">
      <c r="B219" s="2" t="s">
        <v>123</v>
      </c>
    </row>
    <row r="222" spans="2:2">
      <c r="B222" s="810" t="s">
        <v>45</v>
      </c>
    </row>
    <row r="223" spans="2:2" ht="9" customHeight="1"/>
    <row r="224" spans="2:2">
      <c r="B224" s="2" t="s">
        <v>124</v>
      </c>
    </row>
    <row r="225" spans="1:16">
      <c r="B225" s="2" t="s">
        <v>125</v>
      </c>
    </row>
    <row r="226" spans="1:16">
      <c r="B226" s="2" t="s">
        <v>126</v>
      </c>
    </row>
    <row r="227" spans="1:16">
      <c r="B227" s="2" t="s">
        <v>127</v>
      </c>
    </row>
    <row r="230" spans="1:16">
      <c r="A230" s="2"/>
      <c r="B230" s="115" t="s">
        <v>128</v>
      </c>
      <c r="C230" s="2"/>
      <c r="D230" s="2"/>
      <c r="E230" s="2"/>
      <c r="F230" s="2"/>
      <c r="G230" s="2"/>
      <c r="H230" s="2"/>
      <c r="I230" s="2"/>
      <c r="J230" s="2"/>
      <c r="K230" s="2"/>
      <c r="L230" s="2"/>
      <c r="M230" s="2"/>
      <c r="N230" s="2"/>
      <c r="O230" s="2"/>
      <c r="P230" s="2"/>
    </row>
    <row r="231" spans="1:16">
      <c r="A231" s="2"/>
      <c r="B231" s="2"/>
      <c r="C231" s="2"/>
      <c r="D231" s="2"/>
      <c r="E231" s="2"/>
      <c r="F231" s="2"/>
      <c r="G231" s="2"/>
      <c r="H231" s="2"/>
      <c r="I231" s="2"/>
      <c r="J231" s="2"/>
      <c r="K231" s="2"/>
      <c r="L231" s="2"/>
      <c r="M231" s="2"/>
      <c r="N231" s="2"/>
      <c r="O231" s="2"/>
      <c r="P231" s="2"/>
    </row>
    <row r="232" spans="1:16">
      <c r="A232" s="2"/>
      <c r="B232" s="810" t="s">
        <v>27</v>
      </c>
      <c r="C232" s="2"/>
      <c r="D232" s="2"/>
      <c r="E232" s="2"/>
      <c r="F232" s="2"/>
      <c r="G232" s="2"/>
      <c r="H232" s="2"/>
      <c r="I232" s="2"/>
      <c r="J232" s="2"/>
      <c r="K232" s="2"/>
      <c r="L232" s="2"/>
      <c r="M232" s="2"/>
      <c r="N232" s="2"/>
      <c r="O232" s="2"/>
      <c r="P232" s="2"/>
    </row>
    <row r="233" spans="1:16">
      <c r="A233" s="2"/>
      <c r="B233" s="6"/>
      <c r="C233" s="2"/>
      <c r="D233" s="2"/>
      <c r="E233" s="2"/>
      <c r="F233" s="2"/>
      <c r="G233" s="2"/>
      <c r="H233" s="2"/>
      <c r="I233" s="2"/>
      <c r="J233" s="2"/>
      <c r="K233" s="2"/>
      <c r="L233" s="2"/>
      <c r="M233" s="2"/>
      <c r="N233" s="2"/>
      <c r="O233" s="2"/>
      <c r="P233" s="2"/>
    </row>
    <row r="234" spans="1:16">
      <c r="A234" s="2"/>
      <c r="B234" s="2" t="s">
        <v>129</v>
      </c>
      <c r="C234" s="2"/>
      <c r="D234" s="2"/>
      <c r="E234" s="2"/>
      <c r="F234" s="2"/>
      <c r="G234" s="2"/>
      <c r="H234" s="2"/>
      <c r="I234" s="2"/>
      <c r="J234" s="2"/>
      <c r="K234" s="2"/>
      <c r="L234" s="2"/>
      <c r="M234" s="2"/>
      <c r="N234" s="2"/>
      <c r="O234" s="2"/>
      <c r="P234" s="2"/>
    </row>
    <row r="235" spans="1:16">
      <c r="A235" s="2"/>
      <c r="B235" s="2"/>
      <c r="C235" s="2" t="s">
        <v>130</v>
      </c>
      <c r="D235" s="2"/>
      <c r="E235" s="2"/>
      <c r="F235" s="2"/>
      <c r="G235" s="2"/>
      <c r="H235" s="2"/>
      <c r="I235" s="2"/>
      <c r="J235" s="2"/>
      <c r="K235" s="2"/>
      <c r="L235" s="2"/>
      <c r="M235" s="2"/>
      <c r="N235" s="2"/>
      <c r="O235" s="2"/>
      <c r="P235" s="2"/>
    </row>
    <row r="236" spans="1:16">
      <c r="A236" s="2"/>
      <c r="B236" s="2"/>
      <c r="C236" s="2" t="s">
        <v>131</v>
      </c>
      <c r="D236" s="2"/>
      <c r="E236" s="2"/>
      <c r="F236" s="2"/>
      <c r="G236" s="2"/>
      <c r="H236" s="2"/>
      <c r="I236" s="2"/>
      <c r="J236" s="2"/>
      <c r="K236" s="2"/>
      <c r="L236" s="2"/>
      <c r="M236" s="2"/>
      <c r="N236" s="2"/>
      <c r="O236" s="2"/>
      <c r="P236" s="2"/>
    </row>
    <row r="237" spans="1:16">
      <c r="A237" s="2"/>
      <c r="B237" s="2"/>
      <c r="C237" s="2" t="s">
        <v>132</v>
      </c>
      <c r="D237" s="2"/>
      <c r="E237" s="2"/>
      <c r="F237" s="2"/>
      <c r="G237" s="2"/>
      <c r="H237" s="2"/>
      <c r="I237" s="2"/>
      <c r="J237" s="2"/>
      <c r="K237" s="2"/>
      <c r="L237" s="2"/>
      <c r="M237" s="2"/>
      <c r="N237" s="2"/>
      <c r="O237" s="2"/>
      <c r="P237" s="2"/>
    </row>
    <row r="238" spans="1:16">
      <c r="A238" s="2"/>
      <c r="B238" s="2"/>
      <c r="C238" s="2" t="s">
        <v>133</v>
      </c>
      <c r="D238" s="2"/>
      <c r="E238" s="2"/>
      <c r="F238" s="2"/>
      <c r="G238" s="2"/>
      <c r="H238" s="2"/>
      <c r="I238" s="2"/>
      <c r="J238" s="2"/>
      <c r="K238" s="2"/>
      <c r="L238" s="2"/>
      <c r="M238" s="2"/>
      <c r="N238" s="2"/>
      <c r="O238" s="2"/>
      <c r="P238" s="2"/>
    </row>
    <row r="239" spans="1:16">
      <c r="A239" s="2"/>
      <c r="B239" s="2"/>
      <c r="C239" s="2"/>
      <c r="D239" s="2"/>
      <c r="E239" s="2"/>
      <c r="F239" s="2"/>
      <c r="G239" s="2"/>
      <c r="H239" s="2"/>
      <c r="I239" s="2"/>
      <c r="J239" s="2"/>
      <c r="K239" s="2"/>
      <c r="L239" s="2"/>
      <c r="M239" s="2"/>
      <c r="N239" s="2"/>
      <c r="O239" s="2"/>
      <c r="P239" s="2"/>
    </row>
    <row r="240" spans="1:16">
      <c r="A240" s="2"/>
      <c r="B240" s="2" t="s">
        <v>134</v>
      </c>
      <c r="C240" s="2"/>
      <c r="D240" s="2"/>
      <c r="E240" s="2"/>
      <c r="F240" s="2"/>
      <c r="G240" s="2"/>
      <c r="H240" s="2"/>
      <c r="I240" s="2"/>
      <c r="J240" s="2"/>
      <c r="K240" s="2"/>
      <c r="L240" s="2"/>
      <c r="M240" s="2"/>
      <c r="N240" s="2"/>
      <c r="O240" s="2"/>
      <c r="P240" s="2"/>
    </row>
    <row r="241" spans="1:16">
      <c r="A241" s="2"/>
      <c r="B241" s="2"/>
      <c r="C241" s="2" t="s">
        <v>135</v>
      </c>
      <c r="D241" s="2"/>
      <c r="E241" s="2"/>
      <c r="F241" s="2"/>
      <c r="G241" s="2"/>
      <c r="H241" s="2"/>
      <c r="I241" s="2"/>
      <c r="J241" s="2"/>
      <c r="K241" s="2"/>
      <c r="L241" s="2"/>
      <c r="M241" s="2"/>
      <c r="N241" s="2"/>
      <c r="O241" s="2"/>
      <c r="P241" s="2"/>
    </row>
    <row r="242" spans="1:16">
      <c r="A242" s="2"/>
      <c r="B242" s="2"/>
      <c r="C242" s="2" t="s">
        <v>136</v>
      </c>
      <c r="D242" s="2"/>
      <c r="E242" s="2"/>
      <c r="F242" s="2"/>
      <c r="G242" s="2"/>
      <c r="H242" s="2"/>
      <c r="I242" s="2"/>
      <c r="J242" s="2"/>
      <c r="K242" s="2"/>
      <c r="L242" s="2"/>
      <c r="M242" s="2"/>
      <c r="N242" s="2"/>
      <c r="O242" s="2"/>
      <c r="P242" s="2"/>
    </row>
    <row r="243" spans="1:16">
      <c r="A243" s="2"/>
      <c r="B243" s="2"/>
      <c r="C243" s="2"/>
      <c r="D243" s="2"/>
      <c r="E243" s="2"/>
      <c r="F243" s="2"/>
      <c r="G243" s="2"/>
      <c r="H243" s="2"/>
      <c r="I243" s="2"/>
      <c r="J243" s="2"/>
      <c r="K243" s="2"/>
      <c r="L243" s="2"/>
      <c r="M243" s="2"/>
      <c r="N243" s="2"/>
      <c r="O243" s="2"/>
      <c r="P243" s="2"/>
    </row>
    <row r="244" spans="1:16">
      <c r="A244" s="2"/>
      <c r="B244" s="2" t="s">
        <v>137</v>
      </c>
      <c r="C244" s="2"/>
      <c r="D244" s="2"/>
      <c r="E244" s="2"/>
      <c r="F244" s="2"/>
      <c r="G244" s="2"/>
      <c r="H244" s="2"/>
      <c r="I244" s="2"/>
      <c r="J244" s="2"/>
      <c r="K244" s="2"/>
      <c r="L244" s="2"/>
      <c r="M244" s="2"/>
      <c r="N244" s="2"/>
      <c r="O244" s="2"/>
      <c r="P244" s="2"/>
    </row>
    <row r="245" spans="1:16">
      <c r="A245" s="2"/>
      <c r="B245" s="2"/>
      <c r="C245" s="2" t="s">
        <v>138</v>
      </c>
      <c r="D245" s="2"/>
      <c r="E245" s="2"/>
      <c r="F245" s="2"/>
      <c r="G245" s="2"/>
      <c r="H245" s="2"/>
      <c r="I245" s="2"/>
      <c r="J245" s="2"/>
      <c r="K245" s="2"/>
      <c r="L245" s="2"/>
      <c r="M245" s="2"/>
      <c r="N245" s="2"/>
      <c r="O245" s="2"/>
      <c r="P245" s="2"/>
    </row>
    <row r="246" spans="1:16">
      <c r="A246" s="2"/>
      <c r="B246" s="2"/>
      <c r="C246" s="2" t="s">
        <v>139</v>
      </c>
      <c r="D246" s="2"/>
      <c r="E246" s="2"/>
      <c r="F246" s="2"/>
      <c r="G246" s="2"/>
      <c r="H246" s="2"/>
      <c r="I246" s="2"/>
      <c r="J246" s="2"/>
      <c r="K246" s="2"/>
      <c r="L246" s="2"/>
      <c r="M246" s="2"/>
      <c r="N246" s="2"/>
      <c r="O246" s="2"/>
      <c r="P246" s="2"/>
    </row>
    <row r="247" spans="1:16">
      <c r="A247" s="2"/>
      <c r="B247" s="2"/>
      <c r="C247" s="2" t="s">
        <v>140</v>
      </c>
      <c r="D247" s="2"/>
      <c r="E247" s="2"/>
      <c r="F247" s="2"/>
      <c r="G247" s="2"/>
      <c r="H247" s="2"/>
      <c r="I247" s="2"/>
      <c r="J247" s="2"/>
      <c r="K247" s="2"/>
      <c r="L247" s="2"/>
      <c r="M247" s="2"/>
      <c r="N247" s="2"/>
      <c r="O247" s="2"/>
      <c r="P247" s="2"/>
    </row>
    <row r="248" spans="1:16">
      <c r="A248" s="2"/>
      <c r="B248" s="2"/>
      <c r="C248" s="2"/>
      <c r="D248" s="2"/>
      <c r="E248" s="2"/>
      <c r="F248" s="2"/>
      <c r="G248" s="2"/>
      <c r="H248" s="2"/>
      <c r="I248" s="2"/>
      <c r="J248" s="2"/>
      <c r="K248" s="2"/>
      <c r="L248" s="2"/>
      <c r="M248" s="2"/>
      <c r="N248" s="2"/>
      <c r="O248" s="2"/>
      <c r="P248" s="2"/>
    </row>
    <row r="249" spans="1:16">
      <c r="A249" s="2"/>
      <c r="B249" s="2" t="s">
        <v>141</v>
      </c>
      <c r="C249" s="2"/>
      <c r="D249" s="2"/>
      <c r="E249" s="2"/>
      <c r="F249" s="2"/>
      <c r="G249" s="2"/>
      <c r="H249" s="2"/>
      <c r="I249" s="2"/>
      <c r="J249" s="2"/>
      <c r="K249" s="2"/>
      <c r="L249" s="2"/>
      <c r="M249" s="2"/>
      <c r="N249" s="2"/>
      <c r="O249" s="2"/>
      <c r="P249" s="2"/>
    </row>
    <row r="250" spans="1:16">
      <c r="A250" s="2"/>
      <c r="B250" s="2"/>
      <c r="C250" s="2"/>
      <c r="D250" s="2"/>
      <c r="E250" s="2"/>
      <c r="F250" s="2"/>
      <c r="G250" s="2"/>
      <c r="H250" s="2"/>
      <c r="I250" s="2"/>
      <c r="J250" s="2"/>
      <c r="K250" s="2"/>
      <c r="L250" s="2"/>
      <c r="M250" s="2"/>
      <c r="N250" s="2"/>
      <c r="O250" s="2"/>
      <c r="P250" s="2"/>
    </row>
    <row r="251" spans="1:16">
      <c r="A251" s="2"/>
      <c r="B251" s="2" t="s">
        <v>142</v>
      </c>
      <c r="C251" s="2"/>
      <c r="D251" s="2"/>
      <c r="E251" s="2"/>
      <c r="F251" s="2"/>
      <c r="G251" s="2"/>
      <c r="H251" s="2"/>
      <c r="I251" s="2"/>
      <c r="J251" s="2"/>
      <c r="K251" s="2"/>
      <c r="L251" s="2"/>
      <c r="M251" s="2"/>
      <c r="N251" s="2"/>
      <c r="O251" s="2"/>
      <c r="P251" s="2"/>
    </row>
    <row r="252" spans="1:16">
      <c r="A252" s="2"/>
      <c r="B252" s="2"/>
      <c r="C252" s="2"/>
      <c r="D252" s="2"/>
      <c r="E252" s="2"/>
      <c r="F252" s="2"/>
      <c r="G252" s="2"/>
      <c r="H252" s="2"/>
      <c r="I252" s="2"/>
      <c r="J252" s="2"/>
      <c r="K252" s="2"/>
      <c r="L252" s="2"/>
      <c r="M252" s="2"/>
      <c r="N252" s="2"/>
      <c r="O252" s="2"/>
      <c r="P252" s="2"/>
    </row>
    <row r="253" spans="1:16">
      <c r="A253" s="2"/>
      <c r="B253" s="2" t="s">
        <v>143</v>
      </c>
      <c r="C253" s="2"/>
      <c r="D253" s="2"/>
      <c r="E253" s="2"/>
      <c r="F253" s="2"/>
      <c r="G253" s="2"/>
      <c r="H253" s="2"/>
      <c r="I253" s="2"/>
      <c r="J253" s="2"/>
      <c r="K253" s="2"/>
      <c r="L253" s="2"/>
      <c r="M253" s="2"/>
      <c r="N253" s="2"/>
      <c r="O253" s="2"/>
      <c r="P253" s="2"/>
    </row>
    <row r="254" spans="1:16">
      <c r="A254" s="2"/>
      <c r="B254" s="2"/>
      <c r="C254" s="2"/>
      <c r="D254" s="2"/>
      <c r="E254" s="2"/>
      <c r="F254" s="2"/>
      <c r="G254" s="2"/>
      <c r="H254" s="2"/>
      <c r="I254" s="2"/>
      <c r="J254" s="2"/>
      <c r="K254" s="2"/>
      <c r="L254" s="2"/>
      <c r="M254" s="2"/>
      <c r="N254" s="2"/>
      <c r="O254" s="2"/>
      <c r="P254" s="2"/>
    </row>
    <row r="255" spans="1:16">
      <c r="A255" s="2"/>
      <c r="B255" s="2" t="s">
        <v>144</v>
      </c>
      <c r="C255" s="2"/>
      <c r="D255" s="2"/>
      <c r="E255" s="2"/>
      <c r="F255" s="2"/>
      <c r="G255" s="2"/>
      <c r="H255" s="2"/>
      <c r="I255" s="2"/>
      <c r="J255" s="2"/>
      <c r="K255" s="2"/>
      <c r="L255" s="2"/>
      <c r="M255" s="2"/>
      <c r="N255" s="2"/>
      <c r="O255" s="2"/>
      <c r="P255" s="2"/>
    </row>
    <row r="256" spans="1:16">
      <c r="A256" s="2"/>
      <c r="B256" s="2"/>
      <c r="C256" s="2"/>
      <c r="D256" s="2"/>
      <c r="E256" s="2"/>
      <c r="F256" s="2"/>
      <c r="G256" s="2"/>
      <c r="H256" s="2"/>
      <c r="I256" s="2"/>
      <c r="J256" s="2"/>
      <c r="K256" s="2"/>
      <c r="L256" s="2"/>
      <c r="M256" s="2"/>
      <c r="N256" s="2"/>
      <c r="O256" s="2"/>
      <c r="P256" s="2"/>
    </row>
    <row r="257" spans="1:16">
      <c r="A257" s="2"/>
      <c r="B257" s="6" t="s">
        <v>89</v>
      </c>
      <c r="C257" s="2"/>
      <c r="D257" s="2"/>
      <c r="E257" s="2"/>
      <c r="F257" s="2"/>
      <c r="G257" s="2"/>
      <c r="H257" s="2"/>
      <c r="I257" s="2"/>
      <c r="J257" s="2"/>
      <c r="K257" s="2"/>
      <c r="L257" s="2"/>
      <c r="M257" s="2"/>
      <c r="N257" s="2"/>
      <c r="O257" s="2"/>
      <c r="P257" s="2"/>
    </row>
    <row r="258" spans="1:16">
      <c r="A258" s="2"/>
      <c r="B258" s="2"/>
      <c r="C258" s="2"/>
      <c r="D258" s="2"/>
      <c r="E258" s="2"/>
      <c r="F258" s="2"/>
      <c r="G258" s="2"/>
      <c r="H258" s="2"/>
      <c r="I258" s="2"/>
      <c r="J258" s="2"/>
      <c r="K258" s="2"/>
      <c r="L258" s="2"/>
      <c r="M258" s="2"/>
      <c r="N258" s="2"/>
      <c r="O258" s="2"/>
      <c r="P258" s="2"/>
    </row>
    <row r="259" spans="1:16">
      <c r="A259" s="2"/>
      <c r="B259" s="2" t="s">
        <v>145</v>
      </c>
      <c r="C259" s="2"/>
      <c r="D259" s="2"/>
      <c r="E259" s="2"/>
      <c r="F259" s="2"/>
      <c r="G259" s="2"/>
      <c r="H259" s="2"/>
      <c r="I259" s="2"/>
      <c r="J259" s="2"/>
      <c r="K259" s="2"/>
      <c r="L259" s="2"/>
      <c r="M259" s="2"/>
      <c r="N259" s="2"/>
      <c r="O259" s="2"/>
      <c r="P259" s="2"/>
    </row>
    <row r="260" spans="1:16">
      <c r="A260" s="2"/>
      <c r="B260" s="2" t="s">
        <v>146</v>
      </c>
      <c r="C260" s="2"/>
      <c r="D260" s="2"/>
      <c r="E260" s="2"/>
      <c r="F260" s="2"/>
      <c r="G260" s="2"/>
      <c r="H260" s="2"/>
      <c r="I260" s="2"/>
      <c r="J260" s="2"/>
      <c r="K260" s="2"/>
      <c r="L260" s="2"/>
      <c r="M260" s="2"/>
      <c r="N260" s="2"/>
      <c r="O260" s="2"/>
      <c r="P260" s="2"/>
    </row>
    <row r="261" spans="1:16">
      <c r="A261" s="2"/>
      <c r="B261" s="2"/>
      <c r="C261" s="2"/>
      <c r="D261" s="2"/>
      <c r="E261" s="2"/>
      <c r="F261" s="2"/>
      <c r="G261" s="2"/>
      <c r="H261" s="2"/>
      <c r="I261" s="2"/>
      <c r="J261" s="2"/>
      <c r="K261" s="2"/>
      <c r="L261" s="2"/>
      <c r="M261" s="2"/>
      <c r="N261" s="2"/>
      <c r="O261" s="2"/>
      <c r="P261" s="2"/>
    </row>
    <row r="262" spans="1:16">
      <c r="A262" s="2"/>
      <c r="B262" s="2"/>
      <c r="C262" s="2"/>
      <c r="D262" s="2"/>
      <c r="E262" s="2"/>
      <c r="F262" s="2"/>
      <c r="G262" s="2"/>
      <c r="H262" s="2"/>
      <c r="I262" s="2"/>
      <c r="J262" s="2"/>
      <c r="K262" s="2"/>
      <c r="L262" s="2"/>
      <c r="M262" s="2"/>
      <c r="N262" s="2"/>
      <c r="O262" s="2"/>
      <c r="P262" s="2"/>
    </row>
    <row r="263" spans="1:16">
      <c r="A263" s="2"/>
      <c r="B263" s="810" t="s">
        <v>45</v>
      </c>
      <c r="C263" s="2"/>
      <c r="D263" s="2"/>
      <c r="E263" s="2"/>
      <c r="F263" s="2"/>
      <c r="G263" s="2"/>
      <c r="H263" s="2"/>
      <c r="I263" s="2"/>
      <c r="J263" s="2"/>
      <c r="K263" s="2"/>
      <c r="L263" s="2"/>
      <c r="M263" s="2"/>
      <c r="N263" s="2"/>
      <c r="O263" s="2"/>
      <c r="P263" s="2"/>
    </row>
    <row r="264" spans="1:16">
      <c r="A264" s="2"/>
      <c r="B264" s="6"/>
      <c r="C264" s="2"/>
      <c r="D264" s="2"/>
      <c r="E264" s="2"/>
      <c r="F264" s="2"/>
      <c r="G264" s="2"/>
      <c r="H264" s="2"/>
      <c r="I264" s="2"/>
      <c r="J264" s="2"/>
      <c r="K264" s="2"/>
      <c r="L264" s="2"/>
      <c r="M264" s="2"/>
      <c r="N264" s="2"/>
      <c r="O264" s="2"/>
      <c r="P264" s="2"/>
    </row>
    <row r="265" spans="1:16">
      <c r="A265" s="2"/>
      <c r="B265" s="2" t="s">
        <v>147</v>
      </c>
      <c r="C265" s="2"/>
      <c r="D265" s="2"/>
      <c r="E265" s="2"/>
      <c r="F265" s="2"/>
      <c r="G265" s="2"/>
      <c r="H265" s="2"/>
      <c r="I265" s="2"/>
      <c r="J265" s="2"/>
      <c r="K265" s="2"/>
      <c r="L265" s="2"/>
      <c r="M265" s="2"/>
      <c r="N265" s="2"/>
      <c r="O265" s="2"/>
      <c r="P265" s="2"/>
    </row>
    <row r="266" spans="1:16">
      <c r="A266" s="2"/>
      <c r="B266" s="2"/>
      <c r="C266" s="2"/>
      <c r="D266" s="2"/>
      <c r="E266" s="2"/>
      <c r="F266" s="2"/>
      <c r="G266" s="2"/>
      <c r="H266" s="2"/>
      <c r="I266" s="2"/>
      <c r="J266" s="2"/>
      <c r="K266" s="2"/>
      <c r="L266" s="2"/>
      <c r="M266" s="2"/>
      <c r="N266" s="2"/>
      <c r="O266" s="2"/>
      <c r="P266" s="2"/>
    </row>
    <row r="267" spans="1:16">
      <c r="A267" s="2"/>
      <c r="B267" s="2" t="s">
        <v>148</v>
      </c>
      <c r="C267" s="2"/>
      <c r="D267" s="2"/>
      <c r="E267" s="2"/>
      <c r="F267" s="2"/>
      <c r="G267" s="2"/>
      <c r="H267" s="2"/>
      <c r="I267" s="2"/>
      <c r="J267" s="2"/>
      <c r="K267" s="2"/>
      <c r="L267" s="2"/>
      <c r="M267" s="2"/>
      <c r="N267" s="2"/>
      <c r="O267" s="2"/>
      <c r="P267" s="2"/>
    </row>
    <row r="268" spans="1:16">
      <c r="A268" s="2"/>
      <c r="B268" s="2"/>
      <c r="C268" s="2"/>
      <c r="D268" s="2"/>
      <c r="E268" s="2"/>
      <c r="F268" s="2"/>
      <c r="G268" s="2"/>
      <c r="H268" s="2"/>
      <c r="I268" s="2"/>
      <c r="J268" s="2"/>
      <c r="K268" s="2"/>
      <c r="L268" s="2"/>
      <c r="M268" s="2"/>
      <c r="N268" s="2"/>
      <c r="O268" s="2"/>
      <c r="P268" s="2"/>
    </row>
    <row r="269" spans="1:16">
      <c r="A269" s="2"/>
      <c r="B269" s="2" t="s">
        <v>149</v>
      </c>
      <c r="C269" s="2"/>
      <c r="D269" s="2"/>
      <c r="E269" s="2"/>
      <c r="F269" s="2"/>
      <c r="G269" s="2"/>
      <c r="H269" s="2"/>
      <c r="I269" s="2"/>
      <c r="J269" s="2"/>
      <c r="K269" s="2"/>
      <c r="L269" s="2"/>
      <c r="M269" s="2"/>
      <c r="N269" s="2"/>
      <c r="O269" s="2"/>
      <c r="P269" s="2"/>
    </row>
    <row r="270" spans="1:16">
      <c r="A270" s="2"/>
      <c r="B270" s="2" t="s">
        <v>150</v>
      </c>
      <c r="C270" s="2"/>
      <c r="D270" s="2"/>
      <c r="E270" s="2"/>
      <c r="F270" s="2"/>
      <c r="G270" s="2"/>
      <c r="H270" s="2"/>
      <c r="I270" s="2"/>
      <c r="J270" s="2"/>
      <c r="K270" s="2"/>
      <c r="L270" s="2"/>
      <c r="M270" s="2"/>
      <c r="N270" s="2"/>
      <c r="O270" s="2"/>
      <c r="P270" s="2"/>
    </row>
    <row r="271" spans="1:16">
      <c r="A271" s="2"/>
      <c r="B271" s="2"/>
      <c r="C271" s="2"/>
      <c r="D271" s="2"/>
      <c r="E271" s="2"/>
      <c r="F271" s="2"/>
      <c r="G271" s="2"/>
      <c r="H271" s="2"/>
      <c r="I271" s="2"/>
      <c r="J271" s="2"/>
      <c r="K271" s="2"/>
      <c r="L271" s="2"/>
      <c r="M271" s="2"/>
      <c r="N271" s="2"/>
      <c r="O271" s="2"/>
      <c r="P271" s="2"/>
    </row>
    <row r="272" spans="1:16">
      <c r="A272" s="2"/>
      <c r="B272" s="2" t="s">
        <v>151</v>
      </c>
      <c r="C272" s="2"/>
      <c r="D272" s="2"/>
      <c r="E272" s="2"/>
      <c r="F272" s="2"/>
      <c r="G272" s="2"/>
      <c r="H272" s="2"/>
      <c r="I272" s="2"/>
      <c r="J272" s="2"/>
      <c r="K272" s="2"/>
      <c r="L272" s="2"/>
      <c r="M272" s="2"/>
      <c r="N272" s="2"/>
      <c r="O272" s="2"/>
      <c r="P272" s="2"/>
    </row>
    <row r="273" spans="1:16">
      <c r="A273" s="2"/>
      <c r="B273" s="2"/>
      <c r="C273" s="2" t="s">
        <v>152</v>
      </c>
      <c r="D273" s="2"/>
      <c r="E273" s="2"/>
      <c r="F273" s="2"/>
      <c r="G273" s="2"/>
      <c r="H273" s="2"/>
      <c r="I273" s="2"/>
      <c r="J273" s="2"/>
      <c r="K273" s="2"/>
      <c r="L273" s="2"/>
      <c r="M273" s="2"/>
      <c r="N273" s="2"/>
      <c r="O273" s="2"/>
      <c r="P273" s="2"/>
    </row>
    <row r="274" spans="1:16">
      <c r="A274" s="2"/>
      <c r="B274" s="2"/>
      <c r="C274" s="2" t="s">
        <v>153</v>
      </c>
      <c r="D274" s="2"/>
      <c r="E274" s="2"/>
      <c r="F274" s="2"/>
      <c r="G274" s="2"/>
      <c r="H274" s="2"/>
      <c r="I274" s="2"/>
      <c r="J274" s="2"/>
      <c r="K274" s="2"/>
      <c r="L274" s="2"/>
      <c r="M274" s="2"/>
      <c r="N274" s="2"/>
      <c r="O274" s="2"/>
      <c r="P274" s="2"/>
    </row>
    <row r="275" spans="1:16">
      <c r="A275" s="2"/>
      <c r="B275" s="2"/>
      <c r="C275" s="2"/>
      <c r="D275" s="2"/>
      <c r="E275" s="2"/>
      <c r="F275" s="2"/>
      <c r="G275" s="2"/>
      <c r="H275" s="2"/>
      <c r="I275" s="2"/>
      <c r="J275" s="2"/>
      <c r="K275" s="2"/>
      <c r="L275" s="2"/>
      <c r="M275" s="2"/>
      <c r="N275" s="2"/>
      <c r="O275" s="2"/>
      <c r="P275" s="2"/>
    </row>
    <row r="276" spans="1:16">
      <c r="A276" s="2"/>
      <c r="B276" s="2"/>
      <c r="C276" s="2"/>
      <c r="D276" s="2"/>
      <c r="E276" s="2"/>
      <c r="F276" s="2"/>
      <c r="G276" s="2"/>
      <c r="H276" s="2"/>
      <c r="I276" s="2"/>
      <c r="J276" s="2"/>
      <c r="K276" s="2"/>
      <c r="L276" s="2"/>
      <c r="M276" s="2"/>
      <c r="N276" s="2"/>
      <c r="O276" s="2"/>
      <c r="P276" s="2"/>
    </row>
    <row r="277" spans="1:16">
      <c r="A277" s="2"/>
      <c r="B277" s="115" t="s">
        <v>154</v>
      </c>
      <c r="C277" s="2"/>
      <c r="D277" s="2"/>
      <c r="E277" s="2"/>
      <c r="F277" s="2"/>
      <c r="G277" s="2"/>
      <c r="H277" s="2"/>
      <c r="I277" s="2"/>
      <c r="J277" s="2"/>
      <c r="K277" s="2"/>
      <c r="L277" s="2"/>
      <c r="M277" s="2"/>
      <c r="N277" s="2"/>
      <c r="O277" s="2"/>
      <c r="P277" s="2"/>
    </row>
    <row r="278" spans="1:16">
      <c r="A278" s="2"/>
      <c r="B278" s="3"/>
      <c r="C278" s="2"/>
      <c r="D278" s="2"/>
      <c r="E278" s="2"/>
      <c r="F278" s="2"/>
      <c r="G278" s="2"/>
      <c r="H278" s="2"/>
      <c r="I278" s="2"/>
      <c r="J278" s="2"/>
      <c r="K278" s="2"/>
      <c r="L278" s="2"/>
      <c r="M278" s="2"/>
      <c r="N278" s="2"/>
      <c r="O278" s="2"/>
      <c r="P278" s="2"/>
    </row>
    <row r="279" spans="1:16">
      <c r="A279" s="2"/>
      <c r="B279" s="811" t="s">
        <v>27</v>
      </c>
      <c r="C279" s="2"/>
      <c r="D279" s="2"/>
      <c r="E279" s="2"/>
      <c r="F279" s="2"/>
      <c r="G279" s="2"/>
      <c r="H279" s="2"/>
      <c r="I279" s="2"/>
      <c r="J279" s="2"/>
      <c r="K279" s="2"/>
      <c r="L279" s="2"/>
      <c r="M279" s="2"/>
      <c r="N279" s="2"/>
      <c r="O279" s="2"/>
      <c r="P279" s="2"/>
    </row>
    <row r="280" spans="1:16">
      <c r="A280" s="2"/>
      <c r="B280" s="4"/>
      <c r="C280" s="2"/>
      <c r="D280" s="2"/>
      <c r="E280" s="2"/>
      <c r="F280" s="2"/>
      <c r="G280" s="2"/>
      <c r="H280" s="2"/>
      <c r="I280" s="2"/>
      <c r="J280" s="2"/>
      <c r="K280" s="2"/>
      <c r="L280" s="2"/>
      <c r="M280" s="2"/>
      <c r="N280" s="2"/>
      <c r="O280" s="2"/>
      <c r="P280" s="2"/>
    </row>
    <row r="281" spans="1:16">
      <c r="A281" s="2"/>
      <c r="B281" s="5" t="s">
        <v>155</v>
      </c>
      <c r="C281" s="2"/>
      <c r="D281" s="2"/>
      <c r="E281" s="2"/>
      <c r="F281" s="2"/>
      <c r="G281" s="2"/>
      <c r="H281" s="2"/>
      <c r="I281" s="2"/>
      <c r="J281" s="2"/>
      <c r="K281" s="2"/>
      <c r="L281" s="2"/>
      <c r="M281" s="2"/>
      <c r="N281" s="2"/>
      <c r="O281" s="2"/>
      <c r="P281" s="2"/>
    </row>
    <row r="282" spans="1:16">
      <c r="A282" s="2"/>
      <c r="B282" s="2"/>
      <c r="C282" s="2" t="s">
        <v>156</v>
      </c>
      <c r="D282" s="2"/>
      <c r="E282" s="2"/>
      <c r="F282" s="2"/>
      <c r="G282" s="2"/>
      <c r="H282" s="2"/>
      <c r="I282" s="2"/>
      <c r="J282" s="2"/>
      <c r="K282" s="2"/>
      <c r="L282" s="2"/>
      <c r="M282" s="2"/>
      <c r="N282" s="2"/>
      <c r="O282" s="2"/>
      <c r="P282" s="2"/>
    </row>
    <row r="283" spans="1:16">
      <c r="A283" s="2"/>
      <c r="B283" s="2"/>
      <c r="C283" s="2" t="s">
        <v>157</v>
      </c>
      <c r="D283" s="2"/>
      <c r="E283" s="2"/>
      <c r="F283" s="2"/>
      <c r="G283" s="2"/>
      <c r="H283" s="2"/>
      <c r="I283" s="2"/>
      <c r="J283" s="2"/>
      <c r="K283" s="2"/>
      <c r="L283" s="2"/>
      <c r="M283" s="2"/>
      <c r="N283" s="2"/>
      <c r="O283" s="2"/>
      <c r="P283" s="2"/>
    </row>
    <row r="284" spans="1:16">
      <c r="A284" s="2"/>
      <c r="B284" s="2"/>
      <c r="C284" s="2" t="s">
        <v>158</v>
      </c>
      <c r="D284" s="2"/>
      <c r="E284" s="2"/>
      <c r="F284" s="2"/>
      <c r="G284" s="2"/>
      <c r="H284" s="2"/>
      <c r="I284" s="2"/>
      <c r="J284" s="2"/>
      <c r="K284" s="2"/>
      <c r="L284" s="2"/>
      <c r="M284" s="2"/>
      <c r="N284" s="2"/>
      <c r="O284" s="2"/>
      <c r="P284" s="2"/>
    </row>
    <row r="285" spans="1:16">
      <c r="A285" s="2"/>
      <c r="B285" s="2"/>
      <c r="C285" s="2"/>
      <c r="D285" s="2"/>
      <c r="E285" s="2"/>
      <c r="F285" s="2"/>
      <c r="G285" s="2"/>
      <c r="H285" s="2"/>
      <c r="I285" s="2"/>
      <c r="J285" s="2"/>
      <c r="K285" s="2"/>
      <c r="L285" s="2"/>
      <c r="M285" s="2"/>
      <c r="N285" s="2"/>
      <c r="O285" s="2"/>
      <c r="P285" s="2"/>
    </row>
    <row r="286" spans="1:16">
      <c r="A286" s="2"/>
      <c r="B286" s="5" t="s">
        <v>159</v>
      </c>
      <c r="C286" s="2"/>
      <c r="D286" s="2"/>
      <c r="E286" s="2"/>
      <c r="F286" s="2"/>
      <c r="G286" s="2"/>
      <c r="H286" s="2"/>
      <c r="I286" s="2"/>
      <c r="J286" s="2"/>
      <c r="K286" s="2"/>
      <c r="L286" s="2"/>
      <c r="M286" s="2"/>
      <c r="N286" s="2"/>
      <c r="O286" s="2"/>
      <c r="P286" s="2"/>
    </row>
    <row r="287" spans="1:16">
      <c r="A287" s="2"/>
      <c r="B287" s="2"/>
      <c r="C287" s="2"/>
      <c r="D287" s="2"/>
      <c r="E287" s="2"/>
      <c r="F287" s="2"/>
      <c r="G287" s="2"/>
      <c r="H287" s="2"/>
      <c r="I287" s="2"/>
      <c r="J287" s="2"/>
      <c r="K287" s="2"/>
      <c r="L287" s="2"/>
      <c r="M287" s="2"/>
      <c r="N287" s="2"/>
      <c r="O287" s="2"/>
      <c r="P287" s="2"/>
    </row>
    <row r="288" spans="1:16">
      <c r="A288" s="2"/>
      <c r="B288" s="2" t="s">
        <v>160</v>
      </c>
      <c r="C288" s="2"/>
      <c r="D288" s="2"/>
      <c r="E288" s="2"/>
      <c r="F288" s="2"/>
      <c r="G288" s="2"/>
      <c r="H288" s="2"/>
      <c r="I288" s="2"/>
      <c r="J288" s="2"/>
      <c r="K288" s="2"/>
      <c r="L288" s="2"/>
      <c r="M288" s="2"/>
      <c r="N288" s="2"/>
      <c r="O288" s="2"/>
      <c r="P288" s="2"/>
    </row>
    <row r="289" spans="1:16">
      <c r="A289" s="2"/>
      <c r="B289" s="5"/>
      <c r="C289" s="2" t="s">
        <v>161</v>
      </c>
      <c r="D289" s="2"/>
      <c r="E289" s="2"/>
      <c r="F289" s="2"/>
      <c r="G289" s="2"/>
      <c r="H289" s="2"/>
      <c r="I289" s="2"/>
      <c r="J289" s="2"/>
      <c r="K289" s="2"/>
      <c r="L289" s="2"/>
      <c r="M289" s="2"/>
      <c r="N289" s="2"/>
      <c r="O289" s="2"/>
      <c r="P289" s="2"/>
    </row>
    <row r="290" spans="1:16">
      <c r="A290" s="2"/>
      <c r="B290" s="2"/>
      <c r="C290" s="2" t="s">
        <v>162</v>
      </c>
      <c r="D290" s="2"/>
      <c r="E290" s="2"/>
      <c r="F290" s="2"/>
      <c r="G290" s="2"/>
      <c r="H290" s="2"/>
      <c r="I290" s="2"/>
      <c r="J290" s="2"/>
      <c r="K290" s="2"/>
      <c r="L290" s="2"/>
      <c r="M290" s="2"/>
      <c r="N290" s="2"/>
      <c r="O290" s="2"/>
      <c r="P290" s="2"/>
    </row>
    <row r="291" spans="1:16">
      <c r="A291" s="2"/>
      <c r="B291" s="2"/>
      <c r="C291" s="2"/>
      <c r="D291" s="2"/>
      <c r="E291" s="2"/>
      <c r="F291" s="2"/>
      <c r="G291" s="2"/>
      <c r="H291" s="2"/>
      <c r="I291" s="2"/>
      <c r="J291" s="2"/>
      <c r="K291" s="2"/>
      <c r="L291" s="2"/>
      <c r="M291" s="2"/>
      <c r="N291" s="2"/>
      <c r="O291" s="2"/>
      <c r="P291" s="2"/>
    </row>
    <row r="292" spans="1:16">
      <c r="A292" s="2"/>
      <c r="B292" s="2" t="s">
        <v>163</v>
      </c>
      <c r="C292" s="2"/>
      <c r="D292" s="2"/>
      <c r="E292" s="2"/>
      <c r="F292" s="2"/>
      <c r="G292" s="2"/>
      <c r="H292" s="2"/>
      <c r="I292" s="2"/>
      <c r="J292" s="2"/>
      <c r="K292" s="2"/>
      <c r="L292" s="2"/>
      <c r="M292" s="2"/>
      <c r="N292" s="2"/>
      <c r="O292" s="2"/>
      <c r="P292" s="2"/>
    </row>
    <row r="293" spans="1:16">
      <c r="A293" s="2"/>
      <c r="B293" s="2"/>
      <c r="C293" s="2" t="s">
        <v>164</v>
      </c>
      <c r="D293" s="2"/>
      <c r="E293" s="2"/>
      <c r="F293" s="2"/>
      <c r="G293" s="2"/>
      <c r="H293" s="2"/>
      <c r="I293" s="2"/>
      <c r="J293" s="2"/>
      <c r="K293" s="2"/>
      <c r="L293" s="2"/>
      <c r="M293" s="2"/>
      <c r="N293" s="2"/>
      <c r="O293" s="2"/>
      <c r="P293" s="2"/>
    </row>
    <row r="294" spans="1:16">
      <c r="A294" s="2"/>
      <c r="B294" s="2"/>
      <c r="C294" s="2" t="s">
        <v>165</v>
      </c>
      <c r="D294" s="2"/>
      <c r="E294" s="2"/>
      <c r="F294" s="2"/>
      <c r="G294" s="2"/>
      <c r="H294" s="2"/>
      <c r="I294" s="2"/>
      <c r="J294" s="2"/>
      <c r="K294" s="2"/>
      <c r="L294" s="2"/>
      <c r="M294" s="2"/>
      <c r="N294" s="2"/>
      <c r="O294" s="2"/>
      <c r="P294" s="2"/>
    </row>
    <row r="295" spans="1:16">
      <c r="A295" s="2"/>
      <c r="B295" s="2"/>
      <c r="C295" s="2"/>
      <c r="D295" s="2"/>
      <c r="E295" s="2"/>
      <c r="F295" s="2"/>
      <c r="G295" s="2"/>
      <c r="H295" s="2"/>
      <c r="I295" s="2"/>
      <c r="J295" s="2"/>
      <c r="K295" s="2"/>
      <c r="L295" s="2"/>
      <c r="M295" s="2"/>
      <c r="N295" s="2"/>
      <c r="O295" s="2"/>
      <c r="P295" s="2"/>
    </row>
    <row r="296" spans="1:16">
      <c r="A296" s="2"/>
      <c r="B296" s="2" t="s">
        <v>166</v>
      </c>
      <c r="C296" s="2"/>
      <c r="D296" s="2"/>
      <c r="E296" s="2"/>
      <c r="F296" s="2"/>
      <c r="G296" s="2"/>
      <c r="H296" s="2"/>
      <c r="I296" s="2"/>
      <c r="J296" s="2"/>
      <c r="K296" s="2"/>
      <c r="L296" s="2"/>
      <c r="M296" s="2"/>
      <c r="N296" s="2"/>
      <c r="O296" s="2"/>
      <c r="P296" s="2"/>
    </row>
    <row r="297" spans="1:16">
      <c r="A297" s="2"/>
      <c r="B297" s="2"/>
      <c r="C297" s="2" t="s">
        <v>167</v>
      </c>
      <c r="D297" s="2"/>
      <c r="E297" s="2"/>
      <c r="F297" s="2"/>
      <c r="G297" s="2"/>
      <c r="H297" s="2"/>
      <c r="I297" s="2"/>
      <c r="J297" s="2"/>
      <c r="K297" s="2"/>
      <c r="L297" s="2"/>
      <c r="M297" s="2"/>
      <c r="N297" s="2"/>
      <c r="O297" s="2"/>
      <c r="P297" s="2"/>
    </row>
    <row r="298" spans="1:16">
      <c r="A298" s="2"/>
      <c r="B298" s="2"/>
      <c r="C298" s="2" t="s">
        <v>168</v>
      </c>
      <c r="D298" s="2"/>
      <c r="E298" s="2"/>
      <c r="F298" s="2"/>
      <c r="G298" s="2"/>
      <c r="H298" s="2"/>
      <c r="I298" s="2"/>
      <c r="J298" s="2"/>
      <c r="K298" s="2"/>
      <c r="L298" s="2"/>
      <c r="M298" s="2"/>
      <c r="N298" s="2"/>
      <c r="O298" s="2"/>
      <c r="P298" s="2"/>
    </row>
    <row r="299" spans="1:16">
      <c r="A299" s="2"/>
      <c r="B299" s="2"/>
      <c r="C299" s="2" t="s">
        <v>169</v>
      </c>
      <c r="D299" s="2"/>
      <c r="E299" s="2"/>
      <c r="F299" s="2"/>
      <c r="G299" s="2"/>
      <c r="H299" s="2"/>
      <c r="I299" s="2"/>
      <c r="J299" s="2"/>
      <c r="K299" s="2"/>
      <c r="L299" s="2"/>
      <c r="M299" s="2"/>
      <c r="N299" s="2"/>
      <c r="O299" s="2"/>
      <c r="P299" s="2"/>
    </row>
    <row r="300" spans="1:16">
      <c r="A300" s="2"/>
      <c r="B300" s="2"/>
      <c r="C300" s="2"/>
      <c r="D300" s="2"/>
      <c r="E300" s="2"/>
      <c r="F300" s="2"/>
      <c r="G300" s="2"/>
      <c r="H300" s="2"/>
      <c r="I300" s="2"/>
      <c r="J300" s="2"/>
      <c r="K300" s="2"/>
      <c r="L300" s="2"/>
      <c r="M300" s="2"/>
      <c r="N300" s="2"/>
      <c r="O300" s="2"/>
      <c r="P300" s="2"/>
    </row>
    <row r="301" spans="1:16">
      <c r="A301" s="2"/>
      <c r="B301" s="2" t="s">
        <v>170</v>
      </c>
      <c r="C301" s="2"/>
      <c r="D301" s="2"/>
      <c r="E301" s="2"/>
      <c r="F301" s="2"/>
      <c r="G301" s="2"/>
      <c r="H301" s="2"/>
      <c r="I301" s="2"/>
      <c r="J301" s="2"/>
      <c r="K301" s="2"/>
      <c r="L301" s="2"/>
      <c r="M301" s="2"/>
      <c r="N301" s="2"/>
      <c r="O301" s="2"/>
      <c r="P301" s="2"/>
    </row>
    <row r="302" spans="1:16">
      <c r="A302" s="2"/>
      <c r="B302" s="2"/>
      <c r="C302" s="2"/>
      <c r="D302" s="2"/>
      <c r="E302" s="2"/>
      <c r="F302" s="2"/>
      <c r="G302" s="2"/>
      <c r="H302" s="2"/>
      <c r="I302" s="2"/>
      <c r="J302" s="2"/>
      <c r="K302" s="2"/>
      <c r="L302" s="2"/>
      <c r="M302" s="2"/>
      <c r="N302" s="2"/>
      <c r="O302" s="2"/>
      <c r="P302" s="2"/>
    </row>
    <row r="303" spans="1:16">
      <c r="A303" s="2"/>
      <c r="B303" s="2"/>
      <c r="C303" s="2"/>
      <c r="D303" s="2"/>
      <c r="E303" s="2"/>
      <c r="F303" s="2"/>
      <c r="G303" s="2"/>
      <c r="H303" s="2"/>
      <c r="I303" s="2"/>
      <c r="J303" s="2"/>
      <c r="K303" s="2"/>
      <c r="L303" s="2"/>
      <c r="M303" s="2"/>
      <c r="N303" s="2"/>
      <c r="O303" s="2"/>
      <c r="P303" s="2"/>
    </row>
    <row r="304" spans="1:16">
      <c r="A304" s="2"/>
      <c r="B304" s="810" t="s">
        <v>89</v>
      </c>
      <c r="C304" s="2"/>
      <c r="D304" s="2"/>
      <c r="E304" s="2"/>
      <c r="F304" s="2"/>
      <c r="G304" s="2"/>
      <c r="H304" s="2"/>
      <c r="I304" s="2"/>
      <c r="J304" s="2"/>
      <c r="K304" s="2"/>
      <c r="L304" s="2"/>
      <c r="M304" s="2"/>
      <c r="N304" s="2"/>
      <c r="O304" s="2"/>
      <c r="P304" s="2"/>
    </row>
    <row r="305" spans="1:16">
      <c r="A305" s="2"/>
      <c r="B305" s="7"/>
      <c r="C305" s="2"/>
      <c r="D305" s="2"/>
      <c r="E305" s="2"/>
      <c r="F305" s="2"/>
      <c r="G305" s="2"/>
      <c r="H305" s="2"/>
      <c r="I305" s="2"/>
      <c r="J305" s="2"/>
      <c r="K305" s="2"/>
      <c r="L305" s="2"/>
      <c r="M305" s="2"/>
      <c r="N305" s="2"/>
      <c r="O305" s="2"/>
      <c r="P305" s="2"/>
    </row>
    <row r="306" spans="1:16">
      <c r="A306" s="2"/>
      <c r="B306" s="2" t="s">
        <v>171</v>
      </c>
      <c r="C306" s="2"/>
      <c r="D306" s="2"/>
      <c r="E306" s="2"/>
      <c r="F306" s="2"/>
      <c r="G306" s="2"/>
      <c r="H306" s="2"/>
      <c r="I306" s="2"/>
      <c r="J306" s="2"/>
      <c r="K306" s="2"/>
      <c r="L306" s="2"/>
      <c r="M306" s="2"/>
      <c r="N306" s="2"/>
      <c r="O306" s="2"/>
      <c r="P306" s="2"/>
    </row>
    <row r="307" spans="1:16">
      <c r="A307" s="2"/>
      <c r="B307" s="2" t="s">
        <v>172</v>
      </c>
      <c r="C307" s="2"/>
      <c r="D307" s="2"/>
      <c r="E307" s="2"/>
      <c r="F307" s="2"/>
      <c r="G307" s="2"/>
      <c r="H307" s="2"/>
      <c r="I307" s="2"/>
      <c r="J307" s="2"/>
      <c r="K307" s="2"/>
      <c r="L307" s="2"/>
      <c r="M307" s="2"/>
      <c r="N307" s="2"/>
      <c r="O307" s="2"/>
      <c r="P307" s="2"/>
    </row>
    <row r="308" spans="1:16">
      <c r="A308" s="2"/>
      <c r="B308" s="2"/>
      <c r="C308" s="2"/>
      <c r="D308" s="2"/>
      <c r="E308" s="2"/>
      <c r="F308" s="2"/>
      <c r="G308" s="2"/>
      <c r="H308" s="2"/>
      <c r="I308" s="2"/>
      <c r="J308" s="2"/>
      <c r="K308" s="2"/>
      <c r="L308" s="2"/>
      <c r="M308" s="2"/>
      <c r="N308" s="2"/>
      <c r="O308" s="2"/>
      <c r="P308" s="2"/>
    </row>
    <row r="309" spans="1:16">
      <c r="A309" s="2"/>
      <c r="B309" s="2" t="s">
        <v>173</v>
      </c>
      <c r="C309" s="2"/>
      <c r="D309" s="2"/>
      <c r="E309" s="2"/>
      <c r="F309" s="2"/>
      <c r="G309" s="2"/>
      <c r="H309" s="2"/>
      <c r="I309" s="2"/>
      <c r="J309" s="2"/>
      <c r="K309" s="2"/>
      <c r="L309" s="2"/>
      <c r="M309" s="2"/>
      <c r="N309" s="2"/>
      <c r="O309" s="2"/>
      <c r="P309" s="2"/>
    </row>
    <row r="310" spans="1:16">
      <c r="A310" s="2"/>
      <c r="B310" s="2"/>
      <c r="C310" s="2"/>
      <c r="D310" s="2"/>
      <c r="E310" s="2"/>
      <c r="F310" s="2"/>
      <c r="G310" s="2"/>
      <c r="H310" s="2"/>
      <c r="I310" s="2"/>
      <c r="J310" s="2"/>
      <c r="K310" s="2"/>
      <c r="L310" s="2"/>
      <c r="M310" s="2"/>
      <c r="N310" s="2"/>
      <c r="O310" s="2"/>
      <c r="P310" s="2"/>
    </row>
    <row r="311" spans="1:16">
      <c r="A311" s="2"/>
      <c r="B311" s="2"/>
      <c r="C311" s="2"/>
      <c r="D311" s="2"/>
      <c r="E311" s="2"/>
      <c r="F311" s="2"/>
      <c r="G311" s="2"/>
      <c r="H311" s="2"/>
      <c r="I311" s="2"/>
      <c r="J311" s="2"/>
      <c r="K311" s="2"/>
      <c r="L311" s="2"/>
      <c r="M311" s="2"/>
      <c r="N311" s="2"/>
      <c r="O311" s="2"/>
      <c r="P311" s="2"/>
    </row>
    <row r="312" spans="1:16">
      <c r="A312" s="2"/>
      <c r="B312" s="810" t="s">
        <v>45</v>
      </c>
      <c r="C312" s="2"/>
      <c r="D312" s="2"/>
      <c r="E312" s="2"/>
      <c r="F312" s="2"/>
      <c r="G312" s="2"/>
      <c r="H312" s="2"/>
      <c r="I312" s="2"/>
      <c r="J312" s="2"/>
      <c r="K312" s="2"/>
      <c r="L312" s="2"/>
      <c r="M312" s="2"/>
      <c r="N312" s="2"/>
      <c r="O312" s="2"/>
      <c r="P312" s="2"/>
    </row>
    <row r="313" spans="1:16">
      <c r="A313" s="2"/>
      <c r="B313" s="7"/>
      <c r="C313" s="2"/>
      <c r="D313" s="2"/>
      <c r="E313" s="2"/>
      <c r="F313" s="2"/>
      <c r="G313" s="2"/>
      <c r="H313" s="2"/>
      <c r="I313" s="2"/>
      <c r="J313" s="2"/>
      <c r="K313" s="2"/>
      <c r="L313" s="2"/>
      <c r="M313" s="2"/>
      <c r="N313" s="2"/>
      <c r="O313" s="2"/>
      <c r="P313" s="2"/>
    </row>
    <row r="314" spans="1:16">
      <c r="A314" s="2"/>
      <c r="B314" s="2" t="s">
        <v>174</v>
      </c>
      <c r="C314" s="2"/>
      <c r="D314" s="2"/>
      <c r="E314" s="2"/>
      <c r="F314" s="2"/>
      <c r="G314" s="2"/>
      <c r="H314" s="2"/>
      <c r="I314" s="2"/>
      <c r="J314" s="2"/>
      <c r="K314" s="2"/>
      <c r="L314" s="2"/>
      <c r="M314" s="2"/>
      <c r="N314" s="2"/>
      <c r="O314" s="2"/>
      <c r="P314" s="2"/>
    </row>
    <row r="315" spans="1:16">
      <c r="A315" s="2"/>
      <c r="B315" s="2"/>
      <c r="C315" s="2"/>
      <c r="D315" s="2"/>
      <c r="E315" s="2"/>
      <c r="F315" s="2"/>
      <c r="G315" s="2"/>
      <c r="H315" s="2"/>
      <c r="I315" s="2"/>
      <c r="J315" s="2"/>
      <c r="K315" s="2"/>
      <c r="L315" s="2"/>
      <c r="M315" s="2"/>
      <c r="N315" s="2"/>
      <c r="O315" s="2"/>
      <c r="P315" s="2"/>
    </row>
    <row r="316" spans="1:16">
      <c r="A316" s="2"/>
      <c r="B316" s="2" t="s">
        <v>175</v>
      </c>
      <c r="C316" s="2"/>
      <c r="D316" s="2"/>
      <c r="E316" s="2"/>
      <c r="F316" s="2"/>
      <c r="G316" s="2"/>
      <c r="H316" s="2"/>
      <c r="I316" s="2"/>
      <c r="J316" s="2"/>
      <c r="K316" s="2"/>
      <c r="L316" s="2"/>
      <c r="M316" s="2"/>
      <c r="N316" s="2"/>
      <c r="O316" s="2"/>
      <c r="P316" s="2"/>
    </row>
    <row r="317" spans="1:16">
      <c r="A317" s="2"/>
      <c r="B317" s="7"/>
      <c r="C317" s="2"/>
      <c r="D317" s="2"/>
      <c r="E317" s="2"/>
      <c r="F317" s="2"/>
      <c r="G317" s="2"/>
      <c r="H317" s="2"/>
      <c r="I317" s="2"/>
      <c r="J317" s="2"/>
      <c r="K317" s="2"/>
      <c r="L317" s="2"/>
      <c r="M317" s="2"/>
      <c r="N317" s="2"/>
      <c r="O317" s="2"/>
      <c r="P317" s="2"/>
    </row>
    <row r="318" spans="1:16">
      <c r="A318" s="2"/>
      <c r="B318" s="2" t="s">
        <v>176</v>
      </c>
      <c r="C318" s="2"/>
      <c r="D318" s="2"/>
      <c r="E318" s="2"/>
      <c r="F318" s="2"/>
      <c r="G318" s="2"/>
      <c r="H318" s="2"/>
      <c r="I318" s="2"/>
      <c r="J318" s="2"/>
      <c r="K318" s="2"/>
      <c r="L318" s="2"/>
      <c r="M318" s="2"/>
      <c r="N318" s="2"/>
      <c r="O318" s="2"/>
      <c r="P318" s="2"/>
    </row>
    <row r="319" spans="1:16">
      <c r="A319" s="2"/>
      <c r="B319" s="2"/>
      <c r="C319" s="2"/>
      <c r="D319" s="2"/>
      <c r="E319" s="2"/>
      <c r="F319" s="2"/>
      <c r="G319" s="2"/>
      <c r="H319" s="2"/>
      <c r="I319" s="2"/>
      <c r="J319" s="2"/>
      <c r="K319" s="2"/>
      <c r="L319" s="2"/>
      <c r="M319" s="2"/>
      <c r="N319" s="2"/>
      <c r="O319" s="2"/>
      <c r="P319" s="2"/>
    </row>
    <row r="320" spans="1:16">
      <c r="A320" s="2"/>
      <c r="B320" s="2" t="s">
        <v>177</v>
      </c>
      <c r="C320" s="2"/>
      <c r="D320" s="2"/>
      <c r="E320" s="2"/>
      <c r="F320" s="2"/>
      <c r="G320" s="2"/>
      <c r="H320" s="2"/>
      <c r="I320" s="2"/>
      <c r="J320" s="2"/>
      <c r="K320" s="2"/>
      <c r="L320" s="2"/>
      <c r="M320" s="2"/>
      <c r="N320" s="2"/>
      <c r="O320" s="2"/>
      <c r="P320" s="2"/>
    </row>
    <row r="321" spans="1:16">
      <c r="A321" s="2"/>
      <c r="B321" s="2"/>
      <c r="C321" s="2"/>
      <c r="D321" s="2"/>
      <c r="E321" s="2"/>
      <c r="F321" s="2"/>
      <c r="G321" s="2"/>
      <c r="H321" s="2"/>
      <c r="I321" s="2"/>
      <c r="J321" s="2"/>
      <c r="K321" s="2"/>
      <c r="L321" s="2"/>
      <c r="M321" s="2"/>
      <c r="N321" s="2"/>
      <c r="O321" s="2"/>
      <c r="P321" s="2"/>
    </row>
    <row r="322" spans="1:16">
      <c r="A322" s="2"/>
      <c r="B322" s="2" t="s">
        <v>178</v>
      </c>
      <c r="C322" s="2"/>
      <c r="D322" s="2"/>
      <c r="E322" s="2"/>
      <c r="F322" s="2"/>
      <c r="G322" s="2"/>
      <c r="H322" s="2"/>
      <c r="I322" s="2"/>
      <c r="J322" s="2"/>
      <c r="K322" s="2"/>
      <c r="L322" s="2"/>
      <c r="M322" s="2"/>
      <c r="N322" s="2"/>
      <c r="O322" s="2"/>
      <c r="P322" s="2"/>
    </row>
    <row r="323" spans="1:16">
      <c r="A323" s="2"/>
      <c r="B323" s="2" t="s">
        <v>179</v>
      </c>
      <c r="C323" s="2"/>
      <c r="D323" s="2"/>
      <c r="E323" s="2"/>
      <c r="F323" s="2"/>
      <c r="G323" s="2"/>
      <c r="H323" s="2"/>
      <c r="I323" s="2"/>
      <c r="J323" s="2"/>
      <c r="K323" s="2"/>
      <c r="L323" s="2"/>
      <c r="M323" s="2"/>
      <c r="N323" s="2"/>
      <c r="O323" s="2"/>
      <c r="P323" s="2"/>
    </row>
    <row r="324" spans="1:16">
      <c r="A324" s="2"/>
      <c r="C324" s="2"/>
      <c r="D324" s="2"/>
      <c r="E324" s="2"/>
      <c r="F324" s="2"/>
      <c r="G324" s="2"/>
      <c r="H324" s="2"/>
      <c r="I324" s="2"/>
      <c r="J324" s="2"/>
      <c r="K324" s="2"/>
      <c r="L324" s="2"/>
      <c r="M324" s="2"/>
      <c r="N324" s="2"/>
      <c r="O324" s="2"/>
      <c r="P324" s="2"/>
    </row>
    <row r="325" spans="1:16">
      <c r="A325" s="2"/>
      <c r="B325" s="9"/>
      <c r="C325" s="2"/>
      <c r="D325" s="2"/>
      <c r="E325" s="2"/>
      <c r="F325" s="2"/>
      <c r="G325" s="2"/>
      <c r="H325" s="2"/>
      <c r="I325" s="2"/>
      <c r="J325" s="2"/>
      <c r="K325" s="2"/>
      <c r="L325" s="2"/>
      <c r="M325" s="2"/>
      <c r="N325" s="2"/>
      <c r="O325" s="2"/>
      <c r="P325" s="2"/>
    </row>
    <row r="326" spans="1:16">
      <c r="A326" s="2"/>
      <c r="C326" s="2"/>
      <c r="D326" s="2"/>
      <c r="E326" s="2"/>
      <c r="F326" s="2"/>
      <c r="G326" s="2"/>
      <c r="H326" s="2"/>
      <c r="I326" s="2"/>
      <c r="J326" s="2"/>
      <c r="K326" s="2"/>
      <c r="L326" s="2"/>
      <c r="M326" s="2"/>
      <c r="N326" s="2"/>
      <c r="O326" s="2"/>
      <c r="P326" s="2"/>
    </row>
    <row r="327" spans="1:16">
      <c r="A327" s="2"/>
      <c r="C327" s="2"/>
      <c r="D327" s="2"/>
      <c r="E327" s="2"/>
      <c r="F327" s="2"/>
      <c r="G327" s="2"/>
      <c r="H327" s="2"/>
      <c r="I327" s="2"/>
      <c r="J327" s="2"/>
      <c r="K327" s="2"/>
      <c r="L327" s="2"/>
      <c r="M327" s="2"/>
      <c r="N327" s="2"/>
      <c r="O327" s="2"/>
      <c r="P327" s="2"/>
    </row>
    <row r="328" spans="1:16">
      <c r="A328" s="2"/>
      <c r="B328" s="2"/>
      <c r="C328" s="2"/>
      <c r="D328" s="2"/>
      <c r="E328" s="2"/>
      <c r="F328" s="2"/>
      <c r="G328" s="2"/>
      <c r="H328" s="2"/>
      <c r="I328" s="2"/>
      <c r="J328" s="2"/>
      <c r="K328" s="2"/>
      <c r="L328" s="2"/>
      <c r="M328" s="2"/>
      <c r="N328" s="2"/>
      <c r="O328" s="2"/>
      <c r="P328" s="2"/>
    </row>
    <row r="329" spans="1:16">
      <c r="A329" s="2"/>
      <c r="C329" s="2"/>
      <c r="D329" s="2"/>
      <c r="E329" s="2"/>
      <c r="F329" s="2"/>
      <c r="G329" s="2"/>
      <c r="H329" s="2"/>
      <c r="I329" s="2"/>
      <c r="J329" s="2"/>
      <c r="K329" s="2"/>
      <c r="L329" s="2"/>
      <c r="M329" s="2"/>
      <c r="N329" s="2"/>
      <c r="O329" s="2"/>
      <c r="P329" s="2"/>
    </row>
  </sheetData>
  <mergeCells count="1">
    <mergeCell ref="B2:C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59999389629810485"/>
  </sheetPr>
  <dimension ref="B2:AA75"/>
  <sheetViews>
    <sheetView zoomScaleNormal="100" workbookViewId="0">
      <selection activeCell="B2" sqref="B2"/>
    </sheetView>
  </sheetViews>
  <sheetFormatPr defaultColWidth="11.5" defaultRowHeight="15.6"/>
  <cols>
    <col min="1" max="1" width="5" style="133" customWidth="1"/>
    <col min="2" max="2" width="19.5" style="133" customWidth="1"/>
    <col min="3" max="3" width="30" style="198" customWidth="1"/>
    <col min="4" max="4" width="33.5" style="198" bestFit="1" customWidth="1"/>
    <col min="5" max="5" width="11.5" style="198"/>
    <col min="6" max="16384" width="11.5" style="133"/>
  </cols>
  <sheetData>
    <row r="2" spans="2:8" ht="15.95" customHeight="1">
      <c r="B2" s="147" t="s">
        <v>3130</v>
      </c>
      <c r="H2" s="443" t="s">
        <v>3131</v>
      </c>
    </row>
    <row r="4" spans="2:8">
      <c r="B4" s="135" t="s">
        <v>3006</v>
      </c>
      <c r="C4" s="199" t="s">
        <v>3011</v>
      </c>
      <c r="D4" s="199" t="s">
        <v>3129</v>
      </c>
      <c r="E4" s="199" t="s">
        <v>3026</v>
      </c>
    </row>
    <row r="5" spans="2:8">
      <c r="B5" s="118" t="s">
        <v>840</v>
      </c>
      <c r="C5" s="198">
        <f>VLOOKUP(B5,'Country summary'!B:J,9,0)</f>
        <v>1.0967029147130423</v>
      </c>
      <c r="D5" s="198">
        <f>VLOOKUP(B5,'Refugee cost calculations'!B:E,4,0)</f>
        <v>0.50719978832174195</v>
      </c>
      <c r="E5" s="198">
        <f t="shared" ref="E5:E44" si="0">SUM(C5,D5)</f>
        <v>1.6039027030347843</v>
      </c>
    </row>
    <row r="6" spans="2:8">
      <c r="B6" s="118" t="s">
        <v>1894</v>
      </c>
      <c r="C6" s="198">
        <f>VLOOKUP(B6,'Country summary'!B:J,9,0)</f>
        <v>0.5046883315564662</v>
      </c>
      <c r="D6" s="198">
        <f>VLOOKUP(B6,'Refugee cost calculations'!B:E,4,0)</f>
        <v>1.0233633755752112</v>
      </c>
      <c r="E6" s="198">
        <f t="shared" si="0"/>
        <v>1.5280517071316773</v>
      </c>
    </row>
    <row r="7" spans="2:8">
      <c r="B7" s="118" t="s">
        <v>1516</v>
      </c>
      <c r="C7" s="198">
        <f>VLOOKUP(B7,'Country summary'!B:J,9,0)</f>
        <v>0.93334096809499167</v>
      </c>
      <c r="D7" s="198">
        <f>VLOOKUP(B7,'Refugee cost calculations'!B:E,4,0)</f>
        <v>0.50970301999684342</v>
      </c>
      <c r="E7" s="198">
        <f t="shared" si="0"/>
        <v>1.4430439880918351</v>
      </c>
    </row>
    <row r="8" spans="2:8">
      <c r="B8" s="118" t="s">
        <v>632</v>
      </c>
      <c r="C8" s="198">
        <f>VLOOKUP(B8,'Country summary'!B:J,9,0)</f>
        <v>0.23997920991472438</v>
      </c>
      <c r="D8" s="198">
        <f>VLOOKUP(B8,'Refugee cost calculations'!B:E,4,0)</f>
        <v>0.76029794734900213</v>
      </c>
      <c r="E8" s="198">
        <f t="shared" si="0"/>
        <v>1.0002771572637266</v>
      </c>
    </row>
    <row r="9" spans="2:8">
      <c r="B9" s="118" t="s">
        <v>1562</v>
      </c>
      <c r="C9" s="198">
        <f>VLOOKUP(B9,'Country summary'!B:J,9,0)</f>
        <v>0.46262413045723411</v>
      </c>
      <c r="D9" s="198">
        <f>VLOOKUP(B9,'Refugee cost calculations'!B:E,4,0)</f>
        <v>0.50163145463522707</v>
      </c>
      <c r="E9" s="198">
        <f t="shared" si="0"/>
        <v>0.96425558509246123</v>
      </c>
    </row>
    <row r="10" spans="2:8">
      <c r="B10" s="118" t="s">
        <v>428</v>
      </c>
      <c r="C10" s="198">
        <f>VLOOKUP(B10,'Country summary'!B:J,9,0)</f>
        <v>6.4508700761502875E-3</v>
      </c>
      <c r="D10" s="198">
        <f>VLOOKUP(B10,'Refugee cost calculations'!B:E,4,0)</f>
        <v>0.84231610054838424</v>
      </c>
      <c r="E10" s="198">
        <f t="shared" si="0"/>
        <v>0.84876697062453454</v>
      </c>
    </row>
    <row r="11" spans="2:8">
      <c r="B11" s="118" t="s">
        <v>2063</v>
      </c>
      <c r="C11" s="198">
        <f>VLOOKUP(B11,'Country summary'!B:J,9,0)</f>
        <v>0.20530514413645537</v>
      </c>
      <c r="D11" s="198">
        <f>VLOOKUP(B11,'Refugee cost calculations'!B:E,4,0)</f>
        <v>0.39035266613268704</v>
      </c>
      <c r="E11" s="198">
        <f t="shared" si="0"/>
        <v>0.59565781026914244</v>
      </c>
    </row>
    <row r="12" spans="2:8">
      <c r="B12" s="133" t="s">
        <v>1804</v>
      </c>
      <c r="C12" s="198">
        <f>VLOOKUP(B12,'Country summary'!B:J,9,0)</f>
        <v>0.33521922114706038</v>
      </c>
      <c r="D12" s="198">
        <f>VLOOKUP(B12,'Refugee cost calculations'!B:E,4,0)</f>
        <v>3.557648432954616E-2</v>
      </c>
      <c r="E12" s="198">
        <f t="shared" si="0"/>
        <v>0.37079570547660656</v>
      </c>
    </row>
    <row r="13" spans="2:8">
      <c r="B13" s="118" t="s">
        <v>618</v>
      </c>
      <c r="C13" s="198">
        <f>VLOOKUP(B13,'Country summary'!B:J,9,0)</f>
        <v>1.0192929245733395E-2</v>
      </c>
      <c r="D13" s="198">
        <f>VLOOKUP(B13,'Refugee cost calculations'!B:E,4,0)</f>
        <v>0.29823695538676254</v>
      </c>
      <c r="E13" s="198">
        <f t="shared" si="0"/>
        <v>0.30842988463249593</v>
      </c>
    </row>
    <row r="14" spans="2:8">
      <c r="B14" s="133" t="s">
        <v>2392</v>
      </c>
      <c r="C14" s="198">
        <f>VLOOKUP(B14,'Country summary'!B:J,9,0)</f>
        <v>0.25750387809853476</v>
      </c>
      <c r="D14" s="198">
        <f>VLOOKUP(B14,'Refugee cost calculations'!B:E,4,0)</f>
        <v>2.1264074812615504E-2</v>
      </c>
      <c r="E14" s="198">
        <f t="shared" si="0"/>
        <v>0.27876795291115025</v>
      </c>
    </row>
    <row r="15" spans="2:8">
      <c r="B15" s="118" t="s">
        <v>1136</v>
      </c>
      <c r="C15" s="198">
        <f>VLOOKUP(B15,'Country summary'!B:J,9,0)</f>
        <v>0.14205294706259788</v>
      </c>
      <c r="D15" s="198">
        <f>VLOOKUP(B15,'Refugee cost calculations'!B:E,4,0)</f>
        <v>0.10661804508387895</v>
      </c>
      <c r="E15" s="198">
        <f t="shared" si="0"/>
        <v>0.24867099214647684</v>
      </c>
    </row>
    <row r="16" spans="2:8">
      <c r="B16" s="118" t="s">
        <v>1957</v>
      </c>
      <c r="C16" s="198">
        <f>VLOOKUP(B16,'Country summary'!B:J,9,0)</f>
        <v>0.14700074113441991</v>
      </c>
      <c r="D16" s="198">
        <f>VLOOKUP(B16,'Refugee cost calculations'!B:E,4,0)</f>
        <v>9.2868285062943312E-2</v>
      </c>
      <c r="E16" s="198">
        <f t="shared" si="0"/>
        <v>0.23986902619736322</v>
      </c>
    </row>
    <row r="17" spans="2:5">
      <c r="B17" s="118" t="s">
        <v>452</v>
      </c>
      <c r="C17" s="198">
        <f>VLOOKUP(B17,'Country summary'!B:J,9,0)</f>
        <v>0.23075429771221459</v>
      </c>
      <c r="D17" s="198">
        <f>VLOOKUP(B17,'Refugee cost calculations'!B:E,4,0)</f>
        <v>0</v>
      </c>
      <c r="E17" s="198">
        <f t="shared" si="0"/>
        <v>0.23075429771221459</v>
      </c>
    </row>
    <row r="18" spans="2:5">
      <c r="B18" s="118" t="s">
        <v>2548</v>
      </c>
      <c r="C18" s="198">
        <f>VLOOKUP(B18,'Country summary'!B:J,9,0)</f>
        <v>0.22901986013478723</v>
      </c>
      <c r="D18" s="198">
        <f>VLOOKUP(B18,'Refugee cost calculations'!B:E,4,0)</f>
        <v>0</v>
      </c>
      <c r="E18" s="198">
        <f t="shared" si="0"/>
        <v>0.22901986013478723</v>
      </c>
    </row>
    <row r="19" spans="2:5">
      <c r="B19" s="118" t="s">
        <v>767</v>
      </c>
      <c r="C19" s="198">
        <f>VLOOKUP(B19,'Country summary'!B:J,9,0)</f>
        <v>0.18065743247726287</v>
      </c>
      <c r="D19" s="198">
        <f>VLOOKUP(B19,'Refugee cost calculations'!B:E,4,0)</f>
        <v>3.939207807397152E-2</v>
      </c>
      <c r="E19" s="198">
        <f t="shared" si="0"/>
        <v>0.2200495105512344</v>
      </c>
    </row>
    <row r="20" spans="2:5">
      <c r="B20" s="118" t="s">
        <v>312</v>
      </c>
      <c r="C20" s="198">
        <f>VLOOKUP(B20,'Country summary'!B:J,9,0)</f>
        <v>0.13436067454145792</v>
      </c>
      <c r="D20" s="198">
        <f>VLOOKUP(B20,'Refugee cost calculations'!B:E,4,0)</f>
        <v>8.2222159903763678E-2</v>
      </c>
      <c r="E20" s="198">
        <f t="shared" si="0"/>
        <v>0.21658283444522158</v>
      </c>
    </row>
    <row r="21" spans="2:5">
      <c r="B21" s="118" t="s">
        <v>2258</v>
      </c>
      <c r="C21" s="198">
        <f>VLOOKUP(B21,'Country summary'!B:J,9,0)</f>
        <v>0.14954186252553325</v>
      </c>
      <c r="D21" s="198">
        <f>VLOOKUP(B21,'Refugee cost calculations'!B:E,4,0)</f>
        <v>3.5866564147677749E-2</v>
      </c>
      <c r="E21" s="198">
        <f t="shared" si="0"/>
        <v>0.185408426673211</v>
      </c>
    </row>
    <row r="22" spans="2:5">
      <c r="B22" s="118" t="s">
        <v>917</v>
      </c>
      <c r="C22" s="198">
        <f>VLOOKUP(B22,'Country summary'!B:J,9,0)</f>
        <v>0.11375203300449048</v>
      </c>
      <c r="D22" s="198">
        <f>VLOOKUP(B22,'Refugee cost calculations'!B:E,4,0)</f>
        <v>6.5224284160048621E-2</v>
      </c>
      <c r="E22" s="198">
        <f t="shared" si="0"/>
        <v>0.1789763171645391</v>
      </c>
    </row>
    <row r="23" spans="2:5">
      <c r="B23" s="118" t="s">
        <v>2106</v>
      </c>
      <c r="C23" s="198">
        <f>VLOOKUP(B23,'Country summary'!B:J,9,0)</f>
        <v>0.11404669149459316</v>
      </c>
      <c r="D23" s="198">
        <f>VLOOKUP(B23,'Refugee cost calculations'!B:E,4,0)</f>
        <v>6.1674784082991735E-2</v>
      </c>
      <c r="E23" s="198">
        <f t="shared" si="0"/>
        <v>0.17572147557758488</v>
      </c>
    </row>
    <row r="24" spans="2:5">
      <c r="B24" s="118" t="s">
        <v>591</v>
      </c>
      <c r="C24" s="198">
        <f>VLOOKUP(B24,'Country summary'!B:J,9,0)</f>
        <v>4.0159050650474405E-2</v>
      </c>
      <c r="D24" s="198">
        <f>VLOOKUP(B24,'Refugee cost calculations'!B:E,4,0)</f>
        <v>0.13514076517321055</v>
      </c>
      <c r="E24" s="198">
        <f t="shared" si="0"/>
        <v>0.17529981582368495</v>
      </c>
    </row>
    <row r="25" spans="2:5">
      <c r="B25" s="118" t="s">
        <v>2034</v>
      </c>
      <c r="C25" s="198">
        <f>VLOOKUP(B25,'Country summary'!B:J,9,0)</f>
        <v>4.3756959503614265E-3</v>
      </c>
      <c r="D25" s="198">
        <f>VLOOKUP(B25,'Refugee cost calculations'!B:E,4,0)</f>
        <v>0.145811901185913</v>
      </c>
      <c r="E25" s="198">
        <f t="shared" si="0"/>
        <v>0.15018759713627441</v>
      </c>
    </row>
    <row r="26" spans="2:5">
      <c r="B26" s="118" t="s">
        <v>1294</v>
      </c>
      <c r="C26" s="198">
        <f>VLOOKUP(B26,'Country summary'!B:J,9,0)</f>
        <v>0.10158985634034336</v>
      </c>
      <c r="D26" s="198">
        <f>VLOOKUP(B26,'Refugee cost calculations'!B:E,4,0)</f>
        <v>4.2506883250580406E-2</v>
      </c>
      <c r="E26" s="198">
        <f t="shared" si="0"/>
        <v>0.14409673959092376</v>
      </c>
    </row>
    <row r="27" spans="2:5">
      <c r="B27" s="118" t="s">
        <v>1653</v>
      </c>
      <c r="C27" s="198">
        <f>VLOOKUP(B27,'Country summary'!B:J,9,0)</f>
        <v>0.10397102345871267</v>
      </c>
      <c r="D27" s="198">
        <f>VLOOKUP(B27,'Refugee cost calculations'!B:E,4,0)</f>
        <v>3.6969907078266473E-2</v>
      </c>
      <c r="E27" s="198">
        <f t="shared" si="0"/>
        <v>0.14094093053697915</v>
      </c>
    </row>
    <row r="28" spans="2:5">
      <c r="B28" s="118" t="s">
        <v>1687</v>
      </c>
      <c r="C28" s="198">
        <f>VLOOKUP(B28,'Country summary'!B:J,9,0)</f>
        <v>9.3033072212604734E-2</v>
      </c>
      <c r="D28" s="198">
        <f>VLOOKUP(B28,'Refugee cost calculations'!B:E,4,0)</f>
        <v>3.4809229017752505E-2</v>
      </c>
      <c r="E28" s="198">
        <f t="shared" si="0"/>
        <v>0.12784230123035722</v>
      </c>
    </row>
    <row r="29" spans="2:5">
      <c r="B29" s="118" t="s">
        <v>1335</v>
      </c>
      <c r="C29" s="198">
        <f>VLOOKUP(B29,'Country summary'!B:J,9,0)</f>
        <v>3.0070407552179063E-2</v>
      </c>
      <c r="D29" s="198">
        <f>VLOOKUP(B29,'Refugee cost calculations'!B:E,4,0)</f>
        <v>8.313785440634669E-2</v>
      </c>
      <c r="E29" s="198">
        <f t="shared" si="0"/>
        <v>0.11320826195852575</v>
      </c>
    </row>
    <row r="30" spans="2:5">
      <c r="B30" s="133" t="s">
        <v>2348</v>
      </c>
      <c r="C30" s="198">
        <f>VLOOKUP(B30,'Country summary'!B:J,9,0)</f>
        <v>8.9827208669556458E-3</v>
      </c>
      <c r="D30" s="198">
        <f>VLOOKUP(B30,'Refugee cost calculations'!B:E,4,0)</f>
        <v>8.0842572682431488E-2</v>
      </c>
      <c r="E30" s="198">
        <f t="shared" si="0"/>
        <v>8.9825293549387134E-2</v>
      </c>
    </row>
    <row r="31" spans="2:5">
      <c r="B31" s="118" t="s">
        <v>370</v>
      </c>
      <c r="C31" s="198">
        <f>VLOOKUP(B31,'Country summary'!B:J,9,0)</f>
        <v>4.1950526738628195E-2</v>
      </c>
      <c r="D31" s="198">
        <f>VLOOKUP(B31,'Refugee cost calculations'!B:E,4,0)</f>
        <v>4.7277797515887801E-2</v>
      </c>
      <c r="E31" s="198">
        <f t="shared" si="0"/>
        <v>8.9228324254515989E-2</v>
      </c>
    </row>
    <row r="32" spans="2:5">
      <c r="B32" s="118" t="s">
        <v>2162</v>
      </c>
      <c r="C32" s="198">
        <f>VLOOKUP(B32,'Country summary'!B:J,9,0)</f>
        <v>2.9919432960887813E-2</v>
      </c>
      <c r="D32" s="198">
        <f>VLOOKUP(B32,'Refugee cost calculations'!B:E,4,0)</f>
        <v>4.8698876484387678E-2</v>
      </c>
      <c r="E32" s="198">
        <f t="shared" si="0"/>
        <v>7.8618309445275494E-2</v>
      </c>
    </row>
    <row r="33" spans="2:27">
      <c r="B33" s="118" t="s">
        <v>1383</v>
      </c>
      <c r="C33" s="198">
        <f>VLOOKUP(B33,'Country summary'!B:J,9,0)</f>
        <v>1.6184366231576774E-2</v>
      </c>
      <c r="D33" s="198">
        <f>VLOOKUP(B33,'Refugee cost calculations'!B:E,4,0)</f>
        <v>6.0582899769658298E-2</v>
      </c>
      <c r="E33" s="198">
        <f t="shared" si="0"/>
        <v>7.6767266001235068E-2</v>
      </c>
    </row>
    <row r="34" spans="2:27">
      <c r="B34" s="118" t="s">
        <v>1012</v>
      </c>
      <c r="C34" s="198">
        <f>VLOOKUP(B34,'Country summary'!B:J,9,0)</f>
        <v>5.3951976768671459E-2</v>
      </c>
      <c r="D34" s="198">
        <f>VLOOKUP(B34,'Refugee cost calculations'!B:E,4,0)</f>
        <v>1.8159095783458829E-2</v>
      </c>
      <c r="E34" s="198">
        <f t="shared" si="0"/>
        <v>7.2111072552130284E-2</v>
      </c>
    </row>
    <row r="35" spans="2:27">
      <c r="B35" s="118" t="s">
        <v>1412</v>
      </c>
      <c r="C35" s="198">
        <f>VLOOKUP(B35,'Country summary'!B:J,9,0)</f>
        <v>3.5732197375888765E-2</v>
      </c>
      <c r="D35" s="198">
        <f>VLOOKUP(B35,'Refugee cost calculations'!B:E,4,0)</f>
        <v>3.5152024972141822E-2</v>
      </c>
      <c r="E35" s="198">
        <f t="shared" si="0"/>
        <v>7.0884222348030587E-2</v>
      </c>
    </row>
    <row r="36" spans="2:27">
      <c r="B36" s="133" t="s">
        <v>2329</v>
      </c>
      <c r="C36" s="198">
        <f>VLOOKUP(B36,'Country summary'!B:J,9,0)</f>
        <v>2.7047880607943921E-2</v>
      </c>
      <c r="D36" s="198">
        <f>VLOOKUP(B36,'Refugee cost calculations'!B:E,4,0)</f>
        <v>3.7142336173013268E-2</v>
      </c>
      <c r="E36" s="198">
        <f t="shared" si="0"/>
        <v>6.4190216780957182E-2</v>
      </c>
    </row>
    <row r="37" spans="2:27">
      <c r="B37" s="118" t="s">
        <v>1682</v>
      </c>
      <c r="C37" s="198">
        <f>VLOOKUP(B37,'Country summary'!B:J,9,0)</f>
        <v>7.8787127800330169E-3</v>
      </c>
      <c r="D37" s="198">
        <f>VLOOKUP(B37,'Refugee cost calculations'!B:E,4,0)</f>
        <v>4.2229900500976976E-2</v>
      </c>
      <c r="E37" s="198">
        <f t="shared" si="0"/>
        <v>5.0108613281009989E-2</v>
      </c>
    </row>
    <row r="38" spans="2:27">
      <c r="B38" s="133" t="s">
        <v>227</v>
      </c>
      <c r="C38" s="198">
        <f>VLOOKUP(B38,'Country summary'!B:J,9,0)</f>
        <v>2.4217270948509912E-2</v>
      </c>
      <c r="D38" s="198">
        <f>VLOOKUP(B38,'Refugee cost calculations'!B:E,4,0)</f>
        <v>0</v>
      </c>
      <c r="E38" s="198">
        <f t="shared" si="0"/>
        <v>2.4217270948509912E-2</v>
      </c>
    </row>
    <row r="39" spans="2:27">
      <c r="B39" s="118" t="s">
        <v>1471</v>
      </c>
      <c r="C39" s="198">
        <f>VLOOKUP(B39,'Country summary'!B:J,9,0)</f>
        <v>1.2022557911696131E-2</v>
      </c>
      <c r="D39" s="198">
        <f>VLOOKUP(B39,'Refugee cost calculations'!B:E,4,0)</f>
        <v>0</v>
      </c>
      <c r="E39" s="198">
        <f t="shared" si="0"/>
        <v>1.2022557911696131E-2</v>
      </c>
    </row>
    <row r="40" spans="2:27">
      <c r="B40" s="133" t="s">
        <v>2368</v>
      </c>
      <c r="C40" s="198">
        <f>VLOOKUP(B40,'Country summary'!B:J,9,0)</f>
        <v>1.1189738764522157E-2</v>
      </c>
      <c r="D40" s="198">
        <f>VLOOKUP(B40,'Refugee cost calculations'!B:E,4,0)</f>
        <v>0</v>
      </c>
      <c r="E40" s="198">
        <f t="shared" si="0"/>
        <v>1.1189738764522157E-2</v>
      </c>
      <c r="AA40" s="33"/>
    </row>
    <row r="41" spans="2:27">
      <c r="B41" s="133" t="s">
        <v>1766</v>
      </c>
      <c r="C41" s="198">
        <f>VLOOKUP(B41,'Country summary'!B:J,9,0)</f>
        <v>8.1168574033848011E-3</v>
      </c>
      <c r="D41" s="198">
        <f>VLOOKUP(B41,'Refugee cost calculations'!B:E,4,0)</f>
        <v>0</v>
      </c>
      <c r="E41" s="198">
        <f t="shared" si="0"/>
        <v>8.1168574033848011E-3</v>
      </c>
    </row>
    <row r="42" spans="2:27">
      <c r="B42" s="133" t="s">
        <v>2002</v>
      </c>
      <c r="C42" s="198">
        <f>VLOOKUP(B42,'Country summary'!B:J,9,0)</f>
        <v>5.7866928920865075E-3</v>
      </c>
      <c r="D42" s="198">
        <f>VLOOKUP(B42,'Refugee cost calculations'!B:E,4,0)</f>
        <v>0</v>
      </c>
      <c r="E42" s="198">
        <f t="shared" si="0"/>
        <v>5.7866928920865075E-3</v>
      </c>
    </row>
    <row r="43" spans="2:27" ht="15.75" customHeight="1">
      <c r="B43" s="133" t="s">
        <v>1369</v>
      </c>
      <c r="C43" s="198">
        <f>VLOOKUP(B43,'Country summary'!B:J,9,0)</f>
        <v>7.3198138435895518E-5</v>
      </c>
      <c r="D43" s="198">
        <f>VLOOKUP(B43,'Refugee cost calculations'!B:E,4,0)</f>
        <v>0</v>
      </c>
      <c r="E43" s="198">
        <f t="shared" si="0"/>
        <v>7.3198138435895518E-5</v>
      </c>
      <c r="F43" s="200"/>
      <c r="G43" s="200"/>
      <c r="H43" s="200"/>
      <c r="I43" s="201"/>
      <c r="J43" s="201"/>
      <c r="K43" s="201"/>
      <c r="L43" s="201"/>
      <c r="M43" s="201"/>
      <c r="N43" s="201"/>
      <c r="O43" s="201"/>
      <c r="P43" s="201"/>
    </row>
    <row r="44" spans="2:27" ht="15" customHeight="1">
      <c r="B44" s="137" t="s">
        <v>583</v>
      </c>
      <c r="C44" s="202">
        <f>VLOOKUP(B44,'Country summary'!B:J,9,0)</f>
        <v>1.4136367605363934E-5</v>
      </c>
      <c r="D44" s="202">
        <f>VLOOKUP(B44,'Refugee cost calculations'!B:E,4,0)</f>
        <v>0</v>
      </c>
      <c r="E44" s="324">
        <f t="shared" si="0"/>
        <v>1.4136367605363934E-5</v>
      </c>
      <c r="F44" s="200"/>
      <c r="G44" s="200"/>
      <c r="H44" s="200"/>
      <c r="I44" s="201"/>
      <c r="J44" s="201"/>
      <c r="K44" s="201"/>
      <c r="L44" s="201"/>
      <c r="M44" s="201"/>
      <c r="N44" s="201"/>
      <c r="O44" s="201"/>
      <c r="P44" s="201"/>
    </row>
    <row r="45" spans="2:27" ht="15" customHeight="1">
      <c r="C45" s="204"/>
      <c r="D45" s="204"/>
      <c r="E45" s="203"/>
      <c r="F45" s="200"/>
      <c r="G45" s="200"/>
      <c r="H45" s="200"/>
      <c r="I45" s="201"/>
      <c r="J45" s="201"/>
      <c r="K45" s="201"/>
      <c r="L45" s="201"/>
      <c r="M45" s="201"/>
      <c r="N45" s="201"/>
      <c r="O45" s="201"/>
      <c r="P45" s="201"/>
    </row>
    <row r="46" spans="2:27" ht="15" customHeight="1">
      <c r="C46" s="205"/>
      <c r="D46" s="205"/>
      <c r="E46" s="203"/>
      <c r="F46" s="200"/>
      <c r="G46" s="200"/>
      <c r="H46" s="200"/>
      <c r="I46" s="201"/>
      <c r="J46" s="201"/>
      <c r="K46" s="201"/>
      <c r="L46" s="201"/>
      <c r="M46" s="201"/>
      <c r="N46" s="201"/>
      <c r="O46" s="201"/>
      <c r="P46" s="201"/>
    </row>
    <row r="47" spans="2:27" ht="15" customHeight="1">
      <c r="C47" s="205"/>
      <c r="D47" s="205"/>
      <c r="E47" s="203"/>
      <c r="F47" s="200"/>
      <c r="G47" s="200"/>
      <c r="H47" s="200"/>
      <c r="I47" s="201"/>
      <c r="J47" s="201"/>
      <c r="K47" s="201"/>
      <c r="L47" s="201"/>
      <c r="M47" s="201"/>
      <c r="N47" s="201"/>
      <c r="O47" s="201"/>
      <c r="P47" s="201"/>
    </row>
    <row r="48" spans="2:27" ht="15" customHeight="1">
      <c r="C48" s="205"/>
      <c r="D48" s="205"/>
      <c r="E48" s="203"/>
      <c r="F48" s="200"/>
      <c r="G48" s="200"/>
      <c r="H48" s="200"/>
      <c r="I48" s="201"/>
      <c r="J48" s="201"/>
      <c r="K48" s="201"/>
      <c r="L48" s="201"/>
      <c r="M48" s="201"/>
      <c r="N48" s="201"/>
      <c r="O48" s="201"/>
      <c r="P48" s="201"/>
    </row>
    <row r="49" spans="3:16" ht="15" customHeight="1">
      <c r="C49" s="205"/>
      <c r="D49" s="205"/>
      <c r="E49" s="203"/>
      <c r="F49" s="200"/>
      <c r="G49" s="200"/>
      <c r="H49" s="200"/>
      <c r="I49" s="201"/>
      <c r="J49" s="201"/>
      <c r="K49" s="201"/>
      <c r="L49" s="201"/>
      <c r="M49" s="201"/>
      <c r="N49" s="201"/>
      <c r="O49" s="201"/>
      <c r="P49" s="201"/>
    </row>
    <row r="50" spans="3:16">
      <c r="C50" s="205"/>
      <c r="D50" s="205"/>
    </row>
    <row r="51" spans="3:16">
      <c r="C51" s="206"/>
      <c r="D51" s="206"/>
    </row>
    <row r="52" spans="3:16">
      <c r="C52" s="206"/>
      <c r="D52" s="206"/>
    </row>
    <row r="53" spans="3:16">
      <c r="C53" s="206"/>
      <c r="D53" s="206"/>
    </row>
    <row r="54" spans="3:16">
      <c r="C54" s="206"/>
      <c r="D54" s="206"/>
    </row>
    <row r="55" spans="3:16">
      <c r="C55" s="206"/>
      <c r="D55" s="206"/>
    </row>
    <row r="56" spans="3:16">
      <c r="C56" s="206"/>
      <c r="D56" s="206"/>
    </row>
    <row r="57" spans="3:16">
      <c r="C57" s="206"/>
      <c r="D57" s="206"/>
    </row>
    <row r="58" spans="3:16">
      <c r="C58" s="206"/>
      <c r="D58" s="206"/>
    </row>
    <row r="59" spans="3:16">
      <c r="C59" s="206"/>
      <c r="D59" s="206"/>
    </row>
    <row r="60" spans="3:16">
      <c r="C60" s="206"/>
      <c r="D60" s="206"/>
    </row>
    <row r="61" spans="3:16">
      <c r="C61" s="206"/>
      <c r="D61" s="206"/>
    </row>
    <row r="62" spans="3:16">
      <c r="C62" s="206"/>
      <c r="D62" s="206"/>
    </row>
    <row r="63" spans="3:16">
      <c r="C63" s="206"/>
      <c r="D63" s="206"/>
    </row>
    <row r="64" spans="3:16">
      <c r="C64" s="206"/>
      <c r="D64" s="206"/>
    </row>
    <row r="65" spans="3:4">
      <c r="C65" s="206"/>
      <c r="D65" s="206"/>
    </row>
    <row r="66" spans="3:4">
      <c r="C66" s="206"/>
      <c r="D66" s="206"/>
    </row>
    <row r="67" spans="3:4">
      <c r="C67" s="206"/>
      <c r="D67" s="206"/>
    </row>
    <row r="68" spans="3:4">
      <c r="C68" s="206"/>
      <c r="D68" s="206"/>
    </row>
    <row r="69" spans="3:4">
      <c r="C69" s="206"/>
      <c r="D69" s="206"/>
    </row>
    <row r="70" spans="3:4">
      <c r="C70" s="206"/>
      <c r="D70" s="206"/>
    </row>
    <row r="71" spans="3:4">
      <c r="C71" s="206"/>
      <c r="D71" s="206"/>
    </row>
    <row r="72" spans="3:4">
      <c r="C72" s="206"/>
      <c r="D72" s="206"/>
    </row>
    <row r="73" spans="3:4">
      <c r="C73" s="206"/>
      <c r="D73" s="206"/>
    </row>
    <row r="74" spans="3:4">
      <c r="C74" s="206"/>
      <c r="D74" s="206"/>
    </row>
    <row r="75" spans="3:4">
      <c r="C75" s="206"/>
      <c r="D75" s="206"/>
    </row>
  </sheetData>
  <autoFilter ref="B4:E4" xr:uid="{00000000-0009-0000-0000-000011000000}">
    <sortState xmlns:xlrd2="http://schemas.microsoft.com/office/spreadsheetml/2017/richdata2" ref="B5:E44">
      <sortCondition descending="1" ref="E4"/>
    </sortState>
  </autoFilter>
  <sortState xmlns:xlrd2="http://schemas.microsoft.com/office/spreadsheetml/2017/richdata2" ref="B5:E44">
    <sortCondition descending="1" ref="E5"/>
  </sortState>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sheetPr>
  <dimension ref="B1:X14"/>
  <sheetViews>
    <sheetView zoomScaleNormal="100" workbookViewId="0">
      <selection activeCell="B2" sqref="B2"/>
    </sheetView>
  </sheetViews>
  <sheetFormatPr defaultColWidth="8.5" defaultRowHeight="15.6"/>
  <cols>
    <col min="1" max="3" width="8.5" style="8"/>
    <col min="4" max="17" width="6.5" style="8" customWidth="1"/>
    <col min="18" max="16384" width="8.5" style="8"/>
  </cols>
  <sheetData>
    <row r="1" spans="2:24" s="414" customFormat="1">
      <c r="C1" s="415"/>
      <c r="D1" s="415"/>
      <c r="E1" s="415"/>
    </row>
    <row r="2" spans="2:24" s="414" customFormat="1" ht="15.95" customHeight="1">
      <c r="B2" s="147" t="s">
        <v>3132</v>
      </c>
      <c r="C2" s="415"/>
      <c r="D2" s="415"/>
      <c r="E2" s="415"/>
      <c r="X2" s="444" t="s">
        <v>3133</v>
      </c>
    </row>
    <row r="4" spans="2:24">
      <c r="B4" s="364" t="s">
        <v>3006</v>
      </c>
      <c r="C4" s="364"/>
      <c r="D4" s="364" t="str" cm="1">
        <f t="array" ref="D4">INDEX(_xlfn._xlws.FILTER(_xlfn.SORTBY('Share, heavy weapons to Ukraine'!A2:A39,'Share, heavy weapons to Ukraine'!L2:L39,-1),_xlfn.SORTBY('Share, heavy weapons to Ukraine'!C2:C39,'Share, heavy weapons to Ukraine'!L2:L39,-1)=1),1)</f>
        <v>Greece</v>
      </c>
      <c r="E4" s="364" t="str" cm="1">
        <f t="array" ref="E4">INDEX(_xlfn._xlws.FILTER(_xlfn.SORTBY('Share, heavy weapons to Ukraine'!A2:A39,'Share, heavy weapons to Ukraine'!L2:L39,-1),_xlfn.SORTBY('Share, heavy weapons to Ukraine'!C2:C39,'Share, heavy weapons to Ukraine'!L2:L39,-1)=1),2)</f>
        <v>Romania</v>
      </c>
      <c r="F4" s="364" t="str" cm="1">
        <f t="array" ref="F4">INDEX(_xlfn._xlws.FILTER(_xlfn.SORTBY('Share, heavy weapons to Ukraine'!A2:A39,'Share, heavy weapons to Ukraine'!L2:L39,-1),_xlfn.SORTBY('Share, heavy weapons to Ukraine'!C2:C39,'Share, heavy weapons to Ukraine'!L2:L39,-1)=1),3)</f>
        <v>Italy</v>
      </c>
      <c r="G4" s="364" t="str" cm="1">
        <f t="array" ref="G4">INDEX(_xlfn._xlws.FILTER(_xlfn.SORTBY('Share, heavy weapons to Ukraine'!A2:A39,'Share, heavy weapons to Ukraine'!AJ2:AJ39,-1),_xlfn.SORTBY('Share, heavy weapons to Ukraine'!C2:C39,'Share, heavy weapons to Ukraine'!AJ2:AJ39,-1)=1),1)</f>
        <v>Italy</v>
      </c>
      <c r="H4" s="364" t="str" cm="1">
        <f t="array" ref="H4">INDEX(_xlfn._xlws.FILTER(_xlfn.SORTBY('Share, heavy weapons to Ukraine'!A2:A39,'Share, heavy weapons to Ukraine'!AJ2:AJ39,-1),_xlfn.SORTBY('Share, heavy weapons to Ukraine'!C2:C39,'Share, heavy weapons to Ukraine'!AJ2:AJ39,-1)=1),2)</f>
        <v>France</v>
      </c>
      <c r="I4" s="364" t="str" cm="1">
        <f t="array" ref="I4">INDEX(_xlfn._xlws.FILTER(_xlfn.SORTBY('Share, heavy weapons to Ukraine'!A2:A39,'Share, heavy weapons to Ukraine'!AJ2:AJ39,-1),_xlfn.SORTBY('Share, heavy weapons to Ukraine'!C2:C39,'Share, heavy weapons to Ukraine'!AJ2:AJ39,-1)=1),3)</f>
        <v>Germany</v>
      </c>
      <c r="J4" s="364" t="str" cm="1">
        <f t="array" ref="J4">INDEX(_xlfn._xlws.FILTER(_xlfn.SORTBY('Share, heavy weapons to Ukraine'!A2:A39,'Share, heavy weapons to Ukraine'!AD2:AD39,-1),_xlfn.SORTBY('Share, heavy weapons to Ukraine'!C2:C39,'Share, heavy weapons to Ukraine'!AD2:AD39,-1)=1),2)</f>
        <v>Czech Republic</v>
      </c>
      <c r="K4" s="364" t="str" cm="1">
        <f t="array" ref="K4">INDEX(_xlfn._xlws.FILTER(_xlfn.SORTBY('Share, heavy weapons to Ukraine'!A2:A39,'Share, heavy weapons to Ukraine'!AD2:AD39,-1),_xlfn.SORTBY('Share, heavy weapons to Ukraine'!C2:C39,'Share, heavy weapons to Ukraine'!AD2:AD39,-1)=1),3)</f>
        <v>Slovenia</v>
      </c>
      <c r="L4" s="364" t="s">
        <v>3134</v>
      </c>
      <c r="M4" s="364" t="str" cm="1">
        <f t="array" ref="M4">INDEX(_xlfn._xlws.FILTER(_xlfn.SORTBY('Share, heavy weapons to Ukraine'!A2:A39,'Share, heavy weapons to Ukraine'!L2:L39,-1),_xlfn.SORTBY('Share, heavy weapons to Ukraine'!B2:B39,'Share, heavy weapons to Ukraine'!L2:L39,-1)=1),1)</f>
        <v>United States</v>
      </c>
      <c r="N4" s="364" t="str" cm="1">
        <f t="array" ref="N4">INDEX(_xlfn._xlws.FILTER(_xlfn.SORTBY('Share, heavy weapons to Ukraine'!A2:A39,'Share, heavy weapons to Ukraine'!L2:L39,-1),_xlfn.SORTBY('Share, heavy weapons to Ukraine'!B2:B39,'Share, heavy weapons to Ukraine'!L2:L39,-1)=1),2)</f>
        <v>Turkey</v>
      </c>
      <c r="O4" s="364" t="str" cm="1">
        <f t="array" ref="O4">INDEX(_xlfn._xlws.FILTER(_xlfn.SORTBY('Share, heavy weapons to Ukraine'!A2:A39,'Share, heavy weapons to Ukraine'!L2:L39,-1),_xlfn.SORTBY('Share, heavy weapons to Ukraine'!B2:B39,'Share, heavy weapons to Ukraine'!L2:L39,-1)=1),3)</f>
        <v>United Kingdom</v>
      </c>
      <c r="P4" s="364" t="str" cm="1">
        <f t="array" ref="P4">INDEX(_xlfn._xlws.FILTER(_xlfn.SORTBY('Share, heavy weapons to Ukraine'!A2:A39,'Share, heavy weapons to Ukraine'!AJ2:AJ39,-1),_xlfn.SORTBY('Share, heavy weapons to Ukraine'!B2:B39,'Share, heavy weapons to Ukraine'!AJ2:AJ39,-1)=1),3)</f>
        <v>Norway</v>
      </c>
      <c r="Q4" s="364" t="s">
        <v>3135</v>
      </c>
      <c r="R4" s="404"/>
      <c r="S4" s="405" t="s">
        <v>197</v>
      </c>
      <c r="T4" s="364" t="s">
        <v>3136</v>
      </c>
    </row>
    <row r="5" spans="2:24">
      <c r="B5" s="896" t="s">
        <v>3137</v>
      </c>
      <c r="C5" s="8" t="s">
        <v>3138</v>
      </c>
      <c r="M5" s="8" cm="1">
        <f t="array" ref="M5">INDEX(_xlfn._xlws.FILTER(_xlfn.SORTBY('Share, heavy weapons to Ukraine'!F2:F39,'Share, heavy weapons to Ukraine'!F2:F39,-1),_xlfn.SORTBY('Share, heavy weapons to Ukraine'!B2:B39,'Share, heavy weapons to Ukraine'!F2:F39,-1)=1),1)</f>
        <v>6095</v>
      </c>
      <c r="N5" s="8" cm="1">
        <f t="array" ref="N5">INDEX(_xlfn._xlws.FILTER(_xlfn.SORTBY('Share, heavy weapons to Ukraine'!F2:F39,'Share, heavy weapons to Ukraine'!F2:F39,-1),_xlfn.SORTBY('Share, heavy weapons to Ukraine'!B2:B39,'Share, heavy weapons to Ukraine'!F2:F39,-1)=1),2)</f>
        <v>5023</v>
      </c>
      <c r="O5" s="8" cm="1">
        <f t="array" ref="O5">INDEX(_xlfn._xlws.FILTER(_xlfn.SORTBY('Share, heavy weapons to Ukraine'!F2:F39,'Share, heavy weapons to Ukraine'!F2:F39,-1),_xlfn.SORTBY('Share, heavy weapons to Ukraine'!B2:B39,'Share, heavy weapons to Ukraine'!F2:F39,-1)=1),3)</f>
        <v>227</v>
      </c>
      <c r="Q5" s="8">
        <f>'Share, heavy weapons to Ukraine'!F41-SUM(M5:O5)</f>
        <v>186</v>
      </c>
      <c r="S5" s="8">
        <f t="shared" ref="S5:S13" si="0">SUM(D5:Q5)</f>
        <v>11531</v>
      </c>
    </row>
    <row r="6" spans="2:24">
      <c r="B6" s="897"/>
      <c r="C6" s="8" t="s">
        <v>3139</v>
      </c>
      <c r="D6" s="8" cm="1">
        <f t="array" ref="D6">INDEX(_xlfn._xlws.FILTER(_xlfn.SORTBY('Share, heavy weapons to Ukraine'!F2:F39,'Share, heavy weapons to Ukraine'!F2:F39,-1),_xlfn.SORTBY('Share, heavy weapons to Ukraine'!C2:C39,'Share, heavy weapons to Ukraine'!F2:F39,-1)=1),1)</f>
        <v>1228</v>
      </c>
      <c r="E6" s="8" cm="1">
        <f t="array" ref="E6">INDEX(_xlfn._xlws.FILTER(_xlfn.SORTBY('Share, heavy weapons to Ukraine'!F2:F39,'Share, heavy weapons to Ukraine'!F2:F39,-1),_xlfn.SORTBY('Share, heavy weapons to Ukraine'!C2:C39,'Share, heavy weapons to Ukraine'!F2:F39,-1)=1),4)</f>
        <v>377</v>
      </c>
      <c r="G6" s="8" cm="1">
        <f t="array" ref="G6">INDEX(_xlfn._xlws.FILTER(_xlfn.SORTBY('Share, heavy weapons to Ukraine'!F2:F39,'Share, heavy weapons to Ukraine'!F2:F39,-1),_xlfn.SORTBY('Share, heavy weapons to Ukraine'!C2:C39,'Share, heavy weapons to Ukraine'!F2:F39,-1)=1),3)</f>
        <v>467</v>
      </c>
      <c r="H6" s="8" cm="1">
        <f t="array" ref="H6">INDEX(_xlfn._xlws.FILTER(_xlfn.SORTBY('Share, heavy weapons to Ukraine'!F2:F39,'Share, heavy weapons to Ukraine'!F2:F39,-1),_xlfn.SORTBY('Share, heavy weapons to Ukraine'!C2:C39,'Share, heavy weapons to Ukraine'!F2:F39,-1)=1),2)</f>
        <v>797</v>
      </c>
      <c r="I6" s="8" cm="1">
        <f t="array" ref="I6">INDEX(_xlfn._xlws.FILTER(_xlfn.SORTBY('Share, heavy weapons to Ukraine'!F2:F39,'Share, heavy weapons to Ukraine'!F2:F39,-1),_xlfn.SORTBY('Share, heavy weapons to Ukraine'!C2:C39,'Share, heavy weapons to Ukraine'!F2:F39,-1)=1),5)</f>
        <v>339</v>
      </c>
      <c r="L6" s="8" cm="1">
        <f t="array" ref="L6">SUM(_xlfn._xlws.FILTER(_xlfn.SORTBY('Share, heavy weapons to Ukraine'!F2:F39,'Share, heavy weapons to Ukraine'!F2:F39,-1),_xlfn.SORTBY('Share, heavy weapons to Ukraine'!C2:C39,'Share, heavy weapons to Ukraine'!F2:F39,-1)=1))-SUM(D6:K6)</f>
        <v>1509</v>
      </c>
      <c r="S6" s="8">
        <f t="shared" si="0"/>
        <v>4717</v>
      </c>
    </row>
    <row r="7" spans="2:24">
      <c r="B7" s="898"/>
      <c r="C7" s="362" t="s">
        <v>3140</v>
      </c>
      <c r="D7" s="362"/>
      <c r="E7" s="362"/>
      <c r="F7" s="362"/>
      <c r="G7" s="362"/>
      <c r="H7" s="362" cm="1">
        <f t="array" ref="H7">INDEX(_xlfn._xlws.FILTER(_xlfn.SORTBY('Share, heavy weapons to Ukraine'!AD2:AD39,'Share, heavy weapons to Ukraine'!AD2:AD39,-1),_xlfn.SORTBY('Share, heavy weapons to Ukraine'!C2:C39,'Share, heavy weapons to Ukraine'!AD2:AD39,-1)=1),1)</f>
        <v>240</v>
      </c>
      <c r="I7" s="362"/>
      <c r="J7" s="362" cm="1">
        <f t="array" ref="J7">INDEX(_xlfn._xlws.FILTER(_xlfn.SORTBY('Share, heavy weapons to Ukraine'!AD2:AD39,'Share, heavy weapons to Ukraine'!AD2:AD39,-1),_xlfn.SORTBY('Share, heavy weapons to Ukraine'!C2:C39,'Share, heavy weapons to Ukraine'!AD2:AD39,-1)=1),2)</f>
        <v>130</v>
      </c>
      <c r="K7" s="362" cm="1">
        <f t="array" ref="K7">INDEX(_xlfn._xlws.FILTER(_xlfn.SORTBY('Share, heavy weapons to Ukraine'!AD2:AD39,'Share, heavy weapons to Ukraine'!AD2:AD39,-1),_xlfn.SORTBY('Share, heavy weapons to Ukraine'!C2:C39,'Share, heavy weapons to Ukraine'!AD2:AD39,-1)=1),3)</f>
        <v>28</v>
      </c>
      <c r="L7" s="362"/>
      <c r="M7" s="362" cm="1">
        <f t="array" ref="M7">INDEX(_xlfn._xlws.FILTER(_xlfn.SORTBY('Share, heavy weapons to Ukraine'!AD2:AD39,'Share, heavy weapons to Ukraine'!AD2:AD39,-1),_xlfn.SORTBY('Share, heavy weapons to Ukraine'!B2:B39,'Share, heavy weapons to Ukraine'!AD2:AD39,-1)=1),1)</f>
        <v>45</v>
      </c>
      <c r="N7" s="362" cm="1">
        <f t="array" ref="N7">INDEX(_xlfn._xlws.FILTER(_xlfn.SORTBY('Share, heavy weapons to Ukraine'!AD2:AD39,'Share, heavy weapons to Ukraine'!AD2:AD39,-1),_xlfn.SORTBY('Share, heavy weapons to Ukraine'!B2:B39,'Share, heavy weapons to Ukraine'!AD2:AD39,-1)=1),2)</f>
        <v>0</v>
      </c>
      <c r="O7" s="362" cm="1">
        <f t="array" ref="O7">INDEX(_xlfn._xlws.FILTER(_xlfn.SORTBY('Share, heavy weapons to Ukraine'!AD2:AD39,'Share, heavy weapons to Ukraine'!AD2:AD39,-1),_xlfn.SORTBY('Share, heavy weapons to Ukraine'!B2:B39,'Share, heavy weapons to Ukraine'!AD2:AD39,-1)=1),3)</f>
        <v>0</v>
      </c>
      <c r="P7" s="362"/>
      <c r="Q7" s="362">
        <v>0</v>
      </c>
      <c r="R7" s="362"/>
      <c r="S7" s="362">
        <f t="shared" si="0"/>
        <v>443</v>
      </c>
      <c r="T7" s="417">
        <f>S7/SUM(S5:S6)</f>
        <v>2.7264894140817331E-2</v>
      </c>
    </row>
    <row r="8" spans="2:24">
      <c r="B8" s="899" t="s">
        <v>3141</v>
      </c>
      <c r="C8" s="8" t="s">
        <v>3138</v>
      </c>
      <c r="M8" s="8" cm="1">
        <f t="array" ref="M8">INDEX(_xlfn._xlws.FILTER(_xlfn.SORTBY('Share, heavy weapons to Ukraine'!L2:L39,'Share, heavy weapons to Ukraine'!L2:L39,-1),_xlfn.SORTBY('Share, heavy weapons to Ukraine'!B2:B39,'Share, heavy weapons to Ukraine'!L2:L39,-1)=1),1)</f>
        <v>2538</v>
      </c>
      <c r="N8" s="8" cm="1">
        <f t="array" ref="N8">INDEX(_xlfn._xlws.FILTER(_xlfn.SORTBY('Share, heavy weapons to Ukraine'!L2:L39,'Share, heavy weapons to Ukraine'!L2:L39,-1),_xlfn.SORTBY('Share, heavy weapons to Ukraine'!B2:B39,'Share, heavy weapons to Ukraine'!L2:L39,-1)=1),2)</f>
        <v>1385</v>
      </c>
      <c r="O8" s="8" cm="1">
        <f t="array" ref="O8">INDEX(_xlfn._xlws.FILTER(_xlfn.SORTBY('Share, heavy weapons to Ukraine'!L2:L39,'Share, heavy weapons to Ukraine'!L2:L39,-1),_xlfn.SORTBY('Share, heavy weapons to Ukraine'!B2:B39,'Share, heavy weapons to Ukraine'!L2:L39,-1)=1),3)</f>
        <v>109</v>
      </c>
      <c r="Q8" s="8" cm="1">
        <f t="array" ref="Q8">SUM(_xlfn._xlws.FILTER(_xlfn.SORTBY('Share, heavy weapons to Ukraine'!L2:L39,'Share, heavy weapons to Ukraine'!L2:L39,-1),_xlfn.SORTBY('Share, heavy weapons to Ukraine'!B2:B39,'Share, heavy weapons to Ukraine'!L2:L39,-1)=1))-SUM(M8:O8)</f>
        <v>90</v>
      </c>
      <c r="S8" s="8">
        <f t="shared" si="0"/>
        <v>4122</v>
      </c>
    </row>
    <row r="9" spans="2:24">
      <c r="B9" s="900"/>
      <c r="C9" s="8" t="s">
        <v>3139</v>
      </c>
      <c r="D9" s="8" cm="1">
        <f t="array" ref="D9">INDEX(_xlfn._xlws.FILTER(_xlfn.SORTBY('Share, heavy weapons to Ukraine'!L2:L39,'Share, heavy weapons to Ukraine'!L2:L39,-1),_xlfn.SORTBY('Share, heavy weapons to Ukraine'!C2:C39,'Share, heavy weapons to Ukraine'!L2:L39,-1)=1),1)</f>
        <v>672</v>
      </c>
      <c r="E9" s="8" cm="1">
        <f t="array" ref="E9">INDEX(_xlfn._xlws.FILTER(_xlfn.SORTBY('Share, heavy weapons to Ukraine'!L2:L39,'Share, heavy weapons to Ukraine'!L2:L39,-1),_xlfn.SORTBY('Share, heavy weapons to Ukraine'!C2:C39,'Share, heavy weapons to Ukraine'!L2:L39,-1)=1),2)</f>
        <v>351</v>
      </c>
      <c r="F9" s="8" cm="1">
        <f t="array" ref="F9">INDEX(_xlfn._xlws.FILTER(_xlfn.SORTBY('Share, heavy weapons to Ukraine'!L2:L39,'Share, heavy weapons to Ukraine'!L2:L39,-1),_xlfn.SORTBY('Share, heavy weapons to Ukraine'!C2:C39,'Share, heavy weapons to Ukraine'!L2:L39,-1)=1),3)</f>
        <v>233</v>
      </c>
      <c r="H9" s="8" cm="1">
        <f t="array" ref="H9">INDEX(_xlfn._xlws.FILTER(_xlfn.SORTBY('Share, heavy weapons to Ukraine'!L2:L39,'Share, heavy weapons to Ukraine'!L2:L39,-1),_xlfn.SORTBY('Share, heavy weapons to Ukraine'!C2:C39,'Share, heavy weapons to Ukraine'!L2:L39,-1)=1),4)</f>
        <v>183</v>
      </c>
      <c r="L9" s="8" cm="1">
        <f t="array" ref="L9">SUM(_xlfn._xlws.FILTER(_xlfn.SORTBY('Share, heavy weapons to Ukraine'!L2:L39,'Share, heavy weapons to Ukraine'!L2:L39,-1),_xlfn.SORTBY('Share, heavy weapons to Ukraine'!C2:C39,'Share, heavy weapons to Ukraine'!L2:L39,-1)=1))-SUM(D9:J9)</f>
        <v>1031</v>
      </c>
      <c r="S9" s="8">
        <f t="shared" si="0"/>
        <v>2470</v>
      </c>
    </row>
    <row r="10" spans="2:24">
      <c r="B10" s="901"/>
      <c r="C10" s="362" t="s">
        <v>3140</v>
      </c>
      <c r="D10" s="362"/>
      <c r="E10" s="362"/>
      <c r="F10" s="362"/>
      <c r="G10" s="362" cm="1">
        <f t="array" ref="G10">INDEX(_xlfn._xlws.FILTER(_xlfn.SORTBY('Share, heavy weapons to Ukraine'!AJ2:AJ39,'Share, heavy weapons to Ukraine'!AJ2:AJ39,-1),_xlfn.SORTBY('Share, heavy weapons to Ukraine'!C2:C39,'Share, heavy weapons to Ukraine'!AJ2:AJ39,-1)=1),1)</f>
        <v>36</v>
      </c>
      <c r="H10" s="362" cm="1">
        <f t="array" ref="H10">INDEX(_xlfn._xlws.FILTER(_xlfn.SORTBY('Share, heavy weapons to Ukraine'!AJ2:AJ39,'Share, heavy weapons to Ukraine'!AJ2:AJ39,-1),_xlfn.SORTBY('Share, heavy weapons to Ukraine'!C2:C39,'Share, heavy weapons to Ukraine'!AJ2:AJ39,-1)=1),2)</f>
        <v>24</v>
      </c>
      <c r="I10" s="362" cm="1">
        <f t="array" ref="I10">INDEX(_xlfn._xlws.FILTER(_xlfn.SORTBY('Share, heavy weapons to Ukraine'!AJ2:AJ39,'Share, heavy weapons to Ukraine'!AJ2:AJ39,-1),_xlfn.SORTBY('Share, heavy weapons to Ukraine'!C2:C39,'Share, heavy weapons to Ukraine'!AJ2:AJ39,-1)=1),3)</f>
        <v>19</v>
      </c>
      <c r="J10" s="362"/>
      <c r="K10" s="362"/>
      <c r="L10" s="362">
        <f>SUM('Share, heavy weapons to Ukraine'!AJ2:AJ39)-SUM(M10:P10)-SUM(F10:I10)</f>
        <v>52</v>
      </c>
      <c r="M10" s="362" cm="1">
        <f t="array" ref="M10">INDEX(_xlfn._xlws.FILTER(_xlfn.SORTBY('Share, heavy weapons to Ukraine'!AJ2:AJ39,'Share, heavy weapons to Ukraine'!AJ2:AJ39,-1),_xlfn.SORTBY('Share, heavy weapons to Ukraine'!B2:B39,'Share, heavy weapons to Ukraine'!AJ2:AJ39,-1)=1),1)</f>
        <v>126</v>
      </c>
      <c r="N10" s="362"/>
      <c r="O10" s="362" cm="1">
        <f t="array" ref="O10">INDEX(_xlfn._xlws.FILTER(_xlfn.SORTBY('Share, heavy weapons to Ukraine'!AJ2:AJ39,'Share, heavy weapons to Ukraine'!AJ2:AJ39,-1),_xlfn.SORTBY('Share, heavy weapons to Ukraine'!B2:B39,'Share, heavy weapons to Ukraine'!AJ2:AJ39,-1)=1),2)</f>
        <v>28</v>
      </c>
      <c r="P10" s="362" cm="1">
        <f t="array" ref="P10">INDEX(_xlfn._xlws.FILTER(_xlfn.SORTBY('Share, heavy weapons to Ukraine'!AJ2:AJ39,'Share, heavy weapons to Ukraine'!AJ2:AJ39,-1),_xlfn.SORTBY('Share, heavy weapons to Ukraine'!B2:B39,'Share, heavy weapons to Ukraine'!AJ2:AJ39,-1)=1),3)</f>
        <v>27</v>
      </c>
      <c r="Q10" s="362">
        <v>0</v>
      </c>
      <c r="R10" s="362"/>
      <c r="S10" s="362">
        <f t="shared" si="0"/>
        <v>312</v>
      </c>
      <c r="T10" s="417">
        <f>S10/SUM(S8:S9)</f>
        <v>4.7330097087378641E-2</v>
      </c>
    </row>
    <row r="11" spans="2:24">
      <c r="B11" s="896" t="s">
        <v>3142</v>
      </c>
      <c r="C11" s="8" t="s">
        <v>3138</v>
      </c>
      <c r="M11" s="8" cm="1">
        <f t="array" ref="M11">INDEX(_xlfn._xlws.FILTER(_xlfn.SORTBY('Share, heavy weapons to Ukraine'!M2:M39,'Share, heavy weapons to Ukraine'!M2:M39,-1),_xlfn.SORTBY('Share, heavy weapons to Ukraine'!B2:B39,'Share, heavy weapons to Ukraine'!M2:M39,-1)=1),1)</f>
        <v>635</v>
      </c>
      <c r="N11" s="8" cm="1">
        <f t="array" ref="N11">INDEX(_xlfn._xlws.FILTER(_xlfn.SORTBY('Share, heavy weapons to Ukraine'!M2:M39,'Share, heavy weapons to Ukraine'!M2:M39,-1),_xlfn.SORTBY('Share, heavy weapons to Ukraine'!B2:B39,'Share, heavy weapons to Ukraine'!M2:M39,-1)=1),2)</f>
        <v>146</v>
      </c>
      <c r="O11" s="8" cm="1">
        <f t="array" ref="O11">INDEX(_xlfn._xlws.FILTER(_xlfn.SORTBY('Share, heavy weapons to Ukraine'!M2:M39,'Share, heavy weapons to Ukraine'!M2:M39,-1),_xlfn.SORTBY('Share, heavy weapons to Ukraine'!B2:B39,'Share, heavy weapons to Ukraine'!M2:M39,-1)=1),3)</f>
        <v>35</v>
      </c>
      <c r="P11" s="8">
        <v>0</v>
      </c>
      <c r="Q11" s="8" cm="1">
        <f t="array" ref="Q11">SUM(_xlfn._xlws.FILTER(_xlfn.SORTBY('Share, heavy weapons to Ukraine'!M2:M39,'Share, heavy weapons to Ukraine'!M2:M39,-1),_xlfn.SORTBY('Share, heavy weapons to Ukraine'!B2:B39,'Share, heavy weapons to Ukraine'!M2:M39,-1)=1))-SUM(M11:O11)</f>
        <v>12</v>
      </c>
      <c r="S11" s="8">
        <f t="shared" si="0"/>
        <v>828</v>
      </c>
    </row>
    <row r="12" spans="2:24">
      <c r="B12" s="897"/>
      <c r="C12" s="8" t="s">
        <v>3139</v>
      </c>
      <c r="D12" s="8" cm="1">
        <f t="array" ref="D12">INDEX(_xlfn._xlws.FILTER(_xlfn.SORTBY('Share, heavy weapons to Ukraine'!M2:M39,'Share, heavy weapons to Ukraine'!M2:M39,-1),_xlfn.SORTBY('Share, heavy weapons to Ukraine'!C2:C39,'Share, heavy weapons to Ukraine'!M2:M39,-1)=1),3)</f>
        <v>145</v>
      </c>
      <c r="E12" s="8" cm="1">
        <f t="array" ref="E12">INDEX(_xlfn._xlws.FILTER(_xlfn.SORTBY('Share, heavy weapons to Ukraine'!M2:M39,'Share, heavy weapons to Ukraine'!M2:M39,-1),_xlfn.SORTBY('Share, heavy weapons to Ukraine'!C2:C39,'Share, heavy weapons to Ukraine'!M2:M39,-1)=1),1)</f>
        <v>188</v>
      </c>
      <c r="H12" s="8" cm="1">
        <f t="array" ref="H12">INDEX(_xlfn._xlws.FILTER(_xlfn.SORTBY('Share, heavy weapons to Ukraine'!M2:M39,'Share, heavy weapons to Ukraine'!M2:M39,-1),_xlfn.SORTBY('Share, heavy weapons to Ukraine'!C2:C39,'Share, heavy weapons to Ukraine'!M2:M39,-1)=1),2)</f>
        <v>179</v>
      </c>
      <c r="S12" s="8">
        <f t="shared" si="0"/>
        <v>512</v>
      </c>
    </row>
    <row r="13" spans="2:24">
      <c r="B13" s="898"/>
      <c r="C13" s="362" t="s">
        <v>3140</v>
      </c>
      <c r="D13" s="362"/>
      <c r="E13" s="362"/>
      <c r="F13" s="362"/>
      <c r="G13" s="362"/>
      <c r="H13" s="362"/>
      <c r="I13" s="362" cm="1">
        <f t="array" ref="I13">INDEX(_xlfn._xlws.FILTER(_xlfn.SORTBY('Share, heavy weapons to Ukraine'!AK2:AK39,'Share, heavy weapons to Ukraine'!AK2:AK39,-1),_xlfn.SORTBY('Share, heavy weapons to Ukraine'!C2:C39,'Share, heavy weapons to Ukraine'!AK2:AK39,-1)=1),2)</f>
        <v>5</v>
      </c>
      <c r="J13" s="362"/>
      <c r="K13" s="362" cm="1">
        <f t="array" ref="K13">INDEX(_xlfn._xlws.FILTER(_xlfn.SORTBY('Share, heavy weapons to Ukraine'!AK2:AK39,'Share, heavy weapons to Ukraine'!AK2:AK39,-1),_xlfn.SORTBY('Share, heavy weapons to Ukraine'!C2:C39,'Share, heavy weapons to Ukraine'!AK2:AK39,-1)=1),1)</f>
        <v>20</v>
      </c>
      <c r="L13" s="363">
        <f>SUM('Share, heavy weapons to Ukraine'!AK2:AK39)-SUM(M13:P13)-SUM(F13:K13)</f>
        <v>4</v>
      </c>
      <c r="M13" s="362" cm="1">
        <f t="array" ref="M13">INDEX(_xlfn._xlws.FILTER(_xlfn.SORTBY('Share, heavy weapons to Ukraine'!AK2:AK39,'Share, heavy weapons to Ukraine'!AK2:AK39,-1),_xlfn.SORTBY('Share, heavy weapons to Ukraine'!B2:B39,'Share, heavy weapons to Ukraine'!AK2:AK39,-1)=1),1)</f>
        <v>38</v>
      </c>
      <c r="N13" s="362" cm="1">
        <f t="array" ref="N13">INDEX(_xlfn._xlws.FILTER(_xlfn.SORTBY('Share, heavy weapons to Ukraine'!AK2:AK39,'Share, heavy weapons to Ukraine'!AK2:AK39,-1),_xlfn.SORTBY('Share, heavy weapons to Ukraine'!B2:B39,'Share, heavy weapons to Ukraine'!AK2:AK39,-1)=1),2)</f>
        <v>6</v>
      </c>
      <c r="O13" s="362" cm="1">
        <f t="array" ref="O13">INDEX(_xlfn._xlws.FILTER(_xlfn.SORTBY('Share, heavy weapons to Ukraine'!AK2:AK39,'Share, heavy weapons to Ukraine'!AK2:AK39,-1),_xlfn.SORTBY('Share, heavy weapons to Ukraine'!B2:B39,'Share, heavy weapons to Ukraine'!AK2:AK39,-1)=1),3)</f>
        <v>3</v>
      </c>
      <c r="P13" s="362"/>
      <c r="Q13" s="362"/>
      <c r="R13" s="362"/>
      <c r="S13" s="362">
        <f t="shared" si="0"/>
        <v>76</v>
      </c>
      <c r="T13" s="417">
        <f>S13/SUM(S11:S12)</f>
        <v>5.6716417910447764E-2</v>
      </c>
    </row>
    <row r="14" spans="2:24">
      <c r="B14" s="364" t="s">
        <v>3143</v>
      </c>
      <c r="C14" s="364"/>
      <c r="D14" s="416" t="s">
        <v>3144</v>
      </c>
      <c r="E14" s="416" t="s">
        <v>3145</v>
      </c>
      <c r="F14" s="416" t="s">
        <v>3146</v>
      </c>
      <c r="G14" s="416" t="s">
        <v>3147</v>
      </c>
      <c r="H14" s="416" t="s">
        <v>3148</v>
      </c>
      <c r="I14" s="416" t="s">
        <v>3149</v>
      </c>
      <c r="J14" s="416" t="s">
        <v>3150</v>
      </c>
      <c r="K14" s="416" t="s">
        <v>3151</v>
      </c>
      <c r="L14" s="416" t="s">
        <v>3152</v>
      </c>
      <c r="M14" s="416" t="s">
        <v>3153</v>
      </c>
      <c r="N14" s="416" t="s">
        <v>3154</v>
      </c>
      <c r="O14" s="416" t="s">
        <v>3155</v>
      </c>
      <c r="P14" s="416" t="s">
        <v>3156</v>
      </c>
      <c r="Q14" s="364"/>
      <c r="R14" s="364"/>
      <c r="S14" s="364"/>
      <c r="T14" s="404"/>
    </row>
  </sheetData>
  <mergeCells count="3">
    <mergeCell ref="B5:B7"/>
    <mergeCell ref="B8:B10"/>
    <mergeCell ref="B11:B13"/>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sheetPr>
  <dimension ref="B1:S37"/>
  <sheetViews>
    <sheetView zoomScaleNormal="100" workbookViewId="0">
      <selection activeCell="B2" sqref="B2"/>
    </sheetView>
  </sheetViews>
  <sheetFormatPr defaultColWidth="8.5" defaultRowHeight="15.75" customHeight="1"/>
  <cols>
    <col min="1" max="16384" width="8.5" style="8"/>
  </cols>
  <sheetData>
    <row r="1" spans="2:19" s="133" customFormat="1" ht="15.6">
      <c r="C1" s="198"/>
      <c r="D1" s="198"/>
      <c r="E1" s="198"/>
      <c r="F1" s="198"/>
      <c r="G1" s="198"/>
    </row>
    <row r="2" spans="2:19" s="133" customFormat="1" ht="15.95" customHeight="1">
      <c r="B2" s="147" t="s">
        <v>3157</v>
      </c>
      <c r="C2" s="198"/>
      <c r="D2" s="198"/>
      <c r="E2" s="198"/>
      <c r="F2" s="198"/>
      <c r="G2" s="198"/>
      <c r="S2" s="443" t="s">
        <v>3158</v>
      </c>
    </row>
    <row r="4" spans="2:19" ht="15.6">
      <c r="B4" s="364" t="s">
        <v>3006</v>
      </c>
      <c r="C4" s="364" t="s">
        <v>3159</v>
      </c>
      <c r="D4" s="364" t="s">
        <v>3160</v>
      </c>
      <c r="E4" s="364" t="s">
        <v>3161</v>
      </c>
      <c r="F4" s="364" t="s">
        <v>3162</v>
      </c>
      <c r="G4" s="364" t="s">
        <v>3163</v>
      </c>
      <c r="H4" s="364" t="s">
        <v>3164</v>
      </c>
      <c r="I4" s="364" t="s">
        <v>3165</v>
      </c>
      <c r="J4" s="364" t="s">
        <v>3166</v>
      </c>
      <c r="K4" s="364" t="s">
        <v>3167</v>
      </c>
      <c r="L4" s="364" t="s">
        <v>3168</v>
      </c>
      <c r="M4" s="364" t="s">
        <v>3169</v>
      </c>
      <c r="N4" s="364" t="s">
        <v>3170</v>
      </c>
      <c r="O4" s="364" t="s">
        <v>3171</v>
      </c>
      <c r="P4" s="364" t="s">
        <v>3139</v>
      </c>
      <c r="Q4" s="364" t="s">
        <v>3172</v>
      </c>
    </row>
    <row r="5" spans="2:19" ht="15.6">
      <c r="B5" s="8" t="s">
        <v>632</v>
      </c>
      <c r="C5" s="8">
        <f>(VLOOKUP(B5,'Share, heavy weapons to Ukraine'!A:CC,COLUMN('Share, heavy weapons to Ukraine'!$BF$1),FALSE)+VLOOKUP(B5,'Share, heavy weapons to Ukraine'!A:CC,COLUMN('Share, heavy weapons to Ukraine'!$BK$1),FALSE)+VLOOKUP(B5,'Share, heavy weapons to Ukraine'!A:CC,COLUMN('Share, heavy weapons to Ukraine'!$BL$1),FALSE)+VLOOKUP(B5,'Share, heavy weapons to Ukraine'!A:CC,COLUMN('Share, heavy weapons to Ukraine'!$BM$1),FALSE))/4</f>
        <v>0.35879220109096266</v>
      </c>
      <c r="D5" s="8">
        <f>(VLOOKUP(B5,'Share, heavy weapons to Ukraine'!A:CC,COLUMN('Share, heavy weapons to Ukraine'!$BF$1),FALSE)+VLOOKUP(B5,'Share, heavy weapons to Ukraine'!A:CC,COLUMN('Share, heavy weapons to Ukraine'!$BJ$1),FALSE)+VLOOKUP(B5,'Share, heavy weapons to Ukraine'!A:CC,COLUMN('Share, heavy weapons to Ukraine'!$BL$1),FALSE)+VLOOKUP(B5,'Share, heavy weapons to Ukraine'!A:CC,COLUMN('Share, heavy weapons to Ukraine'!$BM$1),FALSE))/4</f>
        <v>0.35964770523594047</v>
      </c>
      <c r="E5" s="8">
        <f>(VLOOKUP(B5,'Share, heavy weapons to Ukraine'!A:CC,COLUMN('Share, heavy weapons to Ukraine'!$BT$1),FALSE)+VLOOKUP(B5,'Share, heavy weapons to Ukraine'!A:CC,COLUMN('Share, heavy weapons to Ukraine'!$BZ$1),FALSE)+VLOOKUP(B5,'Share, heavy weapons to Ukraine'!A:CC,COLUMN('Share, heavy weapons to Ukraine'!$CA$1),FALSE)+VLOOKUP(B5,'Share, heavy weapons to Ukraine'!A:CC,COLUMN('Share, heavy weapons to Ukraine'!$CC$1),FALSE)+VLOOKUP(B5,'Share, heavy weapons to Ukraine'!A:CF,COLUMN('Share, heavy weapons to Ukraine'!$CD$1),FALSE)+VLOOKUP(B5,'Share, heavy weapons to Ukraine'!A:CF,COLUMN('Share, heavy weapons to Ukraine'!$CE$1),FALSE)+VLOOKUP(B5,'Share, heavy weapons to Ukraine'!A:CF,COLUMN('Share, heavy weapons to Ukraine'!$CF$1),FALSE))/7</f>
        <v>9.5638255302120861E-2</v>
      </c>
      <c r="F5" s="8">
        <f t="shared" ref="F5:F37" si="0">G5-E5</f>
        <v>0.10804321728691474</v>
      </c>
      <c r="G5" s="8">
        <f>(VLOOKUP(B5,'Share, heavy weapons to Ukraine'!A:CC,COLUMN('Share, heavy weapons to Ukraine'!$BF$1),FALSE)+VLOOKUP(B5,'Share, heavy weapons to Ukraine'!A:CC,COLUMN('Share, heavy weapons to Ukraine'!$BL$1),FALSE)+VLOOKUP(B5,'Share, heavy weapons to Ukraine'!A:CC,COLUMN('Share, heavy weapons to Ukraine'!$BM$1),FALSE)+VLOOKUP(B5,'Share, heavy weapons to Ukraine'!A:CC,COLUMN('Share, heavy weapons to Ukraine'!$BO$1),FALSE)+VLOOKUP(B5,'Share, heavy weapons to Ukraine'!A:CC,COLUMN('Share, heavy weapons to Ukraine'!$BP$1),FALSE)+VLOOKUP(B5,'Share, heavy weapons to Ukraine'!A:CC,COLUMN('Share, heavy weapons to Ukraine'!$BQ$1),FALSE)+VLOOKUP(B5,'Share, heavy weapons to Ukraine'!A:CC,COLUMN('Share, heavy weapons to Ukraine'!$BR$1),FALSE))/7</f>
        <v>0.2036814725890356</v>
      </c>
      <c r="H5" s="8">
        <f>(VLOOKUP(B5,'Share, heavy weapons to Ukraine'!A:CC,COLUMN('Share, heavy weapons to Ukraine'!$BF$1),FALSE))</f>
        <v>1.0924369747899159</v>
      </c>
      <c r="I5" s="8">
        <f>VLOOKUP(B5,'Share, heavy weapons to Ukraine'!A:CC,COLUMN('Share, heavy weapons to Ukraine'!$BL$1),FALSE)</f>
        <v>0</v>
      </c>
      <c r="J5" s="8">
        <f>VLOOKUP(B5,'Share, heavy weapons to Ukraine'!A:CC,COLUMN('Share, heavy weapons to Ukraine'!$BM$1),FALSE)</f>
        <v>0.33333333333333331</v>
      </c>
      <c r="K5" s="8">
        <f>VLOOKUP(B5,'Share, heavy weapons to Ukraine'!A:CC,COLUMN('Share, heavy weapons to Ukraine'!$BO$1),FALSE)</f>
        <v>0</v>
      </c>
      <c r="L5" s="8">
        <f>VLOOKUP(B5,'Share, heavy weapons to Ukraine'!A:CC,COLUMN('Share, heavy weapons to Ukraine'!$BP$1),FALSE)</f>
        <v>0</v>
      </c>
      <c r="M5" s="8">
        <f>VLOOKUP(B5,'Share, heavy weapons to Ukraine'!A:CC,COLUMN('Share, heavy weapons to Ukraine'!$BQ$1),FALSE)</f>
        <v>0</v>
      </c>
      <c r="N5" s="8">
        <f>VLOOKUP(B5,'Share, heavy weapons to Ukraine'!A:CC,COLUMN('Share, heavy weapons to Ukraine'!$BR$1),FALSE)</f>
        <v>0</v>
      </c>
      <c r="O5" s="8">
        <v>1</v>
      </c>
      <c r="P5" s="8">
        <f>VLOOKUP(B5,'Share, heavy weapons to Ukraine'!A:CC,COLUMN('Share, heavy weapons to Ukraine'!$C$1),FALSE)</f>
        <v>1</v>
      </c>
      <c r="Q5" s="8">
        <f>VLOOKUP(B5,'Share, heavy weapons to Ukraine'!A:CC,COLUMN('Share, heavy weapons to Ukraine'!$B$1),FALSE)</f>
        <v>0</v>
      </c>
    </row>
    <row r="6" spans="2:19" ht="15.6">
      <c r="B6" s="8" t="s">
        <v>2063</v>
      </c>
      <c r="C6" s="8">
        <f>(VLOOKUP(B6,'Share, heavy weapons to Ukraine'!A:CC,COLUMN('Share, heavy weapons to Ukraine'!$BF$1),FALSE)+VLOOKUP(B6,'Share, heavy weapons to Ukraine'!A:CC,COLUMN('Share, heavy weapons to Ukraine'!$BK$1),FALSE)+VLOOKUP(B6,'Share, heavy weapons to Ukraine'!A:CC,COLUMN('Share, heavy weapons to Ukraine'!$BL$1),FALSE)+VLOOKUP(B6,'Share, heavy weapons to Ukraine'!A:CC,COLUMN('Share, heavy weapons to Ukraine'!$BM$1),FALSE))/4</f>
        <v>2.100840336134454E-2</v>
      </c>
      <c r="D6" s="8">
        <f>(VLOOKUP(B6,'Share, heavy weapons to Ukraine'!A:CC,COLUMN('Share, heavy weapons to Ukraine'!$BF$1),FALSE)+VLOOKUP(B6,'Share, heavy weapons to Ukraine'!A:CC,COLUMN('Share, heavy weapons to Ukraine'!$BJ$1),FALSE)+VLOOKUP(B6,'Share, heavy weapons to Ukraine'!A:CC,COLUMN('Share, heavy weapons to Ukraine'!$BL$1),FALSE)+VLOOKUP(B6,'Share, heavy weapons to Ukraine'!A:CC,COLUMN('Share, heavy weapons to Ukraine'!$BM$1),FALSE))/4</f>
        <v>2.9296875E-2</v>
      </c>
      <c r="E6" s="8">
        <f>(VLOOKUP(B6,'Share, heavy weapons to Ukraine'!A:CC,COLUMN('Share, heavy weapons to Ukraine'!$BT$1),FALSE)+VLOOKUP(B6,'Share, heavy weapons to Ukraine'!A:CC,COLUMN('Share, heavy weapons to Ukraine'!$BZ$1),FALSE)+VLOOKUP(B6,'Share, heavy weapons to Ukraine'!A:CC,COLUMN('Share, heavy weapons to Ukraine'!$CA$1),FALSE)+VLOOKUP(B6,'Share, heavy weapons to Ukraine'!A:CC,COLUMN('Share, heavy weapons to Ukraine'!$CC$1),FALSE)+VLOOKUP(B6,'Share, heavy weapons to Ukraine'!A:CF,COLUMN('Share, heavy weapons to Ukraine'!$CD$1),FALSE)+VLOOKUP(B6,'Share, heavy weapons to Ukraine'!A:CF,COLUMN('Share, heavy weapons to Ukraine'!$CE$1),FALSE)+VLOOKUP(B6,'Share, heavy weapons to Ukraine'!A:CF,COLUMN('Share, heavy weapons to Ukraine'!$CF$1),FALSE))/7</f>
        <v>0.14285714285714285</v>
      </c>
      <c r="F6" s="8">
        <f t="shared" si="0"/>
        <v>0</v>
      </c>
      <c r="G6" s="8">
        <f>(VLOOKUP(B6,'Share, heavy weapons to Ukraine'!A:CC,COLUMN('Share, heavy weapons to Ukraine'!$BF$1),FALSE)+VLOOKUP(B6,'Share, heavy weapons to Ukraine'!A:CC,COLUMN('Share, heavy weapons to Ukraine'!$BL$1),FALSE)+VLOOKUP(B6,'Share, heavy weapons to Ukraine'!A:CC,COLUMN('Share, heavy weapons to Ukraine'!$BM$1),FALSE)+VLOOKUP(B6,'Share, heavy weapons to Ukraine'!A:CC,COLUMN('Share, heavy weapons to Ukraine'!$BO$1),FALSE)+VLOOKUP(B6,'Share, heavy weapons to Ukraine'!A:CC,COLUMN('Share, heavy weapons to Ukraine'!$BP$1),FALSE)+VLOOKUP(B6,'Share, heavy weapons to Ukraine'!A:CC,COLUMN('Share, heavy weapons to Ukraine'!$BQ$1),FALSE)+VLOOKUP(B6,'Share, heavy weapons to Ukraine'!A:CC,COLUMN('Share, heavy weapons to Ukraine'!$BR$1),FALSE))/7</f>
        <v>0.14285714285714285</v>
      </c>
      <c r="H6" s="8">
        <f>(VLOOKUP(B6,'Share, heavy weapons to Ukraine'!A:CC,COLUMN('Share, heavy weapons to Ukraine'!$BF$1),FALSE))</f>
        <v>0</v>
      </c>
      <c r="I6" s="8">
        <f>VLOOKUP(B6,'Share, heavy weapons to Ukraine'!A:CC,COLUMN('Share, heavy weapons to Ukraine'!$BL$1),FALSE)</f>
        <v>0</v>
      </c>
      <c r="J6" s="8">
        <f>VLOOKUP(B6,'Share, heavy weapons to Ukraine'!A:CC,COLUMN('Share, heavy weapons to Ukraine'!$BM$1),FALSE)</f>
        <v>0</v>
      </c>
      <c r="K6" s="8">
        <f>VLOOKUP(B6,'Share, heavy weapons to Ukraine'!A:CC,COLUMN('Share, heavy weapons to Ukraine'!$BO$1),FALSE)</f>
        <v>1</v>
      </c>
      <c r="L6" s="8">
        <f>VLOOKUP(B6,'Share, heavy weapons to Ukraine'!A:CC,COLUMN('Share, heavy weapons to Ukraine'!$BP$1),FALSE)</f>
        <v>0</v>
      </c>
      <c r="M6" s="8">
        <f>VLOOKUP(B6,'Share, heavy weapons to Ukraine'!A:CC,COLUMN('Share, heavy weapons to Ukraine'!$BQ$1),FALSE)</f>
        <v>0</v>
      </c>
      <c r="N6" s="8">
        <f>VLOOKUP(B6,'Share, heavy weapons to Ukraine'!A:CC,COLUMN('Share, heavy weapons to Ukraine'!$BR$1),FALSE)</f>
        <v>0</v>
      </c>
      <c r="O6" s="8">
        <v>1</v>
      </c>
      <c r="P6" s="8">
        <f>VLOOKUP(B6,'Share, heavy weapons to Ukraine'!A:CC,COLUMN('Share, heavy weapons to Ukraine'!$C$1),FALSE)</f>
        <v>1</v>
      </c>
      <c r="Q6" s="8">
        <f>VLOOKUP(B6,'Share, heavy weapons to Ukraine'!A:CC,COLUMN('Share, heavy weapons to Ukraine'!$B$1),FALSE)</f>
        <v>0</v>
      </c>
    </row>
    <row r="7" spans="2:19" ht="15.6">
      <c r="B7" s="8" t="s">
        <v>1136</v>
      </c>
      <c r="C7" s="8">
        <f>(VLOOKUP(B7,'Share, heavy weapons to Ukraine'!A:CC,COLUMN('Share, heavy weapons to Ukraine'!$BF$1),FALSE)+VLOOKUP(B7,'Share, heavy weapons to Ukraine'!A:CC,COLUMN('Share, heavy weapons to Ukraine'!$BK$1),FALSE)+VLOOKUP(B7,'Share, heavy weapons to Ukraine'!A:CC,COLUMN('Share, heavy weapons to Ukraine'!$BL$1),FALSE)+VLOOKUP(B7,'Share, heavy weapons to Ukraine'!A:CC,COLUMN('Share, heavy weapons to Ukraine'!$BM$1),FALSE))/4</f>
        <v>8.4133459782696485E-2</v>
      </c>
      <c r="D7" s="8">
        <f>(VLOOKUP(B7,'Share, heavy weapons to Ukraine'!A:CC,COLUMN('Share, heavy weapons to Ukraine'!$BF$1),FALSE)+VLOOKUP(B7,'Share, heavy weapons to Ukraine'!A:CC,COLUMN('Share, heavy weapons to Ukraine'!$BJ$1),FALSE)+VLOOKUP(B7,'Share, heavy weapons to Ukraine'!A:CC,COLUMN('Share, heavy weapons to Ukraine'!$BL$1),FALSE)+VLOOKUP(B7,'Share, heavy weapons to Ukraine'!A:CC,COLUMN('Share, heavy weapons to Ukraine'!$BM$1),FALSE))/4</f>
        <v>6.8186217576461483E-2</v>
      </c>
      <c r="E7" s="8">
        <f>(VLOOKUP(B7,'Share, heavy weapons to Ukraine'!A:CC,COLUMN('Share, heavy weapons to Ukraine'!$BT$1),FALSE)+VLOOKUP(B7,'Share, heavy weapons to Ukraine'!A:CC,COLUMN('Share, heavy weapons to Ukraine'!$BZ$1),FALSE)+VLOOKUP(B7,'Share, heavy weapons to Ukraine'!A:CC,COLUMN('Share, heavy weapons to Ukraine'!$CA$1),FALSE)+VLOOKUP(B7,'Share, heavy weapons to Ukraine'!A:CC,COLUMN('Share, heavy weapons to Ukraine'!$CC$1),FALSE)+VLOOKUP(B7,'Share, heavy weapons to Ukraine'!A:CF,COLUMN('Share, heavy weapons to Ukraine'!$CD$1),FALSE)+VLOOKUP(B7,'Share, heavy weapons to Ukraine'!A:CF,COLUMN('Share, heavy weapons to Ukraine'!$CE$1),FALSE)+VLOOKUP(B7,'Share, heavy weapons to Ukraine'!A:CF,COLUMN('Share, heavy weapons to Ukraine'!$CF$1),FALSE))/7</f>
        <v>5.3702781925778438E-2</v>
      </c>
      <c r="F7" s="8">
        <f t="shared" si="0"/>
        <v>6.6893424036281179E-2</v>
      </c>
      <c r="G7" s="8">
        <f>(VLOOKUP(B7,'Share, heavy weapons to Ukraine'!A:CC,COLUMN('Share, heavy weapons to Ukraine'!$BF$1),FALSE)+VLOOKUP(B7,'Share, heavy weapons to Ukraine'!A:CC,COLUMN('Share, heavy weapons to Ukraine'!$BL$1),FALSE)+VLOOKUP(B7,'Share, heavy weapons to Ukraine'!A:CC,COLUMN('Share, heavy weapons to Ukraine'!$BM$1),FALSE)+VLOOKUP(B7,'Share, heavy weapons to Ukraine'!A:CC,COLUMN('Share, heavy weapons to Ukraine'!$BO$1),FALSE)+VLOOKUP(B7,'Share, heavy weapons to Ukraine'!A:CC,COLUMN('Share, heavy weapons to Ukraine'!$BP$1),FALSE)+VLOOKUP(B7,'Share, heavy weapons to Ukraine'!A:CC,COLUMN('Share, heavy weapons to Ukraine'!$BQ$1),FALSE)+VLOOKUP(B7,'Share, heavy weapons to Ukraine'!A:CC,COLUMN('Share, heavy weapons to Ukraine'!$BR$1),FALSE))/7</f>
        <v>0.12059620596205962</v>
      </c>
      <c r="H7" s="8">
        <f>(VLOOKUP(B7,'Share, heavy weapons to Ukraine'!A:CC,COLUMN('Share, heavy weapons to Ukraine'!$BF$1),FALSE))</f>
        <v>0</v>
      </c>
      <c r="I7" s="8">
        <f>VLOOKUP(B7,'Share, heavy weapons to Ukraine'!A:CC,COLUMN('Share, heavy weapons to Ukraine'!$BL$1),FALSE)</f>
        <v>0.15079365079365079</v>
      </c>
      <c r="J7" s="8">
        <f>VLOOKUP(B7,'Share, heavy weapons to Ukraine'!A:CC,COLUMN('Share, heavy weapons to Ukraine'!$BM$1),FALSE)</f>
        <v>0.12195121951219512</v>
      </c>
      <c r="K7" s="8">
        <f>VLOOKUP(B7,'Share, heavy weapons to Ukraine'!A:CC,COLUMN('Share, heavy weapons to Ukraine'!$BO$1),FALSE)</f>
        <v>0</v>
      </c>
      <c r="L7" s="8">
        <f>VLOOKUP(B7,'Share, heavy weapons to Ukraine'!A:CC,COLUMN('Share, heavy weapons to Ukraine'!$BP$1),FALSE)</f>
        <v>0.5714285714285714</v>
      </c>
      <c r="M7" s="8">
        <f>VLOOKUP(B7,'Share, heavy weapons to Ukraine'!A:CC,COLUMN('Share, heavy weapons to Ukraine'!$BQ$1),FALSE)</f>
        <v>0</v>
      </c>
      <c r="N7" s="8">
        <f>VLOOKUP(B7,'Share, heavy weapons to Ukraine'!A:CC,COLUMN('Share, heavy weapons to Ukraine'!$BR$1),FALSE)</f>
        <v>0</v>
      </c>
      <c r="O7" s="8">
        <v>4</v>
      </c>
      <c r="P7" s="8">
        <f>VLOOKUP(B7,'Share, heavy weapons to Ukraine'!A:CC,COLUMN('Share, heavy weapons to Ukraine'!$C$1),FALSE)</f>
        <v>1</v>
      </c>
      <c r="Q7" s="8">
        <f>VLOOKUP(B7,'Share, heavy weapons to Ukraine'!A:CC,COLUMN('Share, heavy weapons to Ukraine'!$B$1),FALSE)</f>
        <v>0</v>
      </c>
    </row>
    <row r="8" spans="2:19" ht="15.6">
      <c r="B8" s="8" t="s">
        <v>1804</v>
      </c>
      <c r="C8" s="8">
        <f>(VLOOKUP(B8,'Share, heavy weapons to Ukraine'!A:CC,COLUMN('Share, heavy weapons to Ukraine'!$BF$1),FALSE)+VLOOKUP(B8,'Share, heavy weapons to Ukraine'!A:CC,COLUMN('Share, heavy weapons to Ukraine'!$BK$1),FALSE)+VLOOKUP(B8,'Share, heavy weapons to Ukraine'!A:CC,COLUMN('Share, heavy weapons to Ukraine'!$BL$1),FALSE)+VLOOKUP(B8,'Share, heavy weapons to Ukraine'!A:CC,COLUMN('Share, heavy weapons to Ukraine'!$BM$1),FALSE))/4</f>
        <v>0.19507458594606755</v>
      </c>
      <c r="D8" s="8">
        <f>(VLOOKUP(B8,'Share, heavy weapons to Ukraine'!A:CC,COLUMN('Share, heavy weapons to Ukraine'!$BF$1),FALSE)+VLOOKUP(B8,'Share, heavy weapons to Ukraine'!A:CC,COLUMN('Share, heavy weapons to Ukraine'!$BJ$1),FALSE)+VLOOKUP(B8,'Share, heavy weapons to Ukraine'!A:CC,COLUMN('Share, heavy weapons to Ukraine'!$BL$1),FALSE)+VLOOKUP(B8,'Share, heavy weapons to Ukraine'!A:CC,COLUMN('Share, heavy weapons to Ukraine'!$BM$1),FALSE))/4</f>
        <v>0.18985849056603774</v>
      </c>
      <c r="E8" s="8">
        <f>(VLOOKUP(B8,'Share, heavy weapons to Ukraine'!A:CC,COLUMN('Share, heavy weapons to Ukraine'!$BT$1),FALSE)+VLOOKUP(B8,'Share, heavy weapons to Ukraine'!A:CC,COLUMN('Share, heavy weapons to Ukraine'!$BZ$1),FALSE)+VLOOKUP(B8,'Share, heavy weapons to Ukraine'!A:CC,COLUMN('Share, heavy weapons to Ukraine'!$CA$1),FALSE)+VLOOKUP(B8,'Share, heavy weapons to Ukraine'!A:CC,COLUMN('Share, heavy weapons to Ukraine'!$CC$1),FALSE)+VLOOKUP(B8,'Share, heavy weapons to Ukraine'!A:CF,COLUMN('Share, heavy weapons to Ukraine'!$CD$1),FALSE)+VLOOKUP(B8,'Share, heavy weapons to Ukraine'!A:CF,COLUMN('Share, heavy weapons to Ukraine'!$CE$1),FALSE)+VLOOKUP(B8,'Share, heavy weapons to Ukraine'!A:CF,COLUMN('Share, heavy weapons to Ukraine'!$CF$1),FALSE))/7</f>
        <v>9.5013477088948792E-2</v>
      </c>
      <c r="F8" s="8">
        <f t="shared" si="0"/>
        <v>1.3477088948787061E-2</v>
      </c>
      <c r="G8" s="8">
        <f>(VLOOKUP(B8,'Share, heavy weapons to Ukraine'!A:CC,COLUMN('Share, heavy weapons to Ukraine'!$BF$1),FALSE)+VLOOKUP(B8,'Share, heavy weapons to Ukraine'!A:CC,COLUMN('Share, heavy weapons to Ukraine'!$BL$1),FALSE)+VLOOKUP(B8,'Share, heavy weapons to Ukraine'!A:CC,COLUMN('Share, heavy weapons to Ukraine'!$BM$1),FALSE)+VLOOKUP(B8,'Share, heavy weapons to Ukraine'!A:CC,COLUMN('Share, heavy weapons to Ukraine'!$BO$1),FALSE)+VLOOKUP(B8,'Share, heavy weapons to Ukraine'!A:CC,COLUMN('Share, heavy weapons to Ukraine'!$BP$1),FALSE)+VLOOKUP(B8,'Share, heavy weapons to Ukraine'!A:CC,COLUMN('Share, heavy weapons to Ukraine'!$BQ$1),FALSE)+VLOOKUP(B8,'Share, heavy weapons to Ukraine'!A:CC,COLUMN('Share, heavy weapons to Ukraine'!$BR$1),FALSE))/7</f>
        <v>0.10849056603773585</v>
      </c>
      <c r="H8" s="8">
        <f>(VLOOKUP(B8,'Share, heavy weapons to Ukraine'!A:CC,COLUMN('Share, heavy weapons to Ukraine'!$BF$1),FALSE))</f>
        <v>0</v>
      </c>
      <c r="I8" s="8">
        <f>VLOOKUP(B8,'Share, heavy weapons to Ukraine'!A:CC,COLUMN('Share, heavy weapons to Ukraine'!$BL$1),FALSE)</f>
        <v>0.50943396226415094</v>
      </c>
      <c r="J8" s="8">
        <f>VLOOKUP(B8,'Share, heavy weapons to Ukraine'!A:CC,COLUMN('Share, heavy weapons to Ukraine'!$BM$1),FALSE)</f>
        <v>0.25</v>
      </c>
      <c r="K8" s="8">
        <f>VLOOKUP(B8,'Share, heavy weapons to Ukraine'!A:CC,COLUMN('Share, heavy weapons to Ukraine'!$BO$1),FALSE)</f>
        <v>0</v>
      </c>
      <c r="L8" s="8">
        <f>VLOOKUP(B8,'Share, heavy weapons to Ukraine'!A:CC,COLUMN('Share, heavy weapons to Ukraine'!$BP$1),FALSE)</f>
        <v>0</v>
      </c>
      <c r="M8" s="8">
        <f>VLOOKUP(B8,'Share, heavy weapons to Ukraine'!A:CC,COLUMN('Share, heavy weapons to Ukraine'!$BQ$1),FALSE)</f>
        <v>0</v>
      </c>
      <c r="N8" s="8">
        <f>VLOOKUP(B8,'Share, heavy weapons to Ukraine'!A:CC,COLUMN('Share, heavy weapons to Ukraine'!$BR$1),FALSE)</f>
        <v>0</v>
      </c>
      <c r="P8" s="8">
        <f>VLOOKUP(B8,'Share, heavy weapons to Ukraine'!A:CC,COLUMN('Share, heavy weapons to Ukraine'!$C$1),FALSE)</f>
        <v>0</v>
      </c>
      <c r="Q8" s="8">
        <f>VLOOKUP(B8,'Share, heavy weapons to Ukraine'!A:CC,COLUMN('Share, heavy weapons to Ukraine'!$B$1),FALSE)</f>
        <v>1</v>
      </c>
    </row>
    <row r="9" spans="2:19" ht="15.6">
      <c r="B9" s="8" t="s">
        <v>2392</v>
      </c>
      <c r="C9" s="8">
        <f>(VLOOKUP(B9,'Share, heavy weapons to Ukraine'!A:CC,COLUMN('Share, heavy weapons to Ukraine'!$BF$1),FALSE)+VLOOKUP(B9,'Share, heavy weapons to Ukraine'!A:CC,COLUMN('Share, heavy weapons to Ukraine'!$BK$1),FALSE)+VLOOKUP(B9,'Share, heavy weapons to Ukraine'!A:CC,COLUMN('Share, heavy weapons to Ukraine'!$BL$1),FALSE)+VLOOKUP(B9,'Share, heavy weapons to Ukraine'!A:CC,COLUMN('Share, heavy weapons to Ukraine'!$BM$1),FALSE))/4</f>
        <v>0.11929728561018384</v>
      </c>
      <c r="D9" s="8">
        <f>(VLOOKUP(B9,'Share, heavy weapons to Ukraine'!A:CC,COLUMN('Share, heavy weapons to Ukraine'!$BF$1),FALSE)+VLOOKUP(B9,'Share, heavy weapons to Ukraine'!A:CC,COLUMN('Share, heavy weapons to Ukraine'!$BJ$1),FALSE)+VLOOKUP(B9,'Share, heavy weapons to Ukraine'!A:CC,COLUMN('Share, heavy weapons to Ukraine'!$BL$1),FALSE)+VLOOKUP(B9,'Share, heavy weapons to Ukraine'!A:CC,COLUMN('Share, heavy weapons to Ukraine'!$BM$1),FALSE))/4</f>
        <v>0.10707732634338139</v>
      </c>
      <c r="E9" s="8">
        <f>(VLOOKUP(B9,'Share, heavy weapons to Ukraine'!A:CC,COLUMN('Share, heavy weapons to Ukraine'!$BT$1),FALSE)+VLOOKUP(B9,'Share, heavy weapons to Ukraine'!A:CC,COLUMN('Share, heavy weapons to Ukraine'!$BZ$1),FALSE)+VLOOKUP(B9,'Share, heavy weapons to Ukraine'!A:CC,COLUMN('Share, heavy weapons to Ukraine'!$CA$1),FALSE)+VLOOKUP(B9,'Share, heavy weapons to Ukraine'!A:CC,COLUMN('Share, heavy weapons to Ukraine'!$CC$1),FALSE)+VLOOKUP(B9,'Share, heavy weapons to Ukraine'!A:CF,COLUMN('Share, heavy weapons to Ukraine'!$CD$1),FALSE)+VLOOKUP(B9,'Share, heavy weapons to Ukraine'!A:CF,COLUMN('Share, heavy weapons to Ukraine'!$CE$1),FALSE)+VLOOKUP(B9,'Share, heavy weapons to Ukraine'!A:CF,COLUMN('Share, heavy weapons to Ukraine'!$CF$1),FALSE))/7</f>
        <v>6.0525157248617283E-2</v>
      </c>
      <c r="F9" s="8">
        <f t="shared" si="0"/>
        <v>1.2244897959183675E-2</v>
      </c>
      <c r="G9" s="8">
        <f>(VLOOKUP(B9,'Share, heavy weapons to Ukraine'!A:CC,COLUMN('Share, heavy weapons to Ukraine'!$BF$1),FALSE)+VLOOKUP(B9,'Share, heavy weapons to Ukraine'!A:CC,COLUMN('Share, heavy weapons to Ukraine'!$BL$1),FALSE)+VLOOKUP(B9,'Share, heavy weapons to Ukraine'!A:CC,COLUMN('Share, heavy weapons to Ukraine'!$BM$1),FALSE)+VLOOKUP(B9,'Share, heavy weapons to Ukraine'!A:CC,COLUMN('Share, heavy weapons to Ukraine'!$BO$1),FALSE)+VLOOKUP(B9,'Share, heavy weapons to Ukraine'!A:CC,COLUMN('Share, heavy weapons to Ukraine'!$BP$1),FALSE)+VLOOKUP(B9,'Share, heavy weapons to Ukraine'!A:CC,COLUMN('Share, heavy weapons to Ukraine'!$BQ$1),FALSE)+VLOOKUP(B9,'Share, heavy weapons to Ukraine'!A:CC,COLUMN('Share, heavy weapons to Ukraine'!$BR$1),FALSE))/7</f>
        <v>7.2770055207800957E-2</v>
      </c>
      <c r="H9" s="8">
        <f>(VLOOKUP(B9,'Share, heavy weapons to Ukraine'!A:CC,COLUMN('Share, heavy weapons to Ukraine'!$BF$1),FALSE))</f>
        <v>0</v>
      </c>
      <c r="I9" s="8">
        <f>VLOOKUP(B9,'Share, heavy weapons to Ukraine'!A:CC,COLUMN('Share, heavy weapons to Ukraine'!$BL$1),FALSE)</f>
        <v>0.25688073394495414</v>
      </c>
      <c r="J9" s="8">
        <f>VLOOKUP(B9,'Share, heavy weapons to Ukraine'!A:CC,COLUMN('Share, heavy weapons to Ukraine'!$BM$1),FALSE)</f>
        <v>0.17142857142857143</v>
      </c>
      <c r="K9" s="8">
        <f>VLOOKUP(B9,'Share, heavy weapons to Ukraine'!A:CC,COLUMN('Share, heavy weapons to Ukraine'!$BO$1),FALSE)</f>
        <v>0</v>
      </c>
      <c r="L9" s="8">
        <f>VLOOKUP(B9,'Share, heavy weapons to Ukraine'!A:CC,COLUMN('Share, heavy weapons to Ukraine'!$BP$1),FALSE)</f>
        <v>0</v>
      </c>
      <c r="M9" s="8">
        <f>VLOOKUP(B9,'Share, heavy weapons to Ukraine'!A:CC,COLUMN('Share, heavy weapons to Ukraine'!$BQ$1),FALSE)</f>
        <v>0</v>
      </c>
      <c r="N9" s="8">
        <f>VLOOKUP(B9,'Share, heavy weapons to Ukraine'!A:CC,COLUMN('Share, heavy weapons to Ukraine'!$BR$1),FALSE)</f>
        <v>8.1081081081081086E-2</v>
      </c>
      <c r="P9" s="8">
        <f>VLOOKUP(B9,'Share, heavy weapons to Ukraine'!A:CC,COLUMN('Share, heavy weapons to Ukraine'!$C$1),FALSE)</f>
        <v>0</v>
      </c>
      <c r="Q9" s="8">
        <f>VLOOKUP(B9,'Share, heavy weapons to Ukraine'!A:CC,COLUMN('Share, heavy weapons to Ukraine'!$B$1),FALSE)</f>
        <v>1</v>
      </c>
    </row>
    <row r="10" spans="2:19" ht="15.6">
      <c r="B10" s="8" t="s">
        <v>1012</v>
      </c>
      <c r="C10" s="8">
        <f>(VLOOKUP(B10,'Share, heavy weapons to Ukraine'!A:CC,COLUMN('Share, heavy weapons to Ukraine'!$BF$1),FALSE)+VLOOKUP(B10,'Share, heavy weapons to Ukraine'!A:CC,COLUMN('Share, heavy weapons to Ukraine'!$BK$1),FALSE)+VLOOKUP(B10,'Share, heavy weapons to Ukraine'!A:CC,COLUMN('Share, heavy weapons to Ukraine'!$BL$1),FALSE)+VLOOKUP(B10,'Share, heavy weapons to Ukraine'!A:CC,COLUMN('Share, heavy weapons to Ukraine'!$BM$1),FALSE))/4</f>
        <v>9.2976890659009867E-2</v>
      </c>
      <c r="D10" s="8">
        <f>(VLOOKUP(B10,'Share, heavy weapons to Ukraine'!A:CC,COLUMN('Share, heavy weapons to Ukraine'!$BF$1),FALSE)+VLOOKUP(B10,'Share, heavy weapons to Ukraine'!A:CC,COLUMN('Share, heavy weapons to Ukraine'!$BJ$1),FALSE)+VLOOKUP(B10,'Share, heavy weapons to Ukraine'!A:CC,COLUMN('Share, heavy weapons to Ukraine'!$BL$1),FALSE)+VLOOKUP(B10,'Share, heavy weapons to Ukraine'!A:CC,COLUMN('Share, heavy weapons to Ukraine'!$BM$1),FALSE))/4</f>
        <v>8.8461538461538466E-2</v>
      </c>
      <c r="E10" s="8">
        <f>(VLOOKUP(B10,'Share, heavy weapons to Ukraine'!A:CC,COLUMN('Share, heavy weapons to Ukraine'!$BT$1),FALSE)+VLOOKUP(B10,'Share, heavy weapons to Ukraine'!A:CC,COLUMN('Share, heavy weapons to Ukraine'!$BZ$1),FALSE)+VLOOKUP(B10,'Share, heavy weapons to Ukraine'!A:CC,COLUMN('Share, heavy weapons to Ukraine'!$CA$1),FALSE)+VLOOKUP(B10,'Share, heavy weapons to Ukraine'!A:CC,COLUMN('Share, heavy weapons to Ukraine'!$CC$1),FALSE)+VLOOKUP(B10,'Share, heavy weapons to Ukraine'!A:CF,COLUMN('Share, heavy weapons to Ukraine'!$CD$1),FALSE)+VLOOKUP(B10,'Share, heavy weapons to Ukraine'!A:CF,COLUMN('Share, heavy weapons to Ukraine'!$CE$1),FALSE)+VLOOKUP(B10,'Share, heavy weapons to Ukraine'!A:CF,COLUMN('Share, heavy weapons to Ukraine'!$CF$1),FALSE))/7</f>
        <v>2.1428571428571429E-2</v>
      </c>
      <c r="F10" s="8">
        <f t="shared" si="0"/>
        <v>4.1025641025641026E-2</v>
      </c>
      <c r="G10" s="8">
        <f>(VLOOKUP(B10,'Share, heavy weapons to Ukraine'!A:CC,COLUMN('Share, heavy weapons to Ukraine'!$BF$1),FALSE)+VLOOKUP(B10,'Share, heavy weapons to Ukraine'!A:CC,COLUMN('Share, heavy weapons to Ukraine'!$BL$1),FALSE)+VLOOKUP(B10,'Share, heavy weapons to Ukraine'!A:CC,COLUMN('Share, heavy weapons to Ukraine'!$BM$1),FALSE)+VLOOKUP(B10,'Share, heavy weapons to Ukraine'!A:CC,COLUMN('Share, heavy weapons to Ukraine'!$BO$1),FALSE)+VLOOKUP(B10,'Share, heavy weapons to Ukraine'!A:CC,COLUMN('Share, heavy weapons to Ukraine'!$BP$1),FALSE)+VLOOKUP(B10,'Share, heavy weapons to Ukraine'!A:CC,COLUMN('Share, heavy weapons to Ukraine'!$BQ$1),FALSE)+VLOOKUP(B10,'Share, heavy weapons to Ukraine'!A:CC,COLUMN('Share, heavy weapons to Ukraine'!$BR$1),FALSE))/7</f>
        <v>6.2454212454212454E-2</v>
      </c>
      <c r="H10" s="8">
        <f>(VLOOKUP(B10,'Share, heavy weapons to Ukraine'!A:CC,COLUMN('Share, heavy weapons to Ukraine'!$BF$1),FALSE))</f>
        <v>0</v>
      </c>
      <c r="I10" s="8">
        <f>VLOOKUP(B10,'Share, heavy weapons to Ukraine'!A:CC,COLUMN('Share, heavy weapons to Ukraine'!$BL$1),FALSE)</f>
        <v>0.2</v>
      </c>
      <c r="J10" s="8">
        <f>VLOOKUP(B10,'Share, heavy weapons to Ukraine'!A:CC,COLUMN('Share, heavy weapons to Ukraine'!$BM$1),FALSE)</f>
        <v>0.15384615384615385</v>
      </c>
      <c r="K10" s="8">
        <f>VLOOKUP(B10,'Share, heavy weapons to Ukraine'!A:CC,COLUMN('Share, heavy weapons to Ukraine'!$BO$1),FALSE)</f>
        <v>0</v>
      </c>
      <c r="L10" s="8">
        <f>VLOOKUP(B10,'Share, heavy weapons to Ukraine'!A:CC,COLUMN('Share, heavy weapons to Ukraine'!$BP$1),FALSE)</f>
        <v>0</v>
      </c>
      <c r="M10" s="8">
        <f>VLOOKUP(B10,'Share, heavy weapons to Ukraine'!A:CC,COLUMN('Share, heavy weapons to Ukraine'!$BQ$1),FALSE)</f>
        <v>8.3333333333333329E-2</v>
      </c>
      <c r="N10" s="8">
        <f>VLOOKUP(B10,'Share, heavy weapons to Ukraine'!A:CC,COLUMN('Share, heavy weapons to Ukraine'!$BR$1),FALSE)</f>
        <v>0</v>
      </c>
      <c r="O10" s="8">
        <v>3</v>
      </c>
      <c r="P10" s="8">
        <f>VLOOKUP(B10,'Share, heavy weapons to Ukraine'!A:CC,COLUMN('Share, heavy weapons to Ukraine'!$C$1),FALSE)</f>
        <v>1</v>
      </c>
      <c r="Q10" s="8">
        <f>VLOOKUP(B10,'Share, heavy weapons to Ukraine'!A:CC,COLUMN('Share, heavy weapons to Ukraine'!$B$1),FALSE)</f>
        <v>0</v>
      </c>
    </row>
    <row r="11" spans="2:19" ht="15.6">
      <c r="B11" s="8" t="s">
        <v>1894</v>
      </c>
      <c r="C11" s="8">
        <f>(VLOOKUP(B11,'Share, heavy weapons to Ukraine'!A:CC,COLUMN('Share, heavy weapons to Ukraine'!$BF$1),FALSE)+VLOOKUP(B11,'Share, heavy weapons to Ukraine'!A:CC,COLUMN('Share, heavy weapons to Ukraine'!$BK$1),FALSE)+VLOOKUP(B11,'Share, heavy weapons to Ukraine'!A:CC,COLUMN('Share, heavy weapons to Ukraine'!$BL$1),FALSE)+VLOOKUP(B11,'Share, heavy weapons to Ukraine'!A:CC,COLUMN('Share, heavy weapons to Ukraine'!$BM$1),FALSE))/4</f>
        <v>0.10470806253386464</v>
      </c>
      <c r="D11" s="8">
        <f>(VLOOKUP(B11,'Share, heavy weapons to Ukraine'!A:CC,COLUMN('Share, heavy weapons to Ukraine'!$BF$1),FALSE)+VLOOKUP(B11,'Share, heavy weapons to Ukraine'!A:CC,COLUMN('Share, heavy weapons to Ukraine'!$BJ$1),FALSE)+VLOOKUP(B11,'Share, heavy weapons to Ukraine'!A:CC,COLUMN('Share, heavy weapons to Ukraine'!$BL$1),FALSE)+VLOOKUP(B11,'Share, heavy weapons to Ukraine'!A:CC,COLUMN('Share, heavy weapons to Ukraine'!$BM$1),FALSE))/4</f>
        <v>0.10607979723497055</v>
      </c>
      <c r="E11" s="8">
        <f>(VLOOKUP(B11,'Share, heavy weapons to Ukraine'!A:CC,COLUMN('Share, heavy weapons to Ukraine'!$BT$1),FALSE)+VLOOKUP(B11,'Share, heavy weapons to Ukraine'!A:CC,COLUMN('Share, heavy weapons to Ukraine'!$BZ$1),FALSE)+VLOOKUP(B11,'Share, heavy weapons to Ukraine'!A:CC,COLUMN('Share, heavy weapons to Ukraine'!$CA$1),FALSE)+VLOOKUP(B11,'Share, heavy weapons to Ukraine'!A:CC,COLUMN('Share, heavy weapons to Ukraine'!$CC$1),FALSE)+VLOOKUP(B11,'Share, heavy weapons to Ukraine'!A:CF,COLUMN('Share, heavy weapons to Ukraine'!$CD$1),FALSE)+VLOOKUP(B11,'Share, heavy weapons to Ukraine'!A:CF,COLUMN('Share, heavy weapons to Ukraine'!$CE$1),FALSE)+VLOOKUP(B11,'Share, heavy weapons to Ukraine'!A:CF,COLUMN('Share, heavy weapons to Ukraine'!$CF$1),FALSE))/7</f>
        <v>5.7069984338223842E-2</v>
      </c>
      <c r="F11" s="8">
        <f t="shared" si="0"/>
        <v>0</v>
      </c>
      <c r="G11" s="8">
        <f>(VLOOKUP(B11,'Share, heavy weapons to Ukraine'!A:CC,COLUMN('Share, heavy weapons to Ukraine'!$BF$1),FALSE)+VLOOKUP(B11,'Share, heavy weapons to Ukraine'!A:CC,COLUMN('Share, heavy weapons to Ukraine'!$BL$1),FALSE)+VLOOKUP(B11,'Share, heavy weapons to Ukraine'!A:CC,COLUMN('Share, heavy weapons to Ukraine'!$BM$1),FALSE)+VLOOKUP(B11,'Share, heavy weapons to Ukraine'!A:CC,COLUMN('Share, heavy weapons to Ukraine'!$BO$1),FALSE)+VLOOKUP(B11,'Share, heavy weapons to Ukraine'!A:CC,COLUMN('Share, heavy weapons to Ukraine'!$BP$1),FALSE)+VLOOKUP(B11,'Share, heavy weapons to Ukraine'!A:CC,COLUMN('Share, heavy weapons to Ukraine'!$BQ$1),FALSE)+VLOOKUP(B11,'Share, heavy weapons to Ukraine'!A:CC,COLUMN('Share, heavy weapons to Ukraine'!$BR$1),FALSE))/7</f>
        <v>5.7069984338223842E-2</v>
      </c>
      <c r="H11" s="8">
        <f>(VLOOKUP(B11,'Share, heavy weapons to Ukraine'!A:CC,COLUMN('Share, heavy weapons to Ukraine'!$BF$1),FALSE))</f>
        <v>0.30112923462986196</v>
      </c>
      <c r="I11" s="8">
        <f>VLOOKUP(B11,'Share, heavy weapons to Ukraine'!A:CC,COLUMN('Share, heavy weapons to Ukraine'!$BL$1),FALSE)</f>
        <v>9.8360655737704916E-2</v>
      </c>
      <c r="J11" s="8">
        <f>VLOOKUP(B11,'Share, heavy weapons to Ukraine'!A:CC,COLUMN('Share, heavy weapons to Ukraine'!$BM$1),FALSE)</f>
        <v>0</v>
      </c>
      <c r="K11" s="8">
        <f>VLOOKUP(B11,'Share, heavy weapons to Ukraine'!A:CC,COLUMN('Share, heavy weapons to Ukraine'!$BO$1),FALSE)</f>
        <v>0</v>
      </c>
      <c r="L11" s="8">
        <f>VLOOKUP(B11,'Share, heavy weapons to Ukraine'!A:CC,COLUMN('Share, heavy weapons to Ukraine'!$BP$1),FALSE)</f>
        <v>0</v>
      </c>
      <c r="M11" s="8">
        <f>VLOOKUP(B11,'Share, heavy weapons to Ukraine'!A:CC,COLUMN('Share, heavy weapons to Ukraine'!$BQ$1),FALSE)</f>
        <v>0</v>
      </c>
      <c r="N11" s="8">
        <f>VLOOKUP(B11,'Share, heavy weapons to Ukraine'!A:CC,COLUMN('Share, heavy weapons to Ukraine'!$BR$1),FALSE)</f>
        <v>0</v>
      </c>
      <c r="O11" s="8">
        <v>4</v>
      </c>
      <c r="P11" s="8">
        <f>VLOOKUP(B11,'Share, heavy weapons to Ukraine'!A:CC,COLUMN('Share, heavy weapons to Ukraine'!$C$1),FALSE)</f>
        <v>1</v>
      </c>
      <c r="Q11" s="8">
        <f>VLOOKUP(B11,'Share, heavy weapons to Ukraine'!A:CC,COLUMN('Share, heavy weapons to Ukraine'!$B$1),FALSE)</f>
        <v>0</v>
      </c>
    </row>
    <row r="12" spans="2:19" ht="15.6">
      <c r="B12" s="8" t="s">
        <v>2106</v>
      </c>
      <c r="C12" s="8">
        <f>(VLOOKUP(B12,'Share, heavy weapons to Ukraine'!A:CC,COLUMN('Share, heavy weapons to Ukraine'!$BF$1),FALSE)+VLOOKUP(B12,'Share, heavy weapons to Ukraine'!A:CC,COLUMN('Share, heavy weapons to Ukraine'!$BK$1),FALSE)+VLOOKUP(B12,'Share, heavy weapons to Ukraine'!A:CC,COLUMN('Share, heavy weapons to Ukraine'!$BL$1),FALSE)+VLOOKUP(B12,'Share, heavy weapons to Ukraine'!A:CC,COLUMN('Share, heavy weapons to Ukraine'!$BM$1),FALSE))/4</f>
        <v>0.13791678148250205</v>
      </c>
      <c r="D12" s="8">
        <f>(VLOOKUP(B12,'Share, heavy weapons to Ukraine'!A:CC,COLUMN('Share, heavy weapons to Ukraine'!$BF$1),FALSE)+VLOOKUP(B12,'Share, heavy weapons to Ukraine'!A:CC,COLUMN('Share, heavy weapons to Ukraine'!$BJ$1),FALSE)+VLOOKUP(B12,'Share, heavy weapons to Ukraine'!A:CC,COLUMN('Share, heavy weapons to Ukraine'!$BL$1),FALSE)+VLOOKUP(B12,'Share, heavy weapons to Ukraine'!A:CC,COLUMN('Share, heavy weapons to Ukraine'!$BM$1),FALSE))/4</f>
        <v>0.26037449392712553</v>
      </c>
      <c r="E12" s="8">
        <f>(VLOOKUP(B12,'Share, heavy weapons to Ukraine'!A:CC,COLUMN('Share, heavy weapons to Ukraine'!$BT$1),FALSE)+VLOOKUP(B12,'Share, heavy weapons to Ukraine'!A:CC,COLUMN('Share, heavy weapons to Ukraine'!$BZ$1),FALSE)+VLOOKUP(B12,'Share, heavy weapons to Ukraine'!A:CC,COLUMN('Share, heavy weapons to Ukraine'!$CA$1),FALSE)+VLOOKUP(B12,'Share, heavy weapons to Ukraine'!A:CC,COLUMN('Share, heavy weapons to Ukraine'!$CC$1),FALSE)+VLOOKUP(B12,'Share, heavy weapons to Ukraine'!A:CF,COLUMN('Share, heavy weapons to Ukraine'!$CD$1),FALSE)+VLOOKUP(B12,'Share, heavy weapons to Ukraine'!A:CF,COLUMN('Share, heavy weapons to Ukraine'!$CE$1),FALSE)+VLOOKUP(B12,'Share, heavy weapons to Ukraine'!A:CF,COLUMN('Share, heavy weapons to Ukraine'!$CF$1),FALSE))/7</f>
        <v>0</v>
      </c>
      <c r="F12" s="8">
        <f t="shared" si="0"/>
        <v>5.2631578947368418E-2</v>
      </c>
      <c r="G12" s="8">
        <f>(VLOOKUP(B12,'Share, heavy weapons to Ukraine'!A:CC,COLUMN('Share, heavy weapons to Ukraine'!$BF$1),FALSE)+VLOOKUP(B12,'Share, heavy weapons to Ukraine'!A:CC,COLUMN('Share, heavy weapons to Ukraine'!$BL$1),FALSE)+VLOOKUP(B12,'Share, heavy weapons to Ukraine'!A:CC,COLUMN('Share, heavy weapons to Ukraine'!$BM$1),FALSE)+VLOOKUP(B12,'Share, heavy weapons to Ukraine'!A:CC,COLUMN('Share, heavy weapons to Ukraine'!$BO$1),FALSE)+VLOOKUP(B12,'Share, heavy weapons to Ukraine'!A:CC,COLUMN('Share, heavy weapons to Ukraine'!$BP$1),FALSE)+VLOOKUP(B12,'Share, heavy weapons to Ukraine'!A:CC,COLUMN('Share, heavy weapons to Ukraine'!$BQ$1),FALSE)+VLOOKUP(B12,'Share, heavy weapons to Ukraine'!A:CC,COLUMN('Share, heavy weapons to Ukraine'!$BR$1),FALSE))/7</f>
        <v>5.2631578947368418E-2</v>
      </c>
      <c r="H12" s="8">
        <f>(VLOOKUP(B12,'Share, heavy weapons to Ukraine'!A:CC,COLUMN('Share, heavy weapons to Ukraine'!$BF$1),FALSE))</f>
        <v>0.36842105263157893</v>
      </c>
      <c r="I12" s="8">
        <f>VLOOKUP(B12,'Share, heavy weapons to Ukraine'!A:CC,COLUMN('Share, heavy weapons to Ukraine'!$BL$1),FALSE)</f>
        <v>0</v>
      </c>
      <c r="J12" s="8">
        <f>VLOOKUP(B12,'Share, heavy weapons to Ukraine'!A:CC,COLUMN('Share, heavy weapons to Ukraine'!$BM$1),FALSE)</f>
        <v>0</v>
      </c>
      <c r="K12" s="8">
        <f>VLOOKUP(B12,'Share, heavy weapons to Ukraine'!A:CC,COLUMN('Share, heavy weapons to Ukraine'!$BO$1),FALSE)</f>
        <v>0</v>
      </c>
      <c r="L12" s="8">
        <f>VLOOKUP(B12,'Share, heavy weapons to Ukraine'!A:CC,COLUMN('Share, heavy weapons to Ukraine'!$BP$1),FALSE)</f>
        <v>0</v>
      </c>
      <c r="M12" s="8">
        <f>VLOOKUP(B12,'Share, heavy weapons to Ukraine'!A:CC,COLUMN('Share, heavy weapons to Ukraine'!$BQ$1),FALSE)</f>
        <v>0</v>
      </c>
      <c r="N12" s="8">
        <f>VLOOKUP(B12,'Share, heavy weapons to Ukraine'!A:CC,COLUMN('Share, heavy weapons to Ukraine'!$BR$1),FALSE)</f>
        <v>0</v>
      </c>
      <c r="O12" s="8">
        <v>0</v>
      </c>
      <c r="P12" s="8">
        <f>VLOOKUP(B12,'Share, heavy weapons to Ukraine'!A:CC,COLUMN('Share, heavy weapons to Ukraine'!$C$1),FALSE)</f>
        <v>1</v>
      </c>
      <c r="Q12" s="8">
        <f>VLOOKUP(B12,'Share, heavy weapons to Ukraine'!A:CC,COLUMN('Share, heavy weapons to Ukraine'!$B$1),FALSE)</f>
        <v>0</v>
      </c>
    </row>
    <row r="13" spans="2:19" ht="15.6">
      <c r="B13" s="8" t="s">
        <v>3173</v>
      </c>
      <c r="C13" s="8">
        <f>(VLOOKUP(B13,'Share, heavy weapons to Ukraine'!A:CC,COLUMN('Share, heavy weapons to Ukraine'!$BF$1),FALSE)+VLOOKUP(B13,'Share, heavy weapons to Ukraine'!A:CC,COLUMN('Share, heavy weapons to Ukraine'!$BK$1),FALSE)+VLOOKUP(B13,'Share, heavy weapons to Ukraine'!A:CC,COLUMN('Share, heavy weapons to Ukraine'!$BL$1),FALSE)+VLOOKUP(B13,'Share, heavy weapons to Ukraine'!A:CC,COLUMN('Share, heavy weapons to Ukraine'!$BM$1),FALSE))/4</f>
        <v>4.8265755658138669E-2</v>
      </c>
      <c r="D13" s="8">
        <f>(VLOOKUP(B13,'Share, heavy weapons to Ukraine'!A:CC,COLUMN('Share, heavy weapons to Ukraine'!$BF$1),FALSE)+VLOOKUP(B13,'Share, heavy weapons to Ukraine'!A:CC,COLUMN('Share, heavy weapons to Ukraine'!$BJ$1),FALSE)+VLOOKUP(B13,'Share, heavy weapons to Ukraine'!A:CC,COLUMN('Share, heavy weapons to Ukraine'!$BL$1),FALSE)+VLOOKUP(B13,'Share, heavy weapons to Ukraine'!A:CC,COLUMN('Share, heavy weapons to Ukraine'!$BM$1),FALSE))/4</f>
        <v>4.8066616719101153E-2</v>
      </c>
      <c r="E13" s="8">
        <f>(VLOOKUP(B13,'Share, heavy weapons to Ukraine'!A:CC,COLUMN('Share, heavy weapons to Ukraine'!$BT$1),FALSE)+VLOOKUP(B13,'Share, heavy weapons to Ukraine'!A:CC,COLUMN('Share, heavy weapons to Ukraine'!$BZ$1),FALSE)+VLOOKUP(B13,'Share, heavy weapons to Ukraine'!A:CC,COLUMN('Share, heavy weapons to Ukraine'!$CA$1),FALSE)+VLOOKUP(B13,'Share, heavy weapons to Ukraine'!A:CC,COLUMN('Share, heavy weapons to Ukraine'!$CC$1),FALSE)+VLOOKUP(B13,'Share, heavy weapons to Ukraine'!A:CF,COLUMN('Share, heavy weapons to Ukraine'!$CD$1),FALSE)+VLOOKUP(B13,'Share, heavy weapons to Ukraine'!A:CF,COLUMN('Share, heavy weapons to Ukraine'!$CE$1),FALSE)+VLOOKUP(B13,'Share, heavy weapons to Ukraine'!A:CF,COLUMN('Share, heavy weapons to Ukraine'!$CF$1),FALSE))/7</f>
        <v>2.5951033172793122E-2</v>
      </c>
      <c r="F13" s="8">
        <f t="shared" si="0"/>
        <v>1.2759479654668244E-2</v>
      </c>
      <c r="G13" s="8">
        <f>(VLOOKUP(B13,'Share, heavy weapons to Ukraine'!A:CC,COLUMN('Share, heavy weapons to Ukraine'!$BF$1),FALSE)+VLOOKUP(B13,'Share, heavy weapons to Ukraine'!A:CC,COLUMN('Share, heavy weapons to Ukraine'!$BL$1),FALSE)+VLOOKUP(B13,'Share, heavy weapons to Ukraine'!A:CC,COLUMN('Share, heavy weapons to Ukraine'!$BM$1),FALSE)+VLOOKUP(B13,'Share, heavy weapons to Ukraine'!A:CC,COLUMN('Share, heavy weapons to Ukraine'!$BO$1),FALSE)+VLOOKUP(B13,'Share, heavy weapons to Ukraine'!A:CC,COLUMN('Share, heavy weapons to Ukraine'!$BP$1),FALSE)+VLOOKUP(B13,'Share, heavy weapons to Ukraine'!A:CC,COLUMN('Share, heavy weapons to Ukraine'!$BQ$1),FALSE)+VLOOKUP(B13,'Share, heavy weapons to Ukraine'!A:CC,COLUMN('Share, heavy weapons to Ukraine'!$BR$1),FALSE))/7</f>
        <v>3.8710512827461366E-2</v>
      </c>
      <c r="H13" s="8">
        <f>(VLOOKUP(B13,'Share, heavy weapons to Ukraine'!A:CC,COLUMN('Share, heavy weapons to Ukraine'!$BF$1),FALSE))</f>
        <v>8.4375662497350012E-2</v>
      </c>
      <c r="I13" s="8">
        <f>VLOOKUP(B13,'Share, heavy weapons to Ukraine'!A:CC,COLUMN('Share, heavy weapons to Ukraine'!$BL$1),FALSE)</f>
        <v>4.8987854251012146E-2</v>
      </c>
      <c r="J13" s="8">
        <f>VLOOKUP(B13,'Share, heavy weapons to Ukraine'!A:CC,COLUMN('Share, heavy weapons to Ukraine'!$BM$1),FALSE)</f>
        <v>3.5935563816604711E-2</v>
      </c>
      <c r="K13" s="8">
        <f>VLOOKUP(B13,'Share, heavy weapons to Ukraine'!A:CC,COLUMN('Share, heavy weapons to Ukraine'!$BO$1),FALSE)</f>
        <v>4.9261083743842365E-3</v>
      </c>
      <c r="L13" s="8">
        <f>VLOOKUP(B13,'Share, heavy weapons to Ukraine'!A:CC,COLUMN('Share, heavy weapons to Ukraine'!$BP$1),FALSE)</f>
        <v>8.9285714285714288E-2</v>
      </c>
      <c r="M13" s="8">
        <f>VLOOKUP(B13,'Share, heavy weapons to Ukraine'!A:CC,COLUMN('Share, heavy weapons to Ukraine'!$BQ$1),FALSE)</f>
        <v>7.462686567164179E-3</v>
      </c>
      <c r="N13" s="8">
        <f>VLOOKUP(B13,'Share, heavy weapons to Ukraine'!A:CC,COLUMN('Share, heavy weapons to Ukraine'!$BR$1),FALSE)</f>
        <v>0</v>
      </c>
    </row>
    <row r="14" spans="2:19" ht="15.6">
      <c r="B14" s="8" t="s">
        <v>767</v>
      </c>
      <c r="C14" s="8">
        <f>(VLOOKUP(B14,'Share, heavy weapons to Ukraine'!A:CC,COLUMN('Share, heavy weapons to Ukraine'!$BF$1),FALSE)+VLOOKUP(B14,'Share, heavy weapons to Ukraine'!A:CC,COLUMN('Share, heavy weapons to Ukraine'!$BK$1),FALSE)+VLOOKUP(B14,'Share, heavy weapons to Ukraine'!A:CC,COLUMN('Share, heavy weapons to Ukraine'!$BL$1),FALSE)+VLOOKUP(B14,'Share, heavy weapons to Ukraine'!A:CC,COLUMN('Share, heavy weapons to Ukraine'!$BM$1),FALSE))/4</f>
        <v>8.9039278131634814E-2</v>
      </c>
      <c r="D14" s="8">
        <f>(VLOOKUP(B14,'Share, heavy weapons to Ukraine'!A:CC,COLUMN('Share, heavy weapons to Ukraine'!$BF$1),FALSE)+VLOOKUP(B14,'Share, heavy weapons to Ukraine'!A:CC,COLUMN('Share, heavy weapons to Ukraine'!$BJ$1),FALSE)+VLOOKUP(B14,'Share, heavy weapons to Ukraine'!A:CC,COLUMN('Share, heavy weapons to Ukraine'!$BL$1),FALSE)+VLOOKUP(B14,'Share, heavy weapons to Ukraine'!A:CC,COLUMN('Share, heavy weapons to Ukraine'!$BM$1),FALSE))/4</f>
        <v>6.25E-2</v>
      </c>
      <c r="E14" s="8">
        <f>(VLOOKUP(B14,'Share, heavy weapons to Ukraine'!A:CC,COLUMN('Share, heavy weapons to Ukraine'!$BT$1),FALSE)+VLOOKUP(B14,'Share, heavy weapons to Ukraine'!A:CC,COLUMN('Share, heavy weapons to Ukraine'!$BZ$1),FALSE)+VLOOKUP(B14,'Share, heavy weapons to Ukraine'!A:CC,COLUMN('Share, heavy weapons to Ukraine'!$CA$1),FALSE)+VLOOKUP(B14,'Share, heavy weapons to Ukraine'!A:CC,COLUMN('Share, heavy weapons to Ukraine'!$CC$1),FALSE)+VLOOKUP(B14,'Share, heavy weapons to Ukraine'!A:CF,COLUMN('Share, heavy weapons to Ukraine'!$CD$1),FALSE)+VLOOKUP(B14,'Share, heavy weapons to Ukraine'!A:CF,COLUMN('Share, heavy weapons to Ukraine'!$CE$1),FALSE)+VLOOKUP(B14,'Share, heavy weapons to Ukraine'!A:CF,COLUMN('Share, heavy weapons to Ukraine'!$CF$1),FALSE))/7</f>
        <v>0</v>
      </c>
      <c r="F14" s="8">
        <f t="shared" si="0"/>
        <v>3.5714285714285712E-2</v>
      </c>
      <c r="G14" s="8">
        <f>(VLOOKUP(B14,'Share, heavy weapons to Ukraine'!A:CC,COLUMN('Share, heavy weapons to Ukraine'!$BF$1),FALSE)+VLOOKUP(B14,'Share, heavy weapons to Ukraine'!A:CC,COLUMN('Share, heavy weapons to Ukraine'!$BL$1),FALSE)+VLOOKUP(B14,'Share, heavy weapons to Ukraine'!A:CC,COLUMN('Share, heavy weapons to Ukraine'!$BM$1),FALSE)+VLOOKUP(B14,'Share, heavy weapons to Ukraine'!A:CC,COLUMN('Share, heavy weapons to Ukraine'!$BO$1),FALSE)+VLOOKUP(B14,'Share, heavy weapons to Ukraine'!A:CC,COLUMN('Share, heavy weapons to Ukraine'!$BP$1),FALSE)+VLOOKUP(B14,'Share, heavy weapons to Ukraine'!A:CC,COLUMN('Share, heavy weapons to Ukraine'!$BQ$1),FALSE)+VLOOKUP(B14,'Share, heavy weapons to Ukraine'!A:CC,COLUMN('Share, heavy weapons to Ukraine'!$BR$1),FALSE))/7</f>
        <v>3.5714285714285712E-2</v>
      </c>
      <c r="H14" s="8">
        <f>(VLOOKUP(B14,'Share, heavy weapons to Ukraine'!A:CC,COLUMN('Share, heavy weapons to Ukraine'!$BF$1),FALSE))</f>
        <v>0</v>
      </c>
      <c r="I14" s="8">
        <f>VLOOKUP(B14,'Share, heavy weapons to Ukraine'!A:CC,COLUMN('Share, heavy weapons to Ukraine'!$BL$1),FALSE)</f>
        <v>0.25</v>
      </c>
      <c r="J14" s="8">
        <f>VLOOKUP(B14,'Share, heavy weapons to Ukraine'!A:CC,COLUMN('Share, heavy weapons to Ukraine'!$BM$1),FALSE)</f>
        <v>0</v>
      </c>
      <c r="K14" s="8">
        <f>VLOOKUP(B14,'Share, heavy weapons to Ukraine'!A:CC,COLUMN('Share, heavy weapons to Ukraine'!$BO$1),FALSE)</f>
        <v>0</v>
      </c>
      <c r="L14" s="8">
        <f>VLOOKUP(B14,'Share, heavy weapons to Ukraine'!A:CC,COLUMN('Share, heavy weapons to Ukraine'!$BP$1),FALSE)</f>
        <v>0</v>
      </c>
      <c r="M14" s="8">
        <f>VLOOKUP(B14,'Share, heavy weapons to Ukraine'!A:CC,COLUMN('Share, heavy weapons to Ukraine'!$BQ$1),FALSE)</f>
        <v>0</v>
      </c>
      <c r="N14" s="8">
        <f>VLOOKUP(B14,'Share, heavy weapons to Ukraine'!A:CC,COLUMN('Share, heavy weapons to Ukraine'!$BR$1),FALSE)</f>
        <v>0</v>
      </c>
      <c r="O14" s="8">
        <v>0</v>
      </c>
      <c r="P14" s="8">
        <f>VLOOKUP(B14,'Share, heavy weapons to Ukraine'!A:CC,COLUMN('Share, heavy weapons to Ukraine'!$C$1),FALSE)</f>
        <v>1</v>
      </c>
      <c r="Q14" s="8">
        <f>VLOOKUP(B14,'Share, heavy weapons to Ukraine'!A:CC,COLUMN('Share, heavy weapons to Ukraine'!$B$1),FALSE)</f>
        <v>0</v>
      </c>
    </row>
    <row r="15" spans="2:19" ht="15.6">
      <c r="B15" s="8" t="s">
        <v>1412</v>
      </c>
      <c r="C15" s="8">
        <f>(VLOOKUP(B15,'Share, heavy weapons to Ukraine'!A:CC,COLUMN('Share, heavy weapons to Ukraine'!$BF$1),FALSE)+VLOOKUP(B15,'Share, heavy weapons to Ukraine'!A:CC,COLUMN('Share, heavy weapons to Ukraine'!$BK$1),FALSE)+VLOOKUP(B15,'Share, heavy weapons to Ukraine'!A:CC,COLUMN('Share, heavy weapons to Ukraine'!$BL$1),FALSE)+VLOOKUP(B15,'Share, heavy weapons to Ukraine'!A:CC,COLUMN('Share, heavy weapons to Ukraine'!$BM$1),FALSE))/4</f>
        <v>6.3391925647593689E-2</v>
      </c>
      <c r="D15" s="8">
        <f>(VLOOKUP(B15,'Share, heavy weapons to Ukraine'!A:CC,COLUMN('Share, heavy weapons to Ukraine'!$BF$1),FALSE)+VLOOKUP(B15,'Share, heavy weapons to Ukraine'!A:CC,COLUMN('Share, heavy weapons to Ukraine'!$BJ$1),FALSE)+VLOOKUP(B15,'Share, heavy weapons to Ukraine'!A:CC,COLUMN('Share, heavy weapons to Ukraine'!$BL$1),FALSE)+VLOOKUP(B15,'Share, heavy weapons to Ukraine'!A:CC,COLUMN('Share, heavy weapons to Ukraine'!$BM$1),FALSE))/4</f>
        <v>6.1353882169332817E-2</v>
      </c>
      <c r="E15" s="8">
        <f>(VLOOKUP(B15,'Share, heavy weapons to Ukraine'!A:CC,COLUMN('Share, heavy weapons to Ukraine'!$BT$1),FALSE)+VLOOKUP(B15,'Share, heavy weapons to Ukraine'!A:CC,COLUMN('Share, heavy weapons to Ukraine'!$BZ$1),FALSE)+VLOOKUP(B15,'Share, heavy weapons to Ukraine'!A:CC,COLUMN('Share, heavy weapons to Ukraine'!$CA$1),FALSE)+VLOOKUP(B15,'Share, heavy weapons to Ukraine'!A:CC,COLUMN('Share, heavy weapons to Ukraine'!$CC$1),FALSE)+VLOOKUP(B15,'Share, heavy weapons to Ukraine'!A:CF,COLUMN('Share, heavy weapons to Ukraine'!$CD$1),FALSE)+VLOOKUP(B15,'Share, heavy weapons to Ukraine'!A:CF,COLUMN('Share, heavy weapons to Ukraine'!$CE$1),FALSE)+VLOOKUP(B15,'Share, heavy weapons to Ukraine'!A:CF,COLUMN('Share, heavy weapons to Ukraine'!$CF$1),FALSE))/7</f>
        <v>3.5059361239618753E-2</v>
      </c>
      <c r="F15" s="8">
        <f t="shared" si="0"/>
        <v>0</v>
      </c>
      <c r="G15" s="8">
        <f>(VLOOKUP(B15,'Share, heavy weapons to Ukraine'!A:CC,COLUMN('Share, heavy weapons to Ukraine'!$BF$1),FALSE)+VLOOKUP(B15,'Share, heavy weapons to Ukraine'!A:CC,COLUMN('Share, heavy weapons to Ukraine'!$BL$1),FALSE)+VLOOKUP(B15,'Share, heavy weapons to Ukraine'!A:CC,COLUMN('Share, heavy weapons to Ukraine'!$BM$1),FALSE)+VLOOKUP(B15,'Share, heavy weapons to Ukraine'!A:CC,COLUMN('Share, heavy weapons to Ukraine'!$BO$1),FALSE)+VLOOKUP(B15,'Share, heavy weapons to Ukraine'!A:CC,COLUMN('Share, heavy weapons to Ukraine'!$BP$1),FALSE)+VLOOKUP(B15,'Share, heavy weapons to Ukraine'!A:CC,COLUMN('Share, heavy weapons to Ukraine'!$BQ$1),FALSE)+VLOOKUP(B15,'Share, heavy weapons to Ukraine'!A:CC,COLUMN('Share, heavy weapons to Ukraine'!$BR$1),FALSE))/7</f>
        <v>3.5059361239618753E-2</v>
      </c>
      <c r="H15" s="8">
        <f>(VLOOKUP(B15,'Share, heavy weapons to Ukraine'!A:CC,COLUMN('Share, heavy weapons to Ukraine'!$BF$1),FALSE))</f>
        <v>0</v>
      </c>
      <c r="I15" s="8">
        <f>VLOOKUP(B15,'Share, heavy weapons to Ukraine'!A:CC,COLUMN('Share, heavy weapons to Ukraine'!$BL$1),FALSE)</f>
        <v>0.15450643776824036</v>
      </c>
      <c r="J15" s="8">
        <f>VLOOKUP(B15,'Share, heavy weapons to Ukraine'!A:CC,COLUMN('Share, heavy weapons to Ukraine'!$BM$1),FALSE)</f>
        <v>9.0909090909090912E-2</v>
      </c>
      <c r="K15" s="8">
        <f>VLOOKUP(B15,'Share, heavy weapons to Ukraine'!A:CC,COLUMN('Share, heavy weapons to Ukraine'!$BO$1),FALSE)</f>
        <v>0</v>
      </c>
      <c r="L15" s="8">
        <f>VLOOKUP(B15,'Share, heavy weapons to Ukraine'!A:CC,COLUMN('Share, heavy weapons to Ukraine'!$BP$1),FALSE)</f>
        <v>0</v>
      </c>
      <c r="M15" s="8">
        <f>VLOOKUP(B15,'Share, heavy weapons to Ukraine'!A:CC,COLUMN('Share, heavy weapons to Ukraine'!$BQ$1),FALSE)</f>
        <v>0</v>
      </c>
      <c r="N15" s="8">
        <f>VLOOKUP(B15,'Share, heavy weapons to Ukraine'!A:CC,COLUMN('Share, heavy weapons to Ukraine'!$BR$1),FALSE)</f>
        <v>0</v>
      </c>
      <c r="O15" s="8">
        <v>4</v>
      </c>
      <c r="P15" s="8">
        <f>VLOOKUP(B15,'Share, heavy weapons to Ukraine'!A:CC,COLUMN('Share, heavy weapons to Ukraine'!$C$1),FALSE)</f>
        <v>1</v>
      </c>
      <c r="Q15" s="8">
        <f>VLOOKUP(B15,'Share, heavy weapons to Ukraine'!A:CC,COLUMN('Share, heavy weapons to Ukraine'!$B$1),FALSE)</f>
        <v>0</v>
      </c>
    </row>
    <row r="16" spans="2:19" ht="15.6">
      <c r="B16" s="8" t="s">
        <v>2548</v>
      </c>
      <c r="C16" s="8">
        <f>(VLOOKUP(B16,'Share, heavy weapons to Ukraine'!A:CC,COLUMN('Share, heavy weapons to Ukraine'!$BF$1),FALSE)+VLOOKUP(B16,'Share, heavy weapons to Ukraine'!A:CC,COLUMN('Share, heavy weapons to Ukraine'!$BK$1),FALSE)+VLOOKUP(B16,'Share, heavy weapons to Ukraine'!A:CC,COLUMN('Share, heavy weapons to Ukraine'!$BL$1),FALSE)+VLOOKUP(B16,'Share, heavy weapons to Ukraine'!A:CC,COLUMN('Share, heavy weapons to Ukraine'!$BM$1),FALSE))/4</f>
        <v>3.4307176160014996E-2</v>
      </c>
      <c r="D16" s="8">
        <f>(VLOOKUP(B16,'Share, heavy weapons to Ukraine'!A:CC,COLUMN('Share, heavy weapons to Ukraine'!$BF$1),FALSE)+VLOOKUP(B16,'Share, heavy weapons to Ukraine'!A:CC,COLUMN('Share, heavy weapons to Ukraine'!$BJ$1),FALSE)+VLOOKUP(B16,'Share, heavy weapons to Ukraine'!A:CC,COLUMN('Share, heavy weapons to Ukraine'!$BL$1),FALSE)+VLOOKUP(B16,'Share, heavy weapons to Ukraine'!A:CC,COLUMN('Share, heavy weapons to Ukraine'!$BM$1),FALSE))/4</f>
        <v>2.9217752664585088E-2</v>
      </c>
      <c r="E16" s="8">
        <f>(VLOOKUP(B16,'Share, heavy weapons to Ukraine'!A:CC,COLUMN('Share, heavy weapons to Ukraine'!$BT$1),FALSE)+VLOOKUP(B16,'Share, heavy weapons to Ukraine'!A:CC,COLUMN('Share, heavy weapons to Ukraine'!$BZ$1),FALSE)+VLOOKUP(B16,'Share, heavy weapons to Ukraine'!A:CC,COLUMN('Share, heavy weapons to Ukraine'!$CA$1),FALSE)+VLOOKUP(B16,'Share, heavy weapons to Ukraine'!A:CC,COLUMN('Share, heavy weapons to Ukraine'!$CC$1),FALSE)+VLOOKUP(B16,'Share, heavy weapons to Ukraine'!A:CF,COLUMN('Share, heavy weapons to Ukraine'!$CD$1),FALSE)+VLOOKUP(B16,'Share, heavy weapons to Ukraine'!A:CF,COLUMN('Share, heavy weapons to Ukraine'!$CE$1),FALSE)+VLOOKUP(B16,'Share, heavy weapons to Ukraine'!A:CF,COLUMN('Share, heavy weapons to Ukraine'!$CF$1),FALSE))/7</f>
        <v>2.3787924854546845E-2</v>
      </c>
      <c r="F16" s="8">
        <f t="shared" si="0"/>
        <v>8.2676720007195947E-3</v>
      </c>
      <c r="G16" s="8">
        <f>(VLOOKUP(B16,'Share, heavy weapons to Ukraine'!A:CC,COLUMN('Share, heavy weapons to Ukraine'!$BF$1),FALSE)+VLOOKUP(B16,'Share, heavy weapons to Ukraine'!A:CC,COLUMN('Share, heavy weapons to Ukraine'!$BL$1),FALSE)+VLOOKUP(B16,'Share, heavy weapons to Ukraine'!A:CC,COLUMN('Share, heavy weapons to Ukraine'!$BM$1),FALSE)+VLOOKUP(B16,'Share, heavy weapons to Ukraine'!A:CC,COLUMN('Share, heavy weapons to Ukraine'!$BO$1),FALSE)+VLOOKUP(B16,'Share, heavy weapons to Ukraine'!A:CC,COLUMN('Share, heavy weapons to Ukraine'!$BP$1),FALSE)+VLOOKUP(B16,'Share, heavy weapons to Ukraine'!A:CC,COLUMN('Share, heavy weapons to Ukraine'!$BQ$1),FALSE)+VLOOKUP(B16,'Share, heavy weapons to Ukraine'!A:CC,COLUMN('Share, heavy weapons to Ukraine'!$BR$1),FALSE))/7</f>
        <v>3.205559685526644E-2</v>
      </c>
      <c r="H16" s="8">
        <f>(VLOOKUP(B16,'Share, heavy weapons to Ukraine'!A:CC,COLUMN('Share, heavy weapons to Ukraine'!$BF$1),FALSE))</f>
        <v>7.3831009023789989E-3</v>
      </c>
      <c r="I16" s="8">
        <f>VLOOKUP(B16,'Share, heavy weapons to Ukraine'!A:CC,COLUMN('Share, heavy weapons to Ukraine'!$BL$1),FALSE)</f>
        <v>4.9645390070921988E-2</v>
      </c>
      <c r="J16" s="8">
        <f>VLOOKUP(B16,'Share, heavy weapons to Ukraine'!A:CC,COLUMN('Share, heavy weapons to Ukraine'!$BM$1),FALSE)</f>
        <v>5.9842519685039369E-2</v>
      </c>
      <c r="K16" s="8">
        <f>VLOOKUP(B16,'Share, heavy weapons to Ukraine'!A:CC,COLUMN('Share, heavy weapons to Ukraine'!$BO$1),FALSE)</f>
        <v>0</v>
      </c>
      <c r="L16" s="8">
        <f>VLOOKUP(B16,'Share, heavy weapons to Ukraine'!A:CC,COLUMN('Share, heavy weapons to Ukraine'!$BP$1),FALSE)</f>
        <v>0</v>
      </c>
      <c r="M16" s="8">
        <f>VLOOKUP(B16,'Share, heavy weapons to Ukraine'!A:CC,COLUMN('Share, heavy weapons to Ukraine'!$BQ$1),FALSE)</f>
        <v>9.8765432098765427E-2</v>
      </c>
      <c r="N16" s="8">
        <f>VLOOKUP(B16,'Share, heavy weapons to Ukraine'!A:CC,COLUMN('Share, heavy weapons to Ukraine'!$BR$1),FALSE)</f>
        <v>8.7527352297592995E-3</v>
      </c>
      <c r="P16" s="8">
        <f>VLOOKUP(B16,'Share, heavy weapons to Ukraine'!A:CC,COLUMN('Share, heavy weapons to Ukraine'!$C$1),FALSE)</f>
        <v>0</v>
      </c>
      <c r="Q16" s="8">
        <f>VLOOKUP(B16,'Share, heavy weapons to Ukraine'!A:CC,COLUMN('Share, heavy weapons to Ukraine'!$B$1),FALSE)</f>
        <v>1</v>
      </c>
    </row>
    <row r="17" spans="2:17" ht="15.6">
      <c r="B17" s="8" t="s">
        <v>3174</v>
      </c>
      <c r="C17" s="8">
        <f>(VLOOKUP(B17,'Share, heavy weapons to Ukraine'!A:CC,COLUMN('Share, heavy weapons to Ukraine'!$BF$1),FALSE)+VLOOKUP(B17,'Share, heavy weapons to Ukraine'!A:CC,COLUMN('Share, heavy weapons to Ukraine'!$BK$1),FALSE)+VLOOKUP(B17,'Share, heavy weapons to Ukraine'!A:CC,COLUMN('Share, heavy weapons to Ukraine'!$BL$1),FALSE)+VLOOKUP(B17,'Share, heavy weapons to Ukraine'!A:CC,COLUMN('Share, heavy weapons to Ukraine'!$BM$1),FALSE))/4</f>
        <v>3.1493240729923794E-2</v>
      </c>
      <c r="D17" s="8">
        <f>(VLOOKUP(B17,'Share, heavy weapons to Ukraine'!A:CC,COLUMN('Share, heavy weapons to Ukraine'!$BF$1),FALSE)+VLOOKUP(B17,'Share, heavy weapons to Ukraine'!A:CC,COLUMN('Share, heavy weapons to Ukraine'!$BJ$1),FALSE)+VLOOKUP(B17,'Share, heavy weapons to Ukraine'!A:CC,COLUMN('Share, heavy weapons to Ukraine'!$BL$1),FALSE)+VLOOKUP(B17,'Share, heavy weapons to Ukraine'!A:CC,COLUMN('Share, heavy weapons to Ukraine'!$BM$1),FALSE))/4</f>
        <v>2.6386733580813782E-2</v>
      </c>
      <c r="E17" s="8">
        <f>(VLOOKUP(B17,'Share, heavy weapons to Ukraine'!A:CC,COLUMN('Share, heavy weapons to Ukraine'!$BT$1),FALSE)+VLOOKUP(B17,'Share, heavy weapons to Ukraine'!A:CC,COLUMN('Share, heavy weapons to Ukraine'!$BZ$1),FALSE)+VLOOKUP(B17,'Share, heavy weapons to Ukraine'!A:CC,COLUMN('Share, heavy weapons to Ukraine'!$CA$1),FALSE)+VLOOKUP(B17,'Share, heavy weapons to Ukraine'!A:CC,COLUMN('Share, heavy weapons to Ukraine'!$CC$1),FALSE)+VLOOKUP(B17,'Share, heavy weapons to Ukraine'!A:CF,COLUMN('Share, heavy weapons to Ukraine'!$CD$1),FALSE)+VLOOKUP(B17,'Share, heavy weapons to Ukraine'!A:CF,COLUMN('Share, heavy weapons to Ukraine'!$CE$1),FALSE)+VLOOKUP(B17,'Share, heavy weapons to Ukraine'!A:CF,COLUMN('Share, heavy weapons to Ukraine'!$CF$1),FALSE))/7</f>
        <v>2.019636418856505E-2</v>
      </c>
      <c r="F17" s="8">
        <f t="shared" si="0"/>
        <v>6.5095131672432589E-3</v>
      </c>
      <c r="G17" s="8">
        <f>(VLOOKUP(B17,'Share, heavy weapons to Ukraine'!A:CC,COLUMN('Share, heavy weapons to Ukraine'!$BF$1),FALSE)+VLOOKUP(B17,'Share, heavy weapons to Ukraine'!A:CC,COLUMN('Share, heavy weapons to Ukraine'!$BL$1),FALSE)+VLOOKUP(B17,'Share, heavy weapons to Ukraine'!A:CC,COLUMN('Share, heavy weapons to Ukraine'!$BM$1),FALSE)+VLOOKUP(B17,'Share, heavy weapons to Ukraine'!A:CC,COLUMN('Share, heavy weapons to Ukraine'!$BO$1),FALSE)+VLOOKUP(B17,'Share, heavy weapons to Ukraine'!A:CC,COLUMN('Share, heavy weapons to Ukraine'!$BP$1),FALSE)+VLOOKUP(B17,'Share, heavy weapons to Ukraine'!A:CC,COLUMN('Share, heavy weapons to Ukraine'!$BQ$1),FALSE)+VLOOKUP(B17,'Share, heavy weapons to Ukraine'!A:CC,COLUMN('Share, heavy weapons to Ukraine'!$BR$1),FALSE))/7</f>
        <v>2.6705877355808309E-2</v>
      </c>
      <c r="H17" s="8">
        <f>(VLOOKUP(B17,'Share, heavy weapons to Ukraine'!A:CC,COLUMN('Share, heavy weapons to Ukraine'!$BF$1),FALSE))</f>
        <v>3.9025236319486603E-3</v>
      </c>
      <c r="I17" s="8">
        <f>VLOOKUP(B17,'Share, heavy weapons to Ukraine'!A:CC,COLUMN('Share, heavy weapons to Ukraine'!$BL$1),FALSE)</f>
        <v>4.4881125667151869E-2</v>
      </c>
      <c r="J17" s="8">
        <f>VLOOKUP(B17,'Share, heavy weapons to Ukraine'!A:CC,COLUMN('Share, heavy weapons to Ukraine'!$BM$1),FALSE)</f>
        <v>5.6763285024154592E-2</v>
      </c>
      <c r="K17" s="8">
        <f>VLOOKUP(B17,'Share, heavy weapons to Ukraine'!A:CC,COLUMN('Share, heavy weapons to Ukraine'!$BO$1),FALSE)</f>
        <v>0</v>
      </c>
      <c r="L17" s="8">
        <f>VLOOKUP(B17,'Share, heavy weapons to Ukraine'!A:CC,COLUMN('Share, heavy weapons to Ukraine'!$BP$1),FALSE)</f>
        <v>0</v>
      </c>
      <c r="M17" s="8">
        <f>VLOOKUP(B17,'Share, heavy weapons to Ukraine'!A:CC,COLUMN('Share, heavy weapons to Ukraine'!$BQ$1),FALSE)</f>
        <v>6.6666666666666666E-2</v>
      </c>
      <c r="N17" s="8">
        <f>VLOOKUP(B17,'Share, heavy weapons to Ukraine'!A:CC,COLUMN('Share, heavy weapons to Ukraine'!$BR$1),FALSE)</f>
        <v>1.4727540500736377E-2</v>
      </c>
    </row>
    <row r="18" spans="2:17" ht="15.6">
      <c r="B18" s="8" t="s">
        <v>2162</v>
      </c>
      <c r="C18" s="8">
        <f>(VLOOKUP(B18,'Share, heavy weapons to Ukraine'!A:CC,COLUMN('Share, heavy weapons to Ukraine'!$BF$1),FALSE)+VLOOKUP(B18,'Share, heavy weapons to Ukraine'!A:CC,COLUMN('Share, heavy weapons to Ukraine'!$BK$1),FALSE)+VLOOKUP(B18,'Share, heavy weapons to Ukraine'!A:CC,COLUMN('Share, heavy weapons to Ukraine'!$BL$1),FALSE)+VLOOKUP(B18,'Share, heavy weapons to Ukraine'!A:CC,COLUMN('Share, heavy weapons to Ukraine'!$BM$1),FALSE))/4</f>
        <v>4.925271739130435E-3</v>
      </c>
      <c r="D18" s="8">
        <f>(VLOOKUP(B18,'Share, heavy weapons to Ukraine'!A:CC,COLUMN('Share, heavy weapons to Ukraine'!$BF$1),FALSE)+VLOOKUP(B18,'Share, heavy weapons to Ukraine'!A:CC,COLUMN('Share, heavy weapons to Ukraine'!$BJ$1),FALSE)+VLOOKUP(B18,'Share, heavy weapons to Ukraine'!A:CC,COLUMN('Share, heavy weapons to Ukraine'!$BL$1),FALSE)+VLOOKUP(B18,'Share, heavy weapons to Ukraine'!A:CC,COLUMN('Share, heavy weapons to Ukraine'!$BM$1),FALSE))/4</f>
        <v>0</v>
      </c>
      <c r="E18" s="8">
        <f>(VLOOKUP(B18,'Share, heavy weapons to Ukraine'!A:CC,COLUMN('Share, heavy weapons to Ukraine'!$BT$1),FALSE)+VLOOKUP(B18,'Share, heavy weapons to Ukraine'!A:CC,COLUMN('Share, heavy weapons to Ukraine'!$BZ$1),FALSE)+VLOOKUP(B18,'Share, heavy weapons to Ukraine'!A:CC,COLUMN('Share, heavy weapons to Ukraine'!$CA$1),FALSE)+VLOOKUP(B18,'Share, heavy weapons to Ukraine'!A:CC,COLUMN('Share, heavy weapons to Ukraine'!$CC$1),FALSE)+VLOOKUP(B18,'Share, heavy weapons to Ukraine'!A:CF,COLUMN('Share, heavy weapons to Ukraine'!$CD$1),FALSE)+VLOOKUP(B18,'Share, heavy weapons to Ukraine'!A:CF,COLUMN('Share, heavy weapons to Ukraine'!$CE$1),FALSE)+VLOOKUP(B18,'Share, heavy weapons to Ukraine'!A:CF,COLUMN('Share, heavy weapons to Ukraine'!$CF$1),FALSE))/7</f>
        <v>1.5037593984962405E-2</v>
      </c>
      <c r="F18" s="8">
        <f t="shared" si="0"/>
        <v>7.5187969924812026E-3</v>
      </c>
      <c r="G18" s="8">
        <f>(VLOOKUP(B18,'Share, heavy weapons to Ukraine'!A:CC,COLUMN('Share, heavy weapons to Ukraine'!$BF$1),FALSE)+VLOOKUP(B18,'Share, heavy weapons to Ukraine'!A:CC,COLUMN('Share, heavy weapons to Ukraine'!$BL$1),FALSE)+VLOOKUP(B18,'Share, heavy weapons to Ukraine'!A:CC,COLUMN('Share, heavy weapons to Ukraine'!$BM$1),FALSE)+VLOOKUP(B18,'Share, heavy weapons to Ukraine'!A:CC,COLUMN('Share, heavy weapons to Ukraine'!$BO$1),FALSE)+VLOOKUP(B18,'Share, heavy weapons to Ukraine'!A:CC,COLUMN('Share, heavy weapons to Ukraine'!$BP$1),FALSE)+VLOOKUP(B18,'Share, heavy weapons to Ukraine'!A:CC,COLUMN('Share, heavy weapons to Ukraine'!$BQ$1),FALSE)+VLOOKUP(B18,'Share, heavy weapons to Ukraine'!A:CC,COLUMN('Share, heavy weapons to Ukraine'!$BR$1),FALSE))/7</f>
        <v>2.2556390977443608E-2</v>
      </c>
      <c r="H18" s="8">
        <f>(VLOOKUP(B18,'Share, heavy weapons to Ukraine'!A:CC,COLUMN('Share, heavy weapons to Ukraine'!$BF$1),FALSE))</f>
        <v>0</v>
      </c>
      <c r="I18" s="8">
        <f>VLOOKUP(B18,'Share, heavy weapons to Ukraine'!A:CC,COLUMN('Share, heavy weapons to Ukraine'!$BL$1),FALSE)</f>
        <v>0</v>
      </c>
      <c r="J18" s="8">
        <f>VLOOKUP(B18,'Share, heavy weapons to Ukraine'!A:CC,COLUMN('Share, heavy weapons to Ukraine'!$BM$1),FALSE)</f>
        <v>0</v>
      </c>
      <c r="K18" s="8">
        <f>VLOOKUP(B18,'Share, heavy weapons to Ukraine'!A:CC,COLUMN('Share, heavy weapons to Ukraine'!$BO$1),FALSE)</f>
        <v>0</v>
      </c>
      <c r="L18" s="8">
        <f>VLOOKUP(B18,'Share, heavy weapons to Ukraine'!A:CC,COLUMN('Share, heavy weapons to Ukraine'!$BP$1),FALSE)</f>
        <v>0.15789473684210525</v>
      </c>
      <c r="M18" s="8">
        <f>VLOOKUP(B18,'Share, heavy weapons to Ukraine'!A:CC,COLUMN('Share, heavy weapons to Ukraine'!$BQ$1),FALSE)</f>
        <v>0</v>
      </c>
      <c r="N18" s="8">
        <f>VLOOKUP(B18,'Share, heavy weapons to Ukraine'!A:CC,COLUMN('Share, heavy weapons to Ukraine'!$BR$1),FALSE)</f>
        <v>0</v>
      </c>
      <c r="O18" s="8">
        <v>3</v>
      </c>
      <c r="P18" s="8">
        <f>VLOOKUP(B18,'Share, heavy weapons to Ukraine'!A:CC,COLUMN('Share, heavy weapons to Ukraine'!$C$1),FALSE)</f>
        <v>1</v>
      </c>
      <c r="Q18" s="8">
        <f>VLOOKUP(B18,'Share, heavy weapons to Ukraine'!A:CC,COLUMN('Share, heavy weapons to Ukraine'!$B$1),FALSE)</f>
        <v>0</v>
      </c>
    </row>
    <row r="19" spans="2:17" ht="15.6">
      <c r="B19" s="8" t="s">
        <v>1687</v>
      </c>
      <c r="C19" s="8">
        <f>(VLOOKUP(B19,'Share, heavy weapons to Ukraine'!A:CC,COLUMN('Share, heavy weapons to Ukraine'!$BF$1),FALSE)+VLOOKUP(B19,'Share, heavy weapons to Ukraine'!A:CC,COLUMN('Share, heavy weapons to Ukraine'!$BK$1),FALSE)+VLOOKUP(B19,'Share, heavy weapons to Ukraine'!A:CC,COLUMN('Share, heavy weapons to Ukraine'!$BL$1),FALSE)+VLOOKUP(B19,'Share, heavy weapons to Ukraine'!A:CC,COLUMN('Share, heavy weapons to Ukraine'!$BM$1),FALSE))/4</f>
        <v>3.5714285714285712E-2</v>
      </c>
      <c r="D19" s="8">
        <f>(VLOOKUP(B19,'Share, heavy weapons to Ukraine'!A:CC,COLUMN('Share, heavy weapons to Ukraine'!$BF$1),FALSE)+VLOOKUP(B19,'Share, heavy weapons to Ukraine'!A:CC,COLUMN('Share, heavy weapons to Ukraine'!$BJ$1),FALSE)+VLOOKUP(B19,'Share, heavy weapons to Ukraine'!A:CC,COLUMN('Share, heavy weapons to Ukraine'!$BL$1),FALSE)+VLOOKUP(B19,'Share, heavy weapons to Ukraine'!A:CC,COLUMN('Share, heavy weapons to Ukraine'!$BM$1),FALSE))/4</f>
        <v>3.5714285714285712E-2</v>
      </c>
      <c r="E19" s="8">
        <f>(VLOOKUP(B19,'Share, heavy weapons to Ukraine'!A:CC,COLUMN('Share, heavy weapons to Ukraine'!$BT$1),FALSE)+VLOOKUP(B19,'Share, heavy weapons to Ukraine'!A:CC,COLUMN('Share, heavy weapons to Ukraine'!$BZ$1),FALSE)+VLOOKUP(B19,'Share, heavy weapons to Ukraine'!A:CC,COLUMN('Share, heavy weapons to Ukraine'!$CA$1),FALSE)+VLOOKUP(B19,'Share, heavy weapons to Ukraine'!A:CC,COLUMN('Share, heavy weapons to Ukraine'!$CC$1),FALSE)+VLOOKUP(B19,'Share, heavy weapons to Ukraine'!A:CF,COLUMN('Share, heavy weapons to Ukraine'!$CD$1),FALSE)+VLOOKUP(B19,'Share, heavy weapons to Ukraine'!A:CF,COLUMN('Share, heavy weapons to Ukraine'!$CE$1),FALSE)+VLOOKUP(B19,'Share, heavy weapons to Ukraine'!A:CF,COLUMN('Share, heavy weapons to Ukraine'!$CF$1),FALSE))/7</f>
        <v>1.2755102040816327E-2</v>
      </c>
      <c r="F19" s="8">
        <f t="shared" si="0"/>
        <v>7.653061224489794E-3</v>
      </c>
      <c r="G19" s="8">
        <f>(VLOOKUP(B19,'Share, heavy weapons to Ukraine'!A:CC,COLUMN('Share, heavy weapons to Ukraine'!$BF$1),FALSE)+VLOOKUP(B19,'Share, heavy weapons to Ukraine'!A:CC,COLUMN('Share, heavy weapons to Ukraine'!$BL$1),FALSE)+VLOOKUP(B19,'Share, heavy weapons to Ukraine'!A:CC,COLUMN('Share, heavy weapons to Ukraine'!$BM$1),FALSE)+VLOOKUP(B19,'Share, heavy weapons to Ukraine'!A:CC,COLUMN('Share, heavy weapons to Ukraine'!$BO$1),FALSE)+VLOOKUP(B19,'Share, heavy weapons to Ukraine'!A:CC,COLUMN('Share, heavy weapons to Ukraine'!$BP$1),FALSE)+VLOOKUP(B19,'Share, heavy weapons to Ukraine'!A:CC,COLUMN('Share, heavy weapons to Ukraine'!$BQ$1),FALSE)+VLOOKUP(B19,'Share, heavy weapons to Ukraine'!A:CC,COLUMN('Share, heavy weapons to Ukraine'!$BR$1),FALSE))/7</f>
        <v>2.0408163265306121E-2</v>
      </c>
      <c r="H19" s="8">
        <f>(VLOOKUP(B19,'Share, heavy weapons to Ukraine'!A:CC,COLUMN('Share, heavy weapons to Ukraine'!$BF$1),FALSE))</f>
        <v>0</v>
      </c>
      <c r="I19" s="8">
        <f>VLOOKUP(B19,'Share, heavy weapons to Ukraine'!A:CC,COLUMN('Share, heavy weapons to Ukraine'!$BL$1),FALSE)</f>
        <v>0.14285714285714285</v>
      </c>
      <c r="J19" s="8">
        <f>VLOOKUP(B19,'Share, heavy weapons to Ukraine'!A:CC,COLUMN('Share, heavy weapons to Ukraine'!$BM$1),FALSE)</f>
        <v>0</v>
      </c>
      <c r="K19" s="8">
        <f>VLOOKUP(B19,'Share, heavy weapons to Ukraine'!A:CC,COLUMN('Share, heavy weapons to Ukraine'!$BO$1),FALSE)</f>
        <v>0</v>
      </c>
      <c r="L19" s="8">
        <f>VLOOKUP(B19,'Share, heavy weapons to Ukraine'!A:CC,COLUMN('Share, heavy weapons to Ukraine'!$BP$1),FALSE)</f>
        <v>0</v>
      </c>
      <c r="M19" s="8">
        <f>VLOOKUP(B19,'Share, heavy weapons to Ukraine'!A:CC,COLUMN('Share, heavy weapons to Ukraine'!$BQ$1),FALSE)</f>
        <v>0</v>
      </c>
      <c r="N19" s="8">
        <f>VLOOKUP(B19,'Share, heavy weapons to Ukraine'!A:CC,COLUMN('Share, heavy weapons to Ukraine'!$BR$1),FALSE)</f>
        <v>0</v>
      </c>
      <c r="O19" s="8">
        <v>0</v>
      </c>
      <c r="P19" s="8">
        <f>VLOOKUP(B19,'Share, heavy weapons to Ukraine'!A:CC,COLUMN('Share, heavy weapons to Ukraine'!$C$1),FALSE)</f>
        <v>1</v>
      </c>
      <c r="Q19" s="8">
        <f>VLOOKUP(B19,'Share, heavy weapons to Ukraine'!A:CC,COLUMN('Share, heavy weapons to Ukraine'!$B$1),FALSE)</f>
        <v>0</v>
      </c>
    </row>
    <row r="20" spans="2:17" ht="15.6">
      <c r="B20" s="8" t="s">
        <v>1516</v>
      </c>
      <c r="C20" s="8">
        <f>(VLOOKUP(B20,'Share, heavy weapons to Ukraine'!A:CC,COLUMN('Share, heavy weapons to Ukraine'!$BF$1),FALSE)+VLOOKUP(B20,'Share, heavy weapons to Ukraine'!A:CC,COLUMN('Share, heavy weapons to Ukraine'!$BK$1),FALSE)+VLOOKUP(B20,'Share, heavy weapons to Ukraine'!A:CC,COLUMN('Share, heavy weapons to Ukraine'!$BL$1),FALSE)+VLOOKUP(B20,'Share, heavy weapons to Ukraine'!A:CC,COLUMN('Share, heavy weapons to Ukraine'!$BM$1),FALSE))/4</f>
        <v>3.1914893617021274E-2</v>
      </c>
      <c r="D20" s="8">
        <f>(VLOOKUP(B20,'Share, heavy weapons to Ukraine'!A:CC,COLUMN('Share, heavy weapons to Ukraine'!$BF$1),FALSE)+VLOOKUP(B20,'Share, heavy weapons to Ukraine'!A:CC,COLUMN('Share, heavy weapons to Ukraine'!$BJ$1),FALSE)+VLOOKUP(B20,'Share, heavy weapons to Ukraine'!A:CC,COLUMN('Share, heavy weapons to Ukraine'!$BL$1),FALSE)+VLOOKUP(B20,'Share, heavy weapons to Ukraine'!A:CC,COLUMN('Share, heavy weapons to Ukraine'!$BM$1),FALSE))/4</f>
        <v>3.1914893617021274E-2</v>
      </c>
      <c r="E20" s="8">
        <f>(VLOOKUP(B20,'Share, heavy weapons to Ukraine'!A:CC,COLUMN('Share, heavy weapons to Ukraine'!$BT$1),FALSE)+VLOOKUP(B20,'Share, heavy weapons to Ukraine'!A:CC,COLUMN('Share, heavy weapons to Ukraine'!$BZ$1),FALSE)+VLOOKUP(B20,'Share, heavy weapons to Ukraine'!A:CC,COLUMN('Share, heavy weapons to Ukraine'!$CA$1),FALSE)+VLOOKUP(B20,'Share, heavy weapons to Ukraine'!A:CC,COLUMN('Share, heavy weapons to Ukraine'!$CC$1),FALSE)+VLOOKUP(B20,'Share, heavy weapons to Ukraine'!A:CF,COLUMN('Share, heavy weapons to Ukraine'!$CD$1),FALSE)+VLOOKUP(B20,'Share, heavy weapons to Ukraine'!A:CF,COLUMN('Share, heavy weapons to Ukraine'!$CE$1),FALSE)+VLOOKUP(B20,'Share, heavy weapons to Ukraine'!A:CF,COLUMN('Share, heavy weapons to Ukraine'!$CF$1),FALSE))/7</f>
        <v>1.82370820668693E-2</v>
      </c>
      <c r="F20" s="8">
        <f t="shared" si="0"/>
        <v>0</v>
      </c>
      <c r="G20" s="8">
        <f>(VLOOKUP(B20,'Share, heavy weapons to Ukraine'!A:CC,COLUMN('Share, heavy weapons to Ukraine'!$BF$1),FALSE)+VLOOKUP(B20,'Share, heavy weapons to Ukraine'!A:CC,COLUMN('Share, heavy weapons to Ukraine'!$BL$1),FALSE)+VLOOKUP(B20,'Share, heavy weapons to Ukraine'!A:CC,COLUMN('Share, heavy weapons to Ukraine'!$BM$1),FALSE)+VLOOKUP(B20,'Share, heavy weapons to Ukraine'!A:CC,COLUMN('Share, heavy weapons to Ukraine'!$BO$1),FALSE)+VLOOKUP(B20,'Share, heavy weapons to Ukraine'!A:CC,COLUMN('Share, heavy weapons to Ukraine'!$BP$1),FALSE)+VLOOKUP(B20,'Share, heavy weapons to Ukraine'!A:CC,COLUMN('Share, heavy weapons to Ukraine'!$BQ$1),FALSE)+VLOOKUP(B20,'Share, heavy weapons to Ukraine'!A:CC,COLUMN('Share, heavy weapons to Ukraine'!$BR$1),FALSE))/7</f>
        <v>1.82370820668693E-2</v>
      </c>
      <c r="H20" s="8">
        <f>(VLOOKUP(B20,'Share, heavy weapons to Ukraine'!A:CC,COLUMN('Share, heavy weapons to Ukraine'!$BF$1),FALSE))</f>
        <v>0</v>
      </c>
      <c r="I20" s="8">
        <f>VLOOKUP(B20,'Share, heavy weapons to Ukraine'!A:CC,COLUMN('Share, heavy weapons to Ukraine'!$BL$1),FALSE)</f>
        <v>0.1276595744680851</v>
      </c>
      <c r="J20" s="8">
        <f>VLOOKUP(B20,'Share, heavy weapons to Ukraine'!A:CC,COLUMN('Share, heavy weapons to Ukraine'!$BM$1),FALSE)</f>
        <v>0</v>
      </c>
      <c r="K20" s="8">
        <f>VLOOKUP(B20,'Share, heavy weapons to Ukraine'!A:CC,COLUMN('Share, heavy weapons to Ukraine'!$BO$1),FALSE)</f>
        <v>0</v>
      </c>
      <c r="L20" s="8">
        <f>VLOOKUP(B20,'Share, heavy weapons to Ukraine'!A:CC,COLUMN('Share, heavy weapons to Ukraine'!$BP$1),FALSE)</f>
        <v>0</v>
      </c>
      <c r="M20" s="8">
        <f>VLOOKUP(B20,'Share, heavy weapons to Ukraine'!A:CC,COLUMN('Share, heavy weapons to Ukraine'!$BQ$1),FALSE)</f>
        <v>0</v>
      </c>
      <c r="N20" s="8">
        <f>VLOOKUP(B20,'Share, heavy weapons to Ukraine'!A:CC,COLUMN('Share, heavy weapons to Ukraine'!$BR$1),FALSE)</f>
        <v>0</v>
      </c>
      <c r="O20" s="8">
        <v>0</v>
      </c>
      <c r="P20" s="8">
        <f>VLOOKUP(B20,'Share, heavy weapons to Ukraine'!A:CC,COLUMN('Share, heavy weapons to Ukraine'!$C$1),FALSE)</f>
        <v>1</v>
      </c>
      <c r="Q20" s="8">
        <f>VLOOKUP(B20,'Share, heavy weapons to Ukraine'!A:CC,COLUMN('Share, heavy weapons to Ukraine'!$B$1),FALSE)</f>
        <v>0</v>
      </c>
    </row>
    <row r="21" spans="2:17" ht="15.6">
      <c r="B21" s="8" t="s">
        <v>452</v>
      </c>
      <c r="C21" s="8">
        <f>(VLOOKUP(B21,'Share, heavy weapons to Ukraine'!A:CC,COLUMN('Share, heavy weapons to Ukraine'!$BF$1),FALSE)+VLOOKUP(B21,'Share, heavy weapons to Ukraine'!A:CC,COLUMN('Share, heavy weapons to Ukraine'!$BK$1),FALSE)+VLOOKUP(B21,'Share, heavy weapons to Ukraine'!A:CC,COLUMN('Share, heavy weapons to Ukraine'!$BL$1),FALSE)+VLOOKUP(B21,'Share, heavy weapons to Ukraine'!A:CC,COLUMN('Share, heavy weapons to Ukraine'!$BM$1),FALSE))/4</f>
        <v>3.486036036036036E-2</v>
      </c>
      <c r="D21" s="8">
        <f>(VLOOKUP(B21,'Share, heavy weapons to Ukraine'!A:CC,COLUMN('Share, heavy weapons to Ukraine'!$BF$1),FALSE)+VLOOKUP(B21,'Share, heavy weapons to Ukraine'!A:CC,COLUMN('Share, heavy weapons to Ukraine'!$BJ$1),FALSE)+VLOOKUP(B21,'Share, heavy weapons to Ukraine'!A:CC,COLUMN('Share, heavy weapons to Ukraine'!$BL$1),FALSE)+VLOOKUP(B21,'Share, heavy weapons to Ukraine'!A:CC,COLUMN('Share, heavy weapons to Ukraine'!$BM$1),FALSE))/4</f>
        <v>2.7027027027027029E-2</v>
      </c>
      <c r="E21" s="8">
        <f>(VLOOKUP(B21,'Share, heavy weapons to Ukraine'!A:CC,COLUMN('Share, heavy weapons to Ukraine'!$BT$1),FALSE)+VLOOKUP(B21,'Share, heavy weapons to Ukraine'!A:CC,COLUMN('Share, heavy weapons to Ukraine'!$BZ$1),FALSE)+VLOOKUP(B21,'Share, heavy weapons to Ukraine'!A:CC,COLUMN('Share, heavy weapons to Ukraine'!$CA$1),FALSE)+VLOOKUP(B21,'Share, heavy weapons to Ukraine'!A:CC,COLUMN('Share, heavy weapons to Ukraine'!$CC$1),FALSE)+VLOOKUP(B21,'Share, heavy weapons to Ukraine'!A:CF,COLUMN('Share, heavy weapons to Ukraine'!$CD$1),FALSE)+VLOOKUP(B21,'Share, heavy weapons to Ukraine'!A:CF,COLUMN('Share, heavy weapons to Ukraine'!$CE$1),FALSE)+VLOOKUP(B21,'Share, heavy weapons to Ukraine'!A:CF,COLUMN('Share, heavy weapons to Ukraine'!$CF$1),FALSE))/7</f>
        <v>1.5444015444015444E-2</v>
      </c>
      <c r="F21" s="8">
        <f t="shared" si="0"/>
        <v>0</v>
      </c>
      <c r="G21" s="8">
        <f>(VLOOKUP(B21,'Share, heavy weapons to Ukraine'!A:CC,COLUMN('Share, heavy weapons to Ukraine'!$BF$1),FALSE)+VLOOKUP(B21,'Share, heavy weapons to Ukraine'!A:CC,COLUMN('Share, heavy weapons to Ukraine'!$BL$1),FALSE)+VLOOKUP(B21,'Share, heavy weapons to Ukraine'!A:CC,COLUMN('Share, heavy weapons to Ukraine'!$BM$1),FALSE)+VLOOKUP(B21,'Share, heavy weapons to Ukraine'!A:CC,COLUMN('Share, heavy weapons to Ukraine'!$BO$1),FALSE)+VLOOKUP(B21,'Share, heavy weapons to Ukraine'!A:CC,COLUMN('Share, heavy weapons to Ukraine'!$BP$1),FALSE)+VLOOKUP(B21,'Share, heavy weapons to Ukraine'!A:CC,COLUMN('Share, heavy weapons to Ukraine'!$BQ$1),FALSE)+VLOOKUP(B21,'Share, heavy weapons to Ukraine'!A:CC,COLUMN('Share, heavy weapons to Ukraine'!$BR$1),FALSE))/7</f>
        <v>1.5444015444015444E-2</v>
      </c>
      <c r="H21" s="8">
        <f>(VLOOKUP(B21,'Share, heavy weapons to Ukraine'!A:CC,COLUMN('Share, heavy weapons to Ukraine'!$BF$1),FALSE))</f>
        <v>0</v>
      </c>
      <c r="I21" s="8">
        <f>VLOOKUP(B21,'Share, heavy weapons to Ukraine'!A:CC,COLUMN('Share, heavy weapons to Ukraine'!$BL$1),FALSE)</f>
        <v>0.10810810810810811</v>
      </c>
      <c r="J21" s="8">
        <f>VLOOKUP(B21,'Share, heavy weapons to Ukraine'!A:CC,COLUMN('Share, heavy weapons to Ukraine'!$BM$1),FALSE)</f>
        <v>0</v>
      </c>
      <c r="K21" s="8">
        <f>VLOOKUP(B21,'Share, heavy weapons to Ukraine'!A:CC,COLUMN('Share, heavy weapons to Ukraine'!$BO$1),FALSE)</f>
        <v>0</v>
      </c>
      <c r="L21" s="8">
        <f>VLOOKUP(B21,'Share, heavy weapons to Ukraine'!A:CC,COLUMN('Share, heavy weapons to Ukraine'!$BP$1),FALSE)</f>
        <v>0</v>
      </c>
      <c r="M21" s="8">
        <f>VLOOKUP(B21,'Share, heavy weapons to Ukraine'!A:CC,COLUMN('Share, heavy weapons to Ukraine'!$BQ$1),FALSE)</f>
        <v>0</v>
      </c>
      <c r="N21" s="8">
        <f>VLOOKUP(B21,'Share, heavy weapons to Ukraine'!A:CC,COLUMN('Share, heavy weapons to Ukraine'!$BR$1),FALSE)</f>
        <v>0</v>
      </c>
      <c r="P21" s="8">
        <f>VLOOKUP(B21,'Share, heavy weapons to Ukraine'!A:CC,COLUMN('Share, heavy weapons to Ukraine'!$C$1),FALSE)</f>
        <v>0</v>
      </c>
      <c r="Q21" s="8">
        <f>VLOOKUP(B21,'Share, heavy weapons to Ukraine'!A:CC,COLUMN('Share, heavy weapons to Ukraine'!$B$1),FALSE)</f>
        <v>1</v>
      </c>
    </row>
    <row r="22" spans="2:17" ht="15.6">
      <c r="B22" s="8" t="s">
        <v>1957</v>
      </c>
      <c r="C22" s="8">
        <f>(VLOOKUP(B22,'Share, heavy weapons to Ukraine'!A:CC,COLUMN('Share, heavy weapons to Ukraine'!$BF$1),FALSE)+VLOOKUP(B22,'Share, heavy weapons to Ukraine'!A:CC,COLUMN('Share, heavy weapons to Ukraine'!$BK$1),FALSE)+VLOOKUP(B22,'Share, heavy weapons to Ukraine'!A:CC,COLUMN('Share, heavy weapons to Ukraine'!$BL$1),FALSE)+VLOOKUP(B22,'Share, heavy weapons to Ukraine'!A:CC,COLUMN('Share, heavy weapons to Ukraine'!$BM$1),FALSE))/4</f>
        <v>3.6936162079510705E-2</v>
      </c>
      <c r="D22" s="8">
        <f>(VLOOKUP(B22,'Share, heavy weapons to Ukraine'!A:CC,COLUMN('Share, heavy weapons to Ukraine'!$BF$1),FALSE)+VLOOKUP(B22,'Share, heavy weapons to Ukraine'!A:CC,COLUMN('Share, heavy weapons to Ukraine'!$BJ$1),FALSE)+VLOOKUP(B22,'Share, heavy weapons to Ukraine'!A:CC,COLUMN('Share, heavy weapons to Ukraine'!$BL$1),FALSE)+VLOOKUP(B22,'Share, heavy weapons to Ukraine'!A:CC,COLUMN('Share, heavy weapons to Ukraine'!$BM$1),FALSE))/4</f>
        <v>2.6041666666666668E-2</v>
      </c>
      <c r="E22" s="8">
        <f>(VLOOKUP(B22,'Share, heavy weapons to Ukraine'!A:CC,COLUMN('Share, heavy weapons to Ukraine'!$BT$1),FALSE)+VLOOKUP(B22,'Share, heavy weapons to Ukraine'!A:CC,COLUMN('Share, heavy weapons to Ukraine'!$BZ$1),FALSE)+VLOOKUP(B22,'Share, heavy weapons to Ukraine'!A:CC,COLUMN('Share, heavy weapons to Ukraine'!$CA$1),FALSE)+VLOOKUP(B22,'Share, heavy weapons to Ukraine'!A:CC,COLUMN('Share, heavy weapons to Ukraine'!$CC$1),FALSE)+VLOOKUP(B22,'Share, heavy weapons to Ukraine'!A:CF,COLUMN('Share, heavy weapons to Ukraine'!$CD$1),FALSE)+VLOOKUP(B22,'Share, heavy weapons to Ukraine'!A:CF,COLUMN('Share, heavy weapons to Ukraine'!$CE$1),FALSE)+VLOOKUP(B22,'Share, heavy weapons to Ukraine'!A:CF,COLUMN('Share, heavy weapons to Ukraine'!$CF$1),FALSE))/7</f>
        <v>0</v>
      </c>
      <c r="F22" s="8">
        <f t="shared" si="0"/>
        <v>1.4880952380952382E-2</v>
      </c>
      <c r="G22" s="8">
        <f>(VLOOKUP(B22,'Share, heavy weapons to Ukraine'!A:CC,COLUMN('Share, heavy weapons to Ukraine'!$BF$1),FALSE)+VLOOKUP(B22,'Share, heavy weapons to Ukraine'!A:CC,COLUMN('Share, heavy weapons to Ukraine'!$BL$1),FALSE)+VLOOKUP(B22,'Share, heavy weapons to Ukraine'!A:CC,COLUMN('Share, heavy weapons to Ukraine'!$BM$1),FALSE)+VLOOKUP(B22,'Share, heavy weapons to Ukraine'!A:CC,COLUMN('Share, heavy weapons to Ukraine'!$BO$1),FALSE)+VLOOKUP(B22,'Share, heavy weapons to Ukraine'!A:CC,COLUMN('Share, heavy weapons to Ukraine'!$BP$1),FALSE)+VLOOKUP(B22,'Share, heavy weapons to Ukraine'!A:CC,COLUMN('Share, heavy weapons to Ukraine'!$BQ$1),FALSE)+VLOOKUP(B22,'Share, heavy weapons to Ukraine'!A:CC,COLUMN('Share, heavy weapons to Ukraine'!$BR$1),FALSE))/7</f>
        <v>1.4880952380952382E-2</v>
      </c>
      <c r="H22" s="8">
        <f>(VLOOKUP(B22,'Share, heavy weapons to Ukraine'!A:CC,COLUMN('Share, heavy weapons to Ukraine'!$BF$1),FALSE))</f>
        <v>0</v>
      </c>
      <c r="I22" s="8">
        <f>VLOOKUP(B22,'Share, heavy weapons to Ukraine'!A:CC,COLUMN('Share, heavy weapons to Ukraine'!$BL$1),FALSE)</f>
        <v>0.10416666666666667</v>
      </c>
      <c r="J22" s="8">
        <f>VLOOKUP(B22,'Share, heavy weapons to Ukraine'!A:CC,COLUMN('Share, heavy weapons to Ukraine'!$BM$1),FALSE)</f>
        <v>0</v>
      </c>
      <c r="K22" s="8">
        <f>VLOOKUP(B22,'Share, heavy weapons to Ukraine'!A:CC,COLUMN('Share, heavy weapons to Ukraine'!$BO$1),FALSE)</f>
        <v>0</v>
      </c>
      <c r="L22" s="8">
        <f>VLOOKUP(B22,'Share, heavy weapons to Ukraine'!A:CC,COLUMN('Share, heavy weapons to Ukraine'!$BP$1),FALSE)</f>
        <v>0</v>
      </c>
      <c r="M22" s="8">
        <f>VLOOKUP(B22,'Share, heavy weapons to Ukraine'!A:CC,COLUMN('Share, heavy weapons to Ukraine'!$BQ$1),FALSE)</f>
        <v>0</v>
      </c>
      <c r="N22" s="8">
        <f>VLOOKUP(B22,'Share, heavy weapons to Ukraine'!A:CC,COLUMN('Share, heavy weapons to Ukraine'!$BR$1),FALSE)</f>
        <v>0</v>
      </c>
      <c r="O22" s="8">
        <v>0</v>
      </c>
      <c r="P22" s="8">
        <f>VLOOKUP(B22,'Share, heavy weapons to Ukraine'!A:CC,COLUMN('Share, heavy weapons to Ukraine'!$C$1),FALSE)</f>
        <v>1</v>
      </c>
      <c r="Q22" s="8">
        <f>VLOOKUP(B22,'Share, heavy weapons to Ukraine'!A:CC,COLUMN('Share, heavy weapons to Ukraine'!$B$1),FALSE)</f>
        <v>0</v>
      </c>
    </row>
    <row r="23" spans="2:17" ht="15.6">
      <c r="B23" s="8" t="s">
        <v>1562</v>
      </c>
      <c r="C23" s="8">
        <f>(VLOOKUP(B23,'Share, heavy weapons to Ukraine'!A:CC,COLUMN('Share, heavy weapons to Ukraine'!$BF$1),FALSE)+VLOOKUP(B23,'Share, heavy weapons to Ukraine'!A:CC,COLUMN('Share, heavy weapons to Ukraine'!$BK$1),FALSE)+VLOOKUP(B23,'Share, heavy weapons to Ukraine'!A:CC,COLUMN('Share, heavy weapons to Ukraine'!$BL$1),FALSE)+VLOOKUP(B23,'Share, heavy weapons to Ukraine'!A:CC,COLUMN('Share, heavy weapons to Ukraine'!$BM$1),FALSE))/4</f>
        <v>7.3660714285714288E-2</v>
      </c>
      <c r="D23" s="8">
        <f>(VLOOKUP(B23,'Share, heavy weapons to Ukraine'!A:CC,COLUMN('Share, heavy weapons to Ukraine'!$BF$1),FALSE)+VLOOKUP(B23,'Share, heavy weapons to Ukraine'!A:CC,COLUMN('Share, heavy weapons to Ukraine'!$BJ$1),FALSE)+VLOOKUP(B23,'Share, heavy weapons to Ukraine'!A:CC,COLUMN('Share, heavy weapons to Ukraine'!$BL$1),FALSE)+VLOOKUP(B23,'Share, heavy weapons to Ukraine'!A:CC,COLUMN('Share, heavy weapons to Ukraine'!$BM$1),FALSE))/4</f>
        <v>0</v>
      </c>
      <c r="E23" s="8">
        <f>(VLOOKUP(B23,'Share, heavy weapons to Ukraine'!A:CC,COLUMN('Share, heavy weapons to Ukraine'!$BT$1),FALSE)+VLOOKUP(B23,'Share, heavy weapons to Ukraine'!A:CC,COLUMN('Share, heavy weapons to Ukraine'!$BZ$1),FALSE)+VLOOKUP(B23,'Share, heavy weapons to Ukraine'!A:CC,COLUMN('Share, heavy weapons to Ukraine'!$CA$1),FALSE)+VLOOKUP(B23,'Share, heavy weapons to Ukraine'!A:CC,COLUMN('Share, heavy weapons to Ukraine'!$CC$1),FALSE)+VLOOKUP(B23,'Share, heavy weapons to Ukraine'!A:CF,COLUMN('Share, heavy weapons to Ukraine'!$CD$1),FALSE)+VLOOKUP(B23,'Share, heavy weapons to Ukraine'!A:CF,COLUMN('Share, heavy weapons to Ukraine'!$CE$1),FALSE)+VLOOKUP(B23,'Share, heavy weapons to Ukraine'!A:CF,COLUMN('Share, heavy weapons to Ukraine'!$CF$1),FALSE))/7</f>
        <v>0</v>
      </c>
      <c r="F23" s="8">
        <f t="shared" si="0"/>
        <v>0</v>
      </c>
      <c r="G23" s="8">
        <f>(VLOOKUP(B23,'Share, heavy weapons to Ukraine'!A:CC,COLUMN('Share, heavy weapons to Ukraine'!$BF$1),FALSE)+VLOOKUP(B23,'Share, heavy weapons to Ukraine'!A:CC,COLUMN('Share, heavy weapons to Ukraine'!$BL$1),FALSE)+VLOOKUP(B23,'Share, heavy weapons to Ukraine'!A:CC,COLUMN('Share, heavy weapons to Ukraine'!$BM$1),FALSE)+VLOOKUP(B23,'Share, heavy weapons to Ukraine'!A:CC,COLUMN('Share, heavy weapons to Ukraine'!$BO$1),FALSE)+VLOOKUP(B23,'Share, heavy weapons to Ukraine'!A:CC,COLUMN('Share, heavy weapons to Ukraine'!$BP$1),FALSE)+VLOOKUP(B23,'Share, heavy weapons to Ukraine'!A:CC,COLUMN('Share, heavy weapons to Ukraine'!$BQ$1),FALSE)+VLOOKUP(B23,'Share, heavy weapons to Ukraine'!A:CC,COLUMN('Share, heavy weapons to Ukraine'!$BR$1),FALSE))/7</f>
        <v>0</v>
      </c>
      <c r="H23" s="8">
        <f>(VLOOKUP(B23,'Share, heavy weapons to Ukraine'!A:CC,COLUMN('Share, heavy weapons to Ukraine'!$BF$1),FALSE))</f>
        <v>0</v>
      </c>
      <c r="I23" s="8">
        <f>VLOOKUP(B23,'Share, heavy weapons to Ukraine'!A:CC,COLUMN('Share, heavy weapons to Ukraine'!$BL$1),FALSE)</f>
        <v>0</v>
      </c>
      <c r="J23" s="8">
        <f>VLOOKUP(B23,'Share, heavy weapons to Ukraine'!A:CC,COLUMN('Share, heavy weapons to Ukraine'!$BM$1),FALSE)</f>
        <v>0</v>
      </c>
      <c r="K23" s="8">
        <f>VLOOKUP(B23,'Share, heavy weapons to Ukraine'!A:CC,COLUMN('Share, heavy weapons to Ukraine'!$BO$1),FALSE)</f>
        <v>0</v>
      </c>
      <c r="L23" s="8">
        <f>VLOOKUP(B23,'Share, heavy weapons to Ukraine'!A:CC,COLUMN('Share, heavy weapons to Ukraine'!$BP$1),FALSE)</f>
        <v>0</v>
      </c>
      <c r="M23" s="8">
        <f>VLOOKUP(B23,'Share, heavy weapons to Ukraine'!A:CC,COLUMN('Share, heavy weapons to Ukraine'!$BQ$1),FALSE)</f>
        <v>0</v>
      </c>
      <c r="N23" s="8">
        <f>VLOOKUP(B23,'Share, heavy weapons to Ukraine'!A:CC,COLUMN('Share, heavy weapons to Ukraine'!$BR$1),FALSE)</f>
        <v>0</v>
      </c>
      <c r="O23" s="8">
        <v>0</v>
      </c>
      <c r="P23" s="8">
        <f>VLOOKUP(B23,'Share, heavy weapons to Ukraine'!A:CC,COLUMN('Share, heavy weapons to Ukraine'!$C$1),FALSE)</f>
        <v>1</v>
      </c>
      <c r="Q23" s="8">
        <f>VLOOKUP(B23,'Share, heavy weapons to Ukraine'!A:CC,COLUMN('Share, heavy weapons to Ukraine'!$B$1),FALSE)</f>
        <v>0</v>
      </c>
    </row>
    <row r="24" spans="2:17" ht="15.6">
      <c r="B24" s="8" t="s">
        <v>840</v>
      </c>
      <c r="C24" s="8">
        <f>(VLOOKUP(B24,'Share, heavy weapons to Ukraine'!A:CC,COLUMN('Share, heavy weapons to Ukraine'!$BF$1),FALSE)+VLOOKUP(B24,'Share, heavy weapons to Ukraine'!A:CC,COLUMN('Share, heavy weapons to Ukraine'!$BK$1),FALSE)+VLOOKUP(B24,'Share, heavy weapons to Ukraine'!A:CC,COLUMN('Share, heavy weapons to Ukraine'!$BL$1),FALSE)+VLOOKUP(B24,'Share, heavy weapons to Ukraine'!A:CC,COLUMN('Share, heavy weapons to Ukraine'!$BM$1),FALSE))/4</f>
        <v>9.4086021505376347E-3</v>
      </c>
      <c r="D24" s="8">
        <f>(VLOOKUP(B24,'Share, heavy weapons to Ukraine'!A:CC,COLUMN('Share, heavy weapons to Ukraine'!$BF$1),FALSE)+VLOOKUP(B24,'Share, heavy weapons to Ukraine'!A:CC,COLUMN('Share, heavy weapons to Ukraine'!$BJ$1),FALSE)+VLOOKUP(B24,'Share, heavy weapons to Ukraine'!A:CC,COLUMN('Share, heavy weapons to Ukraine'!$BL$1),FALSE)+VLOOKUP(B24,'Share, heavy weapons to Ukraine'!A:CC,COLUMN('Share, heavy weapons to Ukraine'!$BM$1),FALSE))/4</f>
        <v>0</v>
      </c>
      <c r="E24" s="8">
        <f>(VLOOKUP(B24,'Share, heavy weapons to Ukraine'!A:CC,COLUMN('Share, heavy weapons to Ukraine'!$BT$1),FALSE)+VLOOKUP(B24,'Share, heavy weapons to Ukraine'!A:CC,COLUMN('Share, heavy weapons to Ukraine'!$BZ$1),FALSE)+VLOOKUP(B24,'Share, heavy weapons to Ukraine'!A:CC,COLUMN('Share, heavy weapons to Ukraine'!$CA$1),FALSE)+VLOOKUP(B24,'Share, heavy weapons to Ukraine'!A:CC,COLUMN('Share, heavy weapons to Ukraine'!$CC$1),FALSE)+VLOOKUP(B24,'Share, heavy weapons to Ukraine'!A:CF,COLUMN('Share, heavy weapons to Ukraine'!$CD$1),FALSE)+VLOOKUP(B24,'Share, heavy weapons to Ukraine'!A:CF,COLUMN('Share, heavy weapons to Ukraine'!$CE$1),FALSE)+VLOOKUP(B24,'Share, heavy weapons to Ukraine'!A:CF,COLUMN('Share, heavy weapons to Ukraine'!$CF$1),FALSE))/7</f>
        <v>0</v>
      </c>
      <c r="F24" s="8">
        <f t="shared" si="0"/>
        <v>0</v>
      </c>
      <c r="G24" s="8">
        <f>(VLOOKUP(B24,'Share, heavy weapons to Ukraine'!A:CC,COLUMN('Share, heavy weapons to Ukraine'!$BF$1),FALSE)+VLOOKUP(B24,'Share, heavy weapons to Ukraine'!A:CC,COLUMN('Share, heavy weapons to Ukraine'!$BL$1),FALSE)+VLOOKUP(B24,'Share, heavy weapons to Ukraine'!A:CC,COLUMN('Share, heavy weapons to Ukraine'!$BM$1),FALSE)+VLOOKUP(B24,'Share, heavy weapons to Ukraine'!A:CC,COLUMN('Share, heavy weapons to Ukraine'!$BO$1),FALSE)+VLOOKUP(B24,'Share, heavy weapons to Ukraine'!A:CC,COLUMN('Share, heavy weapons to Ukraine'!$BP$1),FALSE)+VLOOKUP(B24,'Share, heavy weapons to Ukraine'!A:CC,COLUMN('Share, heavy weapons to Ukraine'!$BQ$1),FALSE)+VLOOKUP(B24,'Share, heavy weapons to Ukraine'!A:CC,COLUMN('Share, heavy weapons to Ukraine'!$BR$1),FALSE))/7</f>
        <v>0</v>
      </c>
      <c r="H24" s="8">
        <f>(VLOOKUP(B24,'Share, heavy weapons to Ukraine'!A:CC,COLUMN('Share, heavy weapons to Ukraine'!$BF$1),FALSE))</f>
        <v>0</v>
      </c>
      <c r="I24" s="8">
        <f>VLOOKUP(B24,'Share, heavy weapons to Ukraine'!A:CC,COLUMN('Share, heavy weapons to Ukraine'!$BL$1),FALSE)</f>
        <v>0</v>
      </c>
      <c r="J24" s="8">
        <f>VLOOKUP(B24,'Share, heavy weapons to Ukraine'!A:CC,COLUMN('Share, heavy weapons to Ukraine'!$BM$1),FALSE)</f>
        <v>0</v>
      </c>
      <c r="K24" s="8">
        <f>VLOOKUP(B24,'Share, heavy weapons to Ukraine'!A:CC,COLUMN('Share, heavy weapons to Ukraine'!$BO$1),FALSE)</f>
        <v>0</v>
      </c>
      <c r="L24" s="8">
        <f>VLOOKUP(B24,'Share, heavy weapons to Ukraine'!A:CC,COLUMN('Share, heavy weapons to Ukraine'!$BP$1),FALSE)</f>
        <v>0</v>
      </c>
      <c r="M24" s="8">
        <f>VLOOKUP(B24,'Share, heavy weapons to Ukraine'!A:CC,COLUMN('Share, heavy weapons to Ukraine'!$BQ$1),FALSE)</f>
        <v>0</v>
      </c>
      <c r="N24" s="8">
        <f>VLOOKUP(B24,'Share, heavy weapons to Ukraine'!A:CC,COLUMN('Share, heavy weapons to Ukraine'!$BR$1),FALSE)</f>
        <v>0</v>
      </c>
      <c r="O24" s="8">
        <v>0</v>
      </c>
      <c r="P24" s="8">
        <f>VLOOKUP(B24,'Share, heavy weapons to Ukraine'!A:CC,COLUMN('Share, heavy weapons to Ukraine'!$C$1),FALSE)</f>
        <v>1</v>
      </c>
      <c r="Q24" s="8">
        <f>VLOOKUP(B24,'Share, heavy weapons to Ukraine'!A:CC,COLUMN('Share, heavy weapons to Ukraine'!$B$1),FALSE)</f>
        <v>0</v>
      </c>
    </row>
    <row r="25" spans="2:17" ht="15.6">
      <c r="B25" s="8" t="s">
        <v>1294</v>
      </c>
      <c r="C25" s="8">
        <f>(VLOOKUP(B25,'Share, heavy weapons to Ukraine'!A:CC,COLUMN('Share, heavy weapons to Ukraine'!$BF$1),FALSE)+VLOOKUP(B25,'Share, heavy weapons to Ukraine'!A:CC,COLUMN('Share, heavy weapons to Ukraine'!$BK$1),FALSE)+VLOOKUP(B25,'Share, heavy weapons to Ukraine'!A:CC,COLUMN('Share, heavy weapons to Ukraine'!$BL$1),FALSE)+VLOOKUP(B25,'Share, heavy weapons to Ukraine'!A:CC,COLUMN('Share, heavy weapons to Ukraine'!$BM$1),FALSE))/4</f>
        <v>4.3497172683775558E-3</v>
      </c>
      <c r="D25" s="8">
        <f>(VLOOKUP(B25,'Share, heavy weapons to Ukraine'!A:CC,COLUMN('Share, heavy weapons to Ukraine'!$BF$1),FALSE)+VLOOKUP(B25,'Share, heavy weapons to Ukraine'!A:CC,COLUMN('Share, heavy weapons to Ukraine'!$BJ$1),FALSE)+VLOOKUP(B25,'Share, heavy weapons to Ukraine'!A:CC,COLUMN('Share, heavy weapons to Ukraine'!$BL$1),FALSE)+VLOOKUP(B25,'Share, heavy weapons to Ukraine'!A:CC,COLUMN('Share, heavy weapons to Ukraine'!$BM$1),FALSE))/4</f>
        <v>5.9171597633136092E-2</v>
      </c>
      <c r="E25" s="8">
        <f>(VLOOKUP(B25,'Share, heavy weapons to Ukraine'!A:CC,COLUMN('Share, heavy weapons to Ukraine'!$BT$1),FALSE)+VLOOKUP(B25,'Share, heavy weapons to Ukraine'!A:CC,COLUMN('Share, heavy weapons to Ukraine'!$BZ$1),FALSE)+VLOOKUP(B25,'Share, heavy weapons to Ukraine'!A:CC,COLUMN('Share, heavy weapons to Ukraine'!$CA$1),FALSE)+VLOOKUP(B25,'Share, heavy weapons to Ukraine'!A:CC,COLUMN('Share, heavy weapons to Ukraine'!$CC$1),FALSE)+VLOOKUP(B25,'Share, heavy weapons to Ukraine'!A:CF,COLUMN('Share, heavy weapons to Ukraine'!$CD$1),FALSE)+VLOOKUP(B25,'Share, heavy weapons to Ukraine'!A:CF,COLUMN('Share, heavy weapons to Ukraine'!$CE$1),FALSE)+VLOOKUP(B25,'Share, heavy weapons to Ukraine'!A:CF,COLUMN('Share, heavy weapons to Ukraine'!$CF$1),FALSE))/7</f>
        <v>0</v>
      </c>
      <c r="F25" s="8">
        <f t="shared" si="0"/>
        <v>0</v>
      </c>
      <c r="G25" s="8">
        <f>(VLOOKUP(B25,'Share, heavy weapons to Ukraine'!A:CC,COLUMN('Share, heavy weapons to Ukraine'!$BF$1),FALSE)+VLOOKUP(B25,'Share, heavy weapons to Ukraine'!A:CC,COLUMN('Share, heavy weapons to Ukraine'!$BL$1),FALSE)+VLOOKUP(B25,'Share, heavy weapons to Ukraine'!A:CC,COLUMN('Share, heavy weapons to Ukraine'!$BM$1),FALSE)+VLOOKUP(B25,'Share, heavy weapons to Ukraine'!A:CC,COLUMN('Share, heavy weapons to Ukraine'!$BO$1),FALSE)+VLOOKUP(B25,'Share, heavy weapons to Ukraine'!A:CC,COLUMN('Share, heavy weapons to Ukraine'!$BP$1),FALSE)+VLOOKUP(B25,'Share, heavy weapons to Ukraine'!A:CC,COLUMN('Share, heavy weapons to Ukraine'!$BQ$1),FALSE)+VLOOKUP(B25,'Share, heavy weapons to Ukraine'!A:CC,COLUMN('Share, heavy weapons to Ukraine'!$BR$1),FALSE))/7</f>
        <v>0</v>
      </c>
      <c r="H25" s="8">
        <f>(VLOOKUP(B25,'Share, heavy weapons to Ukraine'!A:CC,COLUMN('Share, heavy weapons to Ukraine'!$BF$1),FALSE))</f>
        <v>0</v>
      </c>
      <c r="I25" s="8">
        <f>VLOOKUP(B25,'Share, heavy weapons to Ukraine'!A:CC,COLUMN('Share, heavy weapons to Ukraine'!$BL$1),FALSE)</f>
        <v>0</v>
      </c>
      <c r="J25" s="8">
        <f>VLOOKUP(B25,'Share, heavy weapons to Ukraine'!A:CC,COLUMN('Share, heavy weapons to Ukraine'!$BM$1),FALSE)</f>
        <v>0</v>
      </c>
      <c r="K25" s="8">
        <f>VLOOKUP(B25,'Share, heavy weapons to Ukraine'!A:CC,COLUMN('Share, heavy weapons to Ukraine'!$BO$1),FALSE)</f>
        <v>0</v>
      </c>
      <c r="L25" s="8">
        <f>VLOOKUP(B25,'Share, heavy weapons to Ukraine'!A:CC,COLUMN('Share, heavy weapons to Ukraine'!$BP$1),FALSE)</f>
        <v>0</v>
      </c>
      <c r="M25" s="8">
        <f>VLOOKUP(B25,'Share, heavy weapons to Ukraine'!A:CC,COLUMN('Share, heavy weapons to Ukraine'!$BQ$1),FALSE)</f>
        <v>0</v>
      </c>
      <c r="N25" s="8">
        <f>VLOOKUP(B25,'Share, heavy weapons to Ukraine'!A:CC,COLUMN('Share, heavy weapons to Ukraine'!$BR$1),FALSE)</f>
        <v>0</v>
      </c>
      <c r="O25" s="8">
        <v>4</v>
      </c>
      <c r="P25" s="8">
        <f>VLOOKUP(B25,'Share, heavy weapons to Ukraine'!A:CC,COLUMN('Share, heavy weapons to Ukraine'!$C$1),FALSE)</f>
        <v>1</v>
      </c>
      <c r="Q25" s="8">
        <f>VLOOKUP(B25,'Share, heavy weapons to Ukraine'!A:CC,COLUMN('Share, heavy weapons to Ukraine'!$B$1),FALSE)</f>
        <v>0</v>
      </c>
    </row>
    <row r="26" spans="2:17" ht="15.6">
      <c r="B26" s="8" t="s">
        <v>2348</v>
      </c>
      <c r="C26" s="8">
        <f>(VLOOKUP(B26,'Share, heavy weapons to Ukraine'!A:CC,COLUMN('Share, heavy weapons to Ukraine'!$BF$1),FALSE)+VLOOKUP(B26,'Share, heavy weapons to Ukraine'!A:CC,COLUMN('Share, heavy weapons to Ukraine'!$BK$1),FALSE)+VLOOKUP(B26,'Share, heavy weapons to Ukraine'!A:CC,COLUMN('Share, heavy weapons to Ukraine'!$BL$1),FALSE)+VLOOKUP(B26,'Share, heavy weapons to Ukraine'!A:CC,COLUMN('Share, heavy weapons to Ukraine'!$BM$1),FALSE))/4</f>
        <v>1.9331889885555213E-3</v>
      </c>
      <c r="D26" s="8">
        <f>(VLOOKUP(B26,'Share, heavy weapons to Ukraine'!A:CC,COLUMN('Share, heavy weapons to Ukraine'!$BF$1),FALSE)+VLOOKUP(B26,'Share, heavy weapons to Ukraine'!A:CC,COLUMN('Share, heavy weapons to Ukraine'!$BJ$1),FALSE)+VLOOKUP(B26,'Share, heavy weapons to Ukraine'!A:CC,COLUMN('Share, heavy weapons to Ukraine'!$BL$1),FALSE)+VLOOKUP(B26,'Share, heavy weapons to Ukraine'!A:CC,COLUMN('Share, heavy weapons to Ukraine'!$BM$1),FALSE))/4</f>
        <v>0</v>
      </c>
      <c r="E26" s="8">
        <f>(VLOOKUP(B26,'Share, heavy weapons to Ukraine'!A:CC,COLUMN('Share, heavy weapons to Ukraine'!$BT$1),FALSE)+VLOOKUP(B26,'Share, heavy weapons to Ukraine'!A:CC,COLUMN('Share, heavy weapons to Ukraine'!$BZ$1),FALSE)+VLOOKUP(B26,'Share, heavy weapons to Ukraine'!A:CC,COLUMN('Share, heavy weapons to Ukraine'!$CA$1),FALSE)+VLOOKUP(B26,'Share, heavy weapons to Ukraine'!A:CC,COLUMN('Share, heavy weapons to Ukraine'!$CC$1),FALSE)+VLOOKUP(B26,'Share, heavy weapons to Ukraine'!A:CF,COLUMN('Share, heavy weapons to Ukraine'!$CD$1),FALSE)+VLOOKUP(B26,'Share, heavy weapons to Ukraine'!A:CF,COLUMN('Share, heavy weapons to Ukraine'!$CE$1),FALSE)+VLOOKUP(B26,'Share, heavy weapons to Ukraine'!A:CF,COLUMN('Share, heavy weapons to Ukraine'!$CF$1),FALSE))/7</f>
        <v>0</v>
      </c>
      <c r="F26" s="8">
        <f t="shared" si="0"/>
        <v>0</v>
      </c>
      <c r="G26" s="8">
        <f>(VLOOKUP(B26,'Share, heavy weapons to Ukraine'!A:CC,COLUMN('Share, heavy weapons to Ukraine'!$BF$1),FALSE)+VLOOKUP(B26,'Share, heavy weapons to Ukraine'!A:CC,COLUMN('Share, heavy weapons to Ukraine'!$BL$1),FALSE)+VLOOKUP(B26,'Share, heavy weapons to Ukraine'!A:CC,COLUMN('Share, heavy weapons to Ukraine'!$BM$1),FALSE)+VLOOKUP(B26,'Share, heavy weapons to Ukraine'!A:CC,COLUMN('Share, heavy weapons to Ukraine'!$BO$1),FALSE)+VLOOKUP(B26,'Share, heavy weapons to Ukraine'!A:CC,COLUMN('Share, heavy weapons to Ukraine'!$BP$1),FALSE)+VLOOKUP(B26,'Share, heavy weapons to Ukraine'!A:CC,COLUMN('Share, heavy weapons to Ukraine'!$BQ$1),FALSE)+VLOOKUP(B26,'Share, heavy weapons to Ukraine'!A:CC,COLUMN('Share, heavy weapons to Ukraine'!$BR$1),FALSE))/7</f>
        <v>0</v>
      </c>
      <c r="H26" s="8">
        <f>(VLOOKUP(B26,'Share, heavy weapons to Ukraine'!A:CC,COLUMN('Share, heavy weapons to Ukraine'!$BF$1),FALSE))</f>
        <v>0</v>
      </c>
      <c r="I26" s="8">
        <f>VLOOKUP(B26,'Share, heavy weapons to Ukraine'!A:CC,COLUMN('Share, heavy weapons to Ukraine'!$BL$1),FALSE)</f>
        <v>0</v>
      </c>
      <c r="J26" s="8">
        <f>VLOOKUP(B26,'Share, heavy weapons to Ukraine'!A:CC,COLUMN('Share, heavy weapons to Ukraine'!$BM$1),FALSE)</f>
        <v>0</v>
      </c>
      <c r="K26" s="8">
        <f>VLOOKUP(B26,'Share, heavy weapons to Ukraine'!A:CC,COLUMN('Share, heavy weapons to Ukraine'!$BO$1),FALSE)</f>
        <v>0</v>
      </c>
      <c r="L26" s="8">
        <f>VLOOKUP(B26,'Share, heavy weapons to Ukraine'!A:CC,COLUMN('Share, heavy weapons to Ukraine'!$BP$1),FALSE)</f>
        <v>0</v>
      </c>
      <c r="M26" s="8">
        <f>VLOOKUP(B26,'Share, heavy weapons to Ukraine'!A:CC,COLUMN('Share, heavy weapons to Ukraine'!$BQ$1),FALSE)</f>
        <v>0</v>
      </c>
      <c r="N26" s="8">
        <f>VLOOKUP(B26,'Share, heavy weapons to Ukraine'!A:CC,COLUMN('Share, heavy weapons to Ukraine'!$BR$1),FALSE)</f>
        <v>0</v>
      </c>
      <c r="P26" s="8">
        <f>VLOOKUP(B26,'Share, heavy weapons to Ukraine'!A:CC,COLUMN('Share, heavy weapons to Ukraine'!$C$1),FALSE)</f>
        <v>0</v>
      </c>
      <c r="Q26" s="8">
        <f>VLOOKUP(B26,'Share, heavy weapons to Ukraine'!A:CC,COLUMN('Share, heavy weapons to Ukraine'!$B$1),FALSE)</f>
        <v>1</v>
      </c>
    </row>
    <row r="27" spans="2:17" ht="15.6">
      <c r="B27" s="8" t="s">
        <v>312</v>
      </c>
      <c r="C27" s="8">
        <f>(VLOOKUP(B27,'Share, heavy weapons to Ukraine'!A:CC,COLUMN('Share, heavy weapons to Ukraine'!$BF$1),FALSE)+VLOOKUP(B27,'Share, heavy weapons to Ukraine'!A:CC,COLUMN('Share, heavy weapons to Ukraine'!$BK$1),FALSE)+VLOOKUP(B27,'Share, heavy weapons to Ukraine'!A:CC,COLUMN('Share, heavy weapons to Ukraine'!$BL$1),FALSE)+VLOOKUP(B27,'Share, heavy weapons to Ukraine'!A:CC,COLUMN('Share, heavy weapons to Ukraine'!$BM$1),FALSE))/4</f>
        <v>0</v>
      </c>
      <c r="D27" s="8">
        <f>(VLOOKUP(B27,'Share, heavy weapons to Ukraine'!A:CC,COLUMN('Share, heavy weapons to Ukraine'!$BF$1),FALSE)+VLOOKUP(B27,'Share, heavy weapons to Ukraine'!A:CC,COLUMN('Share, heavy weapons to Ukraine'!$BJ$1),FALSE)+VLOOKUP(B27,'Share, heavy weapons to Ukraine'!A:CC,COLUMN('Share, heavy weapons to Ukraine'!$BL$1),FALSE)+VLOOKUP(B27,'Share, heavy weapons to Ukraine'!A:CC,COLUMN('Share, heavy weapons to Ukraine'!$BM$1),FALSE))/4</f>
        <v>0</v>
      </c>
      <c r="E27" s="8">
        <f>(VLOOKUP(B27,'Share, heavy weapons to Ukraine'!A:CC,COLUMN('Share, heavy weapons to Ukraine'!$BT$1),FALSE)+VLOOKUP(B27,'Share, heavy weapons to Ukraine'!A:CC,COLUMN('Share, heavy weapons to Ukraine'!$BZ$1),FALSE)+VLOOKUP(B27,'Share, heavy weapons to Ukraine'!A:CC,COLUMN('Share, heavy weapons to Ukraine'!$CA$1),FALSE)+VLOOKUP(B27,'Share, heavy weapons to Ukraine'!A:CC,COLUMN('Share, heavy weapons to Ukraine'!$CC$1),FALSE)+VLOOKUP(B27,'Share, heavy weapons to Ukraine'!A:CF,COLUMN('Share, heavy weapons to Ukraine'!$CD$1),FALSE)+VLOOKUP(B27,'Share, heavy weapons to Ukraine'!A:CF,COLUMN('Share, heavy weapons to Ukraine'!$CE$1),FALSE)+VLOOKUP(B27,'Share, heavy weapons to Ukraine'!A:CF,COLUMN('Share, heavy weapons to Ukraine'!$CF$1),FALSE))/7</f>
        <v>0</v>
      </c>
      <c r="F27" s="8">
        <f t="shared" si="0"/>
        <v>0</v>
      </c>
      <c r="G27" s="8">
        <f>(VLOOKUP(B27,'Share, heavy weapons to Ukraine'!A:CC,COLUMN('Share, heavy weapons to Ukraine'!$BF$1),FALSE)+VLOOKUP(B27,'Share, heavy weapons to Ukraine'!A:CC,COLUMN('Share, heavy weapons to Ukraine'!$BL$1),FALSE)+VLOOKUP(B27,'Share, heavy weapons to Ukraine'!A:CC,COLUMN('Share, heavy weapons to Ukraine'!$BM$1),FALSE)+VLOOKUP(B27,'Share, heavy weapons to Ukraine'!A:CC,COLUMN('Share, heavy weapons to Ukraine'!$BO$1),FALSE)+VLOOKUP(B27,'Share, heavy weapons to Ukraine'!A:CC,COLUMN('Share, heavy weapons to Ukraine'!$BP$1),FALSE)+VLOOKUP(B27,'Share, heavy weapons to Ukraine'!A:CC,COLUMN('Share, heavy weapons to Ukraine'!$BQ$1),FALSE)+VLOOKUP(B27,'Share, heavy weapons to Ukraine'!A:CC,COLUMN('Share, heavy weapons to Ukraine'!$BR$1),FALSE))/7</f>
        <v>0</v>
      </c>
      <c r="H27" s="8">
        <f>(VLOOKUP(B27,'Share, heavy weapons to Ukraine'!A:CC,COLUMN('Share, heavy weapons to Ukraine'!$BF$1),FALSE))</f>
        <v>0</v>
      </c>
      <c r="I27" s="8">
        <f>VLOOKUP(B27,'Share, heavy weapons to Ukraine'!A:CC,COLUMN('Share, heavy weapons to Ukraine'!$BL$1),FALSE)</f>
        <v>0</v>
      </c>
      <c r="J27" s="8">
        <f>VLOOKUP(B27,'Share, heavy weapons to Ukraine'!A:CC,COLUMN('Share, heavy weapons to Ukraine'!$BM$1),FALSE)</f>
        <v>0</v>
      </c>
      <c r="K27" s="8">
        <f>VLOOKUP(B27,'Share, heavy weapons to Ukraine'!A:CC,COLUMN('Share, heavy weapons to Ukraine'!$BO$1),FALSE)</f>
        <v>0</v>
      </c>
      <c r="L27" s="8">
        <f>VLOOKUP(B27,'Share, heavy weapons to Ukraine'!A:CC,COLUMN('Share, heavy weapons to Ukraine'!$BP$1),FALSE)</f>
        <v>0</v>
      </c>
      <c r="M27" s="8">
        <f>VLOOKUP(B27,'Share, heavy weapons to Ukraine'!A:CC,COLUMN('Share, heavy weapons to Ukraine'!$BQ$1),FALSE)</f>
        <v>0</v>
      </c>
      <c r="N27" s="8">
        <f>VLOOKUP(B27,'Share, heavy weapons to Ukraine'!A:CC,COLUMN('Share, heavy weapons to Ukraine'!$BR$1),FALSE)</f>
        <v>0</v>
      </c>
      <c r="O27" s="8">
        <v>0</v>
      </c>
      <c r="P27" s="8">
        <f>VLOOKUP(B27,'Share, heavy weapons to Ukraine'!A:CC,COLUMN('Share, heavy weapons to Ukraine'!$C$1),FALSE)</f>
        <v>1</v>
      </c>
      <c r="Q27" s="8">
        <f>VLOOKUP(B27,'Share, heavy weapons to Ukraine'!A:CC,COLUMN('Share, heavy weapons to Ukraine'!$B$1),FALSE)</f>
        <v>0</v>
      </c>
    </row>
    <row r="28" spans="2:17" ht="15.6">
      <c r="B28" s="8" t="s">
        <v>3175</v>
      </c>
      <c r="C28" s="8">
        <f>(VLOOKUP(B28,'Share, heavy weapons to Ukraine'!A:CC,COLUMN('Share, heavy weapons to Ukraine'!$BF$1),FALSE)+VLOOKUP(B28,'Share, heavy weapons to Ukraine'!A:CC,COLUMN('Share, heavy weapons to Ukraine'!$BK$1),FALSE)+VLOOKUP(B28,'Share, heavy weapons to Ukraine'!A:CC,COLUMN('Share, heavy weapons to Ukraine'!$BL$1),FALSE)+VLOOKUP(B28,'Share, heavy weapons to Ukraine'!A:CC,COLUMN('Share, heavy weapons to Ukraine'!$BM$1),FALSE))/4</f>
        <v>0</v>
      </c>
      <c r="D28" s="8">
        <f>(VLOOKUP(B28,'Share, heavy weapons to Ukraine'!A:CC,COLUMN('Share, heavy weapons to Ukraine'!$BF$1),FALSE)+VLOOKUP(B28,'Share, heavy weapons to Ukraine'!A:CC,COLUMN('Share, heavy weapons to Ukraine'!$BJ$1),FALSE)+VLOOKUP(B28,'Share, heavy weapons to Ukraine'!A:CC,COLUMN('Share, heavy weapons to Ukraine'!$BL$1),FALSE)+VLOOKUP(B28,'Share, heavy weapons to Ukraine'!A:CC,COLUMN('Share, heavy weapons to Ukraine'!$BM$1),FALSE))/4</f>
        <v>0</v>
      </c>
      <c r="E28" s="8">
        <f>(VLOOKUP(B28,'Share, heavy weapons to Ukraine'!A:CC,COLUMN('Share, heavy weapons to Ukraine'!$BT$1),FALSE)+VLOOKUP(B28,'Share, heavy weapons to Ukraine'!A:CC,COLUMN('Share, heavy weapons to Ukraine'!$BZ$1),FALSE)+VLOOKUP(B28,'Share, heavy weapons to Ukraine'!A:CC,COLUMN('Share, heavy weapons to Ukraine'!$CA$1),FALSE)+VLOOKUP(B28,'Share, heavy weapons to Ukraine'!A:CC,COLUMN('Share, heavy weapons to Ukraine'!$CC$1),FALSE)+VLOOKUP(B28,'Share, heavy weapons to Ukraine'!A:CF,COLUMN('Share, heavy weapons to Ukraine'!$CD$1),FALSE)+VLOOKUP(B28,'Share, heavy weapons to Ukraine'!A:CF,COLUMN('Share, heavy weapons to Ukraine'!$CE$1),FALSE)+VLOOKUP(B28,'Share, heavy weapons to Ukraine'!A:CF,COLUMN('Share, heavy weapons to Ukraine'!$CF$1),FALSE))/7</f>
        <v>0</v>
      </c>
      <c r="F28" s="8">
        <f t="shared" si="0"/>
        <v>0</v>
      </c>
      <c r="G28" s="8">
        <f>(VLOOKUP(B28,'Share, heavy weapons to Ukraine'!A:CC,COLUMN('Share, heavy weapons to Ukraine'!$BF$1),FALSE)+VLOOKUP(B28,'Share, heavy weapons to Ukraine'!A:CC,COLUMN('Share, heavy weapons to Ukraine'!$BL$1),FALSE)+VLOOKUP(B28,'Share, heavy weapons to Ukraine'!A:CC,COLUMN('Share, heavy weapons to Ukraine'!$BM$1),FALSE)+VLOOKUP(B28,'Share, heavy weapons to Ukraine'!A:CC,COLUMN('Share, heavy weapons to Ukraine'!$BO$1),FALSE)+VLOOKUP(B28,'Share, heavy weapons to Ukraine'!A:CC,COLUMN('Share, heavy weapons to Ukraine'!$BP$1),FALSE)+VLOOKUP(B28,'Share, heavy weapons to Ukraine'!A:CC,COLUMN('Share, heavy weapons to Ukraine'!$BQ$1),FALSE)+VLOOKUP(B28,'Share, heavy weapons to Ukraine'!A:CC,COLUMN('Share, heavy weapons to Ukraine'!$BR$1),FALSE))/7</f>
        <v>0</v>
      </c>
      <c r="H28" s="8">
        <f>(VLOOKUP(B28,'Share, heavy weapons to Ukraine'!A:CC,COLUMN('Share, heavy weapons to Ukraine'!$BF$1),FALSE))</f>
        <v>0</v>
      </c>
      <c r="I28" s="8">
        <f>VLOOKUP(B28,'Share, heavy weapons to Ukraine'!A:CC,COLUMN('Share, heavy weapons to Ukraine'!$BL$1),FALSE)</f>
        <v>0</v>
      </c>
      <c r="J28" s="8">
        <f>VLOOKUP(B28,'Share, heavy weapons to Ukraine'!A:CC,COLUMN('Share, heavy weapons to Ukraine'!$BM$1),FALSE)</f>
        <v>0</v>
      </c>
      <c r="K28" s="8">
        <f>VLOOKUP(B28,'Share, heavy weapons to Ukraine'!A:CC,COLUMN('Share, heavy weapons to Ukraine'!$BO$1),FALSE)</f>
        <v>0</v>
      </c>
      <c r="L28" s="8">
        <f>VLOOKUP(B28,'Share, heavy weapons to Ukraine'!A:CC,COLUMN('Share, heavy weapons to Ukraine'!$BP$1),FALSE)</f>
        <v>0</v>
      </c>
      <c r="M28" s="8">
        <f>VLOOKUP(B28,'Share, heavy weapons to Ukraine'!A:CC,COLUMN('Share, heavy weapons to Ukraine'!$BQ$1),FALSE)</f>
        <v>0</v>
      </c>
      <c r="N28" s="8">
        <f>VLOOKUP(B28,'Share, heavy weapons to Ukraine'!A:CC,COLUMN('Share, heavy weapons to Ukraine'!$BR$1),FALSE)</f>
        <v>0</v>
      </c>
      <c r="O28" s="8">
        <v>1</v>
      </c>
      <c r="P28" s="8">
        <f>VLOOKUP(B28,'Share, heavy weapons to Ukraine'!A:CC,COLUMN('Share, heavy weapons to Ukraine'!$C$1),FALSE)</f>
        <v>1</v>
      </c>
      <c r="Q28" s="8">
        <f>VLOOKUP(B28,'Share, heavy weapons to Ukraine'!A:CC,COLUMN('Share, heavy weapons to Ukraine'!$B$1),FALSE)</f>
        <v>0</v>
      </c>
    </row>
    <row r="29" spans="2:17" ht="15.6">
      <c r="B29" s="8" t="s">
        <v>428</v>
      </c>
      <c r="C29" s="8">
        <f>(VLOOKUP(B29,'Share, heavy weapons to Ukraine'!A:CC,COLUMN('Share, heavy weapons to Ukraine'!$BF$1),FALSE)+VLOOKUP(B29,'Share, heavy weapons to Ukraine'!A:CC,COLUMN('Share, heavy weapons to Ukraine'!$BK$1),FALSE)+VLOOKUP(B29,'Share, heavy weapons to Ukraine'!A:CC,COLUMN('Share, heavy weapons to Ukraine'!$BL$1),FALSE)+VLOOKUP(B29,'Share, heavy weapons to Ukraine'!A:CC,COLUMN('Share, heavy weapons to Ukraine'!$BM$1),FALSE))/4</f>
        <v>0</v>
      </c>
      <c r="D29" s="8">
        <f>(VLOOKUP(B29,'Share, heavy weapons to Ukraine'!A:CC,COLUMN('Share, heavy weapons to Ukraine'!$BF$1),FALSE)+VLOOKUP(B29,'Share, heavy weapons to Ukraine'!A:CC,COLUMN('Share, heavy weapons to Ukraine'!$BJ$1),FALSE)+VLOOKUP(B29,'Share, heavy weapons to Ukraine'!A:CC,COLUMN('Share, heavy weapons to Ukraine'!$BL$1),FALSE)+VLOOKUP(B29,'Share, heavy weapons to Ukraine'!A:CC,COLUMN('Share, heavy weapons to Ukraine'!$BM$1),FALSE))/4</f>
        <v>0</v>
      </c>
      <c r="E29" s="8">
        <f>(VLOOKUP(B29,'Share, heavy weapons to Ukraine'!A:CC,COLUMN('Share, heavy weapons to Ukraine'!$BT$1),FALSE)+VLOOKUP(B29,'Share, heavy weapons to Ukraine'!A:CC,COLUMN('Share, heavy weapons to Ukraine'!$BZ$1),FALSE)+VLOOKUP(B29,'Share, heavy weapons to Ukraine'!A:CC,COLUMN('Share, heavy weapons to Ukraine'!$CA$1),FALSE)+VLOOKUP(B29,'Share, heavy weapons to Ukraine'!A:CC,COLUMN('Share, heavy weapons to Ukraine'!$CC$1),FALSE)+VLOOKUP(B29,'Share, heavy weapons to Ukraine'!A:CF,COLUMN('Share, heavy weapons to Ukraine'!$CD$1),FALSE)+VLOOKUP(B29,'Share, heavy weapons to Ukraine'!A:CF,COLUMN('Share, heavy weapons to Ukraine'!$CE$1),FALSE)+VLOOKUP(B29,'Share, heavy weapons to Ukraine'!A:CF,COLUMN('Share, heavy weapons to Ukraine'!$CF$1),FALSE))/7</f>
        <v>0</v>
      </c>
      <c r="F29" s="8">
        <f t="shared" si="0"/>
        <v>0</v>
      </c>
      <c r="G29" s="8">
        <f>(VLOOKUP(B29,'Share, heavy weapons to Ukraine'!A:CC,COLUMN('Share, heavy weapons to Ukraine'!$BF$1),FALSE)+VLOOKUP(B29,'Share, heavy weapons to Ukraine'!A:CC,COLUMN('Share, heavy weapons to Ukraine'!$BL$1),FALSE)+VLOOKUP(B29,'Share, heavy weapons to Ukraine'!A:CC,COLUMN('Share, heavy weapons to Ukraine'!$BM$1),FALSE)+VLOOKUP(B29,'Share, heavy weapons to Ukraine'!A:CC,COLUMN('Share, heavy weapons to Ukraine'!$BO$1),FALSE)+VLOOKUP(B29,'Share, heavy weapons to Ukraine'!A:CC,COLUMN('Share, heavy weapons to Ukraine'!$BP$1),FALSE)+VLOOKUP(B29,'Share, heavy weapons to Ukraine'!A:CC,COLUMN('Share, heavy weapons to Ukraine'!$BQ$1),FALSE)+VLOOKUP(B29,'Share, heavy weapons to Ukraine'!A:CC,COLUMN('Share, heavy weapons to Ukraine'!$BR$1),FALSE))/7</f>
        <v>0</v>
      </c>
      <c r="H29" s="8">
        <f>(VLOOKUP(B29,'Share, heavy weapons to Ukraine'!A:CC,COLUMN('Share, heavy weapons to Ukraine'!$BF$1),FALSE))</f>
        <v>0</v>
      </c>
      <c r="I29" s="8">
        <f>VLOOKUP(B29,'Share, heavy weapons to Ukraine'!A:CC,COLUMN('Share, heavy weapons to Ukraine'!$BL$1),FALSE)</f>
        <v>0</v>
      </c>
      <c r="J29" s="8">
        <f>VLOOKUP(B29,'Share, heavy weapons to Ukraine'!A:CC,COLUMN('Share, heavy weapons to Ukraine'!$BM$1),FALSE)</f>
        <v>0</v>
      </c>
      <c r="K29" s="8">
        <f>VLOOKUP(B29,'Share, heavy weapons to Ukraine'!A:CC,COLUMN('Share, heavy weapons to Ukraine'!$BO$1),FALSE)</f>
        <v>0</v>
      </c>
      <c r="L29" s="8">
        <f>VLOOKUP(B29,'Share, heavy weapons to Ukraine'!A:CC,COLUMN('Share, heavy weapons to Ukraine'!$BP$1),FALSE)</f>
        <v>0</v>
      </c>
      <c r="M29" s="8">
        <f>VLOOKUP(B29,'Share, heavy weapons to Ukraine'!A:CC,COLUMN('Share, heavy weapons to Ukraine'!$BQ$1),FALSE)</f>
        <v>0</v>
      </c>
      <c r="N29" s="8">
        <f>VLOOKUP(B29,'Share, heavy weapons to Ukraine'!A:CC,COLUMN('Share, heavy weapons to Ukraine'!$BR$1),FALSE)</f>
        <v>0</v>
      </c>
      <c r="O29" s="8">
        <v>1</v>
      </c>
      <c r="P29" s="8">
        <f>VLOOKUP(B29,'Share, heavy weapons to Ukraine'!A:CC,COLUMN('Share, heavy weapons to Ukraine'!$C$1),FALSE)</f>
        <v>1</v>
      </c>
      <c r="Q29" s="8">
        <f>VLOOKUP(B29,'Share, heavy weapons to Ukraine'!A:CC,COLUMN('Share, heavy weapons to Ukraine'!$B$1),FALSE)</f>
        <v>0</v>
      </c>
    </row>
    <row r="30" spans="2:17" ht="15.6">
      <c r="B30" s="8" t="s">
        <v>591</v>
      </c>
      <c r="C30" s="8">
        <f>(VLOOKUP(B30,'Share, heavy weapons to Ukraine'!A:CC,COLUMN('Share, heavy weapons to Ukraine'!$BF$1),FALSE)+VLOOKUP(B30,'Share, heavy weapons to Ukraine'!A:CC,COLUMN('Share, heavy weapons to Ukraine'!$BK$1),FALSE)+VLOOKUP(B30,'Share, heavy weapons to Ukraine'!A:CC,COLUMN('Share, heavy weapons to Ukraine'!$BL$1),FALSE)+VLOOKUP(B30,'Share, heavy weapons to Ukraine'!A:CC,COLUMN('Share, heavy weapons to Ukraine'!$BM$1),FALSE))/4</f>
        <v>0</v>
      </c>
      <c r="D30" s="8">
        <f>(VLOOKUP(B30,'Share, heavy weapons to Ukraine'!A:CC,COLUMN('Share, heavy weapons to Ukraine'!$BF$1),FALSE)+VLOOKUP(B30,'Share, heavy weapons to Ukraine'!A:CC,COLUMN('Share, heavy weapons to Ukraine'!$BJ$1),FALSE)+VLOOKUP(B30,'Share, heavy weapons to Ukraine'!A:CC,COLUMN('Share, heavy weapons to Ukraine'!$BL$1),FALSE)+VLOOKUP(B30,'Share, heavy weapons to Ukraine'!A:CC,COLUMN('Share, heavy weapons to Ukraine'!$BM$1),FALSE))/4</f>
        <v>0</v>
      </c>
      <c r="E30" s="8">
        <f>(VLOOKUP(B30,'Share, heavy weapons to Ukraine'!A:CC,COLUMN('Share, heavy weapons to Ukraine'!$BT$1),FALSE)+VLOOKUP(B30,'Share, heavy weapons to Ukraine'!A:CC,COLUMN('Share, heavy weapons to Ukraine'!$BZ$1),FALSE)+VLOOKUP(B30,'Share, heavy weapons to Ukraine'!A:CC,COLUMN('Share, heavy weapons to Ukraine'!$CA$1),FALSE)+VLOOKUP(B30,'Share, heavy weapons to Ukraine'!A:CC,COLUMN('Share, heavy weapons to Ukraine'!$CC$1),FALSE)+VLOOKUP(B30,'Share, heavy weapons to Ukraine'!A:CF,COLUMN('Share, heavy weapons to Ukraine'!$CD$1),FALSE)+VLOOKUP(B30,'Share, heavy weapons to Ukraine'!A:CF,COLUMN('Share, heavy weapons to Ukraine'!$CE$1),FALSE)+VLOOKUP(B30,'Share, heavy weapons to Ukraine'!A:CF,COLUMN('Share, heavy weapons to Ukraine'!$CF$1),FALSE))/7</f>
        <v>0</v>
      </c>
      <c r="F30" s="8">
        <f t="shared" si="0"/>
        <v>0</v>
      </c>
      <c r="G30" s="8">
        <f>(VLOOKUP(B30,'Share, heavy weapons to Ukraine'!A:CC,COLUMN('Share, heavy weapons to Ukraine'!$BF$1),FALSE)+VLOOKUP(B30,'Share, heavy weapons to Ukraine'!A:CC,COLUMN('Share, heavy weapons to Ukraine'!$BL$1),FALSE)+VLOOKUP(B30,'Share, heavy weapons to Ukraine'!A:CC,COLUMN('Share, heavy weapons to Ukraine'!$BM$1),FALSE)+VLOOKUP(B30,'Share, heavy weapons to Ukraine'!A:CC,COLUMN('Share, heavy weapons to Ukraine'!$BO$1),FALSE)+VLOOKUP(B30,'Share, heavy weapons to Ukraine'!A:CC,COLUMN('Share, heavy weapons to Ukraine'!$BP$1),FALSE)+VLOOKUP(B30,'Share, heavy weapons to Ukraine'!A:CC,COLUMN('Share, heavy weapons to Ukraine'!$BQ$1),FALSE)+VLOOKUP(B30,'Share, heavy weapons to Ukraine'!A:CC,COLUMN('Share, heavy weapons to Ukraine'!$BR$1),FALSE))/7</f>
        <v>0</v>
      </c>
      <c r="H30" s="8">
        <f>(VLOOKUP(B30,'Share, heavy weapons to Ukraine'!A:CC,COLUMN('Share, heavy weapons to Ukraine'!$BF$1),FALSE))</f>
        <v>0</v>
      </c>
      <c r="I30" s="8">
        <f>VLOOKUP(B30,'Share, heavy weapons to Ukraine'!A:CC,COLUMN('Share, heavy weapons to Ukraine'!$BL$1),FALSE)</f>
        <v>0</v>
      </c>
      <c r="J30" s="8">
        <f>VLOOKUP(B30,'Share, heavy weapons to Ukraine'!A:CC,COLUMN('Share, heavy weapons to Ukraine'!$BM$1),FALSE)</f>
        <v>0</v>
      </c>
      <c r="K30" s="8">
        <f>VLOOKUP(B30,'Share, heavy weapons to Ukraine'!A:CC,COLUMN('Share, heavy weapons to Ukraine'!$BO$1),FALSE)</f>
        <v>0</v>
      </c>
      <c r="L30" s="8">
        <f>VLOOKUP(B30,'Share, heavy weapons to Ukraine'!A:CC,COLUMN('Share, heavy weapons to Ukraine'!$BP$1),FALSE)</f>
        <v>0</v>
      </c>
      <c r="M30" s="8">
        <f>VLOOKUP(B30,'Share, heavy weapons to Ukraine'!A:CC,COLUMN('Share, heavy weapons to Ukraine'!$BQ$1),FALSE)</f>
        <v>0</v>
      </c>
      <c r="N30" s="8">
        <f>VLOOKUP(B30,'Share, heavy weapons to Ukraine'!A:CC,COLUMN('Share, heavy weapons to Ukraine'!$BR$1),FALSE)</f>
        <v>0</v>
      </c>
      <c r="O30" s="8">
        <v>1</v>
      </c>
      <c r="P30" s="8">
        <f>VLOOKUP(B30,'Share, heavy weapons to Ukraine'!A:CC,COLUMN('Share, heavy weapons to Ukraine'!$C$1),FALSE)</f>
        <v>1</v>
      </c>
      <c r="Q30" s="8">
        <f>VLOOKUP(B30,'Share, heavy weapons to Ukraine'!A:CC,COLUMN('Share, heavy weapons to Ukraine'!$B$1),FALSE)</f>
        <v>0</v>
      </c>
    </row>
    <row r="31" spans="2:17" ht="15.6">
      <c r="B31" s="8" t="s">
        <v>618</v>
      </c>
      <c r="C31" s="8">
        <f>(VLOOKUP(B31,'Share, heavy weapons to Ukraine'!A:CC,COLUMN('Share, heavy weapons to Ukraine'!$BF$1),FALSE)+VLOOKUP(B31,'Share, heavy weapons to Ukraine'!A:CC,COLUMN('Share, heavy weapons to Ukraine'!$BK$1),FALSE)+VLOOKUP(B31,'Share, heavy weapons to Ukraine'!A:CC,COLUMN('Share, heavy weapons to Ukraine'!$BL$1),FALSE)+VLOOKUP(B31,'Share, heavy weapons to Ukraine'!A:CC,COLUMN('Share, heavy weapons to Ukraine'!$BM$1),FALSE))/4</f>
        <v>0</v>
      </c>
      <c r="D31" s="8">
        <f>(VLOOKUP(B31,'Share, heavy weapons to Ukraine'!A:CC,COLUMN('Share, heavy weapons to Ukraine'!$BF$1),FALSE)+VLOOKUP(B31,'Share, heavy weapons to Ukraine'!A:CC,COLUMN('Share, heavy weapons to Ukraine'!$BJ$1),FALSE)+VLOOKUP(B31,'Share, heavy weapons to Ukraine'!A:CC,COLUMN('Share, heavy weapons to Ukraine'!$BL$1),FALSE)+VLOOKUP(B31,'Share, heavy weapons to Ukraine'!A:CC,COLUMN('Share, heavy weapons to Ukraine'!$BM$1),FALSE))/4</f>
        <v>0</v>
      </c>
      <c r="E31" s="8">
        <f>(VLOOKUP(B31,'Share, heavy weapons to Ukraine'!A:CC,COLUMN('Share, heavy weapons to Ukraine'!$BT$1),FALSE)+VLOOKUP(B31,'Share, heavy weapons to Ukraine'!A:CC,COLUMN('Share, heavy weapons to Ukraine'!$BZ$1),FALSE)+VLOOKUP(B31,'Share, heavy weapons to Ukraine'!A:CC,COLUMN('Share, heavy weapons to Ukraine'!$CA$1),FALSE)+VLOOKUP(B31,'Share, heavy weapons to Ukraine'!A:CC,COLUMN('Share, heavy weapons to Ukraine'!$CC$1),FALSE)+VLOOKUP(B31,'Share, heavy weapons to Ukraine'!A:CF,COLUMN('Share, heavy weapons to Ukraine'!$CD$1),FALSE)+VLOOKUP(B31,'Share, heavy weapons to Ukraine'!A:CF,COLUMN('Share, heavy weapons to Ukraine'!$CE$1),FALSE)+VLOOKUP(B31,'Share, heavy weapons to Ukraine'!A:CF,COLUMN('Share, heavy weapons to Ukraine'!$CF$1),FALSE))/7</f>
        <v>0</v>
      </c>
      <c r="F31" s="8">
        <f t="shared" si="0"/>
        <v>0</v>
      </c>
      <c r="G31" s="8">
        <f>(VLOOKUP(B31,'Share, heavy weapons to Ukraine'!A:CC,COLUMN('Share, heavy weapons to Ukraine'!$BF$1),FALSE)+VLOOKUP(B31,'Share, heavy weapons to Ukraine'!A:CC,COLUMN('Share, heavy weapons to Ukraine'!$BL$1),FALSE)+VLOOKUP(B31,'Share, heavy weapons to Ukraine'!A:CC,COLUMN('Share, heavy weapons to Ukraine'!$BM$1),FALSE)+VLOOKUP(B31,'Share, heavy weapons to Ukraine'!A:CC,COLUMN('Share, heavy weapons to Ukraine'!$BO$1),FALSE)+VLOOKUP(B31,'Share, heavy weapons to Ukraine'!A:CC,COLUMN('Share, heavy weapons to Ukraine'!$BP$1),FALSE)+VLOOKUP(B31,'Share, heavy weapons to Ukraine'!A:CC,COLUMN('Share, heavy weapons to Ukraine'!$BQ$1),FALSE)+VLOOKUP(B31,'Share, heavy weapons to Ukraine'!A:CC,COLUMN('Share, heavy weapons to Ukraine'!$BR$1),FALSE))/7</f>
        <v>0</v>
      </c>
      <c r="H31" s="8">
        <f>(VLOOKUP(B31,'Share, heavy weapons to Ukraine'!A:CC,COLUMN('Share, heavy weapons to Ukraine'!$BF$1),FALSE))</f>
        <v>0</v>
      </c>
      <c r="I31" s="8">
        <f>VLOOKUP(B31,'Share, heavy weapons to Ukraine'!A:CC,COLUMN('Share, heavy weapons to Ukraine'!$BL$1),FALSE)</f>
        <v>0</v>
      </c>
      <c r="J31" s="8">
        <f>VLOOKUP(B31,'Share, heavy weapons to Ukraine'!A:CC,COLUMN('Share, heavy weapons to Ukraine'!$BM$1),FALSE)</f>
        <v>0</v>
      </c>
      <c r="K31" s="8">
        <f>VLOOKUP(B31,'Share, heavy weapons to Ukraine'!A:CC,COLUMN('Share, heavy weapons to Ukraine'!$BO$1),FALSE)</f>
        <v>0</v>
      </c>
      <c r="L31" s="8">
        <f>VLOOKUP(B31,'Share, heavy weapons to Ukraine'!A:CC,COLUMN('Share, heavy weapons to Ukraine'!$BP$1),FALSE)</f>
        <v>0</v>
      </c>
      <c r="M31" s="8">
        <f>VLOOKUP(B31,'Share, heavy weapons to Ukraine'!A:CC,COLUMN('Share, heavy weapons to Ukraine'!$BQ$1),FALSE)</f>
        <v>0</v>
      </c>
      <c r="N31" s="8">
        <f>VLOOKUP(B31,'Share, heavy weapons to Ukraine'!A:CC,COLUMN('Share, heavy weapons to Ukraine'!$BR$1),FALSE)</f>
        <v>0</v>
      </c>
      <c r="O31" s="8">
        <v>2</v>
      </c>
      <c r="P31" s="8">
        <f>VLOOKUP(B31,'Share, heavy weapons to Ukraine'!A:CC,COLUMN('Share, heavy weapons to Ukraine'!$C$1),FALSE)</f>
        <v>1</v>
      </c>
      <c r="Q31" s="8">
        <f>VLOOKUP(B31,'Share, heavy weapons to Ukraine'!A:CC,COLUMN('Share, heavy weapons to Ukraine'!$B$1),FALSE)</f>
        <v>0</v>
      </c>
    </row>
    <row r="32" spans="2:17" ht="15.6">
      <c r="B32" s="8" t="s">
        <v>917</v>
      </c>
      <c r="C32" s="8">
        <f>(VLOOKUP(B32,'Share, heavy weapons to Ukraine'!A:CC,COLUMN('Share, heavy weapons to Ukraine'!$BF$1),FALSE)+VLOOKUP(B32,'Share, heavy weapons to Ukraine'!A:CC,COLUMN('Share, heavy weapons to Ukraine'!$BK$1),FALSE)+VLOOKUP(B32,'Share, heavy weapons to Ukraine'!A:CC,COLUMN('Share, heavy weapons to Ukraine'!$BL$1),FALSE)+VLOOKUP(B32,'Share, heavy weapons to Ukraine'!A:CC,COLUMN('Share, heavy weapons to Ukraine'!$BM$1),FALSE))/4</f>
        <v>0</v>
      </c>
      <c r="D32" s="8">
        <f>(VLOOKUP(B32,'Share, heavy weapons to Ukraine'!A:CC,COLUMN('Share, heavy weapons to Ukraine'!$BF$1),FALSE)+VLOOKUP(B32,'Share, heavy weapons to Ukraine'!A:CC,COLUMN('Share, heavy weapons to Ukraine'!$BJ$1),FALSE)+VLOOKUP(B32,'Share, heavy weapons to Ukraine'!A:CC,COLUMN('Share, heavy weapons to Ukraine'!$BL$1),FALSE)+VLOOKUP(B32,'Share, heavy weapons to Ukraine'!A:CC,COLUMN('Share, heavy weapons to Ukraine'!$BM$1),FALSE))/4</f>
        <v>0</v>
      </c>
      <c r="E32" s="8">
        <f>(VLOOKUP(B32,'Share, heavy weapons to Ukraine'!A:CC,COLUMN('Share, heavy weapons to Ukraine'!$BT$1),FALSE)+VLOOKUP(B32,'Share, heavy weapons to Ukraine'!A:CC,COLUMN('Share, heavy weapons to Ukraine'!$BZ$1),FALSE)+VLOOKUP(B32,'Share, heavy weapons to Ukraine'!A:CC,COLUMN('Share, heavy weapons to Ukraine'!$CA$1),FALSE)+VLOOKUP(B32,'Share, heavy weapons to Ukraine'!A:CC,COLUMN('Share, heavy weapons to Ukraine'!$CC$1),FALSE)+VLOOKUP(B32,'Share, heavy weapons to Ukraine'!A:CF,COLUMN('Share, heavy weapons to Ukraine'!$CD$1),FALSE)+VLOOKUP(B32,'Share, heavy weapons to Ukraine'!A:CF,COLUMN('Share, heavy weapons to Ukraine'!$CE$1),FALSE)+VLOOKUP(B32,'Share, heavy weapons to Ukraine'!A:CF,COLUMN('Share, heavy weapons to Ukraine'!$CF$1),FALSE))/7</f>
        <v>0</v>
      </c>
      <c r="F32" s="8">
        <f t="shared" si="0"/>
        <v>0</v>
      </c>
      <c r="G32" s="8">
        <f>(VLOOKUP(B32,'Share, heavy weapons to Ukraine'!A:CC,COLUMN('Share, heavy weapons to Ukraine'!$BF$1),FALSE)+VLOOKUP(B32,'Share, heavy weapons to Ukraine'!A:CC,COLUMN('Share, heavy weapons to Ukraine'!$BL$1),FALSE)+VLOOKUP(B32,'Share, heavy weapons to Ukraine'!A:CC,COLUMN('Share, heavy weapons to Ukraine'!$BM$1),FALSE)+VLOOKUP(B32,'Share, heavy weapons to Ukraine'!A:CC,COLUMN('Share, heavy weapons to Ukraine'!$BO$1),FALSE)+VLOOKUP(B32,'Share, heavy weapons to Ukraine'!A:CC,COLUMN('Share, heavy weapons to Ukraine'!$BP$1),FALSE)+VLOOKUP(B32,'Share, heavy weapons to Ukraine'!A:CC,COLUMN('Share, heavy weapons to Ukraine'!$BQ$1),FALSE)+VLOOKUP(B32,'Share, heavy weapons to Ukraine'!A:CC,COLUMN('Share, heavy weapons to Ukraine'!$BR$1),FALSE))/7</f>
        <v>0</v>
      </c>
      <c r="H32" s="8">
        <f>(VLOOKUP(B32,'Share, heavy weapons to Ukraine'!A:CC,COLUMN('Share, heavy weapons to Ukraine'!$BF$1),FALSE))</f>
        <v>0</v>
      </c>
      <c r="I32" s="8">
        <f>VLOOKUP(B32,'Share, heavy weapons to Ukraine'!A:CC,COLUMN('Share, heavy weapons to Ukraine'!$BL$1),FALSE)</f>
        <v>0</v>
      </c>
      <c r="J32" s="8">
        <f>VLOOKUP(B32,'Share, heavy weapons to Ukraine'!A:CC,COLUMN('Share, heavy weapons to Ukraine'!$BM$1),FALSE)</f>
        <v>0</v>
      </c>
      <c r="K32" s="8">
        <f>VLOOKUP(B32,'Share, heavy weapons to Ukraine'!A:CC,COLUMN('Share, heavy weapons to Ukraine'!$BO$1),FALSE)</f>
        <v>0</v>
      </c>
      <c r="L32" s="8">
        <f>VLOOKUP(B32,'Share, heavy weapons to Ukraine'!A:CC,COLUMN('Share, heavy weapons to Ukraine'!$BP$1),FALSE)</f>
        <v>0</v>
      </c>
      <c r="M32" s="8">
        <f>VLOOKUP(B32,'Share, heavy weapons to Ukraine'!A:CC,COLUMN('Share, heavy weapons to Ukraine'!$BQ$1),FALSE)</f>
        <v>0</v>
      </c>
      <c r="N32" s="8">
        <f>VLOOKUP(B32,'Share, heavy weapons to Ukraine'!A:CC,COLUMN('Share, heavy weapons to Ukraine'!$BR$1),FALSE)</f>
        <v>0</v>
      </c>
      <c r="O32" s="8">
        <v>4</v>
      </c>
      <c r="P32" s="8">
        <f>VLOOKUP(B32,'Share, heavy weapons to Ukraine'!A:CC,COLUMN('Share, heavy weapons to Ukraine'!$C$1),FALSE)</f>
        <v>1</v>
      </c>
      <c r="Q32" s="8">
        <f>VLOOKUP(B32,'Share, heavy weapons to Ukraine'!A:CC,COLUMN('Share, heavy weapons to Ukraine'!$B$1),FALSE)</f>
        <v>0</v>
      </c>
    </row>
    <row r="33" spans="2:17" ht="15.6">
      <c r="B33" s="8" t="s">
        <v>1335</v>
      </c>
      <c r="C33" s="8">
        <f>(VLOOKUP(B33,'Share, heavy weapons to Ukraine'!A:CC,COLUMN('Share, heavy weapons to Ukraine'!$BF$1),FALSE)+VLOOKUP(B33,'Share, heavy weapons to Ukraine'!A:CC,COLUMN('Share, heavy weapons to Ukraine'!$BK$1),FALSE)+VLOOKUP(B33,'Share, heavy weapons to Ukraine'!A:CC,COLUMN('Share, heavy weapons to Ukraine'!$BL$1),FALSE)+VLOOKUP(B33,'Share, heavy weapons to Ukraine'!A:CC,COLUMN('Share, heavy weapons to Ukraine'!$BM$1),FALSE))/4</f>
        <v>0</v>
      </c>
      <c r="D33" s="8">
        <f>(VLOOKUP(B33,'Share, heavy weapons to Ukraine'!A:CC,COLUMN('Share, heavy weapons to Ukraine'!$BF$1),FALSE)+VLOOKUP(B33,'Share, heavy weapons to Ukraine'!A:CC,COLUMN('Share, heavy weapons to Ukraine'!$BJ$1),FALSE)+VLOOKUP(B33,'Share, heavy weapons to Ukraine'!A:CC,COLUMN('Share, heavy weapons to Ukraine'!$BL$1),FALSE)+VLOOKUP(B33,'Share, heavy weapons to Ukraine'!A:CC,COLUMN('Share, heavy weapons to Ukraine'!$BM$1),FALSE))/4</f>
        <v>0</v>
      </c>
      <c r="E33" s="8">
        <f>(VLOOKUP(B33,'Share, heavy weapons to Ukraine'!A:CC,COLUMN('Share, heavy weapons to Ukraine'!$BT$1),FALSE)+VLOOKUP(B33,'Share, heavy weapons to Ukraine'!A:CC,COLUMN('Share, heavy weapons to Ukraine'!$BZ$1),FALSE)+VLOOKUP(B33,'Share, heavy weapons to Ukraine'!A:CC,COLUMN('Share, heavy weapons to Ukraine'!$CA$1),FALSE)+VLOOKUP(B33,'Share, heavy weapons to Ukraine'!A:CC,COLUMN('Share, heavy weapons to Ukraine'!$CC$1),FALSE)+VLOOKUP(B33,'Share, heavy weapons to Ukraine'!A:CF,COLUMN('Share, heavy weapons to Ukraine'!$CD$1),FALSE)+VLOOKUP(B33,'Share, heavy weapons to Ukraine'!A:CF,COLUMN('Share, heavy weapons to Ukraine'!$CE$1),FALSE)+VLOOKUP(B33,'Share, heavy weapons to Ukraine'!A:CF,COLUMN('Share, heavy weapons to Ukraine'!$CF$1),FALSE))/7</f>
        <v>0</v>
      </c>
      <c r="F33" s="8">
        <f t="shared" si="0"/>
        <v>0</v>
      </c>
      <c r="G33" s="8">
        <f>(VLOOKUP(B33,'Share, heavy weapons to Ukraine'!A:CC,COLUMN('Share, heavy weapons to Ukraine'!$BF$1),FALSE)+VLOOKUP(B33,'Share, heavy weapons to Ukraine'!A:CC,COLUMN('Share, heavy weapons to Ukraine'!$BL$1),FALSE)+VLOOKUP(B33,'Share, heavy weapons to Ukraine'!A:CC,COLUMN('Share, heavy weapons to Ukraine'!$BM$1),FALSE)+VLOOKUP(B33,'Share, heavy weapons to Ukraine'!A:CC,COLUMN('Share, heavy weapons to Ukraine'!$BO$1),FALSE)+VLOOKUP(B33,'Share, heavy weapons to Ukraine'!A:CC,COLUMN('Share, heavy weapons to Ukraine'!$BP$1),FALSE)+VLOOKUP(B33,'Share, heavy weapons to Ukraine'!A:CC,COLUMN('Share, heavy weapons to Ukraine'!$BQ$1),FALSE)+VLOOKUP(B33,'Share, heavy weapons to Ukraine'!A:CC,COLUMN('Share, heavy weapons to Ukraine'!$BR$1),FALSE))/7</f>
        <v>0</v>
      </c>
      <c r="H33" s="8">
        <f>(VLOOKUP(B33,'Share, heavy weapons to Ukraine'!A:CC,COLUMN('Share, heavy weapons to Ukraine'!$BF$1),FALSE))</f>
        <v>0</v>
      </c>
      <c r="I33" s="8">
        <f>VLOOKUP(B33,'Share, heavy weapons to Ukraine'!A:CC,COLUMN('Share, heavy weapons to Ukraine'!$BL$1),FALSE)</f>
        <v>0</v>
      </c>
      <c r="J33" s="8">
        <f>VLOOKUP(B33,'Share, heavy weapons to Ukraine'!A:CC,COLUMN('Share, heavy weapons to Ukraine'!$BM$1),FALSE)</f>
        <v>0</v>
      </c>
      <c r="K33" s="8">
        <f>VLOOKUP(B33,'Share, heavy weapons to Ukraine'!A:CC,COLUMN('Share, heavy weapons to Ukraine'!$BO$1),FALSE)</f>
        <v>0</v>
      </c>
      <c r="L33" s="8">
        <f>VLOOKUP(B33,'Share, heavy weapons to Ukraine'!A:CC,COLUMN('Share, heavy weapons to Ukraine'!$BP$1),FALSE)</f>
        <v>0</v>
      </c>
      <c r="M33" s="8">
        <f>VLOOKUP(B33,'Share, heavy weapons to Ukraine'!A:CC,COLUMN('Share, heavy weapons to Ukraine'!$BQ$1),FALSE)</f>
        <v>0</v>
      </c>
      <c r="N33" s="8">
        <f>VLOOKUP(B33,'Share, heavy weapons to Ukraine'!A:CC,COLUMN('Share, heavy weapons to Ukraine'!$BR$1),FALSE)</f>
        <v>0</v>
      </c>
      <c r="O33" s="8">
        <v>0</v>
      </c>
      <c r="P33" s="8">
        <f>VLOOKUP(B33,'Share, heavy weapons to Ukraine'!A:CC,COLUMN('Share, heavy weapons to Ukraine'!$C$1),FALSE)</f>
        <v>1</v>
      </c>
      <c r="Q33" s="8">
        <f>VLOOKUP(B33,'Share, heavy weapons to Ukraine'!A:CC,COLUMN('Share, heavy weapons to Ukraine'!$B$1),FALSE)</f>
        <v>0</v>
      </c>
    </row>
    <row r="34" spans="2:17" ht="15.6">
      <c r="B34" s="8" t="s">
        <v>1383</v>
      </c>
      <c r="C34" s="8">
        <f>(VLOOKUP(B34,'Share, heavy weapons to Ukraine'!A:CC,COLUMN('Share, heavy weapons to Ukraine'!$BF$1),FALSE)+VLOOKUP(B34,'Share, heavy weapons to Ukraine'!A:CC,COLUMN('Share, heavy weapons to Ukraine'!$BK$1),FALSE)+VLOOKUP(B34,'Share, heavy weapons to Ukraine'!A:CC,COLUMN('Share, heavy weapons to Ukraine'!$BL$1),FALSE)+VLOOKUP(B34,'Share, heavy weapons to Ukraine'!A:CC,COLUMN('Share, heavy weapons to Ukraine'!$BM$1),FALSE))/4</f>
        <v>0</v>
      </c>
      <c r="D34" s="8">
        <f>(VLOOKUP(B34,'Share, heavy weapons to Ukraine'!A:CC,COLUMN('Share, heavy weapons to Ukraine'!$BF$1),FALSE)+VLOOKUP(B34,'Share, heavy weapons to Ukraine'!A:CC,COLUMN('Share, heavy weapons to Ukraine'!$BJ$1),FALSE)+VLOOKUP(B34,'Share, heavy weapons to Ukraine'!A:CC,COLUMN('Share, heavy weapons to Ukraine'!$BL$1),FALSE)+VLOOKUP(B34,'Share, heavy weapons to Ukraine'!A:CC,COLUMN('Share, heavy weapons to Ukraine'!$BM$1),FALSE))/4</f>
        <v>0</v>
      </c>
      <c r="E34" s="8">
        <f>(VLOOKUP(B34,'Share, heavy weapons to Ukraine'!A:CC,COLUMN('Share, heavy weapons to Ukraine'!$BT$1),FALSE)+VLOOKUP(B34,'Share, heavy weapons to Ukraine'!A:CC,COLUMN('Share, heavy weapons to Ukraine'!$BZ$1),FALSE)+VLOOKUP(B34,'Share, heavy weapons to Ukraine'!A:CC,COLUMN('Share, heavy weapons to Ukraine'!$CA$1),FALSE)+VLOOKUP(B34,'Share, heavy weapons to Ukraine'!A:CC,COLUMN('Share, heavy weapons to Ukraine'!$CC$1),FALSE)+VLOOKUP(B34,'Share, heavy weapons to Ukraine'!A:CF,COLUMN('Share, heavy weapons to Ukraine'!$CD$1),FALSE)+VLOOKUP(B34,'Share, heavy weapons to Ukraine'!A:CF,COLUMN('Share, heavy weapons to Ukraine'!$CE$1),FALSE)+VLOOKUP(B34,'Share, heavy weapons to Ukraine'!A:CF,COLUMN('Share, heavy weapons to Ukraine'!$CF$1),FALSE))/7</f>
        <v>0</v>
      </c>
      <c r="F34" s="8">
        <f t="shared" si="0"/>
        <v>0</v>
      </c>
      <c r="G34" s="8">
        <f>(VLOOKUP(B34,'Share, heavy weapons to Ukraine'!A:CC,COLUMN('Share, heavy weapons to Ukraine'!$BF$1),FALSE)+VLOOKUP(B34,'Share, heavy weapons to Ukraine'!A:CC,COLUMN('Share, heavy weapons to Ukraine'!$BL$1),FALSE)+VLOOKUP(B34,'Share, heavy weapons to Ukraine'!A:CC,COLUMN('Share, heavy weapons to Ukraine'!$BM$1),FALSE)+VLOOKUP(B34,'Share, heavy weapons to Ukraine'!A:CC,COLUMN('Share, heavy weapons to Ukraine'!$BO$1),FALSE)+VLOOKUP(B34,'Share, heavy weapons to Ukraine'!A:CC,COLUMN('Share, heavy weapons to Ukraine'!$BP$1),FALSE)+VLOOKUP(B34,'Share, heavy weapons to Ukraine'!A:CC,COLUMN('Share, heavy weapons to Ukraine'!$BQ$1),FALSE)+VLOOKUP(B34,'Share, heavy weapons to Ukraine'!A:CC,COLUMN('Share, heavy weapons to Ukraine'!$BR$1),FALSE))/7</f>
        <v>0</v>
      </c>
      <c r="H34" s="8">
        <f>(VLOOKUP(B34,'Share, heavy weapons to Ukraine'!A:CC,COLUMN('Share, heavy weapons to Ukraine'!$BF$1),FALSE))</f>
        <v>0</v>
      </c>
      <c r="I34" s="8">
        <f>VLOOKUP(B34,'Share, heavy weapons to Ukraine'!A:CC,COLUMN('Share, heavy weapons to Ukraine'!$BL$1),FALSE)</f>
        <v>0</v>
      </c>
      <c r="J34" s="8">
        <f>VLOOKUP(B34,'Share, heavy weapons to Ukraine'!A:CC,COLUMN('Share, heavy weapons to Ukraine'!$BM$1),FALSE)</f>
        <v>0</v>
      </c>
      <c r="K34" s="8">
        <f>VLOOKUP(B34,'Share, heavy weapons to Ukraine'!A:CC,COLUMN('Share, heavy weapons to Ukraine'!$BO$1),FALSE)</f>
        <v>0</v>
      </c>
      <c r="L34" s="8">
        <f>VLOOKUP(B34,'Share, heavy weapons to Ukraine'!A:CC,COLUMN('Share, heavy weapons to Ukraine'!$BP$1),FALSE)</f>
        <v>0</v>
      </c>
      <c r="M34" s="8">
        <f>VLOOKUP(B34,'Share, heavy weapons to Ukraine'!A:CC,COLUMN('Share, heavy weapons to Ukraine'!$BQ$1),FALSE)</f>
        <v>0</v>
      </c>
      <c r="N34" s="8">
        <f>VLOOKUP(B34,'Share, heavy weapons to Ukraine'!A:CC,COLUMN('Share, heavy weapons to Ukraine'!$BR$1),FALSE)</f>
        <v>0</v>
      </c>
      <c r="O34" s="8">
        <v>0</v>
      </c>
      <c r="P34" s="8">
        <f>VLOOKUP(B34,'Share, heavy weapons to Ukraine'!A:CC,COLUMN('Share, heavy weapons to Ukraine'!$C$1),FALSE)</f>
        <v>1</v>
      </c>
      <c r="Q34" s="8">
        <f>VLOOKUP(B34,'Share, heavy weapons to Ukraine'!A:CC,COLUMN('Share, heavy weapons to Ukraine'!$B$1),FALSE)</f>
        <v>0</v>
      </c>
    </row>
    <row r="35" spans="2:17" ht="15.6">
      <c r="B35" s="8" t="s">
        <v>1653</v>
      </c>
      <c r="C35" s="8">
        <f>(VLOOKUP(B35,'Share, heavy weapons to Ukraine'!A:CC,COLUMN('Share, heavy weapons to Ukraine'!$BF$1),FALSE)+VLOOKUP(B35,'Share, heavy weapons to Ukraine'!A:CC,COLUMN('Share, heavy weapons to Ukraine'!$BK$1),FALSE)+VLOOKUP(B35,'Share, heavy weapons to Ukraine'!A:CC,COLUMN('Share, heavy weapons to Ukraine'!$BL$1),FALSE)+VLOOKUP(B35,'Share, heavy weapons to Ukraine'!A:CC,COLUMN('Share, heavy weapons to Ukraine'!$BM$1),FALSE))/4</f>
        <v>0</v>
      </c>
      <c r="D35" s="8">
        <f>(VLOOKUP(B35,'Share, heavy weapons to Ukraine'!A:CC,COLUMN('Share, heavy weapons to Ukraine'!$BF$1),FALSE)+VLOOKUP(B35,'Share, heavy weapons to Ukraine'!A:CC,COLUMN('Share, heavy weapons to Ukraine'!$BJ$1),FALSE)+VLOOKUP(B35,'Share, heavy weapons to Ukraine'!A:CC,COLUMN('Share, heavy weapons to Ukraine'!$BL$1),FALSE)+VLOOKUP(B35,'Share, heavy weapons to Ukraine'!A:CC,COLUMN('Share, heavy weapons to Ukraine'!$BM$1),FALSE))/4</f>
        <v>0</v>
      </c>
      <c r="E35" s="8">
        <f>(VLOOKUP(B35,'Share, heavy weapons to Ukraine'!A:CC,COLUMN('Share, heavy weapons to Ukraine'!$BT$1),FALSE)+VLOOKUP(B35,'Share, heavy weapons to Ukraine'!A:CC,COLUMN('Share, heavy weapons to Ukraine'!$BZ$1),FALSE)+VLOOKUP(B35,'Share, heavy weapons to Ukraine'!A:CC,COLUMN('Share, heavy weapons to Ukraine'!$CA$1),FALSE)+VLOOKUP(B35,'Share, heavy weapons to Ukraine'!A:CC,COLUMN('Share, heavy weapons to Ukraine'!$CC$1),FALSE)+VLOOKUP(B35,'Share, heavy weapons to Ukraine'!A:CF,COLUMN('Share, heavy weapons to Ukraine'!$CD$1),FALSE)+VLOOKUP(B35,'Share, heavy weapons to Ukraine'!A:CF,COLUMN('Share, heavy weapons to Ukraine'!$CE$1),FALSE)+VLOOKUP(B35,'Share, heavy weapons to Ukraine'!A:CF,COLUMN('Share, heavy weapons to Ukraine'!$CF$1),FALSE))/7</f>
        <v>0</v>
      </c>
      <c r="F35" s="8">
        <f t="shared" si="0"/>
        <v>0</v>
      </c>
      <c r="G35" s="8">
        <f>(VLOOKUP(B35,'Share, heavy weapons to Ukraine'!A:CC,COLUMN('Share, heavy weapons to Ukraine'!$BF$1),FALSE)+VLOOKUP(B35,'Share, heavy weapons to Ukraine'!A:CC,COLUMN('Share, heavy weapons to Ukraine'!$BL$1),FALSE)+VLOOKUP(B35,'Share, heavy weapons to Ukraine'!A:CC,COLUMN('Share, heavy weapons to Ukraine'!$BM$1),FALSE)+VLOOKUP(B35,'Share, heavy weapons to Ukraine'!A:CC,COLUMN('Share, heavy weapons to Ukraine'!$BO$1),FALSE)+VLOOKUP(B35,'Share, heavy weapons to Ukraine'!A:CC,COLUMN('Share, heavy weapons to Ukraine'!$BP$1),FALSE)+VLOOKUP(B35,'Share, heavy weapons to Ukraine'!A:CC,COLUMN('Share, heavy weapons to Ukraine'!$BQ$1),FALSE)+VLOOKUP(B35,'Share, heavy weapons to Ukraine'!A:CC,COLUMN('Share, heavy weapons to Ukraine'!$BR$1),FALSE))/7</f>
        <v>0</v>
      </c>
      <c r="H35" s="8">
        <f>(VLOOKUP(B35,'Share, heavy weapons to Ukraine'!A:CC,COLUMN('Share, heavy weapons to Ukraine'!$BF$1),FALSE))</f>
        <v>0</v>
      </c>
      <c r="I35" s="8">
        <f>VLOOKUP(B35,'Share, heavy weapons to Ukraine'!A:CC,COLUMN('Share, heavy weapons to Ukraine'!$BL$1),FALSE)</f>
        <v>0</v>
      </c>
      <c r="J35" s="8">
        <f>VLOOKUP(B35,'Share, heavy weapons to Ukraine'!A:CC,COLUMN('Share, heavy weapons to Ukraine'!$BM$1),FALSE)</f>
        <v>0</v>
      </c>
      <c r="K35" s="8">
        <f>VLOOKUP(B35,'Share, heavy weapons to Ukraine'!A:CC,COLUMN('Share, heavy weapons to Ukraine'!$BO$1),FALSE)</f>
        <v>0</v>
      </c>
      <c r="L35" s="8">
        <f>VLOOKUP(B35,'Share, heavy weapons to Ukraine'!A:CC,COLUMN('Share, heavy weapons to Ukraine'!$BP$1),FALSE)</f>
        <v>0</v>
      </c>
      <c r="M35" s="8">
        <f>VLOOKUP(B35,'Share, heavy weapons to Ukraine'!A:CC,COLUMN('Share, heavy weapons to Ukraine'!$BQ$1),FALSE)</f>
        <v>0</v>
      </c>
      <c r="N35" s="8">
        <f>VLOOKUP(B35,'Share, heavy weapons to Ukraine'!A:CC,COLUMN('Share, heavy weapons to Ukraine'!$BR$1),FALSE)</f>
        <v>0</v>
      </c>
      <c r="O35" s="8">
        <v>0</v>
      </c>
      <c r="P35" s="8">
        <f>VLOOKUP(B35,'Share, heavy weapons to Ukraine'!A:CC,COLUMN('Share, heavy weapons to Ukraine'!$C$1),FALSE)</f>
        <v>1</v>
      </c>
      <c r="Q35" s="8">
        <f>VLOOKUP(B35,'Share, heavy weapons to Ukraine'!A:CC,COLUMN('Share, heavy weapons to Ukraine'!$B$1),FALSE)</f>
        <v>0</v>
      </c>
    </row>
    <row r="36" spans="2:17" ht="15.6">
      <c r="B36" s="8" t="s">
        <v>2034</v>
      </c>
      <c r="C36" s="8">
        <f>(VLOOKUP(B36,'Share, heavy weapons to Ukraine'!A:CC,COLUMN('Share, heavy weapons to Ukraine'!$BF$1),FALSE)+VLOOKUP(B36,'Share, heavy weapons to Ukraine'!A:CC,COLUMN('Share, heavy weapons to Ukraine'!$BK$1),FALSE)+VLOOKUP(B36,'Share, heavy weapons to Ukraine'!A:CC,COLUMN('Share, heavy weapons to Ukraine'!$BL$1),FALSE)+VLOOKUP(B36,'Share, heavy weapons to Ukraine'!A:CC,COLUMN('Share, heavy weapons to Ukraine'!$BM$1),FALSE))/4</f>
        <v>0</v>
      </c>
      <c r="D36" s="8">
        <f>(VLOOKUP(B36,'Share, heavy weapons to Ukraine'!A:CC,COLUMN('Share, heavy weapons to Ukraine'!$BF$1),FALSE)+VLOOKUP(B36,'Share, heavy weapons to Ukraine'!A:CC,COLUMN('Share, heavy weapons to Ukraine'!$BJ$1),FALSE)+VLOOKUP(B36,'Share, heavy weapons to Ukraine'!A:CC,COLUMN('Share, heavy weapons to Ukraine'!$BL$1),FALSE)+VLOOKUP(B36,'Share, heavy weapons to Ukraine'!A:CC,COLUMN('Share, heavy weapons to Ukraine'!$BM$1),FALSE))/4</f>
        <v>0</v>
      </c>
      <c r="E36" s="8">
        <f>(VLOOKUP(B36,'Share, heavy weapons to Ukraine'!A:CC,COLUMN('Share, heavy weapons to Ukraine'!$BT$1),FALSE)+VLOOKUP(B36,'Share, heavy weapons to Ukraine'!A:CC,COLUMN('Share, heavy weapons to Ukraine'!$BZ$1),FALSE)+VLOOKUP(B36,'Share, heavy weapons to Ukraine'!A:CC,COLUMN('Share, heavy weapons to Ukraine'!$CA$1),FALSE)+VLOOKUP(B36,'Share, heavy weapons to Ukraine'!A:CC,COLUMN('Share, heavy weapons to Ukraine'!$CC$1),FALSE)+VLOOKUP(B36,'Share, heavy weapons to Ukraine'!A:CF,COLUMN('Share, heavy weapons to Ukraine'!$CD$1),FALSE)+VLOOKUP(B36,'Share, heavy weapons to Ukraine'!A:CF,COLUMN('Share, heavy weapons to Ukraine'!$CE$1),FALSE)+VLOOKUP(B36,'Share, heavy weapons to Ukraine'!A:CF,COLUMN('Share, heavy weapons to Ukraine'!$CF$1),FALSE))/7</f>
        <v>0</v>
      </c>
      <c r="F36" s="8">
        <f t="shared" si="0"/>
        <v>0</v>
      </c>
      <c r="G36" s="8">
        <f>(VLOOKUP(B36,'Share, heavy weapons to Ukraine'!A:CC,COLUMN('Share, heavy weapons to Ukraine'!$BF$1),FALSE)+VLOOKUP(B36,'Share, heavy weapons to Ukraine'!A:CC,COLUMN('Share, heavy weapons to Ukraine'!$BL$1),FALSE)+VLOOKUP(B36,'Share, heavy weapons to Ukraine'!A:CC,COLUMN('Share, heavy weapons to Ukraine'!$BM$1),FALSE)+VLOOKUP(B36,'Share, heavy weapons to Ukraine'!A:CC,COLUMN('Share, heavy weapons to Ukraine'!$BO$1),FALSE)+VLOOKUP(B36,'Share, heavy weapons to Ukraine'!A:CC,COLUMN('Share, heavy weapons to Ukraine'!$BP$1),FALSE)+VLOOKUP(B36,'Share, heavy weapons to Ukraine'!A:CC,COLUMN('Share, heavy weapons to Ukraine'!$BQ$1),FALSE)+VLOOKUP(B36,'Share, heavy weapons to Ukraine'!A:CC,COLUMN('Share, heavy weapons to Ukraine'!$BR$1),FALSE))/7</f>
        <v>0</v>
      </c>
      <c r="H36" s="8">
        <f>(VLOOKUP(B36,'Share, heavy weapons to Ukraine'!A:CC,COLUMN('Share, heavy weapons to Ukraine'!$BF$1),FALSE))</f>
        <v>0</v>
      </c>
      <c r="I36" s="8">
        <f>VLOOKUP(B36,'Share, heavy weapons to Ukraine'!A:CC,COLUMN('Share, heavy weapons to Ukraine'!$BL$1),FALSE)</f>
        <v>0</v>
      </c>
      <c r="J36" s="8">
        <f>VLOOKUP(B36,'Share, heavy weapons to Ukraine'!A:CC,COLUMN('Share, heavy weapons to Ukraine'!$BM$1),FALSE)</f>
        <v>0</v>
      </c>
      <c r="K36" s="8">
        <f>VLOOKUP(B36,'Share, heavy weapons to Ukraine'!A:CC,COLUMN('Share, heavy weapons to Ukraine'!$BO$1),FALSE)</f>
        <v>0</v>
      </c>
      <c r="L36" s="8">
        <f>VLOOKUP(B36,'Share, heavy weapons to Ukraine'!A:CC,COLUMN('Share, heavy weapons to Ukraine'!$BP$1),FALSE)</f>
        <v>0</v>
      </c>
      <c r="M36" s="8">
        <f>VLOOKUP(B36,'Share, heavy weapons to Ukraine'!A:CC,COLUMN('Share, heavy weapons to Ukraine'!$BQ$1),FALSE)</f>
        <v>0</v>
      </c>
      <c r="N36" s="8">
        <f>VLOOKUP(B36,'Share, heavy weapons to Ukraine'!A:CC,COLUMN('Share, heavy weapons to Ukraine'!$BR$1),FALSE)</f>
        <v>0</v>
      </c>
      <c r="O36" s="8">
        <v>4</v>
      </c>
      <c r="P36" s="8">
        <f>VLOOKUP(B36,'Share, heavy weapons to Ukraine'!A:CC,COLUMN('Share, heavy weapons to Ukraine'!$C$1),FALSE)</f>
        <v>1</v>
      </c>
      <c r="Q36" s="8">
        <f>VLOOKUP(B36,'Share, heavy weapons to Ukraine'!A:CC,COLUMN('Share, heavy weapons to Ukraine'!$B$1),FALSE)</f>
        <v>0</v>
      </c>
    </row>
    <row r="37" spans="2:17" ht="15.6">
      <c r="B37" s="362" t="s">
        <v>2258</v>
      </c>
      <c r="C37" s="362">
        <f>(VLOOKUP(B37,'Share, heavy weapons to Ukraine'!A:CC,COLUMN('Share, heavy weapons to Ukraine'!$BF$1),FALSE)+VLOOKUP(B37,'Share, heavy weapons to Ukraine'!A:CC,COLUMN('Share, heavy weapons to Ukraine'!$BK$1),FALSE)+VLOOKUP(B37,'Share, heavy weapons to Ukraine'!A:CC,COLUMN('Share, heavy weapons to Ukraine'!$BL$1),FALSE)+VLOOKUP(B37,'Share, heavy weapons to Ukraine'!A:CC,COLUMN('Share, heavy weapons to Ukraine'!$BM$1),FALSE))/4</f>
        <v>0</v>
      </c>
      <c r="D37" s="362">
        <f>(VLOOKUP(B37,'Share, heavy weapons to Ukraine'!A:CC,COLUMN('Share, heavy weapons to Ukraine'!$BF$1),FALSE)+VLOOKUP(B37,'Share, heavy weapons to Ukraine'!A:CC,COLUMN('Share, heavy weapons to Ukraine'!$BJ$1),FALSE)+VLOOKUP(B37,'Share, heavy weapons to Ukraine'!A:CC,COLUMN('Share, heavy weapons to Ukraine'!$BL$1),FALSE)+VLOOKUP(B37,'Share, heavy weapons to Ukraine'!A:CC,COLUMN('Share, heavy weapons to Ukraine'!$BM$1),FALSE))/4</f>
        <v>0</v>
      </c>
      <c r="E37" s="275">
        <f>(VLOOKUP(B37,'Share, heavy weapons to Ukraine'!A:CC,COLUMN('Share, heavy weapons to Ukraine'!$BT$1),FALSE)+VLOOKUP(B37,'Share, heavy weapons to Ukraine'!A:CC,COLUMN('Share, heavy weapons to Ukraine'!$BZ$1),FALSE)+VLOOKUP(B37,'Share, heavy weapons to Ukraine'!A:CC,COLUMN('Share, heavy weapons to Ukraine'!$CA$1),FALSE)+VLOOKUP(B37,'Share, heavy weapons to Ukraine'!A:CC,COLUMN('Share, heavy weapons to Ukraine'!$CC$1),FALSE)+VLOOKUP(B37,'Share, heavy weapons to Ukraine'!A:CF,COLUMN('Share, heavy weapons to Ukraine'!$CD$1),FALSE)+VLOOKUP(B37,'Share, heavy weapons to Ukraine'!A:CF,COLUMN('Share, heavy weapons to Ukraine'!$CE$1),FALSE)+VLOOKUP(B37,'Share, heavy weapons to Ukraine'!A:CF,COLUMN('Share, heavy weapons to Ukraine'!$CF$1),FALSE))/7</f>
        <v>0</v>
      </c>
      <c r="F37" s="275">
        <f t="shared" si="0"/>
        <v>0</v>
      </c>
      <c r="G37" s="275">
        <f>(VLOOKUP(B37,'Share, heavy weapons to Ukraine'!A:CC,COLUMN('Share, heavy weapons to Ukraine'!$BF$1),FALSE)+VLOOKUP(B37,'Share, heavy weapons to Ukraine'!A:CC,COLUMN('Share, heavy weapons to Ukraine'!$BL$1),FALSE)+VLOOKUP(B37,'Share, heavy weapons to Ukraine'!A:CC,COLUMN('Share, heavy weapons to Ukraine'!$BM$1),FALSE)+VLOOKUP(B37,'Share, heavy weapons to Ukraine'!A:CC,COLUMN('Share, heavy weapons to Ukraine'!$BO$1),FALSE)+VLOOKUP(B37,'Share, heavy weapons to Ukraine'!A:CC,COLUMN('Share, heavy weapons to Ukraine'!$BP$1),FALSE)+VLOOKUP(B37,'Share, heavy weapons to Ukraine'!A:CC,COLUMN('Share, heavy weapons to Ukraine'!$BQ$1),FALSE)+VLOOKUP(B37,'Share, heavy weapons to Ukraine'!A:CC,COLUMN('Share, heavy weapons to Ukraine'!$BR$1),FALSE))/7</f>
        <v>0</v>
      </c>
      <c r="H37" s="362">
        <f>(VLOOKUP(B37,'Share, heavy weapons to Ukraine'!A:CC,COLUMN('Share, heavy weapons to Ukraine'!$BF$1),FALSE))</f>
        <v>0</v>
      </c>
      <c r="I37" s="362">
        <f>VLOOKUP(B37,'Share, heavy weapons to Ukraine'!A:CC,COLUMN('Share, heavy weapons to Ukraine'!$BL$1),FALSE)</f>
        <v>0</v>
      </c>
      <c r="J37" s="362">
        <f>VLOOKUP(B37,'Share, heavy weapons to Ukraine'!A:CC,COLUMN('Share, heavy weapons to Ukraine'!$BM$1),FALSE)</f>
        <v>0</v>
      </c>
      <c r="K37" s="275">
        <f>VLOOKUP(B37,'Share, heavy weapons to Ukraine'!A:CC,COLUMN('Share, heavy weapons to Ukraine'!$BO$1),FALSE)</f>
        <v>0</v>
      </c>
      <c r="L37" s="275">
        <f>VLOOKUP(B37,'Share, heavy weapons to Ukraine'!A:CC,COLUMN('Share, heavy weapons to Ukraine'!$BP$1),FALSE)</f>
        <v>0</v>
      </c>
      <c r="M37" s="275">
        <f>VLOOKUP(B37,'Share, heavy weapons to Ukraine'!A:CC,COLUMN('Share, heavy weapons to Ukraine'!$BQ$1),FALSE)</f>
        <v>0</v>
      </c>
      <c r="N37" s="275">
        <f>VLOOKUP(B37,'Share, heavy weapons to Ukraine'!A:CC,COLUMN('Share, heavy weapons to Ukraine'!$BR$1),FALSE)</f>
        <v>0</v>
      </c>
      <c r="O37" s="362">
        <v>2</v>
      </c>
      <c r="P37" s="362">
        <f>VLOOKUP(B37,'Share, heavy weapons to Ukraine'!A:CC,COLUMN('Share, heavy weapons to Ukraine'!$C$1),FALSE)</f>
        <v>1</v>
      </c>
      <c r="Q37" s="362">
        <f>VLOOKUP(B37,'Share, heavy weapons to Ukraine'!A:CC,COLUMN('Share, heavy weapons to Ukraine'!$B$1),FALSE)</f>
        <v>0</v>
      </c>
    </row>
  </sheetData>
  <autoFilter ref="B4:Q4" xr:uid="{00000000-0009-0000-0000-000013000000}">
    <sortState xmlns:xlrd2="http://schemas.microsoft.com/office/spreadsheetml/2017/richdata2" ref="B5:Q37">
      <sortCondition descending="1" ref="G4"/>
    </sortState>
  </autoFilter>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79998168889431442"/>
  </sheetPr>
  <dimension ref="B2:AD54"/>
  <sheetViews>
    <sheetView showGridLines="0" zoomScaleNormal="100" workbookViewId="0">
      <selection activeCell="B2" sqref="B2"/>
    </sheetView>
  </sheetViews>
  <sheetFormatPr defaultColWidth="11.5" defaultRowHeight="15.6"/>
  <cols>
    <col min="1" max="1" width="5" style="139" customWidth="1"/>
    <col min="2" max="2" width="17.5" style="139" customWidth="1"/>
    <col min="3" max="3" width="30" style="139" bestFit="1" customWidth="1"/>
    <col min="4" max="4" width="27" style="139" customWidth="1"/>
    <col min="5" max="5" width="11.5" style="139" bestFit="1" customWidth="1"/>
    <col min="6" max="6" width="13" style="139" customWidth="1"/>
    <col min="7" max="19" width="11.5" style="139"/>
    <col min="20" max="20" width="22" style="212" bestFit="1" customWidth="1"/>
    <col min="21" max="21" width="23" style="207" customWidth="1"/>
    <col min="22" max="22" width="23.5" style="207" customWidth="1"/>
    <col min="23" max="23" width="23" style="207" customWidth="1"/>
    <col min="24" max="24" width="38.5" style="207" bestFit="1" customWidth="1"/>
    <col min="25" max="25" width="16.5" style="207" customWidth="1"/>
    <col min="26" max="26" width="19" style="207" bestFit="1" customWidth="1"/>
    <col min="27" max="27" width="12.5" style="207" bestFit="1" customWidth="1"/>
    <col min="28" max="28" width="26" style="207" customWidth="1"/>
    <col min="29" max="29" width="11.5" style="207"/>
    <col min="30" max="30" width="11.5" style="208"/>
    <col min="31" max="16384" width="11.5" style="139"/>
  </cols>
  <sheetData>
    <row r="2" spans="2:29" ht="15.95" customHeight="1">
      <c r="B2" s="140" t="s">
        <v>3176</v>
      </c>
      <c r="H2" s="441" t="s">
        <v>3177</v>
      </c>
    </row>
    <row r="3" spans="2:29">
      <c r="T3" s="213"/>
      <c r="V3" s="216"/>
      <c r="W3" s="217"/>
      <c r="X3" s="218"/>
      <c r="Z3" s="213"/>
      <c r="AA3" s="217"/>
      <c r="AB3" s="218"/>
      <c r="AC3" s="219"/>
    </row>
    <row r="4" spans="2:29">
      <c r="B4" s="151" t="s">
        <v>3006</v>
      </c>
      <c r="C4" s="151" t="s">
        <v>3011</v>
      </c>
      <c r="D4" s="151" t="s">
        <v>3178</v>
      </c>
      <c r="E4" s="151" t="s">
        <v>3026</v>
      </c>
      <c r="T4" s="213"/>
      <c r="V4" s="216"/>
      <c r="W4" s="217"/>
      <c r="X4" s="218"/>
      <c r="Z4" s="213"/>
      <c r="AA4" s="217"/>
      <c r="AB4" s="218"/>
      <c r="AC4" s="219"/>
    </row>
    <row r="5" spans="2:29">
      <c r="B5" s="139" t="s">
        <v>2548</v>
      </c>
      <c r="C5" s="149">
        <f>VLOOKUP(B5,'Country summary'!B:J,6,0)</f>
        <v>47.819232685600397</v>
      </c>
      <c r="D5" s="149">
        <f>VLOOKUP(B5,'Country summary'!B:N,13,0)</f>
        <v>0</v>
      </c>
      <c r="E5" s="149">
        <f>VLOOKUP(B5,'Country summary'!B:P,15,0)</f>
        <v>47.819232685600397</v>
      </c>
      <c r="T5" s="213"/>
      <c r="V5" s="216"/>
      <c r="W5" s="217"/>
      <c r="X5" s="218"/>
      <c r="Z5" s="213"/>
      <c r="AA5" s="217"/>
      <c r="AB5" s="218"/>
      <c r="AC5" s="219"/>
    </row>
    <row r="6" spans="2:29">
      <c r="B6" s="139" t="s">
        <v>1136</v>
      </c>
      <c r="C6" s="149">
        <f>VLOOKUP(B6,'Country summary'!B:J,6,0)</f>
        <v>5.4448872384566922</v>
      </c>
      <c r="D6" s="149">
        <f>VLOOKUP(B6,'Country summary'!B:N,13,0)</f>
        <v>7.1738746152874056</v>
      </c>
      <c r="E6" s="149">
        <f>VLOOKUP(B6,'Country summary'!B:P,15,0)</f>
        <v>12.618761853744097</v>
      </c>
      <c r="T6" s="213"/>
      <c r="V6" s="216"/>
      <c r="W6" s="217"/>
      <c r="X6" s="218"/>
      <c r="Z6" s="213"/>
      <c r="AA6" s="217"/>
      <c r="AB6" s="218"/>
      <c r="AC6" s="219"/>
    </row>
    <row r="7" spans="2:29">
      <c r="B7" s="139" t="s">
        <v>1012</v>
      </c>
      <c r="C7" s="149">
        <f>VLOOKUP(B7,'Country summary'!B:J,6,0)</f>
        <v>1.4141588546406045</v>
      </c>
      <c r="D7" s="149">
        <f>VLOOKUP(B7,'Country summary'!B:N,13,0)</f>
        <v>5.9777687385919371</v>
      </c>
      <c r="E7" s="149">
        <f>VLOOKUP(B7,'Country summary'!B:P,15,0)</f>
        <v>7.3919275932325412</v>
      </c>
      <c r="T7" s="213"/>
      <c r="V7" s="216"/>
      <c r="W7" s="217"/>
      <c r="X7" s="218"/>
      <c r="Z7" s="213"/>
      <c r="AA7" s="217"/>
      <c r="AB7" s="218"/>
      <c r="AC7" s="219"/>
    </row>
    <row r="8" spans="2:29">
      <c r="B8" s="139" t="s">
        <v>2392</v>
      </c>
      <c r="C8" s="149">
        <f>VLOOKUP(B8,'Country summary'!B:J,6,0)</f>
        <v>7.0818161259798824</v>
      </c>
      <c r="D8" s="149">
        <f>VLOOKUP(B8,'Country summary'!B:N,13,0)</f>
        <v>0</v>
      </c>
      <c r="E8" s="149">
        <f>VLOOKUP(B8,'Country summary'!B:P,15,0)</f>
        <v>7.0818161259798824</v>
      </c>
      <c r="T8" s="213"/>
      <c r="V8" s="216"/>
      <c r="W8" s="217"/>
      <c r="X8" s="218"/>
      <c r="Z8" s="213"/>
      <c r="AA8" s="217"/>
      <c r="AB8" s="218"/>
      <c r="AC8" s="219"/>
    </row>
    <row r="9" spans="2:29">
      <c r="B9" s="139" t="s">
        <v>1412</v>
      </c>
      <c r="C9" s="149">
        <f>VLOOKUP(B9,'Country summary'!B:J,6,0)</f>
        <v>0.67252355252400942</v>
      </c>
      <c r="D9" s="149">
        <f>VLOOKUP(B9,'Country summary'!B:N,13,0)</f>
        <v>4.4148700567684394</v>
      </c>
      <c r="E9" s="149">
        <f>VLOOKUP(B9,'Country summary'!B:P,15,0)</f>
        <v>5.087393609292449</v>
      </c>
      <c r="T9" s="213"/>
      <c r="V9" s="216"/>
      <c r="W9" s="217"/>
      <c r="X9" s="218"/>
      <c r="Z9" s="213"/>
      <c r="AA9" s="217"/>
      <c r="AB9" s="218"/>
      <c r="AC9" s="219"/>
    </row>
    <row r="10" spans="2:29">
      <c r="B10" s="139" t="s">
        <v>1894</v>
      </c>
      <c r="C10" s="149">
        <f>VLOOKUP(B10,'Country summary'!B:J,6,0)</f>
        <v>3.0005914580403035</v>
      </c>
      <c r="D10" s="149">
        <f>VLOOKUP(B10,'Country summary'!B:N,13,0)</f>
        <v>1.4579938810353561</v>
      </c>
      <c r="E10" s="149">
        <f>VLOOKUP(B10,'Country summary'!B:P,15,0)</f>
        <v>4.4585853390756593</v>
      </c>
      <c r="T10" s="213"/>
      <c r="V10" s="216"/>
      <c r="W10" s="217"/>
      <c r="X10" s="218"/>
      <c r="Z10" s="213"/>
      <c r="AA10" s="217"/>
      <c r="AB10" s="218"/>
      <c r="AC10" s="219"/>
    </row>
    <row r="11" spans="2:29">
      <c r="B11" s="139" t="s">
        <v>2162</v>
      </c>
      <c r="C11" s="149">
        <f>VLOOKUP(B11,'Country summary'!B:J,6,0)</f>
        <v>0.38207567291367656</v>
      </c>
      <c r="D11" s="149">
        <f>VLOOKUP(B11,'Country summary'!B:N,13,0)</f>
        <v>4.035389671899078</v>
      </c>
      <c r="E11" s="149">
        <f>VLOOKUP(B11,'Country summary'!B:P,15,0)</f>
        <v>4.4174653448127543</v>
      </c>
      <c r="T11" s="213"/>
      <c r="V11" s="216"/>
      <c r="W11" s="217"/>
      <c r="X11" s="218"/>
      <c r="Z11" s="213"/>
      <c r="AA11" s="217"/>
      <c r="AB11" s="218"/>
      <c r="AC11" s="219"/>
    </row>
    <row r="12" spans="2:29">
      <c r="B12" s="139" t="s">
        <v>452</v>
      </c>
      <c r="C12" s="149">
        <f>VLOOKUP(B12,'Country summary'!B:J,6,0)</f>
        <v>3.7836424854388375</v>
      </c>
      <c r="D12" s="149">
        <f>VLOOKUP(B12,'Country summary'!B:N,13,0)</f>
        <v>0</v>
      </c>
      <c r="E12" s="149">
        <f>VLOOKUP(B12,'Country summary'!B:P,15,0)</f>
        <v>3.7836424854388375</v>
      </c>
      <c r="T12" s="213"/>
      <c r="V12" s="216"/>
      <c r="W12" s="217"/>
      <c r="X12" s="218"/>
      <c r="Z12" s="213"/>
      <c r="AA12" s="217"/>
      <c r="AB12" s="218"/>
      <c r="AC12" s="219"/>
    </row>
    <row r="13" spans="2:29">
      <c r="B13" s="139" t="s">
        <v>1687</v>
      </c>
      <c r="C13" s="149">
        <f>VLOOKUP(B13,'Country summary'!B:J,6,0)</f>
        <v>0.84723174639562449</v>
      </c>
      <c r="D13" s="149">
        <f>VLOOKUP(B13,'Country summary'!B:N,13,0)</f>
        <v>2.644222211842032</v>
      </c>
      <c r="E13" s="149">
        <f>VLOOKUP(B13,'Country summary'!B:P,15,0)</f>
        <v>3.4914539582376563</v>
      </c>
      <c r="T13" s="213"/>
      <c r="V13" s="216"/>
      <c r="W13" s="217"/>
      <c r="X13" s="218"/>
      <c r="Z13" s="213"/>
      <c r="AA13" s="217"/>
      <c r="AB13" s="218"/>
      <c r="AC13" s="219"/>
    </row>
    <row r="14" spans="2:29">
      <c r="B14" s="139" t="s">
        <v>2258</v>
      </c>
      <c r="C14" s="149">
        <f>VLOOKUP(B14,'Country summary'!B:J,6,0)</f>
        <v>0.80652771109696919</v>
      </c>
      <c r="D14" s="149">
        <f>VLOOKUP(B14,'Country summary'!B:N,13,0)</f>
        <v>1.1800512369939129</v>
      </c>
      <c r="E14" s="149">
        <f>VLOOKUP(B14,'Country summary'!B:P,15,0)</f>
        <v>1.986578948090882</v>
      </c>
      <c r="T14" s="213"/>
      <c r="V14" s="216"/>
      <c r="W14" s="217"/>
      <c r="X14" s="218"/>
      <c r="Z14" s="213"/>
      <c r="AA14" s="217"/>
      <c r="AB14" s="218"/>
      <c r="AC14" s="219"/>
    </row>
    <row r="15" spans="2:29" ht="15.75">
      <c r="B15" s="139" t="s">
        <v>312</v>
      </c>
      <c r="C15" s="149">
        <f>VLOOKUP(B15,'Country summary'!B:J,6,0)</f>
        <v>0.58009865749875444</v>
      </c>
      <c r="D15" s="149">
        <f>VLOOKUP(B15,'Country summary'!B:N,13,0)</f>
        <v>1.0147495026893154</v>
      </c>
      <c r="E15" s="149">
        <f>VLOOKUP(B15,'Country summary'!B:P,15,0)</f>
        <v>1.5948481601880697</v>
      </c>
      <c r="T15" s="213"/>
      <c r="V15" s="216"/>
      <c r="W15" s="217"/>
      <c r="X15" s="218"/>
      <c r="Z15" s="213"/>
      <c r="AA15" s="217"/>
      <c r="AB15" s="218"/>
      <c r="AC15" s="219"/>
    </row>
    <row r="16" spans="2:29" ht="15.75">
      <c r="B16" s="139" t="s">
        <v>767</v>
      </c>
      <c r="C16" s="149">
        <f>VLOOKUP(B16,'Country summary'!B:J,6,0)</f>
        <v>0.64105010820328778</v>
      </c>
      <c r="D16" s="149">
        <f>VLOOKUP(B16,'Country summary'!B:N,13,0)</f>
        <v>0.88590554202072613</v>
      </c>
      <c r="E16" s="149">
        <f>VLOOKUP(B16,'Country summary'!B:P,15,0)</f>
        <v>1.5269556502240138</v>
      </c>
      <c r="T16" s="213"/>
      <c r="V16" s="216"/>
      <c r="W16" s="217"/>
      <c r="X16" s="218"/>
      <c r="Z16" s="213"/>
      <c r="AA16" s="217"/>
      <c r="AB16" s="218"/>
      <c r="AC16" s="219"/>
    </row>
    <row r="17" spans="2:29" ht="15.75">
      <c r="B17" s="139" t="s">
        <v>370</v>
      </c>
      <c r="C17" s="149">
        <f>VLOOKUP(B17,'Country summary'!B:J,6,0)</f>
        <v>0.21816000000000002</v>
      </c>
      <c r="D17" s="149">
        <f>VLOOKUP(B17,'Country summary'!B:N,13,0)</f>
        <v>1.2544723390382404</v>
      </c>
      <c r="E17" s="149">
        <f>VLOOKUP(B17,'Country summary'!B:P,15,0)</f>
        <v>1.4726323390382405</v>
      </c>
      <c r="T17" s="213"/>
      <c r="V17" s="216"/>
      <c r="W17" s="217"/>
      <c r="X17" s="218"/>
      <c r="Z17" s="213"/>
      <c r="AA17" s="217"/>
      <c r="AB17" s="218"/>
      <c r="AC17" s="219"/>
    </row>
    <row r="18" spans="2:29" ht="15.75">
      <c r="B18" s="139" t="s">
        <v>1804</v>
      </c>
      <c r="C18" s="149">
        <f>VLOOKUP(B18,'Country summary'!B:J,6,0)</f>
        <v>1.2099236492938994</v>
      </c>
      <c r="D18" s="149">
        <f>VLOOKUP(B18,'Country summary'!B:N,13,0)</f>
        <v>0</v>
      </c>
      <c r="E18" s="149">
        <f>VLOOKUP(B18,'Country summary'!B:P,15,0)</f>
        <v>1.2099236492938994</v>
      </c>
      <c r="T18" s="213"/>
      <c r="V18" s="216"/>
      <c r="W18" s="217"/>
      <c r="X18" s="218"/>
      <c r="Z18" s="213"/>
      <c r="AA18" s="217"/>
      <c r="AB18" s="218"/>
      <c r="AC18" s="219"/>
    </row>
    <row r="19" spans="2:29">
      <c r="B19" s="139" t="s">
        <v>632</v>
      </c>
      <c r="C19" s="149">
        <f>VLOOKUP(B19,'Country summary'!B:J,6,0)</f>
        <v>0.58670987717604117</v>
      </c>
      <c r="D19" s="149">
        <f>VLOOKUP(B19,'Country summary'!B:N,13,0)</f>
        <v>0.50418971479373276</v>
      </c>
      <c r="E19" s="149">
        <f>VLOOKUP(B19,'Country summary'!B:P,15,0)</f>
        <v>1.0908995919697739</v>
      </c>
      <c r="T19" s="213"/>
      <c r="V19" s="216"/>
      <c r="W19" s="217"/>
      <c r="X19" s="218"/>
      <c r="Z19" s="213"/>
      <c r="AA19" s="217"/>
      <c r="AB19" s="218"/>
      <c r="AC19" s="219"/>
    </row>
    <row r="20" spans="2:29">
      <c r="B20" s="139" t="s">
        <v>917</v>
      </c>
      <c r="C20" s="149">
        <f>VLOOKUP(B20,'Country summary'!B:J,6,0)</f>
        <v>0.30559999999999998</v>
      </c>
      <c r="D20" s="149">
        <f>VLOOKUP(B20,'Country summary'!B:N,13,0)</f>
        <v>0.59418058814164842</v>
      </c>
      <c r="E20" s="149">
        <f>VLOOKUP(B20,'Country summary'!B:P,15,0)</f>
        <v>0.89978058814164841</v>
      </c>
      <c r="T20" s="213"/>
      <c r="V20" s="216"/>
      <c r="W20" s="217"/>
      <c r="X20" s="218"/>
      <c r="Z20" s="213"/>
      <c r="AA20" s="217"/>
      <c r="AB20" s="218"/>
      <c r="AC20" s="219"/>
    </row>
    <row r="21" spans="2:29">
      <c r="B21" s="139" t="s">
        <v>1957</v>
      </c>
      <c r="C21" s="149">
        <f>VLOOKUP(B21,'Country summary'!B:J,6,0)</f>
        <v>0.33478228578095853</v>
      </c>
      <c r="D21" s="149">
        <f>VLOOKUP(B21,'Country summary'!B:N,13,0)</f>
        <v>0.49627811750761119</v>
      </c>
      <c r="E21" s="149">
        <f>VLOOKUP(B21,'Country summary'!B:P,15,0)</f>
        <v>0.83106040328856978</v>
      </c>
      <c r="T21" s="213"/>
      <c r="V21" s="216"/>
      <c r="W21" s="217"/>
      <c r="X21" s="218"/>
      <c r="Z21" s="213"/>
      <c r="AA21" s="217"/>
      <c r="AB21" s="218"/>
      <c r="AC21" s="219"/>
    </row>
    <row r="22" spans="2:29">
      <c r="B22" s="139" t="s">
        <v>1383</v>
      </c>
      <c r="C22" s="149">
        <f>VLOOKUP(B22,'Country summary'!B:J,6,0)</f>
        <v>6.8687030891878428E-2</v>
      </c>
      <c r="D22" s="149">
        <f>VLOOKUP(B22,'Country summary'!B:N,13,0)</f>
        <v>0.68214285642523476</v>
      </c>
      <c r="E22" s="149">
        <f>VLOOKUP(B22,'Country summary'!B:P,15,0)</f>
        <v>0.7508298873171132</v>
      </c>
      <c r="T22" s="213"/>
      <c r="V22" s="216"/>
      <c r="W22" s="217"/>
      <c r="X22" s="218"/>
      <c r="Z22" s="213"/>
      <c r="AA22" s="217"/>
      <c r="AB22" s="218"/>
      <c r="AC22" s="219"/>
    </row>
    <row r="23" spans="2:29">
      <c r="B23" s="139" t="s">
        <v>1294</v>
      </c>
      <c r="C23" s="149">
        <f>VLOOKUP(B23,'Country summary'!B:J,6,0)</f>
        <v>0.19116831928251124</v>
      </c>
      <c r="D23" s="149">
        <f>VLOOKUP(B23,'Country summary'!B:N,13,0)</f>
        <v>0.4965860004450674</v>
      </c>
      <c r="E23" s="149">
        <f>VLOOKUP(B23,'Country summary'!B:P,15,0)</f>
        <v>0.68775431972757861</v>
      </c>
      <c r="T23" s="213"/>
      <c r="V23" s="216"/>
      <c r="W23" s="217"/>
      <c r="X23" s="218"/>
      <c r="Z23" s="213"/>
      <c r="AA23" s="217"/>
      <c r="AB23" s="218"/>
      <c r="AC23" s="219"/>
    </row>
    <row r="24" spans="2:29">
      <c r="B24" s="139" t="s">
        <v>1471</v>
      </c>
      <c r="C24" s="149">
        <f>VLOOKUP(B24,'Country summary'!B:J,6,0)</f>
        <v>0.60595117090184358</v>
      </c>
      <c r="D24" s="149">
        <f>VLOOKUP(B24,'Country summary'!B:N,13,0)</f>
        <v>0</v>
      </c>
      <c r="E24" s="149">
        <f>VLOOKUP(B24,'Country summary'!B:P,15,0)</f>
        <v>0.60595117090184358</v>
      </c>
      <c r="T24" s="213"/>
      <c r="V24" s="216"/>
      <c r="W24" s="217"/>
      <c r="X24" s="218"/>
      <c r="Z24" s="213"/>
      <c r="AA24" s="217"/>
      <c r="AB24" s="218"/>
      <c r="AC24" s="219"/>
    </row>
    <row r="25" spans="2:29">
      <c r="B25" s="139" t="s">
        <v>2034</v>
      </c>
      <c r="C25" s="149">
        <f>VLOOKUP(B25,'Country summary'!B:J,6,0)</f>
        <v>1.0845078474608021E-2</v>
      </c>
      <c r="D25" s="149">
        <f>VLOOKUP(B25,'Country summary'!B:N,13,0)</f>
        <v>0.55780620266010483</v>
      </c>
      <c r="E25" s="149">
        <f>VLOOKUP(B25,'Country summary'!B:P,15,0)</f>
        <v>0.56865128113471286</v>
      </c>
      <c r="T25" s="213"/>
      <c r="V25" s="216"/>
      <c r="W25" s="217"/>
      <c r="X25" s="218"/>
      <c r="Z25" s="213"/>
      <c r="AA25" s="217"/>
      <c r="AB25" s="218"/>
      <c r="AC25" s="219"/>
    </row>
    <row r="26" spans="2:29">
      <c r="B26" s="139" t="s">
        <v>2063</v>
      </c>
      <c r="C26" s="149">
        <f>VLOOKUP(B26,'Country summary'!B:J,6,0)</f>
        <v>0.21517157538614848</v>
      </c>
      <c r="D26" s="149">
        <f>VLOOKUP(B26,'Country summary'!B:N,13,0)</f>
        <v>0.30448554080060175</v>
      </c>
      <c r="E26" s="149">
        <f>VLOOKUP(B26,'Country summary'!B:P,15,0)</f>
        <v>0.51965711618675026</v>
      </c>
      <c r="T26" s="213"/>
      <c r="V26" s="216"/>
      <c r="W26" s="217"/>
      <c r="X26" s="218"/>
      <c r="Z26" s="213"/>
      <c r="AA26" s="217"/>
      <c r="AB26" s="218"/>
      <c r="AC26" s="219"/>
    </row>
    <row r="27" spans="2:29">
      <c r="B27" s="139" t="s">
        <v>1335</v>
      </c>
      <c r="C27" s="149">
        <f>VLOOKUP(B27,'Country summary'!B:J,6,0)</f>
        <v>4.6688822031581839E-2</v>
      </c>
      <c r="D27" s="149">
        <f>VLOOKUP(B27,'Country summary'!B:N,13,0)</f>
        <v>0.40178050416249345</v>
      </c>
      <c r="E27" s="149">
        <f>VLOOKUP(B27,'Country summary'!B:P,15,0)</f>
        <v>0.44846932619407531</v>
      </c>
      <c r="T27" s="213"/>
      <c r="V27" s="216"/>
      <c r="W27" s="217"/>
      <c r="X27" s="218"/>
      <c r="Z27" s="213"/>
      <c r="AA27" s="217"/>
      <c r="AB27" s="218"/>
      <c r="AC27" s="219"/>
    </row>
    <row r="28" spans="2:29">
      <c r="B28" s="139" t="s">
        <v>840</v>
      </c>
      <c r="C28" s="149">
        <f>VLOOKUP(B28,'Country summary'!B:J,6,0)</f>
        <v>0.33497022800000004</v>
      </c>
      <c r="D28" s="149">
        <f>VLOOKUP(B28,'Country summary'!B:N,13,0)</f>
        <v>6.7390524440686078E-2</v>
      </c>
      <c r="E28" s="149">
        <f>VLOOKUP(B28,'Country summary'!B:P,15,0)</f>
        <v>0.40236075244068614</v>
      </c>
      <c r="T28" s="213"/>
      <c r="V28" s="216"/>
      <c r="W28" s="217"/>
      <c r="X28" s="218"/>
      <c r="Z28" s="213"/>
      <c r="AA28" s="217"/>
      <c r="AB28" s="218"/>
      <c r="AC28" s="219"/>
    </row>
    <row r="29" spans="2:29">
      <c r="B29" s="139" t="s">
        <v>1516</v>
      </c>
      <c r="C29" s="149">
        <f>VLOOKUP(B29,'Country summary'!B:J,6,0)</f>
        <v>0.31350695247322052</v>
      </c>
      <c r="D29" s="149">
        <f>VLOOKUP(B29,'Country summary'!B:N,13,0)</f>
        <v>6.9966039188944798E-2</v>
      </c>
      <c r="E29" s="149">
        <f>VLOOKUP(B29,'Country summary'!B:P,15,0)</f>
        <v>0.38347299166216531</v>
      </c>
      <c r="T29" s="213"/>
      <c r="V29" s="216"/>
      <c r="W29" s="217"/>
      <c r="X29" s="218"/>
      <c r="Z29" s="213"/>
      <c r="AA29" s="217"/>
      <c r="AB29" s="218"/>
      <c r="AC29" s="219"/>
    </row>
    <row r="30" spans="2:29">
      <c r="B30" s="139" t="s">
        <v>1562</v>
      </c>
      <c r="C30" s="149">
        <f>VLOOKUP(B30,'Country summary'!B:J,6,0)</f>
        <v>0.26068747583457896</v>
      </c>
      <c r="D30" s="149">
        <f>VLOOKUP(B30,'Country summary'!B:N,13,0)</f>
        <v>0.11218695754359347</v>
      </c>
      <c r="E30" s="149">
        <f>VLOOKUP(B30,'Country summary'!B:P,15,0)</f>
        <v>0.37287443337817244</v>
      </c>
      <c r="T30" s="214"/>
      <c r="U30" s="210"/>
      <c r="V30" s="220"/>
      <c r="W30" s="217"/>
      <c r="X30" s="218"/>
      <c r="Z30" s="215"/>
      <c r="AA30" s="221"/>
      <c r="AB30" s="218"/>
      <c r="AC30" s="219"/>
    </row>
    <row r="31" spans="2:29">
      <c r="B31" s="139" t="s">
        <v>227</v>
      </c>
      <c r="C31" s="149">
        <f>VLOOKUP(B31,'Country summary'!B:J,6,0)</f>
        <v>0.32044412884900914</v>
      </c>
      <c r="D31" s="149">
        <f>VLOOKUP(B31,'Country summary'!B:N,13,0)</f>
        <v>0</v>
      </c>
      <c r="E31" s="149">
        <f>VLOOKUP(B31,'Country summary'!B:P,15,0)</f>
        <v>0.32044412884900914</v>
      </c>
      <c r="T31" s="207"/>
      <c r="W31" s="217"/>
      <c r="X31" s="218"/>
      <c r="Z31" s="213"/>
      <c r="AA31" s="218"/>
      <c r="AB31" s="218"/>
      <c r="AC31" s="219"/>
    </row>
    <row r="32" spans="2:29">
      <c r="B32" s="139" t="s">
        <v>428</v>
      </c>
      <c r="C32" s="149">
        <f>VLOOKUP(B32,'Country summary'!B:J,6,0)</f>
        <v>4.4927463876432479E-3</v>
      </c>
      <c r="D32" s="149">
        <f>VLOOKUP(B32,'Country summary'!B:N,13,0)</f>
        <v>0.20515513766435853</v>
      </c>
      <c r="E32" s="149">
        <f>VLOOKUP(B32,'Country summary'!B:P,15,0)</f>
        <v>0.20964788405200177</v>
      </c>
      <c r="T32" s="207"/>
      <c r="W32" s="218"/>
      <c r="X32" s="218"/>
      <c r="AA32" s="218"/>
      <c r="AB32" s="218"/>
      <c r="AC32" s="219"/>
    </row>
    <row r="33" spans="2:29">
      <c r="B33" s="139" t="s">
        <v>2329</v>
      </c>
      <c r="C33" s="149">
        <f>VLOOKUP(B33,'Country summary'!B:J,6,0)</f>
        <v>0.202757502027575</v>
      </c>
      <c r="D33" s="149">
        <f>VLOOKUP(B33,'Country summary'!B:N,13,0)</f>
        <v>0</v>
      </c>
      <c r="E33" s="149">
        <f>VLOOKUP(B33,'Country summary'!B:P,15,0)</f>
        <v>0.202757502027575</v>
      </c>
      <c r="T33" s="207"/>
      <c r="W33" s="218"/>
      <c r="X33" s="218"/>
      <c r="AA33" s="218"/>
      <c r="AB33" s="218"/>
      <c r="AC33" s="219"/>
    </row>
    <row r="34" spans="2:29">
      <c r="B34" s="139" t="s">
        <v>2106</v>
      </c>
      <c r="C34" s="149">
        <f>VLOOKUP(B34,'Country summary'!B:J,6,0)</f>
        <v>6.0904012667663182E-2</v>
      </c>
      <c r="D34" s="149">
        <f>VLOOKUP(B34,'Country summary'!B:N,13,0)</f>
        <v>0.12394359945546657</v>
      </c>
      <c r="E34" s="149">
        <f>VLOOKUP(B34,'Country summary'!B:P,15,0)</f>
        <v>0.18484761212312975</v>
      </c>
      <c r="T34" s="207"/>
      <c r="W34" s="218"/>
      <c r="X34" s="218"/>
      <c r="AA34" s="218"/>
      <c r="AB34" s="218"/>
      <c r="AC34" s="219"/>
    </row>
    <row r="35" spans="2:29">
      <c r="B35" s="139" t="s">
        <v>1653</v>
      </c>
      <c r="C35" s="149">
        <f>VLOOKUP(B35,'Country summary'!B:J,6,0)</f>
        <v>7.5999999999999998E-2</v>
      </c>
      <c r="D35" s="149">
        <f>VLOOKUP(B35,'Country summary'!B:N,13,0)</f>
        <v>0.10863142573612726</v>
      </c>
      <c r="E35" s="149">
        <f>VLOOKUP(B35,'Country summary'!B:P,15,0)</f>
        <v>0.18463142573612726</v>
      </c>
      <c r="T35" s="207"/>
      <c r="W35" s="218"/>
      <c r="X35" s="218"/>
      <c r="AA35" s="218"/>
      <c r="AB35" s="218"/>
      <c r="AC35" s="219"/>
    </row>
    <row r="36" spans="2:29">
      <c r="B36" s="139" t="s">
        <v>591</v>
      </c>
      <c r="C36" s="149">
        <f>VLOOKUP(B36,'Country summary'!B:J,6,0)</f>
        <v>2.2892371683294416E-2</v>
      </c>
      <c r="D36" s="149">
        <f>VLOOKUP(B36,'Country summary'!B:N,13,0)</f>
        <v>0.14565455261858695</v>
      </c>
      <c r="E36" s="149">
        <f>VLOOKUP(B36,'Country summary'!B:P,15,0)</f>
        <v>0.16854692430188137</v>
      </c>
    </row>
    <row r="37" spans="2:29">
      <c r="B37" s="139" t="s">
        <v>2002</v>
      </c>
      <c r="C37" s="149">
        <f>VLOOKUP(B37,'Country summary'!B:J,6,0)</f>
        <v>9.4449427005480799E-2</v>
      </c>
      <c r="D37" s="149">
        <f>VLOOKUP(B37,'Country summary'!B:N,13,0)</f>
        <v>0</v>
      </c>
      <c r="E37" s="149">
        <f>VLOOKUP(B37,'Country summary'!B:P,15,0)</f>
        <v>9.4449427005480799E-2</v>
      </c>
    </row>
    <row r="38" spans="2:29">
      <c r="B38" s="139" t="s">
        <v>2368</v>
      </c>
      <c r="C38" s="149">
        <f>VLOOKUP(B38,'Country summary'!B:J,6,0)</f>
        <v>6.8261086198305926E-2</v>
      </c>
      <c r="D38" s="149">
        <f>VLOOKUP(B38,'Country summary'!B:N,13,0)</f>
        <v>0</v>
      </c>
      <c r="E38" s="149">
        <f>VLOOKUP(B38,'Country summary'!B:P,15,0)</f>
        <v>6.8261086198305926E-2</v>
      </c>
    </row>
    <row r="39" spans="2:29">
      <c r="B39" s="139" t="s">
        <v>2348</v>
      </c>
      <c r="C39" s="149">
        <f>VLOOKUP(B39,'Country summary'!B:J,6,0)</f>
        <v>6.4445971101145999E-2</v>
      </c>
      <c r="D39" s="149">
        <f>VLOOKUP(B39,'Country summary'!B:N,13,0)</f>
        <v>0</v>
      </c>
      <c r="E39" s="149">
        <f>VLOOKUP(B39,'Country summary'!B:P,15,0)</f>
        <v>6.4445971101145999E-2</v>
      </c>
    </row>
    <row r="40" spans="2:29">
      <c r="B40" s="139" t="s">
        <v>618</v>
      </c>
      <c r="C40" s="149">
        <f>VLOOKUP(B40,'Country summary'!B:J,6,0)</f>
        <v>2.5000000000000001E-3</v>
      </c>
      <c r="D40" s="149">
        <f>VLOOKUP(B40,'Country summary'!B:N,13,0)</f>
        <v>5.424307262486551E-2</v>
      </c>
      <c r="E40" s="149">
        <f>VLOOKUP(B40,'Country summary'!B:P,15,0)</f>
        <v>5.6743072624865512E-2</v>
      </c>
    </row>
    <row r="41" spans="2:29">
      <c r="B41" s="139" t="s">
        <v>1682</v>
      </c>
      <c r="C41" s="149">
        <f>VLOOKUP(B41,'Country summary'!B:J,6,0)</f>
        <v>1.15E-3</v>
      </c>
      <c r="D41" s="149">
        <f>VLOOKUP(B41,'Country summary'!B:N,13,0)</f>
        <v>2.8581369624430121E-2</v>
      </c>
      <c r="E41" s="149">
        <f>VLOOKUP(B41,'Country summary'!B:P,15,0)</f>
        <v>2.9731369624430119E-2</v>
      </c>
    </row>
    <row r="42" spans="2:29">
      <c r="B42" s="139" t="s">
        <v>1766</v>
      </c>
      <c r="C42" s="149">
        <f>VLOOKUP(B42,'Country summary'!B:J,6,0)</f>
        <v>1.7042638225112997E-2</v>
      </c>
      <c r="D42" s="149">
        <f>VLOOKUP(B42,'Country summary'!B:N,13,0)</f>
        <v>0</v>
      </c>
      <c r="E42" s="149">
        <f>VLOOKUP(B42,'Country summary'!B:P,15,0)</f>
        <v>1.7042638225112997E-2</v>
      </c>
    </row>
    <row r="43" spans="2:29">
      <c r="B43" s="139" t="s">
        <v>583</v>
      </c>
      <c r="C43" s="149">
        <f>VLOOKUP(B43,'Country summary'!B:J,6,0)</f>
        <v>2.0740003318400532E-3</v>
      </c>
      <c r="D43" s="149">
        <f>VLOOKUP(B43,'Country summary'!B:N,13,0)</f>
        <v>0</v>
      </c>
      <c r="E43" s="149">
        <f>VLOOKUP(B43,'Country summary'!B:P,15,0)</f>
        <v>2.0740003318400532E-3</v>
      </c>
    </row>
    <row r="44" spans="2:29">
      <c r="B44" s="146" t="s">
        <v>1369</v>
      </c>
      <c r="C44" s="154">
        <f>VLOOKUP(B44,'Country summary'!B:J,6,0)</f>
        <v>1.9404583956153462E-3</v>
      </c>
      <c r="D44" s="154">
        <f>VLOOKUP(B44,'Country summary'!B:N,13,0)</f>
        <v>0</v>
      </c>
      <c r="E44" s="154">
        <f>VLOOKUP(B44,'Country summary'!B:P,15,0)</f>
        <v>1.9404583956153462E-3</v>
      </c>
    </row>
    <row r="45" spans="2:29" ht="15.75" customHeight="1">
      <c r="F45" s="139" t="s">
        <v>3059</v>
      </c>
      <c r="G45" s="153"/>
      <c r="H45" s="153"/>
      <c r="I45" s="153"/>
      <c r="J45" s="153"/>
      <c r="K45" s="153"/>
      <c r="L45" s="153"/>
      <c r="M45" s="153"/>
      <c r="N45" s="153"/>
      <c r="O45" s="153"/>
    </row>
    <row r="47" spans="2:29" ht="15" customHeight="1">
      <c r="G47" s="153"/>
      <c r="H47" s="153"/>
      <c r="I47" s="153"/>
      <c r="J47" s="153"/>
      <c r="K47" s="153"/>
      <c r="L47" s="153"/>
      <c r="M47" s="153"/>
      <c r="N47" s="153"/>
      <c r="O47" s="153"/>
    </row>
    <row r="48" spans="2:29" ht="15" customHeight="1">
      <c r="G48" s="153"/>
      <c r="H48" s="153"/>
      <c r="I48" s="153"/>
      <c r="J48" s="153"/>
      <c r="K48" s="153"/>
      <c r="L48" s="153"/>
      <c r="M48" s="153"/>
      <c r="N48" s="153"/>
      <c r="O48" s="153"/>
    </row>
    <row r="49" spans="2:15" ht="15" customHeight="1">
      <c r="G49" s="153"/>
      <c r="H49" s="153"/>
      <c r="I49" s="153"/>
      <c r="J49" s="153"/>
      <c r="K49" s="153"/>
      <c r="L49" s="153"/>
      <c r="M49" s="153"/>
      <c r="N49" s="153"/>
      <c r="O49" s="153"/>
    </row>
    <row r="50" spans="2:15" ht="15" customHeight="1">
      <c r="G50" s="153"/>
      <c r="H50" s="153"/>
      <c r="I50" s="153"/>
      <c r="J50" s="153"/>
      <c r="K50" s="153"/>
      <c r="L50" s="153"/>
      <c r="M50" s="153"/>
      <c r="N50" s="153"/>
      <c r="O50" s="153"/>
    </row>
    <row r="51" spans="2:15" ht="15" customHeight="1">
      <c r="G51" s="153"/>
      <c r="H51" s="153"/>
      <c r="I51" s="153"/>
      <c r="J51" s="153"/>
      <c r="K51" s="153"/>
      <c r="L51" s="153"/>
      <c r="M51" s="153"/>
      <c r="N51" s="153"/>
      <c r="O51" s="153"/>
    </row>
    <row r="52" spans="2:15" ht="15" customHeight="1">
      <c r="G52" s="153"/>
      <c r="H52" s="153"/>
      <c r="I52" s="153"/>
      <c r="J52" s="153"/>
      <c r="K52" s="153"/>
      <c r="L52" s="153"/>
      <c r="M52" s="153"/>
      <c r="N52" s="153"/>
      <c r="O52" s="153"/>
    </row>
    <row r="54" spans="2:15">
      <c r="B54" s="373" t="s">
        <v>3026</v>
      </c>
      <c r="C54" s="374">
        <f>SUM(C5:C44)</f>
        <v>78.116043105188979</v>
      </c>
      <c r="D54" s="374">
        <f>SUM(D5:D44)</f>
        <v>34.9925</v>
      </c>
      <c r="E54" s="374">
        <f>SUM(E5:E44)</f>
        <v>113.10854310518899</v>
      </c>
      <c r="G54" s="153"/>
      <c r="H54" s="153"/>
      <c r="I54" s="153"/>
      <c r="J54" s="153"/>
      <c r="K54" s="153"/>
      <c r="L54" s="153"/>
      <c r="M54" s="153"/>
      <c r="N54" s="153"/>
      <c r="O54" s="153"/>
    </row>
  </sheetData>
  <autoFilter ref="B4:E4" xr:uid="{00000000-0009-0000-0000-000014000000}">
    <sortState xmlns:xlrd2="http://schemas.microsoft.com/office/spreadsheetml/2017/richdata2" ref="B5:E45">
      <sortCondition descending="1" ref="E4"/>
    </sortState>
  </autoFilter>
  <sortState xmlns:xlrd2="http://schemas.microsoft.com/office/spreadsheetml/2017/richdata2" ref="B5:E44">
    <sortCondition descending="1" ref="E5:E44"/>
  </sortState>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79998168889431442"/>
  </sheetPr>
  <dimension ref="B2:T40"/>
  <sheetViews>
    <sheetView showGridLines="0" zoomScaleNormal="100" workbookViewId="0">
      <selection activeCell="B2" sqref="B2"/>
    </sheetView>
  </sheetViews>
  <sheetFormatPr defaultColWidth="9" defaultRowHeight="15.6"/>
  <cols>
    <col min="1" max="1" width="5.5" style="33" customWidth="1"/>
    <col min="2" max="2" width="26.5" style="33" customWidth="1"/>
    <col min="3" max="3" width="13" style="33" customWidth="1"/>
    <col min="4" max="4" width="18.5" style="33" customWidth="1"/>
    <col min="5" max="5" width="12" style="33" customWidth="1"/>
    <col min="6" max="16384" width="9" style="33"/>
  </cols>
  <sheetData>
    <row r="2" spans="2:13" s="48" customFormat="1" ht="16.5" customHeight="1">
      <c r="B2" s="356" t="s">
        <v>3179</v>
      </c>
      <c r="J2" s="445" t="s">
        <v>3180</v>
      </c>
      <c r="K2" s="357"/>
      <c r="M2" s="358"/>
    </row>
    <row r="4" spans="2:13">
      <c r="B4" s="222" t="s">
        <v>3006</v>
      </c>
      <c r="C4" s="359" t="s">
        <v>3140</v>
      </c>
      <c r="D4" s="359" t="s">
        <v>3181</v>
      </c>
      <c r="E4" s="359" t="s">
        <v>3026</v>
      </c>
    </row>
    <row r="5" spans="2:13">
      <c r="B5" s="33" t="s">
        <v>2885</v>
      </c>
      <c r="C5" s="282">
        <v>0</v>
      </c>
      <c r="D5" s="282">
        <v>4</v>
      </c>
      <c r="E5" s="282">
        <v>4</v>
      </c>
    </row>
    <row r="6" spans="2:13">
      <c r="B6" s="33" t="s">
        <v>3182</v>
      </c>
      <c r="C6" s="282">
        <v>0.6</v>
      </c>
      <c r="D6" s="282">
        <v>0.4</v>
      </c>
      <c r="E6" s="282">
        <v>1</v>
      </c>
    </row>
    <row r="7" spans="2:13">
      <c r="B7" s="33" t="s">
        <v>3183</v>
      </c>
      <c r="C7" s="282">
        <v>0</v>
      </c>
      <c r="D7" s="282">
        <v>1</v>
      </c>
      <c r="E7" s="282">
        <v>1</v>
      </c>
    </row>
    <row r="8" spans="2:13">
      <c r="B8" s="33" t="s">
        <v>3184</v>
      </c>
      <c r="C8" s="282">
        <v>0</v>
      </c>
      <c r="D8" s="282">
        <v>1</v>
      </c>
      <c r="E8" s="282">
        <v>1</v>
      </c>
    </row>
    <row r="9" spans="2:13">
      <c r="B9" s="33" t="s">
        <v>370</v>
      </c>
      <c r="C9" s="282">
        <v>8.3000000000000004E-2</v>
      </c>
      <c r="D9" s="282">
        <v>0.73</v>
      </c>
      <c r="E9" s="282">
        <v>0.81299999999999994</v>
      </c>
    </row>
    <row r="10" spans="2:13">
      <c r="B10" s="33" t="s">
        <v>917</v>
      </c>
      <c r="C10" s="282">
        <v>0</v>
      </c>
      <c r="D10" s="282">
        <v>0.7</v>
      </c>
      <c r="E10" s="282">
        <v>0.7</v>
      </c>
    </row>
    <row r="11" spans="2:13">
      <c r="B11" s="33" t="s">
        <v>2063</v>
      </c>
      <c r="C11" s="282">
        <v>0</v>
      </c>
      <c r="D11" s="282">
        <v>0.53</v>
      </c>
      <c r="E11" s="282">
        <v>0.53</v>
      </c>
    </row>
    <row r="12" spans="2:13">
      <c r="B12" s="33" t="s">
        <v>1412</v>
      </c>
      <c r="C12" s="282">
        <v>0</v>
      </c>
      <c r="D12" s="282">
        <v>0.36</v>
      </c>
      <c r="E12" s="282">
        <v>0.36</v>
      </c>
    </row>
    <row r="13" spans="2:13">
      <c r="B13" s="33" t="s">
        <v>2258</v>
      </c>
      <c r="C13" s="282">
        <v>0</v>
      </c>
      <c r="D13" s="282">
        <v>0.3</v>
      </c>
      <c r="E13" s="282">
        <v>0.3</v>
      </c>
    </row>
    <row r="14" spans="2:13">
      <c r="B14" s="33" t="s">
        <v>632</v>
      </c>
      <c r="C14" s="282">
        <v>0</v>
      </c>
      <c r="D14" s="282">
        <v>0.2</v>
      </c>
      <c r="E14" s="282">
        <v>0.2</v>
      </c>
    </row>
    <row r="15" spans="2:13">
      <c r="B15" s="33" t="s">
        <v>591</v>
      </c>
      <c r="C15" s="282">
        <v>0</v>
      </c>
      <c r="D15" s="282">
        <v>0.1</v>
      </c>
      <c r="E15" s="282">
        <v>0.1</v>
      </c>
    </row>
    <row r="16" spans="2:13">
      <c r="B16" s="33" t="s">
        <v>452</v>
      </c>
      <c r="C16" s="282">
        <v>0</v>
      </c>
      <c r="D16" s="282">
        <v>7.5786282682834397E-2</v>
      </c>
      <c r="E16" s="282">
        <v>7.5786282682834397E-2</v>
      </c>
    </row>
    <row r="17" spans="2:20">
      <c r="B17" s="33" t="s">
        <v>1136</v>
      </c>
      <c r="C17" s="282">
        <v>7.0000000000000007E-2</v>
      </c>
      <c r="D17" s="282">
        <v>0</v>
      </c>
      <c r="E17" s="282">
        <v>7.0000000000000007E-2</v>
      </c>
    </row>
    <row r="18" spans="2:20">
      <c r="B18" s="33" t="s">
        <v>1383</v>
      </c>
      <c r="C18" s="282">
        <v>5.2999999999999999E-2</v>
      </c>
      <c r="D18" s="282">
        <v>0</v>
      </c>
      <c r="E18" s="282">
        <v>5.2999999999999999E-2</v>
      </c>
    </row>
    <row r="19" spans="2:20">
      <c r="B19" s="33" t="s">
        <v>3185</v>
      </c>
      <c r="C19" s="282">
        <v>0</v>
      </c>
      <c r="D19" s="282">
        <v>4.7366426676771498E-3</v>
      </c>
      <c r="E19" s="282">
        <v>4.7366426676771498E-3</v>
      </c>
    </row>
    <row r="20" spans="2:20">
      <c r="B20" s="33" t="s">
        <v>840</v>
      </c>
      <c r="C20" s="282">
        <v>0</v>
      </c>
      <c r="D20" s="282">
        <v>1E-4</v>
      </c>
      <c r="E20" s="282">
        <v>1E-4</v>
      </c>
    </row>
    <row r="21" spans="2:20">
      <c r="B21" s="33" t="s">
        <v>1682</v>
      </c>
      <c r="C21" s="282">
        <v>0</v>
      </c>
      <c r="D21" s="282">
        <v>5.0000000000000002E-5</v>
      </c>
      <c r="E21" s="282">
        <v>5.0000000000000002E-5</v>
      </c>
    </row>
    <row r="22" spans="2:20">
      <c r="B22" s="311" t="s">
        <v>3026</v>
      </c>
      <c r="C22" s="314">
        <f>SUM(C5:C21)</f>
        <v>0.80599999999999994</v>
      </c>
      <c r="D22" s="314">
        <f>SUM(D5:D21)</f>
        <v>9.400672925350511</v>
      </c>
      <c r="E22" s="314">
        <f>SUM(E5:E21)</f>
        <v>10.20667292535051</v>
      </c>
    </row>
    <row r="24" spans="2:20" ht="15" customHeight="1">
      <c r="K24" s="223"/>
      <c r="L24" s="223"/>
      <c r="M24" s="223"/>
      <c r="N24" s="223"/>
      <c r="O24" s="223"/>
      <c r="P24" s="223"/>
      <c r="Q24" s="223"/>
      <c r="R24" s="223"/>
      <c r="S24" s="223"/>
      <c r="T24" s="223"/>
    </row>
    <row r="25" spans="2:20">
      <c r="C25" s="182"/>
      <c r="K25" s="223"/>
      <c r="L25" s="223"/>
      <c r="M25" s="223"/>
      <c r="N25" s="223"/>
      <c r="O25" s="223"/>
      <c r="P25" s="223"/>
      <c r="Q25" s="223"/>
      <c r="R25" s="223"/>
      <c r="S25" s="223"/>
      <c r="T25" s="223"/>
    </row>
    <row r="26" spans="2:20">
      <c r="C26" s="182"/>
      <c r="K26" s="223"/>
      <c r="L26" s="223"/>
      <c r="M26" s="223"/>
      <c r="N26" s="223"/>
      <c r="O26" s="223"/>
      <c r="P26" s="223"/>
      <c r="Q26" s="223"/>
      <c r="R26" s="223"/>
      <c r="S26" s="223"/>
      <c r="T26" s="223"/>
    </row>
    <row r="33" spans="2:3">
      <c r="B33" s="131"/>
    </row>
    <row r="34" spans="2:3">
      <c r="C34" s="224"/>
    </row>
    <row r="35" spans="2:3">
      <c r="B35" s="131"/>
    </row>
    <row r="36" spans="2:3">
      <c r="B36" s="131"/>
    </row>
    <row r="40" spans="2:3">
      <c r="C40" s="225"/>
    </row>
  </sheetData>
  <sortState xmlns:xlrd2="http://schemas.microsoft.com/office/spreadsheetml/2017/richdata2" ref="B5:E21">
    <sortCondition descending="1" ref="E5:E21"/>
  </sortState>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79998168889431442"/>
  </sheetPr>
  <dimension ref="B1:U53"/>
  <sheetViews>
    <sheetView zoomScaleNormal="100" workbookViewId="0">
      <selection activeCell="B2" sqref="B2"/>
    </sheetView>
  </sheetViews>
  <sheetFormatPr defaultColWidth="8.5" defaultRowHeight="15.6"/>
  <cols>
    <col min="1" max="1" width="8.5" style="8"/>
    <col min="2" max="2" width="20.5" style="8" customWidth="1"/>
    <col min="3" max="3" width="18" style="8" customWidth="1"/>
    <col min="4" max="4" width="19.5" style="8" bestFit="1" customWidth="1"/>
    <col min="5" max="6" width="12" style="8" customWidth="1"/>
    <col min="7" max="16384" width="8.5" style="8"/>
  </cols>
  <sheetData>
    <row r="1" spans="2:8">
      <c r="D1" s="33"/>
    </row>
    <row r="2" spans="2:8" ht="15.95" customHeight="1">
      <c r="B2" s="115" t="s">
        <v>3186</v>
      </c>
      <c r="H2" s="446" t="s">
        <v>3187</v>
      </c>
    </row>
    <row r="5" spans="2:8">
      <c r="B5" s="364" t="s">
        <v>3188</v>
      </c>
      <c r="C5" s="364" t="s">
        <v>3006</v>
      </c>
      <c r="D5" s="368" t="s">
        <v>3189</v>
      </c>
    </row>
    <row r="6" spans="2:8" ht="17.25" customHeight="1">
      <c r="B6" s="896" t="s">
        <v>3095</v>
      </c>
      <c r="C6" s="8" t="str">
        <f>'In-kind military per country'!M2</f>
        <v>United States</v>
      </c>
      <c r="D6" s="119">
        <f>'In-kind military per country'!$O$2</f>
        <v>300</v>
      </c>
      <c r="H6" s="360"/>
    </row>
    <row r="7" spans="2:8">
      <c r="B7" s="897"/>
      <c r="C7" s="8" t="str">
        <f>'In-kind military per country'!$M$3</f>
        <v>Germany</v>
      </c>
      <c r="D7" s="119">
        <f>'In-kind military per country'!$O$3</f>
        <v>80</v>
      </c>
    </row>
    <row r="8" spans="2:8">
      <c r="B8" s="897"/>
      <c r="C8" s="8" t="str">
        <f>'In-kind military per country'!$M$4</f>
        <v>United Kingdom</v>
      </c>
      <c r="D8" s="119">
        <f>'In-kind military per country'!$O$4</f>
        <v>120</v>
      </c>
    </row>
    <row r="9" spans="2:8">
      <c r="B9" s="897"/>
      <c r="C9" s="8" t="str">
        <f>'In-kind military per country'!$M$5</f>
        <v>Lithuania</v>
      </c>
      <c r="D9" s="119">
        <f>'In-kind military per country'!$O$5</f>
        <v>89</v>
      </c>
    </row>
    <row r="10" spans="2:8">
      <c r="B10" s="898"/>
      <c r="C10" s="8" t="str">
        <f>'In-kind military per country'!$M$6</f>
        <v>Australia</v>
      </c>
      <c r="D10" s="119">
        <f>'In-kind military per country'!$O$6</f>
        <v>88</v>
      </c>
    </row>
    <row r="11" spans="2:8">
      <c r="B11" s="902" t="s">
        <v>3094</v>
      </c>
      <c r="C11" s="365" t="str">
        <f>'In-kind military per country'!$I$2</f>
        <v>Poland</v>
      </c>
      <c r="D11" s="366">
        <f>'In-kind military per country'!$K$2</f>
        <v>240</v>
      </c>
    </row>
    <row r="12" spans="2:8">
      <c r="B12" s="903"/>
      <c r="C12" s="8" t="str">
        <f>'In-kind military per country'!$I$3</f>
        <v>Czech Republic</v>
      </c>
      <c r="D12" s="119">
        <f>'In-kind military per country'!$K$3</f>
        <v>40</v>
      </c>
    </row>
    <row r="13" spans="2:8" hidden="1">
      <c r="B13" s="367"/>
      <c r="C13" s="8" t="str">
        <f>'In-kind military per country'!$I$4</f>
        <v>Slovenia</v>
      </c>
      <c r="D13" s="119">
        <f>'In-kind military per country'!$K$4</f>
        <v>0</v>
      </c>
    </row>
    <row r="14" spans="2:8" hidden="1">
      <c r="B14" s="367"/>
      <c r="C14" s="8" t="str">
        <f>'In-kind military per country'!$I$5</f>
        <v>United States</v>
      </c>
      <c r="D14" s="119">
        <f>'In-kind military per country'!$K$5</f>
        <v>0</v>
      </c>
    </row>
    <row r="15" spans="2:8" hidden="1">
      <c r="B15" s="367"/>
      <c r="C15" s="8" t="str">
        <f>'In-kind military per country'!$I$6</f>
        <v>United Kingdom</v>
      </c>
      <c r="D15" s="119">
        <f>'In-kind military per country'!$K$6</f>
        <v>0</v>
      </c>
    </row>
    <row r="16" spans="2:8">
      <c r="B16" s="902" t="s">
        <v>3190</v>
      </c>
      <c r="C16" s="365" t="str">
        <f>'In-kind military per country'!$A$2</f>
        <v>United States</v>
      </c>
      <c r="D16" s="366">
        <f>'In-kind military per country'!$C$2</f>
        <v>108</v>
      </c>
    </row>
    <row r="17" spans="2:4">
      <c r="B17" s="903"/>
      <c r="C17" s="8" t="str">
        <f>'In-kind military per country'!$A$3</f>
        <v>Norway</v>
      </c>
      <c r="D17" s="119">
        <f>'In-kind military per country'!$C$3</f>
        <v>22</v>
      </c>
    </row>
    <row r="18" spans="2:4">
      <c r="B18" s="903"/>
      <c r="C18" s="8" t="str">
        <f>'In-kind military per country'!$A$4</f>
        <v>France</v>
      </c>
      <c r="D18" s="119">
        <f>'In-kind military per country'!$C$4</f>
        <v>18</v>
      </c>
    </row>
    <row r="19" spans="2:4">
      <c r="B19" s="903"/>
      <c r="C19" s="8" t="str">
        <f>'In-kind military per country'!$A$5</f>
        <v>Poland</v>
      </c>
      <c r="D19" s="119">
        <f>'In-kind military per country'!$C$5</f>
        <v>18</v>
      </c>
    </row>
    <row r="20" spans="2:4">
      <c r="B20" s="904"/>
      <c r="C20" s="8" t="str">
        <f>'In-kind military per country'!$A$6</f>
        <v>Germany</v>
      </c>
      <c r="D20" s="119">
        <f>'In-kind military per country'!$C$6</f>
        <v>14</v>
      </c>
    </row>
    <row r="21" spans="2:4">
      <c r="B21" s="896" t="s">
        <v>3093</v>
      </c>
      <c r="C21" s="365" t="str">
        <f>'In-kind military per country'!$E$2</f>
        <v>Czech Republic</v>
      </c>
      <c r="D21" s="366">
        <f>'In-kind military per country'!$G$2</f>
        <v>20</v>
      </c>
    </row>
    <row r="22" spans="2:4">
      <c r="B22" s="897"/>
      <c r="C22" s="8" t="str">
        <f>'In-kind military per country'!$E$3</f>
        <v>United States</v>
      </c>
      <c r="D22" s="119">
        <f>'In-kind military per country'!$G$3</f>
        <v>16</v>
      </c>
    </row>
    <row r="23" spans="2:4">
      <c r="B23" s="897"/>
      <c r="C23" s="8" t="str">
        <f>'In-kind military per country'!$E$4</f>
        <v>Germany</v>
      </c>
      <c r="D23" s="119">
        <f>'In-kind military per country'!$G$4</f>
        <v>5</v>
      </c>
    </row>
    <row r="24" spans="2:4" ht="15.75" hidden="1" customHeight="1">
      <c r="B24" s="897"/>
      <c r="C24" s="8" t="str">
        <f>'In-kind military per country'!$E$5</f>
        <v>United Kingdom</v>
      </c>
      <c r="D24" s="119">
        <f>'In-kind military per country'!$G$5</f>
        <v>3</v>
      </c>
    </row>
    <row r="25" spans="2:4" ht="15.75" hidden="1" customHeight="1">
      <c r="B25" s="897"/>
      <c r="C25" s="8" t="str">
        <f>'In-kind military per country'!$E$6</f>
        <v>Norway</v>
      </c>
      <c r="D25" s="119">
        <f>'In-kind military per country'!$G$6</f>
        <v>3</v>
      </c>
    </row>
    <row r="26" spans="2:4">
      <c r="B26" s="897"/>
      <c r="C26" s="8" t="str">
        <f>'In-kind military per country'!$E$5</f>
        <v>United Kingdom</v>
      </c>
      <c r="D26" s="119">
        <f>'In-kind military per country'!$G$5</f>
        <v>3</v>
      </c>
    </row>
    <row r="27" spans="2:4">
      <c r="B27" s="898"/>
      <c r="C27" s="362" t="str">
        <f>'In-kind military per country'!$E$6</f>
        <v>Norway</v>
      </c>
      <c r="D27" s="363">
        <f>'In-kind military per country'!$G$6</f>
        <v>3</v>
      </c>
    </row>
    <row r="45" spans="8:21">
      <c r="H45" s="361"/>
      <c r="I45" s="361"/>
      <c r="J45" s="361"/>
      <c r="K45" s="361"/>
      <c r="L45" s="361"/>
      <c r="M45" s="361"/>
      <c r="N45" s="361"/>
      <c r="O45" s="361"/>
      <c r="P45" s="361"/>
      <c r="Q45" s="361"/>
      <c r="R45" s="361"/>
      <c r="S45" s="361"/>
      <c r="T45" s="361"/>
      <c r="U45" s="361"/>
    </row>
    <row r="46" spans="8:21">
      <c r="H46" s="361"/>
      <c r="I46" s="361"/>
      <c r="J46" s="361"/>
      <c r="K46" s="361"/>
      <c r="L46" s="361"/>
      <c r="M46" s="361"/>
      <c r="N46" s="361"/>
      <c r="O46" s="361"/>
      <c r="P46" s="361"/>
      <c r="Q46" s="361"/>
      <c r="R46" s="361"/>
      <c r="S46" s="361"/>
      <c r="T46" s="361"/>
      <c r="U46" s="361"/>
    </row>
    <row r="47" spans="8:21">
      <c r="H47" s="361"/>
      <c r="I47" s="361"/>
      <c r="J47" s="361"/>
      <c r="K47" s="361"/>
      <c r="L47" s="361"/>
      <c r="M47" s="361"/>
      <c r="N47" s="361"/>
      <c r="O47" s="361"/>
      <c r="P47" s="361"/>
      <c r="Q47" s="361"/>
      <c r="R47" s="361"/>
      <c r="S47" s="361"/>
      <c r="T47" s="361"/>
      <c r="U47" s="361"/>
    </row>
    <row r="48" spans="8:21">
      <c r="H48" s="361"/>
      <c r="I48" s="361"/>
      <c r="J48" s="361"/>
      <c r="K48" s="361"/>
      <c r="L48" s="361"/>
      <c r="M48" s="361"/>
      <c r="N48" s="361"/>
      <c r="O48" s="361"/>
      <c r="P48" s="361"/>
      <c r="Q48" s="361"/>
      <c r="R48" s="361"/>
      <c r="S48" s="361"/>
      <c r="T48" s="361"/>
      <c r="U48" s="361"/>
    </row>
    <row r="49" spans="8:21">
      <c r="H49" s="361"/>
      <c r="I49" s="361"/>
      <c r="J49" s="361"/>
      <c r="K49" s="361"/>
      <c r="L49" s="361"/>
      <c r="M49" s="361"/>
      <c r="N49" s="361"/>
      <c r="O49" s="361"/>
      <c r="P49" s="361"/>
      <c r="Q49" s="361"/>
      <c r="R49" s="361"/>
      <c r="S49" s="361"/>
      <c r="T49" s="361"/>
      <c r="U49" s="361"/>
    </row>
    <row r="50" spans="8:21">
      <c r="H50" s="361"/>
      <c r="I50" s="361"/>
      <c r="J50" s="361"/>
      <c r="K50" s="361"/>
      <c r="L50" s="361"/>
      <c r="M50" s="361"/>
      <c r="N50" s="361"/>
      <c r="O50" s="361"/>
      <c r="P50" s="361"/>
      <c r="Q50" s="361"/>
      <c r="R50" s="361"/>
      <c r="S50" s="361"/>
      <c r="T50" s="361"/>
      <c r="U50" s="361"/>
    </row>
    <row r="51" spans="8:21">
      <c r="H51" s="361"/>
      <c r="I51" s="361"/>
      <c r="J51" s="361"/>
      <c r="K51" s="361"/>
      <c r="L51" s="361"/>
      <c r="M51" s="361"/>
      <c r="N51" s="361"/>
      <c r="O51" s="361"/>
      <c r="P51" s="361"/>
      <c r="Q51" s="361"/>
      <c r="R51" s="361"/>
      <c r="S51" s="361"/>
      <c r="T51" s="361"/>
      <c r="U51" s="361"/>
    </row>
    <row r="52" spans="8:21">
      <c r="H52" s="361"/>
      <c r="I52" s="361"/>
      <c r="J52" s="361"/>
      <c r="K52" s="361"/>
      <c r="L52" s="361"/>
      <c r="M52" s="361"/>
      <c r="N52" s="361"/>
      <c r="O52" s="361"/>
      <c r="P52" s="361"/>
      <c r="Q52" s="361"/>
      <c r="R52" s="361"/>
      <c r="S52" s="361"/>
      <c r="T52" s="361"/>
      <c r="U52" s="361"/>
    </row>
    <row r="53" spans="8:21">
      <c r="H53" s="361"/>
      <c r="I53" s="361"/>
      <c r="J53" s="361"/>
      <c r="K53" s="361"/>
      <c r="L53" s="361"/>
      <c r="M53" s="361"/>
      <c r="N53" s="361"/>
      <c r="O53" s="361"/>
      <c r="P53" s="361"/>
      <c r="Q53" s="361"/>
      <c r="R53" s="361"/>
      <c r="S53" s="361"/>
      <c r="T53" s="361"/>
      <c r="U53" s="361"/>
    </row>
  </sheetData>
  <mergeCells count="4">
    <mergeCell ref="B6:B10"/>
    <mergeCell ref="B11:B12"/>
    <mergeCell ref="B16:B20"/>
    <mergeCell ref="B21:B27"/>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59999389629810485"/>
  </sheetPr>
  <dimension ref="A1:AG163"/>
  <sheetViews>
    <sheetView showGridLines="0" zoomScaleNormal="100" workbookViewId="0">
      <pane ySplit="1" topLeftCell="A2" activePane="bottomLeft" state="frozen"/>
      <selection pane="bottomLeft" activeCell="B1" sqref="B1"/>
      <selection activeCell="D11" sqref="D11"/>
    </sheetView>
  </sheetViews>
  <sheetFormatPr defaultColWidth="8.5" defaultRowHeight="15.6"/>
  <cols>
    <col min="1" max="1" width="8.5" style="117"/>
    <col min="2" max="2" width="60" style="118" bestFit="1" customWidth="1"/>
    <col min="3" max="3" width="10.5" style="118" bestFit="1" customWidth="1"/>
    <col min="4" max="4" width="8.5" style="33"/>
    <col min="5" max="5" width="10.5" style="118" bestFit="1" customWidth="1"/>
    <col min="6" max="6" width="8.5" style="33"/>
    <col min="7" max="7" width="15" style="118" bestFit="1" customWidth="1"/>
    <col min="8" max="8" width="28" style="122" bestFit="1" customWidth="1"/>
    <col min="9" max="9" width="25.5" style="118" bestFit="1" customWidth="1"/>
    <col min="10" max="10" width="25.5" style="118" customWidth="1"/>
    <col min="11" max="11" width="26" style="118" bestFit="1" customWidth="1"/>
    <col min="12" max="12" width="38.5" style="118" bestFit="1" customWidth="1"/>
    <col min="13" max="13" width="37" style="226" bestFit="1" customWidth="1"/>
    <col min="14" max="14" width="30" style="118" bestFit="1" customWidth="1"/>
    <col min="15" max="15" width="28.5" style="228" bestFit="1" customWidth="1"/>
    <col min="16" max="16" width="27.5" style="118" bestFit="1" customWidth="1"/>
    <col min="17" max="17" width="8.5" style="118"/>
    <col min="18" max="18" width="16.5" style="118" customWidth="1"/>
    <col min="19" max="19" width="18.5" style="118" bestFit="1" customWidth="1"/>
    <col min="20" max="20" width="16" style="118" customWidth="1"/>
    <col min="21" max="26" width="8.5" style="118"/>
    <col min="27" max="27" width="8.5" style="33"/>
    <col min="28" max="16384" width="8.5" style="118"/>
  </cols>
  <sheetData>
    <row r="1" spans="1:33" s="116" customFormat="1" ht="15">
      <c r="A1" s="114"/>
      <c r="B1" s="116" t="s">
        <v>3006</v>
      </c>
      <c r="C1" s="116" t="s">
        <v>453</v>
      </c>
      <c r="D1" s="116" t="s">
        <v>330</v>
      </c>
      <c r="E1" s="116" t="s">
        <v>1947</v>
      </c>
      <c r="F1" s="116" t="s">
        <v>344</v>
      </c>
      <c r="G1" s="116" t="s">
        <v>3191</v>
      </c>
      <c r="H1" s="121"/>
      <c r="M1" s="227"/>
      <c r="O1" s="227"/>
      <c r="P1" s="169"/>
      <c r="Q1" s="115"/>
      <c r="R1" s="115"/>
      <c r="S1" s="115"/>
      <c r="T1" s="115"/>
      <c r="U1" s="115"/>
      <c r="V1" s="115"/>
      <c r="W1" s="115"/>
      <c r="X1" s="115"/>
      <c r="Y1" s="115"/>
    </row>
    <row r="2" spans="1:33">
      <c r="B2" s="8" t="s">
        <v>227</v>
      </c>
      <c r="C2" s="8">
        <f>SUMIFS('Bilateral assistance, MAIN DATA'!S:S,'Bilateral assistance, MAIN DATA'!E:E,$C$1,'Bilateral assistance, MAIN DATA'!B:B,'Financial aid by type'!B2)/1000000000</f>
        <v>0</v>
      </c>
      <c r="D2" s="33">
        <f>SUMIFS('Bilateral assistance, MAIN DATA'!S:S,'Bilateral assistance, MAIN DATA'!E:E,$D$1,'Bilateral assistance, MAIN DATA'!B:B,'Financial aid by type'!B2)/1000000000</f>
        <v>0</v>
      </c>
      <c r="E2" s="253">
        <f>SUMIFS('Bilateral assistance, MAIN DATA'!S:S,'Bilateral assistance, MAIN DATA'!E:E,$E$1,'Bilateral assistance, MAIN DATA'!B:B,'Financial aid by type'!B2)/1000000000</f>
        <v>0</v>
      </c>
      <c r="F2" s="33">
        <f>SUMIFS('Bilateral assistance, MAIN DATA'!S:S,'Bilateral assistance, MAIN DATA'!E:E,$F$1,'Bilateral assistance, MAIN DATA'!B:B,'Financial aid by type'!B2)/1000000000</f>
        <v>0</v>
      </c>
      <c r="G2" s="8">
        <f t="shared" ref="G2:G43" si="0">SUM(C2:F2)</f>
        <v>0</v>
      </c>
      <c r="N2" s="254"/>
      <c r="Q2" s="8"/>
      <c r="R2" s="8"/>
      <c r="S2" s="8"/>
      <c r="T2" s="119"/>
      <c r="U2" s="8"/>
      <c r="V2" s="8"/>
      <c r="W2" s="8"/>
      <c r="X2" s="8"/>
      <c r="Y2" s="8"/>
    </row>
    <row r="3" spans="1:33">
      <c r="B3" s="118" t="s">
        <v>312</v>
      </c>
      <c r="C3" s="8">
        <f>SUMIFS('Bilateral assistance, MAIN DATA'!S:S,'Bilateral assistance, MAIN DATA'!E:E,$C$1,'Bilateral assistance, MAIN DATA'!B:B,'Financial aid by type'!B3)/1000000000</f>
        <v>0</v>
      </c>
      <c r="D3" s="33">
        <f>SUMIFS('Bilateral assistance, MAIN DATA'!S:S,'Bilateral assistance, MAIN DATA'!E:E,$D$1,'Bilateral assistance, MAIN DATA'!B:B,'Financial aid by type'!B3)/1000000000</f>
        <v>4.6899999999999997E-2</v>
      </c>
      <c r="E3" s="253">
        <f>SUMIFS('Bilateral assistance, MAIN DATA'!S:S,'Bilateral assistance, MAIN DATA'!E:E,$E$1,'Bilateral assistance, MAIN DATA'!B:B,'Financial aid by type'!B3)/1000000000</f>
        <v>0</v>
      </c>
      <c r="F3" s="33">
        <f>SUMIFS('Bilateral assistance, MAIN DATA'!S:S,'Bilateral assistance, MAIN DATA'!E:E,$F$1,'Bilateral assistance, MAIN DATA'!B:B,'Financial aid by type'!B3)/1000000000</f>
        <v>0.5</v>
      </c>
      <c r="G3" s="8">
        <f t="shared" si="0"/>
        <v>0.54689999999999994</v>
      </c>
      <c r="N3" s="254"/>
      <c r="Q3" s="8"/>
      <c r="R3" s="8"/>
      <c r="S3" s="8"/>
      <c r="T3" s="119"/>
      <c r="U3" s="8"/>
      <c r="V3" s="8"/>
      <c r="W3" s="8"/>
      <c r="X3" s="8"/>
      <c r="Y3" s="8"/>
    </row>
    <row r="4" spans="1:33">
      <c r="B4" s="118" t="s">
        <v>370</v>
      </c>
      <c r="C4" s="8">
        <f>SUMIFS('Bilateral assistance, MAIN DATA'!S:S,'Bilateral assistance, MAIN DATA'!E:E,$C$1,'Bilateral assistance, MAIN DATA'!B:B,'Financial aid by type'!B4)/1000000000</f>
        <v>0</v>
      </c>
      <c r="D4" s="33">
        <f>SUMIFS('Bilateral assistance, MAIN DATA'!S:S,'Bilateral assistance, MAIN DATA'!E:E,$D$1,'Bilateral assistance, MAIN DATA'!B:B,'Financial aid by type'!B4)/1000000000</f>
        <v>4.96E-3</v>
      </c>
      <c r="E4" s="253">
        <f>SUMIFS('Bilateral assistance, MAIN DATA'!S:S,'Bilateral assistance, MAIN DATA'!E:E,$E$1,'Bilateral assistance, MAIN DATA'!B:B,'Financial aid by type'!B4)/1000000000</f>
        <v>0</v>
      </c>
      <c r="F4" s="33">
        <f>SUMIFS('Bilateral assistance, MAIN DATA'!S:S,'Bilateral assistance, MAIN DATA'!E:E,$F$1,'Bilateral assistance, MAIN DATA'!B:B,'Financial aid by type'!B4)/1000000000</f>
        <v>0</v>
      </c>
      <c r="G4" s="8">
        <f t="shared" si="0"/>
        <v>4.96E-3</v>
      </c>
      <c r="N4" s="254"/>
      <c r="Q4" s="8"/>
      <c r="R4" s="8"/>
      <c r="S4" s="8"/>
      <c r="T4" s="119"/>
      <c r="U4" s="8"/>
      <c r="V4" s="8"/>
      <c r="W4" s="8"/>
      <c r="X4" s="8"/>
      <c r="Y4" s="8"/>
      <c r="AD4" s="905"/>
      <c r="AE4" s="905"/>
      <c r="AF4" s="905"/>
      <c r="AG4" s="905"/>
    </row>
    <row r="5" spans="1:33" ht="15.75" customHeight="1">
      <c r="B5" s="118" t="s">
        <v>428</v>
      </c>
      <c r="C5" s="8">
        <f>SUMIFS('Bilateral assistance, MAIN DATA'!S:S,'Bilateral assistance, MAIN DATA'!E:E,$C$1,'Bilateral assistance, MAIN DATA'!B:B,'Financial aid by type'!B5)/1000000000</f>
        <v>0</v>
      </c>
      <c r="D5" s="33">
        <f>SUMIFS('Bilateral assistance, MAIN DATA'!S:S,'Bilateral assistance, MAIN DATA'!E:E,$D$1,'Bilateral assistance, MAIN DATA'!B:B,'Financial aid by type'!B5)/1000000000</f>
        <v>0</v>
      </c>
      <c r="E5" s="253">
        <f>SUMIFS('Bilateral assistance, MAIN DATA'!S:S,'Bilateral assistance, MAIN DATA'!E:E,$E$1,'Bilateral assistance, MAIN DATA'!B:B,'Financial aid by type'!B5)/1000000000</f>
        <v>0</v>
      </c>
      <c r="F5" s="33">
        <f>SUMIFS('Bilateral assistance, MAIN DATA'!S:S,'Bilateral assistance, MAIN DATA'!E:E,$F$1,'Bilateral assistance, MAIN DATA'!B:B,'Financial aid by type'!B5)/1000000000</f>
        <v>0</v>
      </c>
      <c r="G5" s="8">
        <f t="shared" si="0"/>
        <v>0</v>
      </c>
      <c r="N5" s="254"/>
      <c r="Q5" s="8"/>
      <c r="R5" s="8"/>
      <c r="S5" s="8"/>
      <c r="T5" s="119"/>
      <c r="U5" s="8"/>
      <c r="V5" s="8"/>
      <c r="W5" s="8"/>
      <c r="X5" s="8"/>
      <c r="Y5" s="8"/>
      <c r="AD5" s="905"/>
      <c r="AE5" s="905"/>
      <c r="AF5" s="905"/>
      <c r="AG5" s="905"/>
    </row>
    <row r="6" spans="1:33">
      <c r="B6" s="118" t="s">
        <v>452</v>
      </c>
      <c r="C6" s="8">
        <f>SUMIFS('Bilateral assistance, MAIN DATA'!S:S,'Bilateral assistance, MAIN DATA'!E:E,$C$1,'Bilateral assistance, MAIN DATA'!B:B,'Financial aid by type'!B6)/1000000000</f>
        <v>1.7679558011049725</v>
      </c>
      <c r="D6" s="33">
        <f>SUMIFS('Bilateral assistance, MAIN DATA'!S:S,'Bilateral assistance, MAIN DATA'!E:E,$D$1,'Bilateral assistance, MAIN DATA'!B:B,'Financial aid by type'!B6)/1000000000</f>
        <v>0.73948434622467785</v>
      </c>
      <c r="E6" s="253">
        <f>SUMIFS('Bilateral assistance, MAIN DATA'!S:S,'Bilateral assistance, MAIN DATA'!E:E,$E$1,'Bilateral assistance, MAIN DATA'!B:B,'Financial aid by type'!B6)/1000000000</f>
        <v>0</v>
      </c>
      <c r="F6" s="33">
        <f>SUMIFS('Bilateral assistance, MAIN DATA'!S:S,'Bilateral assistance, MAIN DATA'!E:E,$F$1,'Bilateral assistance, MAIN DATA'!B:B,'Financial aid by type'!B6)/1000000000</f>
        <v>0</v>
      </c>
      <c r="G6" s="8">
        <f t="shared" si="0"/>
        <v>2.5074401473296506</v>
      </c>
      <c r="N6" s="254"/>
      <c r="Q6" s="8"/>
      <c r="R6" s="8"/>
      <c r="S6" s="8"/>
      <c r="T6" s="119"/>
      <c r="U6" s="8"/>
      <c r="V6" s="8"/>
      <c r="W6" s="8"/>
      <c r="X6" s="8"/>
      <c r="Y6" s="8"/>
      <c r="AD6" s="905"/>
      <c r="AE6" s="905"/>
      <c r="AF6" s="905"/>
      <c r="AG6" s="905"/>
    </row>
    <row r="7" spans="1:33">
      <c r="B7" s="118" t="s">
        <v>591</v>
      </c>
      <c r="C7" s="8">
        <f>SUMIFS('Bilateral assistance, MAIN DATA'!S:S,'Bilateral assistance, MAIN DATA'!E:E,$C$1,'Bilateral assistance, MAIN DATA'!B:B,'Financial aid by type'!B7)/1000000000</f>
        <v>0</v>
      </c>
      <c r="D7" s="33">
        <f>SUMIFS('Bilateral assistance, MAIN DATA'!S:S,'Bilateral assistance, MAIN DATA'!E:E,$D$1,'Bilateral assistance, MAIN DATA'!B:B,'Financial aid by type'!B7)/1000000000</f>
        <v>0</v>
      </c>
      <c r="E7" s="253">
        <f>SUMIFS('Bilateral assistance, MAIN DATA'!S:S,'Bilateral assistance, MAIN DATA'!E:E,$E$1,'Bilateral assistance, MAIN DATA'!B:B,'Financial aid by type'!B7)/1000000000</f>
        <v>0</v>
      </c>
      <c r="F7" s="33">
        <f>SUMIFS('Bilateral assistance, MAIN DATA'!S:S,'Bilateral assistance, MAIN DATA'!E:E,$F$1,'Bilateral assistance, MAIN DATA'!B:B,'Financial aid by type'!B7)/1000000000</f>
        <v>0</v>
      </c>
      <c r="G7" s="8">
        <f t="shared" si="0"/>
        <v>0</v>
      </c>
      <c r="N7" s="254"/>
      <c r="Q7" s="8"/>
      <c r="R7" s="8"/>
      <c r="S7" s="8"/>
      <c r="T7" s="119"/>
      <c r="U7" s="8"/>
      <c r="V7" s="8"/>
      <c r="W7" s="8"/>
      <c r="X7" s="8"/>
      <c r="Y7" s="8"/>
      <c r="AD7" s="905"/>
      <c r="AE7" s="905"/>
      <c r="AF7" s="905"/>
      <c r="AG7" s="905"/>
    </row>
    <row r="8" spans="1:33" ht="15.75" customHeight="1">
      <c r="B8" s="118" t="s">
        <v>618</v>
      </c>
      <c r="C8" s="8">
        <f>SUMIFS('Bilateral assistance, MAIN DATA'!S:S,'Bilateral assistance, MAIN DATA'!E:E,$C$1,'Bilateral assistance, MAIN DATA'!B:B,'Financial aid by type'!B8)/1000000000</f>
        <v>0</v>
      </c>
      <c r="D8" s="33">
        <f>SUMIFS('Bilateral assistance, MAIN DATA'!S:S,'Bilateral assistance, MAIN DATA'!E:E,$D$1,'Bilateral assistance, MAIN DATA'!B:B,'Financial aid by type'!B8)/1000000000</f>
        <v>0</v>
      </c>
      <c r="E8" s="253">
        <f>SUMIFS('Bilateral assistance, MAIN DATA'!S:S,'Bilateral assistance, MAIN DATA'!E:E,$E$1,'Bilateral assistance, MAIN DATA'!B:B,'Financial aid by type'!B8)/1000000000</f>
        <v>0</v>
      </c>
      <c r="F8" s="33">
        <f>SUMIFS('Bilateral assistance, MAIN DATA'!S:S,'Bilateral assistance, MAIN DATA'!E:E,$F$1,'Bilateral assistance, MAIN DATA'!B:B,'Financial aid by type'!B8)/1000000000</f>
        <v>0</v>
      </c>
      <c r="G8" s="8">
        <f t="shared" si="0"/>
        <v>0</v>
      </c>
      <c r="N8" s="254"/>
      <c r="Q8" s="8"/>
      <c r="R8" s="8"/>
      <c r="S8" s="8"/>
      <c r="T8" s="119"/>
      <c r="U8" s="8"/>
      <c r="V8" s="8"/>
      <c r="W8" s="8"/>
      <c r="X8" s="8"/>
      <c r="Y8" s="8"/>
    </row>
    <row r="9" spans="1:33">
      <c r="B9" s="118" t="s">
        <v>632</v>
      </c>
      <c r="C9" s="8">
        <f>SUMIFS('Bilateral assistance, MAIN DATA'!S:S,'Bilateral assistance, MAIN DATA'!E:E,$C$1,'Bilateral assistance, MAIN DATA'!B:B,'Financial aid by type'!B9)/1000000000</f>
        <v>0</v>
      </c>
      <c r="D9" s="33">
        <f>SUMIFS('Bilateral assistance, MAIN DATA'!S:S,'Bilateral assistance, MAIN DATA'!E:E,$D$1,'Bilateral assistance, MAIN DATA'!B:B,'Financial aid by type'!B9)/1000000000</f>
        <v>4.0946687412988288E-4</v>
      </c>
      <c r="E9" s="253">
        <f>SUMIFS('Bilateral assistance, MAIN DATA'!S:S,'Bilateral assistance, MAIN DATA'!E:E,$E$1,'Bilateral assistance, MAIN DATA'!B:B,'Financial aid by type'!B9)/1000000000</f>
        <v>0</v>
      </c>
      <c r="F9" s="33">
        <f>SUMIFS('Bilateral assistance, MAIN DATA'!S:S,'Bilateral assistance, MAIN DATA'!E:E,$F$1,'Bilateral assistance, MAIN DATA'!B:B,'Financial aid by type'!B9)/1000000000</f>
        <v>0</v>
      </c>
      <c r="G9" s="8">
        <f t="shared" si="0"/>
        <v>4.0946687412988288E-4</v>
      </c>
      <c r="N9" s="254"/>
      <c r="Q9" s="8"/>
      <c r="R9" s="8"/>
      <c r="S9" s="8"/>
      <c r="T9" s="119"/>
      <c r="U9" s="8"/>
      <c r="V9" s="8"/>
      <c r="W9" s="8"/>
      <c r="X9" s="8"/>
      <c r="Y9" s="8"/>
    </row>
    <row r="10" spans="1:33">
      <c r="B10" s="118" t="s">
        <v>767</v>
      </c>
      <c r="C10" s="8">
        <f>SUMIFS('Bilateral assistance, MAIN DATA'!S:S,'Bilateral assistance, MAIN DATA'!E:E,$C$1,'Bilateral assistance, MAIN DATA'!B:B,'Financial aid by type'!B10)/1000000000</f>
        <v>0</v>
      </c>
      <c r="D10" s="33">
        <f>SUMIFS('Bilateral assistance, MAIN DATA'!S:S,'Bilateral assistance, MAIN DATA'!E:E,$D$1,'Bilateral assistance, MAIN DATA'!B:B,'Financial aid by type'!B10)/1000000000</f>
        <v>5.7500000000000002E-2</v>
      </c>
      <c r="E10" s="253">
        <f>SUMIFS('Bilateral assistance, MAIN DATA'!S:S,'Bilateral assistance, MAIN DATA'!E:E,$E$1,'Bilateral assistance, MAIN DATA'!B:B,'Financial aid by type'!B10)/1000000000</f>
        <v>0</v>
      </c>
      <c r="F10" s="33">
        <f>SUMIFS('Bilateral assistance, MAIN DATA'!S:S,'Bilateral assistance, MAIN DATA'!E:E,$F$1,'Bilateral assistance, MAIN DATA'!B:B,'Financial aid by type'!B10)/1000000000</f>
        <v>0</v>
      </c>
      <c r="G10" s="8">
        <f t="shared" si="0"/>
        <v>5.7500000000000002E-2</v>
      </c>
      <c r="N10" s="254"/>
      <c r="Q10" s="8"/>
      <c r="R10" s="8"/>
      <c r="S10" s="8"/>
      <c r="T10" s="119"/>
      <c r="U10" s="8"/>
      <c r="V10" s="8"/>
      <c r="W10" s="8"/>
      <c r="X10" s="8"/>
      <c r="Y10" s="8"/>
    </row>
    <row r="11" spans="1:33">
      <c r="B11" s="118" t="s">
        <v>840</v>
      </c>
      <c r="C11" s="8">
        <f>SUMIFS('Bilateral assistance, MAIN DATA'!S:S,'Bilateral assistance, MAIN DATA'!E:E,$C$1,'Bilateral assistance, MAIN DATA'!B:B,'Financial aid by type'!B11)/1000000000</f>
        <v>0</v>
      </c>
      <c r="D11" s="33">
        <f>SUMIFS('Bilateral assistance, MAIN DATA'!S:S,'Bilateral assistance, MAIN DATA'!E:E,$D$1,'Bilateral assistance, MAIN DATA'!B:B,'Financial aid by type'!B11)/1000000000</f>
        <v>0</v>
      </c>
      <c r="E11" s="253">
        <f>SUMIFS('Bilateral assistance, MAIN DATA'!S:S,'Bilateral assistance, MAIN DATA'!E:E,$E$1,'Bilateral assistance, MAIN DATA'!B:B,'Financial aid by type'!B11)/1000000000</f>
        <v>0</v>
      </c>
      <c r="F11" s="33">
        <f>SUMIFS('Bilateral assistance, MAIN DATA'!S:S,'Bilateral assistance, MAIN DATA'!E:E,$F$1,'Bilateral assistance, MAIN DATA'!B:B,'Financial aid by type'!B11)/1000000000</f>
        <v>0</v>
      </c>
      <c r="G11" s="8">
        <f t="shared" si="0"/>
        <v>0</v>
      </c>
      <c r="N11" s="254"/>
      <c r="Q11" s="8"/>
      <c r="R11" s="8"/>
      <c r="S11" s="8"/>
      <c r="T11" s="119"/>
      <c r="U11" s="8"/>
      <c r="V11" s="8"/>
      <c r="W11" s="8"/>
      <c r="X11" s="8"/>
      <c r="Y11" s="8"/>
    </row>
    <row r="12" spans="1:33">
      <c r="B12" s="118" t="s">
        <v>2825</v>
      </c>
      <c r="C12" s="8">
        <f>SUMIFS('Bilateral assistance, MAIN DATA'!S:S,'Bilateral assistance, MAIN DATA'!E:E,$C$1,'Bilateral assistance, MAIN DATA'!B:B,'Financial aid by type'!B12)/1000000000</f>
        <v>28.2</v>
      </c>
      <c r="D12" s="33">
        <f>SUMIFS('Bilateral assistance, MAIN DATA'!S:S,'Bilateral assistance, MAIN DATA'!E:E,$D$1,'Bilateral assistance, MAIN DATA'!B:B,'Financial aid by type'!B12)/1000000000</f>
        <v>0.12</v>
      </c>
      <c r="E12" s="253">
        <f>SUMIFS('Bilateral assistance, MAIN DATA'!S:S,'Bilateral assistance, MAIN DATA'!E:E,$E$1,'Bilateral assistance, MAIN DATA'!B:B,'Financial aid by type'!B12)/1000000000</f>
        <v>0</v>
      </c>
      <c r="F12" s="33">
        <f>SUMIFS('Bilateral assistance, MAIN DATA'!S:S,'Bilateral assistance, MAIN DATA'!E:E,$F$1,'Bilateral assistance, MAIN DATA'!B:B,'Financial aid by type'!B12)/1000000000</f>
        <v>0</v>
      </c>
      <c r="G12" s="8">
        <f t="shared" si="0"/>
        <v>28.32</v>
      </c>
      <c r="N12" s="254"/>
      <c r="Q12" s="8"/>
      <c r="R12" s="8"/>
      <c r="S12" s="8"/>
      <c r="T12" s="119"/>
      <c r="U12" s="8"/>
      <c r="V12" s="8"/>
      <c r="W12" s="8"/>
      <c r="X12" s="8"/>
      <c r="Y12" s="8"/>
    </row>
    <row r="13" spans="1:33">
      <c r="B13" s="118" t="s">
        <v>917</v>
      </c>
      <c r="C13" s="8">
        <f>SUMIFS('Bilateral assistance, MAIN DATA'!S:S,'Bilateral assistance, MAIN DATA'!E:E,$C$1,'Bilateral assistance, MAIN DATA'!B:B,'Financial aid by type'!B13)/1000000000</f>
        <v>0</v>
      </c>
      <c r="D13" s="33">
        <f>SUMIFS('Bilateral assistance, MAIN DATA'!S:S,'Bilateral assistance, MAIN DATA'!E:E,$D$1,'Bilateral assistance, MAIN DATA'!B:B,'Financial aid by type'!B13)/1000000000</f>
        <v>8.1500000000000003E-2</v>
      </c>
      <c r="E13" s="253">
        <f>SUMIFS('Bilateral assistance, MAIN DATA'!S:S,'Bilateral assistance, MAIN DATA'!E:E,$E$1,'Bilateral assistance, MAIN DATA'!B:B,'Financial aid by type'!B13)/1000000000</f>
        <v>0</v>
      </c>
      <c r="F13" s="33">
        <f>SUMIFS('Bilateral assistance, MAIN DATA'!S:S,'Bilateral assistance, MAIN DATA'!E:E,$F$1,'Bilateral assistance, MAIN DATA'!B:B,'Financial aid by type'!B13)/1000000000</f>
        <v>0</v>
      </c>
      <c r="G13" s="8">
        <f t="shared" si="0"/>
        <v>8.1500000000000003E-2</v>
      </c>
      <c r="N13" s="254"/>
      <c r="Q13" s="8"/>
      <c r="R13" s="8"/>
      <c r="S13" s="8"/>
      <c r="T13" s="119"/>
      <c r="U13" s="8"/>
      <c r="V13" s="8"/>
      <c r="W13" s="8"/>
      <c r="X13" s="8"/>
      <c r="Y13" s="8"/>
    </row>
    <row r="14" spans="1:33">
      <c r="B14" s="118" t="s">
        <v>1012</v>
      </c>
      <c r="C14" s="8">
        <f>SUMIFS('Bilateral assistance, MAIN DATA'!S:S,'Bilateral assistance, MAIN DATA'!E:E,$C$1,'Bilateral assistance, MAIN DATA'!B:B,'Financial aid by type'!B14)/1000000000</f>
        <v>0.8</v>
      </c>
      <c r="D14" s="33">
        <f>SUMIFS('Bilateral assistance, MAIN DATA'!S:S,'Bilateral assistance, MAIN DATA'!E:E,$D$1,'Bilateral assistance, MAIN DATA'!B:B,'Financial aid by type'!B14)/1000000000</f>
        <v>0</v>
      </c>
      <c r="E14" s="253">
        <f>SUMIFS('Bilateral assistance, MAIN DATA'!S:S,'Bilateral assistance, MAIN DATA'!E:E,$E$1,'Bilateral assistance, MAIN DATA'!B:B,'Financial aid by type'!B14)/1000000000</f>
        <v>0</v>
      </c>
      <c r="F14" s="33">
        <f>SUMIFS('Bilateral assistance, MAIN DATA'!S:S,'Bilateral assistance, MAIN DATA'!E:E,$F$1,'Bilateral assistance, MAIN DATA'!B:B,'Financial aid by type'!B14)/1000000000</f>
        <v>0</v>
      </c>
      <c r="G14" s="8">
        <f t="shared" si="0"/>
        <v>0.8</v>
      </c>
      <c r="N14" s="254"/>
      <c r="Q14" s="8"/>
      <c r="R14" s="8"/>
      <c r="S14" s="8"/>
      <c r="T14" s="119"/>
      <c r="U14" s="8"/>
      <c r="V14" s="8"/>
      <c r="W14" s="8"/>
      <c r="X14" s="8"/>
      <c r="Y14" s="8"/>
    </row>
    <row r="15" spans="1:33">
      <c r="B15" s="118" t="s">
        <v>1136</v>
      </c>
      <c r="C15" s="8">
        <f>SUMIFS('Bilateral assistance, MAIN DATA'!S:S,'Bilateral assistance, MAIN DATA'!E:E,$C$1,'Bilateral assistance, MAIN DATA'!B:B,'Financial aid by type'!B15)/1000000000</f>
        <v>0.15</v>
      </c>
      <c r="D15" s="33">
        <f>SUMIFS('Bilateral assistance, MAIN DATA'!S:S,'Bilateral assistance, MAIN DATA'!E:E,$D$1,'Bilateral assistance, MAIN DATA'!B:B,'Financial aid by type'!B15)/1000000000</f>
        <v>1.2</v>
      </c>
      <c r="E15" s="253">
        <f>SUMIFS('Bilateral assistance, MAIN DATA'!S:S,'Bilateral assistance, MAIN DATA'!E:E,$E$1,'Bilateral assistance, MAIN DATA'!B:B,'Financial aid by type'!B15)/1000000000</f>
        <v>0</v>
      </c>
      <c r="F15" s="33">
        <f>SUMIFS('Bilateral assistance, MAIN DATA'!S:S,'Bilateral assistance, MAIN DATA'!E:E,$F$1,'Bilateral assistance, MAIN DATA'!B:B,'Financial aid by type'!B15)/1000000000</f>
        <v>0</v>
      </c>
      <c r="G15" s="8">
        <f t="shared" si="0"/>
        <v>1.3499999999999999</v>
      </c>
      <c r="N15" s="254"/>
      <c r="Q15" s="8"/>
      <c r="R15" s="8"/>
      <c r="S15" s="8"/>
      <c r="T15" s="119"/>
      <c r="U15" s="8"/>
      <c r="V15" s="8"/>
      <c r="W15" s="8"/>
      <c r="X15" s="8"/>
      <c r="Y15" s="8"/>
    </row>
    <row r="16" spans="1:33">
      <c r="B16" s="118" t="s">
        <v>1294</v>
      </c>
      <c r="C16" s="8">
        <f>SUMIFS('Bilateral assistance, MAIN DATA'!S:S,'Bilateral assistance, MAIN DATA'!E:E,$C$1,'Bilateral assistance, MAIN DATA'!B:B,'Financial aid by type'!B16)/1000000000</f>
        <v>0</v>
      </c>
      <c r="D16" s="33">
        <f>SUMIFS('Bilateral assistance, MAIN DATA'!S:S,'Bilateral assistance, MAIN DATA'!E:E,$D$1,'Bilateral assistance, MAIN DATA'!B:B,'Financial aid by type'!B16)/1000000000</f>
        <v>0</v>
      </c>
      <c r="E16" s="253">
        <f>SUMIFS('Bilateral assistance, MAIN DATA'!S:S,'Bilateral assistance, MAIN DATA'!E:E,$E$1,'Bilateral assistance, MAIN DATA'!B:B,'Financial aid by type'!B16)/1000000000</f>
        <v>0</v>
      </c>
      <c r="F16" s="33">
        <f>SUMIFS('Bilateral assistance, MAIN DATA'!S:S,'Bilateral assistance, MAIN DATA'!E:E,$F$1,'Bilateral assistance, MAIN DATA'!B:B,'Financial aid by type'!B16)/1000000000</f>
        <v>0</v>
      </c>
      <c r="G16" s="8">
        <f t="shared" si="0"/>
        <v>0</v>
      </c>
      <c r="N16" s="254"/>
      <c r="Q16" s="8"/>
      <c r="R16" s="8"/>
      <c r="S16" s="8"/>
      <c r="T16" s="119"/>
      <c r="U16" s="8"/>
      <c r="V16" s="8"/>
      <c r="W16" s="8"/>
      <c r="X16" s="8"/>
      <c r="Y16" s="8"/>
    </row>
    <row r="17" spans="2:25">
      <c r="B17" s="118" t="s">
        <v>1335</v>
      </c>
      <c r="C17" s="8">
        <f>SUMIFS('Bilateral assistance, MAIN DATA'!S:S,'Bilateral assistance, MAIN DATA'!E:E,$C$1,'Bilateral assistance, MAIN DATA'!B:B,'Financial aid by type'!B17)/1000000000</f>
        <v>0</v>
      </c>
      <c r="D17" s="33">
        <f>SUMIFS('Bilateral assistance, MAIN DATA'!S:S,'Bilateral assistance, MAIN DATA'!E:E,$D$1,'Bilateral assistance, MAIN DATA'!B:B,'Financial aid by type'!B17)/1000000000</f>
        <v>0</v>
      </c>
      <c r="E17" s="253">
        <f>SUMIFS('Bilateral assistance, MAIN DATA'!S:S,'Bilateral assistance, MAIN DATA'!E:E,$E$1,'Bilateral assistance, MAIN DATA'!B:B,'Financial aid by type'!B17)/1000000000</f>
        <v>0</v>
      </c>
      <c r="F17" s="33">
        <f>SUMIFS('Bilateral assistance, MAIN DATA'!S:S,'Bilateral assistance, MAIN DATA'!E:E,$F$1,'Bilateral assistance, MAIN DATA'!B:B,'Financial aid by type'!B17)/1000000000</f>
        <v>0</v>
      </c>
      <c r="G17" s="8">
        <f t="shared" si="0"/>
        <v>0</v>
      </c>
      <c r="N17" s="254"/>
      <c r="Q17" s="8"/>
      <c r="R17" s="8"/>
      <c r="S17" s="8"/>
      <c r="T17" s="119"/>
      <c r="U17" s="8"/>
      <c r="V17" s="8"/>
      <c r="W17" s="8"/>
      <c r="X17" s="8"/>
      <c r="Y17" s="8"/>
    </row>
    <row r="18" spans="2:25">
      <c r="B18" s="118" t="s">
        <v>1383</v>
      </c>
      <c r="C18" s="8">
        <f>SUMIFS('Bilateral assistance, MAIN DATA'!S:S,'Bilateral assistance, MAIN DATA'!E:E,$C$1,'Bilateral assistance, MAIN DATA'!B:B,'Financial aid by type'!B18)/1000000000</f>
        <v>0</v>
      </c>
      <c r="D18" s="33">
        <f>SUMIFS('Bilateral assistance, MAIN DATA'!S:S,'Bilateral assistance, MAIN DATA'!E:E,$D$1,'Bilateral assistance, MAIN DATA'!B:B,'Financial aid by type'!B18)/1000000000</f>
        <v>0</v>
      </c>
      <c r="E18" s="253">
        <f>SUMIFS('Bilateral assistance, MAIN DATA'!S:S,'Bilateral assistance, MAIN DATA'!E:E,$E$1,'Bilateral assistance, MAIN DATA'!B:B,'Financial aid by type'!B18)/1000000000</f>
        <v>0</v>
      </c>
      <c r="F18" s="33">
        <f>SUMIFS('Bilateral assistance, MAIN DATA'!S:S,'Bilateral assistance, MAIN DATA'!E:E,$F$1,'Bilateral assistance, MAIN DATA'!B:B,'Financial aid by type'!B18)/1000000000</f>
        <v>0</v>
      </c>
      <c r="G18" s="8">
        <f t="shared" si="0"/>
        <v>0</v>
      </c>
      <c r="N18" s="254"/>
      <c r="Q18" s="8"/>
      <c r="R18" s="8"/>
      <c r="S18" s="8"/>
      <c r="T18" s="119"/>
      <c r="U18" s="8"/>
      <c r="V18" s="8"/>
      <c r="W18" s="8"/>
      <c r="X18" s="8"/>
      <c r="Y18" s="8"/>
    </row>
    <row r="19" spans="2:25">
      <c r="B19" s="118" t="s">
        <v>1412</v>
      </c>
      <c r="C19" s="8">
        <f>SUMIFS('Bilateral assistance, MAIN DATA'!S:S,'Bilateral assistance, MAIN DATA'!E:E,$C$1,'Bilateral assistance, MAIN DATA'!B:B,'Financial aid by type'!B19)/1000000000</f>
        <v>0.2</v>
      </c>
      <c r="D19" s="33">
        <f>SUMIFS('Bilateral assistance, MAIN DATA'!S:S,'Bilateral assistance, MAIN DATA'!E:E,$D$1,'Bilateral assistance, MAIN DATA'!B:B,'Financial aid by type'!B19)/1000000000</f>
        <v>0.127</v>
      </c>
      <c r="E19" s="253">
        <f>SUMIFS('Bilateral assistance, MAIN DATA'!S:S,'Bilateral assistance, MAIN DATA'!E:E,$E$1,'Bilateral assistance, MAIN DATA'!B:B,'Financial aid by type'!B19)/1000000000</f>
        <v>0</v>
      </c>
      <c r="F19" s="33">
        <f>SUMIFS('Bilateral assistance, MAIN DATA'!S:S,'Bilateral assistance, MAIN DATA'!E:E,$F$1,'Bilateral assistance, MAIN DATA'!B:B,'Financial aid by type'!B19)/1000000000</f>
        <v>0</v>
      </c>
      <c r="G19" s="8">
        <f t="shared" si="0"/>
        <v>0.32700000000000001</v>
      </c>
      <c r="N19" s="254"/>
      <c r="Q19" s="8"/>
      <c r="R19" s="8"/>
      <c r="S19" s="8"/>
      <c r="T19" s="119"/>
      <c r="U19" s="8"/>
      <c r="V19" s="8"/>
      <c r="W19" s="8"/>
      <c r="X19" s="8"/>
      <c r="Y19" s="8"/>
    </row>
    <row r="20" spans="2:25">
      <c r="B20" s="118" t="s">
        <v>1471</v>
      </c>
      <c r="C20" s="8">
        <f>SUMIFS('Bilateral assistance, MAIN DATA'!S:S,'Bilateral assistance, MAIN DATA'!E:E,$C$1,'Bilateral assistance, MAIN DATA'!B:B,'Financial aid by type'!B20)/1000000000</f>
        <v>0.59790732436472349</v>
      </c>
      <c r="D20" s="33">
        <f>SUMIFS('Bilateral assistance, MAIN DATA'!S:S,'Bilateral assistance, MAIN DATA'!E:E,$D$1,'Bilateral assistance, MAIN DATA'!B:B,'Financial aid by type'!B20)/1000000000</f>
        <v>0</v>
      </c>
      <c r="E20" s="253">
        <f>SUMIFS('Bilateral assistance, MAIN DATA'!S:S,'Bilateral assistance, MAIN DATA'!E:E,$E$1,'Bilateral assistance, MAIN DATA'!B:B,'Financial aid by type'!B20)/1000000000</f>
        <v>0</v>
      </c>
      <c r="F20" s="33">
        <f>SUMIFS('Bilateral assistance, MAIN DATA'!S:S,'Bilateral assistance, MAIN DATA'!E:E,$F$1,'Bilateral assistance, MAIN DATA'!B:B,'Financial aid by type'!B20)/1000000000</f>
        <v>0</v>
      </c>
      <c r="G20" s="8">
        <f t="shared" si="0"/>
        <v>0.59790732436472349</v>
      </c>
      <c r="N20" s="254"/>
      <c r="Q20" s="8"/>
      <c r="R20" s="8"/>
      <c r="S20" s="8"/>
      <c r="T20" s="119"/>
      <c r="U20" s="8"/>
      <c r="V20" s="8"/>
      <c r="W20" s="8"/>
      <c r="X20" s="8"/>
      <c r="Y20" s="8"/>
    </row>
    <row r="21" spans="2:25">
      <c r="B21" s="118" t="s">
        <v>1516</v>
      </c>
      <c r="C21" s="8">
        <f>SUMIFS('Bilateral assistance, MAIN DATA'!S:S,'Bilateral assistance, MAIN DATA'!E:E,$C$1,'Bilateral assistance, MAIN DATA'!B:B,'Financial aid by type'!B21)/1000000000</f>
        <v>0.01</v>
      </c>
      <c r="D21" s="33">
        <f>SUMIFS('Bilateral assistance, MAIN DATA'!S:S,'Bilateral assistance, MAIN DATA'!E:E,$D$1,'Bilateral assistance, MAIN DATA'!B:B,'Financial aid by type'!B21)/1000000000</f>
        <v>5.0000000000000001E-3</v>
      </c>
      <c r="E21" s="253">
        <f>SUMIFS('Bilateral assistance, MAIN DATA'!S:S,'Bilateral assistance, MAIN DATA'!E:E,$E$1,'Bilateral assistance, MAIN DATA'!B:B,'Financial aid by type'!B21)/1000000000</f>
        <v>0</v>
      </c>
      <c r="F21" s="33">
        <f>SUMIFS('Bilateral assistance, MAIN DATA'!S:S,'Bilateral assistance, MAIN DATA'!E:E,$F$1,'Bilateral assistance, MAIN DATA'!B:B,'Financial aid by type'!B21)/1000000000</f>
        <v>0</v>
      </c>
      <c r="G21" s="8">
        <f t="shared" si="0"/>
        <v>1.4999999999999999E-2</v>
      </c>
      <c r="N21" s="254"/>
      <c r="Q21" s="8"/>
      <c r="R21" s="8"/>
      <c r="S21" s="8"/>
      <c r="T21" s="119"/>
      <c r="U21" s="8"/>
      <c r="V21" s="8"/>
      <c r="W21" s="8"/>
      <c r="X21" s="8"/>
      <c r="Y21" s="8"/>
    </row>
    <row r="22" spans="2:25">
      <c r="B22" s="118" t="s">
        <v>1562</v>
      </c>
      <c r="C22" s="8">
        <f>SUMIFS('Bilateral assistance, MAIN DATA'!S:S,'Bilateral assistance, MAIN DATA'!E:E,$C$1,'Bilateral assistance, MAIN DATA'!B:B,'Financial aid by type'!B22)/1000000000</f>
        <v>0</v>
      </c>
      <c r="D22" s="33">
        <f>SUMIFS('Bilateral assistance, MAIN DATA'!S:S,'Bilateral assistance, MAIN DATA'!E:E,$D$1,'Bilateral assistance, MAIN DATA'!B:B,'Financial aid by type'!B22)/1000000000</f>
        <v>1.4999999999999999E-2</v>
      </c>
      <c r="E22" s="253">
        <f>SUMIFS('Bilateral assistance, MAIN DATA'!S:S,'Bilateral assistance, MAIN DATA'!E:E,$E$1,'Bilateral assistance, MAIN DATA'!B:B,'Financial aid by type'!B22)/1000000000</f>
        <v>0</v>
      </c>
      <c r="F22" s="33">
        <f>SUMIFS('Bilateral assistance, MAIN DATA'!S:S,'Bilateral assistance, MAIN DATA'!E:E,$F$1,'Bilateral assistance, MAIN DATA'!B:B,'Financial aid by type'!B22)/1000000000</f>
        <v>0</v>
      </c>
      <c r="G22" s="8">
        <f t="shared" si="0"/>
        <v>1.4999999999999999E-2</v>
      </c>
      <c r="N22" s="254"/>
      <c r="Q22" s="8"/>
      <c r="R22" s="8"/>
      <c r="S22" s="8"/>
      <c r="T22" s="8"/>
      <c r="U22" s="8"/>
      <c r="V22" s="8"/>
      <c r="W22" s="8"/>
      <c r="X22" s="8"/>
      <c r="Y22" s="8"/>
    </row>
    <row r="23" spans="2:25">
      <c r="B23" s="118" t="s">
        <v>1653</v>
      </c>
      <c r="C23" s="8">
        <f>SUMIFS('Bilateral assistance, MAIN DATA'!S:S,'Bilateral assistance, MAIN DATA'!E:E,$C$1,'Bilateral assistance, MAIN DATA'!B:B,'Financial aid by type'!B23)/1000000000</f>
        <v>0</v>
      </c>
      <c r="D23" s="33">
        <f>SUMIFS('Bilateral assistance, MAIN DATA'!S:S,'Bilateral assistance, MAIN DATA'!E:E,$D$1,'Bilateral assistance, MAIN DATA'!B:B,'Financial aid by type'!B23)/1000000000</f>
        <v>0</v>
      </c>
      <c r="E23" s="253">
        <f>SUMIFS('Bilateral assistance, MAIN DATA'!S:S,'Bilateral assistance, MAIN DATA'!E:E,$E$1,'Bilateral assistance, MAIN DATA'!B:B,'Financial aid by type'!B23)/1000000000</f>
        <v>0</v>
      </c>
      <c r="F23" s="33">
        <f>SUMIFS('Bilateral assistance, MAIN DATA'!S:S,'Bilateral assistance, MAIN DATA'!E:E,$F$1,'Bilateral assistance, MAIN DATA'!B:B,'Financial aid by type'!B23)/1000000000</f>
        <v>0</v>
      </c>
      <c r="G23" s="8">
        <f t="shared" si="0"/>
        <v>0</v>
      </c>
      <c r="N23" s="254"/>
      <c r="Q23" s="8"/>
      <c r="R23" s="8"/>
      <c r="U23" s="8"/>
      <c r="V23" s="8"/>
      <c r="W23" s="8"/>
      <c r="X23" s="8"/>
      <c r="Y23" s="8"/>
    </row>
    <row r="24" spans="2:25">
      <c r="B24" s="118" t="s">
        <v>1682</v>
      </c>
      <c r="C24" s="8">
        <f>SUMIFS('Bilateral assistance, MAIN DATA'!S:S,'Bilateral assistance, MAIN DATA'!E:E,$C$1,'Bilateral assistance, MAIN DATA'!B:B,'Financial aid by type'!B24)/1000000000</f>
        <v>0</v>
      </c>
      <c r="D24" s="33">
        <f>SUMIFS('Bilateral assistance, MAIN DATA'!S:S,'Bilateral assistance, MAIN DATA'!E:E,$D$1,'Bilateral assistance, MAIN DATA'!B:B,'Financial aid by type'!B24)/1000000000</f>
        <v>0</v>
      </c>
      <c r="E24" s="253">
        <f>SUMIFS('Bilateral assistance, MAIN DATA'!S:S,'Bilateral assistance, MAIN DATA'!E:E,$E$1,'Bilateral assistance, MAIN DATA'!B:B,'Financial aid by type'!B24)/1000000000</f>
        <v>0</v>
      </c>
      <c r="F24" s="33">
        <f>SUMIFS('Bilateral assistance, MAIN DATA'!S:S,'Bilateral assistance, MAIN DATA'!E:E,$F$1,'Bilateral assistance, MAIN DATA'!B:B,'Financial aid by type'!B24)/1000000000</f>
        <v>0</v>
      </c>
      <c r="G24" s="8">
        <f t="shared" si="0"/>
        <v>0</v>
      </c>
      <c r="N24" s="254"/>
      <c r="Q24" s="8"/>
      <c r="U24" s="8"/>
      <c r="V24" s="8"/>
      <c r="W24" s="8"/>
      <c r="X24" s="8"/>
      <c r="Y24" s="8"/>
    </row>
    <row r="25" spans="2:25">
      <c r="B25" s="118" t="s">
        <v>1687</v>
      </c>
      <c r="C25" s="8">
        <f>SUMIFS('Bilateral assistance, MAIN DATA'!S:S,'Bilateral assistance, MAIN DATA'!E:E,$C$1,'Bilateral assistance, MAIN DATA'!B:B,'Financial aid by type'!B25)/1000000000</f>
        <v>0.2</v>
      </c>
      <c r="D25" s="33">
        <f>SUMIFS('Bilateral assistance, MAIN DATA'!S:S,'Bilateral assistance, MAIN DATA'!E:E,$D$1,'Bilateral assistance, MAIN DATA'!B:B,'Financial aid by type'!B25)/1000000000</f>
        <v>6.8500000000000005E-2</v>
      </c>
      <c r="E25" s="253">
        <f>SUMIFS('Bilateral assistance, MAIN DATA'!S:S,'Bilateral assistance, MAIN DATA'!E:E,$E$1,'Bilateral assistance, MAIN DATA'!B:B,'Financial aid by type'!B25)/1000000000</f>
        <v>0</v>
      </c>
      <c r="F25" s="33">
        <f>SUMIFS('Bilateral assistance, MAIN DATA'!S:S,'Bilateral assistance, MAIN DATA'!E:E,$F$1,'Bilateral assistance, MAIN DATA'!B:B,'Financial aid by type'!B25)/1000000000</f>
        <v>0.08</v>
      </c>
      <c r="G25" s="8">
        <f t="shared" si="0"/>
        <v>0.34850000000000003</v>
      </c>
      <c r="N25" s="254"/>
      <c r="Q25" s="8"/>
      <c r="R25" s="8"/>
      <c r="S25" s="8"/>
      <c r="T25" s="8"/>
      <c r="U25" s="8"/>
      <c r="V25" s="8"/>
      <c r="W25" s="8"/>
      <c r="X25" s="8"/>
      <c r="Y25" s="8"/>
    </row>
    <row r="26" spans="2:25">
      <c r="B26" s="8" t="s">
        <v>1766</v>
      </c>
      <c r="C26" s="8">
        <f>SUMIFS('Bilateral assistance, MAIN DATA'!S:S,'Bilateral assistance, MAIN DATA'!E:E,$C$1,'Bilateral assistance, MAIN DATA'!B:B,'Financial aid by type'!B26)/1000000000</f>
        <v>0</v>
      </c>
      <c r="D26" s="33">
        <f>SUMIFS('Bilateral assistance, MAIN DATA'!S:S,'Bilateral assistance, MAIN DATA'!E:E,$D$1,'Bilateral assistance, MAIN DATA'!B:B,'Financial aid by type'!B26)/1000000000</f>
        <v>0</v>
      </c>
      <c r="E26" s="253">
        <f>SUMIFS('Bilateral assistance, MAIN DATA'!S:S,'Bilateral assistance, MAIN DATA'!E:E,$E$1,'Bilateral assistance, MAIN DATA'!B:B,'Financial aid by type'!B26)/1000000000</f>
        <v>0</v>
      </c>
      <c r="F26" s="33">
        <f>SUMIFS('Bilateral assistance, MAIN DATA'!S:S,'Bilateral assistance, MAIN DATA'!E:E,$F$1,'Bilateral assistance, MAIN DATA'!B:B,'Financial aid by type'!B26)/1000000000</f>
        <v>0</v>
      </c>
      <c r="G26" s="8">
        <f t="shared" si="0"/>
        <v>0</v>
      </c>
      <c r="N26" s="254"/>
      <c r="Q26" s="8"/>
      <c r="R26" s="8"/>
      <c r="S26" s="8"/>
      <c r="T26" s="8"/>
      <c r="U26" s="8"/>
      <c r="V26" s="8"/>
      <c r="W26" s="8"/>
      <c r="X26" s="8"/>
      <c r="Y26" s="8"/>
    </row>
    <row r="27" spans="2:25">
      <c r="B27" s="8" t="s">
        <v>1804</v>
      </c>
      <c r="C27" s="8">
        <f>SUMIFS('Bilateral assistance, MAIN DATA'!S:S,'Bilateral assistance, MAIN DATA'!E:E,$C$1,'Bilateral assistance, MAIN DATA'!B:B,'Financial aid by type'!B27)/1000000000</f>
        <v>0</v>
      </c>
      <c r="D27" s="33">
        <f>SUMIFS('Bilateral assistance, MAIN DATA'!S:S,'Bilateral assistance, MAIN DATA'!E:E,$D$1,'Bilateral assistance, MAIN DATA'!B:B,'Financial aid by type'!B27)/1000000000</f>
        <v>0.61445864741685452</v>
      </c>
      <c r="E27" s="253">
        <f>SUMIFS('Bilateral assistance, MAIN DATA'!S:S,'Bilateral assistance, MAIN DATA'!E:E,$E$1,'Bilateral assistance, MAIN DATA'!B:B,'Financial aid by type'!B27)/1000000000</f>
        <v>0</v>
      </c>
      <c r="F27" s="33">
        <f>SUMIFS('Bilateral assistance, MAIN DATA'!S:S,'Bilateral assistance, MAIN DATA'!E:E,$F$1,'Bilateral assistance, MAIN DATA'!B:B,'Financial aid by type'!B27)/1000000000</f>
        <v>0</v>
      </c>
      <c r="G27" s="8">
        <f t="shared" si="0"/>
        <v>0.61445864741685452</v>
      </c>
      <c r="N27" s="254"/>
      <c r="Q27" s="8"/>
      <c r="R27" s="8"/>
      <c r="S27" s="8"/>
      <c r="T27" s="119"/>
      <c r="U27" s="8"/>
      <c r="V27" s="8"/>
      <c r="W27" s="8"/>
      <c r="X27" s="8"/>
      <c r="Y27" s="8"/>
    </row>
    <row r="28" spans="2:25">
      <c r="B28" s="118" t="s">
        <v>1894</v>
      </c>
      <c r="C28" s="8">
        <f>SUMIFS('Bilateral assistance, MAIN DATA'!S:S,'Bilateral assistance, MAIN DATA'!E:E,$C$1,'Bilateral assistance, MAIN DATA'!B:B,'Financial aid by type'!B28)/1000000000</f>
        <v>0</v>
      </c>
      <c r="D28" s="33">
        <f>SUMIFS('Bilateral assistance, MAIN DATA'!S:S,'Bilateral assistance, MAIN DATA'!E:E,$D$1,'Bilateral assistance, MAIN DATA'!B:B,'Financial aid by type'!B28)/1000000000</f>
        <v>6.3545858928193179E-3</v>
      </c>
      <c r="E28" s="253">
        <f>SUMIFS('Bilateral assistance, MAIN DATA'!S:S,'Bilateral assistance, MAIN DATA'!E:E,$E$1,'Bilateral assistance, MAIN DATA'!B:B,'Financial aid by type'!B28)/1000000000</f>
        <v>0.99651220727453915</v>
      </c>
      <c r="F28" s="33">
        <f>SUMIFS('Bilateral assistance, MAIN DATA'!S:S,'Bilateral assistance, MAIN DATA'!E:E,$F$1,'Bilateral assistance, MAIN DATA'!B:B,'Financial aid by type'!B28)/1000000000</f>
        <v>0</v>
      </c>
      <c r="G28" s="8">
        <f t="shared" si="0"/>
        <v>1.0028667931673585</v>
      </c>
      <c r="N28" s="254"/>
      <c r="Q28" s="8"/>
      <c r="R28" s="8"/>
      <c r="S28" s="8"/>
      <c r="T28" s="119"/>
      <c r="U28" s="8"/>
      <c r="V28" s="8"/>
      <c r="W28" s="8"/>
      <c r="X28" s="8"/>
      <c r="Y28" s="8"/>
    </row>
    <row r="29" spans="2:25">
      <c r="B29" s="118" t="s">
        <v>1957</v>
      </c>
      <c r="C29" s="8">
        <f>SUMIFS('Bilateral assistance, MAIN DATA'!S:S,'Bilateral assistance, MAIN DATA'!E:E,$C$1,'Bilateral assistance, MAIN DATA'!B:B,'Financial aid by type'!B29)/1000000000</f>
        <v>0</v>
      </c>
      <c r="D29" s="33">
        <f>SUMIFS('Bilateral assistance, MAIN DATA'!S:S,'Bilateral assistance, MAIN DATA'!E:E,$D$1,'Bilateral assistance, MAIN DATA'!B:B,'Financial aid by type'!B29)/1000000000</f>
        <v>0.25</v>
      </c>
      <c r="E29" s="253">
        <f>SUMIFS('Bilateral assistance, MAIN DATA'!S:S,'Bilateral assistance, MAIN DATA'!E:E,$E$1,'Bilateral assistance, MAIN DATA'!B:B,'Financial aid by type'!B29)/1000000000</f>
        <v>0</v>
      </c>
      <c r="F29" s="33">
        <f>SUMIFS('Bilateral assistance, MAIN DATA'!S:S,'Bilateral assistance, MAIN DATA'!E:E,$F$1,'Bilateral assistance, MAIN DATA'!B:B,'Financial aid by type'!B29)/1000000000</f>
        <v>0</v>
      </c>
      <c r="G29" s="8">
        <f t="shared" si="0"/>
        <v>0.25</v>
      </c>
      <c r="N29" s="254"/>
      <c r="Q29" s="8"/>
      <c r="R29" s="8"/>
      <c r="S29" s="8"/>
      <c r="T29" s="119"/>
      <c r="U29" s="8"/>
      <c r="V29" s="8"/>
      <c r="W29" s="8"/>
      <c r="X29" s="8"/>
      <c r="Y29" s="8"/>
    </row>
    <row r="30" spans="2:25">
      <c r="B30" s="8" t="s">
        <v>2002</v>
      </c>
      <c r="C30" s="8">
        <f>SUMIFS('Bilateral assistance, MAIN DATA'!S:S,'Bilateral assistance, MAIN DATA'!E:E,$C$1,'Bilateral assistance, MAIN DATA'!B:B,'Financial aid by type'!B30)/1000000000</f>
        <v>0</v>
      </c>
      <c r="D30" s="33">
        <f>SUMIFS('Bilateral assistance, MAIN DATA'!S:S,'Bilateral assistance, MAIN DATA'!E:E,$D$1,'Bilateral assistance, MAIN DATA'!B:B,'Financial aid by type'!B30)/1000000000</f>
        <v>0</v>
      </c>
      <c r="E30" s="253">
        <f>SUMIFS('Bilateral assistance, MAIN DATA'!S:S,'Bilateral assistance, MAIN DATA'!E:E,$E$1,'Bilateral assistance, MAIN DATA'!B:B,'Financial aid by type'!B30)/1000000000</f>
        <v>0</v>
      </c>
      <c r="F30" s="33">
        <f>SUMIFS('Bilateral assistance, MAIN DATA'!S:S,'Bilateral assistance, MAIN DATA'!E:E,$F$1,'Bilateral assistance, MAIN DATA'!B:B,'Financial aid by type'!B30)/1000000000</f>
        <v>0</v>
      </c>
      <c r="G30" s="8">
        <f t="shared" si="0"/>
        <v>0</v>
      </c>
      <c r="N30" s="254"/>
      <c r="Q30" s="8"/>
      <c r="R30" s="8"/>
      <c r="S30" s="8"/>
      <c r="T30" s="119"/>
      <c r="U30" s="8"/>
      <c r="V30" s="8"/>
      <c r="W30" s="8"/>
      <c r="X30" s="8"/>
      <c r="Y30" s="8"/>
    </row>
    <row r="31" spans="2:25">
      <c r="B31" s="118" t="s">
        <v>2034</v>
      </c>
      <c r="C31" s="8">
        <f>SUMIFS('Bilateral assistance, MAIN DATA'!S:S,'Bilateral assistance, MAIN DATA'!E:E,$C$1,'Bilateral assistance, MAIN DATA'!B:B,'Financial aid by type'!B31)/1000000000</f>
        <v>0</v>
      </c>
      <c r="D31" s="33">
        <f>SUMIFS('Bilateral assistance, MAIN DATA'!S:S,'Bilateral assistance, MAIN DATA'!E:E,$D$1,'Bilateral assistance, MAIN DATA'!B:B,'Financial aid by type'!B31)/1000000000</f>
        <v>0</v>
      </c>
      <c r="E31" s="253">
        <f>SUMIFS('Bilateral assistance, MAIN DATA'!S:S,'Bilateral assistance, MAIN DATA'!E:E,$E$1,'Bilateral assistance, MAIN DATA'!B:B,'Financial aid by type'!B31)/1000000000</f>
        <v>0</v>
      </c>
      <c r="F31" s="33">
        <f>SUMIFS('Bilateral assistance, MAIN DATA'!S:S,'Bilateral assistance, MAIN DATA'!E:E,$F$1,'Bilateral assistance, MAIN DATA'!B:B,'Financial aid by type'!B31)/1000000000</f>
        <v>0</v>
      </c>
      <c r="G31" s="8">
        <f t="shared" si="0"/>
        <v>0</v>
      </c>
      <c r="N31" s="254"/>
      <c r="Q31" s="8"/>
      <c r="R31" s="8"/>
      <c r="S31" s="8"/>
      <c r="T31" s="119"/>
      <c r="U31" s="8"/>
      <c r="V31" s="8"/>
      <c r="W31" s="8"/>
      <c r="X31" s="8"/>
      <c r="Y31" s="8"/>
    </row>
    <row r="32" spans="2:25">
      <c r="B32" s="118" t="s">
        <v>2063</v>
      </c>
      <c r="C32" s="8">
        <f>SUMIFS('Bilateral assistance, MAIN DATA'!S:S,'Bilateral assistance, MAIN DATA'!E:E,$C$1,'Bilateral assistance, MAIN DATA'!B:B,'Financial aid by type'!B32)/1000000000</f>
        <v>0</v>
      </c>
      <c r="D32" s="33">
        <f>SUMIFS('Bilateral assistance, MAIN DATA'!S:S,'Bilateral assistance, MAIN DATA'!E:E,$D$1,'Bilateral assistance, MAIN DATA'!B:B,'Financial aid by type'!B32)/1000000000</f>
        <v>0</v>
      </c>
      <c r="E32" s="253">
        <f>SUMIFS('Bilateral assistance, MAIN DATA'!S:S,'Bilateral assistance, MAIN DATA'!E:E,$E$1,'Bilateral assistance, MAIN DATA'!B:B,'Financial aid by type'!B32)/1000000000</f>
        <v>0</v>
      </c>
      <c r="F32" s="33">
        <f>SUMIFS('Bilateral assistance, MAIN DATA'!S:S,'Bilateral assistance, MAIN DATA'!E:E,$F$1,'Bilateral assistance, MAIN DATA'!B:B,'Financial aid by type'!B32)/1000000000</f>
        <v>0</v>
      </c>
      <c r="G32" s="8">
        <f t="shared" si="0"/>
        <v>0</v>
      </c>
      <c r="N32" s="254"/>
      <c r="Q32" s="8"/>
      <c r="R32" s="8"/>
      <c r="S32" s="8"/>
      <c r="T32" s="119"/>
      <c r="U32" s="8"/>
      <c r="V32" s="8"/>
      <c r="W32" s="8"/>
      <c r="X32" s="8"/>
      <c r="Y32" s="8"/>
    </row>
    <row r="33" spans="2:25">
      <c r="B33" s="118" t="s">
        <v>2106</v>
      </c>
      <c r="C33" s="8">
        <f>SUMIFS('Bilateral assistance, MAIN DATA'!S:S,'Bilateral assistance, MAIN DATA'!E:E,$C$1,'Bilateral assistance, MAIN DATA'!B:B,'Financial aid by type'!B33)/1000000000</f>
        <v>0</v>
      </c>
      <c r="D33" s="33">
        <f>SUMIFS('Bilateral assistance, MAIN DATA'!S:S,'Bilateral assistance, MAIN DATA'!E:E,$D$1,'Bilateral assistance, MAIN DATA'!B:B,'Financial aid by type'!B33)/1000000000</f>
        <v>1E-4</v>
      </c>
      <c r="E33" s="253">
        <f>SUMIFS('Bilateral assistance, MAIN DATA'!S:S,'Bilateral assistance, MAIN DATA'!E:E,$E$1,'Bilateral assistance, MAIN DATA'!B:B,'Financial aid by type'!B33)/1000000000</f>
        <v>0</v>
      </c>
      <c r="F33" s="33">
        <f>SUMIFS('Bilateral assistance, MAIN DATA'!S:S,'Bilateral assistance, MAIN DATA'!E:E,$F$1,'Bilateral assistance, MAIN DATA'!B:B,'Financial aid by type'!B33)/1000000000</f>
        <v>0</v>
      </c>
      <c r="G33" s="8">
        <f t="shared" si="0"/>
        <v>1E-4</v>
      </c>
      <c r="N33" s="254"/>
      <c r="Q33" s="8"/>
      <c r="R33" s="8"/>
      <c r="S33" s="8"/>
      <c r="T33" s="119"/>
      <c r="U33" s="8"/>
      <c r="V33" s="8"/>
      <c r="W33" s="8"/>
      <c r="X33" s="8"/>
      <c r="Y33" s="8"/>
    </row>
    <row r="34" spans="2:25">
      <c r="B34" s="118" t="s">
        <v>2162</v>
      </c>
      <c r="C34" s="8">
        <f>SUMIFS('Bilateral assistance, MAIN DATA'!S:S,'Bilateral assistance, MAIN DATA'!E:E,$C$1,'Bilateral assistance, MAIN DATA'!B:B,'Financial aid by type'!B34)/1000000000</f>
        <v>0</v>
      </c>
      <c r="D34" s="33">
        <f>SUMIFS('Bilateral assistance, MAIN DATA'!S:S,'Bilateral assistance, MAIN DATA'!E:E,$D$1,'Bilateral assistance, MAIN DATA'!B:B,'Financial aid by type'!B34)/1000000000</f>
        <v>0.15</v>
      </c>
      <c r="E34" s="253">
        <f>SUMIFS('Bilateral assistance, MAIN DATA'!S:S,'Bilateral assistance, MAIN DATA'!E:E,$E$1,'Bilateral assistance, MAIN DATA'!B:B,'Financial aid by type'!B34)/1000000000</f>
        <v>0</v>
      </c>
      <c r="F34" s="33">
        <f>SUMIFS('Bilateral assistance, MAIN DATA'!S:S,'Bilateral assistance, MAIN DATA'!E:E,$F$1,'Bilateral assistance, MAIN DATA'!B:B,'Financial aid by type'!B34)/1000000000</f>
        <v>0.1</v>
      </c>
      <c r="G34" s="8">
        <f t="shared" si="0"/>
        <v>0.25</v>
      </c>
      <c r="N34" s="254"/>
      <c r="Q34" s="8"/>
      <c r="R34" s="8"/>
      <c r="S34" s="8"/>
      <c r="T34" s="119"/>
      <c r="U34" s="8"/>
      <c r="V34" s="8"/>
      <c r="W34" s="8"/>
      <c r="X34" s="8"/>
      <c r="Y34" s="8"/>
    </row>
    <row r="35" spans="2:25">
      <c r="B35" s="118" t="s">
        <v>2258</v>
      </c>
      <c r="C35" s="8">
        <f>SUMIFS('Bilateral assistance, MAIN DATA'!S:S,'Bilateral assistance, MAIN DATA'!E:E,$C$1,'Bilateral assistance, MAIN DATA'!B:B,'Financial aid by type'!B35)/1000000000</f>
        <v>0</v>
      </c>
      <c r="D35" s="33">
        <f>SUMIFS('Bilateral assistance, MAIN DATA'!S:S,'Bilateral assistance, MAIN DATA'!E:E,$D$1,'Bilateral assistance, MAIN DATA'!B:B,'Financial aid by type'!B35)/1000000000</f>
        <v>0.21596076274294096</v>
      </c>
      <c r="E35" s="253">
        <f>SUMIFS('Bilateral assistance, MAIN DATA'!S:S,'Bilateral assistance, MAIN DATA'!E:E,$E$1,'Bilateral assistance, MAIN DATA'!B:B,'Financial aid by type'!B35)/1000000000</f>
        <v>0</v>
      </c>
      <c r="F35" s="33">
        <f>SUMIFS('Bilateral assistance, MAIN DATA'!S:S,'Bilateral assistance, MAIN DATA'!E:E,$F$1,'Bilateral assistance, MAIN DATA'!B:B,'Financial aid by type'!B35)/1000000000</f>
        <v>9.3825610363726941E-2</v>
      </c>
      <c r="G35" s="8">
        <f t="shared" si="0"/>
        <v>0.3097863731066679</v>
      </c>
      <c r="N35" s="254"/>
      <c r="Q35" s="8"/>
      <c r="R35" s="8"/>
      <c r="S35" s="8"/>
      <c r="T35" s="119"/>
      <c r="U35" s="8"/>
      <c r="V35" s="8"/>
      <c r="W35" s="8"/>
      <c r="X35" s="8"/>
      <c r="Y35" s="8"/>
    </row>
    <row r="36" spans="2:25">
      <c r="B36" s="8" t="s">
        <v>2329</v>
      </c>
      <c r="C36" s="8">
        <f>SUMIFS('Bilateral assistance, MAIN DATA'!S:S,'Bilateral assistance, MAIN DATA'!E:E,$C$1,'Bilateral assistance, MAIN DATA'!B:B,'Financial aid by type'!B36)/1000000000</f>
        <v>0</v>
      </c>
      <c r="D36" s="33">
        <f>SUMIFS('Bilateral assistance, MAIN DATA'!S:S,'Bilateral assistance, MAIN DATA'!E:E,$D$1,'Bilateral assistance, MAIN DATA'!B:B,'Financial aid by type'!B36)/1000000000</f>
        <v>0</v>
      </c>
      <c r="E36" s="253">
        <f>SUMIFS('Bilateral assistance, MAIN DATA'!S:S,'Bilateral assistance, MAIN DATA'!E:E,$E$1,'Bilateral assistance, MAIN DATA'!B:B,'Financial aid by type'!B36)/1000000000</f>
        <v>0</v>
      </c>
      <c r="F36" s="33">
        <f>SUMIFS('Bilateral assistance, MAIN DATA'!S:S,'Bilateral assistance, MAIN DATA'!E:E,$F$1,'Bilateral assistance, MAIN DATA'!B:B,'Financial aid by type'!B36)/1000000000</f>
        <v>0</v>
      </c>
      <c r="G36" s="8">
        <f t="shared" si="0"/>
        <v>0</v>
      </c>
      <c r="N36" s="254"/>
      <c r="Q36" s="8"/>
      <c r="R36" s="8"/>
      <c r="S36" s="8"/>
      <c r="T36" s="119"/>
      <c r="U36" s="8"/>
      <c r="V36" s="8"/>
      <c r="W36" s="8"/>
      <c r="X36" s="8"/>
      <c r="Y36" s="8"/>
    </row>
    <row r="37" spans="2:25">
      <c r="B37" s="8" t="s">
        <v>2348</v>
      </c>
      <c r="C37" s="8">
        <f>SUMIFS('Bilateral assistance, MAIN DATA'!S:S,'Bilateral assistance, MAIN DATA'!E:E,$C$1,'Bilateral assistance, MAIN DATA'!B:B,'Financial aid by type'!B37)/1000000000</f>
        <v>0</v>
      </c>
      <c r="D37" s="33">
        <f>SUMIFS('Bilateral assistance, MAIN DATA'!S:S,'Bilateral assistance, MAIN DATA'!E:E,$D$1,'Bilateral assistance, MAIN DATA'!B:B,'Financial aid by type'!B37)/1000000000</f>
        <v>0</v>
      </c>
      <c r="E37" s="253">
        <f>SUMIFS('Bilateral assistance, MAIN DATA'!S:S,'Bilateral assistance, MAIN DATA'!E:E,$E$1,'Bilateral assistance, MAIN DATA'!B:B,'Financial aid by type'!B37)/1000000000</f>
        <v>0</v>
      </c>
      <c r="F37" s="33">
        <f>SUMIFS('Bilateral assistance, MAIN DATA'!S:S,'Bilateral assistance, MAIN DATA'!E:E,$F$1,'Bilateral assistance, MAIN DATA'!B:B,'Financial aid by type'!B37)/1000000000</f>
        <v>0</v>
      </c>
      <c r="G37" s="8">
        <f t="shared" si="0"/>
        <v>0</v>
      </c>
      <c r="N37" s="254"/>
      <c r="Q37" s="8"/>
      <c r="R37" s="8"/>
      <c r="S37" s="8"/>
      <c r="T37" s="119"/>
      <c r="U37" s="8"/>
      <c r="V37" s="8"/>
      <c r="W37" s="8"/>
      <c r="X37" s="8"/>
      <c r="Y37" s="8"/>
    </row>
    <row r="38" spans="2:25">
      <c r="B38" s="118" t="s">
        <v>2392</v>
      </c>
      <c r="C38" s="8">
        <f>SUMIFS('Bilateral assistance, MAIN DATA'!S:S,'Bilateral assistance, MAIN DATA'!E:E,$C$1,'Bilateral assistance, MAIN DATA'!B:B,'Financial aid by type'!B38)/1000000000</f>
        <v>0.5763024435223606</v>
      </c>
      <c r="D38" s="33">
        <f>SUMIFS('Bilateral assistance, MAIN DATA'!S:S,'Bilateral assistance, MAIN DATA'!E:E,$D$1,'Bilateral assistance, MAIN DATA'!B:B,'Financial aid by type'!B38)/1000000000</f>
        <v>0.65621104143795483</v>
      </c>
      <c r="E38" s="253">
        <f>SUMIFS('Bilateral assistance, MAIN DATA'!S:S,'Bilateral assistance, MAIN DATA'!E:E,$E$1,'Bilateral assistance, MAIN DATA'!B:B,'Financial aid by type'!B38)/1000000000</f>
        <v>0</v>
      </c>
      <c r="F38" s="33">
        <f>SUMIFS('Bilateral assistance, MAIN DATA'!S:S,'Bilateral assistance, MAIN DATA'!E:E,$F$1,'Bilateral assistance, MAIN DATA'!B:B,'Financial aid by type'!B38)/1000000000</f>
        <v>1.339657671179916</v>
      </c>
      <c r="G38" s="8">
        <f t="shared" si="0"/>
        <v>2.5721711561402314</v>
      </c>
      <c r="N38" s="254"/>
      <c r="Q38" s="8"/>
      <c r="R38" s="8"/>
      <c r="S38" s="8"/>
      <c r="T38" s="119"/>
      <c r="U38" s="8"/>
      <c r="V38" s="8"/>
      <c r="W38" s="8"/>
      <c r="X38" s="8"/>
      <c r="Y38" s="8"/>
    </row>
    <row r="39" spans="2:25">
      <c r="B39" s="118" t="s">
        <v>2548</v>
      </c>
      <c r="C39" s="8">
        <f>SUMIFS('Bilateral assistance, MAIN DATA'!S:S,'Bilateral assistance, MAIN DATA'!E:E,$C$1,'Bilateral assistance, MAIN DATA'!B:B,'Financial aid by type'!B39)/1000000000</f>
        <v>0.49825610363726958</v>
      </c>
      <c r="D39" s="33">
        <f>SUMIFS('Bilateral assistance, MAIN DATA'!S:S,'Bilateral assistance, MAIN DATA'!E:E,$D$1,'Bilateral assistance, MAIN DATA'!B:B,'Financial aid by type'!B39)/1000000000</f>
        <v>13.558545092177377</v>
      </c>
      <c r="E39" s="253">
        <f>SUMIFS('Bilateral assistance, MAIN DATA'!S:S,'Bilateral assistance, MAIN DATA'!E:E,$E$1,'Bilateral assistance, MAIN DATA'!B:B,'Financial aid by type'!B39)/1000000000</f>
        <v>0</v>
      </c>
      <c r="F39" s="33">
        <f>SUMIFS('Bilateral assistance, MAIN DATA'!S:S,'Bilateral assistance, MAIN DATA'!E:E,$F$1,'Bilateral assistance, MAIN DATA'!B:B,'Financial aid by type'!B39)/1000000000</f>
        <v>0.99651220727453915</v>
      </c>
      <c r="G39" s="8">
        <f t="shared" si="0"/>
        <v>15.053313403089186</v>
      </c>
      <c r="N39" s="254"/>
      <c r="Q39" s="8"/>
      <c r="R39" s="8"/>
      <c r="S39" s="8"/>
      <c r="T39" s="119"/>
      <c r="U39" s="8"/>
      <c r="V39" s="8"/>
      <c r="W39" s="8"/>
      <c r="X39" s="8"/>
      <c r="Y39" s="8"/>
    </row>
    <row r="40" spans="2:25">
      <c r="B40" s="118" t="s">
        <v>2885</v>
      </c>
      <c r="C40" s="8">
        <f>SUMIFS('Bilateral assistance, MAIN DATA'!S:S,'Bilateral assistance, MAIN DATA'!E:E,$C$1,'Bilateral assistance, MAIN DATA'!B:B,'Financial aid by type'!B40)/1000000000</f>
        <v>2</v>
      </c>
      <c r="D40" s="33">
        <f>SUMIFS('Bilateral assistance, MAIN DATA'!S:S,'Bilateral assistance, MAIN DATA'!E:E,$D$1,'Bilateral assistance, MAIN DATA'!B:B,'Financial aid by type'!B40)/1000000000</f>
        <v>2.5000000000000001E-3</v>
      </c>
      <c r="E40" s="253">
        <f>SUMIFS('Bilateral assistance, MAIN DATA'!S:S,'Bilateral assistance, MAIN DATA'!E:E,$E$1,'Bilateral assistance, MAIN DATA'!B:B,'Financial aid by type'!B40)/1000000000</f>
        <v>0</v>
      </c>
      <c r="F40" s="33">
        <f>SUMIFS('Bilateral assistance, MAIN DATA'!S:S,'Bilateral assistance, MAIN DATA'!E:E,$F$1,'Bilateral assistance, MAIN DATA'!B:B,'Financial aid by type'!B40)/1000000000</f>
        <v>0</v>
      </c>
      <c r="G40" s="8">
        <f t="shared" si="0"/>
        <v>2.0024999999999999</v>
      </c>
      <c r="H40" s="118"/>
      <c r="Q40" s="8"/>
      <c r="R40" s="8"/>
      <c r="S40" s="8"/>
      <c r="T40" s="119"/>
      <c r="U40" s="8"/>
      <c r="V40" s="8"/>
      <c r="W40" s="8"/>
      <c r="X40" s="8"/>
      <c r="Y40" s="8"/>
    </row>
    <row r="41" spans="2:25">
      <c r="B41" s="118" t="s">
        <v>583</v>
      </c>
      <c r="C41" s="8">
        <f>SUMIFS('Bilateral assistance, MAIN DATA'!S:S,'Bilateral assistance, MAIN DATA'!E:E,$C$1,'Bilateral assistance, MAIN DATA'!B:B,'Financial aid by type'!B41)/1000000000</f>
        <v>0</v>
      </c>
      <c r="D41" s="33">
        <f>SUMIFS('Bilateral assistance, MAIN DATA'!S:S,'Bilateral assistance, MAIN DATA'!E:E,$D$1,'Bilateral assistance, MAIN DATA'!B:B,'Financial aid by type'!B41)/1000000000</f>
        <v>0</v>
      </c>
      <c r="E41" s="253">
        <f>SUMIFS('Bilateral assistance, MAIN DATA'!S:S,'Bilateral assistance, MAIN DATA'!E:E,$E$1,'Bilateral assistance, MAIN DATA'!B:B,'Financial aid by type'!B41)/1000000000</f>
        <v>0</v>
      </c>
      <c r="F41" s="33">
        <f>SUMIFS('Bilateral assistance, MAIN DATA'!S:S,'Bilateral assistance, MAIN DATA'!E:E,$F$1,'Bilateral assistance, MAIN DATA'!B:B,'Financial aid by type'!B41)/1000000000</f>
        <v>0</v>
      </c>
      <c r="G41" s="8">
        <f t="shared" si="0"/>
        <v>0</v>
      </c>
      <c r="Q41" s="8"/>
      <c r="R41" s="8"/>
      <c r="S41" s="8"/>
      <c r="T41" s="119"/>
      <c r="U41" s="8"/>
      <c r="V41" s="8"/>
      <c r="W41" s="8"/>
      <c r="X41" s="8"/>
      <c r="Y41" s="8"/>
    </row>
    <row r="42" spans="2:25">
      <c r="B42" s="118" t="s">
        <v>2368</v>
      </c>
      <c r="C42" s="8">
        <f>SUMIFS('Bilateral assistance, MAIN DATA'!S:S,'Bilateral assistance, MAIN DATA'!E:E,$C$1,'Bilateral assistance, MAIN DATA'!B:B,'Financial aid by type'!B42)/1000000000</f>
        <v>0</v>
      </c>
      <c r="D42" s="33">
        <f>SUMIFS('Bilateral assistance, MAIN DATA'!S:S,'Bilateral assistance, MAIN DATA'!E:E,$D$1,'Bilateral assistance, MAIN DATA'!B:B,'Financial aid by type'!B42)/1000000000</f>
        <v>1.2456402590931734E-2</v>
      </c>
      <c r="E42" s="253">
        <f>SUMIFS('Bilateral assistance, MAIN DATA'!S:S,'Bilateral assistance, MAIN DATA'!E:E,$E$1,'Bilateral assistance, MAIN DATA'!B:B,'Financial aid by type'!B42)/1000000000</f>
        <v>0</v>
      </c>
      <c r="F42" s="33">
        <f>SUMIFS('Bilateral assistance, MAIN DATA'!S:S,'Bilateral assistance, MAIN DATA'!E:E,$F$1,'Bilateral assistance, MAIN DATA'!B:B,'Financial aid by type'!B42)/1000000000</f>
        <v>0</v>
      </c>
      <c r="G42" s="8">
        <f t="shared" si="0"/>
        <v>1.2456402590931734E-2</v>
      </c>
      <c r="Q42" s="8"/>
      <c r="R42" s="8"/>
      <c r="S42" s="8"/>
      <c r="T42" s="119"/>
      <c r="U42" s="8"/>
      <c r="V42" s="8"/>
      <c r="W42" s="8"/>
      <c r="X42" s="8"/>
      <c r="Y42" s="8"/>
    </row>
    <row r="43" spans="2:25">
      <c r="B43" s="118" t="s">
        <v>1369</v>
      </c>
      <c r="C43" s="8">
        <f>SUMIFS('Bilateral assistance, MAIN DATA'!S:S,'Bilateral assistance, MAIN DATA'!E:E,$C$1,'Bilateral assistance, MAIN DATA'!B:B,'Financial aid by type'!B43)/1000000000</f>
        <v>0</v>
      </c>
      <c r="D43" s="33">
        <f>SUMIFS('Bilateral assistance, MAIN DATA'!S:S,'Bilateral assistance, MAIN DATA'!E:E,$D$1,'Bilateral assistance, MAIN DATA'!B:B,'Financial aid by type'!B43)/1000000000</f>
        <v>0</v>
      </c>
      <c r="E43" s="253">
        <f>SUMIFS('Bilateral assistance, MAIN DATA'!S:S,'Bilateral assistance, MAIN DATA'!E:E,$E$1,'Bilateral assistance, MAIN DATA'!B:B,'Financial aid by type'!B43)/1000000000</f>
        <v>0</v>
      </c>
      <c r="F43" s="33">
        <f>SUMIFS('Bilateral assistance, MAIN DATA'!S:S,'Bilateral assistance, MAIN DATA'!E:E,$F$1,'Bilateral assistance, MAIN DATA'!B:B,'Financial aid by type'!B43)/1000000000</f>
        <v>0</v>
      </c>
      <c r="G43" s="8">
        <f t="shared" si="0"/>
        <v>0</v>
      </c>
      <c r="H43" s="254"/>
      <c r="Q43" s="8"/>
      <c r="R43" s="8"/>
      <c r="S43" s="8"/>
      <c r="T43" s="119"/>
      <c r="U43" s="8"/>
      <c r="V43" s="8"/>
      <c r="W43" s="8"/>
      <c r="X43" s="8"/>
      <c r="Y43" s="8"/>
    </row>
    <row r="44" spans="2:25">
      <c r="B44" s="8"/>
      <c r="E44" s="253"/>
      <c r="H44" s="254"/>
      <c r="U44" s="8"/>
      <c r="V44" s="8"/>
      <c r="W44" s="8"/>
      <c r="X44" s="8"/>
      <c r="Y44" s="8"/>
    </row>
    <row r="45" spans="2:25">
      <c r="E45" s="253"/>
      <c r="H45" s="254"/>
      <c r="Q45" s="8"/>
      <c r="R45" s="8"/>
      <c r="S45" s="8"/>
      <c r="T45" s="119"/>
      <c r="U45" s="8"/>
      <c r="V45" s="8"/>
      <c r="W45" s="8"/>
      <c r="X45" s="8"/>
      <c r="Y45" s="8"/>
    </row>
    <row r="46" spans="2:25">
      <c r="E46" s="253"/>
      <c r="Q46" s="8"/>
      <c r="R46" s="8"/>
      <c r="S46" s="8"/>
      <c r="T46" s="119"/>
      <c r="U46" s="8"/>
      <c r="V46" s="8"/>
      <c r="W46" s="8"/>
      <c r="X46" s="8"/>
      <c r="Y46" s="8"/>
    </row>
    <row r="47" spans="2:25">
      <c r="E47" s="253"/>
      <c r="Q47" s="8"/>
      <c r="R47" s="8"/>
      <c r="S47" s="8"/>
      <c r="T47" s="119"/>
      <c r="U47" s="8"/>
      <c r="V47" s="8"/>
      <c r="W47" s="8"/>
      <c r="X47" s="8"/>
      <c r="Y47" s="8"/>
    </row>
    <row r="48" spans="2:25">
      <c r="Q48" s="8"/>
      <c r="R48" s="8"/>
      <c r="S48" s="8"/>
      <c r="T48" s="119"/>
      <c r="U48" s="8"/>
      <c r="V48" s="8"/>
      <c r="W48" s="8"/>
      <c r="X48" s="8"/>
      <c r="Y48" s="8"/>
    </row>
    <row r="49" spans="2:25">
      <c r="Q49" s="8"/>
      <c r="R49" s="8"/>
      <c r="S49" s="8"/>
      <c r="T49" s="119"/>
      <c r="U49" s="8"/>
      <c r="V49" s="8"/>
      <c r="W49" s="8"/>
      <c r="X49" s="8"/>
      <c r="Y49" s="8"/>
    </row>
    <row r="50" spans="2:25">
      <c r="B50" s="255"/>
      <c r="Q50" s="8"/>
      <c r="R50" s="8"/>
      <c r="S50" s="8"/>
      <c r="T50" s="119"/>
      <c r="U50" s="8"/>
      <c r="V50" s="8"/>
      <c r="W50" s="8"/>
      <c r="X50" s="8"/>
      <c r="Y50" s="8"/>
    </row>
    <row r="51" spans="2:25">
      <c r="Q51" s="8"/>
      <c r="R51" s="8"/>
      <c r="S51" s="8"/>
      <c r="T51" s="119"/>
      <c r="U51" s="8"/>
      <c r="V51" s="8"/>
      <c r="W51" s="8"/>
      <c r="X51" s="8"/>
      <c r="Y51" s="8"/>
    </row>
    <row r="52" spans="2:25">
      <c r="B52" s="116"/>
      <c r="E52" s="253"/>
      <c r="Q52" s="8"/>
      <c r="R52" s="8"/>
      <c r="S52" s="8"/>
      <c r="T52" s="119"/>
      <c r="U52" s="8"/>
      <c r="V52" s="8"/>
      <c r="W52" s="8"/>
      <c r="X52" s="8"/>
      <c r="Y52" s="8"/>
    </row>
    <row r="53" spans="2:25">
      <c r="E53" s="8"/>
      <c r="Q53" s="8"/>
      <c r="R53" s="8"/>
      <c r="S53" s="8"/>
      <c r="T53" s="119"/>
      <c r="U53" s="8"/>
      <c r="V53" s="8"/>
      <c r="W53" s="8"/>
      <c r="X53" s="8"/>
      <c r="Y53" s="8"/>
    </row>
    <row r="54" spans="2:25">
      <c r="E54" s="256"/>
      <c r="Q54" s="8"/>
      <c r="R54" s="8"/>
      <c r="S54" s="8"/>
      <c r="T54" s="119"/>
      <c r="U54" s="8"/>
      <c r="V54" s="8"/>
      <c r="W54" s="8"/>
      <c r="X54" s="8"/>
      <c r="Y54" s="8"/>
    </row>
    <row r="55" spans="2:25">
      <c r="E55" s="253"/>
      <c r="Q55" s="8"/>
      <c r="R55" s="8"/>
      <c r="S55" s="8"/>
      <c r="T55" s="119"/>
      <c r="U55" s="8"/>
      <c r="V55" s="8"/>
      <c r="W55" s="8"/>
      <c r="X55" s="8"/>
      <c r="Y55" s="8"/>
    </row>
    <row r="56" spans="2:25">
      <c r="E56" s="253"/>
      <c r="Q56" s="8"/>
      <c r="R56" s="8"/>
      <c r="S56" s="8"/>
      <c r="T56" s="119"/>
      <c r="U56" s="8"/>
      <c r="V56" s="8"/>
      <c r="W56" s="8"/>
      <c r="X56" s="8"/>
      <c r="Y56" s="8"/>
    </row>
    <row r="57" spans="2:25">
      <c r="Q57" s="8"/>
      <c r="R57" s="8"/>
      <c r="S57" s="8"/>
      <c r="T57" s="119"/>
      <c r="U57" s="8"/>
      <c r="V57" s="8"/>
      <c r="W57" s="8"/>
      <c r="X57" s="8"/>
      <c r="Y57" s="8"/>
    </row>
    <row r="58" spans="2:25">
      <c r="Q58" s="8"/>
      <c r="R58" s="8"/>
      <c r="S58" s="8"/>
      <c r="T58" s="119"/>
      <c r="U58" s="8"/>
      <c r="V58" s="8"/>
      <c r="W58" s="8"/>
      <c r="X58" s="8"/>
      <c r="Y58" s="8"/>
    </row>
    <row r="59" spans="2:25">
      <c r="Q59" s="8"/>
      <c r="R59" s="8"/>
      <c r="S59" s="8"/>
      <c r="T59" s="119"/>
      <c r="U59" s="8"/>
      <c r="V59" s="8"/>
      <c r="W59" s="8"/>
      <c r="X59" s="8"/>
      <c r="Y59" s="8"/>
    </row>
    <row r="60" spans="2:25">
      <c r="Q60" s="8"/>
      <c r="R60" s="8"/>
      <c r="S60" s="8"/>
      <c r="T60" s="119"/>
      <c r="U60" s="8"/>
      <c r="V60" s="8"/>
      <c r="W60" s="8"/>
      <c r="X60" s="8"/>
      <c r="Y60" s="8"/>
    </row>
    <row r="61" spans="2:25">
      <c r="Q61" s="8"/>
      <c r="R61" s="8"/>
      <c r="S61" s="8"/>
      <c r="T61" s="119"/>
      <c r="U61" s="8"/>
      <c r="V61" s="8"/>
      <c r="W61" s="8"/>
      <c r="X61" s="8"/>
      <c r="Y61" s="8"/>
    </row>
    <row r="62" spans="2:25">
      <c r="Q62" s="8"/>
      <c r="R62" s="8"/>
      <c r="S62" s="8"/>
      <c r="T62" s="119"/>
      <c r="U62" s="8"/>
      <c r="V62" s="8"/>
      <c r="W62" s="8"/>
      <c r="X62" s="8"/>
      <c r="Y62" s="8"/>
    </row>
    <row r="63" spans="2:25">
      <c r="Q63" s="8"/>
      <c r="R63" s="8"/>
      <c r="S63" s="8"/>
      <c r="T63" s="119"/>
      <c r="U63" s="8"/>
      <c r="V63" s="8"/>
      <c r="W63" s="8"/>
      <c r="X63" s="8"/>
      <c r="Y63" s="8"/>
    </row>
    <row r="64" spans="2:25">
      <c r="Q64" s="8"/>
      <c r="R64" s="8"/>
      <c r="S64" s="8"/>
      <c r="T64" s="119"/>
      <c r="U64" s="8"/>
      <c r="V64" s="8"/>
      <c r="W64" s="8"/>
      <c r="X64" s="8"/>
      <c r="Y64" s="8"/>
    </row>
    <row r="65" spans="17:25">
      <c r="Q65" s="8"/>
      <c r="R65" s="8"/>
      <c r="S65" s="8"/>
      <c r="T65" s="119"/>
      <c r="U65" s="8"/>
      <c r="V65" s="8"/>
      <c r="W65" s="8"/>
      <c r="X65" s="8"/>
      <c r="Y65" s="8"/>
    </row>
    <row r="66" spans="17:25">
      <c r="Q66" s="8"/>
      <c r="R66" s="8"/>
      <c r="S66" s="8"/>
      <c r="T66" s="119"/>
      <c r="U66" s="8"/>
      <c r="V66" s="8"/>
      <c r="W66" s="8"/>
      <c r="X66" s="8"/>
      <c r="Y66" s="8"/>
    </row>
    <row r="67" spans="17:25">
      <c r="Q67" s="8"/>
      <c r="R67" s="8"/>
      <c r="S67" s="8"/>
      <c r="T67" s="119"/>
      <c r="U67" s="8"/>
      <c r="V67" s="8"/>
      <c r="W67" s="8"/>
      <c r="X67" s="8"/>
      <c r="Y67" s="8"/>
    </row>
    <row r="68" spans="17:25">
      <c r="Q68" s="8"/>
      <c r="R68" s="8"/>
      <c r="S68" s="8"/>
      <c r="T68" s="119"/>
      <c r="U68" s="8"/>
      <c r="V68" s="8"/>
      <c r="W68" s="8"/>
      <c r="X68" s="8"/>
      <c r="Y68" s="8"/>
    </row>
    <row r="69" spans="17:25">
      <c r="Q69" s="8"/>
      <c r="R69" s="8"/>
      <c r="S69" s="8"/>
      <c r="T69" s="119"/>
      <c r="U69" s="8"/>
      <c r="V69" s="8"/>
      <c r="W69" s="8"/>
      <c r="X69" s="8"/>
      <c r="Y69" s="8"/>
    </row>
    <row r="70" spans="17:25">
      <c r="Q70" s="8"/>
      <c r="R70" s="8"/>
      <c r="S70" s="8"/>
      <c r="T70" s="119"/>
      <c r="U70" s="8"/>
      <c r="V70" s="8"/>
      <c r="W70" s="8"/>
      <c r="X70" s="8"/>
      <c r="Y70" s="8"/>
    </row>
    <row r="71" spans="17:25">
      <c r="Q71" s="8"/>
      <c r="R71" s="8"/>
      <c r="S71" s="8"/>
      <c r="T71" s="119"/>
      <c r="U71" s="8"/>
      <c r="V71" s="8"/>
      <c r="W71" s="8"/>
      <c r="X71" s="8"/>
      <c r="Y71" s="8"/>
    </row>
    <row r="72" spans="17:25">
      <c r="Q72" s="8"/>
      <c r="R72" s="8"/>
      <c r="S72" s="8"/>
      <c r="T72" s="119"/>
      <c r="U72" s="8"/>
      <c r="V72" s="8"/>
      <c r="W72" s="8"/>
      <c r="X72" s="8"/>
      <c r="Y72" s="8"/>
    </row>
    <row r="73" spans="17:25">
      <c r="Q73" s="8"/>
      <c r="R73" s="8"/>
      <c r="S73" s="8"/>
      <c r="T73" s="119"/>
      <c r="U73" s="8"/>
      <c r="V73" s="8"/>
      <c r="W73" s="8"/>
      <c r="X73" s="8"/>
      <c r="Y73" s="8"/>
    </row>
    <row r="74" spans="17:25">
      <c r="Q74" s="8"/>
      <c r="R74" s="8"/>
      <c r="S74" s="8"/>
      <c r="T74" s="119"/>
      <c r="U74" s="8"/>
      <c r="V74" s="8"/>
      <c r="W74" s="8"/>
      <c r="X74" s="8"/>
      <c r="Y74" s="8"/>
    </row>
    <row r="75" spans="17:25">
      <c r="Q75" s="8"/>
      <c r="R75" s="8"/>
      <c r="S75" s="8"/>
      <c r="T75" s="8"/>
      <c r="U75" s="8"/>
      <c r="V75" s="8"/>
      <c r="W75" s="8"/>
      <c r="X75" s="8"/>
      <c r="Y75" s="8"/>
    </row>
    <row r="76" spans="17:25">
      <c r="Q76" s="8"/>
      <c r="R76" s="8"/>
      <c r="S76" s="8"/>
      <c r="T76" s="119"/>
      <c r="U76" s="8"/>
      <c r="V76" s="8"/>
      <c r="W76" s="8"/>
      <c r="X76" s="8"/>
      <c r="Y76" s="8"/>
    </row>
    <row r="77" spans="17:25">
      <c r="Q77" s="8"/>
      <c r="R77" s="8"/>
      <c r="S77" s="8"/>
      <c r="T77" s="119"/>
      <c r="U77" s="8"/>
      <c r="V77" s="8"/>
      <c r="W77" s="8"/>
      <c r="X77" s="8"/>
      <c r="Y77" s="8"/>
    </row>
    <row r="78" spans="17:25">
      <c r="Q78" s="8"/>
      <c r="R78" s="8"/>
      <c r="S78" s="8"/>
      <c r="T78" s="119"/>
      <c r="U78" s="8"/>
      <c r="V78" s="8"/>
      <c r="W78" s="8"/>
      <c r="X78" s="8"/>
      <c r="Y78" s="8"/>
    </row>
    <row r="79" spans="17:25">
      <c r="Q79" s="8"/>
      <c r="R79" s="8"/>
      <c r="S79" s="8"/>
      <c r="T79" s="119"/>
      <c r="U79" s="8"/>
      <c r="V79" s="8"/>
      <c r="W79" s="8"/>
      <c r="X79" s="8"/>
      <c r="Y79" s="8"/>
    </row>
    <row r="80" spans="17:25">
      <c r="Q80" s="8"/>
      <c r="R80" s="8"/>
      <c r="S80" s="8"/>
      <c r="T80" s="119"/>
      <c r="U80" s="8"/>
      <c r="V80" s="8"/>
      <c r="W80" s="8"/>
      <c r="X80" s="8"/>
      <c r="Y80" s="8"/>
    </row>
    <row r="81" spans="17:25">
      <c r="Q81" s="8"/>
      <c r="R81" s="8"/>
      <c r="S81" s="8"/>
      <c r="T81" s="119"/>
      <c r="U81" s="8"/>
      <c r="V81" s="8"/>
      <c r="W81" s="8"/>
      <c r="X81" s="8"/>
      <c r="Y81" s="8"/>
    </row>
    <row r="82" spans="17:25">
      <c r="Q82" s="8"/>
      <c r="R82" s="8"/>
      <c r="S82" s="8"/>
      <c r="T82" s="119"/>
      <c r="U82" s="8"/>
      <c r="V82" s="8"/>
      <c r="W82" s="8"/>
      <c r="X82" s="8"/>
      <c r="Y82" s="8"/>
    </row>
    <row r="83" spans="17:25">
      <c r="Q83" s="8"/>
      <c r="R83" s="8"/>
      <c r="S83" s="8"/>
      <c r="T83" s="119"/>
      <c r="U83" s="8"/>
      <c r="V83" s="8"/>
      <c r="W83" s="8"/>
      <c r="X83" s="8"/>
      <c r="Y83" s="8"/>
    </row>
    <row r="84" spans="17:25">
      <c r="Q84" s="8"/>
      <c r="R84" s="8"/>
      <c r="S84" s="8"/>
      <c r="T84" s="119"/>
      <c r="U84" s="8"/>
      <c r="V84" s="8"/>
      <c r="W84" s="8"/>
      <c r="X84" s="8"/>
      <c r="Y84" s="8"/>
    </row>
    <row r="85" spans="17:25">
      <c r="Q85" s="8"/>
      <c r="R85" s="8"/>
      <c r="S85" s="8"/>
      <c r="T85" s="119"/>
      <c r="U85" s="8"/>
      <c r="V85" s="8"/>
      <c r="W85" s="8"/>
      <c r="X85" s="8"/>
      <c r="Y85" s="8"/>
    </row>
    <row r="86" spans="17:25">
      <c r="Q86" s="8"/>
      <c r="R86" s="8"/>
      <c r="S86" s="8"/>
      <c r="T86" s="119"/>
      <c r="U86" s="8"/>
      <c r="V86" s="8"/>
      <c r="W86" s="8"/>
      <c r="X86" s="8"/>
      <c r="Y86" s="8"/>
    </row>
    <row r="87" spans="17:25">
      <c r="Q87" s="8"/>
      <c r="R87" s="8"/>
      <c r="S87" s="8"/>
      <c r="T87" s="119"/>
      <c r="U87" s="8"/>
      <c r="V87" s="8"/>
      <c r="W87" s="8"/>
      <c r="X87" s="8"/>
      <c r="Y87" s="8"/>
    </row>
    <row r="88" spans="17:25">
      <c r="Q88" s="8"/>
      <c r="R88" s="8"/>
      <c r="S88" s="8"/>
      <c r="T88" s="119"/>
      <c r="U88" s="8"/>
      <c r="V88" s="8"/>
      <c r="W88" s="8"/>
      <c r="X88" s="8"/>
      <c r="Y88" s="8"/>
    </row>
    <row r="89" spans="17:25">
      <c r="Q89" s="8"/>
      <c r="R89" s="8"/>
      <c r="S89" s="8"/>
      <c r="T89" s="119"/>
      <c r="U89" s="8"/>
      <c r="V89" s="8"/>
      <c r="W89" s="8"/>
      <c r="X89" s="8"/>
      <c r="Y89" s="8"/>
    </row>
    <row r="90" spans="17:25">
      <c r="Q90" s="8"/>
      <c r="R90" s="8"/>
      <c r="S90" s="8"/>
      <c r="T90" s="119"/>
      <c r="U90" s="8"/>
      <c r="V90" s="8"/>
      <c r="W90" s="8"/>
      <c r="X90" s="8"/>
      <c r="Y90" s="8"/>
    </row>
    <row r="91" spans="17:25">
      <c r="Q91" s="8"/>
      <c r="R91" s="8"/>
      <c r="S91" s="8"/>
      <c r="T91" s="119"/>
      <c r="U91" s="8"/>
      <c r="V91" s="8"/>
      <c r="W91" s="8"/>
      <c r="X91" s="8"/>
      <c r="Y91" s="8"/>
    </row>
    <row r="92" spans="17:25">
      <c r="Q92" s="8"/>
      <c r="R92" s="8"/>
      <c r="S92" s="8"/>
      <c r="T92" s="119"/>
      <c r="U92" s="8"/>
      <c r="V92" s="8"/>
      <c r="W92" s="8"/>
      <c r="X92" s="8"/>
      <c r="Y92" s="8"/>
    </row>
    <row r="93" spans="17:25">
      <c r="Q93" s="8"/>
      <c r="R93" s="8"/>
      <c r="S93" s="8"/>
      <c r="T93" s="119"/>
      <c r="U93" s="8"/>
      <c r="V93" s="8"/>
      <c r="W93" s="8"/>
      <c r="X93" s="8"/>
      <c r="Y93" s="8"/>
    </row>
    <row r="94" spans="17:25">
      <c r="Q94" s="8"/>
      <c r="R94" s="8"/>
      <c r="S94" s="8"/>
      <c r="T94" s="119"/>
      <c r="U94" s="8"/>
      <c r="V94" s="8"/>
      <c r="W94" s="8"/>
      <c r="X94" s="8"/>
      <c r="Y94" s="8"/>
    </row>
    <row r="95" spans="17:25">
      <c r="Q95" s="8"/>
      <c r="R95" s="8"/>
      <c r="S95" s="8"/>
      <c r="T95" s="119"/>
      <c r="U95" s="8"/>
      <c r="V95" s="8"/>
      <c r="W95" s="8"/>
      <c r="X95" s="8"/>
      <c r="Y95" s="8"/>
    </row>
    <row r="96" spans="17:25">
      <c r="Q96" s="8"/>
      <c r="R96" s="8"/>
      <c r="S96" s="8"/>
      <c r="T96" s="119"/>
      <c r="U96" s="8"/>
      <c r="V96" s="8"/>
      <c r="W96" s="8"/>
      <c r="X96" s="8"/>
      <c r="Y96" s="8"/>
    </row>
    <row r="97" spans="17:25">
      <c r="Q97" s="8"/>
      <c r="R97" s="8"/>
      <c r="S97" s="8"/>
      <c r="T97" s="119"/>
      <c r="U97" s="8"/>
      <c r="V97" s="8"/>
      <c r="W97" s="8"/>
      <c r="X97" s="8"/>
      <c r="Y97" s="8"/>
    </row>
    <row r="98" spans="17:25">
      <c r="Q98" s="8"/>
      <c r="R98" s="8"/>
      <c r="S98" s="8"/>
      <c r="T98" s="119"/>
      <c r="U98" s="8"/>
      <c r="V98" s="8"/>
      <c r="W98" s="8"/>
      <c r="X98" s="8"/>
      <c r="Y98" s="8"/>
    </row>
    <row r="99" spans="17:25">
      <c r="Q99" s="8"/>
      <c r="R99" s="8"/>
      <c r="S99" s="8"/>
      <c r="T99" s="119"/>
      <c r="U99" s="8"/>
      <c r="V99" s="8"/>
      <c r="W99" s="8"/>
      <c r="X99" s="8"/>
      <c r="Y99" s="8"/>
    </row>
    <row r="100" spans="17:25">
      <c r="Q100" s="8"/>
      <c r="R100" s="8"/>
      <c r="S100" s="8"/>
      <c r="T100" s="119"/>
      <c r="U100" s="8"/>
      <c r="V100" s="8"/>
      <c r="W100" s="8"/>
      <c r="X100" s="8"/>
      <c r="Y100" s="8"/>
    </row>
    <row r="101" spans="17:25">
      <c r="Q101" s="8"/>
      <c r="R101" s="8"/>
      <c r="S101" s="8"/>
      <c r="T101" s="119"/>
      <c r="U101" s="8"/>
      <c r="V101" s="8"/>
      <c r="W101" s="8"/>
      <c r="X101" s="8"/>
      <c r="Y101" s="8"/>
    </row>
    <row r="102" spans="17:25">
      <c r="Q102" s="8"/>
      <c r="R102" s="8"/>
      <c r="S102" s="8"/>
      <c r="T102" s="119"/>
      <c r="U102" s="8"/>
      <c r="V102" s="8"/>
      <c r="W102" s="8"/>
      <c r="X102" s="8"/>
      <c r="Y102" s="8"/>
    </row>
    <row r="103" spans="17:25">
      <c r="Q103" s="8"/>
      <c r="R103" s="8"/>
      <c r="S103" s="8"/>
      <c r="T103" s="119"/>
      <c r="U103" s="8"/>
      <c r="V103" s="8"/>
      <c r="W103" s="8"/>
      <c r="X103" s="8"/>
      <c r="Y103" s="8"/>
    </row>
    <row r="104" spans="17:25">
      <c r="Q104" s="8"/>
      <c r="R104" s="8"/>
      <c r="S104" s="8"/>
      <c r="T104" s="119"/>
      <c r="U104" s="8"/>
      <c r="V104" s="8"/>
      <c r="W104" s="8"/>
      <c r="X104" s="8"/>
      <c r="Y104" s="8"/>
    </row>
    <row r="105" spans="17:25">
      <c r="Q105" s="8"/>
      <c r="R105" s="8"/>
      <c r="S105" s="8"/>
      <c r="T105" s="119"/>
      <c r="U105" s="8"/>
      <c r="V105" s="8"/>
      <c r="W105" s="8"/>
      <c r="X105" s="8"/>
      <c r="Y105" s="8"/>
    </row>
    <row r="106" spans="17:25">
      <c r="Q106" s="8"/>
      <c r="R106" s="8"/>
      <c r="S106" s="8"/>
      <c r="T106" s="119"/>
      <c r="U106" s="8"/>
      <c r="V106" s="8"/>
      <c r="W106" s="8"/>
      <c r="X106" s="8"/>
      <c r="Y106" s="8"/>
    </row>
    <row r="107" spans="17:25">
      <c r="Q107" s="8"/>
      <c r="R107" s="8"/>
      <c r="S107" s="8"/>
      <c r="T107" s="119"/>
      <c r="U107" s="8"/>
      <c r="V107" s="8"/>
      <c r="W107" s="8"/>
      <c r="X107" s="8"/>
      <c r="Y107" s="8"/>
    </row>
    <row r="108" spans="17:25">
      <c r="Q108" s="8"/>
      <c r="R108" s="8"/>
      <c r="S108" s="8"/>
      <c r="T108" s="119"/>
      <c r="U108" s="8"/>
      <c r="V108" s="8"/>
      <c r="W108" s="8"/>
      <c r="X108" s="8"/>
      <c r="Y108" s="8"/>
    </row>
    <row r="109" spans="17:25">
      <c r="Q109" s="8"/>
      <c r="R109" s="8"/>
      <c r="S109" s="8"/>
      <c r="T109" s="119"/>
      <c r="U109" s="8"/>
      <c r="V109" s="8"/>
      <c r="W109" s="8"/>
      <c r="X109" s="8"/>
      <c r="Y109" s="8"/>
    </row>
    <row r="110" spans="17:25">
      <c r="Q110" s="8"/>
      <c r="R110" s="8"/>
      <c r="S110" s="8"/>
      <c r="T110" s="8"/>
      <c r="U110" s="8"/>
      <c r="V110" s="8"/>
      <c r="W110" s="8"/>
      <c r="X110" s="8"/>
      <c r="Y110" s="8"/>
    </row>
    <row r="111" spans="17:25">
      <c r="Q111" s="8"/>
      <c r="R111" s="8"/>
      <c r="S111" s="8"/>
      <c r="T111" s="123"/>
      <c r="U111" s="8"/>
      <c r="V111" s="8"/>
      <c r="W111" s="8"/>
      <c r="X111" s="8"/>
      <c r="Y111" s="8"/>
    </row>
    <row r="112" spans="17:25">
      <c r="Q112" s="8"/>
      <c r="R112" s="8"/>
      <c r="S112" s="8"/>
      <c r="T112" s="119"/>
      <c r="U112" s="8"/>
      <c r="V112" s="8"/>
      <c r="W112" s="8"/>
      <c r="X112" s="8"/>
      <c r="Y112" s="8"/>
    </row>
    <row r="113" spans="17:25">
      <c r="Q113" s="8"/>
      <c r="R113" s="8"/>
      <c r="S113" s="8"/>
      <c r="T113" s="119"/>
      <c r="U113" s="8"/>
      <c r="V113" s="8"/>
      <c r="W113" s="8"/>
      <c r="X113" s="8"/>
      <c r="Y113" s="8"/>
    </row>
    <row r="114" spans="17:25">
      <c r="Q114" s="8"/>
      <c r="R114" s="8"/>
      <c r="S114" s="8"/>
      <c r="T114" s="119"/>
      <c r="U114" s="8"/>
      <c r="V114" s="8"/>
      <c r="W114" s="8"/>
      <c r="X114" s="8"/>
      <c r="Y114" s="8"/>
    </row>
    <row r="115" spans="17:25">
      <c r="Q115" s="8"/>
      <c r="R115" s="8"/>
      <c r="S115" s="8"/>
      <c r="T115" s="119"/>
      <c r="U115" s="8"/>
      <c r="V115" s="8"/>
      <c r="W115" s="8"/>
      <c r="X115" s="8"/>
      <c r="Y115" s="8"/>
    </row>
    <row r="116" spans="17:25">
      <c r="Q116" s="8"/>
      <c r="R116" s="8"/>
      <c r="S116" s="8"/>
      <c r="T116" s="124"/>
      <c r="U116" s="8"/>
      <c r="V116" s="8"/>
      <c r="W116" s="8"/>
      <c r="X116" s="8"/>
      <c r="Y116" s="8"/>
    </row>
    <row r="117" spans="17:25">
      <c r="Q117" s="8"/>
      <c r="R117" s="8"/>
      <c r="S117" s="8"/>
      <c r="T117" s="119"/>
      <c r="U117" s="8"/>
      <c r="V117" s="8"/>
      <c r="W117" s="8"/>
      <c r="X117" s="8"/>
      <c r="Y117" s="8"/>
    </row>
    <row r="118" spans="17:25">
      <c r="Q118" s="8"/>
      <c r="R118" s="8"/>
      <c r="S118" s="8"/>
      <c r="T118" s="119"/>
      <c r="U118" s="8"/>
      <c r="V118" s="8"/>
      <c r="W118" s="8"/>
      <c r="X118" s="8"/>
      <c r="Y118" s="8"/>
    </row>
    <row r="119" spans="17:25">
      <c r="Q119" s="8"/>
      <c r="R119" s="8"/>
      <c r="S119" s="8"/>
      <c r="T119" s="119"/>
      <c r="U119" s="8"/>
      <c r="V119" s="8"/>
      <c r="W119" s="8"/>
      <c r="X119" s="8"/>
      <c r="Y119" s="8"/>
    </row>
    <row r="120" spans="17:25">
      <c r="U120" s="8"/>
      <c r="V120" s="8"/>
      <c r="W120" s="8"/>
      <c r="X120" s="8"/>
      <c r="Y120" s="8"/>
    </row>
    <row r="121" spans="17:25">
      <c r="Q121" s="8"/>
      <c r="R121" s="8"/>
      <c r="S121" s="8"/>
      <c r="T121" s="8"/>
      <c r="U121" s="8"/>
      <c r="V121" s="8"/>
      <c r="W121" s="8"/>
      <c r="X121" s="8"/>
      <c r="Y121" s="8"/>
    </row>
    <row r="122" spans="17:25">
      <c r="Q122" s="8"/>
      <c r="R122" s="8"/>
      <c r="S122" s="8"/>
      <c r="T122" s="8"/>
      <c r="U122" s="8"/>
      <c r="V122" s="8"/>
      <c r="W122" s="8"/>
      <c r="X122" s="8"/>
      <c r="Y122" s="8"/>
    </row>
    <row r="123" spans="17:25">
      <c r="Q123" s="8"/>
      <c r="R123" s="8"/>
      <c r="S123" s="8"/>
      <c r="T123" s="8"/>
      <c r="U123" s="8"/>
      <c r="V123" s="8"/>
      <c r="W123" s="8"/>
      <c r="X123" s="8"/>
      <c r="Y123" s="8"/>
    </row>
    <row r="124" spans="17:25">
      <c r="Q124" s="8"/>
      <c r="R124" s="8"/>
      <c r="S124" s="8"/>
      <c r="T124" s="8"/>
      <c r="U124" s="8"/>
      <c r="V124" s="8"/>
      <c r="W124" s="8"/>
      <c r="X124" s="8"/>
      <c r="Y124" s="8"/>
    </row>
    <row r="125" spans="17:25">
      <c r="Q125" s="8"/>
      <c r="R125" s="8"/>
      <c r="S125" s="8"/>
      <c r="T125" s="8"/>
      <c r="U125" s="8"/>
      <c r="V125" s="8"/>
      <c r="W125" s="8"/>
      <c r="X125" s="8"/>
      <c r="Y125" s="8"/>
    </row>
    <row r="126" spans="17:25">
      <c r="Q126" s="8"/>
      <c r="R126" s="8"/>
      <c r="S126" s="8"/>
      <c r="T126" s="8"/>
      <c r="U126" s="8"/>
      <c r="V126" s="8"/>
      <c r="W126" s="8"/>
      <c r="X126" s="8"/>
      <c r="Y126" s="8"/>
    </row>
    <row r="127" spans="17:25">
      <c r="Q127" s="8"/>
      <c r="R127" s="8"/>
      <c r="S127" s="8"/>
      <c r="T127" s="8"/>
      <c r="U127" s="8"/>
      <c r="V127" s="8"/>
      <c r="W127" s="8"/>
      <c r="X127" s="8"/>
      <c r="Y127" s="8"/>
    </row>
    <row r="128" spans="17:25">
      <c r="Q128" s="8"/>
      <c r="R128" s="8"/>
      <c r="S128" s="8"/>
      <c r="T128" s="8"/>
      <c r="U128" s="8"/>
      <c r="V128" s="8"/>
      <c r="W128" s="8"/>
      <c r="X128" s="8"/>
      <c r="Y128" s="8"/>
    </row>
    <row r="129" spans="17:25">
      <c r="Q129" s="8"/>
      <c r="R129" s="8"/>
      <c r="S129" s="8"/>
      <c r="T129" s="8"/>
      <c r="U129" s="8"/>
      <c r="V129" s="8"/>
      <c r="W129" s="8"/>
      <c r="X129" s="8"/>
      <c r="Y129" s="8"/>
    </row>
    <row r="130" spans="17:25">
      <c r="Q130" s="8"/>
      <c r="R130" s="8"/>
      <c r="S130" s="8"/>
      <c r="T130" s="8"/>
      <c r="U130" s="8"/>
      <c r="V130" s="8"/>
      <c r="W130" s="8"/>
      <c r="X130" s="8"/>
      <c r="Y130" s="8"/>
    </row>
    <row r="131" spans="17:25">
      <c r="Q131" s="8"/>
      <c r="R131" s="8"/>
      <c r="S131" s="8"/>
      <c r="T131" s="8"/>
      <c r="U131" s="8"/>
      <c r="V131" s="8"/>
      <c r="W131" s="8"/>
      <c r="X131" s="8"/>
      <c r="Y131" s="8"/>
    </row>
    <row r="132" spans="17:25">
      <c r="Q132" s="8"/>
      <c r="R132" s="8"/>
      <c r="S132" s="8"/>
      <c r="T132" s="8"/>
      <c r="U132" s="8"/>
      <c r="V132" s="8"/>
      <c r="W132" s="8"/>
      <c r="X132" s="8"/>
      <c r="Y132" s="8"/>
    </row>
    <row r="133" spans="17:25">
      <c r="Q133" s="8"/>
      <c r="R133" s="8"/>
      <c r="S133" s="8"/>
      <c r="T133" s="8"/>
      <c r="U133" s="8"/>
      <c r="V133" s="8"/>
      <c r="W133" s="8"/>
      <c r="X133" s="8"/>
      <c r="Y133" s="8"/>
    </row>
    <row r="134" spans="17:25">
      <c r="Q134" s="8"/>
      <c r="R134" s="8"/>
      <c r="S134" s="8"/>
      <c r="T134" s="8"/>
      <c r="U134" s="8"/>
      <c r="V134" s="8"/>
      <c r="W134" s="8"/>
      <c r="X134" s="8"/>
      <c r="Y134" s="8"/>
    </row>
    <row r="135" spans="17:25">
      <c r="Q135" s="8"/>
      <c r="R135" s="8"/>
      <c r="S135" s="8"/>
      <c r="T135" s="8"/>
      <c r="U135" s="8"/>
      <c r="V135" s="8"/>
      <c r="W135" s="8"/>
      <c r="X135" s="8"/>
      <c r="Y135" s="8"/>
    </row>
    <row r="136" spans="17:25">
      <c r="Q136" s="8"/>
      <c r="R136" s="8"/>
      <c r="S136" s="8"/>
      <c r="T136" s="8"/>
      <c r="U136" s="8"/>
      <c r="V136" s="8"/>
      <c r="W136" s="8"/>
      <c r="X136" s="8"/>
      <c r="Y136" s="8"/>
    </row>
    <row r="137" spans="17:25">
      <c r="Q137" s="8"/>
      <c r="R137" s="8"/>
      <c r="S137" s="8"/>
      <c r="T137" s="8"/>
      <c r="U137" s="8"/>
      <c r="V137" s="8"/>
      <c r="W137" s="8"/>
      <c r="X137" s="8"/>
      <c r="Y137" s="8"/>
    </row>
    <row r="138" spans="17:25">
      <c r="Q138" s="8"/>
      <c r="R138" s="8"/>
      <c r="S138" s="8"/>
      <c r="T138" s="8"/>
      <c r="U138" s="8"/>
      <c r="V138" s="8"/>
      <c r="W138" s="8"/>
      <c r="X138" s="8"/>
      <c r="Y138" s="8"/>
    </row>
    <row r="139" spans="17:25">
      <c r="Q139" s="8"/>
      <c r="R139" s="8"/>
      <c r="S139" s="8"/>
      <c r="T139" s="8"/>
      <c r="U139" s="8"/>
      <c r="V139" s="8"/>
      <c r="W139" s="8"/>
      <c r="X139" s="8"/>
      <c r="Y139" s="8"/>
    </row>
    <row r="140" spans="17:25">
      <c r="Q140" s="8"/>
      <c r="R140" s="8"/>
      <c r="S140" s="8"/>
      <c r="T140" s="8"/>
      <c r="U140" s="8"/>
      <c r="V140" s="8"/>
      <c r="W140" s="8"/>
      <c r="X140" s="8"/>
      <c r="Y140" s="8"/>
    </row>
    <row r="141" spans="17:25">
      <c r="Q141" s="8"/>
      <c r="R141" s="8"/>
      <c r="S141" s="8"/>
      <c r="T141" s="8"/>
      <c r="U141" s="8"/>
      <c r="V141" s="8"/>
      <c r="W141" s="8"/>
      <c r="X141" s="8"/>
      <c r="Y141" s="8"/>
    </row>
    <row r="142" spans="17:25">
      <c r="Q142" s="8"/>
      <c r="R142" s="8"/>
      <c r="S142" s="8"/>
      <c r="T142" s="8"/>
      <c r="U142" s="8"/>
      <c r="V142" s="8"/>
      <c r="W142" s="8"/>
      <c r="X142" s="8"/>
      <c r="Y142" s="8"/>
    </row>
    <row r="143" spans="17:25">
      <c r="Q143" s="8"/>
      <c r="R143" s="8"/>
      <c r="S143" s="8"/>
      <c r="T143" s="8"/>
      <c r="U143" s="8"/>
      <c r="V143" s="8"/>
      <c r="W143" s="8"/>
      <c r="X143" s="8"/>
      <c r="Y143" s="8"/>
    </row>
    <row r="144" spans="17:25">
      <c r="Q144" s="8"/>
      <c r="R144" s="8"/>
      <c r="S144" s="8"/>
      <c r="T144" s="8"/>
      <c r="U144" s="8"/>
      <c r="V144" s="8"/>
      <c r="W144" s="8"/>
      <c r="X144" s="8"/>
      <c r="Y144" s="8"/>
    </row>
    <row r="145" spans="17:25">
      <c r="Q145" s="8"/>
      <c r="R145" s="8"/>
      <c r="S145" s="8"/>
      <c r="T145" s="8"/>
      <c r="U145" s="8"/>
      <c r="V145" s="8"/>
      <c r="W145" s="8"/>
      <c r="X145" s="8"/>
      <c r="Y145" s="8"/>
    </row>
    <row r="146" spans="17:25">
      <c r="Q146" s="8"/>
      <c r="R146" s="8"/>
      <c r="S146" s="8"/>
      <c r="T146" s="8"/>
      <c r="U146" s="8"/>
      <c r="V146" s="8"/>
      <c r="W146" s="8"/>
      <c r="X146" s="8"/>
      <c r="Y146" s="8"/>
    </row>
    <row r="147" spans="17:25">
      <c r="Q147" s="8"/>
      <c r="R147" s="8"/>
      <c r="S147" s="8"/>
      <c r="T147" s="8"/>
      <c r="U147" s="8"/>
      <c r="V147" s="8"/>
      <c r="W147" s="8"/>
      <c r="X147" s="8"/>
      <c r="Y147" s="8"/>
    </row>
    <row r="148" spans="17:25">
      <c r="Q148" s="8"/>
      <c r="R148" s="8"/>
      <c r="S148" s="8"/>
      <c r="T148" s="8"/>
      <c r="U148" s="8"/>
      <c r="V148" s="8"/>
      <c r="W148" s="8"/>
      <c r="X148" s="8"/>
      <c r="Y148" s="8"/>
    </row>
    <row r="149" spans="17:25">
      <c r="Q149" s="8"/>
      <c r="R149" s="8"/>
      <c r="S149" s="8"/>
      <c r="T149" s="8"/>
      <c r="U149" s="8"/>
      <c r="V149" s="8"/>
      <c r="W149" s="8"/>
      <c r="X149" s="8"/>
      <c r="Y149" s="8"/>
    </row>
    <row r="150" spans="17:25">
      <c r="Q150" s="8"/>
      <c r="R150" s="8"/>
      <c r="S150" s="8"/>
      <c r="T150" s="8"/>
      <c r="U150" s="8"/>
      <c r="V150" s="8"/>
      <c r="W150" s="8"/>
      <c r="X150" s="8"/>
      <c r="Y150" s="8"/>
    </row>
    <row r="151" spans="17:25">
      <c r="Q151" s="8"/>
      <c r="R151" s="8"/>
      <c r="S151" s="8"/>
      <c r="T151" s="8"/>
      <c r="U151" s="8"/>
      <c r="V151" s="8"/>
      <c r="W151" s="8"/>
      <c r="X151" s="8"/>
      <c r="Y151" s="8"/>
    </row>
    <row r="152" spans="17:25">
      <c r="Q152" s="8"/>
      <c r="R152" s="8"/>
      <c r="S152" s="8"/>
      <c r="T152" s="8"/>
      <c r="U152" s="8"/>
      <c r="V152" s="8"/>
      <c r="W152" s="8"/>
      <c r="X152" s="8"/>
      <c r="Y152" s="8"/>
    </row>
    <row r="153" spans="17:25">
      <c r="Q153" s="8"/>
      <c r="R153" s="8"/>
      <c r="S153" s="8"/>
      <c r="T153" s="8"/>
      <c r="U153" s="8"/>
      <c r="V153" s="8"/>
      <c r="W153" s="8"/>
      <c r="X153" s="8"/>
      <c r="Y153" s="8"/>
    </row>
    <row r="154" spans="17:25">
      <c r="Q154" s="8"/>
      <c r="R154" s="8"/>
      <c r="S154" s="8"/>
      <c r="T154" s="8"/>
      <c r="U154" s="8"/>
      <c r="V154" s="8"/>
      <c r="W154" s="8"/>
      <c r="X154" s="8"/>
      <c r="Y154" s="8"/>
    </row>
    <row r="155" spans="17:25">
      <c r="U155" s="8"/>
      <c r="V155" s="8"/>
      <c r="W155" s="8"/>
      <c r="X155" s="8"/>
      <c r="Y155" s="8"/>
    </row>
    <row r="156" spans="17:25">
      <c r="U156" s="8"/>
      <c r="V156" s="8"/>
      <c r="W156" s="8"/>
      <c r="X156" s="8"/>
      <c r="Y156" s="8"/>
    </row>
    <row r="157" spans="17:25">
      <c r="U157" s="8"/>
      <c r="V157" s="8"/>
      <c r="W157" s="8"/>
      <c r="X157" s="8"/>
      <c r="Y157" s="8"/>
    </row>
    <row r="158" spans="17:25">
      <c r="U158" s="8"/>
      <c r="V158" s="8"/>
      <c r="W158" s="8"/>
      <c r="X158" s="8"/>
      <c r="Y158" s="8"/>
    </row>
    <row r="159" spans="17:25">
      <c r="U159" s="8"/>
      <c r="V159" s="8"/>
      <c r="W159" s="8"/>
      <c r="X159" s="8"/>
      <c r="Y159" s="8"/>
    </row>
    <row r="160" spans="17:25">
      <c r="U160" s="8"/>
      <c r="V160" s="8"/>
      <c r="W160" s="8"/>
      <c r="X160" s="8"/>
      <c r="Y160" s="8"/>
    </row>
    <row r="161" spans="21:25">
      <c r="U161" s="8"/>
      <c r="V161" s="8"/>
      <c r="W161" s="8"/>
      <c r="X161" s="8"/>
      <c r="Y161" s="8"/>
    </row>
    <row r="162" spans="21:25">
      <c r="U162" s="8"/>
      <c r="V162" s="8"/>
      <c r="W162" s="8"/>
      <c r="X162" s="8"/>
      <c r="Y162" s="8"/>
    </row>
    <row r="163" spans="21:25">
      <c r="U163" s="8"/>
      <c r="V163" s="8"/>
      <c r="W163" s="8"/>
      <c r="X163" s="8"/>
      <c r="Y163" s="8"/>
    </row>
  </sheetData>
  <mergeCells count="1">
    <mergeCell ref="AD4:AG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sheetPr>
  <dimension ref="B2:H49"/>
  <sheetViews>
    <sheetView showGridLines="0" zoomScaleNormal="100" workbookViewId="0">
      <selection activeCell="B2" sqref="B2"/>
    </sheetView>
  </sheetViews>
  <sheetFormatPr defaultColWidth="9" defaultRowHeight="15.6"/>
  <cols>
    <col min="1" max="1" width="9" style="33"/>
    <col min="2" max="2" width="36" style="33" customWidth="1"/>
    <col min="3" max="3" width="40" style="226" customWidth="1"/>
    <col min="4" max="4" width="32.5" style="131" customWidth="1"/>
    <col min="5" max="5" width="27" style="131" bestFit="1" customWidth="1"/>
    <col min="6" max="16384" width="9" style="33"/>
  </cols>
  <sheetData>
    <row r="2" spans="2:8">
      <c r="B2" s="211" t="s">
        <v>3192</v>
      </c>
      <c r="D2" s="227"/>
      <c r="E2" s="116"/>
      <c r="F2" s="116"/>
      <c r="G2" s="116"/>
      <c r="H2" s="116"/>
    </row>
    <row r="3" spans="2:8">
      <c r="B3" s="118"/>
      <c r="C3" s="118"/>
      <c r="D3" s="228"/>
      <c r="E3" s="116"/>
      <c r="F3" s="118"/>
      <c r="G3" s="118"/>
      <c r="H3" s="118"/>
    </row>
    <row r="4" spans="2:8">
      <c r="B4" s="207" t="s">
        <v>3193</v>
      </c>
      <c r="C4" s="229" t="s">
        <v>3194</v>
      </c>
      <c r="E4" s="210"/>
      <c r="F4" s="118"/>
      <c r="G4" s="118"/>
      <c r="H4" s="118"/>
    </row>
    <row r="5" spans="2:8" ht="15.75" customHeight="1">
      <c r="B5" s="212"/>
      <c r="C5" s="207"/>
      <c r="D5" s="217"/>
      <c r="E5" s="210"/>
      <c r="F5" s="230"/>
      <c r="G5" s="230"/>
      <c r="H5" s="230"/>
    </row>
    <row r="6" spans="2:8">
      <c r="B6" s="214" t="s">
        <v>3006</v>
      </c>
      <c r="C6" s="214" t="s">
        <v>3195</v>
      </c>
      <c r="D6" s="231" t="s">
        <v>3196</v>
      </c>
      <c r="E6" s="232" t="s">
        <v>3197</v>
      </c>
      <c r="F6" s="230"/>
      <c r="G6" s="230"/>
      <c r="H6" s="230"/>
    </row>
    <row r="7" spans="2:8">
      <c r="B7" s="213" t="s">
        <v>312</v>
      </c>
      <c r="C7" s="213">
        <v>4097.3999999999996</v>
      </c>
      <c r="D7" s="217">
        <f t="shared" ref="D7:D46" si="0">C7/$C$34</f>
        <v>2.9301614113174564E-2</v>
      </c>
      <c r="E7" s="233">
        <f>D7*VLOOKUP("EU (Commission and Council)",'Country summary'!B:G,6,0)</f>
        <v>0.87582524584278776</v>
      </c>
      <c r="F7" s="230"/>
      <c r="G7" s="230"/>
      <c r="H7" s="230"/>
    </row>
    <row r="8" spans="2:8">
      <c r="B8" s="213" t="s">
        <v>370</v>
      </c>
      <c r="C8" s="213">
        <v>4881</v>
      </c>
      <c r="D8" s="217">
        <f t="shared" si="0"/>
        <v>3.4905349364573894E-2</v>
      </c>
      <c r="E8" s="233">
        <f>D8*VLOOKUP("EU (Commission and Council)",'Country summary'!B:G,6,0)</f>
        <v>1.0433208925071138</v>
      </c>
      <c r="F8" s="230"/>
      <c r="G8" s="230"/>
      <c r="H8" s="230"/>
    </row>
    <row r="9" spans="2:8" s="14" customFormat="1">
      <c r="B9" s="213" t="s">
        <v>428</v>
      </c>
      <c r="C9" s="213">
        <v>877.4</v>
      </c>
      <c r="D9" s="217">
        <f t="shared" si="0"/>
        <v>6.2745243869037348E-3</v>
      </c>
      <c r="E9" s="233">
        <f>D9*VLOOKUP("EU (Commission and Council)",'Country summary'!B:G,6,0)</f>
        <v>0.18754553392455264</v>
      </c>
      <c r="F9" s="234"/>
      <c r="G9" s="234"/>
      <c r="H9" s="234"/>
    </row>
    <row r="10" spans="2:8">
      <c r="B10" s="213" t="s">
        <v>591</v>
      </c>
      <c r="C10" s="213">
        <v>585.79999999999995</v>
      </c>
      <c r="D10" s="217">
        <f t="shared" si="0"/>
        <v>4.1892140253569727E-3</v>
      </c>
      <c r="E10" s="233">
        <f>D10*VLOOKUP("EU (Commission and Council)",'Country summary'!B:G,6,0)</f>
        <v>0.12521560721791991</v>
      </c>
      <c r="F10" s="118"/>
      <c r="G10" s="118"/>
      <c r="H10" s="118"/>
    </row>
    <row r="11" spans="2:8">
      <c r="B11" s="213" t="s">
        <v>618</v>
      </c>
      <c r="C11" s="213">
        <v>219.3</v>
      </c>
      <c r="D11" s="217">
        <f t="shared" si="0"/>
        <v>1.5682735332208677E-3</v>
      </c>
      <c r="E11" s="233">
        <f>D11*VLOOKUP("EU (Commission and Council)",'Country summary'!B:G,6,0)</f>
        <v>4.6875695907971734E-2</v>
      </c>
      <c r="F11" s="118"/>
      <c r="G11" s="118"/>
      <c r="H11" s="118"/>
    </row>
    <row r="12" spans="2:8">
      <c r="B12" s="213" t="s">
        <v>632</v>
      </c>
      <c r="C12" s="213">
        <v>2052.3000000000002</v>
      </c>
      <c r="D12" s="217">
        <f t="shared" si="0"/>
        <v>1.467655162895206E-2</v>
      </c>
      <c r="E12" s="233">
        <f>D12*VLOOKUP("EU (Commission and Council)",'Country summary'!B:G,6,0)</f>
        <v>0.43868212818937707</v>
      </c>
      <c r="F12" s="118"/>
      <c r="G12" s="118"/>
      <c r="H12" s="118"/>
    </row>
    <row r="13" spans="2:8">
      <c r="B13" s="213" t="s">
        <v>767</v>
      </c>
      <c r="C13" s="213">
        <v>3550.1</v>
      </c>
      <c r="D13" s="217">
        <f t="shared" si="0"/>
        <v>2.5387723986718656E-2</v>
      </c>
      <c r="E13" s="233">
        <f>D13*VLOOKUP("EU (Commission and Council)",'Country summary'!B:G,6,0)</f>
        <v>0.75883906996302064</v>
      </c>
      <c r="F13" s="118"/>
      <c r="G13" s="118"/>
      <c r="H13" s="118"/>
    </row>
    <row r="14" spans="2:8">
      <c r="B14" s="213" t="s">
        <v>840</v>
      </c>
      <c r="C14" s="213">
        <v>278.3</v>
      </c>
      <c r="D14" s="217">
        <f t="shared" si="0"/>
        <v>1.9901984691991221E-3</v>
      </c>
      <c r="E14" s="233">
        <f>D14*VLOOKUP("EU (Commission and Council)",'Country summary'!B:G,6,0)</f>
        <v>5.9487032244361762E-2</v>
      </c>
      <c r="F14" s="118"/>
      <c r="G14" s="118"/>
      <c r="H14" s="118"/>
    </row>
    <row r="15" spans="2:8">
      <c r="B15" s="213" t="s">
        <v>917</v>
      </c>
      <c r="C15" s="213">
        <v>2380.1999999999998</v>
      </c>
      <c r="D15" s="217">
        <f t="shared" si="0"/>
        <v>1.7021453095176966E-2</v>
      </c>
      <c r="E15" s="233">
        <f>D15*VLOOKUP("EU (Commission and Council)",'Country summary'!B:G,6,0)</f>
        <v>0.50877123301483951</v>
      </c>
      <c r="F15" s="118"/>
      <c r="G15" s="118"/>
      <c r="H15" s="118"/>
    </row>
    <row r="16" spans="2:8">
      <c r="B16" s="213" t="s">
        <v>1012</v>
      </c>
      <c r="C16" s="213">
        <v>23689.4</v>
      </c>
      <c r="D16" s="217">
        <f t="shared" si="0"/>
        <v>0.16940929793836032</v>
      </c>
      <c r="E16" s="233">
        <f>D16*VLOOKUP("EU (Commission and Council)",'Country summary'!B:G,6,0)</f>
        <v>5.0636439153775905</v>
      </c>
      <c r="F16" s="118"/>
      <c r="G16" s="118"/>
      <c r="H16" s="118"/>
    </row>
    <row r="17" spans="2:8">
      <c r="B17" s="213" t="s">
        <v>1136</v>
      </c>
      <c r="C17" s="213">
        <v>28064.3</v>
      </c>
      <c r="D17" s="217">
        <f t="shared" si="0"/>
        <v>0.20069538950465293</v>
      </c>
      <c r="E17" s="233">
        <f>D17*VLOOKUP("EU (Commission and Council)",'Country summary'!B:G,6,0)</f>
        <v>5.9987851922940765</v>
      </c>
      <c r="F17" s="118"/>
      <c r="G17" s="118"/>
      <c r="H17" s="118"/>
    </row>
    <row r="18" spans="2:8">
      <c r="B18" s="213" t="s">
        <v>1294</v>
      </c>
      <c r="C18" s="213">
        <v>2009.2</v>
      </c>
      <c r="D18" s="217">
        <f t="shared" si="0"/>
        <v>1.4368331887584893E-2</v>
      </c>
      <c r="E18" s="233">
        <f>D18*VLOOKUP("EU (Commission and Council)",'Country summary'!B:G,6,0)</f>
        <v>0.42946944011991245</v>
      </c>
      <c r="F18" s="118"/>
      <c r="G18" s="118"/>
      <c r="H18" s="118"/>
    </row>
    <row r="19" spans="2:8">
      <c r="B19" s="213" t="s">
        <v>1335</v>
      </c>
      <c r="C19" s="213">
        <v>1654.5</v>
      </c>
      <c r="D19" s="217">
        <f t="shared" si="0"/>
        <v>1.1831776382644437E-2</v>
      </c>
      <c r="E19" s="233">
        <f>D19*VLOOKUP("EU (Commission and Council)",'Country summary'!B:G,6,0)</f>
        <v>0.35365179607724223</v>
      </c>
      <c r="F19" s="118"/>
      <c r="G19" s="118"/>
      <c r="H19" s="118"/>
    </row>
    <row r="20" spans="2:8">
      <c r="B20" s="213" t="s">
        <v>1383</v>
      </c>
      <c r="C20" s="213">
        <v>2819.5</v>
      </c>
      <c r="D20" s="217">
        <f t="shared" si="0"/>
        <v>2.016300605068963E-2</v>
      </c>
      <c r="E20" s="233">
        <f>D20*VLOOKUP("EU (Commission and Council)",'Country summary'!B:G,6,0)</f>
        <v>0.60267225085511311</v>
      </c>
      <c r="F20" s="118"/>
      <c r="G20" s="118"/>
      <c r="H20" s="118"/>
    </row>
    <row r="21" spans="2:8">
      <c r="B21" s="213" t="s">
        <v>1412</v>
      </c>
      <c r="C21" s="213">
        <v>17075.400000000001</v>
      </c>
      <c r="D21" s="217">
        <f t="shared" si="0"/>
        <v>0.12211079748818789</v>
      </c>
      <c r="E21" s="233">
        <f>D21*VLOOKUP("EU (Commission and Council)",'Country summary'!B:G,6,0)</f>
        <v>3.6498917369219361</v>
      </c>
      <c r="F21" s="118"/>
      <c r="G21" s="118"/>
      <c r="H21" s="118"/>
    </row>
    <row r="22" spans="2:8">
      <c r="B22" s="213" t="s">
        <v>1516</v>
      </c>
      <c r="C22" s="213">
        <v>285.10000000000002</v>
      </c>
      <c r="D22" s="217">
        <f t="shared" si="0"/>
        <v>2.0388271058881411E-3</v>
      </c>
      <c r="E22" s="233">
        <f>D22*VLOOKUP("EU (Commission and Council)",'Country summary'!B:G,6,0)</f>
        <v>6.094054219499654E-2</v>
      </c>
      <c r="F22" s="118"/>
      <c r="G22" s="118"/>
      <c r="H22" s="118"/>
    </row>
    <row r="23" spans="2:8">
      <c r="B23" s="213" t="s">
        <v>1562</v>
      </c>
      <c r="C23" s="213">
        <v>456.5</v>
      </c>
      <c r="D23" s="217">
        <f t="shared" si="0"/>
        <v>3.2645548012554767E-3</v>
      </c>
      <c r="E23" s="233">
        <f>D23*VLOOKUP("EU (Commission and Council)",'Country summary'!B:G,6,0)</f>
        <v>9.7577543009526202E-2</v>
      </c>
      <c r="F23" s="118"/>
      <c r="G23" s="118"/>
      <c r="H23" s="118"/>
    </row>
    <row r="24" spans="2:8">
      <c r="B24" s="213" t="s">
        <v>1653</v>
      </c>
      <c r="C24" s="213">
        <v>447.5</v>
      </c>
      <c r="D24" s="217">
        <f t="shared" si="0"/>
        <v>3.2001933703435393E-3</v>
      </c>
      <c r="E24" s="233">
        <f>D24*VLOOKUP("EU (Commission and Council)",'Country summary'!B:G,6,0)</f>
        <v>9.5653779839568395E-2</v>
      </c>
      <c r="F24" s="118"/>
      <c r="G24" s="118"/>
      <c r="H24" s="118"/>
    </row>
    <row r="25" spans="2:8">
      <c r="B25" s="213" t="s">
        <v>1682</v>
      </c>
      <c r="C25" s="213">
        <v>116.5</v>
      </c>
      <c r="D25" s="217">
        <f t="shared" si="0"/>
        <v>8.331229668045192E-4</v>
      </c>
      <c r="E25" s="233">
        <f>D25*VLOOKUP("EU (Commission and Council)",'Country summary'!B:G,6,0)</f>
        <v>2.4902045477787078E-2</v>
      </c>
      <c r="F25" s="118"/>
      <c r="G25" s="118"/>
      <c r="H25" s="118"/>
    </row>
    <row r="26" spans="2:8">
      <c r="B26" s="213" t="s">
        <v>1687</v>
      </c>
      <c r="C26" s="213">
        <v>11040.3</v>
      </c>
      <c r="D26" s="217">
        <f t="shared" si="0"/>
        <v>7.8952167299673248E-2</v>
      </c>
      <c r="E26" s="233">
        <f>D26*VLOOKUP("EU (Commission and Council)",'Country summary'!B:G,6,0)</f>
        <v>2.3598802805872334</v>
      </c>
      <c r="F26" s="118"/>
      <c r="G26" s="118"/>
      <c r="H26" s="118"/>
    </row>
    <row r="27" spans="2:8">
      <c r="B27" s="213" t="s">
        <v>1894</v>
      </c>
      <c r="C27" s="213">
        <v>5845.8</v>
      </c>
      <c r="D27" s="217">
        <f t="shared" si="0"/>
        <v>4.1804894758333551E-2</v>
      </c>
      <c r="E27" s="233">
        <f>D27*VLOOKUP("EU (Commission and Council)",'Country summary'!B:G,6,0)</f>
        <v>1.2495483043265898</v>
      </c>
      <c r="F27" s="118"/>
      <c r="G27" s="118"/>
      <c r="H27" s="118"/>
    </row>
    <row r="28" spans="2:8">
      <c r="B28" s="213" t="s">
        <v>1957</v>
      </c>
      <c r="C28" s="213">
        <v>2024.1</v>
      </c>
      <c r="D28" s="217">
        <f t="shared" si="0"/>
        <v>1.4474885812094655E-2</v>
      </c>
      <c r="E28" s="233">
        <f>D28*VLOOKUP("EU (Commission and Council)",'Country summary'!B:G,6,0)</f>
        <v>0.43265433692350924</v>
      </c>
      <c r="F28" s="118"/>
      <c r="G28" s="118"/>
      <c r="H28" s="118"/>
    </row>
    <row r="29" spans="2:8">
      <c r="B29" s="213" t="s">
        <v>2034</v>
      </c>
      <c r="C29" s="213">
        <v>2318.3000000000002</v>
      </c>
      <c r="D29" s="217">
        <f t="shared" si="0"/>
        <v>1.6578789475904868E-2</v>
      </c>
      <c r="E29" s="233">
        <f>D29*VLOOKUP("EU (Commission and Council)",'Country summary'!B:G,6,0)</f>
        <v>0.49554001743479648</v>
      </c>
      <c r="F29" s="118"/>
      <c r="G29" s="118"/>
      <c r="H29" s="118"/>
    </row>
    <row r="30" spans="2:8">
      <c r="B30" s="213" t="s">
        <v>2063</v>
      </c>
      <c r="C30" s="213">
        <v>1298.5</v>
      </c>
      <c r="D30" s="217">
        <f t="shared" si="0"/>
        <v>9.2859242265722584E-3</v>
      </c>
      <c r="E30" s="233">
        <f>D30*VLOOKUP("EU (Commission and Council)",'Country summary'!B:G,6,0)</f>
        <v>0.27755627513224479</v>
      </c>
      <c r="F30" s="118"/>
      <c r="G30" s="118"/>
      <c r="H30" s="118"/>
    </row>
    <row r="31" spans="2:8">
      <c r="B31" s="213" t="s">
        <v>2106</v>
      </c>
      <c r="C31" s="213">
        <v>503.2</v>
      </c>
      <c r="D31" s="217">
        <f t="shared" si="0"/>
        <v>3.5985191149874168E-3</v>
      </c>
      <c r="E31" s="233">
        <f>D31*VLOOKUP("EU (Commission and Council)",'Country summary'!B:G,6,0)</f>
        <v>0.1075597363469739</v>
      </c>
      <c r="F31" s="118"/>
      <c r="G31" s="118"/>
      <c r="H31" s="118"/>
    </row>
    <row r="32" spans="2:8">
      <c r="B32" s="213" t="s">
        <v>2162</v>
      </c>
      <c r="C32" s="213">
        <v>16597.599999999999</v>
      </c>
      <c r="D32" s="217">
        <f t="shared" si="0"/>
        <v>0.11869392063377414</v>
      </c>
      <c r="E32" s="233">
        <f>D32*VLOOKUP("EU (Commission and Council)",'Country summary'!B:G,6,0)</f>
        <v>3.547761287743509</v>
      </c>
      <c r="F32" s="118"/>
      <c r="G32" s="118"/>
      <c r="H32" s="118"/>
    </row>
    <row r="33" spans="2:8">
      <c r="B33" s="213" t="s">
        <v>2258</v>
      </c>
      <c r="C33" s="213">
        <v>4667.8</v>
      </c>
      <c r="D33" s="217">
        <f t="shared" si="0"/>
        <v>3.3380698578971114E-2</v>
      </c>
      <c r="E33" s="233">
        <f>D33*VLOOKUP("EU (Commission and Council)",'Country summary'!B:G,6,0)</f>
        <v>0.99774908052544664</v>
      </c>
      <c r="F33" s="118"/>
      <c r="G33" s="118"/>
      <c r="H33" s="118"/>
    </row>
    <row r="34" spans="2:8">
      <c r="B34" s="214" t="s">
        <v>3198</v>
      </c>
      <c r="C34" s="215">
        <f>SUM(C7:C33)</f>
        <v>139835.30000000002</v>
      </c>
      <c r="D34" s="221">
        <f t="shared" si="0"/>
        <v>1</v>
      </c>
      <c r="E34" s="233">
        <f>D34*VLOOKUP("EU (Commission and Council)",'Country summary'!B:G,6,0)</f>
        <v>29.89</v>
      </c>
      <c r="F34" s="118"/>
      <c r="G34" s="118"/>
      <c r="H34" s="118"/>
    </row>
    <row r="35" spans="2:8">
      <c r="B35" s="207" t="s">
        <v>2548</v>
      </c>
      <c r="C35" s="213">
        <v>0</v>
      </c>
      <c r="D35" s="217">
        <f t="shared" si="0"/>
        <v>0</v>
      </c>
      <c r="E35" s="233">
        <f>D35*VLOOKUP("EU (Commission and Council)",'Country summary'!B:G,6,0)</f>
        <v>0</v>
      </c>
      <c r="F35" s="118"/>
      <c r="G35" s="118"/>
      <c r="H35" s="118"/>
    </row>
    <row r="36" spans="2:8">
      <c r="B36" s="207" t="s">
        <v>452</v>
      </c>
      <c r="C36" s="207">
        <v>0</v>
      </c>
      <c r="D36" s="217">
        <f t="shared" si="0"/>
        <v>0</v>
      </c>
      <c r="E36" s="233">
        <f>D36*VLOOKUP("EU (Commission and Council)",'Country summary'!B:G,6,0)</f>
        <v>0</v>
      </c>
      <c r="F36" s="118"/>
      <c r="G36" s="118"/>
      <c r="H36" s="118"/>
    </row>
    <row r="37" spans="2:8">
      <c r="B37" s="207" t="s">
        <v>2392</v>
      </c>
      <c r="C37" s="207">
        <v>0</v>
      </c>
      <c r="D37" s="217">
        <f t="shared" si="0"/>
        <v>0</v>
      </c>
      <c r="E37" s="233">
        <f>D37*VLOOKUP("EU (Commission and Council)",'Country summary'!B:G,6,0)</f>
        <v>0</v>
      </c>
      <c r="F37" s="118"/>
      <c r="G37" s="118"/>
      <c r="H37" s="118"/>
    </row>
    <row r="38" spans="2:8">
      <c r="B38" s="207" t="s">
        <v>1471</v>
      </c>
      <c r="C38" s="207">
        <v>0</v>
      </c>
      <c r="D38" s="217">
        <f t="shared" si="0"/>
        <v>0</v>
      </c>
      <c r="E38" s="233">
        <f>D38*VLOOKUP("EU (Commission and Council)",'Country summary'!B:G,6,0)</f>
        <v>0</v>
      </c>
      <c r="F38" s="118"/>
      <c r="G38" s="118"/>
      <c r="H38" s="118"/>
    </row>
    <row r="39" spans="2:8">
      <c r="B39" s="207" t="s">
        <v>2951</v>
      </c>
      <c r="C39" s="207">
        <v>0</v>
      </c>
      <c r="D39" s="217">
        <f t="shared" si="0"/>
        <v>0</v>
      </c>
      <c r="E39" s="233">
        <f>D39*VLOOKUP("EU (Commission and Council)",'Country summary'!B:G,6,0)</f>
        <v>0</v>
      </c>
      <c r="F39" s="118"/>
      <c r="G39" s="118"/>
      <c r="H39" s="118"/>
    </row>
    <row r="40" spans="2:8">
      <c r="B40" s="118" t="s">
        <v>2348</v>
      </c>
      <c r="C40" s="207">
        <v>0</v>
      </c>
      <c r="D40" s="217">
        <f t="shared" si="0"/>
        <v>0</v>
      </c>
      <c r="E40" s="233">
        <f>D40*VLOOKUP("EU (Commission and Council)",'Country summary'!B:G,6,0)</f>
        <v>0</v>
      </c>
      <c r="F40" s="118"/>
      <c r="G40" s="118"/>
      <c r="H40" s="118"/>
    </row>
    <row r="41" spans="2:8">
      <c r="B41" s="118" t="s">
        <v>2329</v>
      </c>
      <c r="C41" s="207">
        <v>0</v>
      </c>
      <c r="D41" s="217">
        <f t="shared" si="0"/>
        <v>0</v>
      </c>
      <c r="E41" s="233">
        <f>D41*VLOOKUP("EU (Commission and Council)",'Country summary'!B:G,6,0)</f>
        <v>0</v>
      </c>
      <c r="F41" s="118"/>
      <c r="G41" s="118"/>
      <c r="H41" s="118"/>
    </row>
    <row r="42" spans="2:8">
      <c r="B42" s="118" t="s">
        <v>1804</v>
      </c>
      <c r="C42" s="207">
        <v>0</v>
      </c>
      <c r="D42" s="217">
        <f t="shared" si="0"/>
        <v>0</v>
      </c>
      <c r="E42" s="233">
        <f>D42*VLOOKUP("EU (Commission and Council)",'Country summary'!B:G,6,0)</f>
        <v>0</v>
      </c>
      <c r="F42" s="118"/>
      <c r="G42" s="118"/>
      <c r="H42" s="118"/>
    </row>
    <row r="43" spans="2:8">
      <c r="B43" s="118" t="s">
        <v>1766</v>
      </c>
      <c r="C43" s="207">
        <v>0</v>
      </c>
      <c r="D43" s="217">
        <f t="shared" si="0"/>
        <v>0</v>
      </c>
      <c r="E43" s="233">
        <f>D43*VLOOKUP("EU (Commission and Council)",'Country summary'!B:G,6,0)</f>
        <v>0</v>
      </c>
      <c r="F43" s="118"/>
      <c r="G43" s="118"/>
      <c r="H43" s="118"/>
    </row>
    <row r="44" spans="2:8">
      <c r="B44" s="118" t="s">
        <v>227</v>
      </c>
      <c r="C44" s="207">
        <v>0</v>
      </c>
      <c r="D44" s="217">
        <f t="shared" si="0"/>
        <v>0</v>
      </c>
      <c r="E44" s="233">
        <f>D44*VLOOKUP("EU (Commission and Council)",'Country summary'!B:G,6,0)</f>
        <v>0</v>
      </c>
      <c r="F44" s="118"/>
      <c r="G44" s="118"/>
      <c r="H44" s="118"/>
    </row>
    <row r="45" spans="2:8">
      <c r="B45" s="118" t="s">
        <v>2002</v>
      </c>
      <c r="C45" s="207">
        <v>0</v>
      </c>
      <c r="D45" s="217">
        <f t="shared" si="0"/>
        <v>0</v>
      </c>
      <c r="E45" s="233">
        <f>D45*VLOOKUP("EU (Commission and Council)",'Country summary'!B:G,6,0)</f>
        <v>0</v>
      </c>
      <c r="F45" s="118"/>
      <c r="G45" s="118"/>
      <c r="H45" s="118"/>
    </row>
    <row r="46" spans="2:8">
      <c r="B46" s="33" t="s">
        <v>2825</v>
      </c>
      <c r="C46" s="48">
        <v>0</v>
      </c>
      <c r="D46" s="217">
        <f t="shared" si="0"/>
        <v>0</v>
      </c>
      <c r="E46" s="233">
        <f>D46*VLOOKUP("EU (Commission and Council)",'Country summary'!B:G,6,0)</f>
        <v>0</v>
      </c>
      <c r="F46" s="118"/>
      <c r="G46" s="118"/>
      <c r="H46" s="118"/>
    </row>
    <row r="47" spans="2:8">
      <c r="B47" s="33" t="s">
        <v>583</v>
      </c>
      <c r="C47" s="48">
        <v>0</v>
      </c>
      <c r="D47" s="235">
        <v>0</v>
      </c>
      <c r="E47" s="233">
        <f>D47*VLOOKUP("EU (Commission and Council)",'Country summary'!B:G,6,0)</f>
        <v>0</v>
      </c>
      <c r="F47" s="118"/>
      <c r="G47" s="118"/>
      <c r="H47" s="118"/>
    </row>
    <row r="48" spans="2:8">
      <c r="B48" s="33" t="s">
        <v>2368</v>
      </c>
      <c r="C48" s="48">
        <v>0</v>
      </c>
      <c r="D48" s="235">
        <v>0</v>
      </c>
      <c r="E48" s="233">
        <f>D48*VLOOKUP("EU (Commission and Council)",'Country summary'!B:G,6,0)</f>
        <v>0</v>
      </c>
      <c r="F48" s="118"/>
      <c r="G48" s="118"/>
      <c r="H48" s="118"/>
    </row>
    <row r="49" spans="2:5">
      <c r="B49" s="33" t="s">
        <v>1369</v>
      </c>
      <c r="C49" s="48">
        <v>0</v>
      </c>
      <c r="D49" s="235">
        <v>0</v>
      </c>
      <c r="E49" s="233">
        <f>D49*VLOOKUP("EU (Commission and Council)",'Country summary'!B:G,6,0)</f>
        <v>0</v>
      </c>
    </row>
  </sheetData>
  <hyperlinks>
    <hyperlink ref="C4" r:id="rId1" xr:uid="{00000000-0004-0000-1800-000000000000}"/>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59999389629810485"/>
  </sheetPr>
  <dimension ref="B2:I49"/>
  <sheetViews>
    <sheetView showGridLines="0" zoomScaleNormal="100" workbookViewId="0">
      <selection activeCell="B2" sqref="B2"/>
    </sheetView>
  </sheetViews>
  <sheetFormatPr defaultColWidth="9" defaultRowHeight="15.6"/>
  <cols>
    <col min="1" max="1" width="9" style="48"/>
    <col min="2" max="2" width="29" style="48" bestFit="1" customWidth="1"/>
    <col min="3" max="3" width="18.5" style="239" customWidth="1"/>
    <col min="4" max="4" width="19.5" style="239" customWidth="1"/>
    <col min="5" max="5" width="28" style="48" bestFit="1" customWidth="1"/>
    <col min="6" max="6" width="12" style="48" customWidth="1"/>
    <col min="7" max="7" width="23" style="48" customWidth="1"/>
    <col min="8" max="16384" width="9" style="48"/>
  </cols>
  <sheetData>
    <row r="2" spans="2:9">
      <c r="B2" s="209" t="s">
        <v>3199</v>
      </c>
      <c r="C2" s="236"/>
      <c r="D2" s="236"/>
      <c r="E2" s="117"/>
      <c r="F2" s="117"/>
      <c r="G2" s="117"/>
      <c r="H2" s="117"/>
      <c r="I2" s="117"/>
    </row>
    <row r="3" spans="2:9">
      <c r="B3" s="117"/>
      <c r="C3" s="237"/>
      <c r="D3" s="237"/>
      <c r="E3" s="117"/>
      <c r="F3" s="117"/>
      <c r="G3" s="117"/>
      <c r="H3" s="117"/>
      <c r="I3" s="117"/>
    </row>
    <row r="4" spans="2:9">
      <c r="B4" s="207" t="s">
        <v>3200</v>
      </c>
      <c r="C4" s="238" t="s">
        <v>3201</v>
      </c>
      <c r="F4" s="117"/>
      <c r="G4" s="117"/>
      <c r="H4" s="117"/>
      <c r="I4" s="117"/>
    </row>
    <row r="5" spans="2:9" ht="15.75" customHeight="1">
      <c r="B5" s="212"/>
      <c r="C5" s="240"/>
      <c r="D5" s="241"/>
      <c r="E5" s="207"/>
      <c r="F5" s="242"/>
      <c r="G5" s="242"/>
      <c r="H5" s="242"/>
      <c r="I5" s="242"/>
    </row>
    <row r="6" spans="2:9" ht="14.25" customHeight="1">
      <c r="B6" s="243" t="s">
        <v>3006</v>
      </c>
      <c r="C6" s="244" t="s">
        <v>3202</v>
      </c>
      <c r="D6" s="245" t="s">
        <v>3203</v>
      </c>
      <c r="E6" s="243" t="s">
        <v>3204</v>
      </c>
      <c r="F6" s="246" t="s">
        <v>3205</v>
      </c>
      <c r="G6" s="247" t="s">
        <v>3206</v>
      </c>
      <c r="H6" s="242"/>
      <c r="I6" s="242"/>
    </row>
    <row r="7" spans="2:9">
      <c r="B7" s="213" t="s">
        <v>312</v>
      </c>
      <c r="C7" s="248">
        <v>431177954655.48126</v>
      </c>
      <c r="D7" s="249">
        <f>C7*VLOOKUP("USD",'Exchange rates'!B:C,2,0)</f>
        <v>432687077496.77545</v>
      </c>
      <c r="E7" s="218">
        <f>D7/1000000000</f>
        <v>432.68707749677543</v>
      </c>
      <c r="F7" s="242">
        <f>E7/$E$34</f>
        <v>2.812216901925034E-2</v>
      </c>
      <c r="G7" s="246">
        <f>F7*VLOOKUP("European Peace Facility",'Aggregates by country group'!B:F,5,0)</f>
        <v>8.717872395967606E-2</v>
      </c>
      <c r="H7" s="242"/>
      <c r="I7" s="242"/>
    </row>
    <row r="8" spans="2:9">
      <c r="B8" s="213" t="s">
        <v>370</v>
      </c>
      <c r="C8" s="248">
        <v>528771099613.82056</v>
      </c>
      <c r="D8" s="249">
        <f>C8*VLOOKUP("USD",'Exchange rates'!B:C,2,0)</f>
        <v>530621798462.46893</v>
      </c>
      <c r="E8" s="218">
        <f t="shared" ref="E8:E45" si="0">D8/1000000000</f>
        <v>530.62179846246897</v>
      </c>
      <c r="F8" s="242">
        <f t="shared" ref="F8:F45" si="1">E8/$E$34</f>
        <v>3.4487362063109803E-2</v>
      </c>
      <c r="G8" s="246">
        <f>F8*VLOOKUP("European Peace Facility",'Aggregates by country group'!B:F,5,0)</f>
        <v>0.1069108223956404</v>
      </c>
      <c r="H8" s="242"/>
      <c r="I8" s="242"/>
    </row>
    <row r="9" spans="2:9">
      <c r="B9" s="213" t="s">
        <v>428</v>
      </c>
      <c r="C9" s="248">
        <v>66791503467.314651</v>
      </c>
      <c r="D9" s="249">
        <f>C9*VLOOKUP("USD",'Exchange rates'!B:C,2,0)</f>
        <v>67025273729.450256</v>
      </c>
      <c r="E9" s="218">
        <f t="shared" si="0"/>
        <v>67.025273729450262</v>
      </c>
      <c r="F9" s="242">
        <f t="shared" si="1"/>
        <v>4.3562569219441662E-3</v>
      </c>
      <c r="G9" s="246">
        <f>F9*VLOOKUP("European Peace Facility",'Aggregates by country group'!B:F,5,0)</f>
        <v>1.3504396458026915E-2</v>
      </c>
      <c r="H9" s="117"/>
      <c r="I9" s="117"/>
    </row>
    <row r="10" spans="2:9">
      <c r="B10" s="213" t="s">
        <v>591</v>
      </c>
      <c r="C10" s="248">
        <v>58800071968.209152</v>
      </c>
      <c r="D10" s="249">
        <f>C10*VLOOKUP("USD",'Exchange rates'!B:C,2,0)</f>
        <v>59005872220.097885</v>
      </c>
      <c r="E10" s="218">
        <f t="shared" si="0"/>
        <v>59.005872220097885</v>
      </c>
      <c r="F10" s="242">
        <f t="shared" si="1"/>
        <v>3.8350419922449554E-3</v>
      </c>
      <c r="G10" s="246">
        <f>F10*VLOOKUP("European Peace Facility",'Aggregates by country group'!B:F,5,0)</f>
        <v>1.1888630175959362E-2</v>
      </c>
      <c r="H10" s="117"/>
      <c r="I10" s="117"/>
    </row>
    <row r="11" spans="2:9">
      <c r="B11" s="213" t="s">
        <v>618</v>
      </c>
      <c r="C11" s="248">
        <v>23639615034.821491</v>
      </c>
      <c r="D11" s="249">
        <f>C11*VLOOKUP("USD",'Exchange rates'!B:C,2,0)</f>
        <v>23722353687.443367</v>
      </c>
      <c r="E11" s="218">
        <f t="shared" si="0"/>
        <v>23.722353687443366</v>
      </c>
      <c r="F11" s="242">
        <f t="shared" si="1"/>
        <v>1.5418164179809382E-3</v>
      </c>
      <c r="G11" s="246">
        <f>F11*VLOOKUP("European Peace Facility",'Aggregates by country group'!B:F,5,0)</f>
        <v>4.7796308957409085E-3</v>
      </c>
      <c r="H11" s="117"/>
      <c r="I11" s="117"/>
    </row>
    <row r="12" spans="2:9">
      <c r="B12" s="213" t="s">
        <v>632</v>
      </c>
      <c r="C12" s="248">
        <v>236140225083.77783</v>
      </c>
      <c r="D12" s="249">
        <f>C12*VLOOKUP("USD",'Exchange rates'!B:C,2,0)</f>
        <v>236966715871.57108</v>
      </c>
      <c r="E12" s="218">
        <f t="shared" si="0"/>
        <v>236.96671587157107</v>
      </c>
      <c r="F12" s="242">
        <f t="shared" si="1"/>
        <v>1.54014722931647E-2</v>
      </c>
      <c r="G12" s="246">
        <f>F12*VLOOKUP("European Peace Facility",'Aggregates by country group'!B:F,5,0)</f>
        <v>4.7744564108810575E-2</v>
      </c>
      <c r="H12" s="117"/>
      <c r="I12" s="117"/>
    </row>
    <row r="13" spans="2:9">
      <c r="B13" s="213" t="s">
        <v>767</v>
      </c>
      <c r="C13" s="248">
        <v>367413962752.16309</v>
      </c>
      <c r="D13" s="249">
        <f>C13*VLOOKUP("USD",'Exchange rates'!B:C,2,0)</f>
        <v>368699911621.79565</v>
      </c>
      <c r="E13" s="218">
        <f t="shared" si="0"/>
        <v>368.69991162179565</v>
      </c>
      <c r="F13" s="242">
        <f t="shared" si="1"/>
        <v>2.3963371617189266E-2</v>
      </c>
      <c r="G13" s="246">
        <f>F13*VLOOKUP("European Peace Facility",'Aggregates by country group'!B:F,5,0)</f>
        <v>7.4286452013286722E-2</v>
      </c>
      <c r="H13" s="117"/>
      <c r="I13" s="117"/>
    </row>
    <row r="14" spans="2:9">
      <c r="B14" s="213" t="s">
        <v>840</v>
      </c>
      <c r="C14" s="250">
        <v>30879511970.059299</v>
      </c>
      <c r="D14" s="249">
        <f>C14*VLOOKUP("USD",'Exchange rates'!B:C,2,0)</f>
        <v>30987590261.95451</v>
      </c>
      <c r="E14" s="218">
        <f t="shared" si="0"/>
        <v>30.987590261954509</v>
      </c>
      <c r="F14" s="242">
        <f t="shared" si="1"/>
        <v>2.0140149687101643E-3</v>
      </c>
      <c r="G14" s="246">
        <f>F14*VLOOKUP("European Peace Facility",'Aggregates by country group'!B:F,5,0)</f>
        <v>6.2434464030015095E-3</v>
      </c>
      <c r="H14" s="117"/>
      <c r="I14" s="117"/>
    </row>
    <row r="15" spans="2:9">
      <c r="B15" s="213" t="s">
        <v>917</v>
      </c>
      <c r="C15" s="248">
        <v>275386048317.31531</v>
      </c>
      <c r="D15" s="249">
        <f>C15*VLOOKUP("USD",'Exchange rates'!B:C,2,0)</f>
        <v>276349899486.4259</v>
      </c>
      <c r="E15" s="218">
        <f>D15/1000000000</f>
        <v>276.3498994864259</v>
      </c>
      <c r="F15" s="242">
        <f t="shared" si="1"/>
        <v>1.7961152495634746E-2</v>
      </c>
      <c r="G15" s="246">
        <f>F15*VLOOKUP("European Peace Facility",'Aggregates by country group'!B:F,5,0)</f>
        <v>5.5679572736467717E-2</v>
      </c>
      <c r="H15" s="117"/>
      <c r="I15" s="117"/>
    </row>
    <row r="16" spans="2:9">
      <c r="B16" s="213" t="s">
        <v>1012</v>
      </c>
      <c r="C16" s="248">
        <v>2661229723049.147</v>
      </c>
      <c r="D16" s="249">
        <f>C16*VLOOKUP("USD",'Exchange rates'!B:C,2,0)</f>
        <v>2670544027079.8193</v>
      </c>
      <c r="E16" s="218">
        <f t="shared" si="0"/>
        <v>2670.5440270798194</v>
      </c>
      <c r="F16" s="242">
        <f t="shared" si="1"/>
        <v>0.17356998720038694</v>
      </c>
      <c r="G16" s="246">
        <f>F16*VLOOKUP("European Peace Facility",'Aggregates by country group'!B:F,5,0)</f>
        <v>0.53806696032119949</v>
      </c>
      <c r="H16" s="117"/>
      <c r="I16" s="117"/>
    </row>
    <row r="17" spans="2:9">
      <c r="B17" s="213" t="s">
        <v>1136</v>
      </c>
      <c r="C17" s="248">
        <v>3951936643951.478</v>
      </c>
      <c r="D17" s="249">
        <f>C17*VLOOKUP("USD",'Exchange rates'!B:C,2,0)</f>
        <v>3965768422205.3086</v>
      </c>
      <c r="E17" s="218">
        <f t="shared" si="0"/>
        <v>3965.7684222053085</v>
      </c>
      <c r="F17" s="242">
        <f t="shared" si="1"/>
        <v>0.25775211616134891</v>
      </c>
      <c r="G17" s="246">
        <f>F17*VLOOKUP("European Peace Facility",'Aggregates by country group'!B:F,5,0)</f>
        <v>0.79903156010018161</v>
      </c>
      <c r="H17" s="117"/>
      <c r="I17" s="117"/>
    </row>
    <row r="18" spans="2:9">
      <c r="B18" s="213" t="s">
        <v>1294</v>
      </c>
      <c r="C18" s="248">
        <v>192106587090.27692</v>
      </c>
      <c r="D18" s="249">
        <f>C18*VLOOKUP("USD",'Exchange rates'!B:C,2,0)</f>
        <v>192778960145.0929</v>
      </c>
      <c r="E18" s="218">
        <f t="shared" si="0"/>
        <v>192.7789601450929</v>
      </c>
      <c r="F18" s="242">
        <f t="shared" si="1"/>
        <v>1.2529522563788677E-2</v>
      </c>
      <c r="G18" s="246">
        <f>F18*VLOOKUP("European Peace Facility",'Aggregates by country group'!B:F,5,0)</f>
        <v>3.8841519947744901E-2</v>
      </c>
      <c r="H18" s="117"/>
      <c r="I18" s="117"/>
    </row>
    <row r="19" spans="2:9">
      <c r="B19" s="213" t="s">
        <v>1335</v>
      </c>
      <c r="C19" s="248">
        <v>154926012804.36594</v>
      </c>
      <c r="D19" s="249">
        <f>C19*VLOOKUP("USD",'Exchange rates'!B:C,2,0)</f>
        <v>155468253849.18121</v>
      </c>
      <c r="E19" s="218">
        <f t="shared" si="0"/>
        <v>155.46825384918122</v>
      </c>
      <c r="F19" s="242">
        <f t="shared" si="1"/>
        <v>1.0104541455613437E-2</v>
      </c>
      <c r="G19" s="246">
        <f>F19*VLOOKUP("European Peace Facility",'Aggregates by country group'!B:F,5,0)</f>
        <v>3.1324078512401654E-2</v>
      </c>
      <c r="H19" s="117"/>
      <c r="I19" s="117"/>
    </row>
    <row r="20" spans="2:9">
      <c r="B20" s="213" t="s">
        <v>1383</v>
      </c>
      <c r="C20" s="248">
        <v>327793081263.3335</v>
      </c>
      <c r="D20" s="249">
        <f>C20*VLOOKUP("USD",'Exchange rates'!B:C,2,0)</f>
        <v>328940357047.75519</v>
      </c>
      <c r="E20" s="218">
        <f t="shared" si="0"/>
        <v>328.94035704775519</v>
      </c>
      <c r="F20" s="242">
        <f t="shared" si="1"/>
        <v>2.1379229469173287E-2</v>
      </c>
      <c r="G20" s="246">
        <f>F20*VLOOKUP("European Peace Facility",'Aggregates by country group'!B:F,5,0)</f>
        <v>6.6275611354437186E-2</v>
      </c>
      <c r="H20" s="117"/>
      <c r="I20" s="117"/>
    </row>
    <row r="21" spans="2:9">
      <c r="B21" s="213" t="s">
        <v>1412</v>
      </c>
      <c r="C21" s="248">
        <v>1923564827931.9722</v>
      </c>
      <c r="D21" s="249">
        <f>C21*VLOOKUP("USD",'Exchange rates'!B:C,2,0)</f>
        <v>1930297304829.7341</v>
      </c>
      <c r="E21" s="218">
        <f t="shared" si="0"/>
        <v>1930.2973048297342</v>
      </c>
      <c r="F21" s="242">
        <f t="shared" si="1"/>
        <v>0.12545821192043743</v>
      </c>
      <c r="G21" s="246">
        <f>F21*VLOOKUP("European Peace Facility",'Aggregates by country group'!B:F,5,0)</f>
        <v>0.38892045695335609</v>
      </c>
      <c r="H21" s="117"/>
      <c r="I21" s="117"/>
    </row>
    <row r="22" spans="2:9">
      <c r="B22" s="213" t="s">
        <v>1516</v>
      </c>
      <c r="C22" s="248">
        <v>34007378686.420918</v>
      </c>
      <c r="D22" s="249">
        <f>C22*VLOOKUP("USD",'Exchange rates'!B:C,2,0)</f>
        <v>34126404511.823391</v>
      </c>
      <c r="E22" s="218">
        <f t="shared" si="0"/>
        <v>34.126404511823388</v>
      </c>
      <c r="F22" s="242">
        <f t="shared" si="1"/>
        <v>2.2180198245184638E-3</v>
      </c>
      <c r="G22" s="246">
        <f>F22*VLOOKUP("European Peace Facility",'Aggregates by country group'!B:F,5,0)</f>
        <v>6.8758614560072377E-3</v>
      </c>
      <c r="H22" s="117"/>
      <c r="I22" s="117"/>
    </row>
    <row r="23" spans="2:9">
      <c r="B23" s="213" t="s">
        <v>1562</v>
      </c>
      <c r="C23" s="248">
        <v>54835297970.518791</v>
      </c>
      <c r="D23" s="249">
        <f>C23*VLOOKUP("USD",'Exchange rates'!B:C,2,0)</f>
        <v>55027221513.415611</v>
      </c>
      <c r="E23" s="218">
        <f t="shared" si="0"/>
        <v>55.027221513415611</v>
      </c>
      <c r="F23" s="242">
        <f t="shared" si="1"/>
        <v>3.5764526017570629E-3</v>
      </c>
      <c r="G23" s="246">
        <f>F23*VLOOKUP("European Peace Facility",'Aggregates by country group'!B:F,5,0)</f>
        <v>1.1087003065446896E-2</v>
      </c>
      <c r="H23" s="117"/>
      <c r="I23" s="117"/>
    </row>
    <row r="24" spans="2:9">
      <c r="B24" s="213" t="s">
        <v>1653</v>
      </c>
      <c r="C24" s="248">
        <v>51133898272.304619</v>
      </c>
      <c r="D24" s="249">
        <f>C24*VLOOKUP("USD",'Exchange rates'!B:C,2,0)</f>
        <v>51312866916.25769</v>
      </c>
      <c r="E24" s="218">
        <f t="shared" si="0"/>
        <v>51.31286691625769</v>
      </c>
      <c r="F24" s="242">
        <f t="shared" si="1"/>
        <v>3.3350409368120126E-3</v>
      </c>
      <c r="G24" s="246">
        <f>F24*VLOOKUP("European Peace Facility",'Aggregates by country group'!B:F,5,0)</f>
        <v>1.0338626904117239E-2</v>
      </c>
      <c r="H24" s="117"/>
      <c r="I24" s="117"/>
    </row>
    <row r="25" spans="2:9">
      <c r="B25" s="213" t="s">
        <v>1682</v>
      </c>
      <c r="C25" s="248">
        <v>13325768037.903536</v>
      </c>
      <c r="D25" s="249">
        <f>C25*VLOOKUP("USD",'Exchange rates'!B:C,2,0)</f>
        <v>13372408226.0362</v>
      </c>
      <c r="E25" s="218">
        <f t="shared" si="0"/>
        <v>13.3724082260362</v>
      </c>
      <c r="F25" s="242">
        <f t="shared" si="1"/>
        <v>8.691295485472551E-4</v>
      </c>
      <c r="G25" s="246">
        <f>F25*VLOOKUP("European Peace Facility",'Aggregates by country group'!B:F,5,0)</f>
        <v>2.6943016004964907E-3</v>
      </c>
      <c r="H25" s="117"/>
      <c r="I25" s="117"/>
    </row>
    <row r="26" spans="2:9">
      <c r="B26" s="213" t="s">
        <v>1687</v>
      </c>
      <c r="C26" s="248">
        <v>890764508900.16296</v>
      </c>
      <c r="D26" s="249">
        <f>C26*VLOOKUP("USD",'Exchange rates'!B:C,2,0)</f>
        <v>893882184681.3136</v>
      </c>
      <c r="E26" s="218">
        <f t="shared" si="0"/>
        <v>893.88218468131356</v>
      </c>
      <c r="F26" s="242">
        <f t="shared" si="1"/>
        <v>5.8097195844939435E-2</v>
      </c>
      <c r="G26" s="246">
        <f>F26*VLOOKUP("European Peace Facility",'Aggregates by country group'!B:F,5,0)</f>
        <v>0.18010130711931224</v>
      </c>
      <c r="H26" s="117"/>
      <c r="I26" s="117"/>
    </row>
    <row r="27" spans="2:9">
      <c r="B27" s="213" t="s">
        <v>1894</v>
      </c>
      <c r="C27" s="248">
        <v>578462141100.15442</v>
      </c>
      <c r="D27" s="249">
        <f>C27*VLOOKUP("USD",'Exchange rates'!B:C,2,0)</f>
        <v>580486758594.005</v>
      </c>
      <c r="E27" s="218">
        <f t="shared" si="0"/>
        <v>580.48675859400498</v>
      </c>
      <c r="F27" s="242">
        <f t="shared" si="1"/>
        <v>3.7728297394643215E-2</v>
      </c>
      <c r="G27" s="246">
        <f>F27*VLOOKUP("European Peace Facility",'Aggregates by country group'!B:F,5,0)</f>
        <v>0.11695772192339397</v>
      </c>
      <c r="H27" s="117"/>
      <c r="I27" s="117"/>
    </row>
    <row r="28" spans="2:9">
      <c r="B28" s="213" t="s">
        <v>1957</v>
      </c>
      <c r="C28" s="248">
        <v>224554737087.76804</v>
      </c>
      <c r="D28" s="249">
        <f>C28*VLOOKUP("USD",'Exchange rates'!B:C,2,0)</f>
        <v>225340678667.57523</v>
      </c>
      <c r="E28" s="218">
        <f t="shared" si="0"/>
        <v>225.34067866757522</v>
      </c>
      <c r="F28" s="242">
        <f t="shared" si="1"/>
        <v>1.4645846807036563E-2</v>
      </c>
      <c r="G28" s="246">
        <f>F28*VLOOKUP("European Peace Facility",'Aggregates by country group'!B:F,5,0)</f>
        <v>4.5402125101813344E-2</v>
      </c>
      <c r="H28" s="117"/>
      <c r="I28" s="117"/>
    </row>
    <row r="29" spans="2:9">
      <c r="B29" s="213" t="s">
        <v>2034</v>
      </c>
      <c r="C29" s="248">
        <v>242701599782.81766</v>
      </c>
      <c r="D29" s="249">
        <f>C29*VLOOKUP("USD",'Exchange rates'!B:C,2,0)</f>
        <v>243551055382.05753</v>
      </c>
      <c r="E29" s="218">
        <f t="shared" si="0"/>
        <v>243.55105538205751</v>
      </c>
      <c r="F29" s="242">
        <f t="shared" si="1"/>
        <v>1.582941645471736E-2</v>
      </c>
      <c r="G29" s="246">
        <f>F29*VLOOKUP("European Peace Facility",'Aggregates by country group'!B:F,5,0)</f>
        <v>4.9071191009623816E-2</v>
      </c>
      <c r="H29" s="117"/>
      <c r="I29" s="117"/>
    </row>
    <row r="30" spans="2:9">
      <c r="B30" s="213" t="s">
        <v>2063</v>
      </c>
      <c r="C30" s="248">
        <v>103284085220.21864</v>
      </c>
      <c r="D30" s="249">
        <f>C30*VLOOKUP("USD",'Exchange rates'!B:C,2,0)</f>
        <v>103645579518.48941</v>
      </c>
      <c r="E30" s="218">
        <f t="shared" si="0"/>
        <v>103.64557951848941</v>
      </c>
      <c r="F30" s="242">
        <f t="shared" si="1"/>
        <v>6.7363659718698964E-3</v>
      </c>
      <c r="G30" s="246">
        <f>F30*VLOOKUP("European Peace Facility",'Aggregates by country group'!B:F,5,0)</f>
        <v>2.088273451279668E-2</v>
      </c>
      <c r="H30" s="117"/>
      <c r="I30" s="117"/>
    </row>
    <row r="31" spans="2:9">
      <c r="B31" s="213" t="s">
        <v>2106</v>
      </c>
      <c r="C31" s="248">
        <v>53268437066.224869</v>
      </c>
      <c r="D31" s="249">
        <f>C31*VLOOKUP("USD",'Exchange rates'!B:C,2,0)</f>
        <v>53454876595.956657</v>
      </c>
      <c r="E31" s="218">
        <f t="shared" si="0"/>
        <v>53.454876595956655</v>
      </c>
      <c r="F31" s="242">
        <f t="shared" si="1"/>
        <v>3.4742592342519528E-3</v>
      </c>
      <c r="G31" s="246">
        <f>F31*VLOOKUP("European Peace Facility",'Aggregates by country group'!B:F,5,0)</f>
        <v>1.0770203626181054E-2</v>
      </c>
      <c r="H31" s="117"/>
      <c r="I31" s="117"/>
    </row>
    <row r="32" spans="2:9">
      <c r="B32" s="213" t="s">
        <v>2162</v>
      </c>
      <c r="C32" s="248">
        <v>1295796575673.0425</v>
      </c>
      <c r="D32" s="249">
        <f>C32*VLOOKUP("USD",'Exchange rates'!B:C,2,0)</f>
        <v>1300331863687.8982</v>
      </c>
      <c r="E32" s="218">
        <f t="shared" si="0"/>
        <v>1300.3318636878982</v>
      </c>
      <c r="F32" s="242">
        <f t="shared" si="1"/>
        <v>8.4514085013367171E-2</v>
      </c>
      <c r="G32" s="246">
        <f>F32*VLOOKUP("European Peace Facility",'Aggregates by country group'!B:F,5,0)</f>
        <v>0.26199366354143822</v>
      </c>
      <c r="H32" s="117"/>
      <c r="I32" s="117"/>
    </row>
    <row r="33" spans="2:9">
      <c r="B33" s="213" t="s">
        <v>2258</v>
      </c>
      <c r="C33" s="248">
        <v>559623730597.23865</v>
      </c>
      <c r="D33" s="249">
        <f>C33*VLOOKUP("USD",'Exchange rates'!B:C,2,0)</f>
        <v>561582413654.32898</v>
      </c>
      <c r="E33" s="218">
        <f t="shared" si="0"/>
        <v>561.582413654329</v>
      </c>
      <c r="F33" s="242">
        <f t="shared" si="1"/>
        <v>3.6499623807561707E-2</v>
      </c>
      <c r="G33" s="246">
        <f>F33*VLOOKUP("European Peace Facility",'Aggregates by country group'!B:F,5,0)</f>
        <v>0.11314883380344129</v>
      </c>
      <c r="H33" s="117"/>
      <c r="I33" s="117"/>
    </row>
    <row r="34" spans="2:9" ht="16.5" customHeight="1">
      <c r="B34" s="214" t="s">
        <v>3198</v>
      </c>
      <c r="C34" s="244">
        <v>15332315027348.314</v>
      </c>
      <c r="D34" s="245">
        <f>C34*VLOOKUP("USD",'Exchange rates'!B:C,2,0)</f>
        <v>15385978129944.035</v>
      </c>
      <c r="E34" s="233">
        <f t="shared" si="0"/>
        <v>15385.978129944035</v>
      </c>
      <c r="F34" s="246">
        <f t="shared" si="1"/>
        <v>1</v>
      </c>
      <c r="G34" s="246">
        <f>F34*VLOOKUP("European Peace Facility",'Aggregates by country group'!B:F,5,0)</f>
        <v>3.1</v>
      </c>
      <c r="H34" s="117"/>
      <c r="I34" s="117"/>
    </row>
    <row r="35" spans="2:9">
      <c r="B35" s="207" t="s">
        <v>2548</v>
      </c>
      <c r="C35" s="248"/>
      <c r="D35" s="249">
        <f>C35*VLOOKUP("USD",'Exchange rates'!B:C,2,0)</f>
        <v>0</v>
      </c>
      <c r="E35" s="218">
        <f t="shared" si="0"/>
        <v>0</v>
      </c>
      <c r="F35" s="242">
        <f t="shared" si="1"/>
        <v>0</v>
      </c>
      <c r="G35" s="246">
        <f>F35*VLOOKUP("European Peace Facility",'Aggregates by country group'!B:F,5,0)</f>
        <v>0</v>
      </c>
      <c r="H35" s="117"/>
      <c r="I35" s="117"/>
    </row>
    <row r="36" spans="2:9">
      <c r="B36" s="207" t="s">
        <v>452</v>
      </c>
      <c r="C36" s="248"/>
      <c r="D36" s="249">
        <f>C36*VLOOKUP("USD",'Exchange rates'!B:C,2,0)</f>
        <v>0</v>
      </c>
      <c r="E36" s="218">
        <f t="shared" si="0"/>
        <v>0</v>
      </c>
      <c r="F36" s="242">
        <f t="shared" si="1"/>
        <v>0</v>
      </c>
      <c r="G36" s="246">
        <f>F36*VLOOKUP("European Peace Facility",'Aggregates by country group'!B:F,5,0)</f>
        <v>0</v>
      </c>
      <c r="H36" s="117"/>
      <c r="I36" s="117"/>
    </row>
    <row r="37" spans="2:9">
      <c r="B37" s="207" t="s">
        <v>2392</v>
      </c>
      <c r="C37" s="248"/>
      <c r="D37" s="249">
        <f>C37*VLOOKUP("USD",'Exchange rates'!B:C,2,0)</f>
        <v>0</v>
      </c>
      <c r="E37" s="218">
        <f t="shared" si="0"/>
        <v>0</v>
      </c>
      <c r="F37" s="242">
        <f t="shared" si="1"/>
        <v>0</v>
      </c>
      <c r="G37" s="246">
        <f>F37*VLOOKUP("European Peace Facility",'Aggregates by country group'!B:F,5,0)</f>
        <v>0</v>
      </c>
      <c r="H37" s="117"/>
      <c r="I37" s="117"/>
    </row>
    <row r="38" spans="2:9">
      <c r="B38" s="207" t="s">
        <v>1471</v>
      </c>
      <c r="C38" s="248"/>
      <c r="D38" s="249">
        <f>C38*VLOOKUP("USD",'Exchange rates'!B:C,2,0)</f>
        <v>0</v>
      </c>
      <c r="E38" s="218">
        <f t="shared" si="0"/>
        <v>0</v>
      </c>
      <c r="F38" s="242">
        <f t="shared" si="1"/>
        <v>0</v>
      </c>
      <c r="G38" s="246">
        <f>F38*VLOOKUP("European Peace Facility",'Aggregates by country group'!B:F,5,0)</f>
        <v>0</v>
      </c>
      <c r="H38" s="117"/>
      <c r="I38" s="117"/>
    </row>
    <row r="39" spans="2:9">
      <c r="B39" s="207" t="s">
        <v>2951</v>
      </c>
      <c r="C39" s="248"/>
      <c r="D39" s="249">
        <f>C39*VLOOKUP("USD",'Exchange rates'!B:C,2,0)</f>
        <v>0</v>
      </c>
      <c r="E39" s="218">
        <f t="shared" si="0"/>
        <v>0</v>
      </c>
      <c r="F39" s="242">
        <f t="shared" si="1"/>
        <v>0</v>
      </c>
      <c r="G39" s="246">
        <f>F39*VLOOKUP("European Peace Facility",'Aggregates by country group'!B:F,5,0)</f>
        <v>0</v>
      </c>
      <c r="H39" s="117"/>
      <c r="I39" s="117"/>
    </row>
    <row r="40" spans="2:9">
      <c r="B40" s="117" t="s">
        <v>2348</v>
      </c>
      <c r="C40" s="248"/>
      <c r="D40" s="249">
        <f>C40*VLOOKUP("USD",'Exchange rates'!B:C,2,0)</f>
        <v>0</v>
      </c>
      <c r="E40" s="218">
        <f t="shared" si="0"/>
        <v>0</v>
      </c>
      <c r="F40" s="242">
        <f t="shared" si="1"/>
        <v>0</v>
      </c>
      <c r="G40" s="246">
        <f>F40*VLOOKUP("European Peace Facility",'Aggregates by country group'!B:F,5,0)</f>
        <v>0</v>
      </c>
      <c r="H40" s="117"/>
      <c r="I40" s="117"/>
    </row>
    <row r="41" spans="2:9">
      <c r="B41" s="117" t="s">
        <v>2329</v>
      </c>
      <c r="C41" s="248"/>
      <c r="D41" s="249">
        <f>C41*VLOOKUP("USD",'Exchange rates'!B:C,2,0)</f>
        <v>0</v>
      </c>
      <c r="E41" s="218">
        <f t="shared" si="0"/>
        <v>0</v>
      </c>
      <c r="F41" s="242">
        <f t="shared" si="1"/>
        <v>0</v>
      </c>
      <c r="G41" s="246">
        <f>F41*VLOOKUP("European Peace Facility",'Aggregates by country group'!B:F,5,0)</f>
        <v>0</v>
      </c>
      <c r="H41" s="117"/>
      <c r="I41" s="117"/>
    </row>
    <row r="42" spans="2:9">
      <c r="B42" s="117" t="s">
        <v>1804</v>
      </c>
      <c r="C42" s="248"/>
      <c r="D42" s="249">
        <f>C42*VLOOKUP("USD",'Exchange rates'!B:C,2,0)</f>
        <v>0</v>
      </c>
      <c r="E42" s="218">
        <f t="shared" si="0"/>
        <v>0</v>
      </c>
      <c r="F42" s="242">
        <f t="shared" si="1"/>
        <v>0</v>
      </c>
      <c r="G42" s="246">
        <f>F42*VLOOKUP("European Peace Facility",'Aggregates by country group'!B:F,5,0)</f>
        <v>0</v>
      </c>
      <c r="H42" s="117"/>
      <c r="I42" s="117"/>
    </row>
    <row r="43" spans="2:9">
      <c r="B43" s="117" t="s">
        <v>1766</v>
      </c>
      <c r="C43" s="248"/>
      <c r="D43" s="249">
        <f>C43*VLOOKUP("USD",'Exchange rates'!B:C,2,0)</f>
        <v>0</v>
      </c>
      <c r="E43" s="218">
        <f t="shared" si="0"/>
        <v>0</v>
      </c>
      <c r="F43" s="242">
        <f t="shared" si="1"/>
        <v>0</v>
      </c>
      <c r="G43" s="246">
        <f>F43*VLOOKUP("European Peace Facility",'Aggregates by country group'!B:F,5,0)</f>
        <v>0</v>
      </c>
      <c r="H43" s="117"/>
      <c r="I43" s="117"/>
    </row>
    <row r="44" spans="2:9">
      <c r="B44" s="117" t="s">
        <v>227</v>
      </c>
      <c r="C44" s="248"/>
      <c r="D44" s="249">
        <f>C44*VLOOKUP("USD",'Exchange rates'!B:C,2,0)</f>
        <v>0</v>
      </c>
      <c r="E44" s="218">
        <f t="shared" si="0"/>
        <v>0</v>
      </c>
      <c r="F44" s="242">
        <f t="shared" si="1"/>
        <v>0</v>
      </c>
      <c r="G44" s="246">
        <f>F44*VLOOKUP("European Peace Facility",'Aggregates by country group'!B:F,5,0)</f>
        <v>0</v>
      </c>
      <c r="H44" s="117"/>
      <c r="I44" s="117"/>
    </row>
    <row r="45" spans="2:9">
      <c r="B45" s="117" t="s">
        <v>2002</v>
      </c>
      <c r="C45" s="248"/>
      <c r="D45" s="249">
        <f>C45*VLOOKUP("USD",'Exchange rates'!B:C,2,0)</f>
        <v>0</v>
      </c>
      <c r="E45" s="218">
        <f t="shared" si="0"/>
        <v>0</v>
      </c>
      <c r="F45" s="242">
        <f t="shared" si="1"/>
        <v>0</v>
      </c>
      <c r="G45" s="246">
        <f>F45*VLOOKUP("European Peace Facility",'Aggregates by country group'!B:F,5,0)</f>
        <v>0</v>
      </c>
      <c r="H45" s="117"/>
      <c r="I45" s="117"/>
    </row>
    <row r="46" spans="2:9">
      <c r="B46" s="33" t="s">
        <v>2825</v>
      </c>
      <c r="C46" s="248"/>
      <c r="D46" s="249">
        <f>C46*VLOOKUP("USD",'Exchange rates'!B:C,2,0)</f>
        <v>0</v>
      </c>
      <c r="E46" s="218">
        <f t="shared" ref="E46:E49" si="2">D46/1000000000</f>
        <v>0</v>
      </c>
      <c r="F46" s="242">
        <f t="shared" ref="F46:F49" si="3">E46/$E$34</f>
        <v>0</v>
      </c>
      <c r="G46" s="246">
        <f>F46*VLOOKUP("European Peace Facility",'Aggregates by country group'!B:F,5,0)</f>
        <v>0</v>
      </c>
      <c r="H46" s="117"/>
      <c r="I46" s="117"/>
    </row>
    <row r="47" spans="2:9">
      <c r="B47" s="48" t="s">
        <v>583</v>
      </c>
      <c r="D47" s="249">
        <f>C47*VLOOKUP("USD",'Exchange rates'!B:C,2,0)</f>
        <v>0</v>
      </c>
      <c r="E47" s="218">
        <f t="shared" si="2"/>
        <v>0</v>
      </c>
      <c r="F47" s="242">
        <f t="shared" si="3"/>
        <v>0</v>
      </c>
      <c r="G47" s="246">
        <f>F47*VLOOKUP("European Peace Facility",'Aggregates by country group'!B:F,5,0)</f>
        <v>0</v>
      </c>
      <c r="H47" s="117"/>
      <c r="I47" s="117"/>
    </row>
    <row r="48" spans="2:9">
      <c r="B48" s="48" t="s">
        <v>2368</v>
      </c>
      <c r="D48" s="249">
        <f>C48*VLOOKUP("USD",'Exchange rates'!B:C,2,0)</f>
        <v>0</v>
      </c>
      <c r="E48" s="218">
        <f t="shared" si="2"/>
        <v>0</v>
      </c>
      <c r="F48" s="242">
        <f t="shared" si="3"/>
        <v>0</v>
      </c>
      <c r="G48" s="246">
        <f>F48*VLOOKUP("European Peace Facility",'Aggregates by country group'!B:F,5,0)</f>
        <v>0</v>
      </c>
      <c r="H48" s="117"/>
      <c r="I48" s="117"/>
    </row>
    <row r="49" spans="2:7">
      <c r="B49" s="48" t="s">
        <v>1369</v>
      </c>
      <c r="D49" s="249">
        <f>C49*VLOOKUP("USD",'Exchange rates'!B:C,2,0)</f>
        <v>0</v>
      </c>
      <c r="E49" s="218">
        <f t="shared" si="2"/>
        <v>0</v>
      </c>
      <c r="F49" s="242">
        <f t="shared" si="3"/>
        <v>0</v>
      </c>
      <c r="G49" s="246">
        <f>F49*VLOOKUP("European Peace Facility",'Aggregates by country group'!B:F,5,0)</f>
        <v>0</v>
      </c>
    </row>
  </sheetData>
  <hyperlinks>
    <hyperlink ref="C4" r:id="rId1" location="d1e1170-14-1  (Preamble, (19))" xr:uid="{00000000-0004-0000-1900-000000000000}"/>
  </hyperlinks>
  <pageMargins left="0.7" right="0.7" top="0.75" bottom="0.75" header="0.3" footer="0.3"/>
  <pageSetup paperSize="9" orientation="portrait"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59999389629810485"/>
  </sheetPr>
  <dimension ref="B2:I49"/>
  <sheetViews>
    <sheetView showGridLines="0" zoomScaleNormal="100" workbookViewId="0">
      <selection activeCell="B2" sqref="B2"/>
    </sheetView>
  </sheetViews>
  <sheetFormatPr defaultColWidth="9" defaultRowHeight="15.6"/>
  <cols>
    <col min="1" max="1" width="9" style="33"/>
    <col min="2" max="3" width="40" style="33" bestFit="1" customWidth="1"/>
    <col min="4" max="4" width="19.5" style="226" customWidth="1"/>
    <col min="5" max="5" width="28" style="131" bestFit="1" customWidth="1"/>
    <col min="6" max="16384" width="9" style="33"/>
  </cols>
  <sheetData>
    <row r="2" spans="2:9">
      <c r="B2" s="209" t="s">
        <v>3207</v>
      </c>
      <c r="C2" s="116"/>
      <c r="D2" s="227"/>
      <c r="E2" s="116"/>
      <c r="F2" s="116"/>
      <c r="G2" s="116"/>
      <c r="H2" s="116"/>
      <c r="I2" s="116"/>
    </row>
    <row r="3" spans="2:9">
      <c r="B3" s="118"/>
      <c r="C3" s="118"/>
      <c r="D3" s="228"/>
      <c r="E3" s="116"/>
      <c r="F3" s="118"/>
      <c r="G3" s="118"/>
      <c r="H3" s="118"/>
      <c r="I3" s="118"/>
    </row>
    <row r="4" spans="2:9">
      <c r="B4" s="207" t="s">
        <v>3200</v>
      </c>
      <c r="C4" s="251" t="s">
        <v>3208</v>
      </c>
      <c r="F4" s="118"/>
      <c r="G4" s="118"/>
      <c r="H4" s="118"/>
      <c r="I4" s="118"/>
    </row>
    <row r="5" spans="2:9" ht="15.75" customHeight="1">
      <c r="B5" s="212"/>
      <c r="C5" s="207"/>
      <c r="D5" s="233"/>
      <c r="E5" s="210"/>
      <c r="F5" s="230"/>
      <c r="G5" s="230"/>
      <c r="H5" s="230"/>
      <c r="I5" s="230"/>
    </row>
    <row r="6" spans="2:9" ht="30">
      <c r="B6" s="214" t="s">
        <v>3006</v>
      </c>
      <c r="C6" s="214" t="s">
        <v>3209</v>
      </c>
      <c r="D6" s="252" t="s">
        <v>3210</v>
      </c>
      <c r="E6" s="214" t="s">
        <v>3211</v>
      </c>
      <c r="F6" s="230"/>
      <c r="G6" s="230"/>
      <c r="H6" s="230"/>
      <c r="I6" s="230"/>
    </row>
    <row r="7" spans="2:9">
      <c r="B7" s="213" t="s">
        <v>312</v>
      </c>
      <c r="C7" s="216">
        <v>6428994386</v>
      </c>
      <c r="D7" s="217">
        <f t="shared" ref="D7:D45" si="0">C7/$C$34</f>
        <v>2.5840465861099449E-2</v>
      </c>
      <c r="E7" s="233">
        <f>D7*VLOOKUP("European Investment Bank",'Aggregates by country group'!B:F,5,0)</f>
        <v>5.1745532886851645E-2</v>
      </c>
      <c r="F7" s="230"/>
      <c r="G7" s="230"/>
      <c r="H7" s="230"/>
      <c r="I7" s="230"/>
    </row>
    <row r="8" spans="2:9">
      <c r="B8" s="213" t="s">
        <v>370</v>
      </c>
      <c r="C8" s="216">
        <v>12951115777</v>
      </c>
      <c r="D8" s="217">
        <f t="shared" si="0"/>
        <v>5.205524301397562E-2</v>
      </c>
      <c r="E8" s="233">
        <f>D8*VLOOKUP("European Investment Bank",'Aggregates by country group'!B:F,5,0)</f>
        <v>0.10424062413548618</v>
      </c>
      <c r="F8" s="230"/>
      <c r="G8" s="230"/>
      <c r="H8" s="230"/>
      <c r="I8" s="230"/>
    </row>
    <row r="9" spans="2:9" s="14" customFormat="1">
      <c r="B9" s="213" t="s">
        <v>428</v>
      </c>
      <c r="C9" s="216">
        <v>510041217</v>
      </c>
      <c r="D9" s="217">
        <f t="shared" si="0"/>
        <v>2.050041089527577E-3</v>
      </c>
      <c r="E9" s="233">
        <f>D9*VLOOKUP("European Investment Bank",'Aggregates by country group'!B:F,5,0)</f>
        <v>4.105207281778973E-3</v>
      </c>
      <c r="F9" s="234"/>
      <c r="G9" s="234"/>
      <c r="H9" s="234"/>
      <c r="I9" s="234"/>
    </row>
    <row r="10" spans="2:9">
      <c r="B10" s="213" t="s">
        <v>591</v>
      </c>
      <c r="C10" s="216">
        <v>1062312542</v>
      </c>
      <c r="D10" s="217">
        <f t="shared" si="0"/>
        <v>4.2698203369326716E-3</v>
      </c>
      <c r="E10" s="233">
        <f>D10*VLOOKUP("European Investment Bank",'Aggregates by country group'!B:F,5,0)</f>
        <v>8.5503152247076754E-3</v>
      </c>
      <c r="F10" s="118"/>
      <c r="G10" s="118"/>
      <c r="H10" s="118"/>
      <c r="I10" s="118"/>
    </row>
    <row r="11" spans="2:9">
      <c r="B11" s="213" t="s">
        <v>618</v>
      </c>
      <c r="C11" s="216">
        <v>321508011</v>
      </c>
      <c r="D11" s="217">
        <f t="shared" si="0"/>
        <v>1.2922575885906966E-3</v>
      </c>
      <c r="E11" s="233">
        <f>D11*VLOOKUP("European Investment Bank",'Aggregates by country group'!B:F,5,0)</f>
        <v>2.5877458211528699E-3</v>
      </c>
      <c r="F11" s="118"/>
      <c r="G11" s="118"/>
      <c r="H11" s="118"/>
      <c r="I11" s="118"/>
    </row>
    <row r="12" spans="2:9">
      <c r="B12" s="213" t="s">
        <v>632</v>
      </c>
      <c r="C12" s="216">
        <v>2206922328</v>
      </c>
      <c r="D12" s="217">
        <f t="shared" si="0"/>
        <v>8.8704232187491166E-3</v>
      </c>
      <c r="E12" s="233">
        <f>D12*VLOOKUP("European Investment Bank",'Aggregates by country group'!B:F,5,0)</f>
        <v>1.7763022495545105E-2</v>
      </c>
      <c r="F12" s="118"/>
      <c r="G12" s="118"/>
      <c r="H12" s="118"/>
      <c r="I12" s="118"/>
    </row>
    <row r="13" spans="2:9">
      <c r="B13" s="213" t="s">
        <v>767</v>
      </c>
      <c r="C13" s="216">
        <v>6557521657</v>
      </c>
      <c r="D13" s="217">
        <f t="shared" si="0"/>
        <v>2.6357063692593618E-2</v>
      </c>
      <c r="E13" s="233">
        <f>D13*VLOOKUP("European Investment Bank",'Aggregates by country group'!B:F,5,0)</f>
        <v>5.2780020044418716E-2</v>
      </c>
      <c r="F13" s="118"/>
      <c r="G13" s="118"/>
      <c r="H13" s="118"/>
      <c r="I13" s="118"/>
    </row>
    <row r="14" spans="2:9">
      <c r="B14" s="213" t="s">
        <v>840</v>
      </c>
      <c r="C14" s="216">
        <v>206248240</v>
      </c>
      <c r="D14" s="217">
        <f t="shared" si="0"/>
        <v>8.2898666333224046E-4</v>
      </c>
      <c r="E14" s="233">
        <f>D14*VLOOKUP("European Investment Bank",'Aggregates by country group'!B:F,5,0)</f>
        <v>1.6600457933228115E-3</v>
      </c>
      <c r="F14" s="118"/>
      <c r="G14" s="118"/>
      <c r="H14" s="118"/>
      <c r="I14" s="118"/>
    </row>
    <row r="15" spans="2:9">
      <c r="B15" s="213" t="s">
        <v>917</v>
      </c>
      <c r="C15" s="216">
        <v>3693702498</v>
      </c>
      <c r="D15" s="217">
        <f t="shared" si="0"/>
        <v>1.4846333278572373E-2</v>
      </c>
      <c r="E15" s="233">
        <f>D15*VLOOKUP("European Investment Bank",'Aggregates by country group'!B:F,5,0)</f>
        <v>2.9729782390341176E-2</v>
      </c>
      <c r="F15" s="118"/>
      <c r="G15" s="118"/>
      <c r="H15" s="118"/>
      <c r="I15" s="118"/>
    </row>
    <row r="16" spans="2:9">
      <c r="B16" s="213" t="s">
        <v>1012</v>
      </c>
      <c r="C16" s="216">
        <v>46722369149</v>
      </c>
      <c r="D16" s="217">
        <f t="shared" si="0"/>
        <v>0.18779418871068534</v>
      </c>
      <c r="E16" s="233">
        <f>D16*VLOOKUP("European Investment Bank",'Aggregates by country group'!B:F,5,0)</f>
        <v>0.37605786289314741</v>
      </c>
      <c r="F16" s="118"/>
      <c r="G16" s="118"/>
      <c r="H16" s="118"/>
      <c r="I16" s="118"/>
    </row>
    <row r="17" spans="2:9">
      <c r="B17" s="213" t="s">
        <v>1136</v>
      </c>
      <c r="C17" s="216">
        <v>46722369149</v>
      </c>
      <c r="D17" s="217">
        <f t="shared" si="0"/>
        <v>0.18779418871068534</v>
      </c>
      <c r="E17" s="233">
        <f>D17*VLOOKUP("European Investment Bank",'Aggregates by country group'!B:F,5,0)</f>
        <v>0.37605786289314741</v>
      </c>
      <c r="F17" s="118"/>
      <c r="G17" s="118"/>
      <c r="H17" s="118"/>
      <c r="I17" s="118"/>
    </row>
    <row r="18" spans="2:9">
      <c r="B18" s="213" t="s">
        <v>1294</v>
      </c>
      <c r="C18" s="216">
        <v>3512961713</v>
      </c>
      <c r="D18" s="217">
        <f t="shared" si="0"/>
        <v>1.4119870350766542E-2</v>
      </c>
      <c r="E18" s="233">
        <f>D18*VLOOKUP("European Investment Bank",'Aggregates by country group'!B:F,5,0)</f>
        <v>2.827504037741E-2</v>
      </c>
      <c r="F18" s="118"/>
      <c r="G18" s="118"/>
      <c r="H18" s="118"/>
      <c r="I18" s="118"/>
    </row>
    <row r="19" spans="2:9">
      <c r="B19" s="213" t="s">
        <v>1335</v>
      </c>
      <c r="C19" s="216">
        <v>2087849195</v>
      </c>
      <c r="D19" s="217">
        <f t="shared" si="0"/>
        <v>8.3918250051683071E-3</v>
      </c>
      <c r="E19" s="233">
        <f>D19*VLOOKUP("European Investment Bank",'Aggregates by country group'!B:F,5,0)</f>
        <v>1.6804629572849533E-2</v>
      </c>
      <c r="F19" s="118"/>
      <c r="G19" s="118"/>
      <c r="H19" s="118"/>
      <c r="I19" s="118"/>
    </row>
    <row r="20" spans="2:9">
      <c r="B20" s="213" t="s">
        <v>1383</v>
      </c>
      <c r="C20" s="216">
        <v>1639379073</v>
      </c>
      <c r="D20" s="217">
        <f t="shared" si="0"/>
        <v>6.5892605321770095E-3</v>
      </c>
      <c r="E20" s="233">
        <f>D20*VLOOKUP("European Investment Bank",'Aggregates by country group'!B:F,5,0)</f>
        <v>1.3194994215684461E-2</v>
      </c>
      <c r="F20" s="118"/>
      <c r="G20" s="118"/>
      <c r="H20" s="118"/>
      <c r="I20" s="118"/>
    </row>
    <row r="21" spans="2:9">
      <c r="B21" s="213" t="s">
        <v>1412</v>
      </c>
      <c r="C21" s="216">
        <v>46722369149</v>
      </c>
      <c r="D21" s="217">
        <f t="shared" si="0"/>
        <v>0.18779418871068534</v>
      </c>
      <c r="E21" s="233">
        <f>D21*VLOOKUP("European Investment Bank",'Aggregates by country group'!B:F,5,0)</f>
        <v>0.37605786289314741</v>
      </c>
      <c r="F21" s="118"/>
      <c r="G21" s="118"/>
      <c r="H21" s="118"/>
      <c r="I21" s="118"/>
    </row>
    <row r="22" spans="2:9">
      <c r="B22" s="213" t="s">
        <v>1516</v>
      </c>
      <c r="C22" s="216">
        <v>267076094</v>
      </c>
      <c r="D22" s="217">
        <f t="shared" si="0"/>
        <v>1.0734759240654263E-3</v>
      </c>
      <c r="E22" s="233">
        <f>D22*VLOOKUP("European Investment Bank",'Aggregates by country group'!B:F,5,0)</f>
        <v>2.1496355379410164E-3</v>
      </c>
      <c r="F22" s="118"/>
      <c r="G22" s="118"/>
      <c r="H22" s="118"/>
      <c r="I22" s="118"/>
    </row>
    <row r="23" spans="2:9">
      <c r="B23" s="213" t="s">
        <v>1562</v>
      </c>
      <c r="C23" s="216">
        <v>437633208</v>
      </c>
      <c r="D23" s="217">
        <f t="shared" si="0"/>
        <v>1.7590069755906977E-3</v>
      </c>
      <c r="E23" s="233">
        <f>D23*VLOOKUP("European Investment Bank",'Aggregates by country group'!B:F,5,0)</f>
        <v>3.5224114686203721E-3</v>
      </c>
      <c r="F23" s="118"/>
      <c r="G23" s="118"/>
      <c r="H23" s="118"/>
      <c r="I23" s="118"/>
    </row>
    <row r="24" spans="2:9">
      <c r="B24" s="213" t="s">
        <v>1653</v>
      </c>
      <c r="C24" s="216">
        <v>327878318</v>
      </c>
      <c r="D24" s="217">
        <f t="shared" si="0"/>
        <v>1.3178621685101762E-3</v>
      </c>
      <c r="E24" s="233">
        <f>D24*VLOOKUP("European Investment Bank",'Aggregates by country group'!B:F,5,0)</f>
        <v>2.6390189924416279E-3</v>
      </c>
      <c r="F24" s="118"/>
      <c r="G24" s="118"/>
      <c r="H24" s="118"/>
      <c r="I24" s="118"/>
    </row>
    <row r="25" spans="2:9">
      <c r="B25" s="213" t="s">
        <v>1682</v>
      </c>
      <c r="C25" s="216">
        <v>122381664</v>
      </c>
      <c r="D25" s="217">
        <f t="shared" si="0"/>
        <v>4.9189640257006498E-4</v>
      </c>
      <c r="E25" s="233">
        <f>D25*VLOOKUP("European Investment Bank",'Aggregates by country group'!B:F,5,0)</f>
        <v>9.8502254614655517E-4</v>
      </c>
      <c r="F25" s="118"/>
      <c r="G25" s="118"/>
      <c r="H25" s="118"/>
      <c r="I25" s="118"/>
    </row>
    <row r="26" spans="2:9">
      <c r="B26" s="213" t="s">
        <v>1687</v>
      </c>
      <c r="C26" s="216">
        <v>12951115777</v>
      </c>
      <c r="D26" s="217">
        <f t="shared" si="0"/>
        <v>5.205524301397562E-2</v>
      </c>
      <c r="E26" s="233">
        <f>D26*VLOOKUP("European Investment Bank",'Aggregates by country group'!B:F,5,0)</f>
        <v>0.10424062413548618</v>
      </c>
      <c r="F26" s="118"/>
      <c r="G26" s="118"/>
      <c r="H26" s="118"/>
      <c r="I26" s="118"/>
    </row>
    <row r="27" spans="2:9">
      <c r="B27" s="213" t="s">
        <v>1894</v>
      </c>
      <c r="C27" s="216">
        <v>11366679827</v>
      </c>
      <c r="D27" s="217">
        <f t="shared" si="0"/>
        <v>4.5686818869099775E-2</v>
      </c>
      <c r="E27" s="233">
        <f>D27*VLOOKUP("European Investment Bank",'Aggregates by country group'!B:F,5,0)</f>
        <v>9.1487854785372302E-2</v>
      </c>
      <c r="F27" s="118"/>
      <c r="G27" s="118"/>
      <c r="H27" s="118"/>
      <c r="I27" s="118"/>
    </row>
    <row r="28" spans="2:9">
      <c r="B28" s="213" t="s">
        <v>1957</v>
      </c>
      <c r="C28" s="216">
        <v>2263904037</v>
      </c>
      <c r="D28" s="217">
        <f t="shared" si="0"/>
        <v>9.0994534243638587E-3</v>
      </c>
      <c r="E28" s="233">
        <f>D28*VLOOKUP("European Investment Bank",'Aggregates by country group'!B:F,5,0)</f>
        <v>1.8221655482288625E-2</v>
      </c>
      <c r="F28" s="118"/>
      <c r="G28" s="118"/>
      <c r="H28" s="118"/>
      <c r="I28" s="118"/>
    </row>
    <row r="29" spans="2:9">
      <c r="B29" s="213" t="s">
        <v>2034</v>
      </c>
      <c r="C29" s="216">
        <v>1639379073</v>
      </c>
      <c r="D29" s="217">
        <f t="shared" si="0"/>
        <v>6.5892605321770095E-3</v>
      </c>
      <c r="E29" s="233">
        <f>D29*VLOOKUP("European Investment Bank",'Aggregates by country group'!B:F,5,0)</f>
        <v>1.3194994215684461E-2</v>
      </c>
      <c r="F29" s="118"/>
      <c r="G29" s="118"/>
      <c r="H29" s="118"/>
      <c r="I29" s="118"/>
    </row>
    <row r="30" spans="2:9">
      <c r="B30" s="213" t="s">
        <v>2063</v>
      </c>
      <c r="C30" s="216">
        <v>751236149</v>
      </c>
      <c r="D30" s="217">
        <f t="shared" si="0"/>
        <v>3.0194912137629483E-3</v>
      </c>
      <c r="E30" s="233">
        <f>D30*VLOOKUP("European Investment Bank",'Aggregates by country group'!B:F,5,0)</f>
        <v>6.0465311555603042E-3</v>
      </c>
      <c r="F30" s="118"/>
      <c r="G30" s="118"/>
      <c r="H30" s="118"/>
      <c r="I30" s="118"/>
    </row>
    <row r="31" spans="2:9">
      <c r="B31" s="213" t="s">
        <v>2106</v>
      </c>
      <c r="C31" s="216">
        <v>697455090</v>
      </c>
      <c r="D31" s="217">
        <f t="shared" si="0"/>
        <v>2.8033255841755909E-3</v>
      </c>
      <c r="E31" s="233">
        <f>D31*VLOOKUP("European Investment Bank",'Aggregates by country group'!B:F,5,0)</f>
        <v>5.6136594823116203E-3</v>
      </c>
      <c r="F31" s="118"/>
      <c r="G31" s="118"/>
      <c r="H31" s="118"/>
      <c r="I31" s="118"/>
    </row>
    <row r="32" spans="2:9">
      <c r="B32" s="213" t="s">
        <v>2162</v>
      </c>
      <c r="C32" s="216">
        <v>28033421847</v>
      </c>
      <c r="D32" s="217">
        <f t="shared" si="0"/>
        <v>0.11267651466373563</v>
      </c>
      <c r="E32" s="233">
        <f>D32*VLOOKUP("European Investment Bank",'Aggregates by country group'!B:F,5,0)</f>
        <v>0.22563472061413059</v>
      </c>
      <c r="F32" s="118"/>
      <c r="G32" s="118"/>
      <c r="H32" s="118"/>
      <c r="I32" s="118"/>
    </row>
    <row r="33" spans="2:9">
      <c r="B33" s="213" t="s">
        <v>2258</v>
      </c>
      <c r="C33" s="216">
        <v>8591781713</v>
      </c>
      <c r="D33" s="217">
        <f t="shared" si="0"/>
        <v>3.4533494464431949E-2</v>
      </c>
      <c r="E33" s="233">
        <f>D33*VLOOKUP("European Investment Bank",'Aggregates by country group'!B:F,5,0)</f>
        <v>6.9153322665024983E-2</v>
      </c>
      <c r="F33" s="118"/>
      <c r="G33" s="118"/>
      <c r="H33" s="118"/>
      <c r="I33" s="118"/>
    </row>
    <row r="34" spans="2:9" ht="16.5" customHeight="1">
      <c r="B34" s="214" t="s">
        <v>3198</v>
      </c>
      <c r="C34" s="220">
        <v>248795606881</v>
      </c>
      <c r="D34" s="221">
        <f t="shared" si="0"/>
        <v>1</v>
      </c>
      <c r="E34" s="233">
        <f>D34*VLOOKUP("European Investment Bank",'Aggregates by country group'!B:F,5,0)</f>
        <v>2.0024999999999999</v>
      </c>
      <c r="F34" s="118"/>
      <c r="G34" s="118"/>
      <c r="H34" s="118"/>
      <c r="I34" s="118"/>
    </row>
    <row r="35" spans="2:9">
      <c r="B35" s="207" t="s">
        <v>2548</v>
      </c>
      <c r="C35" s="207">
        <v>0</v>
      </c>
      <c r="D35" s="217">
        <f t="shared" si="0"/>
        <v>0</v>
      </c>
      <c r="E35" s="233">
        <f>D35*VLOOKUP("European Investment Bank",'Aggregates by country group'!B:F,5,0)</f>
        <v>0</v>
      </c>
      <c r="F35" s="118"/>
      <c r="G35" s="118"/>
      <c r="H35" s="118"/>
      <c r="I35" s="118"/>
    </row>
    <row r="36" spans="2:9">
      <c r="B36" s="207" t="s">
        <v>452</v>
      </c>
      <c r="C36" s="207">
        <v>0</v>
      </c>
      <c r="D36" s="217">
        <f t="shared" si="0"/>
        <v>0</v>
      </c>
      <c r="E36" s="233">
        <f>D36*VLOOKUP("European Investment Bank",'Aggregates by country group'!B:F,5,0)</f>
        <v>0</v>
      </c>
      <c r="F36" s="118"/>
      <c r="G36" s="118"/>
      <c r="H36" s="118"/>
      <c r="I36" s="118"/>
    </row>
    <row r="37" spans="2:9">
      <c r="B37" s="207" t="s">
        <v>2392</v>
      </c>
      <c r="C37" s="207">
        <v>0</v>
      </c>
      <c r="D37" s="217">
        <f t="shared" si="0"/>
        <v>0</v>
      </c>
      <c r="E37" s="233">
        <f>D37*VLOOKUP("European Investment Bank",'Aggregates by country group'!B:F,5,0)</f>
        <v>0</v>
      </c>
      <c r="F37" s="118"/>
      <c r="G37" s="118"/>
      <c r="H37" s="118"/>
      <c r="I37" s="118"/>
    </row>
    <row r="38" spans="2:9">
      <c r="B38" s="207" t="s">
        <v>1471</v>
      </c>
      <c r="C38" s="207">
        <v>0</v>
      </c>
      <c r="D38" s="217">
        <f t="shared" si="0"/>
        <v>0</v>
      </c>
      <c r="E38" s="233">
        <f>D38*VLOOKUP("European Investment Bank",'Aggregates by country group'!B:F,5,0)</f>
        <v>0</v>
      </c>
      <c r="F38" s="118"/>
      <c r="G38" s="118"/>
      <c r="H38" s="118"/>
      <c r="I38" s="118"/>
    </row>
    <row r="39" spans="2:9">
      <c r="B39" s="207" t="s">
        <v>2951</v>
      </c>
      <c r="C39" s="207">
        <v>0</v>
      </c>
      <c r="D39" s="217">
        <f t="shared" si="0"/>
        <v>0</v>
      </c>
      <c r="E39" s="233">
        <f>D39*VLOOKUP("European Investment Bank",'Aggregates by country group'!B:F,5,0)</f>
        <v>0</v>
      </c>
      <c r="F39" s="118"/>
      <c r="G39" s="118"/>
      <c r="H39" s="118"/>
      <c r="I39" s="118"/>
    </row>
    <row r="40" spans="2:9">
      <c r="B40" s="118" t="s">
        <v>2348</v>
      </c>
      <c r="C40" s="207">
        <v>0</v>
      </c>
      <c r="D40" s="217">
        <f t="shared" si="0"/>
        <v>0</v>
      </c>
      <c r="E40" s="233">
        <f>D40*VLOOKUP("European Investment Bank",'Aggregates by country group'!B:F,5,0)</f>
        <v>0</v>
      </c>
      <c r="F40" s="118"/>
      <c r="G40" s="118"/>
      <c r="H40" s="118"/>
      <c r="I40" s="118"/>
    </row>
    <row r="41" spans="2:9">
      <c r="B41" s="118" t="s">
        <v>2329</v>
      </c>
      <c r="C41" s="207">
        <v>0</v>
      </c>
      <c r="D41" s="217">
        <f t="shared" si="0"/>
        <v>0</v>
      </c>
      <c r="E41" s="233">
        <f>D41*VLOOKUP("European Investment Bank",'Aggregates by country group'!B:F,5,0)</f>
        <v>0</v>
      </c>
      <c r="F41" s="118"/>
      <c r="G41" s="118"/>
      <c r="H41" s="118"/>
      <c r="I41" s="118"/>
    </row>
    <row r="42" spans="2:9">
      <c r="B42" s="118" t="s">
        <v>1804</v>
      </c>
      <c r="C42" s="207">
        <v>0</v>
      </c>
      <c r="D42" s="217">
        <f t="shared" si="0"/>
        <v>0</v>
      </c>
      <c r="E42" s="233">
        <f>D42*VLOOKUP("European Investment Bank",'Aggregates by country group'!B:F,5,0)</f>
        <v>0</v>
      </c>
      <c r="F42" s="118"/>
      <c r="G42" s="118"/>
      <c r="H42" s="118"/>
      <c r="I42" s="118"/>
    </row>
    <row r="43" spans="2:9">
      <c r="B43" s="118" t="s">
        <v>1766</v>
      </c>
      <c r="C43" s="207">
        <v>0</v>
      </c>
      <c r="D43" s="217">
        <f t="shared" si="0"/>
        <v>0</v>
      </c>
      <c r="E43" s="233">
        <f>D43*VLOOKUP("European Investment Bank",'Aggregates by country group'!B:F,5,0)</f>
        <v>0</v>
      </c>
      <c r="F43" s="118"/>
      <c r="G43" s="118"/>
      <c r="H43" s="118"/>
      <c r="I43" s="118"/>
    </row>
    <row r="44" spans="2:9">
      <c r="B44" s="118" t="s">
        <v>227</v>
      </c>
      <c r="C44" s="207">
        <v>0</v>
      </c>
      <c r="D44" s="217">
        <f t="shared" si="0"/>
        <v>0</v>
      </c>
      <c r="E44" s="233">
        <f>D44*VLOOKUP("European Investment Bank",'Aggregates by country group'!B:F,5,0)</f>
        <v>0</v>
      </c>
      <c r="F44" s="118"/>
      <c r="G44" s="118"/>
      <c r="H44" s="118"/>
      <c r="I44" s="118"/>
    </row>
    <row r="45" spans="2:9">
      <c r="B45" s="118" t="s">
        <v>2002</v>
      </c>
      <c r="C45" s="207">
        <v>0</v>
      </c>
      <c r="D45" s="217">
        <f t="shared" si="0"/>
        <v>0</v>
      </c>
      <c r="E45" s="233">
        <f>D45*VLOOKUP("European Investment Bank",'Aggregates by country group'!B:F,5,0)</f>
        <v>0</v>
      </c>
      <c r="F45" s="118"/>
      <c r="G45" s="118"/>
      <c r="H45" s="118"/>
      <c r="I45" s="118"/>
    </row>
    <row r="46" spans="2:9">
      <c r="B46" s="33" t="s">
        <v>2825</v>
      </c>
      <c r="C46" s="207">
        <v>0</v>
      </c>
      <c r="D46" s="217">
        <f t="shared" ref="D46:D49" si="1">C46/$C$34</f>
        <v>0</v>
      </c>
      <c r="E46" s="233">
        <f>D46*VLOOKUP("European Investment Bank",'Aggregates by country group'!B:F,5,0)</f>
        <v>0</v>
      </c>
      <c r="F46" s="118"/>
      <c r="G46" s="118"/>
      <c r="H46" s="118"/>
      <c r="I46" s="118"/>
    </row>
    <row r="47" spans="2:9">
      <c r="B47" s="33" t="s">
        <v>583</v>
      </c>
      <c r="C47" s="207">
        <v>0</v>
      </c>
      <c r="D47" s="217">
        <f t="shared" si="1"/>
        <v>0</v>
      </c>
      <c r="E47" s="233">
        <f>D47*VLOOKUP("European Investment Bank",'Aggregates by country group'!B:F,5,0)</f>
        <v>0</v>
      </c>
      <c r="F47" s="118"/>
      <c r="G47" s="118"/>
      <c r="H47" s="118"/>
      <c r="I47" s="118"/>
    </row>
    <row r="48" spans="2:9">
      <c r="B48" s="33" t="s">
        <v>2368</v>
      </c>
      <c r="C48" s="207">
        <v>0</v>
      </c>
      <c r="D48" s="217">
        <f t="shared" si="1"/>
        <v>0</v>
      </c>
      <c r="E48" s="233">
        <f>D48*VLOOKUP("European Investment Bank",'Aggregates by country group'!B:F,5,0)</f>
        <v>0</v>
      </c>
      <c r="F48" s="118"/>
      <c r="G48" s="118"/>
      <c r="H48" s="118"/>
      <c r="I48" s="118"/>
    </row>
    <row r="49" spans="2:5">
      <c r="B49" s="33" t="s">
        <v>1369</v>
      </c>
      <c r="C49" s="207">
        <v>0</v>
      </c>
      <c r="D49" s="217">
        <f t="shared" si="1"/>
        <v>0</v>
      </c>
      <c r="E49" s="233">
        <f>D49*VLOOKUP("European Investment Bank",'Aggregates by country group'!B:F,5,0)</f>
        <v>0</v>
      </c>
    </row>
  </sheetData>
  <hyperlinks>
    <hyperlink ref="C4" r:id="rId1" xr:uid="{00000000-0004-0000-1B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V1191"/>
  <sheetViews>
    <sheetView zoomScaleNormal="100" workbookViewId="0">
      <pane xSplit="1" ySplit="1" topLeftCell="B2" activePane="bottomRight" state="frozen"/>
      <selection pane="bottomRight"/>
      <selection pane="bottomLeft" activeCell="D11" sqref="D11"/>
      <selection pane="topRight" activeCell="D11" sqref="D11"/>
    </sheetView>
  </sheetViews>
  <sheetFormatPr defaultColWidth="10.5" defaultRowHeight="15" customHeight="1"/>
  <cols>
    <col min="1" max="1" width="8" style="41" customWidth="1"/>
    <col min="2" max="2" width="16.5" style="41" customWidth="1"/>
    <col min="3" max="3" width="18.5" style="511" customWidth="1"/>
    <col min="4" max="4" width="19.5" style="18" customWidth="1"/>
    <col min="5" max="5" width="37" style="18" customWidth="1"/>
    <col min="6" max="6" width="55" style="512" customWidth="1"/>
    <col min="7" max="7" width="19" style="39" customWidth="1"/>
    <col min="8" max="8" width="31.5" style="513" customWidth="1"/>
    <col min="9" max="9" width="76.375" style="41" customWidth="1"/>
    <col min="10" max="10" width="5.875" style="276" customWidth="1"/>
    <col min="11" max="11" width="55.5" style="276" bestFit="1" customWidth="1"/>
    <col min="12" max="12" width="7.5" style="514" customWidth="1"/>
    <col min="13" max="13" width="16.5" style="515" customWidth="1"/>
    <col min="14" max="14" width="15" style="515" customWidth="1"/>
    <col min="15" max="15" width="18.5" style="515" customWidth="1"/>
    <col min="16" max="16" width="38" style="513" customWidth="1"/>
    <col min="17" max="17" width="37" style="513" customWidth="1"/>
    <col min="18" max="18" width="24.5" style="513" customWidth="1"/>
    <col min="19" max="19" width="24" style="513" customWidth="1"/>
    <col min="20" max="20" width="39.5" style="513" customWidth="1"/>
    <col min="21" max="21" width="17" style="39" customWidth="1"/>
    <col min="22" max="22" width="37.5" style="517" customWidth="1"/>
    <col min="23" max="23" width="32.5" style="517" customWidth="1"/>
    <col min="24" max="25" width="36" style="517" customWidth="1"/>
    <col min="26" max="26" width="44.5" style="39" customWidth="1"/>
    <col min="27" max="27" width="27" style="518" customWidth="1"/>
    <col min="28" max="28" width="24.5" style="38" customWidth="1"/>
    <col min="29" max="29" width="32" style="519" customWidth="1"/>
    <col min="30" max="30" width="20.5" style="518" customWidth="1"/>
    <col min="31" max="32" width="20.5" style="521" customWidth="1"/>
    <col min="33" max="39" width="20.5" style="518" customWidth="1"/>
    <col min="40" max="40" width="15" style="521" customWidth="1"/>
    <col min="41" max="41" width="26.5" style="521" customWidth="1"/>
    <col min="42" max="42" width="22" style="517" customWidth="1"/>
    <col min="43" max="43" width="12.5" style="521" customWidth="1"/>
    <col min="44" max="16384" width="10.5" style="521"/>
  </cols>
  <sheetData>
    <row r="1" spans="1:48" s="576" customFormat="1" ht="15" customHeight="1">
      <c r="A1" s="565" t="s">
        <v>180</v>
      </c>
      <c r="B1" s="565" t="s">
        <v>181</v>
      </c>
      <c r="C1" s="566" t="s">
        <v>182</v>
      </c>
      <c r="D1" s="565" t="s">
        <v>183</v>
      </c>
      <c r="E1" s="565" t="s">
        <v>184</v>
      </c>
      <c r="F1" s="565" t="s">
        <v>185</v>
      </c>
      <c r="G1" s="565" t="s">
        <v>186</v>
      </c>
      <c r="H1" s="567" t="s">
        <v>187</v>
      </c>
      <c r="I1" s="568" t="s">
        <v>188</v>
      </c>
      <c r="J1" s="569" t="s">
        <v>189</v>
      </c>
      <c r="K1" s="570" t="s">
        <v>190</v>
      </c>
      <c r="L1" s="571" t="s">
        <v>191</v>
      </c>
      <c r="M1" s="572" t="s">
        <v>192</v>
      </c>
      <c r="N1" s="572" t="s">
        <v>193</v>
      </c>
      <c r="O1" s="573" t="s">
        <v>194</v>
      </c>
      <c r="P1" s="574" t="s">
        <v>195</v>
      </c>
      <c r="Q1" s="574" t="s">
        <v>196</v>
      </c>
      <c r="R1" s="574" t="s">
        <v>197</v>
      </c>
      <c r="S1" s="575" t="s">
        <v>198</v>
      </c>
      <c r="T1" s="571" t="s">
        <v>199</v>
      </c>
      <c r="U1" s="565" t="s">
        <v>200</v>
      </c>
      <c r="V1" s="576" t="s">
        <v>201</v>
      </c>
      <c r="W1" s="576" t="s">
        <v>202</v>
      </c>
      <c r="X1" s="576" t="s">
        <v>203</v>
      </c>
      <c r="Y1" s="576" t="s">
        <v>204</v>
      </c>
      <c r="Z1" s="565" t="s">
        <v>205</v>
      </c>
      <c r="AA1" s="576" t="s">
        <v>206</v>
      </c>
      <c r="AB1" s="577" t="s">
        <v>207</v>
      </c>
      <c r="AC1" s="578" t="s">
        <v>208</v>
      </c>
      <c r="AD1" s="579" t="s">
        <v>209</v>
      </c>
      <c r="AE1" s="579" t="s">
        <v>210</v>
      </c>
      <c r="AF1" s="579" t="s">
        <v>211</v>
      </c>
      <c r="AG1" s="579" t="s">
        <v>212</v>
      </c>
      <c r="AH1" s="579" t="s">
        <v>213</v>
      </c>
      <c r="AI1" s="579" t="s">
        <v>214</v>
      </c>
      <c r="AJ1" s="579" t="s">
        <v>215</v>
      </c>
      <c r="AK1" s="579" t="s">
        <v>216</v>
      </c>
      <c r="AL1" s="579" t="s">
        <v>217</v>
      </c>
      <c r="AM1" s="579" t="s">
        <v>218</v>
      </c>
      <c r="AN1" s="576" t="s">
        <v>219</v>
      </c>
      <c r="AO1" s="576" t="s">
        <v>190</v>
      </c>
      <c r="AP1" s="576" t="s">
        <v>220</v>
      </c>
      <c r="AQ1" s="576" t="str">
        <f>'Price List, Weapons &amp; Items'!K1</f>
        <v>Relative importance(2=very imporant, 1=important, 0=less important)</v>
      </c>
      <c r="AR1" s="576" t="s">
        <v>221</v>
      </c>
      <c r="AS1" s="576" t="s">
        <v>222</v>
      </c>
      <c r="AT1" s="576" t="s">
        <v>223</v>
      </c>
      <c r="AU1" s="576" t="s">
        <v>224</v>
      </c>
      <c r="AV1" s="576" t="s">
        <v>225</v>
      </c>
    </row>
    <row r="2" spans="1:48" ht="15" customHeight="1">
      <c r="A2" s="41" t="s">
        <v>226</v>
      </c>
      <c r="B2" s="41" t="s">
        <v>227</v>
      </c>
      <c r="C2" s="511">
        <v>44621</v>
      </c>
      <c r="D2" s="18" t="s">
        <v>228</v>
      </c>
      <c r="E2" s="18" t="s">
        <v>229</v>
      </c>
      <c r="F2" s="512" t="s">
        <v>230</v>
      </c>
      <c r="G2" s="39" t="s">
        <v>231</v>
      </c>
      <c r="H2" s="513">
        <v>35000000</v>
      </c>
      <c r="I2" s="523" t="s">
        <v>232</v>
      </c>
      <c r="J2" s="276" t="str">
        <f>VLOOKUP($I2,'Price List, Weapons &amp; Items'!A:B,2,0)</f>
        <v>.</v>
      </c>
      <c r="K2" s="276" t="str">
        <f>IF(I2=".",I2,VLOOKUP($I2,'Price List, Weapons &amp; Items'!A:C,3,0))</f>
        <v>.</v>
      </c>
      <c r="L2" s="514">
        <f>VLOOKUP(I2,'Price List, Weapons &amp; Items'!A:D,4,0)</f>
        <v>0</v>
      </c>
      <c r="M2" s="515" t="s">
        <v>232</v>
      </c>
      <c r="N2" s="515" t="s">
        <v>232</v>
      </c>
      <c r="O2" s="516" t="str">
        <f>VLOOKUP($I2,'Price List, Weapons &amp; Items'!A:F,6,0)</f>
        <v>.</v>
      </c>
      <c r="P2" s="513" t="str">
        <f t="shared" ref="P2" si="0">IF(TYPE(M2)=1,IF(TYPE(O2)=1,M2*O2,"No price"),".")</f>
        <v>.</v>
      </c>
      <c r="Q2" s="513" t="str">
        <f t="shared" ref="Q2" si="1">IF(TYPE(N2)=1,IF(TYPE(O2)=1,N2*O2,"No price"),".")</f>
        <v>.</v>
      </c>
      <c r="R2" s="513">
        <f t="shared" ref="R2:R65" si="2">IF(AD2=1,IF(H2&lt;&gt;"Not given",H2,IF(TYPE(H2)=2,IF(SUMIFS(P:P,A:A,A2)&gt;0,SUMIFS(P:P,A:A,A2),"."),"Format error")),"")</f>
        <v>35000000</v>
      </c>
      <c r="S2" s="513">
        <f>IF(AND(AD2=1,R2&lt;&gt;".")=TRUE,R2/VLOOKUP(G2,'Exchange rates'!B:C,2,0),IF(R2=".",".",""))</f>
        <v>22593764.121102575</v>
      </c>
      <c r="T2" s="513" t="str">
        <f>IF(AD2=1,IF(AF2="Value is not given at all",".",IF(AF2="Value is given by the source",S2,IF(AF2="Value is calculated with prices",(IF(SUMIFS(Q:Q,A:A,A2)&gt;0,SUMIFS(Q:Q,A:A,A2),"."))/VLOOKUP("USD",'Exchange rates'!B:C,2,0),"Error with coding"))),"")</f>
        <v>.</v>
      </c>
      <c r="U2" s="39" t="s">
        <v>233</v>
      </c>
      <c r="V2" s="42" t="s">
        <v>234</v>
      </c>
      <c r="W2" s="42" t="s">
        <v>235</v>
      </c>
      <c r="X2" s="517" t="s">
        <v>232</v>
      </c>
      <c r="Y2" s="517" t="s">
        <v>232</v>
      </c>
      <c r="Z2" s="39">
        <v>0</v>
      </c>
      <c r="AA2" s="518">
        <v>0</v>
      </c>
      <c r="AB2" s="38" t="s">
        <v>232</v>
      </c>
      <c r="AC2" s="519" t="str">
        <f>""</f>
        <v/>
      </c>
      <c r="AD2" s="520">
        <v>1</v>
      </c>
      <c r="AE2" s="520" t="s">
        <v>236</v>
      </c>
      <c r="AF2" s="520" t="s">
        <v>237</v>
      </c>
      <c r="AG2" s="520">
        <v>1</v>
      </c>
      <c r="AH2" s="520">
        <v>3</v>
      </c>
      <c r="AI2" s="520">
        <v>0</v>
      </c>
      <c r="AJ2" s="520">
        <f>VLOOKUP($I2,'Price List, Weapons &amp; Items'!A:E,5,0)</f>
        <v>0</v>
      </c>
      <c r="AK2" s="520">
        <f t="shared" ref="AK2" si="3">IF(AND(AJ2=1,M2="undisclosed")=TRUE,1,0)</f>
        <v>0</v>
      </c>
      <c r="AL2" s="520">
        <f t="shared" ref="AL2" si="4">IF(AND(AJ2=1,N2="undisclosed")=TRUE,1,0)</f>
        <v>0</v>
      </c>
      <c r="AM2" s="520">
        <f>IFERROR(IF(SEARCH("ammuni",I2,1)&gt;0,1,0),0)</f>
        <v>0</v>
      </c>
      <c r="AN2" s="521" t="str">
        <f>VLOOKUP($I2,'Price List, Weapons &amp; Items'!A:K,COLUMN('Price List, Weapons &amp; Items'!$I$1),0)</f>
        <v>.</v>
      </c>
      <c r="AO2" s="521" t="str">
        <f>IF(I2=".",".",VLOOKUP($I2,'Price List, Weapons &amp; Items'!A:I,3,0))</f>
        <v>.</v>
      </c>
      <c r="AP2" s="517" t="str">
        <f t="shared" ref="AP2:AP65" ca="1" si="5">IF(AD2=1,_xlfn.ARRAYTOTEXT(OFFSET(I2,0,0,COUNTIF(A:A,A2),1)),"")</f>
        <v>.</v>
      </c>
      <c r="AQ2" s="521" t="str">
        <f>VLOOKUP($I2,'Price List, Weapons &amp; Items'!A:K,COLUMN('Price List, Weapons &amp; Items'!$K$1),0)</f>
        <v>no price, 0 count</v>
      </c>
      <c r="AS2" s="521">
        <f>IF(U2="Yes",1,0)</f>
        <v>1</v>
      </c>
      <c r="AT2" s="521">
        <f>IF(OR((E2="Weapons"),(E2="Weapons and equipment"),(E2="Weapons and training"),(E2="Weapons and Assistance"),(E2="Military Equipment"))=FALSE,0,1)</f>
        <v>0</v>
      </c>
      <c r="AU2" s="521">
        <f>IFERROR(IF(VALUE(TEXT(C2,"mm"))=AH2,".",1),"Value is not in date format")</f>
        <v>1</v>
      </c>
      <c r="AV2" s="521" t="str">
        <f>IF(AND(A2=A1,C2=C1)=TRUE,IF(F2=F1,".","1"),".")</f>
        <v>.</v>
      </c>
    </row>
    <row r="3" spans="1:48" ht="15" customHeight="1">
      <c r="A3" s="41" t="s">
        <v>238</v>
      </c>
      <c r="B3" s="41" t="s">
        <v>227</v>
      </c>
      <c r="C3" s="511">
        <v>44640</v>
      </c>
      <c r="D3" s="18" t="s">
        <v>228</v>
      </c>
      <c r="E3" s="18" t="s">
        <v>239</v>
      </c>
      <c r="F3" s="512" t="s">
        <v>240</v>
      </c>
      <c r="G3" s="39" t="s">
        <v>231</v>
      </c>
      <c r="H3" s="513">
        <v>32600000</v>
      </c>
      <c r="I3" s="41" t="s">
        <v>241</v>
      </c>
      <c r="J3" s="276" t="str">
        <f>VLOOKUP($I3,'Price List, Weapons &amp; Items'!A:B,2,0)</f>
        <v>Humanitarian</v>
      </c>
      <c r="K3" s="276" t="str">
        <f>IF(I3=".",I3,VLOOKUP($I3,'Price List, Weapons &amp; Items'!A:C,3,0))</f>
        <v>.</v>
      </c>
      <c r="L3" s="514">
        <f>VLOOKUP(I3,'Price List, Weapons &amp; Items'!A:D,4,0)</f>
        <v>0</v>
      </c>
      <c r="M3" s="515">
        <v>70000</v>
      </c>
      <c r="N3" s="515" t="s">
        <v>232</v>
      </c>
      <c r="O3" s="516">
        <f>VLOOKUP($I3,'Price List, Weapons &amp; Items'!A:F,6,0)</f>
        <v>329</v>
      </c>
      <c r="P3" s="513">
        <f t="shared" ref="P3:P71" si="6">IF(TYPE(M3)=1,IF(TYPE(O3)=1,M3*O3,"No price"),".")</f>
        <v>23030000</v>
      </c>
      <c r="Q3" s="513" t="str">
        <f t="shared" ref="Q3:Q71" si="7">IF(TYPE(N3)=1,IF(TYPE(O3)=1,N3*O3,"No price"),".")</f>
        <v>.</v>
      </c>
      <c r="R3" s="513">
        <f t="shared" si="2"/>
        <v>32600000</v>
      </c>
      <c r="S3" s="513">
        <f>IF(AND(AD3=1,R3&lt;&gt;".")=TRUE,R3/VLOOKUP(G3,'Exchange rates'!B:C,2,0),IF(R3=".",".",""))</f>
        <v>21044477.438512687</v>
      </c>
      <c r="T3" s="513" t="str">
        <f>IF(AD3=1,IF(AF3="Value is not given at all",".",IF(AF3="Value is given by the source",S3,IF(AF3="Value is calculated with prices",(IF(SUMIFS(Q:Q,A:A,A3)&gt;0,SUMIFS(Q:Q,A:A,A3),"."))/VLOOKUP("USD",'Exchange rates'!B:C,2,0),"Error with coding"))),"")</f>
        <v>.</v>
      </c>
      <c r="U3" s="39" t="s">
        <v>233</v>
      </c>
      <c r="V3" s="42" t="s">
        <v>242</v>
      </c>
      <c r="W3" s="42" t="s">
        <v>243</v>
      </c>
      <c r="X3" s="42" t="s">
        <v>244</v>
      </c>
      <c r="Y3" s="825" t="s">
        <v>245</v>
      </c>
      <c r="Z3" s="39">
        <v>0</v>
      </c>
      <c r="AA3" s="518">
        <v>0</v>
      </c>
      <c r="AB3" s="38" t="s">
        <v>232</v>
      </c>
      <c r="AC3" s="519" t="str">
        <f>""</f>
        <v/>
      </c>
      <c r="AD3" s="520">
        <v>1</v>
      </c>
      <c r="AE3" s="520" t="s">
        <v>236</v>
      </c>
      <c r="AF3" s="520" t="s">
        <v>237</v>
      </c>
      <c r="AG3" s="520">
        <v>1</v>
      </c>
      <c r="AH3" s="520">
        <v>3</v>
      </c>
      <c r="AI3" s="520">
        <v>0</v>
      </c>
      <c r="AJ3" s="520">
        <f>VLOOKUP($I3,'Price List, Weapons &amp; Items'!A:E,5,0)</f>
        <v>0</v>
      </c>
      <c r="AK3" s="520">
        <f t="shared" ref="AK3:AK66" si="8">IF(AND(AJ3=1,M3="undisclosed")=TRUE,1,0)</f>
        <v>0</v>
      </c>
      <c r="AL3" s="520">
        <f t="shared" ref="AL3:AL66" si="9">IF(AND(AJ3=1,N3="undisclosed")=TRUE,1,0)</f>
        <v>0</v>
      </c>
      <c r="AM3" s="520">
        <f t="shared" ref="AM3:AM66" si="10">IFERROR(IF(SEARCH("ammuni",I3,1)&gt;0,1,0),0)</f>
        <v>0</v>
      </c>
      <c r="AN3" s="521" t="str">
        <f>VLOOKUP($I3,'Price List, Weapons &amp; Items'!A:K,COLUMN('Price List, Weapons &amp; Items'!$I$1),0)</f>
        <v>Media reports (incl. social media)</v>
      </c>
      <c r="AO3" s="521" t="str">
        <f>IF(I3=".",".",VLOOKUP($I3,'Price List, Weapons &amp; Items'!A:I,3,0))</f>
        <v>.</v>
      </c>
      <c r="AP3" s="517" t="str">
        <f t="shared" ca="1" si="5"/>
        <v>ton of coal</v>
      </c>
      <c r="AQ3" s="521">
        <f>VLOOKUP($I3,'Price List, Weapons &amp; Items'!A:K,COLUMN('Price List, Weapons &amp; Items'!$K$1),0)</f>
        <v>0</v>
      </c>
      <c r="AS3" s="521">
        <f t="shared" ref="AS3:AS66" si="11">IF(U3="Yes",1,0)</f>
        <v>1</v>
      </c>
      <c r="AT3" s="521">
        <f t="shared" ref="AT3:AT66" si="12">IF(OR((E3="Weapons"),(E3="Weapons and equipment"),(E3="Weapons and training"),(E3="Weapons and Assistance"),(E3="Military Equipment"))=FALSE,0,1)</f>
        <v>0</v>
      </c>
      <c r="AU3" s="521">
        <f t="shared" ref="AU3:AU66" si="13">IFERROR(IF(VALUE(TEXT(C3,"mm"))=AH3,".",1),"Value is not in date format")</f>
        <v>1</v>
      </c>
      <c r="AV3" s="521" t="str">
        <f t="shared" ref="AV3:AV66" si="14">IF(AND(A3=A2,C3=C2)=TRUE,IF(F3=F2,".","1"),".")</f>
        <v>.</v>
      </c>
    </row>
    <row r="4" spans="1:48" ht="15" customHeight="1">
      <c r="A4" s="41" t="s">
        <v>246</v>
      </c>
      <c r="B4" s="41" t="s">
        <v>227</v>
      </c>
      <c r="C4" s="511">
        <v>44640</v>
      </c>
      <c r="D4" s="18" t="s">
        <v>228</v>
      </c>
      <c r="E4" s="18" t="s">
        <v>229</v>
      </c>
      <c r="F4" s="512" t="s">
        <v>247</v>
      </c>
      <c r="G4" s="39" t="s">
        <v>231</v>
      </c>
      <c r="H4" s="513">
        <v>12000000</v>
      </c>
      <c r="I4" s="523" t="s">
        <v>232</v>
      </c>
      <c r="J4" s="276" t="str">
        <f>VLOOKUP($I4,'Price List, Weapons &amp; Items'!A:B,2,0)</f>
        <v>.</v>
      </c>
      <c r="K4" s="276" t="str">
        <f>IF(I4=".",I4,VLOOKUP($I4,'Price List, Weapons &amp; Items'!A:C,3,0))</f>
        <v>.</v>
      </c>
      <c r="L4" s="514">
        <f>VLOOKUP(I4,'Price List, Weapons &amp; Items'!A:D,4,0)</f>
        <v>0</v>
      </c>
      <c r="M4" s="515" t="s">
        <v>232</v>
      </c>
      <c r="N4" s="515" t="s">
        <v>232</v>
      </c>
      <c r="O4" s="516" t="str">
        <f>VLOOKUP($I4,'Price List, Weapons &amp; Items'!A:F,6,0)</f>
        <v>.</v>
      </c>
      <c r="P4" s="513" t="str">
        <f t="shared" si="6"/>
        <v>.</v>
      </c>
      <c r="Q4" s="513" t="str">
        <f t="shared" si="7"/>
        <v>.</v>
      </c>
      <c r="R4" s="513">
        <f t="shared" si="2"/>
        <v>12000000</v>
      </c>
      <c r="S4" s="513">
        <f>IF(AND(AD4=1,R4&lt;&gt;".")=TRUE,R4/VLOOKUP(G4,'Exchange rates'!B:C,2,0),IF(R4=".",".",""))</f>
        <v>7746433.412949455</v>
      </c>
      <c r="T4" s="513" t="str">
        <f>IF(AD4=1,IF(AF4="Value is not given at all",".",IF(AF4="Value is given by the source",S4,IF(AF4="Value is calculated with prices",(IF(SUMIFS(Q:Q,A:A,A4)&gt;0,SUMIFS(Q:Q,A:A,A4),"."))/VLOOKUP("USD",'Exchange rates'!B:C,2,0),"Error with coding"))),"")</f>
        <v>.</v>
      </c>
      <c r="U4" s="39" t="s">
        <v>233</v>
      </c>
      <c r="V4" s="42" t="s">
        <v>248</v>
      </c>
      <c r="W4" s="42" t="s">
        <v>249</v>
      </c>
      <c r="X4" s="42" t="s">
        <v>250</v>
      </c>
      <c r="Y4" s="517" t="s">
        <v>232</v>
      </c>
      <c r="Z4" s="39">
        <v>0</v>
      </c>
      <c r="AA4" s="518">
        <v>0</v>
      </c>
      <c r="AB4" s="38" t="s">
        <v>232</v>
      </c>
      <c r="AC4" s="519" t="str">
        <f>""</f>
        <v/>
      </c>
      <c r="AD4" s="520">
        <v>1</v>
      </c>
      <c r="AE4" s="520" t="s">
        <v>236</v>
      </c>
      <c r="AF4" s="520" t="s">
        <v>237</v>
      </c>
      <c r="AG4" s="520">
        <v>1</v>
      </c>
      <c r="AH4" s="520">
        <v>3</v>
      </c>
      <c r="AI4" s="520">
        <v>0</v>
      </c>
      <c r="AJ4" s="520">
        <f>VLOOKUP($I4,'Price List, Weapons &amp; Items'!A:E,5,0)</f>
        <v>0</v>
      </c>
      <c r="AK4" s="520">
        <f t="shared" si="8"/>
        <v>0</v>
      </c>
      <c r="AL4" s="520">
        <f t="shared" si="9"/>
        <v>0</v>
      </c>
      <c r="AM4" s="520">
        <f t="shared" si="10"/>
        <v>0</v>
      </c>
      <c r="AN4" s="521" t="str">
        <f>VLOOKUP($I4,'Price List, Weapons &amp; Items'!A:K,COLUMN('Price List, Weapons &amp; Items'!$I$1),0)</f>
        <v>.</v>
      </c>
      <c r="AO4" s="521" t="str">
        <f>IF(I4=".",".",VLOOKUP($I4,'Price List, Weapons &amp; Items'!A:I,3,0))</f>
        <v>.</v>
      </c>
      <c r="AP4" s="517" t="str">
        <f t="shared" ca="1" si="5"/>
        <v>.</v>
      </c>
      <c r="AQ4" s="521" t="str">
        <f>VLOOKUP($I4,'Price List, Weapons &amp; Items'!A:K,COLUMN('Price List, Weapons &amp; Items'!$K$1),0)</f>
        <v>no price, 0 count</v>
      </c>
      <c r="AS4" s="521">
        <f t="shared" si="11"/>
        <v>1</v>
      </c>
      <c r="AT4" s="521">
        <f t="shared" si="12"/>
        <v>0</v>
      </c>
      <c r="AU4" s="521">
        <f t="shared" si="13"/>
        <v>1</v>
      </c>
      <c r="AV4" s="521" t="str">
        <f t="shared" si="14"/>
        <v>.</v>
      </c>
    </row>
    <row r="5" spans="1:48" ht="15" customHeight="1">
      <c r="A5" s="41" t="s">
        <v>251</v>
      </c>
      <c r="B5" s="41" t="s">
        <v>227</v>
      </c>
      <c r="C5" s="511">
        <v>44621</v>
      </c>
      <c r="D5" s="18" t="s">
        <v>252</v>
      </c>
      <c r="E5" s="18" t="s">
        <v>253</v>
      </c>
      <c r="F5" s="512" t="s">
        <v>254</v>
      </c>
      <c r="G5" s="39" t="s">
        <v>231</v>
      </c>
      <c r="H5" s="513">
        <v>70000000</v>
      </c>
      <c r="I5" s="523" t="s">
        <v>232</v>
      </c>
      <c r="J5" s="276" t="str">
        <f>VLOOKUP($I5,'Price List, Weapons &amp; Items'!A:B,2,0)</f>
        <v>.</v>
      </c>
      <c r="K5" s="276" t="str">
        <f>IF(I5=".",I5,VLOOKUP($I5,'Price List, Weapons &amp; Items'!A:C,3,0))</f>
        <v>.</v>
      </c>
      <c r="L5" s="514">
        <f>VLOOKUP(I5,'Price List, Weapons &amp; Items'!A:D,4,0)</f>
        <v>0</v>
      </c>
      <c r="M5" s="515" t="s">
        <v>232</v>
      </c>
      <c r="N5" s="515" t="s">
        <v>232</v>
      </c>
      <c r="O5" s="516" t="str">
        <f>VLOOKUP($I5,'Price List, Weapons &amp; Items'!A:F,6,0)</f>
        <v>.</v>
      </c>
      <c r="P5" s="513" t="str">
        <f t="shared" si="6"/>
        <v>.</v>
      </c>
      <c r="Q5" s="513" t="str">
        <f t="shared" si="7"/>
        <v>.</v>
      </c>
      <c r="R5" s="513">
        <f t="shared" si="2"/>
        <v>70000000</v>
      </c>
      <c r="S5" s="513">
        <f>IF(AND(AD5=1,R5&lt;&gt;".")=TRUE,R5/VLOOKUP(G5,'Exchange rates'!B:C,2,0),IF(R5=".",".",""))</f>
        <v>45187528.24220515</v>
      </c>
      <c r="T5" s="513" t="str">
        <f>IF(AD5=1,IF(AF5="Value is not given at all",".",IF(AF5="Value is given by the source",S5,IF(AF5="Value is calculated with prices",(IF(SUMIFS(Q:Q,A:A,A5)&gt;0,SUMIFS(Q:Q,A:A,A5),"."))/VLOOKUP("USD",'Exchange rates'!B:C,2,0),"Error with coding"))),"")</f>
        <v>.</v>
      </c>
      <c r="U5" s="39" t="s">
        <v>233</v>
      </c>
      <c r="V5" s="42" t="s">
        <v>234</v>
      </c>
      <c r="W5" s="42" t="s">
        <v>255</v>
      </c>
      <c r="X5" s="825" t="s">
        <v>248</v>
      </c>
      <c r="Y5" s="517" t="s">
        <v>232</v>
      </c>
      <c r="Z5" s="39">
        <v>0</v>
      </c>
      <c r="AA5" s="518">
        <v>0</v>
      </c>
      <c r="AB5" s="38" t="s">
        <v>232</v>
      </c>
      <c r="AC5" s="519" t="str">
        <f>""</f>
        <v/>
      </c>
      <c r="AD5" s="520">
        <v>1</v>
      </c>
      <c r="AE5" s="520" t="s">
        <v>236</v>
      </c>
      <c r="AF5" s="520" t="s">
        <v>237</v>
      </c>
      <c r="AG5" s="520">
        <v>1</v>
      </c>
      <c r="AH5" s="520">
        <v>3</v>
      </c>
      <c r="AI5" s="520">
        <v>0</v>
      </c>
      <c r="AJ5" s="520">
        <f>VLOOKUP($I5,'Price List, Weapons &amp; Items'!A:E,5,0)</f>
        <v>0</v>
      </c>
      <c r="AK5" s="520">
        <f t="shared" si="8"/>
        <v>0</v>
      </c>
      <c r="AL5" s="520">
        <f t="shared" si="9"/>
        <v>0</v>
      </c>
      <c r="AM5" s="520">
        <f t="shared" si="10"/>
        <v>0</v>
      </c>
      <c r="AN5" s="521" t="str">
        <f>VLOOKUP($I5,'Price List, Weapons &amp; Items'!A:K,COLUMN('Price List, Weapons &amp; Items'!$I$1),0)</f>
        <v>.</v>
      </c>
      <c r="AO5" s="521" t="str">
        <f>IF(I5=".",".",VLOOKUP($I5,'Price List, Weapons &amp; Items'!A:I,3,0))</f>
        <v>.</v>
      </c>
      <c r="AP5" s="517" t="str">
        <f t="shared" ca="1" si="5"/>
        <v>.</v>
      </c>
      <c r="AQ5" s="521" t="str">
        <f>VLOOKUP($I5,'Price List, Weapons &amp; Items'!A:K,COLUMN('Price List, Weapons &amp; Items'!$K$1),0)</f>
        <v>no price, 0 count</v>
      </c>
      <c r="AS5" s="521">
        <f t="shared" si="11"/>
        <v>1</v>
      </c>
      <c r="AT5" s="521">
        <f t="shared" si="12"/>
        <v>1</v>
      </c>
      <c r="AU5" s="521">
        <f t="shared" si="13"/>
        <v>1</v>
      </c>
      <c r="AV5" s="521" t="str">
        <f t="shared" si="14"/>
        <v>.</v>
      </c>
    </row>
    <row r="6" spans="1:48" ht="15" customHeight="1">
      <c r="A6" s="41" t="s">
        <v>256</v>
      </c>
      <c r="B6" s="41" t="s">
        <v>227</v>
      </c>
      <c r="C6" s="511">
        <v>44640</v>
      </c>
      <c r="D6" s="18" t="s">
        <v>252</v>
      </c>
      <c r="E6" s="18" t="s">
        <v>253</v>
      </c>
      <c r="F6" s="512" t="s">
        <v>257</v>
      </c>
      <c r="G6" s="39" t="s">
        <v>231</v>
      </c>
      <c r="H6" s="513">
        <v>21000000</v>
      </c>
      <c r="I6" s="523" t="s">
        <v>232</v>
      </c>
      <c r="J6" s="276" t="str">
        <f>VLOOKUP($I6,'Price List, Weapons &amp; Items'!A:B,2,0)</f>
        <v>.</v>
      </c>
      <c r="K6" s="276" t="str">
        <f>IF(I6=".",I6,VLOOKUP($I6,'Price List, Weapons &amp; Items'!A:C,3,0))</f>
        <v>.</v>
      </c>
      <c r="L6" s="514">
        <f>VLOOKUP(I6,'Price List, Weapons &amp; Items'!A:D,4,0)</f>
        <v>0</v>
      </c>
      <c r="M6" s="515" t="s">
        <v>232</v>
      </c>
      <c r="N6" s="515" t="s">
        <v>232</v>
      </c>
      <c r="O6" s="516" t="str">
        <f>VLOOKUP($I6,'Price List, Weapons &amp; Items'!A:F,6,0)</f>
        <v>.</v>
      </c>
      <c r="P6" s="513" t="str">
        <f t="shared" si="6"/>
        <v>.</v>
      </c>
      <c r="Q6" s="513" t="str">
        <f t="shared" si="7"/>
        <v>.</v>
      </c>
      <c r="R6" s="513">
        <f t="shared" si="2"/>
        <v>21000000</v>
      </c>
      <c r="S6" s="513">
        <f>IF(AND(AD6=1,R6&lt;&gt;".")=TRUE,R6/VLOOKUP(G6,'Exchange rates'!B:C,2,0),IF(R6=".",".",""))</f>
        <v>13556258.472661546</v>
      </c>
      <c r="T6" s="513" t="str">
        <f>IF(AD6=1,IF(AF6="Value is not given at all",".",IF(AF6="Value is given by the source",S6,IF(AF6="Value is calculated with prices",(IF(SUMIFS(Q:Q,A:A,A6)&gt;0,SUMIFS(Q:Q,A:A,A6),"."))/VLOOKUP("USD",'Exchange rates'!B:C,2,0),"Error with coding"))),"")</f>
        <v>.</v>
      </c>
      <c r="U6" s="39" t="s">
        <v>233</v>
      </c>
      <c r="V6" s="42" t="s">
        <v>258</v>
      </c>
      <c r="W6" s="42" t="s">
        <v>249</v>
      </c>
      <c r="X6" s="42" t="s">
        <v>259</v>
      </c>
      <c r="Y6" s="517" t="s">
        <v>232</v>
      </c>
      <c r="Z6" s="39">
        <v>0</v>
      </c>
      <c r="AA6" s="518">
        <v>0</v>
      </c>
      <c r="AB6" s="38" t="s">
        <v>232</v>
      </c>
      <c r="AC6" s="519" t="str">
        <f>""</f>
        <v/>
      </c>
      <c r="AD6" s="520">
        <v>1</v>
      </c>
      <c r="AE6" s="520" t="s">
        <v>236</v>
      </c>
      <c r="AF6" s="520" t="s">
        <v>237</v>
      </c>
      <c r="AG6" s="520">
        <v>1</v>
      </c>
      <c r="AH6" s="520">
        <v>3</v>
      </c>
      <c r="AI6" s="520">
        <v>0</v>
      </c>
      <c r="AJ6" s="520">
        <f>VLOOKUP($I6,'Price List, Weapons &amp; Items'!A:E,5,0)</f>
        <v>0</v>
      </c>
      <c r="AK6" s="520">
        <f t="shared" si="8"/>
        <v>0</v>
      </c>
      <c r="AL6" s="520">
        <f t="shared" si="9"/>
        <v>0</v>
      </c>
      <c r="AM6" s="520">
        <f t="shared" si="10"/>
        <v>0</v>
      </c>
      <c r="AN6" s="521" t="str">
        <f>VLOOKUP($I6,'Price List, Weapons &amp; Items'!A:K,COLUMN('Price List, Weapons &amp; Items'!$I$1),0)</f>
        <v>.</v>
      </c>
      <c r="AO6" s="521" t="str">
        <f>IF(I6=".",".",VLOOKUP($I6,'Price List, Weapons &amp; Items'!A:I,3,0))</f>
        <v>.</v>
      </c>
      <c r="AP6" s="517" t="str">
        <f t="shared" ca="1" si="5"/>
        <v>.</v>
      </c>
      <c r="AQ6" s="521" t="str">
        <f>VLOOKUP($I6,'Price List, Weapons &amp; Items'!A:K,COLUMN('Price List, Weapons &amp; Items'!$K$1),0)</f>
        <v>no price, 0 count</v>
      </c>
      <c r="AS6" s="521">
        <f t="shared" si="11"/>
        <v>1</v>
      </c>
      <c r="AT6" s="521">
        <f t="shared" si="12"/>
        <v>1</v>
      </c>
      <c r="AU6" s="521">
        <f t="shared" si="13"/>
        <v>1</v>
      </c>
      <c r="AV6" s="521" t="str">
        <f t="shared" si="14"/>
        <v>.</v>
      </c>
    </row>
    <row r="7" spans="1:48" ht="15" customHeight="1">
      <c r="A7" s="18" t="s">
        <v>260</v>
      </c>
      <c r="B7" s="18" t="s">
        <v>227</v>
      </c>
      <c r="C7" s="511">
        <v>44651</v>
      </c>
      <c r="D7" s="18" t="s">
        <v>252</v>
      </c>
      <c r="E7" s="18" t="s">
        <v>261</v>
      </c>
      <c r="F7" s="512" t="s">
        <v>262</v>
      </c>
      <c r="G7" s="39" t="s">
        <v>231</v>
      </c>
      <c r="H7" s="513">
        <v>25000000</v>
      </c>
      <c r="I7" s="523" t="s">
        <v>263</v>
      </c>
      <c r="J7" s="276" t="str">
        <f>VLOOKUP($I7,'Price List, Weapons &amp; Items'!A:B,2,0)</f>
        <v>Military equipment</v>
      </c>
      <c r="K7" s="276" t="str">
        <f>IF(I7=".",I7,VLOOKUP($I7,'Price List, Weapons &amp; Items'!A:C,3,0))</f>
        <v>.</v>
      </c>
      <c r="L7" s="514">
        <f>VLOOKUP(I7,'Price List, Weapons &amp; Items'!A:D,4,0)</f>
        <v>0</v>
      </c>
      <c r="M7" s="515" t="s">
        <v>264</v>
      </c>
      <c r="N7" s="515" t="s">
        <v>232</v>
      </c>
      <c r="O7" s="516" t="str">
        <f>VLOOKUP($I7,'Price List, Weapons &amp; Items'!A:F,6,0)</f>
        <v>.</v>
      </c>
      <c r="P7" s="513" t="str">
        <f t="shared" si="6"/>
        <v>.</v>
      </c>
      <c r="Q7" s="513" t="str">
        <f t="shared" si="7"/>
        <v>.</v>
      </c>
      <c r="R7" s="513">
        <f t="shared" si="2"/>
        <v>25000000</v>
      </c>
      <c r="S7" s="513">
        <f>IF(AND(AD7=1,R7&lt;&gt;".")=TRUE,R7/VLOOKUP(G7,'Exchange rates'!B:C,2,0),IF(R7=".",".",""))</f>
        <v>16138402.943644697</v>
      </c>
      <c r="T7" s="513" t="str">
        <f>IF(AD7=1,IF(AF7="Value is not given at all",".",IF(AF7="Value is given by the source",S7,IF(AF7="Value is calculated with prices",(IF(SUMIFS(Q:Q,A:A,A7)&gt;0,SUMIFS(Q:Q,A:A,A7),"."))/VLOOKUP("USD",'Exchange rates'!B:C,2,0),"Error with coding"))),"")</f>
        <v>.</v>
      </c>
      <c r="U7" s="39" t="s">
        <v>233</v>
      </c>
      <c r="V7" s="376" t="s">
        <v>265</v>
      </c>
      <c r="W7" s="580" t="s">
        <v>266</v>
      </c>
      <c r="X7" s="376" t="s">
        <v>267</v>
      </c>
      <c r="Y7" s="530" t="s">
        <v>232</v>
      </c>
      <c r="Z7" s="39">
        <v>0</v>
      </c>
      <c r="AA7" s="518">
        <v>0</v>
      </c>
      <c r="AB7" s="38" t="s">
        <v>232</v>
      </c>
      <c r="AC7" s="519" t="str">
        <f>""</f>
        <v/>
      </c>
      <c r="AD7" s="520">
        <v>1</v>
      </c>
      <c r="AE7" s="520" t="s">
        <v>236</v>
      </c>
      <c r="AF7" s="520" t="s">
        <v>237</v>
      </c>
      <c r="AG7" s="520">
        <v>1</v>
      </c>
      <c r="AH7" s="520">
        <v>3</v>
      </c>
      <c r="AI7" s="520">
        <v>0</v>
      </c>
      <c r="AJ7" s="520">
        <f>VLOOKUP($I7,'Price List, Weapons &amp; Items'!A:E,5,0)</f>
        <v>0</v>
      </c>
      <c r="AK7" s="520">
        <f t="shared" si="8"/>
        <v>0</v>
      </c>
      <c r="AL7" s="520">
        <f t="shared" si="9"/>
        <v>0</v>
      </c>
      <c r="AM7" s="520">
        <f t="shared" si="10"/>
        <v>0</v>
      </c>
      <c r="AN7" s="521" t="str">
        <f>VLOOKUP($I7,'Price List, Weapons &amp; Items'!A:K,COLUMN('Price List, Weapons &amp; Items'!$I$1),0)</f>
        <v>.</v>
      </c>
      <c r="AO7" s="521" t="str">
        <f>IF(I7=".",".",VLOOKUP($I7,'Price List, Weapons &amp; Items'!A:I,3,0))</f>
        <v>.</v>
      </c>
      <c r="AP7" s="517" t="str">
        <f t="shared" ca="1" si="5"/>
        <v>tactical decoy; unmanned aerial system; unmanned ground system; field ration; medical supplies</v>
      </c>
      <c r="AQ7" s="521" t="str">
        <f>VLOOKUP($I7,'Price List, Weapons &amp; Items'!A:K,COLUMN('Price List, Weapons &amp; Items'!$K$1),0)</f>
        <v>no price, 0 count</v>
      </c>
      <c r="AS7" s="521">
        <f t="shared" si="11"/>
        <v>1</v>
      </c>
      <c r="AT7" s="521">
        <f t="shared" si="12"/>
        <v>1</v>
      </c>
      <c r="AU7" s="521">
        <f t="shared" si="13"/>
        <v>1</v>
      </c>
      <c r="AV7" s="521" t="str">
        <f t="shared" si="14"/>
        <v>.</v>
      </c>
    </row>
    <row r="8" spans="1:48" ht="15" customHeight="1">
      <c r="A8" s="18" t="s">
        <v>260</v>
      </c>
      <c r="B8" s="18" t="s">
        <v>227</v>
      </c>
      <c r="C8" s="511">
        <v>44651</v>
      </c>
      <c r="D8" s="18" t="s">
        <v>252</v>
      </c>
      <c r="E8" s="18" t="s">
        <v>261</v>
      </c>
      <c r="F8" s="512" t="s">
        <v>262</v>
      </c>
      <c r="G8" s="39" t="s">
        <v>231</v>
      </c>
      <c r="H8" s="513">
        <v>25000000</v>
      </c>
      <c r="I8" s="523" t="s">
        <v>268</v>
      </c>
      <c r="J8" s="276" t="str">
        <f>VLOOKUP($I8,'Price List, Weapons &amp; Items'!A:B,2,0)</f>
        <v>Aviation and drones</v>
      </c>
      <c r="K8" s="276" t="str">
        <f>IF(I8=".",I8,VLOOKUP($I8,'Price List, Weapons &amp; Items'!A:C,3,0))</f>
        <v>Unknown drone</v>
      </c>
      <c r="L8" s="514">
        <f>VLOOKUP(I8,'Price List, Weapons &amp; Items'!A:D,4,0)</f>
        <v>0</v>
      </c>
      <c r="M8" s="515" t="s">
        <v>264</v>
      </c>
      <c r="N8" s="515" t="s">
        <v>232</v>
      </c>
      <c r="O8" s="516" t="str">
        <f>VLOOKUP($I8,'Price List, Weapons &amp; Items'!A:F,6,0)</f>
        <v>.</v>
      </c>
      <c r="P8" s="513" t="str">
        <f t="shared" si="6"/>
        <v>.</v>
      </c>
      <c r="Q8" s="513" t="str">
        <f t="shared" si="7"/>
        <v>.</v>
      </c>
      <c r="R8" s="513" t="str">
        <f t="shared" si="2"/>
        <v/>
      </c>
      <c r="S8" s="513" t="str">
        <f>IF(AND(AD8=1,R8&lt;&gt;".")=TRUE,R8/VLOOKUP(G8,'Exchange rates'!B:C,2,0),IF(R8=".",".",""))</f>
        <v/>
      </c>
      <c r="T8" s="513" t="str">
        <f>IF(AD8=1,IF(AF8="Value is not given at all",".",IF(AF8="Value is given by the source",S8,IF(AF8="Value is calculated with prices",(IF(SUMIFS(Q:Q,A:A,A8)&gt;0,SUMIFS(Q:Q,A:A,A8),"."))/VLOOKUP("USD",'Exchange rates'!B:C,2,0),"Error with coding"))),"")</f>
        <v/>
      </c>
      <c r="U8" s="39" t="s">
        <v>233</v>
      </c>
      <c r="V8" s="376" t="s">
        <v>265</v>
      </c>
      <c r="W8" s="580" t="s">
        <v>266</v>
      </c>
      <c r="X8" s="376" t="s">
        <v>267</v>
      </c>
      <c r="Y8" s="530" t="s">
        <v>232</v>
      </c>
      <c r="Z8" s="39">
        <v>0</v>
      </c>
      <c r="AA8" s="518">
        <v>0</v>
      </c>
      <c r="AB8" s="38" t="s">
        <v>232</v>
      </c>
      <c r="AC8" s="519" t="str">
        <f>""</f>
        <v/>
      </c>
      <c r="AD8" s="520">
        <v>0</v>
      </c>
      <c r="AE8" s="520" t="s">
        <v>236</v>
      </c>
      <c r="AF8" s="520" t="s">
        <v>237</v>
      </c>
      <c r="AG8" s="520">
        <v>1</v>
      </c>
      <c r="AH8" s="520">
        <v>3</v>
      </c>
      <c r="AI8" s="520">
        <v>0</v>
      </c>
      <c r="AJ8" s="520">
        <f>VLOOKUP($I8,'Price List, Weapons &amp; Items'!A:E,5,0)</f>
        <v>0</v>
      </c>
      <c r="AK8" s="520">
        <f t="shared" si="8"/>
        <v>0</v>
      </c>
      <c r="AL8" s="520">
        <f t="shared" si="9"/>
        <v>0</v>
      </c>
      <c r="AM8" s="520">
        <f t="shared" si="10"/>
        <v>0</v>
      </c>
      <c r="AN8" s="521" t="str">
        <f>VLOOKUP($I8,'Price List, Weapons &amp; Items'!A:K,COLUMN('Price List, Weapons &amp; Items'!$I$1),0)</f>
        <v>.</v>
      </c>
      <c r="AO8" s="521" t="str">
        <f>IF(I8=".",".",VLOOKUP($I8,'Price List, Weapons &amp; Items'!A:I,3,0))</f>
        <v>Unknown drone</v>
      </c>
      <c r="AP8" s="517" t="str">
        <f t="shared" ca="1" si="5"/>
        <v/>
      </c>
      <c r="AQ8" s="521" t="str">
        <f>VLOOKUP($I8,'Price List, Weapons &amp; Items'!A:K,COLUMN('Price List, Weapons &amp; Items'!$K$1),0)</f>
        <v>no price, 0 count</v>
      </c>
      <c r="AS8" s="521">
        <f t="shared" si="11"/>
        <v>1</v>
      </c>
      <c r="AT8" s="521">
        <f t="shared" si="12"/>
        <v>1</v>
      </c>
      <c r="AU8" s="521">
        <f t="shared" si="13"/>
        <v>1</v>
      </c>
      <c r="AV8" s="521" t="str">
        <f t="shared" si="14"/>
        <v>.</v>
      </c>
    </row>
    <row r="9" spans="1:48" ht="15" customHeight="1">
      <c r="A9" s="18" t="s">
        <v>260</v>
      </c>
      <c r="B9" s="18" t="s">
        <v>227</v>
      </c>
      <c r="C9" s="511">
        <v>44651</v>
      </c>
      <c r="D9" s="18" t="s">
        <v>252</v>
      </c>
      <c r="E9" s="18" t="s">
        <v>261</v>
      </c>
      <c r="F9" s="512" t="s">
        <v>262</v>
      </c>
      <c r="G9" s="39" t="s">
        <v>231</v>
      </c>
      <c r="H9" s="513">
        <v>25000000</v>
      </c>
      <c r="I9" s="523" t="s">
        <v>269</v>
      </c>
      <c r="J9" s="276" t="str">
        <f>VLOOKUP($I9,'Price List, Weapons &amp; Items'!A:B,2,0)</f>
        <v>Portable defence system</v>
      </c>
      <c r="K9" s="276" t="str">
        <f>IF(I9=".",I9,VLOOKUP($I9,'Price List, Weapons &amp; Items'!A:C,3,0))</f>
        <v>Unknown drone</v>
      </c>
      <c r="L9" s="514">
        <f>VLOOKUP(I9,'Price List, Weapons &amp; Items'!A:D,4,0)</f>
        <v>0</v>
      </c>
      <c r="M9" s="515" t="s">
        <v>264</v>
      </c>
      <c r="N9" s="515" t="s">
        <v>232</v>
      </c>
      <c r="O9" s="516" t="str">
        <f>VLOOKUP($I9,'Price List, Weapons &amp; Items'!A:F,6,0)</f>
        <v>.</v>
      </c>
      <c r="P9" s="513" t="str">
        <f t="shared" si="6"/>
        <v>.</v>
      </c>
      <c r="Q9" s="513" t="str">
        <f t="shared" si="7"/>
        <v>.</v>
      </c>
      <c r="R9" s="513" t="str">
        <f t="shared" si="2"/>
        <v/>
      </c>
      <c r="S9" s="513" t="str">
        <f>IF(AND(AD9=1,R9&lt;&gt;".")=TRUE,R9/VLOOKUP(G9,'Exchange rates'!B:C,2,0),IF(R9=".",".",""))</f>
        <v/>
      </c>
      <c r="T9" s="513" t="str">
        <f>IF(AD9=1,IF(AF9="Value is not given at all",".",IF(AF9="Value is given by the source",S9,IF(AF9="Value is calculated with prices",(IF(SUMIFS(Q:Q,A:A,A9)&gt;0,SUMIFS(Q:Q,A:A,A9),"."))/VLOOKUP("USD",'Exchange rates'!B:C,2,0),"Error with coding"))),"")</f>
        <v/>
      </c>
      <c r="U9" s="39" t="s">
        <v>233</v>
      </c>
      <c r="V9" s="376" t="s">
        <v>265</v>
      </c>
      <c r="W9" s="580" t="s">
        <v>266</v>
      </c>
      <c r="X9" s="376" t="s">
        <v>267</v>
      </c>
      <c r="Y9" s="530" t="s">
        <v>232</v>
      </c>
      <c r="Z9" s="39">
        <v>0</v>
      </c>
      <c r="AA9" s="518">
        <v>0</v>
      </c>
      <c r="AB9" s="38" t="s">
        <v>232</v>
      </c>
      <c r="AC9" s="519" t="str">
        <f>""</f>
        <v/>
      </c>
      <c r="AD9" s="520">
        <v>0</v>
      </c>
      <c r="AE9" s="520" t="s">
        <v>236</v>
      </c>
      <c r="AF9" s="520" t="s">
        <v>237</v>
      </c>
      <c r="AG9" s="520">
        <v>1</v>
      </c>
      <c r="AH9" s="520">
        <v>3</v>
      </c>
      <c r="AI9" s="520">
        <v>0</v>
      </c>
      <c r="AJ9" s="520">
        <f>VLOOKUP($I9,'Price List, Weapons &amp; Items'!A:E,5,0)</f>
        <v>0</v>
      </c>
      <c r="AK9" s="520">
        <f t="shared" si="8"/>
        <v>0</v>
      </c>
      <c r="AL9" s="520">
        <f t="shared" si="9"/>
        <v>0</v>
      </c>
      <c r="AM9" s="520">
        <f t="shared" si="10"/>
        <v>0</v>
      </c>
      <c r="AN9" s="521" t="str">
        <f>VLOOKUP($I9,'Price List, Weapons &amp; Items'!A:K,COLUMN('Price List, Weapons &amp; Items'!$I$1),0)</f>
        <v>.</v>
      </c>
      <c r="AO9" s="521" t="str">
        <f>IF(I9=".",".",VLOOKUP($I9,'Price List, Weapons &amp; Items'!A:I,3,0))</f>
        <v>Unknown drone</v>
      </c>
      <c r="AP9" s="517" t="str">
        <f t="shared" ca="1" si="5"/>
        <v/>
      </c>
      <c r="AQ9" s="521" t="str">
        <f>VLOOKUP($I9,'Price List, Weapons &amp; Items'!A:K,COLUMN('Price List, Weapons &amp; Items'!$K$1),0)</f>
        <v>no price, 0 count</v>
      </c>
      <c r="AS9" s="521">
        <f t="shared" si="11"/>
        <v>1</v>
      </c>
      <c r="AT9" s="521">
        <f t="shared" si="12"/>
        <v>1</v>
      </c>
      <c r="AU9" s="521">
        <f t="shared" si="13"/>
        <v>1</v>
      </c>
      <c r="AV9" s="521" t="str">
        <f t="shared" si="14"/>
        <v>.</v>
      </c>
    </row>
    <row r="10" spans="1:48" ht="15" customHeight="1">
      <c r="A10" s="18" t="s">
        <v>260</v>
      </c>
      <c r="B10" s="18" t="s">
        <v>227</v>
      </c>
      <c r="C10" s="511">
        <v>44651</v>
      </c>
      <c r="D10" s="18" t="s">
        <v>252</v>
      </c>
      <c r="E10" s="18" t="s">
        <v>261</v>
      </c>
      <c r="F10" s="512" t="s">
        <v>262</v>
      </c>
      <c r="G10" s="39" t="s">
        <v>231</v>
      </c>
      <c r="H10" s="513">
        <v>25000000</v>
      </c>
      <c r="I10" s="523" t="s">
        <v>270</v>
      </c>
      <c r="J10" s="276" t="str">
        <f>VLOOKUP($I10,'Price List, Weapons &amp; Items'!A:B,2,0)</f>
        <v>Military equipment</v>
      </c>
      <c r="K10" s="276" t="str">
        <f>IF(I10=".",I10,VLOOKUP($I10,'Price List, Weapons &amp; Items'!A:C,3,0))</f>
        <v>.</v>
      </c>
      <c r="L10" s="514">
        <f>VLOOKUP(I10,'Price List, Weapons &amp; Items'!A:D,4,0)</f>
        <v>0</v>
      </c>
      <c r="M10" s="515" t="s">
        <v>264</v>
      </c>
      <c r="N10" s="515" t="s">
        <v>232</v>
      </c>
      <c r="O10" s="516">
        <f>VLOOKUP($I10,'Price List, Weapons &amp; Items'!A:F,6,0)</f>
        <v>22</v>
      </c>
      <c r="P10" s="513" t="str">
        <f t="shared" si="6"/>
        <v>.</v>
      </c>
      <c r="Q10" s="513" t="str">
        <f t="shared" si="7"/>
        <v>.</v>
      </c>
      <c r="R10" s="513" t="str">
        <f t="shared" si="2"/>
        <v/>
      </c>
      <c r="S10" s="513" t="str">
        <f>IF(AND(AD10=1,R10&lt;&gt;".")=TRUE,R10/VLOOKUP(G10,'Exchange rates'!B:C,2,0),IF(R10=".",".",""))</f>
        <v/>
      </c>
      <c r="T10" s="513" t="str">
        <f>IF(AD10=1,IF(AF10="Value is not given at all",".",IF(AF10="Value is given by the source",S10,IF(AF10="Value is calculated with prices",(IF(SUMIFS(Q:Q,A:A,A10)&gt;0,SUMIFS(Q:Q,A:A,A10),"."))/VLOOKUP("USD",'Exchange rates'!B:C,2,0),"Error with coding"))),"")</f>
        <v/>
      </c>
      <c r="U10" s="39" t="s">
        <v>233</v>
      </c>
      <c r="V10" s="376" t="s">
        <v>265</v>
      </c>
      <c r="W10" s="580" t="s">
        <v>266</v>
      </c>
      <c r="X10" s="376" t="s">
        <v>267</v>
      </c>
      <c r="Y10" s="530" t="s">
        <v>232</v>
      </c>
      <c r="Z10" s="39">
        <v>0</v>
      </c>
      <c r="AA10" s="518">
        <v>0</v>
      </c>
      <c r="AB10" s="38" t="s">
        <v>232</v>
      </c>
      <c r="AC10" s="519" t="str">
        <f>""</f>
        <v/>
      </c>
      <c r="AD10" s="520">
        <v>0</v>
      </c>
      <c r="AE10" s="520" t="s">
        <v>236</v>
      </c>
      <c r="AF10" s="520" t="s">
        <v>237</v>
      </c>
      <c r="AG10" s="520">
        <v>1</v>
      </c>
      <c r="AH10" s="520">
        <v>3</v>
      </c>
      <c r="AI10" s="520">
        <v>0</v>
      </c>
      <c r="AJ10" s="520">
        <f>VLOOKUP($I10,'Price List, Weapons &amp; Items'!A:E,5,0)</f>
        <v>0</v>
      </c>
      <c r="AK10" s="520">
        <f t="shared" si="8"/>
        <v>0</v>
      </c>
      <c r="AL10" s="520">
        <f t="shared" si="9"/>
        <v>0</v>
      </c>
      <c r="AM10" s="520">
        <f t="shared" si="10"/>
        <v>0</v>
      </c>
      <c r="AN10" s="521" t="str">
        <f>VLOOKUP($I10,'Price List, Weapons &amp; Items'!A:K,COLUMN('Price List, Weapons &amp; Items'!$I$1),0)</f>
        <v>Online marketplaces and stores</v>
      </c>
      <c r="AO10" s="521" t="str">
        <f>IF(I10=".",".",VLOOKUP($I10,'Price List, Weapons &amp; Items'!A:I,3,0))</f>
        <v>.</v>
      </c>
      <c r="AP10" s="517" t="str">
        <f t="shared" ca="1" si="5"/>
        <v/>
      </c>
      <c r="AQ10" s="521">
        <f>VLOOKUP($I10,'Price List, Weapons &amp; Items'!A:K,COLUMN('Price List, Weapons &amp; Items'!$K$1),0)</f>
        <v>2</v>
      </c>
      <c r="AS10" s="521">
        <f t="shared" si="11"/>
        <v>1</v>
      </c>
      <c r="AT10" s="521">
        <f t="shared" si="12"/>
        <v>1</v>
      </c>
      <c r="AU10" s="521">
        <f t="shared" si="13"/>
        <v>1</v>
      </c>
      <c r="AV10" s="521" t="str">
        <f t="shared" si="14"/>
        <v>.</v>
      </c>
    </row>
    <row r="11" spans="1:48" ht="15" customHeight="1">
      <c r="A11" s="18" t="s">
        <v>260</v>
      </c>
      <c r="B11" s="18" t="s">
        <v>227</v>
      </c>
      <c r="C11" s="511">
        <v>44651</v>
      </c>
      <c r="D11" s="18" t="s">
        <v>252</v>
      </c>
      <c r="E11" s="18" t="s">
        <v>261</v>
      </c>
      <c r="F11" s="512" t="s">
        <v>262</v>
      </c>
      <c r="G11" s="39" t="s">
        <v>231</v>
      </c>
      <c r="H11" s="513">
        <v>25000000</v>
      </c>
      <c r="I11" s="523" t="s">
        <v>271</v>
      </c>
      <c r="J11" s="276" t="str">
        <f>VLOOKUP($I11,'Price List, Weapons &amp; Items'!A:B,2,0)</f>
        <v>Humanitarian</v>
      </c>
      <c r="K11" s="276" t="str">
        <f>IF(I11=".",I11,VLOOKUP($I11,'Price List, Weapons &amp; Items'!A:C,3,0))</f>
        <v>.</v>
      </c>
      <c r="L11" s="514">
        <f>VLOOKUP(I11,'Price List, Weapons &amp; Items'!A:D,4,0)</f>
        <v>0</v>
      </c>
      <c r="M11" s="515" t="s">
        <v>232</v>
      </c>
      <c r="N11" s="515" t="s">
        <v>232</v>
      </c>
      <c r="O11" s="516" t="str">
        <f>VLOOKUP($I11,'Price List, Weapons &amp; Items'!A:F,6,0)</f>
        <v>.</v>
      </c>
      <c r="P11" s="513" t="str">
        <f t="shared" si="6"/>
        <v>.</v>
      </c>
      <c r="Q11" s="513" t="str">
        <f t="shared" si="7"/>
        <v>.</v>
      </c>
      <c r="R11" s="513" t="str">
        <f t="shared" si="2"/>
        <v/>
      </c>
      <c r="S11" s="513" t="str">
        <f>IF(AND(AD11=1,R11&lt;&gt;".")=TRUE,R11/VLOOKUP(G11,'Exchange rates'!B:C,2,0),IF(R11=".",".",""))</f>
        <v/>
      </c>
      <c r="T11" s="513" t="str">
        <f>IF(AD11=1,IF(AF11="Value is not given at all",".",IF(AF11="Value is given by the source",S11,IF(AF11="Value is calculated with prices",(IF(SUMIFS(Q:Q,A:A,A11)&gt;0,SUMIFS(Q:Q,A:A,A11),"."))/VLOOKUP("USD",'Exchange rates'!B:C,2,0),"Error with coding"))),"")</f>
        <v/>
      </c>
      <c r="U11" s="39" t="s">
        <v>233</v>
      </c>
      <c r="V11" s="376" t="s">
        <v>265</v>
      </c>
      <c r="W11" s="580" t="s">
        <v>266</v>
      </c>
      <c r="X11" s="376" t="s">
        <v>267</v>
      </c>
      <c r="Y11" s="530" t="s">
        <v>232</v>
      </c>
      <c r="Z11" s="39">
        <v>0</v>
      </c>
      <c r="AA11" s="518">
        <v>0</v>
      </c>
      <c r="AB11" s="38" t="s">
        <v>232</v>
      </c>
      <c r="AC11" s="519" t="str">
        <f>""</f>
        <v/>
      </c>
      <c r="AD11" s="520">
        <v>0</v>
      </c>
      <c r="AE11" s="520" t="s">
        <v>236</v>
      </c>
      <c r="AF11" s="520" t="s">
        <v>237</v>
      </c>
      <c r="AG11" s="520">
        <v>1</v>
      </c>
      <c r="AH11" s="520">
        <v>3</v>
      </c>
      <c r="AI11" s="520">
        <v>0</v>
      </c>
      <c r="AJ11" s="520">
        <f>VLOOKUP($I11,'Price List, Weapons &amp; Items'!A:E,5,0)</f>
        <v>0</v>
      </c>
      <c r="AK11" s="520">
        <f t="shared" si="8"/>
        <v>0</v>
      </c>
      <c r="AL11" s="520">
        <f t="shared" si="9"/>
        <v>0</v>
      </c>
      <c r="AM11" s="520">
        <f t="shared" si="10"/>
        <v>0</v>
      </c>
      <c r="AN11" s="521" t="str">
        <f>VLOOKUP($I11,'Price List, Weapons &amp; Items'!A:K,COLUMN('Price List, Weapons &amp; Items'!$I$1),0)</f>
        <v>.</v>
      </c>
      <c r="AO11" s="521" t="str">
        <f>IF(I11=".",".",VLOOKUP($I11,'Price List, Weapons &amp; Items'!A:I,3,0))</f>
        <v>.</v>
      </c>
      <c r="AP11" s="517" t="str">
        <f t="shared" ca="1" si="5"/>
        <v/>
      </c>
      <c r="AQ11" s="521">
        <f>VLOOKUP($I11,'Price List, Weapons &amp; Items'!A:K,COLUMN('Price List, Weapons &amp; Items'!$K$1),0)</f>
        <v>0</v>
      </c>
      <c r="AS11" s="521">
        <f t="shared" si="11"/>
        <v>1</v>
      </c>
      <c r="AT11" s="521">
        <f t="shared" si="12"/>
        <v>1</v>
      </c>
      <c r="AU11" s="521">
        <f t="shared" si="13"/>
        <v>1</v>
      </c>
      <c r="AV11" s="521" t="str">
        <f t="shared" si="14"/>
        <v>.</v>
      </c>
    </row>
    <row r="12" spans="1:48" ht="15" customHeight="1">
      <c r="A12" s="41" t="s">
        <v>272</v>
      </c>
      <c r="B12" s="41" t="s">
        <v>227</v>
      </c>
      <c r="C12" s="511">
        <v>44659</v>
      </c>
      <c r="D12" s="18" t="s">
        <v>252</v>
      </c>
      <c r="E12" s="18" t="s">
        <v>261</v>
      </c>
      <c r="F12" s="512" t="s">
        <v>273</v>
      </c>
      <c r="G12" s="514" t="s">
        <v>231</v>
      </c>
      <c r="H12" s="513">
        <v>49000000</v>
      </c>
      <c r="I12" s="523" t="s">
        <v>274</v>
      </c>
      <c r="J12" s="276" t="str">
        <f>VLOOKUP($I12,'Price List, Weapons &amp; Items'!A:B,2,0)</f>
        <v>Heavy weapon</v>
      </c>
      <c r="K12" s="276" t="str">
        <f>IF(I12=".",I12,VLOOKUP($I12,'Price List, Weapons &amp; Items'!A:C,3,0))</f>
        <v>Armoured Utility Vehicle (AUV)</v>
      </c>
      <c r="L12" s="514">
        <f>VLOOKUP(I12,'Price List, Weapons &amp; Items'!A:D,4,0)</f>
        <v>0</v>
      </c>
      <c r="M12" s="515">
        <v>20</v>
      </c>
      <c r="N12" s="515">
        <v>20</v>
      </c>
      <c r="O12" s="516">
        <f>VLOOKUP($I12,'Price List, Weapons &amp; Items'!A:F,6,0)</f>
        <v>1650000</v>
      </c>
      <c r="P12" s="513">
        <f t="shared" si="6"/>
        <v>33000000</v>
      </c>
      <c r="Q12" s="513">
        <f t="shared" si="7"/>
        <v>33000000</v>
      </c>
      <c r="R12" s="513">
        <f t="shared" si="2"/>
        <v>49000000</v>
      </c>
      <c r="S12" s="513">
        <f>IF(AND(AD12=1,R12&lt;&gt;".")=TRUE,R12/VLOOKUP(G12,'Exchange rates'!B:C,2,0),IF(R12=".",".",""))</f>
        <v>31631269.769543607</v>
      </c>
      <c r="T12" s="513">
        <f>IF(AD12=1,IF(AF12="Value is not given at all",".",IF(AF12="Value is given by the source",S12,IF(AF12="Value is calculated with prices",(IF(SUMIFS(Q:Q,A:A,A12)&gt;0,SUMIFS(Q:Q,A:A,A12),"."))/VLOOKUP("USD",'Exchange rates'!B:C,2,0),"Error with coding"))),"")</f>
        <v>31631269.769543607</v>
      </c>
      <c r="U12" s="39" t="s">
        <v>233</v>
      </c>
      <c r="V12" s="825" t="s">
        <v>275</v>
      </c>
      <c r="W12" s="825" t="s">
        <v>276</v>
      </c>
      <c r="X12" s="517" t="s">
        <v>232</v>
      </c>
      <c r="Y12" s="517" t="s">
        <v>232</v>
      </c>
      <c r="Z12" s="39">
        <v>0</v>
      </c>
      <c r="AA12" s="518">
        <v>0</v>
      </c>
      <c r="AB12" s="394" t="s">
        <v>277</v>
      </c>
      <c r="AC12" s="519" t="str">
        <f>""</f>
        <v/>
      </c>
      <c r="AD12" s="520">
        <v>1</v>
      </c>
      <c r="AE12" s="520" t="s">
        <v>236</v>
      </c>
      <c r="AF12" s="520" t="s">
        <v>236</v>
      </c>
      <c r="AG12" s="520">
        <v>1</v>
      </c>
      <c r="AH12" s="520">
        <v>4</v>
      </c>
      <c r="AI12" s="520">
        <v>0</v>
      </c>
      <c r="AJ12" s="520">
        <f>VLOOKUP($I12,'Price List, Weapons &amp; Items'!A:E,5,0)</f>
        <v>1</v>
      </c>
      <c r="AK12" s="520">
        <f t="shared" si="8"/>
        <v>0</v>
      </c>
      <c r="AL12" s="520">
        <f t="shared" si="9"/>
        <v>0</v>
      </c>
      <c r="AM12" s="520">
        <f t="shared" si="10"/>
        <v>0</v>
      </c>
      <c r="AN12" s="521" t="str">
        <f>VLOOKUP($I12,'Price List, Weapons &amp; Items'!A:K,COLUMN('Price List, Weapons &amp; Items'!$I$1),0)</f>
        <v>Miscellaneous</v>
      </c>
      <c r="AO12" s="521" t="str">
        <f>IF(I12=".",".",VLOOKUP($I12,'Price List, Weapons &amp; Items'!A:I,3,0))</f>
        <v>Armoured Utility Vehicle (AUV)</v>
      </c>
      <c r="AP12" s="517" t="str">
        <f t="shared" ca="1" si="5"/>
        <v>Bushmaster Protected Mobility Vehicles</v>
      </c>
      <c r="AQ12" s="521">
        <f>VLOOKUP($I12,'Price List, Weapons &amp; Items'!A:K,COLUMN('Price List, Weapons &amp; Items'!$K$1),0)</f>
        <v>2</v>
      </c>
      <c r="AS12" s="521">
        <f t="shared" si="11"/>
        <v>1</v>
      </c>
      <c r="AT12" s="521">
        <f t="shared" si="12"/>
        <v>1</v>
      </c>
      <c r="AU12" s="521">
        <f t="shared" si="13"/>
        <v>1</v>
      </c>
      <c r="AV12" s="521" t="str">
        <f t="shared" si="14"/>
        <v>.</v>
      </c>
    </row>
    <row r="13" spans="1:48" ht="15" customHeight="1">
      <c r="A13" s="18" t="s">
        <v>278</v>
      </c>
      <c r="B13" s="18" t="s">
        <v>227</v>
      </c>
      <c r="C13" s="511">
        <v>44659</v>
      </c>
      <c r="D13" s="18" t="s">
        <v>252</v>
      </c>
      <c r="E13" s="18" t="s">
        <v>253</v>
      </c>
      <c r="F13" s="512" t="s">
        <v>279</v>
      </c>
      <c r="G13" s="514" t="s">
        <v>231</v>
      </c>
      <c r="H13" s="513">
        <v>26500000</v>
      </c>
      <c r="I13" s="523" t="s">
        <v>280</v>
      </c>
      <c r="J13" s="276" t="str">
        <f>VLOOKUP($I13,'Price List, Weapons &amp; Items'!A:B,2,0)</f>
        <v>Portable defence system</v>
      </c>
      <c r="K13" s="276" t="str">
        <f>IF(I13=".",I13,VLOOKUP($I13,'Price List, Weapons &amp; Items'!A:C,3,0))</f>
        <v>Light Anti-armor Weapon (LAW)</v>
      </c>
      <c r="L13" s="514">
        <f>VLOOKUP(I13,'Price List, Weapons &amp; Items'!A:D,4,0)</f>
        <v>0</v>
      </c>
      <c r="M13" s="515" t="s">
        <v>264</v>
      </c>
      <c r="N13" s="515" t="s">
        <v>264</v>
      </c>
      <c r="O13" s="516">
        <f>VLOOKUP($I13,'Price List, Weapons &amp; Items'!A:F,6,0)</f>
        <v>1475</v>
      </c>
      <c r="P13" s="513" t="str">
        <f t="shared" si="6"/>
        <v>.</v>
      </c>
      <c r="Q13" s="513" t="str">
        <f t="shared" si="7"/>
        <v>.</v>
      </c>
      <c r="R13" s="513">
        <f t="shared" si="2"/>
        <v>26500000</v>
      </c>
      <c r="S13" s="513">
        <f>IF(AND(AD13=1,R13&lt;&gt;".")=TRUE,R13/VLOOKUP(G13,'Exchange rates'!B:C,2,0),IF(R13=".",".",""))</f>
        <v>17106707.120263379</v>
      </c>
      <c r="T13" s="513">
        <f>IF(AD13=1,IF(AF13="Value is not given at all",".",IF(AF13="Value is given by the source",S13,IF(AF13="Value is calculated with prices",(IF(SUMIFS(Q:Q,A:A,A13)&gt;0,SUMIFS(Q:Q,A:A,A13),"."))/VLOOKUP("USD",'Exchange rates'!B:C,2,0),"Error with coding"))),"")</f>
        <v>17106707.120263379</v>
      </c>
      <c r="U13" s="39" t="s">
        <v>233</v>
      </c>
      <c r="V13" s="376" t="s">
        <v>281</v>
      </c>
      <c r="W13" s="528" t="s">
        <v>232</v>
      </c>
      <c r="X13" s="528" t="s">
        <v>232</v>
      </c>
      <c r="Y13" s="528" t="s">
        <v>232</v>
      </c>
      <c r="Z13" s="518">
        <v>0</v>
      </c>
      <c r="AA13" s="518">
        <v>0</v>
      </c>
      <c r="AB13" s="395" t="s">
        <v>282</v>
      </c>
      <c r="AC13" s="519" t="str">
        <f>""</f>
        <v/>
      </c>
      <c r="AD13" s="520">
        <v>1</v>
      </c>
      <c r="AE13" s="520" t="s">
        <v>236</v>
      </c>
      <c r="AF13" s="520" t="s">
        <v>236</v>
      </c>
      <c r="AG13" s="520">
        <v>1</v>
      </c>
      <c r="AH13" s="520">
        <v>4</v>
      </c>
      <c r="AI13" s="520">
        <v>0</v>
      </c>
      <c r="AJ13" s="520">
        <f>VLOOKUP($I13,'Price List, Weapons &amp; Items'!A:E,5,0)</f>
        <v>0</v>
      </c>
      <c r="AK13" s="520">
        <f t="shared" si="8"/>
        <v>0</v>
      </c>
      <c r="AL13" s="520">
        <f t="shared" si="9"/>
        <v>0</v>
      </c>
      <c r="AM13" s="520">
        <f t="shared" si="10"/>
        <v>0</v>
      </c>
      <c r="AN13" s="521" t="str">
        <f>VLOOKUP($I13,'Price List, Weapons &amp; Items'!A:K,COLUMN('Price List, Weapons &amp; Items'!$I$1),0)</f>
        <v>Military media (incl. websites)</v>
      </c>
      <c r="AO13" s="521" t="str">
        <f>IF(I13=".",".",VLOOKUP($I13,'Price List, Weapons &amp; Items'!A:I,3,0))</f>
        <v>Light Anti-armor Weapon (LAW)</v>
      </c>
      <c r="AP13" s="517" t="str">
        <f t="shared" ca="1" si="5"/>
        <v>light anti-armor weapon; ammunition for light anti-armor weapon</v>
      </c>
      <c r="AQ13" s="521">
        <f>VLOOKUP($I13,'Price List, Weapons &amp; Items'!A:K,COLUMN('Price List, Weapons &amp; Items'!$K$1),0)</f>
        <v>2</v>
      </c>
      <c r="AS13" s="521">
        <f t="shared" si="11"/>
        <v>1</v>
      </c>
      <c r="AT13" s="521">
        <f t="shared" si="12"/>
        <v>1</v>
      </c>
      <c r="AU13" s="521">
        <f t="shared" si="13"/>
        <v>1</v>
      </c>
      <c r="AV13" s="521" t="str">
        <f t="shared" si="14"/>
        <v>.</v>
      </c>
    </row>
    <row r="14" spans="1:48" ht="15" customHeight="1">
      <c r="A14" s="18" t="s">
        <v>278</v>
      </c>
      <c r="B14" s="18" t="s">
        <v>227</v>
      </c>
      <c r="C14" s="511">
        <v>44659</v>
      </c>
      <c r="D14" s="18" t="s">
        <v>252</v>
      </c>
      <c r="E14" s="18" t="s">
        <v>253</v>
      </c>
      <c r="F14" s="512" t="s">
        <v>279</v>
      </c>
      <c r="G14" s="514" t="s">
        <v>231</v>
      </c>
      <c r="H14" s="513">
        <v>26500000</v>
      </c>
      <c r="I14" s="523" t="s">
        <v>283</v>
      </c>
      <c r="J14" s="276" t="str">
        <f>VLOOKUP($I14,'Price List, Weapons &amp; Items'!A:B,2,0)</f>
        <v>Ammunition for portable defence system</v>
      </c>
      <c r="K14" s="276" t="str">
        <f>IF(I14=".",I14,VLOOKUP($I14,'Price List, Weapons &amp; Items'!A:C,3,0))</f>
        <v>Light Anti-armor Weapon (LAW) ammunition</v>
      </c>
      <c r="L14" s="514">
        <f>VLOOKUP(I14,'Price List, Weapons &amp; Items'!A:D,4,0)</f>
        <v>0</v>
      </c>
      <c r="M14" s="515" t="s">
        <v>264</v>
      </c>
      <c r="N14" s="515" t="s">
        <v>264</v>
      </c>
      <c r="O14" s="516">
        <f>VLOOKUP($I14,'Price List, Weapons &amp; Items'!A:F,6,0)</f>
        <v>3661.76</v>
      </c>
      <c r="P14" s="513" t="str">
        <f t="shared" si="6"/>
        <v>.</v>
      </c>
      <c r="Q14" s="513" t="str">
        <f t="shared" si="7"/>
        <v>.</v>
      </c>
      <c r="R14" s="513" t="str">
        <f t="shared" si="2"/>
        <v/>
      </c>
      <c r="S14" s="513" t="str">
        <f>IF(AND(AD14=1,R14&lt;&gt;".")=TRUE,R14/VLOOKUP(G14,'Exchange rates'!B:C,2,0),IF(R14=".",".",""))</f>
        <v/>
      </c>
      <c r="T14" s="513" t="str">
        <f>IF(AD14=1,IF(AF14="Value is not given at all",".",IF(AF14="Value is given by the source",S14,IF(AF14="Value is calculated with prices",(IF(SUMIFS(Q:Q,A:A,A14)&gt;0,SUMIFS(Q:Q,A:A,A14),"."))/VLOOKUP("USD",'Exchange rates'!B:C,2,0),"Error with coding"))),"")</f>
        <v/>
      </c>
      <c r="U14" s="39" t="s">
        <v>233</v>
      </c>
      <c r="V14" s="376" t="s">
        <v>281</v>
      </c>
      <c r="W14" s="528" t="s">
        <v>232</v>
      </c>
      <c r="X14" s="528" t="s">
        <v>232</v>
      </c>
      <c r="Y14" s="528" t="s">
        <v>232</v>
      </c>
      <c r="Z14" s="518">
        <v>0</v>
      </c>
      <c r="AA14" s="518">
        <v>0</v>
      </c>
      <c r="AB14" s="395" t="s">
        <v>282</v>
      </c>
      <c r="AC14" s="519" t="str">
        <f>""</f>
        <v/>
      </c>
      <c r="AD14" s="520">
        <v>0</v>
      </c>
      <c r="AE14" s="520" t="s">
        <v>236</v>
      </c>
      <c r="AF14" s="520" t="s">
        <v>236</v>
      </c>
      <c r="AG14" s="520">
        <v>1</v>
      </c>
      <c r="AH14" s="520">
        <v>4</v>
      </c>
      <c r="AI14" s="520">
        <v>0</v>
      </c>
      <c r="AJ14" s="520">
        <f>VLOOKUP($I14,'Price List, Weapons &amp; Items'!A:E,5,0)</f>
        <v>0</v>
      </c>
      <c r="AK14" s="520">
        <f t="shared" si="8"/>
        <v>0</v>
      </c>
      <c r="AL14" s="520">
        <f t="shared" si="9"/>
        <v>0</v>
      </c>
      <c r="AM14" s="520">
        <f t="shared" si="10"/>
        <v>1</v>
      </c>
      <c r="AN14" s="521" t="str">
        <f>VLOOKUP($I14,'Price List, Weapons &amp; Items'!A:K,COLUMN('Price List, Weapons &amp; Items'!$I$1),0)</f>
        <v>Miscellaneous</v>
      </c>
      <c r="AO14" s="521" t="str">
        <f>IF(I14=".",".",VLOOKUP($I14,'Price List, Weapons &amp; Items'!A:I,3,0))</f>
        <v>Light Anti-armor Weapon (LAW) ammunition</v>
      </c>
      <c r="AP14" s="517" t="str">
        <f t="shared" ca="1" si="5"/>
        <v/>
      </c>
      <c r="AQ14" s="521" t="str">
        <f>VLOOKUP($I14,'Price List, Weapons &amp; Items'!A:K,COLUMN('Price List, Weapons &amp; Items'!$K$1),0)</f>
        <v>no price, 0 count</v>
      </c>
      <c r="AS14" s="521">
        <f t="shared" si="11"/>
        <v>1</v>
      </c>
      <c r="AT14" s="521">
        <f t="shared" si="12"/>
        <v>1</v>
      </c>
      <c r="AU14" s="521">
        <f t="shared" si="13"/>
        <v>1</v>
      </c>
      <c r="AV14" s="521" t="str">
        <f t="shared" si="14"/>
        <v>.</v>
      </c>
    </row>
    <row r="15" spans="1:48" ht="15" customHeight="1">
      <c r="A15" s="18" t="s">
        <v>284</v>
      </c>
      <c r="B15" s="18" t="s">
        <v>227</v>
      </c>
      <c r="C15" s="511">
        <v>44678</v>
      </c>
      <c r="D15" s="18" t="s">
        <v>252</v>
      </c>
      <c r="E15" s="18" t="s">
        <v>253</v>
      </c>
      <c r="F15" s="512" t="s">
        <v>285</v>
      </c>
      <c r="G15" s="39" t="s">
        <v>231</v>
      </c>
      <c r="H15" s="513">
        <v>26700000</v>
      </c>
      <c r="I15" s="523" t="s">
        <v>286</v>
      </c>
      <c r="J15" s="276" t="str">
        <f>VLOOKUP($I15,'Price List, Weapons &amp; Items'!A:B,2,0)</f>
        <v>Heavy weapon</v>
      </c>
      <c r="K15" s="276" t="str">
        <f>IF(I15=".",I15,VLOOKUP($I15,'Price List, Weapons &amp; Items'!A:C,3,0))</f>
        <v>155mm howitzer</v>
      </c>
      <c r="L15" s="514">
        <f>VLOOKUP(I15,'Price List, Weapons &amp; Items'!A:D,4,0)</f>
        <v>0</v>
      </c>
      <c r="M15" s="515">
        <v>6</v>
      </c>
      <c r="N15" s="515">
        <v>6</v>
      </c>
      <c r="O15" s="516">
        <f>VLOOKUP($I15,'Price List, Weapons &amp; Items'!A:F,6,0)</f>
        <v>5170000</v>
      </c>
      <c r="P15" s="513">
        <f t="shared" si="6"/>
        <v>31020000</v>
      </c>
      <c r="Q15" s="513">
        <f t="shared" si="7"/>
        <v>31020000</v>
      </c>
      <c r="R15" s="513">
        <f t="shared" si="2"/>
        <v>26700000</v>
      </c>
      <c r="S15" s="513">
        <f>IF(AND(AD15=1,R15&lt;&gt;".")=TRUE,R15/VLOOKUP(G15,'Exchange rates'!B:C,2,0),IF(R15=".",".",""))</f>
        <v>17235814.343812536</v>
      </c>
      <c r="T15" s="513">
        <f>IF(AD15=1,IF(AF15="Value is not given at all",".",IF(AF15="Value is given by the source",S15,IF(AF15="Value is calculated with prices",(IF(SUMIFS(Q:Q,A:A,A15)&gt;0,SUMIFS(Q:Q,A:A,A15),"."))/VLOOKUP("USD",'Exchange rates'!B:C,2,0),"Error with coding"))),"")</f>
        <v>17235814.343812536</v>
      </c>
      <c r="U15" s="47" t="s">
        <v>233</v>
      </c>
      <c r="V15" s="376" t="s">
        <v>287</v>
      </c>
      <c r="W15" s="376" t="s">
        <v>288</v>
      </c>
      <c r="X15" s="530" t="s">
        <v>232</v>
      </c>
      <c r="Y15" s="530" t="s">
        <v>232</v>
      </c>
      <c r="Z15" s="518">
        <v>0</v>
      </c>
      <c r="AA15" s="518">
        <v>0</v>
      </c>
      <c r="AB15" s="395" t="s">
        <v>277</v>
      </c>
      <c r="AC15" s="519" t="str">
        <f>""</f>
        <v/>
      </c>
      <c r="AD15" s="520">
        <v>1</v>
      </c>
      <c r="AE15" s="520" t="s">
        <v>236</v>
      </c>
      <c r="AF15" s="520" t="s">
        <v>236</v>
      </c>
      <c r="AG15" s="520">
        <v>1</v>
      </c>
      <c r="AH15" s="520">
        <v>4</v>
      </c>
      <c r="AI15" s="520">
        <v>0</v>
      </c>
      <c r="AJ15" s="520">
        <f>VLOOKUP($I15,'Price List, Weapons &amp; Items'!A:E,5,0)</f>
        <v>1</v>
      </c>
      <c r="AK15" s="520">
        <f t="shared" si="8"/>
        <v>0</v>
      </c>
      <c r="AL15" s="520">
        <f t="shared" si="9"/>
        <v>0</v>
      </c>
      <c r="AM15" s="520">
        <f t="shared" si="10"/>
        <v>0</v>
      </c>
      <c r="AN15" s="521" t="str">
        <f>VLOOKUP($I15,'Price List, Weapons &amp; Items'!A:K,COLUMN('Price List, Weapons &amp; Items'!$I$1),0)</f>
        <v>Military media (incl. websites)</v>
      </c>
      <c r="AO15" s="521" t="str">
        <f>IF(I15=".",".",VLOOKUP($I15,'Price List, Weapons &amp; Items'!A:I,3,0))</f>
        <v>155mm howitzer</v>
      </c>
      <c r="AP15" s="517" t="str">
        <f t="shared" ca="1" si="5"/>
        <v>M777 howitzer; round of ammunition for M777 howitzer</v>
      </c>
      <c r="AQ15" s="521">
        <f>VLOOKUP($I15,'Price List, Weapons &amp; Items'!A:K,COLUMN('Price List, Weapons &amp; Items'!$K$1),0)</f>
        <v>2</v>
      </c>
      <c r="AS15" s="521">
        <f t="shared" si="11"/>
        <v>1</v>
      </c>
      <c r="AT15" s="521">
        <f t="shared" si="12"/>
        <v>1</v>
      </c>
      <c r="AU15" s="521">
        <f t="shared" si="13"/>
        <v>1</v>
      </c>
      <c r="AV15" s="521" t="str">
        <f t="shared" si="14"/>
        <v>.</v>
      </c>
    </row>
    <row r="16" spans="1:48" ht="15" customHeight="1">
      <c r="A16" s="18" t="s">
        <v>284</v>
      </c>
      <c r="B16" s="18" t="s">
        <v>227</v>
      </c>
      <c r="C16" s="511">
        <v>44678</v>
      </c>
      <c r="D16" s="18" t="s">
        <v>252</v>
      </c>
      <c r="E16" s="18" t="s">
        <v>253</v>
      </c>
      <c r="F16" s="512" t="s">
        <v>285</v>
      </c>
      <c r="G16" s="39" t="s">
        <v>231</v>
      </c>
      <c r="H16" s="513">
        <v>26700000</v>
      </c>
      <c r="I16" s="523" t="s">
        <v>289</v>
      </c>
      <c r="J16" s="276" t="str">
        <f>VLOOKUP($I16,'Price List, Weapons &amp; Items'!A:B,2,0)</f>
        <v>Ammunition for heavy weapon</v>
      </c>
      <c r="K16" s="276" t="str">
        <f>IF(I16=".",I16,VLOOKUP($I16,'Price List, Weapons &amp; Items'!A:C,3,0))</f>
        <v>155mm howitzer ammunition</v>
      </c>
      <c r="L16" s="514">
        <f>VLOOKUP(I16,'Price List, Weapons &amp; Items'!A:D,4,0)</f>
        <v>0</v>
      </c>
      <c r="M16" s="515" t="s">
        <v>264</v>
      </c>
      <c r="N16" s="515" t="s">
        <v>264</v>
      </c>
      <c r="O16" s="516">
        <f>VLOOKUP($I16,'Price List, Weapons &amp; Items'!A:F,6,0)</f>
        <v>3800</v>
      </c>
      <c r="P16" s="513" t="str">
        <f t="shared" si="6"/>
        <v>.</v>
      </c>
      <c r="Q16" s="513" t="str">
        <f t="shared" si="7"/>
        <v>.</v>
      </c>
      <c r="R16" s="513" t="str">
        <f t="shared" si="2"/>
        <v/>
      </c>
      <c r="S16" s="513" t="str">
        <f>IF(AND(AD16=1,R16&lt;&gt;".")=TRUE,R16/VLOOKUP(G16,'Exchange rates'!B:C,2,0),IF(R16=".",".",""))</f>
        <v/>
      </c>
      <c r="T16" s="513" t="str">
        <f>IF(AD16=1,IF(AF16="Value is not given at all",".",IF(AF16="Value is given by the source",S16,IF(AF16="Value is calculated with prices",(IF(SUMIFS(Q:Q,A:A,A16)&gt;0,SUMIFS(Q:Q,A:A,A16),"."))/VLOOKUP("USD",'Exchange rates'!B:C,2,0),"Error with coding"))),"")</f>
        <v/>
      </c>
      <c r="U16" s="47" t="s">
        <v>233</v>
      </c>
      <c r="V16" s="376" t="s">
        <v>287</v>
      </c>
      <c r="W16" s="376" t="s">
        <v>288</v>
      </c>
      <c r="X16" s="530" t="s">
        <v>232</v>
      </c>
      <c r="Y16" s="530" t="s">
        <v>232</v>
      </c>
      <c r="Z16" s="518">
        <v>0</v>
      </c>
      <c r="AA16" s="518">
        <v>0</v>
      </c>
      <c r="AB16" s="395" t="s">
        <v>277</v>
      </c>
      <c r="AC16" s="519" t="str">
        <f>""</f>
        <v/>
      </c>
      <c r="AD16" s="520">
        <v>0</v>
      </c>
      <c r="AE16" s="520" t="s">
        <v>236</v>
      </c>
      <c r="AF16" s="520" t="s">
        <v>236</v>
      </c>
      <c r="AG16" s="520">
        <v>1</v>
      </c>
      <c r="AH16" s="520">
        <v>4</v>
      </c>
      <c r="AI16" s="520">
        <v>0</v>
      </c>
      <c r="AJ16" s="520">
        <f>VLOOKUP($I16,'Price List, Weapons &amp; Items'!A:E,5,0)</f>
        <v>1</v>
      </c>
      <c r="AK16" s="520">
        <f t="shared" si="8"/>
        <v>1</v>
      </c>
      <c r="AL16" s="520">
        <f t="shared" si="9"/>
        <v>1</v>
      </c>
      <c r="AM16" s="520">
        <f t="shared" si="10"/>
        <v>1</v>
      </c>
      <c r="AN16" s="521" t="str">
        <f>VLOOKUP($I16,'Price List, Weapons &amp; Items'!A:K,COLUMN('Price List, Weapons &amp; Items'!$I$1),0)</f>
        <v>Government information</v>
      </c>
      <c r="AO16" s="521" t="str">
        <f>IF(I16=".",".",VLOOKUP($I16,'Price List, Weapons &amp; Items'!A:I,3,0))</f>
        <v>155mm howitzer ammunition</v>
      </c>
      <c r="AP16" s="517" t="str">
        <f t="shared" ca="1" si="5"/>
        <v/>
      </c>
      <c r="AQ16" s="521" t="str">
        <f>VLOOKUP($I16,'Price List, Weapons &amp; Items'!A:K,COLUMN('Price List, Weapons &amp; Items'!$K$1),0)</f>
        <v>no price, 0 count</v>
      </c>
      <c r="AS16" s="521">
        <f t="shared" si="11"/>
        <v>1</v>
      </c>
      <c r="AT16" s="521">
        <f t="shared" si="12"/>
        <v>1</v>
      </c>
      <c r="AU16" s="521">
        <f t="shared" si="13"/>
        <v>1</v>
      </c>
      <c r="AV16" s="521" t="str">
        <f t="shared" si="14"/>
        <v>.</v>
      </c>
    </row>
    <row r="17" spans="1:48" ht="15" customHeight="1">
      <c r="A17" s="18" t="s">
        <v>290</v>
      </c>
      <c r="B17" s="18" t="s">
        <v>227</v>
      </c>
      <c r="C17" s="511">
        <v>44700</v>
      </c>
      <c r="D17" s="18" t="s">
        <v>252</v>
      </c>
      <c r="E17" s="18" t="s">
        <v>253</v>
      </c>
      <c r="F17" s="512" t="s">
        <v>291</v>
      </c>
      <c r="G17" s="39" t="s">
        <v>231</v>
      </c>
      <c r="H17" s="513">
        <v>60900000</v>
      </c>
      <c r="I17" s="41" t="s">
        <v>292</v>
      </c>
      <c r="J17" s="276" t="str">
        <f>VLOOKUP($I17,'Price List, Weapons &amp; Items'!A:B,2,0)</f>
        <v>Heavy weapon</v>
      </c>
      <c r="K17" s="276" t="str">
        <f>IF(I17=".",I17,VLOOKUP($I17,'Price List, Weapons &amp; Items'!A:C,3,0))</f>
        <v>Armoured Personnel Carrier (APC)</v>
      </c>
      <c r="L17" s="514">
        <f>VLOOKUP(I17,'Price List, Weapons &amp; Items'!A:D,4,0)</f>
        <v>0</v>
      </c>
      <c r="M17" s="515">
        <v>14</v>
      </c>
      <c r="N17" s="515">
        <v>14</v>
      </c>
      <c r="O17" s="516">
        <f>VLOOKUP($I17,'Price List, Weapons &amp; Items'!A:F,6,0)</f>
        <v>300000</v>
      </c>
      <c r="P17" s="513">
        <f t="shared" si="6"/>
        <v>4200000</v>
      </c>
      <c r="Q17" s="513">
        <f t="shared" si="7"/>
        <v>4200000</v>
      </c>
      <c r="R17" s="513">
        <f t="shared" si="2"/>
        <v>60900000</v>
      </c>
      <c r="S17" s="513">
        <f>IF(AND(AD17=1,R17&lt;&gt;".")=TRUE,R17/VLOOKUP(G17,'Exchange rates'!B:C,2,0),IF(R17=".",".",""))</f>
        <v>39313149.570718482</v>
      </c>
      <c r="T17" s="513">
        <f>IF(AD17=1,IF(AF17="Value is not given at all",".",IF(AF17="Value is given by the source",S17,IF(AF17="Value is calculated with prices",(IF(SUMIFS(Q:Q,A:A,A17)&gt;0,SUMIFS(Q:Q,A:A,A17),"."))/VLOOKUP("USD",'Exchange rates'!B:C,2,0),"Error with coding"))),"")</f>
        <v>39313149.570718482</v>
      </c>
      <c r="U17" s="39" t="s">
        <v>233</v>
      </c>
      <c r="V17" s="376" t="s">
        <v>293</v>
      </c>
      <c r="W17" s="376" t="s">
        <v>294</v>
      </c>
      <c r="X17" s="376" t="s">
        <v>295</v>
      </c>
      <c r="Y17" s="530" t="s">
        <v>232</v>
      </c>
      <c r="Z17" s="39">
        <v>0</v>
      </c>
      <c r="AA17" s="518">
        <v>0</v>
      </c>
      <c r="AB17" s="395" t="s">
        <v>282</v>
      </c>
      <c r="AC17" s="519" t="str">
        <f>""</f>
        <v/>
      </c>
      <c r="AD17" s="520">
        <v>1</v>
      </c>
      <c r="AE17" s="520" t="s">
        <v>236</v>
      </c>
      <c r="AF17" s="520" t="s">
        <v>236</v>
      </c>
      <c r="AG17" s="520">
        <v>1</v>
      </c>
      <c r="AH17" s="520">
        <v>5</v>
      </c>
      <c r="AI17" s="520">
        <v>0</v>
      </c>
      <c r="AJ17" s="520">
        <f>VLOOKUP($I17,'Price List, Weapons &amp; Items'!A:E,5,0)</f>
        <v>1</v>
      </c>
      <c r="AK17" s="520">
        <f t="shared" si="8"/>
        <v>0</v>
      </c>
      <c r="AL17" s="520">
        <f t="shared" si="9"/>
        <v>0</v>
      </c>
      <c r="AM17" s="520">
        <f t="shared" si="10"/>
        <v>0</v>
      </c>
      <c r="AN17" s="521" t="str">
        <f>VLOOKUP($I17,'Price List, Weapons &amp; Items'!A:K,COLUMN('Price List, Weapons &amp; Items'!$I$1),0)</f>
        <v>Military media (incl. websites)</v>
      </c>
      <c r="AO17" s="521" t="str">
        <f>IF(I17=".",".",VLOOKUP($I17,'Price List, Weapons &amp; Items'!A:I,3,0))</f>
        <v>Armoured Personnel Carrier (APC)</v>
      </c>
      <c r="AP17" s="517" t="str">
        <f t="shared" ca="1" si="5"/>
        <v>M113 armored personnel carrier; Bushmaster Protected Mobility Vehicles</v>
      </c>
      <c r="AQ17" s="521">
        <f>VLOOKUP($I17,'Price List, Weapons &amp; Items'!A:K,COLUMN('Price List, Weapons &amp; Items'!$K$1),0)</f>
        <v>2</v>
      </c>
      <c r="AS17" s="521">
        <f t="shared" si="11"/>
        <v>1</v>
      </c>
      <c r="AT17" s="521">
        <f t="shared" si="12"/>
        <v>1</v>
      </c>
      <c r="AU17" s="521">
        <f t="shared" si="13"/>
        <v>1</v>
      </c>
      <c r="AV17" s="521" t="str">
        <f t="shared" si="14"/>
        <v>.</v>
      </c>
    </row>
    <row r="18" spans="1:48" ht="15" customHeight="1">
      <c r="A18" s="18" t="s">
        <v>290</v>
      </c>
      <c r="B18" s="18" t="s">
        <v>227</v>
      </c>
      <c r="C18" s="511">
        <v>44700</v>
      </c>
      <c r="D18" s="18" t="s">
        <v>252</v>
      </c>
      <c r="E18" s="18" t="s">
        <v>253</v>
      </c>
      <c r="F18" s="512" t="s">
        <v>291</v>
      </c>
      <c r="G18" s="39" t="s">
        <v>231</v>
      </c>
      <c r="H18" s="513">
        <v>60900000</v>
      </c>
      <c r="I18" s="41" t="s">
        <v>274</v>
      </c>
      <c r="J18" s="276" t="str">
        <f>VLOOKUP($I18,'Price List, Weapons &amp; Items'!A:B,2,0)</f>
        <v>Heavy weapon</v>
      </c>
      <c r="K18" s="276" t="str">
        <f>IF(I18=".",I18,VLOOKUP($I18,'Price List, Weapons &amp; Items'!A:C,3,0))</f>
        <v>Armoured Utility Vehicle (AUV)</v>
      </c>
      <c r="L18" s="514">
        <f>VLOOKUP(I18,'Price List, Weapons &amp; Items'!A:D,4,0)</f>
        <v>0</v>
      </c>
      <c r="M18" s="515">
        <v>20</v>
      </c>
      <c r="N18" s="515">
        <v>20</v>
      </c>
      <c r="O18" s="516">
        <f>VLOOKUP($I18,'Price List, Weapons &amp; Items'!A:F,6,0)</f>
        <v>1650000</v>
      </c>
      <c r="P18" s="513">
        <f t="shared" si="6"/>
        <v>33000000</v>
      </c>
      <c r="Q18" s="513">
        <f t="shared" si="7"/>
        <v>33000000</v>
      </c>
      <c r="R18" s="513" t="str">
        <f t="shared" si="2"/>
        <v/>
      </c>
      <c r="S18" s="513" t="str">
        <f>IF(AND(AD18=1,R18&lt;&gt;".")=TRUE,R18/VLOOKUP(G18,'Exchange rates'!B:C,2,0),IF(R18=".",".",""))</f>
        <v/>
      </c>
      <c r="T18" s="513" t="str">
        <f>IF(AD18=1,IF(AF18="Value is not given at all",".",IF(AF18="Value is given by the source",S18,IF(AF18="Value is calculated with prices",(IF(SUMIFS(Q:Q,A:A,A18)&gt;0,SUMIFS(Q:Q,A:A,A18),"."))/VLOOKUP("USD",'Exchange rates'!B:C,2,0),"Error with coding"))),"")</f>
        <v/>
      </c>
      <c r="U18" s="39" t="s">
        <v>233</v>
      </c>
      <c r="V18" s="376" t="s">
        <v>293</v>
      </c>
      <c r="W18" s="376" t="s">
        <v>294</v>
      </c>
      <c r="X18" s="376" t="s">
        <v>295</v>
      </c>
      <c r="Y18" s="530" t="s">
        <v>232</v>
      </c>
      <c r="Z18" s="39">
        <v>0</v>
      </c>
      <c r="AA18" s="518">
        <v>0</v>
      </c>
      <c r="AB18" s="395" t="s">
        <v>282</v>
      </c>
      <c r="AC18" s="519" t="str">
        <f>""</f>
        <v/>
      </c>
      <c r="AD18" s="520">
        <v>0</v>
      </c>
      <c r="AE18" s="520" t="s">
        <v>236</v>
      </c>
      <c r="AF18" s="520" t="s">
        <v>236</v>
      </c>
      <c r="AG18" s="520">
        <v>1</v>
      </c>
      <c r="AH18" s="520">
        <v>5</v>
      </c>
      <c r="AI18" s="520">
        <v>0</v>
      </c>
      <c r="AJ18" s="520">
        <f>VLOOKUP($I18,'Price List, Weapons &amp; Items'!A:E,5,0)</f>
        <v>1</v>
      </c>
      <c r="AK18" s="520">
        <f t="shared" si="8"/>
        <v>0</v>
      </c>
      <c r="AL18" s="520">
        <f t="shared" si="9"/>
        <v>0</v>
      </c>
      <c r="AM18" s="520">
        <f t="shared" si="10"/>
        <v>0</v>
      </c>
      <c r="AN18" s="521" t="str">
        <f>VLOOKUP($I18,'Price List, Weapons &amp; Items'!A:K,COLUMN('Price List, Weapons &amp; Items'!$I$1),0)</f>
        <v>Miscellaneous</v>
      </c>
      <c r="AO18" s="521" t="str">
        <f>IF(I18=".",".",VLOOKUP($I18,'Price List, Weapons &amp; Items'!A:I,3,0))</f>
        <v>Armoured Utility Vehicle (AUV)</v>
      </c>
      <c r="AP18" s="517" t="str">
        <f t="shared" ca="1" si="5"/>
        <v/>
      </c>
      <c r="AQ18" s="521">
        <f>VLOOKUP($I18,'Price List, Weapons &amp; Items'!A:K,COLUMN('Price List, Weapons &amp; Items'!$K$1),0)</f>
        <v>2</v>
      </c>
      <c r="AS18" s="521">
        <f t="shared" si="11"/>
        <v>1</v>
      </c>
      <c r="AT18" s="521">
        <f t="shared" si="12"/>
        <v>1</v>
      </c>
      <c r="AU18" s="521">
        <f t="shared" si="13"/>
        <v>1</v>
      </c>
      <c r="AV18" s="521" t="str">
        <f t="shared" si="14"/>
        <v>.</v>
      </c>
    </row>
    <row r="19" spans="1:48" ht="15" customHeight="1">
      <c r="A19" s="46" t="s">
        <v>296</v>
      </c>
      <c r="B19" s="46" t="s">
        <v>227</v>
      </c>
      <c r="C19" s="511">
        <v>44746</v>
      </c>
      <c r="D19" s="46" t="s">
        <v>252</v>
      </c>
      <c r="E19" s="46" t="s">
        <v>253</v>
      </c>
      <c r="F19" s="46" t="s">
        <v>297</v>
      </c>
      <c r="G19" s="552" t="s">
        <v>231</v>
      </c>
      <c r="H19" s="513">
        <v>79500000</v>
      </c>
      <c r="I19" s="46" t="s">
        <v>274</v>
      </c>
      <c r="J19" s="276" t="str">
        <f>VLOOKUP($I19,'Price List, Weapons &amp; Items'!A:B,2,0)</f>
        <v>Heavy weapon</v>
      </c>
      <c r="K19" s="276" t="str">
        <f>IF(I19=".",I19,VLOOKUP($I19,'Price List, Weapons &amp; Items'!A:C,3,0))</f>
        <v>Armoured Utility Vehicle (AUV)</v>
      </c>
      <c r="L19" s="514">
        <f>VLOOKUP(I19,'Price List, Weapons &amp; Items'!A:D,4,0)</f>
        <v>0</v>
      </c>
      <c r="M19" s="46">
        <v>20</v>
      </c>
      <c r="N19" s="46">
        <v>20</v>
      </c>
      <c r="O19" s="516">
        <f>VLOOKUP($I19,'Price List, Weapons &amp; Items'!A:F,6,0)</f>
        <v>1650000</v>
      </c>
      <c r="P19" s="513">
        <f t="shared" si="6"/>
        <v>33000000</v>
      </c>
      <c r="Q19" s="513">
        <f t="shared" si="7"/>
        <v>33000000</v>
      </c>
      <c r="R19" s="513">
        <f t="shared" si="2"/>
        <v>79500000</v>
      </c>
      <c r="S19" s="513">
        <f>IF(AND(AD19=1,R19&lt;&gt;".")=TRUE,R19/VLOOKUP(G19,'Exchange rates'!B:C,2,0),IF(R19=".",".",""))</f>
        <v>51320121.360790141</v>
      </c>
      <c r="T19" s="513">
        <f>IF(AD19=1,IF(AF19="Value is not given at all",".",IF(AF19="Value is given by the source",S19,IF(AF19="Value is calculated with prices",(IF(SUMIFS(Q:Q,A:A,A19)&gt;0,SUMIFS(Q:Q,A:A,A19),"."))/VLOOKUP("USD",'Exchange rates'!B:C,2,0),"Error with coding"))),"")</f>
        <v>37070254.110612854</v>
      </c>
      <c r="U19" s="39" t="s">
        <v>233</v>
      </c>
      <c r="V19" s="826" t="s">
        <v>298</v>
      </c>
      <c r="W19" s="826" t="s">
        <v>299</v>
      </c>
      <c r="X19" s="551" t="s">
        <v>295</v>
      </c>
      <c r="Y19" s="46" t="s">
        <v>232</v>
      </c>
      <c r="Z19" s="552">
        <v>0</v>
      </c>
      <c r="AA19" s="552">
        <v>1</v>
      </c>
      <c r="AB19" s="826" t="s">
        <v>282</v>
      </c>
      <c r="AC19" s="519" t="str">
        <f>""</f>
        <v/>
      </c>
      <c r="AD19" s="552">
        <v>1</v>
      </c>
      <c r="AE19" s="46" t="s">
        <v>236</v>
      </c>
      <c r="AF19" s="46" t="s">
        <v>300</v>
      </c>
      <c r="AG19" s="39">
        <v>1</v>
      </c>
      <c r="AH19" s="39">
        <v>7</v>
      </c>
      <c r="AI19" s="39">
        <v>0</v>
      </c>
      <c r="AJ19" s="520">
        <f>VLOOKUP($I19,'Price List, Weapons &amp; Items'!A:E,5,0)</f>
        <v>1</v>
      </c>
      <c r="AK19" s="520">
        <f t="shared" si="8"/>
        <v>0</v>
      </c>
      <c r="AL19" s="520">
        <f t="shared" si="9"/>
        <v>0</v>
      </c>
      <c r="AM19" s="520">
        <f t="shared" si="10"/>
        <v>0</v>
      </c>
      <c r="AN19" s="521" t="str">
        <f>VLOOKUP($I19,'Price List, Weapons &amp; Items'!A:K,COLUMN('Price List, Weapons &amp; Items'!$I$1),0)</f>
        <v>Miscellaneous</v>
      </c>
      <c r="AO19" s="521" t="str">
        <f>IF(I19=".",".",VLOOKUP($I19,'Price List, Weapons &amp; Items'!A:I,3,0))</f>
        <v>Armoured Utility Vehicle (AUV)</v>
      </c>
      <c r="AP19" s="517" t="str">
        <f t="shared" ca="1" si="5"/>
        <v>Bushmaster Protected Mobility Vehicles; M113 armored personnel carrier; Demining Equipment; Other military equipment</v>
      </c>
      <c r="AQ19" s="521">
        <f>VLOOKUP($I19,'Price List, Weapons &amp; Items'!A:K,COLUMN('Price List, Weapons &amp; Items'!$K$1),0)</f>
        <v>2</v>
      </c>
      <c r="AR19" s="46" t="s">
        <v>301</v>
      </c>
      <c r="AS19" s="521">
        <f t="shared" si="11"/>
        <v>1</v>
      </c>
      <c r="AT19" s="521">
        <f t="shared" si="12"/>
        <v>1</v>
      </c>
      <c r="AU19" s="521">
        <f t="shared" si="13"/>
        <v>1</v>
      </c>
      <c r="AV19" s="521" t="str">
        <f t="shared" si="14"/>
        <v>.</v>
      </c>
    </row>
    <row r="20" spans="1:48" ht="15" customHeight="1">
      <c r="A20" s="18" t="s">
        <v>296</v>
      </c>
      <c r="B20" s="18" t="s">
        <v>227</v>
      </c>
      <c r="C20" s="511">
        <v>44746</v>
      </c>
      <c r="D20" s="18" t="s">
        <v>252</v>
      </c>
      <c r="E20" s="18" t="s">
        <v>253</v>
      </c>
      <c r="F20" s="512" t="s">
        <v>297</v>
      </c>
      <c r="G20" s="39" t="s">
        <v>231</v>
      </c>
      <c r="H20" s="513">
        <v>79500000</v>
      </c>
      <c r="I20" s="41" t="s">
        <v>292</v>
      </c>
      <c r="J20" s="276" t="str">
        <f>VLOOKUP($I20,'Price List, Weapons &amp; Items'!A:B,2,0)</f>
        <v>Heavy weapon</v>
      </c>
      <c r="K20" s="276" t="str">
        <f>IF(I20=".",I20,VLOOKUP($I20,'Price List, Weapons &amp; Items'!A:C,3,0))</f>
        <v>Armoured Personnel Carrier (APC)</v>
      </c>
      <c r="L20" s="514">
        <f>VLOOKUP(I20,'Price List, Weapons &amp; Items'!A:D,4,0)</f>
        <v>0</v>
      </c>
      <c r="M20" s="515">
        <v>14</v>
      </c>
      <c r="N20" s="515">
        <v>14</v>
      </c>
      <c r="O20" s="516">
        <f>VLOOKUP($I20,'Price List, Weapons &amp; Items'!A:F,6,0)</f>
        <v>300000</v>
      </c>
      <c r="P20" s="513">
        <f t="shared" si="6"/>
        <v>4200000</v>
      </c>
      <c r="Q20" s="513">
        <f t="shared" si="7"/>
        <v>4200000</v>
      </c>
      <c r="R20" s="513" t="str">
        <f t="shared" si="2"/>
        <v/>
      </c>
      <c r="S20" s="513" t="str">
        <f>IF(AND(AD20=1,R20&lt;&gt;".")=TRUE,R20/VLOOKUP(G20,'Exchange rates'!B:C,2,0),IF(R20=".",".",""))</f>
        <v/>
      </c>
      <c r="T20" s="513" t="str">
        <f>IF(AD20=1,IF(AF20="Value is not given at all",".",IF(AF20="Value is given by the source",S20,IF(AF20="Value is calculated with prices",(IF(SUMIFS(Q:Q,A:A,A20)&gt;0,SUMIFS(Q:Q,A:A,A20),"."))/VLOOKUP("USD",'Exchange rates'!B:C,2,0),"Error with coding"))),"")</f>
        <v/>
      </c>
      <c r="U20" s="39" t="s">
        <v>233</v>
      </c>
      <c r="V20" s="376" t="s">
        <v>298</v>
      </c>
      <c r="W20" s="376" t="s">
        <v>299</v>
      </c>
      <c r="X20" s="376" t="s">
        <v>295</v>
      </c>
      <c r="Y20" s="530" t="s">
        <v>232</v>
      </c>
      <c r="Z20" s="39">
        <v>0</v>
      </c>
      <c r="AA20" s="518">
        <v>0</v>
      </c>
      <c r="AB20" s="395" t="s">
        <v>282</v>
      </c>
      <c r="AC20" s="519" t="str">
        <f>""</f>
        <v/>
      </c>
      <c r="AD20" s="520">
        <v>0</v>
      </c>
      <c r="AE20" s="520" t="s">
        <v>236</v>
      </c>
      <c r="AF20" s="520" t="s">
        <v>237</v>
      </c>
      <c r="AG20" s="520">
        <v>1</v>
      </c>
      <c r="AH20" s="520">
        <v>7</v>
      </c>
      <c r="AI20" s="520">
        <v>0</v>
      </c>
      <c r="AJ20" s="520">
        <f>VLOOKUP($I20,'Price List, Weapons &amp; Items'!A:E,5,0)</f>
        <v>1</v>
      </c>
      <c r="AK20" s="520">
        <f t="shared" si="8"/>
        <v>0</v>
      </c>
      <c r="AL20" s="520">
        <f t="shared" si="9"/>
        <v>0</v>
      </c>
      <c r="AM20" s="520">
        <f t="shared" si="10"/>
        <v>0</v>
      </c>
      <c r="AN20" s="521" t="str">
        <f>VLOOKUP($I20,'Price List, Weapons &amp; Items'!A:K,COLUMN('Price List, Weapons &amp; Items'!$I$1),0)</f>
        <v>Military media (incl. websites)</v>
      </c>
      <c r="AO20" s="521" t="str">
        <f>IF(I20=".",".",VLOOKUP($I20,'Price List, Weapons &amp; Items'!A:I,3,0))</f>
        <v>Armoured Personnel Carrier (APC)</v>
      </c>
      <c r="AP20" s="517" t="str">
        <f t="shared" ca="1" si="5"/>
        <v/>
      </c>
      <c r="AQ20" s="521">
        <f>VLOOKUP($I20,'Price List, Weapons &amp; Items'!A:K,COLUMN('Price List, Weapons &amp; Items'!$K$1),0)</f>
        <v>2</v>
      </c>
      <c r="AS20" s="521">
        <f t="shared" si="11"/>
        <v>1</v>
      </c>
      <c r="AT20" s="521">
        <f t="shared" si="12"/>
        <v>1</v>
      </c>
      <c r="AU20" s="521">
        <f t="shared" si="13"/>
        <v>1</v>
      </c>
      <c r="AV20" s="521" t="str">
        <f t="shared" si="14"/>
        <v>.</v>
      </c>
    </row>
    <row r="21" spans="1:48" ht="15" customHeight="1">
      <c r="A21" s="18" t="s">
        <v>296</v>
      </c>
      <c r="B21" s="18" t="s">
        <v>227</v>
      </c>
      <c r="C21" s="511">
        <v>44746</v>
      </c>
      <c r="D21" s="18" t="s">
        <v>252</v>
      </c>
      <c r="E21" s="18" t="s">
        <v>253</v>
      </c>
      <c r="F21" s="512" t="s">
        <v>297</v>
      </c>
      <c r="G21" s="39" t="s">
        <v>231</v>
      </c>
      <c r="H21" s="513">
        <v>79500000</v>
      </c>
      <c r="I21" s="41" t="s">
        <v>302</v>
      </c>
      <c r="J21" s="276" t="str">
        <f>VLOOKUP($I21,'Price List, Weapons &amp; Items'!A:B,2,0)</f>
        <v>Military equipment</v>
      </c>
      <c r="K21" s="276" t="str">
        <f>IF(I21=".",I21,VLOOKUP($I21,'Price List, Weapons &amp; Items'!A:C,3,0))</f>
        <v>.</v>
      </c>
      <c r="L21" s="514">
        <f>VLOOKUP(I21,'Price List, Weapons &amp; Items'!A:D,4,0)</f>
        <v>0</v>
      </c>
      <c r="M21" s="515" t="s">
        <v>232</v>
      </c>
      <c r="N21" s="515" t="s">
        <v>232</v>
      </c>
      <c r="O21" s="516" t="str">
        <f>VLOOKUP($I21,'Price List, Weapons &amp; Items'!A:F,6,0)</f>
        <v>.</v>
      </c>
      <c r="P21" s="513" t="str">
        <f t="shared" si="6"/>
        <v>.</v>
      </c>
      <c r="Q21" s="513" t="str">
        <f t="shared" si="7"/>
        <v>.</v>
      </c>
      <c r="R21" s="513" t="str">
        <f t="shared" si="2"/>
        <v/>
      </c>
      <c r="S21" s="513" t="str">
        <f>IF(AND(AD21=1,R21&lt;&gt;".")=TRUE,R21/VLOOKUP(G21,'Exchange rates'!B:C,2,0),IF(R21=".",".",""))</f>
        <v/>
      </c>
      <c r="T21" s="513" t="str">
        <f>IF(AD21=1,IF(AF21="Value is not given at all",".",IF(AF21="Value is given by the source",S21,IF(AF21="Value is calculated with prices",(IF(SUMIFS(Q:Q,A:A,A21)&gt;0,SUMIFS(Q:Q,A:A,A21),"."))/VLOOKUP("USD",'Exchange rates'!B:C,2,0),"Error with coding"))),"")</f>
        <v/>
      </c>
      <c r="U21" s="39" t="s">
        <v>233</v>
      </c>
      <c r="V21" s="376" t="s">
        <v>298</v>
      </c>
      <c r="W21" s="376" t="s">
        <v>299</v>
      </c>
      <c r="X21" s="376" t="s">
        <v>295</v>
      </c>
      <c r="Y21" s="530" t="s">
        <v>232</v>
      </c>
      <c r="Z21" s="39">
        <v>0</v>
      </c>
      <c r="AA21" s="518">
        <v>0</v>
      </c>
      <c r="AB21" s="395" t="s">
        <v>282</v>
      </c>
      <c r="AC21" s="519" t="str">
        <f>""</f>
        <v/>
      </c>
      <c r="AD21" s="520">
        <v>0</v>
      </c>
      <c r="AE21" s="520" t="s">
        <v>236</v>
      </c>
      <c r="AF21" s="520" t="s">
        <v>237</v>
      </c>
      <c r="AG21" s="520">
        <v>1</v>
      </c>
      <c r="AH21" s="520">
        <v>7</v>
      </c>
      <c r="AI21" s="520">
        <v>0</v>
      </c>
      <c r="AJ21" s="520">
        <f>VLOOKUP($I21,'Price List, Weapons &amp; Items'!A:E,5,0)</f>
        <v>0</v>
      </c>
      <c r="AK21" s="520">
        <f t="shared" si="8"/>
        <v>0</v>
      </c>
      <c r="AL21" s="520">
        <f t="shared" si="9"/>
        <v>0</v>
      </c>
      <c r="AM21" s="520">
        <f t="shared" si="10"/>
        <v>0</v>
      </c>
      <c r="AN21" s="521" t="str">
        <f>VLOOKUP($I21,'Price List, Weapons &amp; Items'!A:K,COLUMN('Price List, Weapons &amp; Items'!$I$1),0)</f>
        <v>.</v>
      </c>
      <c r="AO21" s="521" t="str">
        <f>IF(I21=".",".",VLOOKUP($I21,'Price List, Weapons &amp; Items'!A:I,3,0))</f>
        <v>.</v>
      </c>
      <c r="AP21" s="517" t="str">
        <f t="shared" ca="1" si="5"/>
        <v/>
      </c>
      <c r="AQ21" s="521" t="str">
        <f>VLOOKUP($I21,'Price List, Weapons &amp; Items'!A:K,COLUMN('Price List, Weapons &amp; Items'!$K$1),0)</f>
        <v>no price, 0 count</v>
      </c>
      <c r="AS21" s="521">
        <f t="shared" si="11"/>
        <v>1</v>
      </c>
      <c r="AT21" s="521">
        <f t="shared" si="12"/>
        <v>1</v>
      </c>
      <c r="AU21" s="521">
        <f t="shared" si="13"/>
        <v>1</v>
      </c>
      <c r="AV21" s="521" t="str">
        <f t="shared" si="14"/>
        <v>.</v>
      </c>
    </row>
    <row r="22" spans="1:48" ht="15" customHeight="1">
      <c r="A22" s="18" t="s">
        <v>296</v>
      </c>
      <c r="B22" s="18" t="s">
        <v>227</v>
      </c>
      <c r="C22" s="511">
        <v>44746</v>
      </c>
      <c r="D22" s="18" t="s">
        <v>252</v>
      </c>
      <c r="E22" s="18" t="s">
        <v>253</v>
      </c>
      <c r="F22" s="512" t="s">
        <v>297</v>
      </c>
      <c r="G22" s="39" t="s">
        <v>231</v>
      </c>
      <c r="H22" s="513">
        <v>79500000</v>
      </c>
      <c r="I22" s="41" t="s">
        <v>303</v>
      </c>
      <c r="J22" s="276" t="str">
        <f>VLOOKUP($I22,'Price List, Weapons &amp; Items'!A:B,2,0)</f>
        <v>Military equipment</v>
      </c>
      <c r="K22" s="276" t="str">
        <f>IF(I22=".",I22,VLOOKUP($I22,'Price List, Weapons &amp; Items'!A:C,3,0))</f>
        <v>.</v>
      </c>
      <c r="L22" s="514">
        <f>VLOOKUP(I22,'Price List, Weapons &amp; Items'!A:D,4,0)</f>
        <v>0</v>
      </c>
      <c r="M22" s="515" t="s">
        <v>232</v>
      </c>
      <c r="N22" s="515" t="s">
        <v>232</v>
      </c>
      <c r="O22" s="516" t="str">
        <f>VLOOKUP($I22,'Price List, Weapons &amp; Items'!A:F,6,0)</f>
        <v>.</v>
      </c>
      <c r="P22" s="513" t="str">
        <f t="shared" si="6"/>
        <v>.</v>
      </c>
      <c r="Q22" s="513" t="str">
        <f t="shared" si="7"/>
        <v>.</v>
      </c>
      <c r="R22" s="513" t="str">
        <f t="shared" si="2"/>
        <v/>
      </c>
      <c r="S22" s="513" t="str">
        <f>IF(AND(AD22=1,R22&lt;&gt;".")=TRUE,R22/VLOOKUP(G22,'Exchange rates'!B:C,2,0),IF(R22=".",".",""))</f>
        <v/>
      </c>
      <c r="T22" s="513" t="str">
        <f>IF(AD22=1,IF(AF22="Value is not given at all",".",IF(AF22="Value is given by the source",S22,IF(AF22="Value is calculated with prices",(IF(SUMIFS(Q:Q,A:A,A22)&gt;0,SUMIFS(Q:Q,A:A,A22),"."))/VLOOKUP("USD",'Exchange rates'!B:C,2,0),"Error with coding"))),"")</f>
        <v/>
      </c>
      <c r="U22" s="39" t="s">
        <v>233</v>
      </c>
      <c r="V22" s="376" t="s">
        <v>298</v>
      </c>
      <c r="W22" s="376" t="s">
        <v>299</v>
      </c>
      <c r="X22" s="376" t="s">
        <v>295</v>
      </c>
      <c r="Y22" s="530" t="s">
        <v>232</v>
      </c>
      <c r="Z22" s="39">
        <v>0</v>
      </c>
      <c r="AA22" s="518">
        <v>0</v>
      </c>
      <c r="AB22" s="395" t="s">
        <v>282</v>
      </c>
      <c r="AC22" s="519" t="str">
        <f>""</f>
        <v/>
      </c>
      <c r="AD22" s="520">
        <v>0</v>
      </c>
      <c r="AE22" s="520" t="s">
        <v>236</v>
      </c>
      <c r="AF22" s="520" t="s">
        <v>237</v>
      </c>
      <c r="AG22" s="520">
        <v>1</v>
      </c>
      <c r="AH22" s="520">
        <v>7</v>
      </c>
      <c r="AI22" s="520">
        <v>0</v>
      </c>
      <c r="AJ22" s="520">
        <f>VLOOKUP($I22,'Price List, Weapons &amp; Items'!A:E,5,0)</f>
        <v>0</v>
      </c>
      <c r="AK22" s="520">
        <f t="shared" si="8"/>
        <v>0</v>
      </c>
      <c r="AL22" s="520">
        <f t="shared" si="9"/>
        <v>0</v>
      </c>
      <c r="AM22" s="520">
        <f t="shared" si="10"/>
        <v>0</v>
      </c>
      <c r="AN22" s="521" t="str">
        <f>VLOOKUP($I22,'Price List, Weapons &amp; Items'!A:K,COLUMN('Price List, Weapons &amp; Items'!$I$1),0)</f>
        <v>.</v>
      </c>
      <c r="AO22" s="521" t="str">
        <f>IF(I22=".",".",VLOOKUP($I22,'Price List, Weapons &amp; Items'!A:I,3,0))</f>
        <v>.</v>
      </c>
      <c r="AP22" s="517" t="str">
        <f t="shared" ca="1" si="5"/>
        <v/>
      </c>
      <c r="AQ22" s="521" t="str">
        <f>VLOOKUP($I22,'Price List, Weapons &amp; Items'!A:K,COLUMN('Price List, Weapons &amp; Items'!$K$1),0)</f>
        <v>no price, 0 count</v>
      </c>
      <c r="AS22" s="521">
        <f t="shared" si="11"/>
        <v>1</v>
      </c>
      <c r="AT22" s="521">
        <f t="shared" si="12"/>
        <v>1</v>
      </c>
      <c r="AU22" s="521">
        <f t="shared" si="13"/>
        <v>1</v>
      </c>
      <c r="AV22" s="521" t="str">
        <f t="shared" si="14"/>
        <v>.</v>
      </c>
    </row>
    <row r="23" spans="1:48" ht="15" customHeight="1">
      <c r="A23" s="41" t="s">
        <v>304</v>
      </c>
      <c r="B23" s="41" t="s">
        <v>227</v>
      </c>
      <c r="C23" s="511">
        <v>44746</v>
      </c>
      <c r="D23" s="18" t="s">
        <v>252</v>
      </c>
      <c r="E23" s="18" t="s">
        <v>229</v>
      </c>
      <c r="F23" s="512" t="s">
        <v>305</v>
      </c>
      <c r="G23" s="39" t="s">
        <v>231</v>
      </c>
      <c r="H23" s="513">
        <v>8700000</v>
      </c>
      <c r="I23" s="41" t="s">
        <v>232</v>
      </c>
      <c r="J23" s="276" t="str">
        <f>VLOOKUP($I23,'Price List, Weapons &amp; Items'!A:B,2,0)</f>
        <v>.</v>
      </c>
      <c r="K23" s="276" t="str">
        <f>IF(I23=".",I23,VLOOKUP($I23,'Price List, Weapons &amp; Items'!A:C,3,0))</f>
        <v>.</v>
      </c>
      <c r="L23" s="514">
        <f>VLOOKUP(I23,'Price List, Weapons &amp; Items'!A:D,4,0)</f>
        <v>0</v>
      </c>
      <c r="M23" s="515" t="s">
        <v>232</v>
      </c>
      <c r="N23" s="515" t="s">
        <v>232</v>
      </c>
      <c r="O23" s="516" t="str">
        <f>VLOOKUP($I23,'Price List, Weapons &amp; Items'!A:F,6,0)</f>
        <v>.</v>
      </c>
      <c r="P23" s="513" t="str">
        <f t="shared" si="6"/>
        <v>.</v>
      </c>
      <c r="Q23" s="513" t="str">
        <f t="shared" si="7"/>
        <v>.</v>
      </c>
      <c r="R23" s="513">
        <f t="shared" si="2"/>
        <v>8700000</v>
      </c>
      <c r="S23" s="513">
        <f>IF(AND(AD23=1,R23&lt;&gt;".")=TRUE,R23/VLOOKUP(G23,'Exchange rates'!B:C,2,0),IF(R23=".",".",""))</f>
        <v>5616164.2243883545</v>
      </c>
      <c r="T23" s="513" t="str">
        <f>IF(AD23=1,IF(AF23="Value is not given at all",".",IF(AF23="Value is given by the source",S23,IF(AF23="Value is calculated with prices",(IF(SUMIFS(Q:Q,A:A,A23)&gt;0,SUMIFS(Q:Q,A:A,A23),"."))/VLOOKUP("USD",'Exchange rates'!B:C,2,0),"Error with coding"))),"")</f>
        <v>.</v>
      </c>
      <c r="U23" s="39" t="s">
        <v>233</v>
      </c>
      <c r="V23" s="42" t="s">
        <v>298</v>
      </c>
      <c r="W23" s="42" t="s">
        <v>299</v>
      </c>
      <c r="X23" s="42" t="s">
        <v>295</v>
      </c>
      <c r="Y23" s="825" t="s">
        <v>245</v>
      </c>
      <c r="Z23" s="39">
        <v>0</v>
      </c>
      <c r="AA23" s="518">
        <v>0</v>
      </c>
      <c r="AB23" s="395" t="s">
        <v>282</v>
      </c>
      <c r="AC23" s="519" t="str">
        <f>""</f>
        <v/>
      </c>
      <c r="AD23" s="520">
        <v>1</v>
      </c>
      <c r="AE23" s="520" t="s">
        <v>236</v>
      </c>
      <c r="AF23" s="520" t="s">
        <v>237</v>
      </c>
      <c r="AG23" s="520">
        <v>1</v>
      </c>
      <c r="AH23" s="520">
        <v>7</v>
      </c>
      <c r="AI23" s="520">
        <v>0</v>
      </c>
      <c r="AJ23" s="520">
        <f>VLOOKUP($I23,'Price List, Weapons &amp; Items'!A:E,5,0)</f>
        <v>0</v>
      </c>
      <c r="AK23" s="520">
        <f t="shared" si="8"/>
        <v>0</v>
      </c>
      <c r="AL23" s="520">
        <f t="shared" si="9"/>
        <v>0</v>
      </c>
      <c r="AM23" s="520">
        <f t="shared" si="10"/>
        <v>0</v>
      </c>
      <c r="AN23" s="521" t="str">
        <f>VLOOKUP($I23,'Price List, Weapons &amp; Items'!A:K,COLUMN('Price List, Weapons &amp; Items'!$I$1),0)</f>
        <v>.</v>
      </c>
      <c r="AO23" s="521" t="str">
        <f>IF(I23=".",".",VLOOKUP($I23,'Price List, Weapons &amp; Items'!A:I,3,0))</f>
        <v>.</v>
      </c>
      <c r="AP23" s="517" t="str">
        <f t="shared" ca="1" si="5"/>
        <v>.</v>
      </c>
      <c r="AQ23" s="521" t="str">
        <f>VLOOKUP($I23,'Price List, Weapons &amp; Items'!A:K,COLUMN('Price List, Weapons &amp; Items'!$K$1),0)</f>
        <v>no price, 0 count</v>
      </c>
      <c r="AS23" s="521">
        <f t="shared" si="11"/>
        <v>1</v>
      </c>
      <c r="AT23" s="521">
        <f t="shared" si="12"/>
        <v>0</v>
      </c>
      <c r="AU23" s="521">
        <f t="shared" si="13"/>
        <v>1</v>
      </c>
      <c r="AV23" s="521" t="str">
        <f t="shared" si="14"/>
        <v>.</v>
      </c>
    </row>
    <row r="24" spans="1:48" ht="15" customHeight="1">
      <c r="A24" s="41" t="s">
        <v>306</v>
      </c>
      <c r="B24" s="41" t="s">
        <v>227</v>
      </c>
      <c r="C24" s="511">
        <v>44861</v>
      </c>
      <c r="D24" s="18" t="s">
        <v>252</v>
      </c>
      <c r="E24" s="18" t="s">
        <v>307</v>
      </c>
      <c r="F24" s="512" t="s">
        <v>308</v>
      </c>
      <c r="G24" s="39" t="s">
        <v>231</v>
      </c>
      <c r="H24" s="513" t="s">
        <v>309</v>
      </c>
      <c r="I24" s="41" t="s">
        <v>274</v>
      </c>
      <c r="J24" s="276" t="str">
        <f>VLOOKUP($I24,'Price List, Weapons &amp; Items'!A:B,2,0)</f>
        <v>Heavy weapon</v>
      </c>
      <c r="K24" s="276" t="str">
        <f>IF(I24=".",I24,VLOOKUP($I24,'Price List, Weapons &amp; Items'!A:C,3,0))</f>
        <v>Armoured Utility Vehicle (AUV)</v>
      </c>
      <c r="L24" s="514">
        <f>VLOOKUP(I24,'Price List, Weapons &amp; Items'!A:D,4,0)</f>
        <v>0</v>
      </c>
      <c r="M24" s="515">
        <v>30</v>
      </c>
      <c r="N24" s="515" t="s">
        <v>232</v>
      </c>
      <c r="O24" s="516">
        <f>VLOOKUP($I24,'Price List, Weapons &amp; Items'!A:F,6,0)</f>
        <v>1650000</v>
      </c>
      <c r="P24" s="513">
        <f t="shared" si="6"/>
        <v>49500000</v>
      </c>
      <c r="R24" s="513">
        <f t="shared" si="2"/>
        <v>49500000</v>
      </c>
      <c r="S24" s="513">
        <f>IF(AND(AD24=1,R24&lt;&gt;".")=TRUE,R24/VLOOKUP(G24,'Exchange rates'!B:C,2,0),IF(R24=".",".",""))</f>
        <v>31954037.8284165</v>
      </c>
      <c r="T24" s="513" t="str">
        <f>IF(AD24=1,IF(AF24="Value is not given at all",".",IF(AF24="Value is given by the source",S24,IF(AF24="Value is calculated with prices",(IF(SUMIFS(Q:Q,A:A,A24)&gt;0,SUMIFS(Q:Q,A:A,A24),"."))/VLOOKUP("USD",'Exchange rates'!B:C,2,0),"Error with coding"))),"")</f>
        <v>.</v>
      </c>
      <c r="U24" s="39" t="s">
        <v>233</v>
      </c>
      <c r="V24" s="827" t="s">
        <v>310</v>
      </c>
      <c r="W24" s="42" t="s">
        <v>232</v>
      </c>
      <c r="X24" s="42" t="s">
        <v>232</v>
      </c>
      <c r="Y24" s="825" t="s">
        <v>232</v>
      </c>
      <c r="Z24" s="39">
        <v>0</v>
      </c>
      <c r="AA24" s="518">
        <v>1</v>
      </c>
      <c r="AB24" s="395" t="s">
        <v>232</v>
      </c>
      <c r="AC24" s="519" t="str">
        <f>""</f>
        <v/>
      </c>
      <c r="AD24" s="520">
        <v>1</v>
      </c>
      <c r="AE24" s="520" t="s">
        <v>300</v>
      </c>
      <c r="AF24" s="520" t="s">
        <v>237</v>
      </c>
      <c r="AG24" s="520">
        <v>1</v>
      </c>
      <c r="AH24" s="520">
        <v>10</v>
      </c>
      <c r="AI24" s="520">
        <v>0</v>
      </c>
      <c r="AJ24" s="520">
        <f>VLOOKUP($I24,'Price List, Weapons &amp; Items'!A:E,5,0)</f>
        <v>1</v>
      </c>
      <c r="AK24" s="520">
        <f t="shared" si="8"/>
        <v>0</v>
      </c>
      <c r="AL24" s="520">
        <f t="shared" si="9"/>
        <v>0</v>
      </c>
      <c r="AM24" s="520">
        <f t="shared" si="10"/>
        <v>0</v>
      </c>
      <c r="AN24" s="521" t="str">
        <f>VLOOKUP($I24,'Price List, Weapons &amp; Items'!A:K,COLUMN('Price List, Weapons &amp; Items'!$I$1),0)</f>
        <v>Miscellaneous</v>
      </c>
      <c r="AO24" s="521" t="str">
        <f>IF(I24=".",".",VLOOKUP($I24,'Price List, Weapons &amp; Items'!A:I,3,0))</f>
        <v>Armoured Utility Vehicle (AUV)</v>
      </c>
      <c r="AP24" s="517" t="str">
        <f t="shared" ca="1" si="5"/>
        <v>Bushmaster Protected Mobility Vehicles</v>
      </c>
      <c r="AQ24" s="521">
        <f>VLOOKUP($I24,'Price List, Weapons &amp; Items'!A:K,COLUMN('Price List, Weapons &amp; Items'!$K$1),0)</f>
        <v>2</v>
      </c>
      <c r="AS24" s="521">
        <f t="shared" si="11"/>
        <v>1</v>
      </c>
      <c r="AT24" s="521">
        <f t="shared" si="12"/>
        <v>1</v>
      </c>
      <c r="AU24" s="521">
        <f t="shared" si="13"/>
        <v>1</v>
      </c>
      <c r="AV24" s="521" t="str">
        <f t="shared" si="14"/>
        <v>.</v>
      </c>
    </row>
    <row r="25" spans="1:48" s="533" customFormat="1" ht="15" customHeight="1">
      <c r="A25" s="18" t="s">
        <v>311</v>
      </c>
      <c r="B25" s="18" t="s">
        <v>312</v>
      </c>
      <c r="C25" s="511">
        <v>44617</v>
      </c>
      <c r="D25" s="18" t="s">
        <v>228</v>
      </c>
      <c r="E25" s="18" t="s">
        <v>239</v>
      </c>
      <c r="F25" s="512" t="s">
        <v>313</v>
      </c>
      <c r="G25" s="39" t="s">
        <v>314</v>
      </c>
      <c r="H25" s="513" t="s">
        <v>309</v>
      </c>
      <c r="I25" s="41" t="s">
        <v>315</v>
      </c>
      <c r="J25" s="276" t="str">
        <f>VLOOKUP($I25,'Price List, Weapons &amp; Items'!A:B,2,0)</f>
        <v>Humanitarian</v>
      </c>
      <c r="K25" s="276" t="str">
        <f>IF(I25=".",I25,VLOOKUP($I25,'Price List, Weapons &amp; Items'!A:C,3,0))</f>
        <v>.</v>
      </c>
      <c r="L25" s="514">
        <f>VLOOKUP(I25,'Price List, Weapons &amp; Items'!A:D,4,0)</f>
        <v>0</v>
      </c>
      <c r="M25" s="515">
        <v>50000</v>
      </c>
      <c r="N25" s="515" t="s">
        <v>232</v>
      </c>
      <c r="O25" s="516">
        <f>VLOOKUP($I25,'Price List, Weapons &amp; Items'!A:F,6,0)</f>
        <v>6.2309999999999999</v>
      </c>
      <c r="P25" s="513">
        <f t="shared" si="6"/>
        <v>311550</v>
      </c>
      <c r="Q25" s="513" t="str">
        <f t="shared" si="7"/>
        <v>.</v>
      </c>
      <c r="R25" s="513">
        <f t="shared" si="2"/>
        <v>1081150</v>
      </c>
      <c r="S25" s="513">
        <f>IF(AND(AD25=1,R25&lt;&gt;".")=TRUE,R25/VLOOKUP(G25,'Exchange rates'!B:C,2,0),IF(R25=".",".",""))</f>
        <v>1077379.1728948678</v>
      </c>
      <c r="T25" s="513" t="str">
        <f>IF(AD25=1,IF(AF25="Value is not given at all",".",IF(AF25="Value is given by the source",S25,IF(AF25="Value is calculated with prices",(IF(SUMIFS(Q:Q,A:A,A25)&gt;0,SUMIFS(Q:Q,A:A,A25),"."))/VLOOKUP("USD",'Exchange rates'!B:C,2,0),"Error with coding"))),"")</f>
        <v>.</v>
      </c>
      <c r="U25" s="39" t="s">
        <v>233</v>
      </c>
      <c r="V25" s="376" t="s">
        <v>316</v>
      </c>
      <c r="W25" s="530" t="s">
        <v>232</v>
      </c>
      <c r="X25" s="530" t="s">
        <v>232</v>
      </c>
      <c r="Y25" s="530" t="s">
        <v>232</v>
      </c>
      <c r="Z25" s="39">
        <v>0</v>
      </c>
      <c r="AA25" s="518">
        <v>0</v>
      </c>
      <c r="AB25" s="38" t="s">
        <v>232</v>
      </c>
      <c r="AC25" s="519" t="str">
        <f>""</f>
        <v/>
      </c>
      <c r="AD25" s="520">
        <v>1</v>
      </c>
      <c r="AE25" s="520" t="s">
        <v>300</v>
      </c>
      <c r="AF25" s="520" t="s">
        <v>237</v>
      </c>
      <c r="AG25" s="520">
        <v>1</v>
      </c>
      <c r="AH25" s="520">
        <v>2</v>
      </c>
      <c r="AI25" s="520">
        <v>0</v>
      </c>
      <c r="AJ25" s="520">
        <f>VLOOKUP($I25,'Price List, Weapons &amp; Items'!A:E,5,0)</f>
        <v>0</v>
      </c>
      <c r="AK25" s="520">
        <f t="shared" si="8"/>
        <v>0</v>
      </c>
      <c r="AL25" s="520">
        <f t="shared" si="9"/>
        <v>0</v>
      </c>
      <c r="AM25" s="520">
        <f t="shared" si="10"/>
        <v>0</v>
      </c>
      <c r="AN25" s="521" t="str">
        <f>VLOOKUP($I25,'Price List, Weapons &amp; Items'!A:K,COLUMN('Price List, Weapons &amp; Items'!$I$1),0)</f>
        <v>Online marketplaces and stores</v>
      </c>
      <c r="AO25" s="521" t="str">
        <f>IF(I25=".",".",VLOOKUP($I25,'Price List, Weapons &amp; Items'!A:I,3,0))</f>
        <v>.</v>
      </c>
      <c r="AP25" s="517" t="str">
        <f t="shared" ca="1" si="5"/>
        <v>liter of hand disinfectant; liter of disinfectant; safety glasses; medical protective mask; gloves; power generator; sleeping bag; liter of water</v>
      </c>
      <c r="AQ25" s="521">
        <f>VLOOKUP($I25,'Price List, Weapons &amp; Items'!A:K,COLUMN('Price List, Weapons &amp; Items'!$K$1),0)</f>
        <v>0</v>
      </c>
      <c r="AS25" s="521">
        <f t="shared" si="11"/>
        <v>1</v>
      </c>
      <c r="AT25" s="521">
        <f t="shared" si="12"/>
        <v>0</v>
      </c>
      <c r="AU25" s="521">
        <f t="shared" si="13"/>
        <v>1</v>
      </c>
      <c r="AV25" s="521" t="str">
        <f t="shared" si="14"/>
        <v>.</v>
      </c>
    </row>
    <row r="26" spans="1:48" s="533" customFormat="1" ht="15" customHeight="1">
      <c r="A26" s="18" t="s">
        <v>311</v>
      </c>
      <c r="B26" s="18" t="s">
        <v>312</v>
      </c>
      <c r="C26" s="511">
        <v>44617</v>
      </c>
      <c r="D26" s="18" t="s">
        <v>228</v>
      </c>
      <c r="E26" s="18" t="s">
        <v>239</v>
      </c>
      <c r="F26" s="512" t="s">
        <v>313</v>
      </c>
      <c r="G26" s="39" t="s">
        <v>314</v>
      </c>
      <c r="H26" s="513" t="s">
        <v>309</v>
      </c>
      <c r="I26" s="41" t="s">
        <v>317</v>
      </c>
      <c r="J26" s="276" t="str">
        <f>VLOOKUP($I26,'Price List, Weapons &amp; Items'!A:B,2,0)</f>
        <v>Humanitarian</v>
      </c>
      <c r="K26" s="276" t="str">
        <f>IF(I26=".",I26,VLOOKUP($I26,'Price List, Weapons &amp; Items'!A:C,3,0))</f>
        <v>.</v>
      </c>
      <c r="L26" s="514">
        <f>VLOOKUP(I26,'Price List, Weapons &amp; Items'!A:D,4,0)</f>
        <v>0</v>
      </c>
      <c r="M26" s="515">
        <v>9000</v>
      </c>
      <c r="N26" s="515" t="s">
        <v>232</v>
      </c>
      <c r="O26" s="516">
        <f>VLOOKUP($I26,'Price List, Weapons &amp; Items'!A:F,6,0)</f>
        <v>12</v>
      </c>
      <c r="P26" s="513">
        <f t="shared" si="6"/>
        <v>108000</v>
      </c>
      <c r="Q26" s="513" t="str">
        <f t="shared" si="7"/>
        <v>.</v>
      </c>
      <c r="R26" s="513" t="str">
        <f t="shared" si="2"/>
        <v/>
      </c>
      <c r="S26" s="513" t="str">
        <f>IF(AND(AD26=1,R26&lt;&gt;".")=TRUE,R26/VLOOKUP(G26,'Exchange rates'!B:C,2,0),IF(R26=".",".",""))</f>
        <v/>
      </c>
      <c r="T26" s="513" t="str">
        <f>IF(AD26=1,IF(AF26="Value is not given at all",".",IF(AF26="Value is given by the source",S26,IF(AF26="Value is calculated with prices",(IF(SUMIFS(Q:Q,A:A,A26)&gt;0,SUMIFS(Q:Q,A:A,A26),"."))/VLOOKUP("USD",'Exchange rates'!B:C,2,0),"Error with coding"))),"")</f>
        <v/>
      </c>
      <c r="U26" s="39" t="s">
        <v>233</v>
      </c>
      <c r="V26" s="376" t="s">
        <v>316</v>
      </c>
      <c r="W26" s="530" t="s">
        <v>232</v>
      </c>
      <c r="X26" s="530" t="s">
        <v>232</v>
      </c>
      <c r="Y26" s="530" t="s">
        <v>232</v>
      </c>
      <c r="Z26" s="39">
        <v>0</v>
      </c>
      <c r="AA26" s="518">
        <v>0</v>
      </c>
      <c r="AB26" s="38" t="s">
        <v>232</v>
      </c>
      <c r="AC26" s="519" t="str">
        <f>""</f>
        <v/>
      </c>
      <c r="AD26" s="520">
        <v>0</v>
      </c>
      <c r="AE26" s="520" t="s">
        <v>300</v>
      </c>
      <c r="AF26" s="520" t="s">
        <v>237</v>
      </c>
      <c r="AG26" s="520">
        <v>1</v>
      </c>
      <c r="AH26" s="520">
        <v>2</v>
      </c>
      <c r="AI26" s="520">
        <v>0</v>
      </c>
      <c r="AJ26" s="520">
        <f>VLOOKUP($I26,'Price List, Weapons &amp; Items'!A:E,5,0)</f>
        <v>0</v>
      </c>
      <c r="AK26" s="520">
        <f t="shared" si="8"/>
        <v>0</v>
      </c>
      <c r="AL26" s="520">
        <f t="shared" si="9"/>
        <v>0</v>
      </c>
      <c r="AM26" s="520">
        <f t="shared" si="10"/>
        <v>0</v>
      </c>
      <c r="AN26" s="521" t="str">
        <f>VLOOKUP($I26,'Price List, Weapons &amp; Items'!A:K,COLUMN('Price List, Weapons &amp; Items'!$I$1),0)</f>
        <v>Online marketplaces and stores</v>
      </c>
      <c r="AO26" s="521" t="str">
        <f>IF(I26=".",".",VLOOKUP($I26,'Price List, Weapons &amp; Items'!A:I,3,0))</f>
        <v>.</v>
      </c>
      <c r="AP26" s="517" t="str">
        <f t="shared" ca="1" si="5"/>
        <v/>
      </c>
      <c r="AQ26" s="521">
        <f>VLOOKUP($I26,'Price List, Weapons &amp; Items'!A:K,COLUMN('Price List, Weapons &amp; Items'!$K$1),0)</f>
        <v>0</v>
      </c>
      <c r="AS26" s="521">
        <f t="shared" si="11"/>
        <v>1</v>
      </c>
      <c r="AT26" s="521">
        <f t="shared" si="12"/>
        <v>0</v>
      </c>
      <c r="AU26" s="521">
        <f t="shared" si="13"/>
        <v>1</v>
      </c>
      <c r="AV26" s="521" t="str">
        <f t="shared" si="14"/>
        <v>.</v>
      </c>
    </row>
    <row r="27" spans="1:48" s="533" customFormat="1" ht="15" customHeight="1">
      <c r="A27" s="18" t="s">
        <v>311</v>
      </c>
      <c r="B27" s="18" t="s">
        <v>312</v>
      </c>
      <c r="C27" s="511">
        <v>44617</v>
      </c>
      <c r="D27" s="18" t="s">
        <v>228</v>
      </c>
      <c r="E27" s="18" t="s">
        <v>239</v>
      </c>
      <c r="F27" s="512" t="s">
        <v>313</v>
      </c>
      <c r="G27" s="39" t="s">
        <v>314</v>
      </c>
      <c r="H27" s="513" t="s">
        <v>309</v>
      </c>
      <c r="I27" s="41" t="s">
        <v>318</v>
      </c>
      <c r="J27" s="276" t="str">
        <f>VLOOKUP($I27,'Price List, Weapons &amp; Items'!A:B,2,0)</f>
        <v>Humanitarian</v>
      </c>
      <c r="K27" s="276" t="str">
        <f>IF(I27=".",I27,VLOOKUP($I27,'Price List, Weapons &amp; Items'!A:C,3,0))</f>
        <v>.</v>
      </c>
      <c r="L27" s="514">
        <f>VLOOKUP(I27,'Price List, Weapons &amp; Items'!A:D,4,0)</f>
        <v>0</v>
      </c>
      <c r="M27" s="515">
        <v>50000</v>
      </c>
      <c r="N27" s="515" t="s">
        <v>232</v>
      </c>
      <c r="O27" s="516">
        <f>VLOOKUP($I27,'Price List, Weapons &amp; Items'!A:F,6,0)</f>
        <v>10</v>
      </c>
      <c r="P27" s="513">
        <f t="shared" si="6"/>
        <v>500000</v>
      </c>
      <c r="Q27" s="513" t="str">
        <f t="shared" si="7"/>
        <v>.</v>
      </c>
      <c r="R27" s="513" t="str">
        <f t="shared" si="2"/>
        <v/>
      </c>
      <c r="S27" s="513" t="str">
        <f>IF(AND(AD27=1,R27&lt;&gt;".")=TRUE,R27/VLOOKUP(G27,'Exchange rates'!B:C,2,0),IF(R27=".",".",""))</f>
        <v/>
      </c>
      <c r="T27" s="513" t="str">
        <f>IF(AD27=1,IF(AF27="Value is not given at all",".",IF(AF27="Value is given by the source",S27,IF(AF27="Value is calculated with prices",(IF(SUMIFS(Q:Q,A:A,A27)&gt;0,SUMIFS(Q:Q,A:A,A27),"."))/VLOOKUP("USD",'Exchange rates'!B:C,2,0),"Error with coding"))),"")</f>
        <v/>
      </c>
      <c r="U27" s="39" t="s">
        <v>233</v>
      </c>
      <c r="V27" s="376" t="s">
        <v>316</v>
      </c>
      <c r="W27" s="530" t="s">
        <v>232</v>
      </c>
      <c r="X27" s="530" t="s">
        <v>232</v>
      </c>
      <c r="Y27" s="530" t="s">
        <v>232</v>
      </c>
      <c r="Z27" s="39">
        <v>0</v>
      </c>
      <c r="AA27" s="518">
        <v>0</v>
      </c>
      <c r="AB27" s="38" t="s">
        <v>232</v>
      </c>
      <c r="AC27" s="519" t="str">
        <f>""</f>
        <v/>
      </c>
      <c r="AD27" s="520">
        <v>0</v>
      </c>
      <c r="AE27" s="520" t="s">
        <v>300</v>
      </c>
      <c r="AF27" s="520" t="s">
        <v>237</v>
      </c>
      <c r="AG27" s="520">
        <v>1</v>
      </c>
      <c r="AH27" s="520">
        <v>2</v>
      </c>
      <c r="AI27" s="520">
        <v>0</v>
      </c>
      <c r="AJ27" s="520">
        <f>VLOOKUP($I27,'Price List, Weapons &amp; Items'!A:E,5,0)</f>
        <v>0</v>
      </c>
      <c r="AK27" s="520">
        <f t="shared" si="8"/>
        <v>0</v>
      </c>
      <c r="AL27" s="520">
        <f t="shared" si="9"/>
        <v>0</v>
      </c>
      <c r="AM27" s="520">
        <f t="shared" si="10"/>
        <v>0</v>
      </c>
      <c r="AN27" s="521" t="str">
        <f>VLOOKUP($I27,'Price List, Weapons &amp; Items'!A:K,COLUMN('Price List, Weapons &amp; Items'!$I$1),0)</f>
        <v>Online marketplaces and stores</v>
      </c>
      <c r="AO27" s="521" t="str">
        <f>IF(I27=".",".",VLOOKUP($I27,'Price List, Weapons &amp; Items'!A:I,3,0))</f>
        <v>.</v>
      </c>
      <c r="AP27" s="517" t="str">
        <f t="shared" ca="1" si="5"/>
        <v/>
      </c>
      <c r="AQ27" s="521">
        <f>VLOOKUP($I27,'Price List, Weapons &amp; Items'!A:K,COLUMN('Price List, Weapons &amp; Items'!$K$1),0)</f>
        <v>0</v>
      </c>
      <c r="AS27" s="521">
        <f t="shared" si="11"/>
        <v>1</v>
      </c>
      <c r="AT27" s="521">
        <f t="shared" si="12"/>
        <v>0</v>
      </c>
      <c r="AU27" s="521">
        <f t="shared" si="13"/>
        <v>1</v>
      </c>
      <c r="AV27" s="521" t="str">
        <f t="shared" si="14"/>
        <v>.</v>
      </c>
    </row>
    <row r="28" spans="1:48" s="533" customFormat="1" ht="15" customHeight="1">
      <c r="A28" s="18" t="s">
        <v>311</v>
      </c>
      <c r="B28" s="18" t="s">
        <v>312</v>
      </c>
      <c r="C28" s="511">
        <v>44617</v>
      </c>
      <c r="D28" s="18" t="s">
        <v>228</v>
      </c>
      <c r="E28" s="18" t="s">
        <v>239</v>
      </c>
      <c r="F28" s="512" t="s">
        <v>313</v>
      </c>
      <c r="G28" s="39" t="s">
        <v>314</v>
      </c>
      <c r="H28" s="513" t="s">
        <v>309</v>
      </c>
      <c r="I28" s="41" t="s">
        <v>319</v>
      </c>
      <c r="J28" s="276" t="str">
        <f>VLOOKUP($I28,'Price List, Weapons &amp; Items'!A:B,2,0)</f>
        <v>Humanitarian</v>
      </c>
      <c r="K28" s="276" t="str">
        <f>IF(I28=".",I28,VLOOKUP($I28,'Price List, Weapons &amp; Items'!A:C,3,0))</f>
        <v>.</v>
      </c>
      <c r="L28" s="514">
        <f>VLOOKUP(I28,'Price List, Weapons &amp; Items'!A:D,4,0)</f>
        <v>0</v>
      </c>
      <c r="M28" s="515">
        <v>50000</v>
      </c>
      <c r="N28" s="515" t="s">
        <v>232</v>
      </c>
      <c r="O28" s="516">
        <f>VLOOKUP($I28,'Price List, Weapons &amp; Items'!A:F,6,0)</f>
        <v>0.24</v>
      </c>
      <c r="P28" s="513">
        <f t="shared" si="6"/>
        <v>12000</v>
      </c>
      <c r="Q28" s="513" t="str">
        <f t="shared" si="7"/>
        <v>.</v>
      </c>
      <c r="R28" s="513" t="str">
        <f t="shared" si="2"/>
        <v/>
      </c>
      <c r="S28" s="513" t="str">
        <f>IF(AND(AD28=1,R28&lt;&gt;".")=TRUE,R28/VLOOKUP(G28,'Exchange rates'!B:C,2,0),IF(R28=".",".",""))</f>
        <v/>
      </c>
      <c r="T28" s="513" t="str">
        <f>IF(AD28=1,IF(AF28="Value is not given at all",".",IF(AF28="Value is given by the source",S28,IF(AF28="Value is calculated with prices",(IF(SUMIFS(Q:Q,A:A,A28)&gt;0,SUMIFS(Q:Q,A:A,A28),"."))/VLOOKUP("USD",'Exchange rates'!B:C,2,0),"Error with coding"))),"")</f>
        <v/>
      </c>
      <c r="U28" s="39" t="s">
        <v>233</v>
      </c>
      <c r="V28" s="376" t="s">
        <v>316</v>
      </c>
      <c r="W28" s="530" t="s">
        <v>232</v>
      </c>
      <c r="X28" s="530" t="s">
        <v>232</v>
      </c>
      <c r="Y28" s="530" t="s">
        <v>232</v>
      </c>
      <c r="Z28" s="39">
        <v>0</v>
      </c>
      <c r="AA28" s="518">
        <v>0</v>
      </c>
      <c r="AB28" s="38" t="s">
        <v>232</v>
      </c>
      <c r="AC28" s="519" t="str">
        <f>""</f>
        <v/>
      </c>
      <c r="AD28" s="520">
        <v>0</v>
      </c>
      <c r="AE28" s="520" t="s">
        <v>300</v>
      </c>
      <c r="AF28" s="520" t="s">
        <v>237</v>
      </c>
      <c r="AG28" s="520">
        <v>1</v>
      </c>
      <c r="AH28" s="520">
        <v>2</v>
      </c>
      <c r="AI28" s="520">
        <v>0</v>
      </c>
      <c r="AJ28" s="520">
        <f>VLOOKUP($I28,'Price List, Weapons &amp; Items'!A:E,5,0)</f>
        <v>0</v>
      </c>
      <c r="AK28" s="520">
        <f t="shared" si="8"/>
        <v>0</v>
      </c>
      <c r="AL28" s="520">
        <f t="shared" si="9"/>
        <v>0</v>
      </c>
      <c r="AM28" s="520">
        <f t="shared" si="10"/>
        <v>0</v>
      </c>
      <c r="AN28" s="521" t="str">
        <f>VLOOKUP($I28,'Price List, Weapons &amp; Items'!A:K,COLUMN('Price List, Weapons &amp; Items'!$I$1),0)</f>
        <v>Online marketplaces and stores</v>
      </c>
      <c r="AO28" s="521" t="str">
        <f>IF(I28=".",".",VLOOKUP($I28,'Price List, Weapons &amp; Items'!A:I,3,0))</f>
        <v>.</v>
      </c>
      <c r="AP28" s="517" t="str">
        <f t="shared" ca="1" si="5"/>
        <v/>
      </c>
      <c r="AQ28" s="521">
        <f>VLOOKUP($I28,'Price List, Weapons &amp; Items'!A:K,COLUMN('Price List, Weapons &amp; Items'!$K$1),0)</f>
        <v>0</v>
      </c>
      <c r="AS28" s="521">
        <f t="shared" si="11"/>
        <v>1</v>
      </c>
      <c r="AT28" s="521">
        <f t="shared" si="12"/>
        <v>0</v>
      </c>
      <c r="AU28" s="521">
        <f t="shared" si="13"/>
        <v>1</v>
      </c>
      <c r="AV28" s="521" t="str">
        <f t="shared" si="14"/>
        <v>.</v>
      </c>
    </row>
    <row r="29" spans="1:48" s="533" customFormat="1" ht="15" customHeight="1">
      <c r="A29" s="18" t="s">
        <v>311</v>
      </c>
      <c r="B29" s="18" t="s">
        <v>312</v>
      </c>
      <c r="C29" s="511">
        <v>44617</v>
      </c>
      <c r="D29" s="18" t="s">
        <v>228</v>
      </c>
      <c r="E29" s="18" t="s">
        <v>239</v>
      </c>
      <c r="F29" s="512" t="s">
        <v>313</v>
      </c>
      <c r="G29" s="39" t="s">
        <v>314</v>
      </c>
      <c r="H29" s="513" t="s">
        <v>309</v>
      </c>
      <c r="I29" s="41" t="s">
        <v>320</v>
      </c>
      <c r="J29" s="276" t="str">
        <f>VLOOKUP($I29,'Price List, Weapons &amp; Items'!A:B,2,0)</f>
        <v>Humanitarian</v>
      </c>
      <c r="K29" s="276" t="str">
        <f>IF(I29=".",I29,VLOOKUP($I29,'Price List, Weapons &amp; Items'!A:C,3,0))</f>
        <v>.</v>
      </c>
      <c r="L29" s="514">
        <f>VLOOKUP(I29,'Price List, Weapons &amp; Items'!A:D,4,0)</f>
        <v>0</v>
      </c>
      <c r="M29" s="515">
        <v>20000</v>
      </c>
      <c r="N29" s="515" t="s">
        <v>232</v>
      </c>
      <c r="O29" s="516">
        <f>VLOOKUP($I29,'Price List, Weapons &amp; Items'!A:F,6,0)</f>
        <v>0.13</v>
      </c>
      <c r="P29" s="513">
        <f t="shared" si="6"/>
        <v>2600</v>
      </c>
      <c r="Q29" s="513" t="str">
        <f t="shared" si="7"/>
        <v>.</v>
      </c>
      <c r="R29" s="513" t="str">
        <f t="shared" si="2"/>
        <v/>
      </c>
      <c r="S29" s="513" t="str">
        <f>IF(AND(AD29=1,R29&lt;&gt;".")=TRUE,R29/VLOOKUP(G29,'Exchange rates'!B:C,2,0),IF(R29=".",".",""))</f>
        <v/>
      </c>
      <c r="T29" s="513" t="str">
        <f>IF(AD29=1,IF(AF29="Value is not given at all",".",IF(AF29="Value is given by the source",S29,IF(AF29="Value is calculated with prices",(IF(SUMIFS(Q:Q,A:A,A29)&gt;0,SUMIFS(Q:Q,A:A,A29),"."))/VLOOKUP("USD",'Exchange rates'!B:C,2,0),"Error with coding"))),"")</f>
        <v/>
      </c>
      <c r="U29" s="39" t="s">
        <v>233</v>
      </c>
      <c r="V29" s="376" t="s">
        <v>316</v>
      </c>
      <c r="W29" s="530" t="s">
        <v>232</v>
      </c>
      <c r="X29" s="530" t="s">
        <v>232</v>
      </c>
      <c r="Y29" s="530" t="s">
        <v>232</v>
      </c>
      <c r="Z29" s="39">
        <v>0</v>
      </c>
      <c r="AA29" s="518">
        <v>0</v>
      </c>
      <c r="AB29" s="38" t="s">
        <v>232</v>
      </c>
      <c r="AC29" s="519" t="str">
        <f>""</f>
        <v/>
      </c>
      <c r="AD29" s="520">
        <v>0</v>
      </c>
      <c r="AE29" s="520" t="s">
        <v>300</v>
      </c>
      <c r="AF29" s="520" t="s">
        <v>237</v>
      </c>
      <c r="AG29" s="520">
        <v>1</v>
      </c>
      <c r="AH29" s="520">
        <v>2</v>
      </c>
      <c r="AI29" s="520">
        <v>0</v>
      </c>
      <c r="AJ29" s="520">
        <f>VLOOKUP($I29,'Price List, Weapons &amp; Items'!A:E,5,0)</f>
        <v>0</v>
      </c>
      <c r="AK29" s="520">
        <f t="shared" si="8"/>
        <v>0</v>
      </c>
      <c r="AL29" s="520">
        <f t="shared" si="9"/>
        <v>0</v>
      </c>
      <c r="AM29" s="520">
        <f t="shared" si="10"/>
        <v>0</v>
      </c>
      <c r="AN29" s="521" t="str">
        <f>VLOOKUP($I29,'Price List, Weapons &amp; Items'!A:K,COLUMN('Price List, Weapons &amp; Items'!$I$1),0)</f>
        <v>Online marketplaces and stores</v>
      </c>
      <c r="AO29" s="521" t="str">
        <f>IF(I29=".",".",VLOOKUP($I29,'Price List, Weapons &amp; Items'!A:I,3,0))</f>
        <v>.</v>
      </c>
      <c r="AP29" s="517" t="str">
        <f t="shared" ca="1" si="5"/>
        <v/>
      </c>
      <c r="AQ29" s="521">
        <f>VLOOKUP($I29,'Price List, Weapons &amp; Items'!A:K,COLUMN('Price List, Weapons &amp; Items'!$K$1),0)</f>
        <v>0</v>
      </c>
      <c r="AS29" s="521">
        <f t="shared" si="11"/>
        <v>1</v>
      </c>
      <c r="AT29" s="521">
        <f t="shared" si="12"/>
        <v>0</v>
      </c>
      <c r="AU29" s="521">
        <f t="shared" si="13"/>
        <v>1</v>
      </c>
      <c r="AV29" s="521" t="str">
        <f t="shared" si="14"/>
        <v>.</v>
      </c>
    </row>
    <row r="30" spans="1:48" s="533" customFormat="1" ht="15" customHeight="1">
      <c r="A30" s="18" t="s">
        <v>311</v>
      </c>
      <c r="B30" s="18" t="s">
        <v>312</v>
      </c>
      <c r="C30" s="511">
        <v>44617</v>
      </c>
      <c r="D30" s="18" t="s">
        <v>228</v>
      </c>
      <c r="E30" s="18" t="s">
        <v>239</v>
      </c>
      <c r="F30" s="512" t="s">
        <v>313</v>
      </c>
      <c r="G30" s="39" t="s">
        <v>314</v>
      </c>
      <c r="H30" s="513" t="s">
        <v>309</v>
      </c>
      <c r="I30" s="41" t="s">
        <v>321</v>
      </c>
      <c r="J30" s="276" t="str">
        <f>VLOOKUP($I30,'Price List, Weapons &amp; Items'!A:B,2,0)</f>
        <v>Humanitarian</v>
      </c>
      <c r="K30" s="276" t="str">
        <f>IF(I30=".",I30,VLOOKUP($I30,'Price List, Weapons &amp; Items'!A:C,3,0))</f>
        <v>.</v>
      </c>
      <c r="L30" s="514">
        <f>VLOOKUP(I30,'Price List, Weapons &amp; Items'!A:D,4,0)</f>
        <v>0</v>
      </c>
      <c r="M30" s="515">
        <v>5</v>
      </c>
      <c r="N30" s="515" t="s">
        <v>232</v>
      </c>
      <c r="O30" s="516" t="str">
        <f>VLOOKUP($I30,'Price List, Weapons &amp; Items'!A:F,6,0)</f>
        <v>.</v>
      </c>
      <c r="P30" s="513" t="str">
        <f t="shared" si="6"/>
        <v>No price</v>
      </c>
      <c r="Q30" s="513" t="str">
        <f t="shared" si="7"/>
        <v>.</v>
      </c>
      <c r="R30" s="513" t="str">
        <f t="shared" si="2"/>
        <v/>
      </c>
      <c r="S30" s="513" t="str">
        <f>IF(AND(AD30=1,R30&lt;&gt;".")=TRUE,R30/VLOOKUP(G30,'Exchange rates'!B:C,2,0),IF(R30=".",".",""))</f>
        <v/>
      </c>
      <c r="T30" s="513" t="str">
        <f>IF(AD30=1,IF(AF30="Value is not given at all",".",IF(AF30="Value is given by the source",S30,IF(AF30="Value is calculated with prices",(IF(SUMIFS(Q:Q,A:A,A30)&gt;0,SUMIFS(Q:Q,A:A,A30),"."))/VLOOKUP("USD",'Exchange rates'!B:C,2,0),"Error with coding"))),"")</f>
        <v/>
      </c>
      <c r="U30" s="39" t="s">
        <v>233</v>
      </c>
      <c r="V30" s="376" t="s">
        <v>316</v>
      </c>
      <c r="W30" s="530" t="s">
        <v>232</v>
      </c>
      <c r="X30" s="530" t="s">
        <v>232</v>
      </c>
      <c r="Y30" s="530" t="s">
        <v>232</v>
      </c>
      <c r="Z30" s="39">
        <v>0</v>
      </c>
      <c r="AA30" s="518">
        <v>0</v>
      </c>
      <c r="AB30" s="38" t="s">
        <v>232</v>
      </c>
      <c r="AC30" s="519" t="str">
        <f>""</f>
        <v/>
      </c>
      <c r="AD30" s="520">
        <v>0</v>
      </c>
      <c r="AE30" s="520" t="s">
        <v>300</v>
      </c>
      <c r="AF30" s="520" t="s">
        <v>237</v>
      </c>
      <c r="AG30" s="520">
        <v>1</v>
      </c>
      <c r="AH30" s="520">
        <v>2</v>
      </c>
      <c r="AI30" s="520">
        <v>0</v>
      </c>
      <c r="AJ30" s="520">
        <f>VLOOKUP($I30,'Price List, Weapons &amp; Items'!A:E,5,0)</f>
        <v>0</v>
      </c>
      <c r="AK30" s="520">
        <f t="shared" si="8"/>
        <v>0</v>
      </c>
      <c r="AL30" s="520">
        <f t="shared" si="9"/>
        <v>0</v>
      </c>
      <c r="AM30" s="520">
        <f t="shared" si="10"/>
        <v>0</v>
      </c>
      <c r="AN30" s="521" t="str">
        <f>VLOOKUP($I30,'Price List, Weapons &amp; Items'!A:K,COLUMN('Price List, Weapons &amp; Items'!$I$1),0)</f>
        <v>Media reports (incl. social media)</v>
      </c>
      <c r="AO30" s="521" t="str">
        <f>IF(I30=".",".",VLOOKUP($I30,'Price List, Weapons &amp; Items'!A:I,3,0))</f>
        <v>.</v>
      </c>
      <c r="AP30" s="517" t="str">
        <f t="shared" ca="1" si="5"/>
        <v/>
      </c>
      <c r="AQ30" s="521">
        <f>VLOOKUP($I30,'Price List, Weapons &amp; Items'!A:K,COLUMN('Price List, Weapons &amp; Items'!$K$1),0)</f>
        <v>0</v>
      </c>
      <c r="AS30" s="521">
        <f t="shared" si="11"/>
        <v>1</v>
      </c>
      <c r="AT30" s="521">
        <f t="shared" si="12"/>
        <v>0</v>
      </c>
      <c r="AU30" s="521">
        <f t="shared" si="13"/>
        <v>1</v>
      </c>
      <c r="AV30" s="521" t="str">
        <f t="shared" si="14"/>
        <v>.</v>
      </c>
    </row>
    <row r="31" spans="1:48" s="533" customFormat="1" ht="15" customHeight="1">
      <c r="A31" s="18" t="s">
        <v>311</v>
      </c>
      <c r="B31" s="18" t="s">
        <v>312</v>
      </c>
      <c r="C31" s="511">
        <v>44617</v>
      </c>
      <c r="D31" s="18" t="s">
        <v>228</v>
      </c>
      <c r="E31" s="18" t="s">
        <v>239</v>
      </c>
      <c r="F31" s="512" t="s">
        <v>313</v>
      </c>
      <c r="G31" s="39" t="s">
        <v>314</v>
      </c>
      <c r="H31" s="513" t="s">
        <v>309</v>
      </c>
      <c r="I31" s="41" t="s">
        <v>322</v>
      </c>
      <c r="J31" s="276" t="str">
        <f>VLOOKUP($I31,'Price List, Weapons &amp; Items'!A:B,2,0)</f>
        <v>Humanitarian</v>
      </c>
      <c r="K31" s="276" t="str">
        <f>IF(I31=".",I31,VLOOKUP($I31,'Price List, Weapons &amp; Items'!A:C,3,0))</f>
        <v>.</v>
      </c>
      <c r="L31" s="514">
        <f>VLOOKUP(I31,'Price List, Weapons &amp; Items'!A:D,4,0)</f>
        <v>0</v>
      </c>
      <c r="M31" s="515">
        <v>700</v>
      </c>
      <c r="N31" s="515" t="s">
        <v>232</v>
      </c>
      <c r="O31" s="516">
        <f>VLOOKUP($I31,'Price List, Weapons &amp; Items'!A:F,6,0)</f>
        <v>150</v>
      </c>
      <c r="P31" s="513">
        <f t="shared" si="6"/>
        <v>105000</v>
      </c>
      <c r="Q31" s="513" t="str">
        <f t="shared" si="7"/>
        <v>.</v>
      </c>
      <c r="R31" s="513" t="str">
        <f t="shared" si="2"/>
        <v/>
      </c>
      <c r="S31" s="513" t="str">
        <f>IF(AND(AD31=1,R31&lt;&gt;".")=TRUE,R31/VLOOKUP(G31,'Exchange rates'!B:C,2,0),IF(R31=".",".",""))</f>
        <v/>
      </c>
      <c r="T31" s="513" t="str">
        <f>IF(AD31=1,IF(AF31="Value is not given at all",".",IF(AF31="Value is given by the source",S31,IF(AF31="Value is calculated with prices",(IF(SUMIFS(Q:Q,A:A,A31)&gt;0,SUMIFS(Q:Q,A:A,A31),"."))/VLOOKUP("USD",'Exchange rates'!B:C,2,0),"Error with coding"))),"")</f>
        <v/>
      </c>
      <c r="U31" s="39" t="s">
        <v>233</v>
      </c>
      <c r="V31" s="376" t="s">
        <v>316</v>
      </c>
      <c r="W31" s="530" t="s">
        <v>232</v>
      </c>
      <c r="X31" s="530" t="s">
        <v>232</v>
      </c>
      <c r="Y31" s="530" t="s">
        <v>232</v>
      </c>
      <c r="Z31" s="39">
        <v>0</v>
      </c>
      <c r="AA31" s="518">
        <v>0</v>
      </c>
      <c r="AB31" s="38" t="s">
        <v>232</v>
      </c>
      <c r="AC31" s="519" t="str">
        <f>""</f>
        <v/>
      </c>
      <c r="AD31" s="520">
        <v>0</v>
      </c>
      <c r="AE31" s="520" t="s">
        <v>300</v>
      </c>
      <c r="AF31" s="520" t="s">
        <v>237</v>
      </c>
      <c r="AG31" s="520">
        <v>1</v>
      </c>
      <c r="AH31" s="520">
        <v>2</v>
      </c>
      <c r="AI31" s="520">
        <v>0</v>
      </c>
      <c r="AJ31" s="520">
        <f>VLOOKUP($I31,'Price List, Weapons &amp; Items'!A:E,5,0)</f>
        <v>0</v>
      </c>
      <c r="AK31" s="520">
        <f t="shared" si="8"/>
        <v>0</v>
      </c>
      <c r="AL31" s="520">
        <f t="shared" si="9"/>
        <v>0</v>
      </c>
      <c r="AM31" s="520">
        <f t="shared" si="10"/>
        <v>0</v>
      </c>
      <c r="AN31" s="521" t="str">
        <f>VLOOKUP($I31,'Price List, Weapons &amp; Items'!A:K,COLUMN('Price List, Weapons &amp; Items'!$I$1),0)</f>
        <v>Miscellaneous</v>
      </c>
      <c r="AO31" s="521" t="str">
        <f>IF(I31=".",".",VLOOKUP($I31,'Price List, Weapons &amp; Items'!A:I,3,0))</f>
        <v>.</v>
      </c>
      <c r="AP31" s="517" t="str">
        <f t="shared" ca="1" si="5"/>
        <v/>
      </c>
      <c r="AQ31" s="521">
        <f>VLOOKUP($I31,'Price List, Weapons &amp; Items'!A:K,COLUMN('Price List, Weapons &amp; Items'!$K$1),0)</f>
        <v>0</v>
      </c>
      <c r="AS31" s="521">
        <f t="shared" si="11"/>
        <v>1</v>
      </c>
      <c r="AT31" s="521">
        <f t="shared" si="12"/>
        <v>0</v>
      </c>
      <c r="AU31" s="521">
        <f t="shared" si="13"/>
        <v>1</v>
      </c>
      <c r="AV31" s="521" t="str">
        <f t="shared" si="14"/>
        <v>.</v>
      </c>
    </row>
    <row r="32" spans="1:48" s="533" customFormat="1" ht="15" customHeight="1">
      <c r="A32" s="18" t="s">
        <v>311</v>
      </c>
      <c r="B32" s="18" t="s">
        <v>312</v>
      </c>
      <c r="C32" s="511">
        <v>44617</v>
      </c>
      <c r="D32" s="18" t="s">
        <v>228</v>
      </c>
      <c r="E32" s="18" t="s">
        <v>239</v>
      </c>
      <c r="F32" s="512" t="s">
        <v>313</v>
      </c>
      <c r="G32" s="39" t="s">
        <v>314</v>
      </c>
      <c r="H32" s="513" t="s">
        <v>309</v>
      </c>
      <c r="I32" s="41" t="s">
        <v>323</v>
      </c>
      <c r="J32" s="276" t="str">
        <f>VLOOKUP($I32,'Price List, Weapons &amp; Items'!A:B,2,0)</f>
        <v>Humanitarian</v>
      </c>
      <c r="K32" s="276" t="str">
        <f>IF(I32=".",I32,VLOOKUP($I32,'Price List, Weapons &amp; Items'!A:C,3,0))</f>
        <v>.</v>
      </c>
      <c r="L32" s="514">
        <f>VLOOKUP(I32,'Price List, Weapons &amp; Items'!A:D,4,0)</f>
        <v>0</v>
      </c>
      <c r="M32" s="515">
        <v>28000</v>
      </c>
      <c r="N32" s="515" t="s">
        <v>232</v>
      </c>
      <c r="O32" s="516">
        <f>VLOOKUP($I32,'Price List, Weapons &amp; Items'!A:F,6,0)</f>
        <v>1.5</v>
      </c>
      <c r="P32" s="513">
        <f t="shared" si="6"/>
        <v>42000</v>
      </c>
      <c r="Q32" s="513" t="str">
        <f t="shared" si="7"/>
        <v>.</v>
      </c>
      <c r="R32" s="513" t="str">
        <f t="shared" si="2"/>
        <v/>
      </c>
      <c r="S32" s="513" t="str">
        <f>IF(AND(AD32=1,R32&lt;&gt;".")=TRUE,R32/VLOOKUP(G32,'Exchange rates'!B:C,2,0),IF(R32=".",".",""))</f>
        <v/>
      </c>
      <c r="T32" s="513" t="str">
        <f>IF(AD32=1,IF(AF32="Value is not given at all",".",IF(AF32="Value is given by the source",S32,IF(AF32="Value is calculated with prices",(IF(SUMIFS(Q:Q,A:A,A32)&gt;0,SUMIFS(Q:Q,A:A,A32),"."))/VLOOKUP("USD",'Exchange rates'!B:C,2,0),"Error with coding"))),"")</f>
        <v/>
      </c>
      <c r="U32" s="39" t="s">
        <v>233</v>
      </c>
      <c r="V32" s="376" t="s">
        <v>316</v>
      </c>
      <c r="W32" s="530" t="s">
        <v>232</v>
      </c>
      <c r="X32" s="530" t="s">
        <v>232</v>
      </c>
      <c r="Y32" s="530" t="s">
        <v>232</v>
      </c>
      <c r="Z32" s="39">
        <v>0</v>
      </c>
      <c r="AA32" s="518">
        <v>0</v>
      </c>
      <c r="AB32" s="38" t="s">
        <v>232</v>
      </c>
      <c r="AC32" s="519" t="str">
        <f>""</f>
        <v/>
      </c>
      <c r="AD32" s="520">
        <v>0</v>
      </c>
      <c r="AE32" s="520" t="s">
        <v>300</v>
      </c>
      <c r="AF32" s="520" t="s">
        <v>237</v>
      </c>
      <c r="AG32" s="520">
        <v>1</v>
      </c>
      <c r="AH32" s="520">
        <v>2</v>
      </c>
      <c r="AI32" s="520">
        <v>0</v>
      </c>
      <c r="AJ32" s="520">
        <f>VLOOKUP($I32,'Price List, Weapons &amp; Items'!A:E,5,0)</f>
        <v>0</v>
      </c>
      <c r="AK32" s="520">
        <f t="shared" si="8"/>
        <v>0</v>
      </c>
      <c r="AL32" s="520">
        <f t="shared" si="9"/>
        <v>0</v>
      </c>
      <c r="AM32" s="520">
        <f t="shared" si="10"/>
        <v>0</v>
      </c>
      <c r="AN32" s="521" t="str">
        <f>VLOOKUP($I32,'Price List, Weapons &amp; Items'!A:K,COLUMN('Price List, Weapons &amp; Items'!$I$1),0)</f>
        <v>Online marketplaces and stores</v>
      </c>
      <c r="AO32" s="521" t="str">
        <f>IF(I32=".",".",VLOOKUP($I32,'Price List, Weapons &amp; Items'!A:I,3,0))</f>
        <v>.</v>
      </c>
      <c r="AP32" s="517" t="str">
        <f t="shared" ca="1" si="5"/>
        <v/>
      </c>
      <c r="AQ32" s="521">
        <f>VLOOKUP($I32,'Price List, Weapons &amp; Items'!A:K,COLUMN('Price List, Weapons &amp; Items'!$K$1),0)</f>
        <v>0</v>
      </c>
      <c r="AS32" s="521">
        <f t="shared" si="11"/>
        <v>1</v>
      </c>
      <c r="AT32" s="521">
        <f t="shared" si="12"/>
        <v>0</v>
      </c>
      <c r="AU32" s="521">
        <f t="shared" si="13"/>
        <v>1</v>
      </c>
      <c r="AV32" s="521" t="str">
        <f t="shared" si="14"/>
        <v>.</v>
      </c>
    </row>
    <row r="33" spans="1:48" s="534" customFormat="1" ht="15" customHeight="1">
      <c r="A33" s="41" t="s">
        <v>324</v>
      </c>
      <c r="B33" s="41" t="s">
        <v>312</v>
      </c>
      <c r="C33" s="511">
        <v>44715</v>
      </c>
      <c r="D33" s="18" t="s">
        <v>228</v>
      </c>
      <c r="E33" s="18" t="s">
        <v>239</v>
      </c>
      <c r="F33" s="512" t="s">
        <v>325</v>
      </c>
      <c r="G33" s="39" t="s">
        <v>314</v>
      </c>
      <c r="H33" s="513" t="s">
        <v>309</v>
      </c>
      <c r="I33" s="41" t="s">
        <v>326</v>
      </c>
      <c r="J33" s="276" t="str">
        <f>VLOOKUP($I33,'Price List, Weapons &amp; Items'!A:B,2,0)</f>
        <v>Humanitarian</v>
      </c>
      <c r="K33" s="276" t="str">
        <f>IF(I33=".",I33,VLOOKUP($I33,'Price List, Weapons &amp; Items'!A:C,3,0))</f>
        <v>.</v>
      </c>
      <c r="L33" s="514">
        <f>VLOOKUP(I33,'Price List, Weapons &amp; Items'!A:D,4,0)</f>
        <v>0</v>
      </c>
      <c r="M33" s="393">
        <v>36</v>
      </c>
      <c r="N33" s="515" t="s">
        <v>232</v>
      </c>
      <c r="O33" s="516">
        <f>VLOOKUP($I33,'Price List, Weapons &amp; Items'!A:F,6,0)</f>
        <v>317500</v>
      </c>
      <c r="P33" s="513">
        <f t="shared" si="6"/>
        <v>11430000</v>
      </c>
      <c r="Q33" s="513" t="str">
        <f t="shared" si="7"/>
        <v>.</v>
      </c>
      <c r="R33" s="513">
        <f t="shared" si="2"/>
        <v>11430000</v>
      </c>
      <c r="S33" s="513">
        <f>IF(AND(AD33=1,R33&lt;&gt;".")=TRUE,R33/VLOOKUP(G33,'Exchange rates'!B:C,2,0),IF(R33=".",".",""))</f>
        <v>11390134.529147981</v>
      </c>
      <c r="T33" s="513" t="str">
        <f>IF(AD33=1,IF(AF33="Value is not given at all",".",IF(AF33="Value is given by the source",S33,IF(AF33="Value is calculated with prices",(IF(SUMIFS(Q:Q,A:A,A33)&gt;0,SUMIFS(Q:Q,A:A,A33),"."))/VLOOKUP("USD",'Exchange rates'!B:C,2,0),"Error with coding"))),"")</f>
        <v>.</v>
      </c>
      <c r="U33" s="514" t="s">
        <v>233</v>
      </c>
      <c r="V33" s="42" t="s">
        <v>327</v>
      </c>
      <c r="W33" s="42" t="s">
        <v>328</v>
      </c>
      <c r="X33" s="517" t="s">
        <v>232</v>
      </c>
      <c r="Y33" s="517" t="s">
        <v>232</v>
      </c>
      <c r="Z33" s="518">
        <v>0</v>
      </c>
      <c r="AA33" s="518">
        <v>0</v>
      </c>
      <c r="AB33" s="521" t="s">
        <v>232</v>
      </c>
      <c r="AC33" s="519" t="str">
        <f>""</f>
        <v/>
      </c>
      <c r="AD33" s="522">
        <v>1</v>
      </c>
      <c r="AE33" s="522" t="s">
        <v>300</v>
      </c>
      <c r="AF33" s="522" t="s">
        <v>237</v>
      </c>
      <c r="AG33" s="522">
        <v>1</v>
      </c>
      <c r="AH33" s="520">
        <v>6</v>
      </c>
      <c r="AI33" s="520">
        <v>0</v>
      </c>
      <c r="AJ33" s="520">
        <f>VLOOKUP($I33,'Price List, Weapons &amp; Items'!A:E,5,0)</f>
        <v>0</v>
      </c>
      <c r="AK33" s="520">
        <f t="shared" si="8"/>
        <v>0</v>
      </c>
      <c r="AL33" s="520">
        <f t="shared" si="9"/>
        <v>0</v>
      </c>
      <c r="AM33" s="520">
        <f t="shared" si="10"/>
        <v>0</v>
      </c>
      <c r="AN33" s="521" t="str">
        <f>VLOOKUP($I33,'Price List, Weapons &amp; Items'!A:K,COLUMN('Price List, Weapons &amp; Items'!$I$1),0)</f>
        <v>Media reports (incl. social media)</v>
      </c>
      <c r="AO33" s="521" t="str">
        <f>IF(I33=".",".",VLOOKUP($I33,'Price List, Weapons &amp; Items'!A:I,3,0))</f>
        <v>.</v>
      </c>
      <c r="AP33" s="517" t="str">
        <f t="shared" ca="1" si="5"/>
        <v>ambulance H</v>
      </c>
      <c r="AQ33" s="521">
        <f>VLOOKUP($I33,'Price List, Weapons &amp; Items'!A:K,COLUMN('Price List, Weapons &amp; Items'!$K$1),0)</f>
        <v>0</v>
      </c>
      <c r="AS33" s="521">
        <f t="shared" si="11"/>
        <v>1</v>
      </c>
      <c r="AT33" s="521">
        <f t="shared" si="12"/>
        <v>0</v>
      </c>
      <c r="AU33" s="521">
        <f t="shared" si="13"/>
        <v>1</v>
      </c>
      <c r="AV33" s="521" t="str">
        <f t="shared" si="14"/>
        <v>.</v>
      </c>
    </row>
    <row r="34" spans="1:48" s="534" customFormat="1" ht="15" customHeight="1">
      <c r="A34" s="41" t="s">
        <v>329</v>
      </c>
      <c r="B34" s="41" t="s">
        <v>312</v>
      </c>
      <c r="C34" s="511">
        <v>44685</v>
      </c>
      <c r="D34" s="18" t="s">
        <v>228</v>
      </c>
      <c r="E34" s="18" t="s">
        <v>330</v>
      </c>
      <c r="F34" s="512" t="s">
        <v>331</v>
      </c>
      <c r="G34" s="39" t="s">
        <v>332</v>
      </c>
      <c r="H34" s="513">
        <v>36900000</v>
      </c>
      <c r="I34" s="41" t="s">
        <v>232</v>
      </c>
      <c r="J34" s="276" t="str">
        <f>VLOOKUP($I34,'Price List, Weapons &amp; Items'!A:B,2,0)</f>
        <v>.</v>
      </c>
      <c r="K34" s="276" t="str">
        <f>IF(I34=".",I34,VLOOKUP($I34,'Price List, Weapons &amp; Items'!A:C,3,0))</f>
        <v>.</v>
      </c>
      <c r="L34" s="514">
        <f>VLOOKUP(I34,'Price List, Weapons &amp; Items'!A:D,4,0)</f>
        <v>0</v>
      </c>
      <c r="M34" s="393" t="s">
        <v>232</v>
      </c>
      <c r="N34" s="515" t="s">
        <v>232</v>
      </c>
      <c r="O34" s="516" t="str">
        <f>VLOOKUP($I34,'Price List, Weapons &amp; Items'!A:F,6,0)</f>
        <v>.</v>
      </c>
      <c r="P34" s="513" t="str">
        <f t="shared" si="6"/>
        <v>.</v>
      </c>
      <c r="Q34" s="513" t="str">
        <f t="shared" si="7"/>
        <v>.</v>
      </c>
      <c r="R34" s="513">
        <f t="shared" si="2"/>
        <v>36900000</v>
      </c>
      <c r="S34" s="513">
        <f>IF(AND(AD34=1,R34&lt;&gt;".")=TRUE,R34/VLOOKUP(G34,'Exchange rates'!B:C,2,0),IF(R34=".",".",""))</f>
        <v>36900000</v>
      </c>
      <c r="T34" s="513" t="str">
        <f>IF(AD34=1,IF(AF34="Value is not given at all",".",IF(AF34="Value is given by the source",S34,IF(AF34="Value is calculated with prices",(IF(SUMIFS(Q:Q,A:A,A34)&gt;0,SUMIFS(Q:Q,A:A,A34),"."))/VLOOKUP("USD",'Exchange rates'!B:C,2,0),"Error with coding"))),"")</f>
        <v>.</v>
      </c>
      <c r="U34" s="39" t="s">
        <v>233</v>
      </c>
      <c r="V34" s="42" t="s">
        <v>333</v>
      </c>
      <c r="W34" s="42" t="s">
        <v>334</v>
      </c>
      <c r="X34" s="42" t="s">
        <v>335</v>
      </c>
      <c r="Y34" s="825" t="s">
        <v>336</v>
      </c>
      <c r="Z34" s="518">
        <v>0</v>
      </c>
      <c r="AA34" s="39">
        <v>0</v>
      </c>
      <c r="AB34" s="523" t="s">
        <v>232</v>
      </c>
      <c r="AC34" s="519" t="str">
        <f>""</f>
        <v/>
      </c>
      <c r="AD34" s="522">
        <v>1</v>
      </c>
      <c r="AE34" s="522" t="s">
        <v>236</v>
      </c>
      <c r="AF34" s="522" t="s">
        <v>237</v>
      </c>
      <c r="AG34" s="522">
        <v>1</v>
      </c>
      <c r="AH34" s="520">
        <v>5</v>
      </c>
      <c r="AI34" s="520">
        <v>0</v>
      </c>
      <c r="AJ34" s="520">
        <f>VLOOKUP($I34,'Price List, Weapons &amp; Items'!A:E,5,0)</f>
        <v>0</v>
      </c>
      <c r="AK34" s="520">
        <f t="shared" si="8"/>
        <v>0</v>
      </c>
      <c r="AL34" s="520">
        <f t="shared" si="9"/>
        <v>0</v>
      </c>
      <c r="AM34" s="520">
        <f t="shared" si="10"/>
        <v>0</v>
      </c>
      <c r="AN34" s="521" t="str">
        <f>VLOOKUP($I34,'Price List, Weapons &amp; Items'!A:K,COLUMN('Price List, Weapons &amp; Items'!$I$1),0)</f>
        <v>.</v>
      </c>
      <c r="AO34" s="521" t="str">
        <f>IF(I34=".",".",VLOOKUP($I34,'Price List, Weapons &amp; Items'!A:I,3,0))</f>
        <v>.</v>
      </c>
      <c r="AP34" s="517" t="str">
        <f t="shared" ca="1" si="5"/>
        <v>.</v>
      </c>
      <c r="AQ34" s="521" t="str">
        <f>VLOOKUP($I34,'Price List, Weapons &amp; Items'!A:K,COLUMN('Price List, Weapons &amp; Items'!$K$1),0)</f>
        <v>no price, 0 count</v>
      </c>
      <c r="AS34" s="521">
        <f t="shared" si="11"/>
        <v>1</v>
      </c>
      <c r="AT34" s="521">
        <f t="shared" si="12"/>
        <v>0</v>
      </c>
      <c r="AU34" s="521">
        <f t="shared" si="13"/>
        <v>1</v>
      </c>
      <c r="AV34" s="521" t="str">
        <f t="shared" si="14"/>
        <v>.</v>
      </c>
    </row>
    <row r="35" spans="1:48" s="534" customFormat="1" ht="15" customHeight="1">
      <c r="A35" s="41" t="s">
        <v>337</v>
      </c>
      <c r="B35" s="41" t="s">
        <v>312</v>
      </c>
      <c r="C35" s="511">
        <v>44815</v>
      </c>
      <c r="D35" s="18" t="s">
        <v>228</v>
      </c>
      <c r="E35" s="18" t="s">
        <v>239</v>
      </c>
      <c r="F35" s="512" t="s">
        <v>338</v>
      </c>
      <c r="G35" s="39" t="s">
        <v>314</v>
      </c>
      <c r="H35" s="513" t="s">
        <v>309</v>
      </c>
      <c r="I35" s="41" t="s">
        <v>326</v>
      </c>
      <c r="J35" s="276" t="str">
        <f>VLOOKUP($I35,'Price List, Weapons &amp; Items'!A:B,2,0)</f>
        <v>Humanitarian</v>
      </c>
      <c r="K35" s="276" t="str">
        <f>IF(I35=".",I35,VLOOKUP($I35,'Price List, Weapons &amp; Items'!A:C,3,0))</f>
        <v>.</v>
      </c>
      <c r="L35" s="514">
        <f>VLOOKUP(I35,'Price List, Weapons &amp; Items'!A:D,4,0)</f>
        <v>0</v>
      </c>
      <c r="M35" s="393">
        <v>1</v>
      </c>
      <c r="N35" s="515" t="s">
        <v>232</v>
      </c>
      <c r="O35" s="516">
        <f>VLOOKUP($I35,'Price List, Weapons &amp; Items'!A:F,6,0)</f>
        <v>317500</v>
      </c>
      <c r="P35" s="513">
        <f t="shared" si="6"/>
        <v>317500</v>
      </c>
      <c r="Q35" s="513" t="str">
        <f t="shared" si="7"/>
        <v>.</v>
      </c>
      <c r="R35" s="513">
        <f t="shared" si="2"/>
        <v>1817500</v>
      </c>
      <c r="S35" s="513">
        <f>IF(AND(AD35=1,R35&lt;&gt;".")=TRUE,R35/VLOOKUP(G35,'Exchange rates'!B:C,2,0),IF(R35=".",".",""))</f>
        <v>1811160.9367214746</v>
      </c>
      <c r="T35" s="513" t="str">
        <f>IF(AD35=1,IF(AF35="Value is not given at all",".",IF(AF35="Value is given by the source",S35,IF(AF35="Value is calculated with prices",(IF(SUMIFS(Q:Q,A:A,A35)&gt;0,SUMIFS(Q:Q,A:A,A35),"."))/VLOOKUP("USD",'Exchange rates'!B:C,2,0),"Error with coding"))),"")</f>
        <v>.</v>
      </c>
      <c r="U35" s="39" t="s">
        <v>233</v>
      </c>
      <c r="V35" s="42" t="s">
        <v>339</v>
      </c>
      <c r="W35" s="42" t="s">
        <v>340</v>
      </c>
      <c r="X35" s="42" t="s">
        <v>232</v>
      </c>
      <c r="Y35" s="517" t="s">
        <v>232</v>
      </c>
      <c r="Z35" s="518">
        <v>0</v>
      </c>
      <c r="AA35" s="39">
        <v>1</v>
      </c>
      <c r="AB35" s="523" t="s">
        <v>232</v>
      </c>
      <c r="AC35" s="519" t="str">
        <f>""</f>
        <v/>
      </c>
      <c r="AD35" s="522">
        <v>1</v>
      </c>
      <c r="AE35" s="522" t="s">
        <v>300</v>
      </c>
      <c r="AF35" s="522" t="s">
        <v>237</v>
      </c>
      <c r="AG35" s="522">
        <v>1</v>
      </c>
      <c r="AH35" s="520">
        <v>9</v>
      </c>
      <c r="AI35" s="520">
        <v>0</v>
      </c>
      <c r="AJ35" s="520">
        <f>VLOOKUP($I35,'Price List, Weapons &amp; Items'!A:E,5,0)</f>
        <v>0</v>
      </c>
      <c r="AK35" s="520">
        <f t="shared" si="8"/>
        <v>0</v>
      </c>
      <c r="AL35" s="520">
        <f t="shared" si="9"/>
        <v>0</v>
      </c>
      <c r="AM35" s="520">
        <f t="shared" si="10"/>
        <v>0</v>
      </c>
      <c r="AN35" s="521" t="str">
        <f>VLOOKUP($I35,'Price List, Weapons &amp; Items'!A:K,COLUMN('Price List, Weapons &amp; Items'!$I$1),0)</f>
        <v>Media reports (incl. social media)</v>
      </c>
      <c r="AO35" s="521" t="str">
        <f>IF(I35=".",".",VLOOKUP($I35,'Price List, Weapons &amp; Items'!A:I,3,0))</f>
        <v>.</v>
      </c>
      <c r="AP35" s="517" t="str">
        <f t="shared" ca="1" si="5"/>
        <v>ambulance H; Fire-vehicle; Garbage truck</v>
      </c>
      <c r="AQ35" s="521">
        <f>VLOOKUP($I35,'Price List, Weapons &amp; Items'!A:K,COLUMN('Price List, Weapons &amp; Items'!$K$1),0)</f>
        <v>0</v>
      </c>
      <c r="AS35" s="521">
        <f t="shared" si="11"/>
        <v>1</v>
      </c>
      <c r="AT35" s="521">
        <f t="shared" si="12"/>
        <v>0</v>
      </c>
      <c r="AU35" s="521">
        <f t="shared" si="13"/>
        <v>1</v>
      </c>
      <c r="AV35" s="521" t="str">
        <f t="shared" si="14"/>
        <v>.</v>
      </c>
    </row>
    <row r="36" spans="1:48" s="534" customFormat="1" ht="15" customHeight="1">
      <c r="A36" s="41" t="s">
        <v>337</v>
      </c>
      <c r="B36" s="41" t="s">
        <v>312</v>
      </c>
      <c r="C36" s="511">
        <v>44815</v>
      </c>
      <c r="D36" s="18" t="s">
        <v>228</v>
      </c>
      <c r="E36" s="18" t="s">
        <v>239</v>
      </c>
      <c r="F36" s="512" t="s">
        <v>338</v>
      </c>
      <c r="G36" s="39" t="s">
        <v>314</v>
      </c>
      <c r="H36" s="513" t="s">
        <v>309</v>
      </c>
      <c r="I36" s="41" t="s">
        <v>341</v>
      </c>
      <c r="J36" s="276" t="str">
        <f>VLOOKUP($I36,'Price List, Weapons &amp; Items'!A:B,2,0)</f>
        <v>Humanitarian</v>
      </c>
      <c r="K36" s="276" t="str">
        <f>IF(I36=".",I36,VLOOKUP($I36,'Price List, Weapons &amp; Items'!A:C,3,0))</f>
        <v>.</v>
      </c>
      <c r="L36" s="514">
        <f>VLOOKUP(I36,'Price List, Weapons &amp; Items'!A:D,4,0)</f>
        <v>0</v>
      </c>
      <c r="M36" s="393">
        <v>3</v>
      </c>
      <c r="N36" s="515" t="s">
        <v>232</v>
      </c>
      <c r="O36" s="516">
        <f>VLOOKUP($I36,'Price List, Weapons &amp; Items'!A:F,6,0)</f>
        <v>400000</v>
      </c>
      <c r="P36" s="513">
        <f t="shared" si="6"/>
        <v>1200000</v>
      </c>
      <c r="Q36" s="513" t="str">
        <f t="shared" si="7"/>
        <v>.</v>
      </c>
      <c r="R36" s="513" t="str">
        <f t="shared" si="2"/>
        <v/>
      </c>
      <c r="S36" s="513" t="str">
        <f>IF(AND(AD36=1,R36&lt;&gt;".")=TRUE,R36/VLOOKUP(G36,'Exchange rates'!B:C,2,0),IF(R36=".",".",""))</f>
        <v/>
      </c>
      <c r="T36" s="513" t="str">
        <f>IF(AD36=1,IF(AF36="Value is not given at all",".",IF(AF36="Value is given by the source",S36,IF(AF36="Value is calculated with prices",(IF(SUMIFS(Q:Q,A:A,A36)&gt;0,SUMIFS(Q:Q,A:A,A36),"."))/VLOOKUP("USD",'Exchange rates'!B:C,2,0),"Error with coding"))),"")</f>
        <v/>
      </c>
      <c r="U36" s="39" t="s">
        <v>233</v>
      </c>
      <c r="V36" s="42" t="s">
        <v>339</v>
      </c>
      <c r="W36" s="42" t="s">
        <v>340</v>
      </c>
      <c r="X36" s="42" t="s">
        <v>232</v>
      </c>
      <c r="Y36" s="517" t="s">
        <v>232</v>
      </c>
      <c r="Z36" s="518">
        <v>0</v>
      </c>
      <c r="AA36" s="39">
        <v>1</v>
      </c>
      <c r="AB36" s="523" t="s">
        <v>232</v>
      </c>
      <c r="AC36" s="519" t="str">
        <f>""</f>
        <v/>
      </c>
      <c r="AD36" s="522">
        <v>0</v>
      </c>
      <c r="AE36" s="522" t="s">
        <v>300</v>
      </c>
      <c r="AF36" s="522" t="s">
        <v>237</v>
      </c>
      <c r="AG36" s="522">
        <v>1</v>
      </c>
      <c r="AH36" s="520">
        <v>9</v>
      </c>
      <c r="AI36" s="520">
        <v>0</v>
      </c>
      <c r="AJ36" s="520">
        <f>VLOOKUP($I36,'Price List, Weapons &amp; Items'!A:E,5,0)</f>
        <v>0</v>
      </c>
      <c r="AK36" s="520">
        <f t="shared" si="8"/>
        <v>0</v>
      </c>
      <c r="AL36" s="520">
        <f t="shared" si="9"/>
        <v>0</v>
      </c>
      <c r="AM36" s="520">
        <f t="shared" si="10"/>
        <v>0</v>
      </c>
      <c r="AN36" s="521" t="str">
        <f>VLOOKUP($I36,'Price List, Weapons &amp; Items'!A:K,COLUMN('Price List, Weapons &amp; Items'!$I$1),0)</f>
        <v>Media reports (incl. social media)</v>
      </c>
      <c r="AO36" s="521" t="str">
        <f>IF(I36=".",".",VLOOKUP($I36,'Price List, Weapons &amp; Items'!A:I,3,0))</f>
        <v>.</v>
      </c>
      <c r="AP36" s="517" t="str">
        <f t="shared" ca="1" si="5"/>
        <v/>
      </c>
      <c r="AQ36" s="521">
        <f>VLOOKUP($I36,'Price List, Weapons &amp; Items'!A:K,COLUMN('Price List, Weapons &amp; Items'!$K$1),0)</f>
        <v>0</v>
      </c>
      <c r="AS36" s="521">
        <f t="shared" si="11"/>
        <v>1</v>
      </c>
      <c r="AT36" s="521">
        <f t="shared" si="12"/>
        <v>0</v>
      </c>
      <c r="AU36" s="521">
        <f t="shared" si="13"/>
        <v>1</v>
      </c>
      <c r="AV36" s="521" t="str">
        <f t="shared" si="14"/>
        <v>.</v>
      </c>
    </row>
    <row r="37" spans="1:48" s="534" customFormat="1" ht="15" customHeight="1">
      <c r="A37" s="41" t="s">
        <v>337</v>
      </c>
      <c r="B37" s="41" t="s">
        <v>312</v>
      </c>
      <c r="C37" s="511">
        <v>44815</v>
      </c>
      <c r="D37" s="18" t="s">
        <v>228</v>
      </c>
      <c r="E37" s="18" t="s">
        <v>239</v>
      </c>
      <c r="F37" s="512" t="s">
        <v>338</v>
      </c>
      <c r="G37" s="39" t="s">
        <v>314</v>
      </c>
      <c r="H37" s="513" t="s">
        <v>309</v>
      </c>
      <c r="I37" s="41" t="s">
        <v>342</v>
      </c>
      <c r="J37" s="276" t="str">
        <f>VLOOKUP($I37,'Price List, Weapons &amp; Items'!A:B,2,0)</f>
        <v>Humanitarian</v>
      </c>
      <c r="K37" s="276" t="str">
        <f>IF(I37=".",I37,VLOOKUP($I37,'Price List, Weapons &amp; Items'!A:C,3,0))</f>
        <v>.</v>
      </c>
      <c r="L37" s="514">
        <f>VLOOKUP(I37,'Price List, Weapons &amp; Items'!A:D,4,0)</f>
        <v>0</v>
      </c>
      <c r="M37" s="393">
        <v>1</v>
      </c>
      <c r="N37" s="515" t="s">
        <v>232</v>
      </c>
      <c r="O37" s="516">
        <f>VLOOKUP($I37,'Price List, Weapons &amp; Items'!A:F,6,0)</f>
        <v>300000</v>
      </c>
      <c r="P37" s="513">
        <f t="shared" si="6"/>
        <v>300000</v>
      </c>
      <c r="Q37" s="513" t="str">
        <f t="shared" si="7"/>
        <v>.</v>
      </c>
      <c r="R37" s="513" t="str">
        <f t="shared" si="2"/>
        <v/>
      </c>
      <c r="S37" s="513" t="str">
        <f>IF(AND(AD37=1,R37&lt;&gt;".")=TRUE,R37/VLOOKUP(G37,'Exchange rates'!B:C,2,0),IF(R37=".",".",""))</f>
        <v/>
      </c>
      <c r="T37" s="513" t="str">
        <f>IF(AD37=1,IF(AF37="Value is not given at all",".",IF(AF37="Value is given by the source",S37,IF(AF37="Value is calculated with prices",(IF(SUMIFS(Q:Q,A:A,A37)&gt;0,SUMIFS(Q:Q,A:A,A37),"."))/VLOOKUP("USD",'Exchange rates'!B:C,2,0),"Error with coding"))),"")</f>
        <v/>
      </c>
      <c r="U37" s="39" t="s">
        <v>233</v>
      </c>
      <c r="V37" s="42" t="s">
        <v>339</v>
      </c>
      <c r="W37" s="42" t="s">
        <v>340</v>
      </c>
      <c r="X37" s="42" t="s">
        <v>232</v>
      </c>
      <c r="Y37" s="517" t="s">
        <v>232</v>
      </c>
      <c r="Z37" s="518">
        <v>0</v>
      </c>
      <c r="AA37" s="39">
        <v>1</v>
      </c>
      <c r="AB37" s="523" t="s">
        <v>232</v>
      </c>
      <c r="AC37" s="519" t="str">
        <f>""</f>
        <v/>
      </c>
      <c r="AD37" s="522">
        <v>0</v>
      </c>
      <c r="AE37" s="522" t="s">
        <v>300</v>
      </c>
      <c r="AF37" s="522" t="s">
        <v>237</v>
      </c>
      <c r="AG37" s="522">
        <v>1</v>
      </c>
      <c r="AH37" s="520">
        <v>9</v>
      </c>
      <c r="AI37" s="520">
        <v>0</v>
      </c>
      <c r="AJ37" s="520">
        <f>VLOOKUP($I37,'Price List, Weapons &amp; Items'!A:E,5,0)</f>
        <v>0</v>
      </c>
      <c r="AK37" s="520">
        <f t="shared" si="8"/>
        <v>0</v>
      </c>
      <c r="AL37" s="520">
        <f t="shared" si="9"/>
        <v>0</v>
      </c>
      <c r="AM37" s="520">
        <f t="shared" si="10"/>
        <v>0</v>
      </c>
      <c r="AN37" s="521" t="str">
        <f>VLOOKUP($I37,'Price List, Weapons &amp; Items'!A:K,COLUMN('Price List, Weapons &amp; Items'!$I$1),0)</f>
        <v>Online marketplaces and stores</v>
      </c>
      <c r="AO37" s="521" t="str">
        <f>IF(I37=".",".",VLOOKUP($I37,'Price List, Weapons &amp; Items'!A:I,3,0))</f>
        <v>.</v>
      </c>
      <c r="AP37" s="517" t="str">
        <f t="shared" ca="1" si="5"/>
        <v/>
      </c>
      <c r="AQ37" s="521">
        <f>VLOOKUP($I37,'Price List, Weapons &amp; Items'!A:K,COLUMN('Price List, Weapons &amp; Items'!$K$1),0)</f>
        <v>0</v>
      </c>
      <c r="AS37" s="521">
        <f t="shared" si="11"/>
        <v>1</v>
      </c>
      <c r="AT37" s="521">
        <f t="shared" si="12"/>
        <v>0</v>
      </c>
      <c r="AU37" s="521">
        <f t="shared" si="13"/>
        <v>1</v>
      </c>
      <c r="AV37" s="521" t="str">
        <f t="shared" si="14"/>
        <v>.</v>
      </c>
    </row>
    <row r="38" spans="1:48" s="534" customFormat="1" ht="15" customHeight="1">
      <c r="A38" s="41" t="s">
        <v>343</v>
      </c>
      <c r="B38" s="41" t="s">
        <v>312</v>
      </c>
      <c r="C38" s="511">
        <v>44808</v>
      </c>
      <c r="D38" s="18" t="s">
        <v>228</v>
      </c>
      <c r="E38" s="18" t="s">
        <v>344</v>
      </c>
      <c r="F38" s="512" t="s">
        <v>345</v>
      </c>
      <c r="G38" s="39" t="s">
        <v>332</v>
      </c>
      <c r="H38" s="513">
        <v>500000000</v>
      </c>
      <c r="I38" s="41" t="s">
        <v>232</v>
      </c>
      <c r="J38" s="276" t="str">
        <f>VLOOKUP($I38,'Price List, Weapons &amp; Items'!A:B,2,0)</f>
        <v>.</v>
      </c>
      <c r="K38" s="276" t="str">
        <f>IF(I38=".",I38,VLOOKUP($I38,'Price List, Weapons &amp; Items'!A:C,3,0))</f>
        <v>.</v>
      </c>
      <c r="L38" s="514">
        <f>VLOOKUP(I38,'Price List, Weapons &amp; Items'!A:D,4,0)</f>
        <v>0</v>
      </c>
      <c r="M38" s="393" t="s">
        <v>232</v>
      </c>
      <c r="N38" s="515" t="s">
        <v>232</v>
      </c>
      <c r="O38" s="516" t="str">
        <f>VLOOKUP($I38,'Price List, Weapons &amp; Items'!A:F,6,0)</f>
        <v>.</v>
      </c>
      <c r="P38" s="513" t="str">
        <f t="shared" si="6"/>
        <v>.</v>
      </c>
      <c r="Q38" s="513" t="str">
        <f t="shared" si="7"/>
        <v>.</v>
      </c>
      <c r="R38" s="513">
        <f t="shared" si="2"/>
        <v>500000000</v>
      </c>
      <c r="S38" s="513">
        <f>IF(AND(AD38=1,R38&lt;&gt;".")=TRUE,R38/VLOOKUP(G38,'Exchange rates'!B:C,2,0),IF(R38=".",".",""))</f>
        <v>500000000</v>
      </c>
      <c r="T38" s="513" t="str">
        <f>IF(AD38=1,IF(AF38="Value is not given at all",".",IF(AF38="Value is given by the source",S38,IF(AF38="Value is calculated with prices",(IF(SUMIFS(Q:Q,A:A,A38)&gt;0,SUMIFS(Q:Q,A:A,A38),"."))/VLOOKUP("USD",'Exchange rates'!B:C,2,0),"Error with coding"))),"")</f>
        <v>.</v>
      </c>
      <c r="U38" s="39" t="s">
        <v>233</v>
      </c>
      <c r="V38" s="42" t="s">
        <v>346</v>
      </c>
      <c r="W38" s="42" t="s">
        <v>347</v>
      </c>
      <c r="X38" s="42" t="s">
        <v>232</v>
      </c>
      <c r="Y38" s="517" t="s">
        <v>232</v>
      </c>
      <c r="Z38" s="518">
        <v>0</v>
      </c>
      <c r="AA38" s="39">
        <v>0</v>
      </c>
      <c r="AB38" s="523" t="s">
        <v>232</v>
      </c>
      <c r="AC38" s="519" t="str">
        <f>""</f>
        <v/>
      </c>
      <c r="AD38" s="522">
        <v>1</v>
      </c>
      <c r="AE38" s="522" t="s">
        <v>236</v>
      </c>
      <c r="AF38" s="522" t="s">
        <v>237</v>
      </c>
      <c r="AG38" s="522">
        <v>1</v>
      </c>
      <c r="AH38" s="520">
        <v>9</v>
      </c>
      <c r="AI38" s="520">
        <v>0</v>
      </c>
      <c r="AJ38" s="520">
        <f>VLOOKUP($I38,'Price List, Weapons &amp; Items'!A:E,5,0)</f>
        <v>0</v>
      </c>
      <c r="AK38" s="520">
        <f t="shared" si="8"/>
        <v>0</v>
      </c>
      <c r="AL38" s="520">
        <f t="shared" si="9"/>
        <v>0</v>
      </c>
      <c r="AM38" s="520">
        <f t="shared" si="10"/>
        <v>0</v>
      </c>
      <c r="AN38" s="521" t="str">
        <f>VLOOKUP($I38,'Price List, Weapons &amp; Items'!A:K,COLUMN('Price List, Weapons &amp; Items'!$I$1),0)</f>
        <v>.</v>
      </c>
      <c r="AO38" s="521" t="str">
        <f>IF(I38=".",".",VLOOKUP($I38,'Price List, Weapons &amp; Items'!A:I,3,0))</f>
        <v>.</v>
      </c>
      <c r="AP38" s="517" t="str">
        <f t="shared" ca="1" si="5"/>
        <v>.</v>
      </c>
      <c r="AQ38" s="521" t="str">
        <f>VLOOKUP($I38,'Price List, Weapons &amp; Items'!A:K,COLUMN('Price List, Weapons &amp; Items'!$K$1),0)</f>
        <v>no price, 0 count</v>
      </c>
      <c r="AS38" s="521">
        <f t="shared" si="11"/>
        <v>1</v>
      </c>
      <c r="AT38" s="521">
        <f t="shared" si="12"/>
        <v>0</v>
      </c>
      <c r="AU38" s="521">
        <f t="shared" si="13"/>
        <v>1</v>
      </c>
      <c r="AV38" s="521" t="str">
        <f t="shared" si="14"/>
        <v>.</v>
      </c>
    </row>
    <row r="39" spans="1:48" s="534" customFormat="1" ht="15" customHeight="1">
      <c r="A39" s="41" t="s">
        <v>348</v>
      </c>
      <c r="B39" s="41" t="s">
        <v>312</v>
      </c>
      <c r="C39" s="511">
        <v>44866</v>
      </c>
      <c r="D39" s="18" t="s">
        <v>228</v>
      </c>
      <c r="E39" s="18" t="s">
        <v>239</v>
      </c>
      <c r="F39" s="512" t="s">
        <v>349</v>
      </c>
      <c r="G39" s="39" t="s">
        <v>332</v>
      </c>
      <c r="H39" s="513">
        <f>6000000-$S$25</f>
        <v>4922620.8271051319</v>
      </c>
      <c r="I39" s="41" t="s">
        <v>232</v>
      </c>
      <c r="J39" s="276" t="str">
        <f>VLOOKUP($I39,'Price List, Weapons &amp; Items'!A:B,2,0)</f>
        <v>.</v>
      </c>
      <c r="K39" s="276" t="str">
        <f>IF(I39=".",I39,VLOOKUP($I39,'Price List, Weapons &amp; Items'!A:C,3,0))</f>
        <v>.</v>
      </c>
      <c r="L39" s="514">
        <f>VLOOKUP(I39,'Price List, Weapons &amp; Items'!A:D,4,0)</f>
        <v>0</v>
      </c>
      <c r="M39" s="393" t="s">
        <v>232</v>
      </c>
      <c r="N39" s="515" t="s">
        <v>232</v>
      </c>
      <c r="O39" s="516" t="str">
        <f>VLOOKUP($I39,'Price List, Weapons &amp; Items'!A:F,6,0)</f>
        <v>.</v>
      </c>
      <c r="P39" s="513" t="str">
        <f t="shared" si="6"/>
        <v>.</v>
      </c>
      <c r="Q39" s="513" t="str">
        <f t="shared" si="7"/>
        <v>.</v>
      </c>
      <c r="R39" s="513">
        <f t="shared" si="2"/>
        <v>4922620.8271051319</v>
      </c>
      <c r="S39" s="513">
        <f>IF(AND(AD39=1,R39&lt;&gt;".")=TRUE,R39/VLOOKUP(G39,'Exchange rates'!B:C,2,0),IF(R39=".",".",""))</f>
        <v>4922620.8271051319</v>
      </c>
      <c r="T39" s="513" t="str">
        <f>IF(AD39=1,IF(AF39="Value is not given at all",".",IF(AF39="Value is given by the source",S39,IF(AF39="Value is calculated with prices",(IF(SUMIFS(Q:Q,A:A,A39)&gt;0,SUMIFS(Q:Q,A:A,A39),"."))/VLOOKUP("USD",'Exchange rates'!B:C,2,0),"Error with coding"))),"")</f>
        <v>.</v>
      </c>
      <c r="U39" s="39" t="s">
        <v>233</v>
      </c>
      <c r="V39" s="42" t="s">
        <v>350</v>
      </c>
      <c r="W39" s="42" t="s">
        <v>232</v>
      </c>
      <c r="X39" s="42" t="s">
        <v>232</v>
      </c>
      <c r="Y39" s="517" t="s">
        <v>232</v>
      </c>
      <c r="Z39" s="518">
        <v>0</v>
      </c>
      <c r="AA39" s="39">
        <v>1</v>
      </c>
      <c r="AB39" s="523" t="s">
        <v>232</v>
      </c>
      <c r="AC39" s="519" t="str">
        <f>""</f>
        <v/>
      </c>
      <c r="AD39" s="522">
        <v>1</v>
      </c>
      <c r="AE39" s="522" t="s">
        <v>236</v>
      </c>
      <c r="AF39" s="522" t="s">
        <v>237</v>
      </c>
      <c r="AG39" s="522">
        <v>1</v>
      </c>
      <c r="AH39" s="520">
        <v>11</v>
      </c>
      <c r="AI39" s="520">
        <v>0</v>
      </c>
      <c r="AJ39" s="520">
        <f>VLOOKUP($I39,'Price List, Weapons &amp; Items'!A:E,5,0)</f>
        <v>0</v>
      </c>
      <c r="AK39" s="520">
        <f t="shared" si="8"/>
        <v>0</v>
      </c>
      <c r="AL39" s="520">
        <f t="shared" si="9"/>
        <v>0</v>
      </c>
      <c r="AM39" s="520">
        <f t="shared" si="10"/>
        <v>0</v>
      </c>
      <c r="AN39" s="521" t="str">
        <f>VLOOKUP($I39,'Price List, Weapons &amp; Items'!A:K,COLUMN('Price List, Weapons &amp; Items'!$I$1),0)</f>
        <v>.</v>
      </c>
      <c r="AO39" s="521" t="str">
        <f>IF(I39=".",".",VLOOKUP($I39,'Price List, Weapons &amp; Items'!A:I,3,0))</f>
        <v>.</v>
      </c>
      <c r="AP39" s="517" t="str">
        <f t="shared" ca="1" si="5"/>
        <v>.</v>
      </c>
      <c r="AQ39" s="521" t="str">
        <f>VLOOKUP($I39,'Price List, Weapons &amp; Items'!A:K,COLUMN('Price List, Weapons &amp; Items'!$K$1),0)</f>
        <v>no price, 0 count</v>
      </c>
      <c r="AS39" s="521">
        <f t="shared" si="11"/>
        <v>1</v>
      </c>
      <c r="AT39" s="521">
        <f t="shared" si="12"/>
        <v>0</v>
      </c>
      <c r="AU39" s="521">
        <f t="shared" si="13"/>
        <v>1</v>
      </c>
      <c r="AV39" s="521" t="str">
        <f t="shared" si="14"/>
        <v>.</v>
      </c>
    </row>
    <row r="40" spans="1:48" s="534" customFormat="1" ht="15" customHeight="1">
      <c r="A40" s="41" t="s">
        <v>351</v>
      </c>
      <c r="B40" s="41" t="s">
        <v>312</v>
      </c>
      <c r="C40" s="511">
        <v>44866</v>
      </c>
      <c r="D40" s="18" t="s">
        <v>228</v>
      </c>
      <c r="E40" s="18" t="s">
        <v>352</v>
      </c>
      <c r="F40" s="512" t="s">
        <v>353</v>
      </c>
      <c r="G40" s="39" t="s">
        <v>332</v>
      </c>
      <c r="H40" s="513">
        <v>5000000</v>
      </c>
      <c r="I40" s="41" t="s">
        <v>232</v>
      </c>
      <c r="J40" s="276" t="str">
        <f>VLOOKUP($I40,'Price List, Weapons &amp; Items'!A:B,2,0)</f>
        <v>.</v>
      </c>
      <c r="K40" s="276" t="str">
        <f>IF(I40=".",I40,VLOOKUP($I40,'Price List, Weapons &amp; Items'!A:C,3,0))</f>
        <v>.</v>
      </c>
      <c r="L40" s="514">
        <f>VLOOKUP(I40,'Price List, Weapons &amp; Items'!A:D,4,0)</f>
        <v>0</v>
      </c>
      <c r="M40" s="393" t="s">
        <v>232</v>
      </c>
      <c r="N40" s="515" t="s">
        <v>232</v>
      </c>
      <c r="O40" s="516" t="str">
        <f>VLOOKUP($I40,'Price List, Weapons &amp; Items'!A:F,6,0)</f>
        <v>.</v>
      </c>
      <c r="P40" s="513" t="str">
        <f t="shared" si="6"/>
        <v>.</v>
      </c>
      <c r="Q40" s="513" t="str">
        <f t="shared" si="7"/>
        <v>.</v>
      </c>
      <c r="R40" s="513">
        <f t="shared" si="2"/>
        <v>5000000</v>
      </c>
      <c r="S40" s="513">
        <f>IF(AND(AD40=1,R40&lt;&gt;".")=TRUE,R40/VLOOKUP(G40,'Exchange rates'!B:C,2,0),IF(R40=".",".",""))</f>
        <v>5000000</v>
      </c>
      <c r="T40" s="513" t="str">
        <f>IF(AD40=1,IF(AF40="Value is not given at all",".",IF(AF40="Value is given by the source",S40,IF(AF40="Value is calculated with prices",(IF(SUMIFS(Q:Q,A:A,A40)&gt;0,SUMIFS(Q:Q,A:A,A40),"."))/VLOOKUP("USD",'Exchange rates'!B:C,2,0),"Error with coding"))),"")</f>
        <v>.</v>
      </c>
      <c r="U40" s="39" t="s">
        <v>233</v>
      </c>
      <c r="V40" s="42" t="s">
        <v>350</v>
      </c>
      <c r="W40" s="42" t="s">
        <v>232</v>
      </c>
      <c r="X40" s="42" t="s">
        <v>232</v>
      </c>
      <c r="Y40" s="517" t="s">
        <v>232</v>
      </c>
      <c r="Z40" s="518">
        <v>0</v>
      </c>
      <c r="AA40" s="39">
        <v>1</v>
      </c>
      <c r="AB40" s="523" t="s">
        <v>232</v>
      </c>
      <c r="AC40" s="519" t="str">
        <f>""</f>
        <v/>
      </c>
      <c r="AD40" s="522">
        <v>1</v>
      </c>
      <c r="AE40" s="522" t="s">
        <v>236</v>
      </c>
      <c r="AF40" s="522" t="s">
        <v>237</v>
      </c>
      <c r="AG40" s="522">
        <v>1</v>
      </c>
      <c r="AH40" s="520">
        <v>11</v>
      </c>
      <c r="AI40" s="520">
        <v>0</v>
      </c>
      <c r="AJ40" s="520">
        <f>VLOOKUP($I40,'Price List, Weapons &amp; Items'!A:E,5,0)</f>
        <v>0</v>
      </c>
      <c r="AK40" s="520">
        <f t="shared" si="8"/>
        <v>0</v>
      </c>
      <c r="AL40" s="520">
        <f t="shared" si="9"/>
        <v>0</v>
      </c>
      <c r="AM40" s="520">
        <f t="shared" si="10"/>
        <v>0</v>
      </c>
      <c r="AN40" s="521" t="str">
        <f>VLOOKUP($I40,'Price List, Weapons &amp; Items'!A:K,COLUMN('Price List, Weapons &amp; Items'!$I$1),0)</f>
        <v>.</v>
      </c>
      <c r="AO40" s="521" t="str">
        <f>IF(I40=".",".",VLOOKUP($I40,'Price List, Weapons &amp; Items'!A:I,3,0))</f>
        <v>.</v>
      </c>
      <c r="AP40" s="517" t="str">
        <f t="shared" ca="1" si="5"/>
        <v>.</v>
      </c>
      <c r="AQ40" s="521" t="str">
        <f>VLOOKUP($I40,'Price List, Weapons &amp; Items'!A:K,COLUMN('Price List, Weapons &amp; Items'!$K$1),0)</f>
        <v>no price, 0 count</v>
      </c>
      <c r="AS40" s="521">
        <f t="shared" si="11"/>
        <v>1</v>
      </c>
      <c r="AT40" s="521">
        <f t="shared" si="12"/>
        <v>0</v>
      </c>
      <c r="AU40" s="521">
        <f t="shared" si="13"/>
        <v>1</v>
      </c>
      <c r="AV40" s="521" t="str">
        <f t="shared" si="14"/>
        <v>.</v>
      </c>
    </row>
    <row r="41" spans="1:48" s="534" customFormat="1" ht="15" customHeight="1">
      <c r="A41" s="41" t="s">
        <v>354</v>
      </c>
      <c r="B41" s="41" t="s">
        <v>312</v>
      </c>
      <c r="C41" s="511">
        <v>44866</v>
      </c>
      <c r="D41" s="18" t="s">
        <v>228</v>
      </c>
      <c r="E41" s="18" t="s">
        <v>352</v>
      </c>
      <c r="F41" s="512" t="s">
        <v>355</v>
      </c>
      <c r="G41" s="39" t="s">
        <v>332</v>
      </c>
      <c r="H41" s="513" t="s">
        <v>309</v>
      </c>
      <c r="I41" s="41" t="s">
        <v>326</v>
      </c>
      <c r="J41" s="276" t="str">
        <f>VLOOKUP($I41,'Price List, Weapons &amp; Items'!A:B,2,0)</f>
        <v>Humanitarian</v>
      </c>
      <c r="K41" s="276" t="str">
        <f>IF(I41=".",I41,VLOOKUP($I41,'Price List, Weapons &amp; Items'!A:C,3,0))</f>
        <v>.</v>
      </c>
      <c r="L41" s="514">
        <f>VLOOKUP(I41,'Price List, Weapons &amp; Items'!A:D,4,0)</f>
        <v>0</v>
      </c>
      <c r="M41" s="393">
        <v>7</v>
      </c>
      <c r="N41" s="515" t="s">
        <v>232</v>
      </c>
      <c r="O41" s="516">
        <f>VLOOKUP($I41,'Price List, Weapons &amp; Items'!A:F,6,0)</f>
        <v>317500</v>
      </c>
      <c r="P41" s="513">
        <f t="shared" ref="P41" si="15">IF(TYPE(M41)=1,IF(TYPE(O41)=1,M41*O41,"No price"),".")</f>
        <v>2222500</v>
      </c>
      <c r="Q41" s="513" t="str">
        <f t="shared" ref="Q41" si="16">IF(TYPE(N41)=1,IF(TYPE(O41)=1,N41*O41,"No price"),".")</f>
        <v>.</v>
      </c>
      <c r="R41" s="513">
        <f t="shared" si="2"/>
        <v>5422500</v>
      </c>
      <c r="S41" s="513">
        <f>IF(AND(AD41=1,R41&lt;&gt;".")=TRUE,R41/VLOOKUP(G41,'Exchange rates'!B:C,2,0),IF(R41=".",".",""))</f>
        <v>5422500</v>
      </c>
      <c r="T41" s="513" t="str">
        <f>IF(AD41=1,IF(AF41="Value is not given at all",".",IF(AF41="Value is given by the source",S41,IF(AF41="Value is calculated with prices",(IF(SUMIFS(Q:Q,A:A,A41)&gt;0,SUMIFS(Q:Q,A:A,A41),"."))/VLOOKUP("USD",'Exchange rates'!B:C,2,0),"Error with coding"))),"")</f>
        <v>.</v>
      </c>
      <c r="U41" s="39" t="s">
        <v>233</v>
      </c>
      <c r="V41" s="42" t="s">
        <v>350</v>
      </c>
      <c r="W41" s="42" t="s">
        <v>232</v>
      </c>
      <c r="X41" s="42" t="s">
        <v>232</v>
      </c>
      <c r="Y41" s="517" t="s">
        <v>232</v>
      </c>
      <c r="Z41" s="518">
        <v>0</v>
      </c>
      <c r="AA41" s="39">
        <v>1</v>
      </c>
      <c r="AB41" s="523" t="s">
        <v>232</v>
      </c>
      <c r="AC41" s="519" t="str">
        <f>""</f>
        <v/>
      </c>
      <c r="AD41" s="522">
        <v>1</v>
      </c>
      <c r="AE41" s="522" t="s">
        <v>236</v>
      </c>
      <c r="AF41" s="522" t="s">
        <v>237</v>
      </c>
      <c r="AG41" s="522">
        <v>1</v>
      </c>
      <c r="AH41" s="520">
        <v>11</v>
      </c>
      <c r="AI41" s="520">
        <v>0</v>
      </c>
      <c r="AJ41" s="520">
        <f>VLOOKUP($I41,'Price List, Weapons &amp; Items'!A:E,5,0)</f>
        <v>0</v>
      </c>
      <c r="AK41" s="520">
        <f t="shared" si="8"/>
        <v>0</v>
      </c>
      <c r="AL41" s="520">
        <f t="shared" si="9"/>
        <v>0</v>
      </c>
      <c r="AM41" s="520">
        <f t="shared" si="10"/>
        <v>0</v>
      </c>
      <c r="AN41" s="521" t="str">
        <f>VLOOKUP($I41,'Price List, Weapons &amp; Items'!A:K,COLUMN('Price List, Weapons &amp; Items'!$I$1),0)</f>
        <v>Media reports (incl. social media)</v>
      </c>
      <c r="AO41" s="521" t="str">
        <f>IF(I41=".",".",VLOOKUP($I41,'Price List, Weapons &amp; Items'!A:I,3,0))</f>
        <v>.</v>
      </c>
      <c r="AP41" s="517" t="str">
        <f t="shared" ca="1" si="5"/>
        <v>ambulance H; Fire-vehicle</v>
      </c>
      <c r="AQ41" s="521">
        <f>VLOOKUP($I41,'Price List, Weapons &amp; Items'!A:K,COLUMN('Price List, Weapons &amp; Items'!$K$1),0)</f>
        <v>0</v>
      </c>
      <c r="AS41" s="521">
        <f t="shared" si="11"/>
        <v>1</v>
      </c>
      <c r="AT41" s="521">
        <f t="shared" si="12"/>
        <v>0</v>
      </c>
      <c r="AU41" s="521">
        <f t="shared" si="13"/>
        <v>1</v>
      </c>
      <c r="AV41" s="521" t="str">
        <f t="shared" si="14"/>
        <v>.</v>
      </c>
    </row>
    <row r="42" spans="1:48" s="534" customFormat="1" ht="15" customHeight="1">
      <c r="A42" s="41" t="s">
        <v>354</v>
      </c>
      <c r="B42" s="41" t="s">
        <v>312</v>
      </c>
      <c r="C42" s="511">
        <v>44866</v>
      </c>
      <c r="D42" s="18" t="s">
        <v>228</v>
      </c>
      <c r="E42" s="18" t="s">
        <v>352</v>
      </c>
      <c r="F42" s="512" t="s">
        <v>355</v>
      </c>
      <c r="G42" s="39" t="s">
        <v>332</v>
      </c>
      <c r="H42" s="513" t="s">
        <v>309</v>
      </c>
      <c r="I42" s="41" t="s">
        <v>341</v>
      </c>
      <c r="J42" s="276" t="str">
        <f>VLOOKUP($I42,'Price List, Weapons &amp; Items'!A:B,2,0)</f>
        <v>Humanitarian</v>
      </c>
      <c r="K42" s="276" t="str">
        <f>IF(I42=".",I42,VLOOKUP($I42,'Price List, Weapons &amp; Items'!A:C,3,0))</f>
        <v>.</v>
      </c>
      <c r="L42" s="514">
        <f>VLOOKUP(I42,'Price List, Weapons &amp; Items'!A:D,4,0)</f>
        <v>0</v>
      </c>
      <c r="M42" s="393">
        <v>8</v>
      </c>
      <c r="N42" s="515" t="s">
        <v>232</v>
      </c>
      <c r="O42" s="516">
        <f>VLOOKUP($I42,'Price List, Weapons &amp; Items'!A:F,6,0)</f>
        <v>400000</v>
      </c>
      <c r="P42" s="513">
        <f t="shared" ref="P42" si="17">IF(TYPE(M42)=1,IF(TYPE(O42)=1,M42*O42,"No price"),".")</f>
        <v>3200000</v>
      </c>
      <c r="Q42" s="513" t="str">
        <f t="shared" ref="Q42" si="18">IF(TYPE(N42)=1,IF(TYPE(O42)=1,N42*O42,"No price"),".")</f>
        <v>.</v>
      </c>
      <c r="R42" s="513" t="str">
        <f t="shared" si="2"/>
        <v/>
      </c>
      <c r="S42" s="513" t="str">
        <f>IF(AND(AD42=1,R42&lt;&gt;".")=TRUE,R42/VLOOKUP(G42,'Exchange rates'!B:C,2,0),IF(R42=".",".",""))</f>
        <v/>
      </c>
      <c r="T42" s="513" t="str">
        <f>IF(AD42=1,IF(AF42="Value is not given at all",".",IF(AF42="Value is given by the source",S42,IF(AF42="Value is calculated with prices",(IF(SUMIFS(Q:Q,A:A,A42)&gt;0,SUMIFS(Q:Q,A:A,A42),"."))/VLOOKUP("USD",'Exchange rates'!B:C,2,0),"Error with coding"))),"")</f>
        <v/>
      </c>
      <c r="U42" s="39" t="s">
        <v>233</v>
      </c>
      <c r="V42" s="42" t="s">
        <v>350</v>
      </c>
      <c r="W42" s="42" t="s">
        <v>232</v>
      </c>
      <c r="X42" s="42" t="s">
        <v>232</v>
      </c>
      <c r="Y42" s="517" t="s">
        <v>232</v>
      </c>
      <c r="Z42" s="518">
        <v>0</v>
      </c>
      <c r="AA42" s="39">
        <v>1</v>
      </c>
      <c r="AB42" s="523" t="s">
        <v>232</v>
      </c>
      <c r="AC42" s="519" t="str">
        <f>""</f>
        <v/>
      </c>
      <c r="AD42" s="522">
        <v>0</v>
      </c>
      <c r="AE42" s="522" t="s">
        <v>236</v>
      </c>
      <c r="AF42" s="522" t="s">
        <v>237</v>
      </c>
      <c r="AG42" s="522">
        <v>1</v>
      </c>
      <c r="AH42" s="520">
        <v>11</v>
      </c>
      <c r="AI42" s="520">
        <v>0</v>
      </c>
      <c r="AJ42" s="520">
        <f>VLOOKUP($I42,'Price List, Weapons &amp; Items'!A:E,5,0)</f>
        <v>0</v>
      </c>
      <c r="AK42" s="520">
        <f t="shared" si="8"/>
        <v>0</v>
      </c>
      <c r="AL42" s="520">
        <f t="shared" si="9"/>
        <v>0</v>
      </c>
      <c r="AM42" s="520">
        <f t="shared" si="10"/>
        <v>0</v>
      </c>
      <c r="AN42" s="521" t="str">
        <f>VLOOKUP($I42,'Price List, Weapons &amp; Items'!A:K,COLUMN('Price List, Weapons &amp; Items'!$I$1),0)</f>
        <v>Media reports (incl. social media)</v>
      </c>
      <c r="AO42" s="521" t="str">
        <f>IF(I42=".",".",VLOOKUP($I42,'Price List, Weapons &amp; Items'!A:I,3,0))</f>
        <v>.</v>
      </c>
      <c r="AP42" s="517" t="str">
        <f t="shared" ca="1" si="5"/>
        <v/>
      </c>
      <c r="AQ42" s="521">
        <f>VLOOKUP($I42,'Price List, Weapons &amp; Items'!A:K,COLUMN('Price List, Weapons &amp; Items'!$K$1),0)</f>
        <v>0</v>
      </c>
      <c r="AS42" s="521">
        <f t="shared" si="11"/>
        <v>1</v>
      </c>
      <c r="AT42" s="521">
        <f t="shared" si="12"/>
        <v>0</v>
      </c>
      <c r="AU42" s="521">
        <f t="shared" si="13"/>
        <v>1</v>
      </c>
      <c r="AV42" s="521" t="str">
        <f t="shared" si="14"/>
        <v>.</v>
      </c>
    </row>
    <row r="43" spans="1:48" s="581" customFormat="1" ht="15" customHeight="1">
      <c r="A43" s="18" t="s">
        <v>356</v>
      </c>
      <c r="B43" s="18" t="s">
        <v>312</v>
      </c>
      <c r="C43" s="511">
        <v>44633</v>
      </c>
      <c r="D43" s="18" t="s">
        <v>252</v>
      </c>
      <c r="E43" s="18" t="s">
        <v>261</v>
      </c>
      <c r="F43" s="512" t="s">
        <v>357</v>
      </c>
      <c r="G43" s="39" t="s">
        <v>314</v>
      </c>
      <c r="H43" s="513" t="s">
        <v>309</v>
      </c>
      <c r="I43" s="41" t="s">
        <v>358</v>
      </c>
      <c r="J43" s="276" t="str">
        <f>VLOOKUP($I43,'Price List, Weapons &amp; Items'!A:B,2,0)</f>
        <v>Military equipment</v>
      </c>
      <c r="K43" s="276" t="str">
        <f>IF(I43=".",I43,VLOOKUP($I43,'Price List, Weapons &amp; Items'!A:C,3,0))</f>
        <v>.</v>
      </c>
      <c r="L43" s="514">
        <f>VLOOKUP(I43,'Price List, Weapons &amp; Items'!A:D,4,0)</f>
        <v>0</v>
      </c>
      <c r="M43" s="393">
        <v>200000</v>
      </c>
      <c r="N43" s="515">
        <v>200000</v>
      </c>
      <c r="O43" s="516">
        <f>VLOOKUP($I43,'Price List, Weapons &amp; Items'!A:F,6,0)</f>
        <v>1.35</v>
      </c>
      <c r="P43" s="513">
        <f t="shared" si="6"/>
        <v>270000</v>
      </c>
      <c r="Q43" s="513">
        <f t="shared" si="7"/>
        <v>270000</v>
      </c>
      <c r="R43" s="513">
        <f t="shared" si="2"/>
        <v>3587374.05</v>
      </c>
      <c r="S43" s="513">
        <f>IF(AND(AD43=1,R43&lt;&gt;".")=TRUE,R43/VLOOKUP(G43,'Exchange rates'!B:C,2,0),IF(R43=".",".",""))</f>
        <v>3574862.0328849023</v>
      </c>
      <c r="T43" s="513">
        <f>IF(AD43=1,IF(AF43="Value is not given at all",".",IF(AF43="Value is given by the source",S43,IF(AF43="Value is calculated with prices",(IF(SUMIFS(Q:Q,A:A,A43)&gt;0,SUMIFS(Q:Q,A:A,A43),"."))/VLOOKUP("USD",'Exchange rates'!B:C,2,0),"Error with coding"))),"")</f>
        <v>3574862.0328849023</v>
      </c>
      <c r="U43" s="39" t="s">
        <v>233</v>
      </c>
      <c r="V43" s="376" t="s">
        <v>359</v>
      </c>
      <c r="W43" s="376" t="s">
        <v>360</v>
      </c>
      <c r="X43" s="530" t="s">
        <v>232</v>
      </c>
      <c r="Y43" s="530" t="s">
        <v>232</v>
      </c>
      <c r="Z43" s="39">
        <v>0</v>
      </c>
      <c r="AA43" s="518">
        <v>0</v>
      </c>
      <c r="AB43" s="394" t="s">
        <v>361</v>
      </c>
      <c r="AC43" s="519" t="str">
        <f>""</f>
        <v/>
      </c>
      <c r="AD43" s="520">
        <v>1</v>
      </c>
      <c r="AE43" s="520" t="s">
        <v>300</v>
      </c>
      <c r="AF43" s="520" t="s">
        <v>300</v>
      </c>
      <c r="AG43" s="520">
        <v>1</v>
      </c>
      <c r="AH43" s="520">
        <v>3</v>
      </c>
      <c r="AI43" s="520">
        <v>0</v>
      </c>
      <c r="AJ43" s="520">
        <f>VLOOKUP($I43,'Price List, Weapons &amp; Items'!A:E,5,0)</f>
        <v>0</v>
      </c>
      <c r="AK43" s="520">
        <f t="shared" si="8"/>
        <v>0</v>
      </c>
      <c r="AL43" s="520">
        <f t="shared" si="9"/>
        <v>0</v>
      </c>
      <c r="AM43" s="520">
        <f t="shared" si="10"/>
        <v>0</v>
      </c>
      <c r="AN43" s="521" t="str">
        <f>VLOOKUP($I43,'Price List, Weapons &amp; Items'!A:K,COLUMN('Price List, Weapons &amp; Items'!$I$1),0)</f>
        <v>Miscellaneous</v>
      </c>
      <c r="AO43" s="521" t="str">
        <f>IF(I43=".",".",VLOOKUP($I43,'Price List, Weapons &amp; Items'!A:I,3,0))</f>
        <v>.</v>
      </c>
      <c r="AP43" s="517" t="str">
        <f t="shared" ca="1" si="5"/>
        <v>liter of diesel M; helmet Austria; ballistic vest Austria; wound bandage</v>
      </c>
      <c r="AQ43" s="521">
        <f>VLOOKUP($I43,'Price List, Weapons &amp; Items'!A:K,COLUMN('Price List, Weapons &amp; Items'!$K$1),0)</f>
        <v>1</v>
      </c>
      <c r="AS43" s="521">
        <f t="shared" si="11"/>
        <v>1</v>
      </c>
      <c r="AT43" s="521">
        <f t="shared" si="12"/>
        <v>1</v>
      </c>
      <c r="AU43" s="521">
        <f t="shared" si="13"/>
        <v>1</v>
      </c>
      <c r="AV43" s="521" t="str">
        <f t="shared" si="14"/>
        <v>.</v>
      </c>
    </row>
    <row r="44" spans="1:48" s="581" customFormat="1" ht="15" customHeight="1">
      <c r="A44" s="18" t="s">
        <v>356</v>
      </c>
      <c r="B44" s="18" t="s">
        <v>312</v>
      </c>
      <c r="C44" s="511">
        <v>44633</v>
      </c>
      <c r="D44" s="18" t="s">
        <v>252</v>
      </c>
      <c r="E44" s="18" t="s">
        <v>261</v>
      </c>
      <c r="F44" s="512" t="s">
        <v>357</v>
      </c>
      <c r="G44" s="39" t="s">
        <v>314</v>
      </c>
      <c r="H44" s="513" t="s">
        <v>309</v>
      </c>
      <c r="I44" s="41" t="s">
        <v>362</v>
      </c>
      <c r="J44" s="276" t="str">
        <f>VLOOKUP($I44,'Price List, Weapons &amp; Items'!A:B,2,0)</f>
        <v>Military equipment</v>
      </c>
      <c r="K44" s="276" t="str">
        <f>IF(I44=".",I44,VLOOKUP($I44,'Price List, Weapons &amp; Items'!A:C,3,0))</f>
        <v>.</v>
      </c>
      <c r="L44" s="514">
        <f>VLOOKUP(I44,'Price List, Weapons &amp; Items'!A:D,4,0)</f>
        <v>0</v>
      </c>
      <c r="M44" s="393">
        <v>10059</v>
      </c>
      <c r="N44" s="393">
        <v>10059</v>
      </c>
      <c r="O44" s="516">
        <f>VLOOKUP($I44,'Price List, Weapons &amp; Items'!A:F,6,0)</f>
        <v>36.950000000000003</v>
      </c>
      <c r="P44" s="513">
        <f t="shared" si="6"/>
        <v>371680.05000000005</v>
      </c>
      <c r="Q44" s="513">
        <f t="shared" si="7"/>
        <v>371680.05000000005</v>
      </c>
      <c r="R44" s="513" t="str">
        <f t="shared" si="2"/>
        <v/>
      </c>
      <c r="S44" s="513" t="str">
        <f>IF(AND(AD44=1,R44&lt;&gt;".")=TRUE,R44/VLOOKUP(G44,'Exchange rates'!B:C,2,0),IF(R44=".",".",""))</f>
        <v/>
      </c>
      <c r="T44" s="513" t="str">
        <f>IF(AD44=1,IF(AF44="Value is not given at all",".",IF(AF44="Value is given by the source",S44,IF(AF44="Value is calculated with prices",(IF(SUMIFS(Q:Q,A:A,A44)&gt;0,SUMIFS(Q:Q,A:A,A44),"."))/VLOOKUP("USD",'Exchange rates'!B:C,2,0),"Error with coding"))),"")</f>
        <v/>
      </c>
      <c r="U44" s="39" t="s">
        <v>233</v>
      </c>
      <c r="V44" s="376" t="s">
        <v>359</v>
      </c>
      <c r="W44" s="376" t="s">
        <v>360</v>
      </c>
      <c r="X44" s="530" t="s">
        <v>232</v>
      </c>
      <c r="Y44" s="530" t="s">
        <v>232</v>
      </c>
      <c r="Z44" s="39">
        <v>0</v>
      </c>
      <c r="AA44" s="518">
        <v>0</v>
      </c>
      <c r="AB44" s="394" t="s">
        <v>359</v>
      </c>
      <c r="AC44" s="519" t="str">
        <f>""</f>
        <v/>
      </c>
      <c r="AD44" s="520">
        <v>0</v>
      </c>
      <c r="AE44" s="520" t="s">
        <v>300</v>
      </c>
      <c r="AF44" s="520" t="s">
        <v>300</v>
      </c>
      <c r="AG44" s="520">
        <v>1</v>
      </c>
      <c r="AH44" s="520">
        <v>3</v>
      </c>
      <c r="AI44" s="520">
        <v>0</v>
      </c>
      <c r="AJ44" s="520">
        <f>VLOOKUP($I44,'Price List, Weapons &amp; Items'!A:E,5,0)</f>
        <v>0</v>
      </c>
      <c r="AK44" s="520">
        <f t="shared" si="8"/>
        <v>0</v>
      </c>
      <c r="AL44" s="520">
        <f t="shared" si="9"/>
        <v>0</v>
      </c>
      <c r="AM44" s="520">
        <f t="shared" si="10"/>
        <v>0</v>
      </c>
      <c r="AN44" s="521" t="str">
        <f>VLOOKUP($I44,'Price List, Weapons &amp; Items'!A:K,COLUMN('Price List, Weapons &amp; Items'!$I$1),0)</f>
        <v>Government information</v>
      </c>
      <c r="AO44" s="521" t="str">
        <f>IF(I44=".",".",VLOOKUP($I44,'Price List, Weapons &amp; Items'!A:I,3,0))</f>
        <v>.</v>
      </c>
      <c r="AP44" s="517" t="str">
        <f t="shared" ca="1" si="5"/>
        <v/>
      </c>
      <c r="AQ44" s="521">
        <f>VLOOKUP($I44,'Price List, Weapons &amp; Items'!A:K,COLUMN('Price List, Weapons &amp; Items'!$K$1),0)</f>
        <v>1</v>
      </c>
      <c r="AS44" s="521">
        <f t="shared" si="11"/>
        <v>1</v>
      </c>
      <c r="AT44" s="521">
        <f t="shared" si="12"/>
        <v>1</v>
      </c>
      <c r="AU44" s="521">
        <f t="shared" si="13"/>
        <v>1</v>
      </c>
      <c r="AV44" s="521" t="str">
        <f t="shared" si="14"/>
        <v>.</v>
      </c>
    </row>
    <row r="45" spans="1:48" s="581" customFormat="1" ht="15" customHeight="1">
      <c r="A45" s="18" t="s">
        <v>356</v>
      </c>
      <c r="B45" s="18" t="s">
        <v>312</v>
      </c>
      <c r="C45" s="511">
        <v>44633</v>
      </c>
      <c r="D45" s="18" t="s">
        <v>252</v>
      </c>
      <c r="E45" s="18" t="s">
        <v>261</v>
      </c>
      <c r="F45" s="512" t="s">
        <v>357</v>
      </c>
      <c r="G45" s="39" t="s">
        <v>314</v>
      </c>
      <c r="H45" s="513" t="s">
        <v>309</v>
      </c>
      <c r="I45" s="41" t="s">
        <v>363</v>
      </c>
      <c r="J45" s="276" t="str">
        <f>VLOOKUP($I45,'Price List, Weapons &amp; Items'!A:B,2,0)</f>
        <v>Military equipment</v>
      </c>
      <c r="K45" s="276" t="str">
        <f>IF(I45=".",I45,VLOOKUP($I45,'Price List, Weapons &amp; Items'!A:C,3,0))</f>
        <v>.</v>
      </c>
      <c r="L45" s="514">
        <f>VLOOKUP(I45,'Price List, Weapons &amp; Items'!A:D,4,0)</f>
        <v>0</v>
      </c>
      <c r="M45" s="393">
        <v>9300</v>
      </c>
      <c r="N45" s="393">
        <v>9300</v>
      </c>
      <c r="O45" s="516">
        <f>VLOOKUP($I45,'Price List, Weapons &amp; Items'!A:F,6,0)</f>
        <v>316.68</v>
      </c>
      <c r="P45" s="513">
        <f t="shared" si="6"/>
        <v>2945124</v>
      </c>
      <c r="Q45" s="513">
        <f t="shared" si="7"/>
        <v>2945124</v>
      </c>
      <c r="R45" s="513" t="str">
        <f t="shared" si="2"/>
        <v/>
      </c>
      <c r="S45" s="513" t="str">
        <f>IF(AND(AD45=1,R45&lt;&gt;".")=TRUE,R45/VLOOKUP(G45,'Exchange rates'!B:C,2,0),IF(R45=".",".",""))</f>
        <v/>
      </c>
      <c r="T45" s="513" t="str">
        <f>IF(AD45=1,IF(AF45="Value is not given at all",".",IF(AF45="Value is given by the source",S45,IF(AF45="Value is calculated with prices",(IF(SUMIFS(Q:Q,A:A,A45)&gt;0,SUMIFS(Q:Q,A:A,A45),"."))/VLOOKUP("USD",'Exchange rates'!B:C,2,0),"Error with coding"))),"")</f>
        <v/>
      </c>
      <c r="U45" s="39" t="s">
        <v>233</v>
      </c>
      <c r="V45" s="376" t="s">
        <v>359</v>
      </c>
      <c r="W45" s="376" t="s">
        <v>360</v>
      </c>
      <c r="X45" s="530" t="s">
        <v>232</v>
      </c>
      <c r="Y45" s="530" t="s">
        <v>232</v>
      </c>
      <c r="Z45" s="39">
        <v>0</v>
      </c>
      <c r="AA45" s="518">
        <v>0</v>
      </c>
      <c r="AB45" s="394" t="s">
        <v>359</v>
      </c>
      <c r="AC45" s="519" t="str">
        <f>""</f>
        <v/>
      </c>
      <c r="AD45" s="520">
        <v>0</v>
      </c>
      <c r="AE45" s="520" t="s">
        <v>300</v>
      </c>
      <c r="AF45" s="520" t="s">
        <v>300</v>
      </c>
      <c r="AG45" s="520">
        <v>1</v>
      </c>
      <c r="AH45" s="520">
        <v>3</v>
      </c>
      <c r="AI45" s="520">
        <v>0</v>
      </c>
      <c r="AJ45" s="520">
        <f>VLOOKUP($I45,'Price List, Weapons &amp; Items'!A:E,5,0)</f>
        <v>0</v>
      </c>
      <c r="AK45" s="520">
        <f t="shared" si="8"/>
        <v>0</v>
      </c>
      <c r="AL45" s="520">
        <f t="shared" si="9"/>
        <v>0</v>
      </c>
      <c r="AM45" s="520">
        <f t="shared" si="10"/>
        <v>0</v>
      </c>
      <c r="AN45" s="521" t="str">
        <f>VLOOKUP($I45,'Price List, Weapons &amp; Items'!A:K,COLUMN('Price List, Weapons &amp; Items'!$I$1),0)</f>
        <v>Online marketplaces and stores</v>
      </c>
      <c r="AO45" s="521" t="str">
        <f>IF(I45=".",".",VLOOKUP($I45,'Price List, Weapons &amp; Items'!A:I,3,0))</f>
        <v>.</v>
      </c>
      <c r="AP45" s="517" t="str">
        <f t="shared" ca="1" si="5"/>
        <v/>
      </c>
      <c r="AQ45" s="521">
        <f>VLOOKUP($I45,'Price List, Weapons &amp; Items'!A:K,COLUMN('Price List, Weapons &amp; Items'!$K$1),0)</f>
        <v>2</v>
      </c>
      <c r="AS45" s="521">
        <f t="shared" si="11"/>
        <v>1</v>
      </c>
      <c r="AT45" s="521">
        <f t="shared" si="12"/>
        <v>1</v>
      </c>
      <c r="AU45" s="521">
        <f t="shared" si="13"/>
        <v>1</v>
      </c>
      <c r="AV45" s="521" t="str">
        <f t="shared" si="14"/>
        <v>.</v>
      </c>
    </row>
    <row r="46" spans="1:48" s="581" customFormat="1" ht="15" customHeight="1">
      <c r="A46" s="18" t="s">
        <v>356</v>
      </c>
      <c r="B46" s="18" t="s">
        <v>312</v>
      </c>
      <c r="C46" s="511">
        <v>44633</v>
      </c>
      <c r="D46" s="18" t="s">
        <v>252</v>
      </c>
      <c r="E46" s="18" t="s">
        <v>261</v>
      </c>
      <c r="F46" s="512" t="s">
        <v>357</v>
      </c>
      <c r="G46" s="39" t="s">
        <v>314</v>
      </c>
      <c r="H46" s="513" t="s">
        <v>309</v>
      </c>
      <c r="I46" s="41" t="s">
        <v>364</v>
      </c>
      <c r="J46" s="276" t="str">
        <f>VLOOKUP($I46,'Price List, Weapons &amp; Items'!A:B,2,0)</f>
        <v>Military equipment</v>
      </c>
      <c r="K46" s="276" t="str">
        <f>IF(I46=".",I46,VLOOKUP($I46,'Price List, Weapons &amp; Items'!A:C,3,0))</f>
        <v>.</v>
      </c>
      <c r="L46" s="514">
        <f>VLOOKUP(I46,'Price List, Weapons &amp; Items'!A:D,4,0)</f>
        <v>0</v>
      </c>
      <c r="M46" s="393">
        <v>1500</v>
      </c>
      <c r="N46" s="393">
        <v>1500</v>
      </c>
      <c r="O46" s="516">
        <f>VLOOKUP($I46,'Price List, Weapons &amp; Items'!A:F,6,0)</f>
        <v>0.38</v>
      </c>
      <c r="P46" s="513">
        <f t="shared" si="6"/>
        <v>570</v>
      </c>
      <c r="Q46" s="513">
        <f t="shared" si="7"/>
        <v>570</v>
      </c>
      <c r="R46" s="513" t="str">
        <f t="shared" si="2"/>
        <v/>
      </c>
      <c r="S46" s="513" t="str">
        <f>IF(AND(AD46=1,R46&lt;&gt;".")=TRUE,R46/VLOOKUP(G46,'Exchange rates'!B:C,2,0),IF(R46=".",".",""))</f>
        <v/>
      </c>
      <c r="T46" s="513" t="str">
        <f>IF(AD46=1,IF(AF46="Value is not given at all",".",IF(AF46="Value is given by the source",S46,IF(AF46="Value is calculated with prices",(IF(SUMIFS(Q:Q,A:A,A46)&gt;0,SUMIFS(Q:Q,A:A,A46),"."))/VLOOKUP("USD",'Exchange rates'!B:C,2,0),"Error with coding"))),"")</f>
        <v/>
      </c>
      <c r="U46" s="39" t="s">
        <v>233</v>
      </c>
      <c r="V46" s="376" t="s">
        <v>359</v>
      </c>
      <c r="W46" s="376" t="s">
        <v>360</v>
      </c>
      <c r="X46" s="530" t="s">
        <v>232</v>
      </c>
      <c r="Y46" s="530" t="s">
        <v>232</v>
      </c>
      <c r="Z46" s="39">
        <v>0</v>
      </c>
      <c r="AA46" s="518">
        <v>0</v>
      </c>
      <c r="AB46" s="394" t="s">
        <v>359</v>
      </c>
      <c r="AC46" s="519" t="str">
        <f>""</f>
        <v/>
      </c>
      <c r="AD46" s="520">
        <v>0</v>
      </c>
      <c r="AE46" s="520" t="s">
        <v>300</v>
      </c>
      <c r="AF46" s="520" t="s">
        <v>300</v>
      </c>
      <c r="AG46" s="520">
        <v>1</v>
      </c>
      <c r="AH46" s="520">
        <v>3</v>
      </c>
      <c r="AI46" s="520">
        <v>0</v>
      </c>
      <c r="AJ46" s="520">
        <f>VLOOKUP($I46,'Price List, Weapons &amp; Items'!A:E,5,0)</f>
        <v>0</v>
      </c>
      <c r="AK46" s="520">
        <f t="shared" si="8"/>
        <v>0</v>
      </c>
      <c r="AL46" s="520">
        <f t="shared" si="9"/>
        <v>0</v>
      </c>
      <c r="AM46" s="520">
        <f t="shared" si="10"/>
        <v>0</v>
      </c>
      <c r="AN46" s="521" t="str">
        <f>VLOOKUP($I46,'Price List, Weapons &amp; Items'!A:K,COLUMN('Price List, Weapons &amp; Items'!$I$1),0)</f>
        <v>Online marketplaces and stores</v>
      </c>
      <c r="AO46" s="521" t="str">
        <f>IF(I46=".",".",VLOOKUP($I46,'Price List, Weapons &amp; Items'!A:I,3,0))</f>
        <v>.</v>
      </c>
      <c r="AP46" s="517" t="str">
        <f t="shared" ca="1" si="5"/>
        <v/>
      </c>
      <c r="AQ46" s="521">
        <f>VLOOKUP($I46,'Price List, Weapons &amp; Items'!A:K,COLUMN('Price List, Weapons &amp; Items'!$K$1),0)</f>
        <v>1</v>
      </c>
      <c r="AS46" s="521">
        <f t="shared" si="11"/>
        <v>1</v>
      </c>
      <c r="AT46" s="521">
        <f t="shared" si="12"/>
        <v>1</v>
      </c>
      <c r="AU46" s="521">
        <f t="shared" si="13"/>
        <v>1</v>
      </c>
      <c r="AV46" s="521" t="str">
        <f t="shared" si="14"/>
        <v>.</v>
      </c>
    </row>
    <row r="47" spans="1:48" s="581" customFormat="1" ht="15" customHeight="1">
      <c r="A47" s="41" t="s">
        <v>365</v>
      </c>
      <c r="B47" s="41" t="s">
        <v>312</v>
      </c>
      <c r="C47" s="511">
        <v>44627</v>
      </c>
      <c r="D47" s="18" t="s">
        <v>366</v>
      </c>
      <c r="E47" s="18" t="s">
        <v>330</v>
      </c>
      <c r="F47" s="512" t="s">
        <v>367</v>
      </c>
      <c r="G47" s="39" t="s">
        <v>332</v>
      </c>
      <c r="H47" s="513">
        <v>10000000</v>
      </c>
      <c r="I47" s="41" t="s">
        <v>232</v>
      </c>
      <c r="J47" s="276" t="str">
        <f>VLOOKUP($I47,'Price List, Weapons &amp; Items'!A:B,2,0)</f>
        <v>.</v>
      </c>
      <c r="K47" s="276" t="str">
        <f>IF(I47=".",I47,VLOOKUP($I47,'Price List, Weapons &amp; Items'!A:C,3,0))</f>
        <v>.</v>
      </c>
      <c r="L47" s="514">
        <f>VLOOKUP(I47,'Price List, Weapons &amp; Items'!A:D,4,0)</f>
        <v>0</v>
      </c>
      <c r="M47" s="393" t="s">
        <v>232</v>
      </c>
      <c r="N47" s="515" t="s">
        <v>232</v>
      </c>
      <c r="O47" s="516" t="str">
        <f>VLOOKUP($I47,'Price List, Weapons &amp; Items'!A:F,6,0)</f>
        <v>.</v>
      </c>
      <c r="P47" s="513" t="str">
        <f t="shared" si="6"/>
        <v>.</v>
      </c>
      <c r="Q47" s="513" t="str">
        <f t="shared" si="7"/>
        <v>.</v>
      </c>
      <c r="R47" s="513">
        <f t="shared" si="2"/>
        <v>10000000</v>
      </c>
      <c r="S47" s="513">
        <f>IF(AND(AD47=1,R47&lt;&gt;".")=TRUE,R47/VLOOKUP(G47,'Exchange rates'!B:C,2,0),IF(R47=".",".",""))</f>
        <v>10000000</v>
      </c>
      <c r="T47" s="513" t="str">
        <f>IF(AD47=1,IF(AF47="Value is not given at all",".",IF(AF47="Value is given by the source",S47,IF(AF47="Value is calculated with prices",(IF(SUMIFS(Q:Q,A:A,A47)&gt;0,SUMIFS(Q:Q,A:A,A47),"."))/VLOOKUP("USD",'Exchange rates'!B:C,2,0),"Error with coding"))),"")</f>
        <v>.</v>
      </c>
      <c r="U47" s="39" t="s">
        <v>233</v>
      </c>
      <c r="V47" s="42" t="s">
        <v>368</v>
      </c>
      <c r="W47" s="517" t="s">
        <v>232</v>
      </c>
      <c r="X47" s="517" t="s">
        <v>232</v>
      </c>
      <c r="Y47" s="517" t="s">
        <v>232</v>
      </c>
      <c r="Z47" s="39">
        <v>1</v>
      </c>
      <c r="AA47" s="518">
        <v>0</v>
      </c>
      <c r="AB47" s="38" t="s">
        <v>232</v>
      </c>
      <c r="AC47" s="519" t="str">
        <f>""</f>
        <v/>
      </c>
      <c r="AD47" s="520">
        <v>1</v>
      </c>
      <c r="AE47" s="520" t="s">
        <v>236</v>
      </c>
      <c r="AF47" s="520" t="s">
        <v>237</v>
      </c>
      <c r="AG47" s="520">
        <v>1</v>
      </c>
      <c r="AH47" s="520">
        <v>3</v>
      </c>
      <c r="AI47" s="520">
        <v>0</v>
      </c>
      <c r="AJ47" s="520">
        <f>VLOOKUP($I47,'Price List, Weapons &amp; Items'!A:E,5,0)</f>
        <v>0</v>
      </c>
      <c r="AK47" s="520">
        <f t="shared" si="8"/>
        <v>0</v>
      </c>
      <c r="AL47" s="520">
        <f t="shared" si="9"/>
        <v>0</v>
      </c>
      <c r="AM47" s="520">
        <f t="shared" si="10"/>
        <v>0</v>
      </c>
      <c r="AN47" s="521" t="str">
        <f>VLOOKUP($I47,'Price List, Weapons &amp; Items'!A:K,COLUMN('Price List, Weapons &amp; Items'!$I$1),0)</f>
        <v>.</v>
      </c>
      <c r="AO47" s="521" t="str">
        <f>IF(I47=".",".",VLOOKUP($I47,'Price List, Weapons &amp; Items'!A:I,3,0))</f>
        <v>.</v>
      </c>
      <c r="AP47" s="517" t="str">
        <f t="shared" ca="1" si="5"/>
        <v>.</v>
      </c>
      <c r="AQ47" s="521" t="str">
        <f>VLOOKUP($I47,'Price List, Weapons &amp; Items'!A:K,COLUMN('Price List, Weapons &amp; Items'!$K$1),0)</f>
        <v>no price, 0 count</v>
      </c>
      <c r="AS47" s="521">
        <f t="shared" si="11"/>
        <v>1</v>
      </c>
      <c r="AT47" s="521">
        <f t="shared" si="12"/>
        <v>0</v>
      </c>
      <c r="AU47" s="521">
        <f t="shared" si="13"/>
        <v>1</v>
      </c>
      <c r="AV47" s="521" t="str">
        <f t="shared" si="14"/>
        <v>.</v>
      </c>
    </row>
    <row r="48" spans="1:48" s="581" customFormat="1" ht="15" customHeight="1">
      <c r="A48" s="18" t="s">
        <v>369</v>
      </c>
      <c r="B48" s="18" t="s">
        <v>370</v>
      </c>
      <c r="C48" s="511">
        <v>44621</v>
      </c>
      <c r="D48" s="18" t="s">
        <v>228</v>
      </c>
      <c r="E48" s="18" t="s">
        <v>239</v>
      </c>
      <c r="F48" s="512" t="s">
        <v>371</v>
      </c>
      <c r="G48" s="39" t="s">
        <v>332</v>
      </c>
      <c r="H48" s="513">
        <v>3400000</v>
      </c>
      <c r="I48" s="41" t="s">
        <v>320</v>
      </c>
      <c r="J48" s="276" t="str">
        <f>VLOOKUP($I48,'Price List, Weapons &amp; Items'!A:B,2,0)</f>
        <v>Humanitarian</v>
      </c>
      <c r="K48" s="276" t="str">
        <f>IF(I48=".",I48,VLOOKUP($I48,'Price List, Weapons &amp; Items'!A:C,3,0))</f>
        <v>.</v>
      </c>
      <c r="L48" s="514">
        <f>VLOOKUP(I48,'Price List, Weapons &amp; Items'!A:D,4,0)</f>
        <v>0</v>
      </c>
      <c r="M48" s="393">
        <v>400000</v>
      </c>
      <c r="N48" s="515" t="s">
        <v>232</v>
      </c>
      <c r="O48" s="516">
        <f>VLOOKUP($I48,'Price List, Weapons &amp; Items'!A:F,6,0)</f>
        <v>0.13</v>
      </c>
      <c r="P48" s="513">
        <f t="shared" si="6"/>
        <v>52000</v>
      </c>
      <c r="Q48" s="513" t="str">
        <f t="shared" si="7"/>
        <v>.</v>
      </c>
      <c r="R48" s="513">
        <f t="shared" si="2"/>
        <v>3400000</v>
      </c>
      <c r="S48" s="513">
        <f>IF(AND(AD48=1,R48&lt;&gt;".")=TRUE,R48/VLOOKUP(G48,'Exchange rates'!B:C,2,0),IF(R48=".",".",""))</f>
        <v>3400000</v>
      </c>
      <c r="T48" s="513" t="str">
        <f>IF(AD48=1,IF(AF48="Value is not given at all",".",IF(AF48="Value is given by the source",S48,IF(AF48="Value is calculated with prices",(IF(SUMIFS(Q:Q,A:A,A48)&gt;0,SUMIFS(Q:Q,A:A,A48),"."))/VLOOKUP("USD",'Exchange rates'!B:C,2,0),"Error with coding"))),"")</f>
        <v>.</v>
      </c>
      <c r="U48" s="39" t="s">
        <v>372</v>
      </c>
      <c r="V48" s="376" t="s">
        <v>373</v>
      </c>
      <c r="W48" s="530" t="s">
        <v>232</v>
      </c>
      <c r="X48" s="530" t="s">
        <v>232</v>
      </c>
      <c r="Y48" s="530" t="s">
        <v>232</v>
      </c>
      <c r="Z48" s="39">
        <v>0</v>
      </c>
      <c r="AA48" s="518">
        <v>0</v>
      </c>
      <c r="AB48" s="38" t="s">
        <v>232</v>
      </c>
      <c r="AC48" s="519" t="str">
        <f>""</f>
        <v/>
      </c>
      <c r="AD48" s="520">
        <v>1</v>
      </c>
      <c r="AE48" s="520" t="s">
        <v>236</v>
      </c>
      <c r="AF48" s="520" t="s">
        <v>237</v>
      </c>
      <c r="AG48" s="520">
        <v>1</v>
      </c>
      <c r="AH48" s="520">
        <v>3</v>
      </c>
      <c r="AI48" s="520">
        <v>0</v>
      </c>
      <c r="AJ48" s="520">
        <f>VLOOKUP($I48,'Price List, Weapons &amp; Items'!A:E,5,0)</f>
        <v>0</v>
      </c>
      <c r="AK48" s="520">
        <f t="shared" si="8"/>
        <v>0</v>
      </c>
      <c r="AL48" s="520">
        <f t="shared" si="9"/>
        <v>0</v>
      </c>
      <c r="AM48" s="520">
        <f t="shared" si="10"/>
        <v>0</v>
      </c>
      <c r="AN48" s="521" t="str">
        <f>VLOOKUP($I48,'Price List, Weapons &amp; Items'!A:K,COLUMN('Price List, Weapons &amp; Items'!$I$1),0)</f>
        <v>Online marketplaces and stores</v>
      </c>
      <c r="AO48" s="521" t="str">
        <f>IF(I48=".",".",VLOOKUP($I48,'Price List, Weapons &amp; Items'!A:I,3,0))</f>
        <v>.</v>
      </c>
      <c r="AP48" s="517" t="str">
        <f t="shared" ca="1" si="5"/>
        <v>gloves; respiratory assistance device; syringe</v>
      </c>
      <c r="AQ48" s="521">
        <f>VLOOKUP($I48,'Price List, Weapons &amp; Items'!A:K,COLUMN('Price List, Weapons &amp; Items'!$K$1),0)</f>
        <v>0</v>
      </c>
      <c r="AS48" s="521">
        <f t="shared" si="11"/>
        <v>0</v>
      </c>
      <c r="AT48" s="521">
        <f t="shared" si="12"/>
        <v>0</v>
      </c>
      <c r="AU48" s="521">
        <f t="shared" si="13"/>
        <v>1</v>
      </c>
      <c r="AV48" s="521" t="str">
        <f t="shared" si="14"/>
        <v>.</v>
      </c>
    </row>
    <row r="49" spans="1:48" s="581" customFormat="1" ht="15" customHeight="1">
      <c r="A49" s="18" t="s">
        <v>369</v>
      </c>
      <c r="B49" s="18" t="s">
        <v>370</v>
      </c>
      <c r="C49" s="511">
        <v>44621</v>
      </c>
      <c r="D49" s="18" t="s">
        <v>228</v>
      </c>
      <c r="E49" s="18" t="s">
        <v>239</v>
      </c>
      <c r="F49" s="512" t="s">
        <v>371</v>
      </c>
      <c r="G49" s="39" t="s">
        <v>332</v>
      </c>
      <c r="H49" s="513">
        <v>3400000</v>
      </c>
      <c r="I49" s="41" t="s">
        <v>374</v>
      </c>
      <c r="J49" s="276" t="str">
        <f>VLOOKUP($I49,'Price List, Weapons &amp; Items'!A:B,2,0)</f>
        <v>Humanitarian</v>
      </c>
      <c r="K49" s="276" t="str">
        <f>IF(I49=".",I49,VLOOKUP($I49,'Price List, Weapons &amp; Items'!A:C,3,0))</f>
        <v>.</v>
      </c>
      <c r="L49" s="514">
        <f>VLOOKUP(I49,'Price List, Weapons &amp; Items'!A:D,4,0)</f>
        <v>0</v>
      </c>
      <c r="M49" s="393">
        <v>600000</v>
      </c>
      <c r="N49" s="515" t="s">
        <v>232</v>
      </c>
      <c r="O49" s="516" t="str">
        <f>VLOOKUP($I49,'Price List, Weapons &amp; Items'!A:F,6,0)</f>
        <v>.</v>
      </c>
      <c r="P49" s="513" t="str">
        <f t="shared" si="6"/>
        <v>No price</v>
      </c>
      <c r="Q49" s="513" t="str">
        <f t="shared" si="7"/>
        <v>.</v>
      </c>
      <c r="R49" s="513" t="str">
        <f t="shared" si="2"/>
        <v/>
      </c>
      <c r="S49" s="513" t="str">
        <f>IF(AND(AD49=1,R49&lt;&gt;".")=TRUE,R49/VLOOKUP(G49,'Exchange rates'!B:C,2,0),IF(R49=".",".",""))</f>
        <v/>
      </c>
      <c r="T49" s="513" t="str">
        <f>IF(AD49=1,IF(AF49="Value is not given at all",".",IF(AF49="Value is given by the source",S49,IF(AF49="Value is calculated with prices",(IF(SUMIFS(Q:Q,A:A,A49)&gt;0,SUMIFS(Q:Q,A:A,A49),"."))/VLOOKUP("USD",'Exchange rates'!B:C,2,0),"Error with coding"))),"")</f>
        <v/>
      </c>
      <c r="U49" s="39" t="s">
        <v>372</v>
      </c>
      <c r="V49" s="376" t="s">
        <v>373</v>
      </c>
      <c r="W49" s="530" t="s">
        <v>232</v>
      </c>
      <c r="X49" s="530" t="s">
        <v>232</v>
      </c>
      <c r="Y49" s="530" t="s">
        <v>232</v>
      </c>
      <c r="Z49" s="39">
        <v>0</v>
      </c>
      <c r="AA49" s="518">
        <v>0</v>
      </c>
      <c r="AB49" s="38" t="s">
        <v>232</v>
      </c>
      <c r="AC49" s="519" t="str">
        <f>""</f>
        <v/>
      </c>
      <c r="AD49" s="520">
        <v>0</v>
      </c>
      <c r="AE49" s="520" t="s">
        <v>236</v>
      </c>
      <c r="AF49" s="520" t="s">
        <v>237</v>
      </c>
      <c r="AG49" s="520">
        <v>1</v>
      </c>
      <c r="AH49" s="520">
        <v>3</v>
      </c>
      <c r="AI49" s="520">
        <v>0</v>
      </c>
      <c r="AJ49" s="520">
        <f>VLOOKUP($I49,'Price List, Weapons &amp; Items'!A:E,5,0)</f>
        <v>0</v>
      </c>
      <c r="AK49" s="520">
        <f t="shared" si="8"/>
        <v>0</v>
      </c>
      <c r="AL49" s="520">
        <f t="shared" si="9"/>
        <v>0</v>
      </c>
      <c r="AM49" s="520">
        <f t="shared" si="10"/>
        <v>0</v>
      </c>
      <c r="AN49" s="521" t="str">
        <f>VLOOKUP($I49,'Price List, Weapons &amp; Items'!A:K,COLUMN('Price List, Weapons &amp; Items'!$I$1),0)</f>
        <v>.</v>
      </c>
      <c r="AO49" s="521" t="str">
        <f>IF(I49=".",".",VLOOKUP($I49,'Price List, Weapons &amp; Items'!A:I,3,0))</f>
        <v>.</v>
      </c>
      <c r="AP49" s="517" t="str">
        <f t="shared" ca="1" si="5"/>
        <v/>
      </c>
      <c r="AQ49" s="521">
        <f>VLOOKUP($I49,'Price List, Weapons &amp; Items'!A:K,COLUMN('Price List, Weapons &amp; Items'!$K$1),0)</f>
        <v>0</v>
      </c>
      <c r="AS49" s="521">
        <f t="shared" si="11"/>
        <v>0</v>
      </c>
      <c r="AT49" s="521">
        <f t="shared" si="12"/>
        <v>0</v>
      </c>
      <c r="AU49" s="521">
        <f t="shared" si="13"/>
        <v>1</v>
      </c>
      <c r="AV49" s="521" t="str">
        <f t="shared" si="14"/>
        <v>.</v>
      </c>
    </row>
    <row r="50" spans="1:48" s="581" customFormat="1" ht="15" customHeight="1">
      <c r="A50" s="18" t="s">
        <v>369</v>
      </c>
      <c r="B50" s="18" t="s">
        <v>370</v>
      </c>
      <c r="C50" s="511">
        <v>44621</v>
      </c>
      <c r="D50" s="18" t="s">
        <v>228</v>
      </c>
      <c r="E50" s="18" t="s">
        <v>239</v>
      </c>
      <c r="F50" s="512" t="s">
        <v>371</v>
      </c>
      <c r="G50" s="39" t="s">
        <v>332</v>
      </c>
      <c r="H50" s="513">
        <v>3400000</v>
      </c>
      <c r="I50" s="41" t="s">
        <v>375</v>
      </c>
      <c r="J50" s="276" t="str">
        <f>VLOOKUP($I50,'Price List, Weapons &amp; Items'!A:B,2,0)</f>
        <v>Humanitarian</v>
      </c>
      <c r="K50" s="276" t="str">
        <f>IF(I50=".",I50,VLOOKUP($I50,'Price List, Weapons &amp; Items'!A:C,3,0))</f>
        <v>.</v>
      </c>
      <c r="L50" s="514">
        <f>VLOOKUP(I50,'Price List, Weapons &amp; Items'!A:D,4,0)</f>
        <v>0</v>
      </c>
      <c r="M50" s="393">
        <v>10000000</v>
      </c>
      <c r="N50" s="515" t="s">
        <v>232</v>
      </c>
      <c r="O50" s="516">
        <f>VLOOKUP($I50,'Price List, Weapons &amp; Items'!A:F,6,0)</f>
        <v>4.4999999999999998E-2</v>
      </c>
      <c r="P50" s="513">
        <f t="shared" si="6"/>
        <v>450000</v>
      </c>
      <c r="Q50" s="513" t="str">
        <f t="shared" si="7"/>
        <v>.</v>
      </c>
      <c r="R50" s="513" t="str">
        <f t="shared" si="2"/>
        <v/>
      </c>
      <c r="S50" s="513" t="str">
        <f>IF(AND(AD50=1,R50&lt;&gt;".")=TRUE,R50/VLOOKUP(G50,'Exchange rates'!B:C,2,0),IF(R50=".",".",""))</f>
        <v/>
      </c>
      <c r="T50" s="513" t="str">
        <f>IF(AD50=1,IF(AF50="Value is not given at all",".",IF(AF50="Value is given by the source",S50,IF(AF50="Value is calculated with prices",(IF(SUMIFS(Q:Q,A:A,A50)&gt;0,SUMIFS(Q:Q,A:A,A50),"."))/VLOOKUP("USD",'Exchange rates'!B:C,2,0),"Error with coding"))),"")</f>
        <v/>
      </c>
      <c r="U50" s="39" t="s">
        <v>372</v>
      </c>
      <c r="V50" s="376" t="s">
        <v>373</v>
      </c>
      <c r="W50" s="530" t="s">
        <v>232</v>
      </c>
      <c r="X50" s="530" t="s">
        <v>232</v>
      </c>
      <c r="Y50" s="530" t="s">
        <v>232</v>
      </c>
      <c r="Z50" s="39">
        <v>0</v>
      </c>
      <c r="AA50" s="518">
        <v>0</v>
      </c>
      <c r="AB50" s="38" t="s">
        <v>232</v>
      </c>
      <c r="AC50" s="519" t="str">
        <f>""</f>
        <v/>
      </c>
      <c r="AD50" s="520">
        <v>0</v>
      </c>
      <c r="AE50" s="520" t="s">
        <v>236</v>
      </c>
      <c r="AF50" s="520" t="s">
        <v>237</v>
      </c>
      <c r="AG50" s="520">
        <v>1</v>
      </c>
      <c r="AH50" s="520">
        <v>3</v>
      </c>
      <c r="AI50" s="520">
        <v>0</v>
      </c>
      <c r="AJ50" s="520">
        <f>VLOOKUP($I50,'Price List, Weapons &amp; Items'!A:E,5,0)</f>
        <v>0</v>
      </c>
      <c r="AK50" s="520">
        <f t="shared" si="8"/>
        <v>0</v>
      </c>
      <c r="AL50" s="520">
        <f t="shared" si="9"/>
        <v>0</v>
      </c>
      <c r="AM50" s="520">
        <f t="shared" si="10"/>
        <v>0</v>
      </c>
      <c r="AN50" s="521" t="str">
        <f>VLOOKUP($I50,'Price List, Weapons &amp; Items'!A:K,COLUMN('Price List, Weapons &amp; Items'!$I$1),0)</f>
        <v>Miscellaneous</v>
      </c>
      <c r="AO50" s="521" t="str">
        <f>IF(I50=".",".",VLOOKUP($I50,'Price List, Weapons &amp; Items'!A:I,3,0))</f>
        <v>.</v>
      </c>
      <c r="AP50" s="517" t="str">
        <f t="shared" ca="1" si="5"/>
        <v/>
      </c>
      <c r="AQ50" s="521">
        <f>VLOOKUP($I50,'Price List, Weapons &amp; Items'!A:K,COLUMN('Price List, Weapons &amp; Items'!$K$1),0)</f>
        <v>0</v>
      </c>
      <c r="AS50" s="521">
        <f t="shared" si="11"/>
        <v>0</v>
      </c>
      <c r="AT50" s="521">
        <f t="shared" si="12"/>
        <v>0</v>
      </c>
      <c r="AU50" s="521">
        <f t="shared" si="13"/>
        <v>1</v>
      </c>
      <c r="AV50" s="521" t="str">
        <f t="shared" si="14"/>
        <v>.</v>
      </c>
    </row>
    <row r="51" spans="1:48" ht="15" customHeight="1">
      <c r="A51" s="41" t="s">
        <v>376</v>
      </c>
      <c r="B51" s="41" t="s">
        <v>370</v>
      </c>
      <c r="C51" s="511">
        <v>44622</v>
      </c>
      <c r="D51" s="18" t="s">
        <v>228</v>
      </c>
      <c r="E51" s="18" t="s">
        <v>239</v>
      </c>
      <c r="F51" s="512" t="s">
        <v>377</v>
      </c>
      <c r="G51" s="39" t="s">
        <v>332</v>
      </c>
      <c r="H51" s="513">
        <v>230000</v>
      </c>
      <c r="I51" s="41" t="s">
        <v>232</v>
      </c>
      <c r="J51" s="276" t="str">
        <f>VLOOKUP($I51,'Price List, Weapons &amp; Items'!A:B,2,0)</f>
        <v>.</v>
      </c>
      <c r="K51" s="276" t="str">
        <f>IF(I51=".",I51,VLOOKUP($I51,'Price List, Weapons &amp; Items'!A:C,3,0))</f>
        <v>.</v>
      </c>
      <c r="L51" s="514">
        <f>VLOOKUP(I51,'Price List, Weapons &amp; Items'!A:D,4,0)</f>
        <v>0</v>
      </c>
      <c r="M51" s="515" t="s">
        <v>232</v>
      </c>
      <c r="N51" s="515" t="s">
        <v>232</v>
      </c>
      <c r="O51" s="516" t="str">
        <f>VLOOKUP($I51,'Price List, Weapons &amp; Items'!A:F,6,0)</f>
        <v>.</v>
      </c>
      <c r="P51" s="513" t="str">
        <f t="shared" si="6"/>
        <v>.</v>
      </c>
      <c r="Q51" s="513" t="str">
        <f t="shared" si="7"/>
        <v>.</v>
      </c>
      <c r="R51" s="513">
        <f t="shared" si="2"/>
        <v>230000</v>
      </c>
      <c r="S51" s="513">
        <f>IF(AND(AD51=1,R51&lt;&gt;".")=TRUE,R51/VLOOKUP(G51,'Exchange rates'!B:C,2,0),IF(R51=".",".",""))</f>
        <v>230000</v>
      </c>
      <c r="T51" s="513" t="str">
        <f>IF(AD51=1,IF(AF51="Value is not given at all",".",IF(AF51="Value is given by the source",S51,IF(AF51="Value is calculated with prices",(IF(SUMIFS(Q:Q,A:A,A51)&gt;0,SUMIFS(Q:Q,A:A,A51),"."))/VLOOKUP("USD",'Exchange rates'!B:C,2,0),"Error with coding"))),"")</f>
        <v>.</v>
      </c>
      <c r="U51" s="39" t="s">
        <v>233</v>
      </c>
      <c r="V51" s="42" t="s">
        <v>378</v>
      </c>
      <c r="W51" s="517" t="s">
        <v>232</v>
      </c>
      <c r="X51" s="517" t="s">
        <v>232</v>
      </c>
      <c r="Y51" s="517" t="s">
        <v>232</v>
      </c>
      <c r="Z51" s="39">
        <v>0</v>
      </c>
      <c r="AA51" s="518">
        <v>0</v>
      </c>
      <c r="AB51" s="38" t="s">
        <v>232</v>
      </c>
      <c r="AC51" s="519" t="str">
        <f>""</f>
        <v/>
      </c>
      <c r="AD51" s="520">
        <v>1</v>
      </c>
      <c r="AE51" s="520" t="s">
        <v>236</v>
      </c>
      <c r="AF51" s="520" t="s">
        <v>237</v>
      </c>
      <c r="AG51" s="520">
        <v>1</v>
      </c>
      <c r="AH51" s="520">
        <v>3</v>
      </c>
      <c r="AI51" s="520">
        <v>0</v>
      </c>
      <c r="AJ51" s="520">
        <f>VLOOKUP($I51,'Price List, Weapons &amp; Items'!A:E,5,0)</f>
        <v>0</v>
      </c>
      <c r="AK51" s="520">
        <f t="shared" si="8"/>
        <v>0</v>
      </c>
      <c r="AL51" s="520">
        <f t="shared" si="9"/>
        <v>0</v>
      </c>
      <c r="AM51" s="520">
        <f t="shared" si="10"/>
        <v>0</v>
      </c>
      <c r="AN51" s="521" t="str">
        <f>VLOOKUP($I51,'Price List, Weapons &amp; Items'!A:K,COLUMN('Price List, Weapons &amp; Items'!$I$1),0)</f>
        <v>.</v>
      </c>
      <c r="AO51" s="521" t="str">
        <f>IF(I51=".",".",VLOOKUP($I51,'Price List, Weapons &amp; Items'!A:I,3,0))</f>
        <v>.</v>
      </c>
      <c r="AP51" s="517" t="str">
        <f t="shared" ca="1" si="5"/>
        <v>.</v>
      </c>
      <c r="AQ51" s="521" t="str">
        <f>VLOOKUP($I51,'Price List, Weapons &amp; Items'!A:K,COLUMN('Price List, Weapons &amp; Items'!$K$1),0)</f>
        <v>no price, 0 count</v>
      </c>
      <c r="AS51" s="521">
        <f t="shared" si="11"/>
        <v>1</v>
      </c>
      <c r="AT51" s="521">
        <f t="shared" si="12"/>
        <v>0</v>
      </c>
      <c r="AU51" s="521">
        <f t="shared" si="13"/>
        <v>1</v>
      </c>
      <c r="AV51" s="521" t="str">
        <f t="shared" si="14"/>
        <v>.</v>
      </c>
    </row>
    <row r="52" spans="1:48" s="533" customFormat="1" ht="15" customHeight="1">
      <c r="A52" s="41" t="s">
        <v>379</v>
      </c>
      <c r="B52" s="41" t="s">
        <v>370</v>
      </c>
      <c r="C52" s="511">
        <v>44660</v>
      </c>
      <c r="D52" s="18" t="s">
        <v>228</v>
      </c>
      <c r="E52" s="18" t="s">
        <v>229</v>
      </c>
      <c r="F52" s="512" t="s">
        <v>380</v>
      </c>
      <c r="G52" s="39" t="s">
        <v>332</v>
      </c>
      <c r="H52" s="513">
        <v>83000000</v>
      </c>
      <c r="I52" s="41" t="s">
        <v>232</v>
      </c>
      <c r="J52" s="276" t="str">
        <f>VLOOKUP($I52,'Price List, Weapons &amp; Items'!A:B,2,0)</f>
        <v>.</v>
      </c>
      <c r="K52" s="276" t="str">
        <f>IF(I52=".",I52,VLOOKUP($I52,'Price List, Weapons &amp; Items'!A:C,3,0))</f>
        <v>.</v>
      </c>
      <c r="L52" s="514">
        <f>VLOOKUP(I52,'Price List, Weapons &amp; Items'!A:D,4,0)</f>
        <v>0</v>
      </c>
      <c r="M52" s="515" t="s">
        <v>232</v>
      </c>
      <c r="N52" s="515" t="s">
        <v>232</v>
      </c>
      <c r="O52" s="516" t="str">
        <f>VLOOKUP($I52,'Price List, Weapons &amp; Items'!A:F,6,0)</f>
        <v>.</v>
      </c>
      <c r="P52" s="513" t="str">
        <f t="shared" si="6"/>
        <v>.</v>
      </c>
      <c r="Q52" s="513" t="str">
        <f t="shared" si="7"/>
        <v>.</v>
      </c>
      <c r="R52" s="513">
        <f t="shared" si="2"/>
        <v>83000000</v>
      </c>
      <c r="S52" s="513">
        <f>IF(AND(AD52=1,R52&lt;&gt;".")=TRUE,R52/VLOOKUP(G52,'Exchange rates'!B:C,2,0),IF(R52=".",".",""))</f>
        <v>83000000</v>
      </c>
      <c r="T52" s="513" t="str">
        <f>IF(AD52=1,IF(AF52="Value is not given at all",".",IF(AF52="Value is given by the source",S52,IF(AF52="Value is calculated with prices",(IF(SUMIFS(Q:Q,A:A,A52)&gt;0,SUMIFS(Q:Q,A:A,A52),"."))/VLOOKUP("USD",'Exchange rates'!B:C,2,0),"Error with coding"))),"")</f>
        <v>.</v>
      </c>
      <c r="U52" s="39" t="s">
        <v>233</v>
      </c>
      <c r="V52" s="42" t="s">
        <v>381</v>
      </c>
      <c r="W52" s="42" t="s">
        <v>382</v>
      </c>
      <c r="X52" s="517" t="s">
        <v>232</v>
      </c>
      <c r="Y52" s="517" t="s">
        <v>232</v>
      </c>
      <c r="Z52" s="39">
        <v>0</v>
      </c>
      <c r="AA52" s="518">
        <v>0</v>
      </c>
      <c r="AB52" s="38" t="s">
        <v>232</v>
      </c>
      <c r="AC52" s="519" t="str">
        <f>""</f>
        <v/>
      </c>
      <c r="AD52" s="520">
        <v>1</v>
      </c>
      <c r="AE52" s="520" t="s">
        <v>236</v>
      </c>
      <c r="AF52" s="520" t="s">
        <v>237</v>
      </c>
      <c r="AG52" s="520">
        <v>1</v>
      </c>
      <c r="AH52" s="520">
        <v>4</v>
      </c>
      <c r="AI52" s="520">
        <v>0</v>
      </c>
      <c r="AJ52" s="520">
        <f>VLOOKUP($I52,'Price List, Weapons &amp; Items'!A:E,5,0)</f>
        <v>0</v>
      </c>
      <c r="AK52" s="520">
        <f t="shared" si="8"/>
        <v>0</v>
      </c>
      <c r="AL52" s="520">
        <f t="shared" si="9"/>
        <v>0</v>
      </c>
      <c r="AM52" s="520">
        <f t="shared" si="10"/>
        <v>0</v>
      </c>
      <c r="AN52" s="521" t="str">
        <f>VLOOKUP($I52,'Price List, Weapons &amp; Items'!A:K,COLUMN('Price List, Weapons &amp; Items'!$I$1),0)</f>
        <v>.</v>
      </c>
      <c r="AO52" s="521" t="str">
        <f>IF(I52=".",".",VLOOKUP($I52,'Price List, Weapons &amp; Items'!A:I,3,0))</f>
        <v>.</v>
      </c>
      <c r="AP52" s="517" t="str">
        <f t="shared" ca="1" si="5"/>
        <v>.</v>
      </c>
      <c r="AQ52" s="521" t="str">
        <f>VLOOKUP($I52,'Price List, Weapons &amp; Items'!A:K,COLUMN('Price List, Weapons &amp; Items'!$K$1),0)</f>
        <v>no price, 0 count</v>
      </c>
      <c r="AS52" s="521">
        <f t="shared" si="11"/>
        <v>1</v>
      </c>
      <c r="AT52" s="521">
        <f t="shared" si="12"/>
        <v>0</v>
      </c>
      <c r="AU52" s="521">
        <f t="shared" si="13"/>
        <v>1</v>
      </c>
      <c r="AV52" s="521" t="str">
        <f t="shared" si="14"/>
        <v>.</v>
      </c>
    </row>
    <row r="53" spans="1:48" s="533" customFormat="1" ht="15" customHeight="1">
      <c r="A53" s="41" t="s">
        <v>383</v>
      </c>
      <c r="B53" s="41" t="s">
        <v>370</v>
      </c>
      <c r="C53" s="511">
        <v>44686</v>
      </c>
      <c r="D53" s="18" t="s">
        <v>228</v>
      </c>
      <c r="E53" s="18" t="s">
        <v>229</v>
      </c>
      <c r="F53" s="512" t="s">
        <v>384</v>
      </c>
      <c r="G53" s="39" t="s">
        <v>332</v>
      </c>
      <c r="H53" s="513">
        <v>29770000</v>
      </c>
      <c r="I53" s="41" t="s">
        <v>232</v>
      </c>
      <c r="J53" s="276" t="str">
        <f>VLOOKUP($I53,'Price List, Weapons &amp; Items'!A:B,2,0)</f>
        <v>.</v>
      </c>
      <c r="K53" s="276" t="str">
        <f>IF(I53=".",I53,VLOOKUP($I53,'Price List, Weapons &amp; Items'!A:C,3,0))</f>
        <v>.</v>
      </c>
      <c r="L53" s="514">
        <f>VLOOKUP(I53,'Price List, Weapons &amp; Items'!A:D,4,0)</f>
        <v>0</v>
      </c>
      <c r="M53" s="515" t="s">
        <v>232</v>
      </c>
      <c r="N53" s="515" t="s">
        <v>232</v>
      </c>
      <c r="O53" s="516" t="str">
        <f>VLOOKUP($I53,'Price List, Weapons &amp; Items'!A:F,6,0)</f>
        <v>.</v>
      </c>
      <c r="P53" s="513" t="str">
        <f t="shared" si="6"/>
        <v>.</v>
      </c>
      <c r="Q53" s="513" t="str">
        <f t="shared" si="7"/>
        <v>.</v>
      </c>
      <c r="R53" s="513">
        <f t="shared" si="2"/>
        <v>29770000</v>
      </c>
      <c r="S53" s="513">
        <f>IF(AND(AD53=1,R53&lt;&gt;".")=TRUE,R53/VLOOKUP(G53,'Exchange rates'!B:C,2,0),IF(R53=".",".",""))</f>
        <v>29770000</v>
      </c>
      <c r="T53" s="513" t="str">
        <f>IF(AD53=1,IF(AF53="Value is not given at all",".",IF(AF53="Value is given by the source",S53,IF(AF53="Value is calculated with prices",(IF(SUMIFS(Q:Q,A:A,A53)&gt;0,SUMIFS(Q:Q,A:A,A53),"."))/VLOOKUP("USD",'Exchange rates'!B:C,2,0),"Error with coding"))),"")</f>
        <v>.</v>
      </c>
      <c r="U53" s="39" t="s">
        <v>233</v>
      </c>
      <c r="V53" s="42" t="s">
        <v>385</v>
      </c>
      <c r="W53" s="42" t="s">
        <v>232</v>
      </c>
      <c r="X53" s="517" t="s">
        <v>232</v>
      </c>
      <c r="Y53" s="517" t="s">
        <v>232</v>
      </c>
      <c r="Z53" s="39">
        <v>0</v>
      </c>
      <c r="AA53" s="518">
        <v>0</v>
      </c>
      <c r="AB53" s="38" t="s">
        <v>232</v>
      </c>
      <c r="AC53" s="519" t="str">
        <f>""</f>
        <v/>
      </c>
      <c r="AD53" s="520">
        <v>1</v>
      </c>
      <c r="AE53" s="520" t="s">
        <v>236</v>
      </c>
      <c r="AF53" s="520" t="s">
        <v>237</v>
      </c>
      <c r="AG53" s="520">
        <v>1</v>
      </c>
      <c r="AH53" s="520">
        <v>5</v>
      </c>
      <c r="AI53" s="520">
        <v>0</v>
      </c>
      <c r="AJ53" s="520">
        <f>VLOOKUP($I53,'Price List, Weapons &amp; Items'!A:E,5,0)</f>
        <v>0</v>
      </c>
      <c r="AK53" s="520">
        <f t="shared" si="8"/>
        <v>0</v>
      </c>
      <c r="AL53" s="520">
        <f t="shared" si="9"/>
        <v>0</v>
      </c>
      <c r="AM53" s="520">
        <f t="shared" si="10"/>
        <v>0</v>
      </c>
      <c r="AN53" s="521" t="str">
        <f>VLOOKUP($I53,'Price List, Weapons &amp; Items'!A:K,COLUMN('Price List, Weapons &amp; Items'!$I$1),0)</f>
        <v>.</v>
      </c>
      <c r="AO53" s="521" t="str">
        <f>IF(I53=".",".",VLOOKUP($I53,'Price List, Weapons &amp; Items'!A:I,3,0))</f>
        <v>.</v>
      </c>
      <c r="AP53" s="517" t="str">
        <f t="shared" ca="1" si="5"/>
        <v>.</v>
      </c>
      <c r="AQ53" s="521" t="str">
        <f>VLOOKUP($I53,'Price List, Weapons &amp; Items'!A:K,COLUMN('Price List, Weapons &amp; Items'!$K$1),0)</f>
        <v>no price, 0 count</v>
      </c>
      <c r="AS53" s="521">
        <f t="shared" si="11"/>
        <v>1</v>
      </c>
      <c r="AT53" s="521">
        <f t="shared" si="12"/>
        <v>0</v>
      </c>
      <c r="AU53" s="521">
        <f t="shared" si="13"/>
        <v>1</v>
      </c>
      <c r="AV53" s="521" t="str">
        <f t="shared" si="14"/>
        <v>.</v>
      </c>
    </row>
    <row r="54" spans="1:48" s="533" customFormat="1" ht="15" customHeight="1">
      <c r="A54" s="41" t="s">
        <v>386</v>
      </c>
      <c r="B54" s="41" t="s">
        <v>370</v>
      </c>
      <c r="C54" s="511">
        <v>44757</v>
      </c>
      <c r="D54" s="18" t="s">
        <v>228</v>
      </c>
      <c r="E54" s="18" t="s">
        <v>239</v>
      </c>
      <c r="F54" s="512" t="s">
        <v>387</v>
      </c>
      <c r="G54" s="39" t="s">
        <v>332</v>
      </c>
      <c r="H54" s="513">
        <v>800000</v>
      </c>
      <c r="I54" s="41" t="s">
        <v>232</v>
      </c>
      <c r="J54" s="276" t="str">
        <f>VLOOKUP($I54,'Price List, Weapons &amp; Items'!A:B,2,0)</f>
        <v>.</v>
      </c>
      <c r="K54" s="276" t="str">
        <f>IF(I54=".",I54,VLOOKUP($I54,'Price List, Weapons &amp; Items'!A:C,3,0))</f>
        <v>.</v>
      </c>
      <c r="L54" s="514">
        <f>VLOOKUP(I54,'Price List, Weapons &amp; Items'!A:D,4,0)</f>
        <v>0</v>
      </c>
      <c r="M54" s="515" t="s">
        <v>232</v>
      </c>
      <c r="N54" s="515" t="s">
        <v>232</v>
      </c>
      <c r="O54" s="516" t="str">
        <f>VLOOKUP($I54,'Price List, Weapons &amp; Items'!A:F,6,0)</f>
        <v>.</v>
      </c>
      <c r="P54" s="513" t="str">
        <f t="shared" si="6"/>
        <v>.</v>
      </c>
      <c r="Q54" s="513" t="str">
        <f t="shared" si="7"/>
        <v>.</v>
      </c>
      <c r="R54" s="513">
        <f t="shared" si="2"/>
        <v>800000</v>
      </c>
      <c r="S54" s="513">
        <f>IF(AND(AD54=1,R54&lt;&gt;".")=TRUE,R54/VLOOKUP(G54,'Exchange rates'!B:C,2,0),IF(R54=".",".",""))</f>
        <v>800000</v>
      </c>
      <c r="T54" s="513" t="str">
        <f>IF(AD54=1,IF(AF54="Value is not given at all",".",IF(AF54="Value is given by the source",S54,IF(AF54="Value is calculated with prices",(IF(SUMIFS(Q:Q,A:A,A54)&gt;0,SUMIFS(Q:Q,A:A,A54),"."))/VLOOKUP("USD",'Exchange rates'!B:C,2,0),"Error with coding"))),"")</f>
        <v>.</v>
      </c>
      <c r="U54" s="39" t="s">
        <v>372</v>
      </c>
      <c r="V54" s="42" t="s">
        <v>388</v>
      </c>
      <c r="W54" s="42" t="s">
        <v>232</v>
      </c>
      <c r="X54" s="517" t="s">
        <v>232</v>
      </c>
      <c r="Y54" s="517" t="s">
        <v>232</v>
      </c>
      <c r="Z54" s="39">
        <v>0</v>
      </c>
      <c r="AA54" s="518">
        <v>0</v>
      </c>
      <c r="AB54" s="38" t="s">
        <v>232</v>
      </c>
      <c r="AC54" s="519" t="str">
        <f>""</f>
        <v/>
      </c>
      <c r="AD54" s="520">
        <v>1</v>
      </c>
      <c r="AE54" s="520" t="s">
        <v>236</v>
      </c>
      <c r="AF54" s="520" t="s">
        <v>237</v>
      </c>
      <c r="AG54" s="520">
        <v>1</v>
      </c>
      <c r="AH54" s="520">
        <v>7</v>
      </c>
      <c r="AI54" s="520">
        <v>0</v>
      </c>
      <c r="AJ54" s="520">
        <f>VLOOKUP($I54,'Price List, Weapons &amp; Items'!A:E,5,0)</f>
        <v>0</v>
      </c>
      <c r="AK54" s="520">
        <f t="shared" si="8"/>
        <v>0</v>
      </c>
      <c r="AL54" s="520">
        <f t="shared" si="9"/>
        <v>0</v>
      </c>
      <c r="AM54" s="520">
        <f t="shared" si="10"/>
        <v>0</v>
      </c>
      <c r="AN54" s="521" t="str">
        <f>VLOOKUP($I54,'Price List, Weapons &amp; Items'!A:K,COLUMN('Price List, Weapons &amp; Items'!$I$1),0)</f>
        <v>.</v>
      </c>
      <c r="AO54" s="521" t="str">
        <f>IF(I54=".",".",VLOOKUP($I54,'Price List, Weapons &amp; Items'!A:I,3,0))</f>
        <v>.</v>
      </c>
      <c r="AP54" s="517" t="str">
        <f t="shared" ca="1" si="5"/>
        <v>.</v>
      </c>
      <c r="AQ54" s="521" t="str">
        <f>VLOOKUP($I54,'Price List, Weapons &amp; Items'!A:K,COLUMN('Price List, Weapons &amp; Items'!$K$1),0)</f>
        <v>no price, 0 count</v>
      </c>
      <c r="AS54" s="521">
        <f t="shared" si="11"/>
        <v>0</v>
      </c>
      <c r="AT54" s="521">
        <f t="shared" si="12"/>
        <v>0</v>
      </c>
      <c r="AU54" s="521">
        <f t="shared" si="13"/>
        <v>1</v>
      </c>
      <c r="AV54" s="521" t="str">
        <f t="shared" si="14"/>
        <v>.</v>
      </c>
    </row>
    <row r="55" spans="1:48" ht="15" customHeight="1">
      <c r="A55" s="18" t="s">
        <v>389</v>
      </c>
      <c r="B55" s="18" t="s">
        <v>370</v>
      </c>
      <c r="C55" s="511">
        <v>44618</v>
      </c>
      <c r="D55" s="18" t="s">
        <v>252</v>
      </c>
      <c r="E55" s="18" t="s">
        <v>253</v>
      </c>
      <c r="F55" s="512" t="s">
        <v>390</v>
      </c>
      <c r="G55" s="39" t="s">
        <v>332</v>
      </c>
      <c r="H55" s="513">
        <v>76000000</v>
      </c>
      <c r="I55" s="41" t="s">
        <v>391</v>
      </c>
      <c r="J55" s="276" t="str">
        <f>VLOOKUP($I55,'Price List, Weapons &amp; Items'!A:B,2,0)</f>
        <v>Light armaments &amp; infantry</v>
      </c>
      <c r="K55" s="276" t="str">
        <f>IF(I55=".",I55,VLOOKUP($I55,'Price List, Weapons &amp; Items'!A:C,3,0))</f>
        <v>Small Arms and Light Weapons (SALW)</v>
      </c>
      <c r="L55" s="514">
        <f>VLOOKUP(I55,'Price List, Weapons &amp; Items'!A:D,4,0)</f>
        <v>0</v>
      </c>
      <c r="M55" s="515">
        <v>2000</v>
      </c>
      <c r="N55" s="515">
        <v>2000</v>
      </c>
      <c r="O55" s="516">
        <f>VLOOKUP($I55,'Price List, Weapons &amp; Items'!A:F,6,0)</f>
        <v>3000</v>
      </c>
      <c r="P55" s="513">
        <f t="shared" si="6"/>
        <v>6000000</v>
      </c>
      <c r="Q55" s="513">
        <f t="shared" si="7"/>
        <v>6000000</v>
      </c>
      <c r="R55" s="513">
        <f t="shared" si="2"/>
        <v>76000000</v>
      </c>
      <c r="S55" s="513">
        <f>IF(AND(AD55=1,R55&lt;&gt;".")=TRUE,R55/VLOOKUP(G55,'Exchange rates'!B:C,2,0),IF(R55=".",".",""))</f>
        <v>76000000</v>
      </c>
      <c r="T55" s="513">
        <f>IF(AD55=1,IF(AF55="Value is not given at all",".",IF(AF55="Value is given by the source",S55,IF(AF55="Value is calculated with prices",(IF(SUMIFS(Q:Q,A:A,A55)&gt;0,SUMIFS(Q:Q,A:A,A55),"."))/VLOOKUP("USD",'Exchange rates'!B:C,2,0),"Error with coding"))),"")</f>
        <v>76000000</v>
      </c>
      <c r="U55" s="39" t="s">
        <v>233</v>
      </c>
      <c r="V55" s="376" t="s">
        <v>392</v>
      </c>
      <c r="W55" s="376" t="s">
        <v>393</v>
      </c>
      <c r="X55" s="376" t="s">
        <v>394</v>
      </c>
      <c r="Y55" s="530" t="s">
        <v>232</v>
      </c>
      <c r="Z55" s="39">
        <v>0</v>
      </c>
      <c r="AA55" s="518">
        <v>1</v>
      </c>
      <c r="AB55" s="394" t="s">
        <v>392</v>
      </c>
      <c r="AC55" s="519" t="str">
        <f>""</f>
        <v/>
      </c>
      <c r="AD55" s="520">
        <v>1</v>
      </c>
      <c r="AE55" s="520" t="s">
        <v>236</v>
      </c>
      <c r="AF55" s="520" t="s">
        <v>236</v>
      </c>
      <c r="AG55" s="520">
        <v>1</v>
      </c>
      <c r="AH55" s="520">
        <v>2</v>
      </c>
      <c r="AI55" s="520">
        <v>0</v>
      </c>
      <c r="AJ55" s="520">
        <f>VLOOKUP($I55,'Price List, Weapons &amp; Items'!A:E,5,0)</f>
        <v>0</v>
      </c>
      <c r="AK55" s="520">
        <f t="shared" si="8"/>
        <v>0</v>
      </c>
      <c r="AL55" s="520">
        <f t="shared" si="9"/>
        <v>0</v>
      </c>
      <c r="AM55" s="520">
        <f t="shared" si="10"/>
        <v>0</v>
      </c>
      <c r="AN55" s="521" t="str">
        <f>VLOOKUP($I55,'Price List, Weapons &amp; Items'!A:K,COLUMN('Price List, Weapons &amp; Items'!$I$1),0)</f>
        <v>Military media (incl. websites)</v>
      </c>
      <c r="AO55" s="521" t="str">
        <f>IF(I55=".",".",VLOOKUP($I55,'Price List, Weapons &amp; Items'!A:I,3,0))</f>
        <v>Small Arms and Light Weapons (SALW)</v>
      </c>
      <c r="AP55" s="517" t="str">
        <f t="shared" ca="1" si="5"/>
        <v>FNC-type automatic rifle; ton of fuel; FNC-type automatic rifle; M72 rocket launcher; .</v>
      </c>
      <c r="AQ55" s="521">
        <f>VLOOKUP($I55,'Price List, Weapons &amp; Items'!A:K,COLUMN('Price List, Weapons &amp; Items'!$K$1),0)</f>
        <v>2</v>
      </c>
      <c r="AS55" s="521">
        <f t="shared" si="11"/>
        <v>1</v>
      </c>
      <c r="AT55" s="521">
        <f t="shared" si="12"/>
        <v>1</v>
      </c>
      <c r="AU55" s="521">
        <f t="shared" si="13"/>
        <v>1</v>
      </c>
      <c r="AV55" s="521" t="str">
        <f t="shared" si="14"/>
        <v>.</v>
      </c>
    </row>
    <row r="56" spans="1:48" ht="15" customHeight="1">
      <c r="A56" s="18" t="s">
        <v>389</v>
      </c>
      <c r="B56" s="18" t="s">
        <v>370</v>
      </c>
      <c r="C56" s="511">
        <v>44618</v>
      </c>
      <c r="D56" s="18" t="s">
        <v>252</v>
      </c>
      <c r="E56" s="18" t="s">
        <v>253</v>
      </c>
      <c r="F56" s="512" t="s">
        <v>390</v>
      </c>
      <c r="G56" s="39" t="s">
        <v>332</v>
      </c>
      <c r="H56" s="513">
        <v>76000000</v>
      </c>
      <c r="I56" s="41" t="s">
        <v>395</v>
      </c>
      <c r="J56" s="276" t="str">
        <f>VLOOKUP($I56,'Price List, Weapons &amp; Items'!A:B,2,0)</f>
        <v>Military equipment</v>
      </c>
      <c r="K56" s="276" t="str">
        <f>IF(I56=".",I56,VLOOKUP($I56,'Price List, Weapons &amp; Items'!A:C,3,0))</f>
        <v>.</v>
      </c>
      <c r="L56" s="514">
        <f>VLOOKUP(I56,'Price List, Weapons &amp; Items'!A:D,4,0)</f>
        <v>0</v>
      </c>
      <c r="M56" s="515">
        <v>3800</v>
      </c>
      <c r="N56" s="515">
        <v>3800</v>
      </c>
      <c r="O56" s="516">
        <f>VLOOKUP($I56,'Price List, Weapons &amp; Items'!A:F,6,0)</f>
        <v>1612.5</v>
      </c>
      <c r="P56" s="513">
        <f t="shared" si="6"/>
        <v>6127500</v>
      </c>
      <c r="Q56" s="513">
        <f t="shared" si="7"/>
        <v>6127500</v>
      </c>
      <c r="R56" s="513" t="str">
        <f t="shared" si="2"/>
        <v/>
      </c>
      <c r="S56" s="513" t="str">
        <f>IF(AND(AD56=1,R56&lt;&gt;".")=TRUE,R56/VLOOKUP(G56,'Exchange rates'!B:C,2,0),IF(R56=".",".",""))</f>
        <v/>
      </c>
      <c r="T56" s="513" t="str">
        <f>IF(AD56=1,IF(AF56="Value is not given at all",".",IF(AF56="Value is given by the source",S56,IF(AF56="Value is calculated with prices",(IF(SUMIFS(Q:Q,A:A,A56)&gt;0,SUMIFS(Q:Q,A:A,A56),"."))/VLOOKUP("USD",'Exchange rates'!B:C,2,0),"Error with coding"))),"")</f>
        <v/>
      </c>
      <c r="U56" s="39" t="s">
        <v>233</v>
      </c>
      <c r="V56" s="376" t="s">
        <v>392</v>
      </c>
      <c r="W56" s="376" t="s">
        <v>393</v>
      </c>
      <c r="X56" s="376" t="s">
        <v>394</v>
      </c>
      <c r="Y56" s="530" t="s">
        <v>232</v>
      </c>
      <c r="Z56" s="39">
        <v>0</v>
      </c>
      <c r="AA56" s="518">
        <v>0</v>
      </c>
      <c r="AB56" s="394" t="s">
        <v>392</v>
      </c>
      <c r="AC56" s="519" t="str">
        <f>""</f>
        <v/>
      </c>
      <c r="AD56" s="520">
        <v>0</v>
      </c>
      <c r="AE56" s="520" t="s">
        <v>236</v>
      </c>
      <c r="AF56" s="520" t="s">
        <v>300</v>
      </c>
      <c r="AG56" s="520">
        <v>1</v>
      </c>
      <c r="AH56" s="520">
        <v>2</v>
      </c>
      <c r="AI56" s="520">
        <v>0</v>
      </c>
      <c r="AJ56" s="520">
        <f>VLOOKUP($I56,'Price List, Weapons &amp; Items'!A:E,5,0)</f>
        <v>0</v>
      </c>
      <c r="AK56" s="520">
        <f t="shared" si="8"/>
        <v>0</v>
      </c>
      <c r="AL56" s="520">
        <f t="shared" si="9"/>
        <v>0</v>
      </c>
      <c r="AM56" s="520">
        <f t="shared" si="10"/>
        <v>0</v>
      </c>
      <c r="AN56" s="521" t="str">
        <f>VLOOKUP($I56,'Price List, Weapons &amp; Items'!A:K,COLUMN('Price List, Weapons &amp; Items'!$I$1),0)</f>
        <v>Miscellaneous</v>
      </c>
      <c r="AO56" s="521" t="str">
        <f>IF(I56=".",".",VLOOKUP($I56,'Price List, Weapons &amp; Items'!A:I,3,0))</f>
        <v>.</v>
      </c>
      <c r="AP56" s="517" t="str">
        <f t="shared" ca="1" si="5"/>
        <v/>
      </c>
      <c r="AQ56" s="521">
        <f>VLOOKUP($I56,'Price List, Weapons &amp; Items'!A:K,COLUMN('Price List, Weapons &amp; Items'!$K$1),0)</f>
        <v>2</v>
      </c>
      <c r="AS56" s="521">
        <f t="shared" si="11"/>
        <v>1</v>
      </c>
      <c r="AT56" s="521">
        <f t="shared" si="12"/>
        <v>1</v>
      </c>
      <c r="AU56" s="521">
        <f t="shared" si="13"/>
        <v>1</v>
      </c>
      <c r="AV56" s="521" t="str">
        <f t="shared" si="14"/>
        <v>.</v>
      </c>
    </row>
    <row r="57" spans="1:48" ht="15" customHeight="1">
      <c r="A57" s="18" t="s">
        <v>389</v>
      </c>
      <c r="B57" s="18" t="s">
        <v>370</v>
      </c>
      <c r="C57" s="511">
        <v>44619</v>
      </c>
      <c r="D57" s="18" t="s">
        <v>252</v>
      </c>
      <c r="E57" s="18" t="s">
        <v>307</v>
      </c>
      <c r="F57" s="512" t="s">
        <v>396</v>
      </c>
      <c r="G57" s="39" t="s">
        <v>332</v>
      </c>
      <c r="H57" s="513">
        <v>76000000</v>
      </c>
      <c r="I57" s="41" t="s">
        <v>391</v>
      </c>
      <c r="J57" s="276" t="str">
        <f>VLOOKUP($I57,'Price List, Weapons &amp; Items'!A:B,2,0)</f>
        <v>Light armaments &amp; infantry</v>
      </c>
      <c r="K57" s="276" t="str">
        <f>IF(I57=".",I57,VLOOKUP($I57,'Price List, Weapons &amp; Items'!A:C,3,0))</f>
        <v>Small Arms and Light Weapons (SALW)</v>
      </c>
      <c r="L57" s="514">
        <f>VLOOKUP(I57,'Price List, Weapons &amp; Items'!A:D,4,0)</f>
        <v>0</v>
      </c>
      <c r="M57" s="515">
        <v>3000</v>
      </c>
      <c r="N57" s="515">
        <v>3000</v>
      </c>
      <c r="O57" s="516">
        <f>VLOOKUP($I57,'Price List, Weapons &amp; Items'!A:F,6,0)</f>
        <v>3000</v>
      </c>
      <c r="P57" s="513">
        <f t="shared" si="6"/>
        <v>9000000</v>
      </c>
      <c r="Q57" s="513">
        <f t="shared" si="7"/>
        <v>9000000</v>
      </c>
      <c r="R57" s="513" t="str">
        <f t="shared" si="2"/>
        <v/>
      </c>
      <c r="S57" s="513" t="str">
        <f>IF(AND(AD57=1,R57&lt;&gt;".")=TRUE,R57/VLOOKUP(G57,'Exchange rates'!B:C,2,0),IF(R57=".",".",""))</f>
        <v/>
      </c>
      <c r="T57" s="513" t="str">
        <f>IF(AD57=1,IF(AF57="Value is not given at all",".",IF(AF57="Value is given by the source",S57,IF(AF57="Value is calculated with prices",(IF(SUMIFS(Q:Q,A:A,A57)&gt;0,SUMIFS(Q:Q,A:A,A57),"."))/VLOOKUP("USD",'Exchange rates'!B:C,2,0),"Error with coding"))),"")</f>
        <v/>
      </c>
      <c r="U57" s="39" t="s">
        <v>233</v>
      </c>
      <c r="V57" s="376" t="s">
        <v>392</v>
      </c>
      <c r="W57" s="376" t="s">
        <v>397</v>
      </c>
      <c r="X57" s="376" t="s">
        <v>394</v>
      </c>
      <c r="Y57" s="530" t="s">
        <v>232</v>
      </c>
      <c r="Z57" s="39">
        <v>0</v>
      </c>
      <c r="AA57" s="518">
        <v>0</v>
      </c>
      <c r="AB57" s="394" t="s">
        <v>392</v>
      </c>
      <c r="AC57" s="519" t="str">
        <f>""</f>
        <v/>
      </c>
      <c r="AD57" s="520">
        <v>0</v>
      </c>
      <c r="AE57" s="520" t="s">
        <v>236</v>
      </c>
      <c r="AF57" s="520" t="s">
        <v>300</v>
      </c>
      <c r="AG57" s="520">
        <v>1</v>
      </c>
      <c r="AH57" s="520">
        <v>2</v>
      </c>
      <c r="AI57" s="520">
        <v>0</v>
      </c>
      <c r="AJ57" s="520">
        <f>VLOOKUP($I57,'Price List, Weapons &amp; Items'!A:E,5,0)</f>
        <v>0</v>
      </c>
      <c r="AK57" s="520">
        <f t="shared" si="8"/>
        <v>0</v>
      </c>
      <c r="AL57" s="520">
        <f t="shared" si="9"/>
        <v>0</v>
      </c>
      <c r="AM57" s="520">
        <f t="shared" si="10"/>
        <v>0</v>
      </c>
      <c r="AN57" s="521" t="str">
        <f>VLOOKUP($I57,'Price List, Weapons &amp; Items'!A:K,COLUMN('Price List, Weapons &amp; Items'!$I$1),0)</f>
        <v>Military media (incl. websites)</v>
      </c>
      <c r="AO57" s="521" t="str">
        <f>IF(I57=".",".",VLOOKUP($I57,'Price List, Weapons &amp; Items'!A:I,3,0))</f>
        <v>Small Arms and Light Weapons (SALW)</v>
      </c>
      <c r="AP57" s="517" t="str">
        <f t="shared" ca="1" si="5"/>
        <v/>
      </c>
      <c r="AQ57" s="521">
        <f>VLOOKUP($I57,'Price List, Weapons &amp; Items'!A:K,COLUMN('Price List, Weapons &amp; Items'!$K$1),0)</f>
        <v>2</v>
      </c>
      <c r="AS57" s="521">
        <f t="shared" si="11"/>
        <v>1</v>
      </c>
      <c r="AT57" s="521">
        <f t="shared" si="12"/>
        <v>1</v>
      </c>
      <c r="AU57" s="521">
        <f t="shared" si="13"/>
        <v>1</v>
      </c>
      <c r="AV57" s="521" t="str">
        <f t="shared" si="14"/>
        <v>.</v>
      </c>
    </row>
    <row r="58" spans="1:48" ht="15" customHeight="1">
      <c r="A58" s="18" t="s">
        <v>389</v>
      </c>
      <c r="B58" s="18" t="s">
        <v>370</v>
      </c>
      <c r="C58" s="511">
        <v>44619</v>
      </c>
      <c r="D58" s="18" t="s">
        <v>252</v>
      </c>
      <c r="E58" s="18" t="s">
        <v>307</v>
      </c>
      <c r="F58" s="512" t="s">
        <v>396</v>
      </c>
      <c r="G58" s="39" t="s">
        <v>332</v>
      </c>
      <c r="H58" s="513">
        <v>76000000</v>
      </c>
      <c r="I58" s="41" t="s">
        <v>398</v>
      </c>
      <c r="J58" s="276" t="str">
        <f>VLOOKUP($I58,'Price List, Weapons &amp; Items'!A:B,2,0)</f>
        <v>Portable defence system</v>
      </c>
      <c r="K58" s="276" t="str">
        <f>IF(I58=".",I58,VLOOKUP($I58,'Price List, Weapons &amp; Items'!A:C,3,0))</f>
        <v>Light Anti-armor Weapon (LAW)</v>
      </c>
      <c r="L58" s="514">
        <f>VLOOKUP(I58,'Price List, Weapons &amp; Items'!A:D,4,0)</f>
        <v>0</v>
      </c>
      <c r="M58" s="515">
        <v>200</v>
      </c>
      <c r="N58" s="515">
        <v>200</v>
      </c>
      <c r="O58" s="516">
        <f>VLOOKUP($I58,'Price List, Weapons &amp; Items'!A:F,6,0)</f>
        <v>1475</v>
      </c>
      <c r="P58" s="513">
        <f t="shared" si="6"/>
        <v>295000</v>
      </c>
      <c r="Q58" s="513">
        <f t="shared" si="7"/>
        <v>295000</v>
      </c>
      <c r="R58" s="513" t="str">
        <f t="shared" si="2"/>
        <v/>
      </c>
      <c r="S58" s="513" t="str">
        <f>IF(AND(AD58=1,R58&lt;&gt;".")=TRUE,R58/VLOOKUP(G58,'Exchange rates'!B:C,2,0),IF(R58=".",".",""))</f>
        <v/>
      </c>
      <c r="T58" s="513" t="str">
        <f>IF(AD58=1,IF(AF58="Value is not given at all",".",IF(AF58="Value is given by the source",S58,IF(AF58="Value is calculated with prices",(IF(SUMIFS(Q:Q,A:A,A58)&gt;0,SUMIFS(Q:Q,A:A,A58),"."))/VLOOKUP("USD",'Exchange rates'!B:C,2,0),"Error with coding"))),"")</f>
        <v/>
      </c>
      <c r="U58" s="39" t="s">
        <v>233</v>
      </c>
      <c r="V58" s="376" t="s">
        <v>392</v>
      </c>
      <c r="W58" s="376" t="s">
        <v>397</v>
      </c>
      <c r="X58" s="376" t="s">
        <v>394</v>
      </c>
      <c r="Y58" s="530" t="s">
        <v>232</v>
      </c>
      <c r="Z58" s="39">
        <v>0</v>
      </c>
      <c r="AA58" s="518">
        <v>0</v>
      </c>
      <c r="AB58" s="394" t="s">
        <v>392</v>
      </c>
      <c r="AC58" s="519" t="str">
        <f>""</f>
        <v/>
      </c>
      <c r="AD58" s="520">
        <v>0</v>
      </c>
      <c r="AE58" s="520" t="s">
        <v>236</v>
      </c>
      <c r="AF58" s="520" t="s">
        <v>300</v>
      </c>
      <c r="AG58" s="520">
        <v>1</v>
      </c>
      <c r="AH58" s="520">
        <v>2</v>
      </c>
      <c r="AI58" s="520">
        <v>0</v>
      </c>
      <c r="AJ58" s="520">
        <f>VLOOKUP($I58,'Price List, Weapons &amp; Items'!A:E,5,0)</f>
        <v>0</v>
      </c>
      <c r="AK58" s="520">
        <f t="shared" si="8"/>
        <v>0</v>
      </c>
      <c r="AL58" s="520">
        <f t="shared" si="9"/>
        <v>0</v>
      </c>
      <c r="AM58" s="520">
        <f t="shared" si="10"/>
        <v>0</v>
      </c>
      <c r="AN58" s="521" t="str">
        <f>VLOOKUP($I58,'Price List, Weapons &amp; Items'!A:K,COLUMN('Price List, Weapons &amp; Items'!$I$1),0)</f>
        <v>Military media (incl. websites)</v>
      </c>
      <c r="AO58" s="521" t="str">
        <f>IF(I58=".",".",VLOOKUP($I58,'Price List, Weapons &amp; Items'!A:I,3,0))</f>
        <v>Light Anti-armor Weapon (LAW)</v>
      </c>
      <c r="AP58" s="517" t="str">
        <f t="shared" ca="1" si="5"/>
        <v/>
      </c>
      <c r="AQ58" s="521">
        <f>VLOOKUP($I58,'Price List, Weapons &amp; Items'!A:K,COLUMN('Price List, Weapons &amp; Items'!$K$1),0)</f>
        <v>2</v>
      </c>
      <c r="AS58" s="521">
        <f t="shared" si="11"/>
        <v>1</v>
      </c>
      <c r="AT58" s="521">
        <f t="shared" si="12"/>
        <v>1</v>
      </c>
      <c r="AU58" s="521">
        <f t="shared" si="13"/>
        <v>1</v>
      </c>
      <c r="AV58" s="521" t="str">
        <f t="shared" si="14"/>
        <v>.</v>
      </c>
    </row>
    <row r="59" spans="1:48" ht="15" customHeight="1">
      <c r="A59" s="18" t="s">
        <v>389</v>
      </c>
      <c r="B59" s="18" t="s">
        <v>370</v>
      </c>
      <c r="C59" s="511">
        <v>44638</v>
      </c>
      <c r="D59" s="18" t="s">
        <v>252</v>
      </c>
      <c r="E59" s="18" t="s">
        <v>307</v>
      </c>
      <c r="F59" s="512" t="s">
        <v>399</v>
      </c>
      <c r="G59" s="39" t="s">
        <v>332</v>
      </c>
      <c r="H59" s="513">
        <v>76000000</v>
      </c>
      <c r="I59" s="41" t="s">
        <v>232</v>
      </c>
      <c r="J59" s="276" t="str">
        <f>VLOOKUP($I59,'Price List, Weapons &amp; Items'!A:B,2,0)</f>
        <v>.</v>
      </c>
      <c r="K59" s="276" t="str">
        <f>IF(I59=".",I59,VLOOKUP($I59,'Price List, Weapons &amp; Items'!A:C,3,0))</f>
        <v>.</v>
      </c>
      <c r="L59" s="514">
        <f>VLOOKUP(I59,'Price List, Weapons &amp; Items'!A:D,4,0)</f>
        <v>0</v>
      </c>
      <c r="M59" s="515" t="s">
        <v>232</v>
      </c>
      <c r="N59" s="515" t="s">
        <v>232</v>
      </c>
      <c r="O59" s="516" t="str">
        <f>VLOOKUP($I59,'Price List, Weapons &amp; Items'!A:F,6,0)</f>
        <v>.</v>
      </c>
      <c r="P59" s="513" t="str">
        <f t="shared" si="6"/>
        <v>.</v>
      </c>
      <c r="Q59" s="513" t="str">
        <f t="shared" si="7"/>
        <v>.</v>
      </c>
      <c r="R59" s="513" t="str">
        <f t="shared" si="2"/>
        <v/>
      </c>
      <c r="S59" s="513" t="str">
        <f>IF(AND(AD59=1,R59&lt;&gt;".")=TRUE,R59/VLOOKUP(G59,'Exchange rates'!B:C,2,0),IF(R59=".",".",""))</f>
        <v/>
      </c>
      <c r="T59" s="513" t="str">
        <f>IF(AD59=1,IF(AF59="Value is not given at all",".",IF(AF59="Value is given by the source",S59,IF(AF59="Value is calculated with prices",(IF(SUMIFS(Q:Q,A:A,A59)&gt;0,SUMIFS(Q:Q,A:A,A59),"."))/VLOOKUP("USD",'Exchange rates'!B:C,2,0),"Error with coding"))),"")</f>
        <v/>
      </c>
      <c r="U59" s="39" t="s">
        <v>372</v>
      </c>
      <c r="V59" s="376" t="s">
        <v>392</v>
      </c>
      <c r="W59" s="42" t="s">
        <v>400</v>
      </c>
      <c r="X59" s="42" t="s">
        <v>401</v>
      </c>
      <c r="Y59" s="517" t="s">
        <v>232</v>
      </c>
      <c r="Z59" s="39">
        <v>0</v>
      </c>
      <c r="AA59" s="518">
        <v>0</v>
      </c>
      <c r="AB59" s="394" t="s">
        <v>392</v>
      </c>
      <c r="AC59" s="519" t="str">
        <f>""</f>
        <v/>
      </c>
      <c r="AD59" s="520">
        <v>0</v>
      </c>
      <c r="AE59" s="520" t="s">
        <v>236</v>
      </c>
      <c r="AF59" s="520" t="s">
        <v>300</v>
      </c>
      <c r="AG59" s="520">
        <v>1</v>
      </c>
      <c r="AH59" s="520">
        <v>3</v>
      </c>
      <c r="AI59" s="520">
        <v>0</v>
      </c>
      <c r="AJ59" s="520">
        <f>VLOOKUP($I59,'Price List, Weapons &amp; Items'!A:E,5,0)</f>
        <v>0</v>
      </c>
      <c r="AK59" s="520">
        <f t="shared" si="8"/>
        <v>0</v>
      </c>
      <c r="AL59" s="520">
        <f t="shared" si="9"/>
        <v>0</v>
      </c>
      <c r="AM59" s="520">
        <f t="shared" si="10"/>
        <v>0</v>
      </c>
      <c r="AN59" s="521" t="str">
        <f>VLOOKUP($I59,'Price List, Weapons &amp; Items'!A:K,COLUMN('Price List, Weapons &amp; Items'!$I$1),0)</f>
        <v>.</v>
      </c>
      <c r="AO59" s="521" t="str">
        <f>IF(I59=".",".",VLOOKUP($I59,'Price List, Weapons &amp; Items'!A:I,3,0))</f>
        <v>.</v>
      </c>
      <c r="AP59" s="517" t="str">
        <f t="shared" ca="1" si="5"/>
        <v/>
      </c>
      <c r="AQ59" s="521" t="str">
        <f>VLOOKUP($I59,'Price List, Weapons &amp; Items'!A:K,COLUMN('Price List, Weapons &amp; Items'!$K$1),0)</f>
        <v>no price, 0 count</v>
      </c>
      <c r="AS59" s="521">
        <f t="shared" si="11"/>
        <v>0</v>
      </c>
      <c r="AT59" s="521">
        <f t="shared" si="12"/>
        <v>1</v>
      </c>
      <c r="AU59" s="521">
        <f t="shared" si="13"/>
        <v>1</v>
      </c>
      <c r="AV59" s="521" t="str">
        <f t="shared" si="14"/>
        <v>.</v>
      </c>
    </row>
    <row r="60" spans="1:48" ht="15" customHeight="1">
      <c r="A60" s="18" t="s">
        <v>402</v>
      </c>
      <c r="B60" s="18" t="s">
        <v>370</v>
      </c>
      <c r="C60" s="550">
        <v>44798</v>
      </c>
      <c r="D60" s="46" t="s">
        <v>252</v>
      </c>
      <c r="E60" s="46" t="s">
        <v>261</v>
      </c>
      <c r="F60" s="46" t="s">
        <v>403</v>
      </c>
      <c r="G60" s="39" t="s">
        <v>332</v>
      </c>
      <c r="H60" s="513">
        <v>8000000</v>
      </c>
      <c r="I60" s="46" t="s">
        <v>404</v>
      </c>
      <c r="J60" s="276" t="str">
        <f>VLOOKUP($I60,'Price List, Weapons &amp; Items'!A:B,2,0)</f>
        <v>Military equipment</v>
      </c>
      <c r="K60" s="276" t="str">
        <f>IF(I60=".",I60,VLOOKUP($I60,'Price List, Weapons &amp; Items'!A:C,3,0))</f>
        <v>.</v>
      </c>
      <c r="L60" s="514">
        <f>VLOOKUP(I60,'Price List, Weapons &amp; Items'!A:D,4,0)</f>
        <v>0</v>
      </c>
      <c r="M60" s="515" t="s">
        <v>232</v>
      </c>
      <c r="N60" s="515" t="s">
        <v>232</v>
      </c>
      <c r="O60" s="516">
        <f>VLOOKUP($I60,'Price List, Weapons &amp; Items'!A:F,6,0)</f>
        <v>37.82</v>
      </c>
      <c r="P60" s="513" t="str">
        <f t="shared" si="6"/>
        <v>.</v>
      </c>
      <c r="Q60" s="513" t="str">
        <f t="shared" si="7"/>
        <v>.</v>
      </c>
      <c r="R60" s="513">
        <f t="shared" si="2"/>
        <v>8000000</v>
      </c>
      <c r="S60" s="513">
        <f>IF(AND(AD60=1,R60&lt;&gt;".")=TRUE,R60/VLOOKUP(G60,'Exchange rates'!B:C,2,0),IF(R60=".",".",""))</f>
        <v>8000000</v>
      </c>
      <c r="T60" s="513" t="str">
        <f>IF(AD60=1,IF(AF60="Value is not given at all",".",IF(AF60="Value is given by the source",S60,IF(AF60="Value is calculated with prices",(IF(SUMIFS(Q:Q,A:A,A60)&gt;0,SUMIFS(Q:Q,A:A,A60),"."))/VLOOKUP("USD",'Exchange rates'!B:C,2,0),"Error with coding"))),"")</f>
        <v>.</v>
      </c>
      <c r="U60" s="39" t="s">
        <v>233</v>
      </c>
      <c r="V60" s="826" t="s">
        <v>405</v>
      </c>
      <c r="W60" s="826" t="s">
        <v>406</v>
      </c>
      <c r="X60" s="42" t="s">
        <v>407</v>
      </c>
      <c r="Y60" s="825" t="s">
        <v>408</v>
      </c>
      <c r="Z60" s="39">
        <v>0</v>
      </c>
      <c r="AA60" s="518">
        <v>0</v>
      </c>
      <c r="AB60" s="38" t="s">
        <v>232</v>
      </c>
      <c r="AC60" s="519" t="str">
        <f>""</f>
        <v/>
      </c>
      <c r="AD60" s="520">
        <v>1</v>
      </c>
      <c r="AE60" s="520" t="s">
        <v>236</v>
      </c>
      <c r="AF60" s="520" t="s">
        <v>237</v>
      </c>
      <c r="AG60" s="520">
        <v>1</v>
      </c>
      <c r="AH60" s="520">
        <v>8</v>
      </c>
      <c r="AI60" s="520">
        <v>0</v>
      </c>
      <c r="AJ60" s="520">
        <f>VLOOKUP($I60,'Price List, Weapons &amp; Items'!A:E,5,0)</f>
        <v>0</v>
      </c>
      <c r="AK60" s="520">
        <f t="shared" si="8"/>
        <v>0</v>
      </c>
      <c r="AL60" s="520">
        <f t="shared" si="9"/>
        <v>0</v>
      </c>
      <c r="AM60" s="520">
        <f t="shared" si="10"/>
        <v>0</v>
      </c>
      <c r="AN60" s="521" t="str">
        <f>VLOOKUP($I60,'Price List, Weapons &amp; Items'!A:K,COLUMN('Price List, Weapons &amp; Items'!$I$1),0)</f>
        <v>Online marketplaces and stores</v>
      </c>
      <c r="AO60" s="521" t="str">
        <f>IF(I60=".",".",VLOOKUP($I60,'Price List, Weapons &amp; Items'!A:I,3,0))</f>
        <v>.</v>
      </c>
      <c r="AP60" s="517" t="str">
        <f t="shared" ca="1" si="5"/>
        <v>First aid kit; winter clothing (general); Night-vision goggles; Medicines</v>
      </c>
      <c r="AQ60" s="521">
        <f>VLOOKUP($I60,'Price List, Weapons &amp; Items'!A:K,COLUMN('Price List, Weapons &amp; Items'!$K$1),0)</f>
        <v>2</v>
      </c>
      <c r="AS60" s="521">
        <f t="shared" si="11"/>
        <v>1</v>
      </c>
      <c r="AT60" s="521">
        <f t="shared" si="12"/>
        <v>1</v>
      </c>
      <c r="AU60" s="521">
        <f t="shared" si="13"/>
        <v>1</v>
      </c>
      <c r="AV60" s="521" t="str">
        <f t="shared" si="14"/>
        <v>.</v>
      </c>
    </row>
    <row r="61" spans="1:48" ht="15" customHeight="1">
      <c r="A61" s="18" t="s">
        <v>402</v>
      </c>
      <c r="B61" s="18" t="s">
        <v>370</v>
      </c>
      <c r="C61" s="550">
        <v>44798</v>
      </c>
      <c r="D61" s="46" t="s">
        <v>252</v>
      </c>
      <c r="E61" s="46" t="s">
        <v>261</v>
      </c>
      <c r="F61" s="46" t="s">
        <v>403</v>
      </c>
      <c r="G61" s="39" t="s">
        <v>332</v>
      </c>
      <c r="H61" s="513">
        <v>8000000</v>
      </c>
      <c r="I61" s="46" t="s">
        <v>409</v>
      </c>
      <c r="J61" s="276" t="str">
        <f>VLOOKUP($I61,'Price List, Weapons &amp; Items'!A:B,2,0)</f>
        <v>Military equipment</v>
      </c>
      <c r="K61" s="276" t="str">
        <f>IF(I61=".",I61,VLOOKUP($I61,'Price List, Weapons &amp; Items'!A:C,3,0))</f>
        <v>.</v>
      </c>
      <c r="L61" s="514">
        <f>VLOOKUP(I61,'Price List, Weapons &amp; Items'!A:D,4,0)</f>
        <v>0</v>
      </c>
      <c r="M61" s="515" t="s">
        <v>232</v>
      </c>
      <c r="N61" s="515" t="s">
        <v>232</v>
      </c>
      <c r="O61" s="516">
        <f>VLOOKUP($I61,'Price List, Weapons &amp; Items'!A:F,6,0)</f>
        <v>59.234999999999999</v>
      </c>
      <c r="P61" s="513" t="str">
        <f t="shared" si="6"/>
        <v>.</v>
      </c>
      <c r="Q61" s="513" t="str">
        <f t="shared" si="7"/>
        <v>.</v>
      </c>
      <c r="R61" s="513" t="str">
        <f t="shared" si="2"/>
        <v/>
      </c>
      <c r="S61" s="513" t="str">
        <f>IF(AND(AD61=1,R61&lt;&gt;".")=TRUE,R61/VLOOKUP(G61,'Exchange rates'!B:C,2,0),IF(R61=".",".",""))</f>
        <v/>
      </c>
      <c r="T61" s="513" t="str">
        <f>IF(AD61=1,IF(AF61="Value is not given at all",".",IF(AF61="Value is given by the source",S61,IF(AF61="Value is calculated with prices",(IF(SUMIFS(Q:Q,A:A,A61)&gt;0,SUMIFS(Q:Q,A:A,A61),"."))/VLOOKUP("USD",'Exchange rates'!B:C,2,0),"Error with coding"))),"")</f>
        <v/>
      </c>
      <c r="U61" s="39" t="s">
        <v>233</v>
      </c>
      <c r="V61" s="826" t="s">
        <v>405</v>
      </c>
      <c r="W61" s="551" t="s">
        <v>406</v>
      </c>
      <c r="X61" s="42" t="s">
        <v>407</v>
      </c>
      <c r="Y61" s="825" t="s">
        <v>408</v>
      </c>
      <c r="Z61" s="39">
        <v>0</v>
      </c>
      <c r="AA61" s="518">
        <v>0</v>
      </c>
      <c r="AB61" s="38" t="s">
        <v>232</v>
      </c>
      <c r="AC61" s="519" t="str">
        <f>""</f>
        <v/>
      </c>
      <c r="AD61" s="520">
        <v>0</v>
      </c>
      <c r="AE61" s="520" t="s">
        <v>236</v>
      </c>
      <c r="AF61" s="520" t="s">
        <v>237</v>
      </c>
      <c r="AG61" s="520">
        <v>1</v>
      </c>
      <c r="AH61" s="520">
        <v>8</v>
      </c>
      <c r="AI61" s="520">
        <v>0</v>
      </c>
      <c r="AJ61" s="520">
        <f>VLOOKUP($I61,'Price List, Weapons &amp; Items'!A:E,5,0)</f>
        <v>0</v>
      </c>
      <c r="AK61" s="520">
        <f t="shared" si="8"/>
        <v>0</v>
      </c>
      <c r="AL61" s="520">
        <f t="shared" si="9"/>
        <v>0</v>
      </c>
      <c r="AM61" s="520">
        <f t="shared" si="10"/>
        <v>0</v>
      </c>
      <c r="AN61" s="521" t="str">
        <f>VLOOKUP($I61,'Price List, Weapons &amp; Items'!A:K,COLUMN('Price List, Weapons &amp; Items'!$I$1),0)</f>
        <v>Government information</v>
      </c>
      <c r="AO61" s="521" t="str">
        <f>IF(I61=".",".",VLOOKUP($I61,'Price List, Weapons &amp; Items'!A:I,3,0))</f>
        <v>.</v>
      </c>
      <c r="AP61" s="517" t="str">
        <f t="shared" ca="1" si="5"/>
        <v/>
      </c>
      <c r="AQ61" s="521">
        <f>VLOOKUP($I61,'Price List, Weapons &amp; Items'!A:K,COLUMN('Price List, Weapons &amp; Items'!$K$1),0)</f>
        <v>2</v>
      </c>
      <c r="AS61" s="521">
        <f t="shared" si="11"/>
        <v>1</v>
      </c>
      <c r="AT61" s="521">
        <f t="shared" si="12"/>
        <v>1</v>
      </c>
      <c r="AU61" s="521">
        <f t="shared" si="13"/>
        <v>1</v>
      </c>
      <c r="AV61" s="521" t="str">
        <f t="shared" si="14"/>
        <v>.</v>
      </c>
    </row>
    <row r="62" spans="1:48" ht="15" customHeight="1">
      <c r="A62" s="18" t="s">
        <v>402</v>
      </c>
      <c r="B62" s="18" t="s">
        <v>370</v>
      </c>
      <c r="C62" s="550">
        <v>44798</v>
      </c>
      <c r="D62" s="46" t="s">
        <v>252</v>
      </c>
      <c r="E62" s="46" t="s">
        <v>261</v>
      </c>
      <c r="F62" s="46" t="s">
        <v>403</v>
      </c>
      <c r="G62" s="39" t="s">
        <v>332</v>
      </c>
      <c r="H62" s="513">
        <v>8000000</v>
      </c>
      <c r="I62" s="46" t="s">
        <v>410</v>
      </c>
      <c r="J62" s="276" t="str">
        <f>VLOOKUP($I62,'Price List, Weapons &amp; Items'!A:B,2,0)</f>
        <v>Military equipment</v>
      </c>
      <c r="K62" s="276" t="str">
        <f>IF(I62=".",I62,VLOOKUP($I62,'Price List, Weapons &amp; Items'!A:C,3,0))</f>
        <v>.</v>
      </c>
      <c r="L62" s="514">
        <f>VLOOKUP(I62,'Price List, Weapons &amp; Items'!A:D,4,0)</f>
        <v>0</v>
      </c>
      <c r="M62" s="515" t="s">
        <v>232</v>
      </c>
      <c r="N62" s="515" t="s">
        <v>232</v>
      </c>
      <c r="O62" s="516">
        <f>VLOOKUP($I62,'Price List, Weapons &amp; Items'!A:F,6,0)</f>
        <v>2320</v>
      </c>
      <c r="P62" s="513" t="str">
        <f t="shared" si="6"/>
        <v>.</v>
      </c>
      <c r="Q62" s="513" t="str">
        <f t="shared" si="7"/>
        <v>.</v>
      </c>
      <c r="R62" s="513" t="str">
        <f t="shared" si="2"/>
        <v/>
      </c>
      <c r="S62" s="513" t="str">
        <f>IF(AND(AD62=1,R62&lt;&gt;".")=TRUE,R62/VLOOKUP(G62,'Exchange rates'!B:C,2,0),IF(R62=".",".",""))</f>
        <v/>
      </c>
      <c r="T62" s="513" t="str">
        <f>IF(AD62=1,IF(AF62="Value is not given at all",".",IF(AF62="Value is given by the source",S62,IF(AF62="Value is calculated with prices",(IF(SUMIFS(Q:Q,A:A,A62)&gt;0,SUMIFS(Q:Q,A:A,A62),"."))/VLOOKUP("USD",'Exchange rates'!B:C,2,0),"Error with coding"))),"")</f>
        <v/>
      </c>
      <c r="U62" s="39" t="s">
        <v>233</v>
      </c>
      <c r="V62" s="826" t="s">
        <v>405</v>
      </c>
      <c r="W62" s="551" t="s">
        <v>406</v>
      </c>
      <c r="X62" s="42" t="s">
        <v>407</v>
      </c>
      <c r="Y62" s="825" t="s">
        <v>408</v>
      </c>
      <c r="Z62" s="39">
        <v>0</v>
      </c>
      <c r="AA62" s="518">
        <v>0</v>
      </c>
      <c r="AB62" s="38" t="s">
        <v>232</v>
      </c>
      <c r="AC62" s="519" t="str">
        <f>""</f>
        <v/>
      </c>
      <c r="AD62" s="520">
        <v>0</v>
      </c>
      <c r="AE62" s="520" t="s">
        <v>236</v>
      </c>
      <c r="AF62" s="520" t="s">
        <v>237</v>
      </c>
      <c r="AG62" s="520">
        <v>1</v>
      </c>
      <c r="AH62" s="520">
        <v>8</v>
      </c>
      <c r="AI62" s="520">
        <v>0</v>
      </c>
      <c r="AJ62" s="520">
        <f>VLOOKUP($I62,'Price List, Weapons &amp; Items'!A:E,5,0)</f>
        <v>0</v>
      </c>
      <c r="AK62" s="520">
        <f t="shared" si="8"/>
        <v>0</v>
      </c>
      <c r="AL62" s="520">
        <f t="shared" si="9"/>
        <v>0</v>
      </c>
      <c r="AM62" s="520">
        <f t="shared" si="10"/>
        <v>0</v>
      </c>
      <c r="AN62" s="521" t="str">
        <f>VLOOKUP($I62,'Price List, Weapons &amp; Items'!A:K,COLUMN('Price List, Weapons &amp; Items'!$I$1),0)</f>
        <v>Media reports (incl. social media)</v>
      </c>
      <c r="AO62" s="521" t="str">
        <f>IF(I62=".",".",VLOOKUP($I62,'Price List, Weapons &amp; Items'!A:I,3,0))</f>
        <v>.</v>
      </c>
      <c r="AP62" s="517" t="str">
        <f t="shared" ca="1" si="5"/>
        <v/>
      </c>
      <c r="AQ62" s="521">
        <f>VLOOKUP($I62,'Price List, Weapons &amp; Items'!A:K,COLUMN('Price List, Weapons &amp; Items'!$K$1),0)</f>
        <v>1</v>
      </c>
      <c r="AS62" s="521">
        <f t="shared" si="11"/>
        <v>1</v>
      </c>
      <c r="AT62" s="521">
        <f t="shared" si="12"/>
        <v>1</v>
      </c>
      <c r="AU62" s="521">
        <f t="shared" si="13"/>
        <v>1</v>
      </c>
      <c r="AV62" s="521" t="str">
        <f t="shared" si="14"/>
        <v>.</v>
      </c>
    </row>
    <row r="63" spans="1:48" ht="15" customHeight="1">
      <c r="A63" s="18" t="s">
        <v>402</v>
      </c>
      <c r="B63" s="18" t="s">
        <v>370</v>
      </c>
      <c r="C63" s="550">
        <v>44798</v>
      </c>
      <c r="D63" s="46" t="s">
        <v>252</v>
      </c>
      <c r="E63" s="46" t="s">
        <v>261</v>
      </c>
      <c r="F63" s="46" t="s">
        <v>403</v>
      </c>
      <c r="G63" s="39" t="s">
        <v>332</v>
      </c>
      <c r="H63" s="513">
        <v>8000000</v>
      </c>
      <c r="I63" s="46" t="s">
        <v>411</v>
      </c>
      <c r="J63" s="276" t="str">
        <f>VLOOKUP($I63,'Price List, Weapons &amp; Items'!A:B,2,0)</f>
        <v>Humanitarian</v>
      </c>
      <c r="K63" s="276" t="str">
        <f>IF(I63=".",I63,VLOOKUP($I63,'Price List, Weapons &amp; Items'!A:C,3,0))</f>
        <v>.</v>
      </c>
      <c r="L63" s="514">
        <f>VLOOKUP(I63,'Price List, Weapons &amp; Items'!A:D,4,0)</f>
        <v>0</v>
      </c>
      <c r="M63" s="515" t="s">
        <v>232</v>
      </c>
      <c r="N63" s="515" t="s">
        <v>232</v>
      </c>
      <c r="O63" s="516" t="str">
        <f>VLOOKUP($I63,'Price List, Weapons &amp; Items'!A:F,6,0)</f>
        <v>.</v>
      </c>
      <c r="P63" s="513" t="str">
        <f t="shared" si="6"/>
        <v>.</v>
      </c>
      <c r="Q63" s="513" t="str">
        <f t="shared" si="7"/>
        <v>.</v>
      </c>
      <c r="R63" s="513" t="str">
        <f t="shared" si="2"/>
        <v/>
      </c>
      <c r="S63" s="513" t="str">
        <f>IF(AND(AD63=1,R63&lt;&gt;".")=TRUE,R63/VLOOKUP(G63,'Exchange rates'!B:C,2,0),IF(R63=".",".",""))</f>
        <v/>
      </c>
      <c r="T63" s="513" t="str">
        <f>IF(AD63=1,IF(AF63="Value is not given at all",".",IF(AF63="Value is given by the source",S63,IF(AF63="Value is calculated with prices",(IF(SUMIFS(Q:Q,A:A,A63)&gt;0,SUMIFS(Q:Q,A:A,A63),"."))/VLOOKUP("USD",'Exchange rates'!B:C,2,0),"Error with coding"))),"")</f>
        <v/>
      </c>
      <c r="U63" s="39" t="s">
        <v>233</v>
      </c>
      <c r="V63" s="826" t="s">
        <v>405</v>
      </c>
      <c r="W63" s="551" t="s">
        <v>406</v>
      </c>
      <c r="X63" s="42" t="s">
        <v>407</v>
      </c>
      <c r="Y63" s="825" t="s">
        <v>408</v>
      </c>
      <c r="Z63" s="39">
        <v>0</v>
      </c>
      <c r="AA63" s="518">
        <v>0</v>
      </c>
      <c r="AB63" s="38" t="s">
        <v>232</v>
      </c>
      <c r="AC63" s="519" t="str">
        <f>""</f>
        <v/>
      </c>
      <c r="AD63" s="520">
        <v>0</v>
      </c>
      <c r="AE63" s="520" t="s">
        <v>236</v>
      </c>
      <c r="AF63" s="520" t="s">
        <v>237</v>
      </c>
      <c r="AG63" s="520">
        <v>1</v>
      </c>
      <c r="AH63" s="520">
        <v>8</v>
      </c>
      <c r="AI63" s="520">
        <v>0</v>
      </c>
      <c r="AJ63" s="520">
        <f>VLOOKUP($I63,'Price List, Weapons &amp; Items'!A:E,5,0)</f>
        <v>0</v>
      </c>
      <c r="AK63" s="520">
        <f t="shared" si="8"/>
        <v>0</v>
      </c>
      <c r="AL63" s="520">
        <f t="shared" si="9"/>
        <v>0</v>
      </c>
      <c r="AM63" s="520">
        <f t="shared" si="10"/>
        <v>0</v>
      </c>
      <c r="AN63" s="521" t="str">
        <f>VLOOKUP($I63,'Price List, Weapons &amp; Items'!A:K,COLUMN('Price List, Weapons &amp; Items'!$I$1),0)</f>
        <v>.</v>
      </c>
      <c r="AO63" s="521" t="str">
        <f>IF(I63=".",".",VLOOKUP($I63,'Price List, Weapons &amp; Items'!A:I,3,0))</f>
        <v>.</v>
      </c>
      <c r="AP63" s="517" t="str">
        <f t="shared" ca="1" si="5"/>
        <v/>
      </c>
      <c r="AQ63" s="521">
        <f>VLOOKUP($I63,'Price List, Weapons &amp; Items'!A:K,COLUMN('Price List, Weapons &amp; Items'!$K$1),0)</f>
        <v>0</v>
      </c>
      <c r="AS63" s="521">
        <f t="shared" si="11"/>
        <v>1</v>
      </c>
      <c r="AT63" s="521">
        <f t="shared" si="12"/>
        <v>1</v>
      </c>
      <c r="AU63" s="521">
        <f t="shared" si="13"/>
        <v>1</v>
      </c>
      <c r="AV63" s="521" t="str">
        <f t="shared" si="14"/>
        <v>.</v>
      </c>
    </row>
    <row r="64" spans="1:48" ht="15" customHeight="1">
      <c r="A64" s="18" t="s">
        <v>412</v>
      </c>
      <c r="B64" s="18" t="s">
        <v>370</v>
      </c>
      <c r="C64" s="550">
        <v>44821</v>
      </c>
      <c r="D64" s="46" t="s">
        <v>252</v>
      </c>
      <c r="E64" s="46" t="s">
        <v>307</v>
      </c>
      <c r="F64" s="46" t="s">
        <v>413</v>
      </c>
      <c r="G64" s="39" t="s">
        <v>332</v>
      </c>
      <c r="H64" s="513">
        <v>12000000</v>
      </c>
      <c r="I64" s="46" t="s">
        <v>414</v>
      </c>
      <c r="J64" s="276" t="str">
        <f>VLOOKUP($I64,'Price List, Weapons &amp; Items'!A:B,2,0)</f>
        <v>Light armaments &amp; infantry</v>
      </c>
      <c r="K64" s="276" t="str">
        <f>IF(I64=".",I64,VLOOKUP($I64,'Price List, Weapons &amp; Items'!A:C,3,0))</f>
        <v>Small Arms and Light Weapons (SALW)</v>
      </c>
      <c r="L64" s="514">
        <f>VLOOKUP(I64,'Price List, Weapons &amp; Items'!A:D,4,0)</f>
        <v>0</v>
      </c>
      <c r="M64" s="515" t="s">
        <v>232</v>
      </c>
      <c r="N64" s="515" t="s">
        <v>232</v>
      </c>
      <c r="O64" s="516">
        <f>VLOOKUP($I64,'Price List, Weapons &amp; Items'!A:F,6,0)</f>
        <v>5300</v>
      </c>
      <c r="P64" s="513" t="str">
        <f t="shared" si="6"/>
        <v>.</v>
      </c>
      <c r="Q64" s="513" t="str">
        <f t="shared" si="7"/>
        <v>.</v>
      </c>
      <c r="R64" s="513">
        <f t="shared" si="2"/>
        <v>12000000</v>
      </c>
      <c r="S64" s="513">
        <f>IF(AND(AD64=1,R64&lt;&gt;".")=TRUE,R64/VLOOKUP(G64,'Exchange rates'!B:C,2,0),IF(R64=".",".",""))</f>
        <v>12000000</v>
      </c>
      <c r="T64" s="513" t="str">
        <f>IF(AD64=1,IF(AF64="Value is not given at all",".",IF(AF64="Value is given by the source",S64,IF(AF64="Value is calculated with prices",(IF(SUMIFS(Q:Q,A:A,A64)&gt;0,SUMIFS(Q:Q,A:A,A64),"."))/VLOOKUP("USD",'Exchange rates'!B:C,2,0),"Error with coding"))),"")</f>
        <v>.</v>
      </c>
      <c r="U64" s="39" t="s">
        <v>233</v>
      </c>
      <c r="V64" s="826" t="s">
        <v>415</v>
      </c>
      <c r="W64" s="826" t="s">
        <v>416</v>
      </c>
      <c r="X64" s="42" t="s">
        <v>417</v>
      </c>
      <c r="Y64" s="517" t="s">
        <v>232</v>
      </c>
      <c r="Z64" s="39">
        <v>0</v>
      </c>
      <c r="AA64" s="518">
        <v>0</v>
      </c>
      <c r="AB64" s="38" t="s">
        <v>232</v>
      </c>
      <c r="AC64" s="519" t="str">
        <f>""</f>
        <v/>
      </c>
      <c r="AD64" s="520">
        <v>1</v>
      </c>
      <c r="AE64" s="520" t="s">
        <v>236</v>
      </c>
      <c r="AF64" s="520" t="s">
        <v>237</v>
      </c>
      <c r="AG64" s="520">
        <v>1</v>
      </c>
      <c r="AH64" s="520">
        <v>9</v>
      </c>
      <c r="AI64" s="520">
        <v>0</v>
      </c>
      <c r="AJ64" s="520">
        <f>VLOOKUP($I64,'Price List, Weapons &amp; Items'!A:E,5,0)</f>
        <v>0</v>
      </c>
      <c r="AK64" s="520">
        <f t="shared" si="8"/>
        <v>0</v>
      </c>
      <c r="AL64" s="520">
        <f t="shared" si="9"/>
        <v>0</v>
      </c>
      <c r="AM64" s="520">
        <f t="shared" si="10"/>
        <v>0</v>
      </c>
      <c r="AN64" s="521" t="str">
        <f>VLOOKUP($I64,'Price List, Weapons &amp; Items'!A:K,COLUMN('Price List, Weapons &amp; Items'!$I$1),0)</f>
        <v>Miscellaneous</v>
      </c>
      <c r="AO64" s="521" t="str">
        <f>IF(I64=".",".",VLOOKUP($I64,'Price List, Weapons &amp; Items'!A:I,3,0))</f>
        <v>Small Arms and Light Weapons (SALW)</v>
      </c>
      <c r="AP64" s="517" t="str">
        <f t="shared" ca="1" si="5"/>
        <v>large-caliber machine guns; Ammunition; winter clothing (general); helmet; spare part and equipment; surveillance equipment; ambulance; medical evacuation truck</v>
      </c>
      <c r="AQ64" s="521" t="str">
        <f>VLOOKUP($I64,'Price List, Weapons &amp; Items'!A:K,COLUMN('Price List, Weapons &amp; Items'!$K$1),0)</f>
        <v>no price, 0 count</v>
      </c>
      <c r="AS64" s="521">
        <f t="shared" si="11"/>
        <v>1</v>
      </c>
      <c r="AT64" s="521">
        <f t="shared" si="12"/>
        <v>1</v>
      </c>
      <c r="AU64" s="521">
        <f t="shared" si="13"/>
        <v>1</v>
      </c>
      <c r="AV64" s="521" t="str">
        <f t="shared" si="14"/>
        <v>.</v>
      </c>
    </row>
    <row r="65" spans="1:48" ht="15" customHeight="1">
      <c r="A65" s="18" t="s">
        <v>412</v>
      </c>
      <c r="B65" s="18" t="s">
        <v>370</v>
      </c>
      <c r="C65" s="550">
        <v>44821</v>
      </c>
      <c r="D65" s="46" t="s">
        <v>252</v>
      </c>
      <c r="E65" s="46" t="s">
        <v>307</v>
      </c>
      <c r="F65" s="46" t="s">
        <v>413</v>
      </c>
      <c r="G65" s="39" t="s">
        <v>332</v>
      </c>
      <c r="H65" s="513">
        <v>12000000</v>
      </c>
      <c r="I65" s="46" t="s">
        <v>418</v>
      </c>
      <c r="J65" s="276" t="str">
        <f>VLOOKUP($I65,'Price List, Weapons &amp; Items'!A:B,2,0)</f>
        <v>Ammunition</v>
      </c>
      <c r="K65" s="276" t="str">
        <f>IF(I65=".",I65,VLOOKUP($I65,'Price List, Weapons &amp; Items'!A:C,3,0))</f>
        <v>.</v>
      </c>
      <c r="L65" s="514">
        <f>VLOOKUP(I65,'Price List, Weapons &amp; Items'!A:D,4,0)</f>
        <v>0</v>
      </c>
      <c r="M65" s="515" t="s">
        <v>232</v>
      </c>
      <c r="N65" s="515" t="s">
        <v>232</v>
      </c>
      <c r="O65" s="516" t="str">
        <f>VLOOKUP($I65,'Price List, Weapons &amp; Items'!A:F,6,0)</f>
        <v>.</v>
      </c>
      <c r="P65" s="513" t="str">
        <f t="shared" si="6"/>
        <v>.</v>
      </c>
      <c r="Q65" s="513" t="str">
        <f t="shared" si="7"/>
        <v>.</v>
      </c>
      <c r="R65" s="513" t="str">
        <f t="shared" si="2"/>
        <v/>
      </c>
      <c r="S65" s="513" t="str">
        <f>IF(AND(AD65=1,R65&lt;&gt;".")=TRUE,R65/VLOOKUP(G65,'Exchange rates'!B:C,2,0),IF(R65=".",".",""))</f>
        <v/>
      </c>
      <c r="T65" s="513" t="str">
        <f>IF(AD65=1,IF(AF65="Value is not given at all",".",IF(AF65="Value is given by the source",S65,IF(AF65="Value is calculated with prices",(IF(SUMIFS(Q:Q,A:A,A65)&gt;0,SUMIFS(Q:Q,A:A,A65),"."))/VLOOKUP("USD",'Exchange rates'!B:C,2,0),"Error with coding"))),"")</f>
        <v/>
      </c>
      <c r="U65" s="39" t="s">
        <v>233</v>
      </c>
      <c r="V65" s="826" t="s">
        <v>415</v>
      </c>
      <c r="W65" s="551" t="s">
        <v>416</v>
      </c>
      <c r="X65" s="42" t="s">
        <v>417</v>
      </c>
      <c r="Y65" s="517" t="s">
        <v>232</v>
      </c>
      <c r="Z65" s="39">
        <v>0</v>
      </c>
      <c r="AA65" s="518">
        <v>0</v>
      </c>
      <c r="AB65" s="38" t="s">
        <v>232</v>
      </c>
      <c r="AC65" s="519" t="str">
        <f>""</f>
        <v/>
      </c>
      <c r="AD65" s="520">
        <v>0</v>
      </c>
      <c r="AE65" s="520" t="s">
        <v>236</v>
      </c>
      <c r="AF65" s="520" t="s">
        <v>237</v>
      </c>
      <c r="AG65" s="520">
        <v>1</v>
      </c>
      <c r="AH65" s="520">
        <v>9</v>
      </c>
      <c r="AI65" s="520">
        <v>0</v>
      </c>
      <c r="AJ65" s="520">
        <f>VLOOKUP($I65,'Price List, Weapons &amp; Items'!A:E,5,0)</f>
        <v>0</v>
      </c>
      <c r="AK65" s="520">
        <f t="shared" si="8"/>
        <v>0</v>
      </c>
      <c r="AL65" s="520">
        <f t="shared" si="9"/>
        <v>0</v>
      </c>
      <c r="AM65" s="520">
        <f t="shared" si="10"/>
        <v>1</v>
      </c>
      <c r="AN65" s="521" t="str">
        <f>VLOOKUP($I65,'Price List, Weapons &amp; Items'!A:K,COLUMN('Price List, Weapons &amp; Items'!$I$1),0)</f>
        <v>.</v>
      </c>
      <c r="AO65" s="521" t="str">
        <f>IF(I65=".",".",VLOOKUP($I65,'Price List, Weapons &amp; Items'!A:I,3,0))</f>
        <v>.</v>
      </c>
      <c r="AP65" s="517" t="str">
        <f t="shared" ca="1" si="5"/>
        <v/>
      </c>
      <c r="AQ65" s="521" t="str">
        <f>VLOOKUP($I65,'Price List, Weapons &amp; Items'!A:K,COLUMN('Price List, Weapons &amp; Items'!$K$1),0)</f>
        <v>no price, 0 count</v>
      </c>
      <c r="AS65" s="521">
        <f t="shared" si="11"/>
        <v>1</v>
      </c>
      <c r="AT65" s="521">
        <f t="shared" si="12"/>
        <v>1</v>
      </c>
      <c r="AU65" s="521">
        <f t="shared" si="13"/>
        <v>1</v>
      </c>
      <c r="AV65" s="521" t="str">
        <f t="shared" si="14"/>
        <v>.</v>
      </c>
    </row>
    <row r="66" spans="1:48" ht="15" customHeight="1">
      <c r="A66" s="18" t="s">
        <v>412</v>
      </c>
      <c r="B66" s="18" t="s">
        <v>370</v>
      </c>
      <c r="C66" s="550">
        <v>44821</v>
      </c>
      <c r="D66" s="46" t="s">
        <v>252</v>
      </c>
      <c r="E66" s="46" t="s">
        <v>307</v>
      </c>
      <c r="F66" s="46" t="s">
        <v>413</v>
      </c>
      <c r="G66" s="39" t="s">
        <v>332</v>
      </c>
      <c r="H66" s="513">
        <v>12000000</v>
      </c>
      <c r="I66" s="46" t="s">
        <v>409</v>
      </c>
      <c r="J66" s="276" t="str">
        <f>VLOOKUP($I66,'Price List, Weapons &amp; Items'!A:B,2,0)</f>
        <v>Military equipment</v>
      </c>
      <c r="K66" s="276" t="str">
        <f>IF(I66=".",I66,VLOOKUP($I66,'Price List, Weapons &amp; Items'!A:C,3,0))</f>
        <v>.</v>
      </c>
      <c r="L66" s="514">
        <f>VLOOKUP(I66,'Price List, Weapons &amp; Items'!A:D,4,0)</f>
        <v>0</v>
      </c>
      <c r="M66" s="515" t="s">
        <v>232</v>
      </c>
      <c r="N66" s="515" t="s">
        <v>232</v>
      </c>
      <c r="O66" s="516">
        <f>VLOOKUP($I66,'Price List, Weapons &amp; Items'!A:F,6,0)</f>
        <v>59.234999999999999</v>
      </c>
      <c r="P66" s="513" t="str">
        <f t="shared" si="6"/>
        <v>.</v>
      </c>
      <c r="Q66" s="513" t="str">
        <f t="shared" si="7"/>
        <v>.</v>
      </c>
      <c r="R66" s="513" t="str">
        <f t="shared" ref="R66:R129" si="19">IF(AD66=1,IF(H66&lt;&gt;"Not given",H66,IF(TYPE(H66)=2,IF(SUMIFS(P:P,A:A,A66)&gt;0,SUMIFS(P:P,A:A,A66),"."),"Format error")),"")</f>
        <v/>
      </c>
      <c r="S66" s="513" t="str">
        <f>IF(AND(AD66=1,R66&lt;&gt;".")=TRUE,R66/VLOOKUP(G66,'Exchange rates'!B:C,2,0),IF(R66=".",".",""))</f>
        <v/>
      </c>
      <c r="T66" s="513" t="str">
        <f>IF(AD66=1,IF(AF66="Value is not given at all",".",IF(AF66="Value is given by the source",S66,IF(AF66="Value is calculated with prices",(IF(SUMIFS(Q:Q,A:A,A66)&gt;0,SUMIFS(Q:Q,A:A,A66),"."))/VLOOKUP("USD",'Exchange rates'!B:C,2,0),"Error with coding"))),"")</f>
        <v/>
      </c>
      <c r="U66" s="39" t="s">
        <v>233</v>
      </c>
      <c r="V66" s="826" t="s">
        <v>415</v>
      </c>
      <c r="W66" s="551" t="s">
        <v>416</v>
      </c>
      <c r="X66" s="42" t="s">
        <v>417</v>
      </c>
      <c r="Y66" s="517" t="s">
        <v>232</v>
      </c>
      <c r="Z66" s="39">
        <v>0</v>
      </c>
      <c r="AA66" s="518">
        <v>0</v>
      </c>
      <c r="AB66" s="38" t="s">
        <v>232</v>
      </c>
      <c r="AC66" s="519" t="str">
        <f>""</f>
        <v/>
      </c>
      <c r="AD66" s="520">
        <v>0</v>
      </c>
      <c r="AE66" s="520" t="s">
        <v>236</v>
      </c>
      <c r="AF66" s="520" t="s">
        <v>237</v>
      </c>
      <c r="AG66" s="520">
        <v>1</v>
      </c>
      <c r="AH66" s="520">
        <v>9</v>
      </c>
      <c r="AI66" s="520">
        <v>0</v>
      </c>
      <c r="AJ66" s="520">
        <f>VLOOKUP($I66,'Price List, Weapons &amp; Items'!A:E,5,0)</f>
        <v>0</v>
      </c>
      <c r="AK66" s="520">
        <f t="shared" si="8"/>
        <v>0</v>
      </c>
      <c r="AL66" s="520">
        <f t="shared" si="9"/>
        <v>0</v>
      </c>
      <c r="AM66" s="520">
        <f t="shared" si="10"/>
        <v>0</v>
      </c>
      <c r="AN66" s="521" t="str">
        <f>VLOOKUP($I66,'Price List, Weapons &amp; Items'!A:K,COLUMN('Price List, Weapons &amp; Items'!$I$1),0)</f>
        <v>Government information</v>
      </c>
      <c r="AO66" s="521" t="str">
        <f>IF(I66=".",".",VLOOKUP($I66,'Price List, Weapons &amp; Items'!A:I,3,0))</f>
        <v>.</v>
      </c>
      <c r="AP66" s="517" t="str">
        <f t="shared" ref="AP66:AP129" ca="1" si="20">IF(AD66=1,_xlfn.ARRAYTOTEXT(OFFSET(I66,0,0,COUNTIF(A:A,A66),1)),"")</f>
        <v/>
      </c>
      <c r="AQ66" s="521">
        <f>VLOOKUP($I66,'Price List, Weapons &amp; Items'!A:K,COLUMN('Price List, Weapons &amp; Items'!$K$1),0)</f>
        <v>2</v>
      </c>
      <c r="AS66" s="521">
        <f t="shared" si="11"/>
        <v>1</v>
      </c>
      <c r="AT66" s="521">
        <f t="shared" si="12"/>
        <v>1</v>
      </c>
      <c r="AU66" s="521">
        <f t="shared" si="13"/>
        <v>1</v>
      </c>
      <c r="AV66" s="521" t="str">
        <f t="shared" si="14"/>
        <v>.</v>
      </c>
    </row>
    <row r="67" spans="1:48" ht="15" customHeight="1">
      <c r="A67" s="18" t="s">
        <v>412</v>
      </c>
      <c r="B67" s="18" t="s">
        <v>370</v>
      </c>
      <c r="C67" s="550">
        <v>44821</v>
      </c>
      <c r="D67" s="46" t="s">
        <v>252</v>
      </c>
      <c r="E67" s="46" t="s">
        <v>307</v>
      </c>
      <c r="F67" s="46" t="s">
        <v>413</v>
      </c>
      <c r="G67" s="39" t="s">
        <v>332</v>
      </c>
      <c r="H67" s="513">
        <v>12000000</v>
      </c>
      <c r="I67" s="46" t="s">
        <v>419</v>
      </c>
      <c r="J67" s="276" t="str">
        <f>VLOOKUP($I67,'Price List, Weapons &amp; Items'!A:B,2,0)</f>
        <v>Military equipment</v>
      </c>
      <c r="K67" s="276" t="str">
        <f>IF(I67=".",I67,VLOOKUP($I67,'Price List, Weapons &amp; Items'!A:C,3,0))</f>
        <v>.</v>
      </c>
      <c r="L67" s="514">
        <f>VLOOKUP(I67,'Price List, Weapons &amp; Items'!A:D,4,0)</f>
        <v>0</v>
      </c>
      <c r="M67" s="515" t="s">
        <v>232</v>
      </c>
      <c r="N67" s="515" t="s">
        <v>232</v>
      </c>
      <c r="O67" s="516">
        <f>VLOOKUP($I67,'Price List, Weapons &amp; Items'!A:F,6,0)</f>
        <v>1400</v>
      </c>
      <c r="P67" s="513" t="str">
        <f t="shared" si="6"/>
        <v>.</v>
      </c>
      <c r="Q67" s="513" t="str">
        <f t="shared" si="7"/>
        <v>.</v>
      </c>
      <c r="R67" s="513" t="str">
        <f t="shared" si="19"/>
        <v/>
      </c>
      <c r="S67" s="513" t="str">
        <f>IF(AND(AD67=1,R67&lt;&gt;".")=TRUE,R67/VLOOKUP(G67,'Exchange rates'!B:C,2,0),IF(R67=".",".",""))</f>
        <v/>
      </c>
      <c r="T67" s="513" t="str">
        <f>IF(AD67=1,IF(AF67="Value is not given at all",".",IF(AF67="Value is given by the source",S67,IF(AF67="Value is calculated with prices",(IF(SUMIFS(Q:Q,A:A,A67)&gt;0,SUMIFS(Q:Q,A:A,A67),"."))/VLOOKUP("USD",'Exchange rates'!B:C,2,0),"Error with coding"))),"")</f>
        <v/>
      </c>
      <c r="U67" s="39" t="s">
        <v>233</v>
      </c>
      <c r="V67" s="826" t="s">
        <v>415</v>
      </c>
      <c r="W67" s="551" t="s">
        <v>416</v>
      </c>
      <c r="X67" s="42" t="s">
        <v>417</v>
      </c>
      <c r="Y67" s="517" t="s">
        <v>232</v>
      </c>
      <c r="Z67" s="39">
        <v>0</v>
      </c>
      <c r="AA67" s="518">
        <v>0</v>
      </c>
      <c r="AB67" s="38" t="s">
        <v>232</v>
      </c>
      <c r="AC67" s="519" t="str">
        <f>""</f>
        <v/>
      </c>
      <c r="AD67" s="520">
        <v>0</v>
      </c>
      <c r="AE67" s="520" t="s">
        <v>236</v>
      </c>
      <c r="AF67" s="520" t="s">
        <v>237</v>
      </c>
      <c r="AG67" s="520">
        <v>1</v>
      </c>
      <c r="AH67" s="520">
        <v>9</v>
      </c>
      <c r="AI67" s="520">
        <v>0</v>
      </c>
      <c r="AJ67" s="520">
        <f>VLOOKUP($I67,'Price List, Weapons &amp; Items'!A:E,5,0)</f>
        <v>0</v>
      </c>
      <c r="AK67" s="520">
        <f t="shared" ref="AK67:AK130" si="21">IF(AND(AJ67=1,M67="undisclosed")=TRUE,1,0)</f>
        <v>0</v>
      </c>
      <c r="AL67" s="520">
        <f t="shared" ref="AL67:AL130" si="22">IF(AND(AJ67=1,N67="undisclosed")=TRUE,1,0)</f>
        <v>0</v>
      </c>
      <c r="AM67" s="520">
        <f t="shared" ref="AM67:AM130" si="23">IFERROR(IF(SEARCH("ammuni",I67,1)&gt;0,1,0),0)</f>
        <v>0</v>
      </c>
      <c r="AN67" s="521" t="str">
        <f>VLOOKUP($I67,'Price List, Weapons &amp; Items'!A:K,COLUMN('Price List, Weapons &amp; Items'!$I$1),0)</f>
        <v>Military media (incl. websites)</v>
      </c>
      <c r="AO67" s="521" t="str">
        <f>IF(I67=".",".",VLOOKUP($I67,'Price List, Weapons &amp; Items'!A:I,3,0))</f>
        <v>.</v>
      </c>
      <c r="AP67" s="517" t="str">
        <f t="shared" ca="1" si="20"/>
        <v/>
      </c>
      <c r="AQ67" s="521">
        <f>VLOOKUP($I67,'Price List, Weapons &amp; Items'!A:K,COLUMN('Price List, Weapons &amp; Items'!$K$1),0)</f>
        <v>2</v>
      </c>
      <c r="AS67" s="521">
        <f t="shared" ref="AS67:AS130" si="24">IF(U67="Yes",1,0)</f>
        <v>1</v>
      </c>
      <c r="AT67" s="521">
        <f t="shared" ref="AT67:AT130" si="25">IF(OR((E67="Weapons"),(E67="Weapons and equipment"),(E67="Weapons and training"),(E67="Weapons and Assistance"),(E67="Military Equipment"))=FALSE,0,1)</f>
        <v>1</v>
      </c>
      <c r="AU67" s="521">
        <f t="shared" ref="AU67:AU130" si="26">IFERROR(IF(VALUE(TEXT(C67,"mm"))=AH67,".",1),"Value is not in date format")</f>
        <v>1</v>
      </c>
      <c r="AV67" s="521" t="str">
        <f t="shared" ref="AV67:AV130" si="27">IF(AND(A67=A66,C67=C66)=TRUE,IF(F67=F66,".","1"),".")</f>
        <v>.</v>
      </c>
    </row>
    <row r="68" spans="1:48" ht="15" customHeight="1">
      <c r="A68" s="18" t="s">
        <v>412</v>
      </c>
      <c r="B68" s="18" t="s">
        <v>370</v>
      </c>
      <c r="C68" s="550">
        <v>44821</v>
      </c>
      <c r="D68" s="46" t="s">
        <v>252</v>
      </c>
      <c r="E68" s="46" t="s">
        <v>307</v>
      </c>
      <c r="F68" s="46" t="s">
        <v>413</v>
      </c>
      <c r="G68" s="39" t="s">
        <v>332</v>
      </c>
      <c r="H68" s="513">
        <v>12000000</v>
      </c>
      <c r="I68" s="46" t="s">
        <v>420</v>
      </c>
      <c r="J68" s="276" t="str">
        <f>VLOOKUP($I68,'Price List, Weapons &amp; Items'!A:B,2,0)</f>
        <v>Military equipment</v>
      </c>
      <c r="K68" s="276" t="str">
        <f>IF(I68=".",I68,VLOOKUP($I68,'Price List, Weapons &amp; Items'!A:C,3,0))</f>
        <v>spare parts</v>
      </c>
      <c r="L68" s="514">
        <f>VLOOKUP(I68,'Price List, Weapons &amp; Items'!A:D,4,0)</f>
        <v>0</v>
      </c>
      <c r="M68" s="515" t="s">
        <v>232</v>
      </c>
      <c r="N68" s="515" t="s">
        <v>232</v>
      </c>
      <c r="O68" s="516" t="str">
        <f>VLOOKUP($I68,'Price List, Weapons &amp; Items'!A:F,6,0)</f>
        <v>.</v>
      </c>
      <c r="P68" s="513" t="str">
        <f t="shared" si="6"/>
        <v>.</v>
      </c>
      <c r="Q68" s="513" t="str">
        <f t="shared" si="7"/>
        <v>.</v>
      </c>
      <c r="R68" s="513" t="str">
        <f t="shared" si="19"/>
        <v/>
      </c>
      <c r="S68" s="513" t="str">
        <f>IF(AND(AD68=1,R68&lt;&gt;".")=TRUE,R68/VLOOKUP(G68,'Exchange rates'!B:C,2,0),IF(R68=".",".",""))</f>
        <v/>
      </c>
      <c r="T68" s="513" t="str">
        <f>IF(AD68=1,IF(AF68="Value is not given at all",".",IF(AF68="Value is given by the source",S68,IF(AF68="Value is calculated with prices",(IF(SUMIFS(Q:Q,A:A,A68)&gt;0,SUMIFS(Q:Q,A:A,A68),"."))/VLOOKUP("USD",'Exchange rates'!B:C,2,0),"Error with coding"))),"")</f>
        <v/>
      </c>
      <c r="U68" s="39" t="s">
        <v>233</v>
      </c>
      <c r="V68" s="826" t="s">
        <v>415</v>
      </c>
      <c r="W68" s="551" t="s">
        <v>416</v>
      </c>
      <c r="X68" s="42" t="s">
        <v>417</v>
      </c>
      <c r="Y68" s="517" t="s">
        <v>232</v>
      </c>
      <c r="Z68" s="39">
        <v>0</v>
      </c>
      <c r="AA68" s="518">
        <v>0</v>
      </c>
      <c r="AB68" s="38" t="s">
        <v>232</v>
      </c>
      <c r="AC68" s="519" t="str">
        <f>""</f>
        <v/>
      </c>
      <c r="AD68" s="520">
        <v>0</v>
      </c>
      <c r="AE68" s="520" t="s">
        <v>236</v>
      </c>
      <c r="AF68" s="520" t="s">
        <v>237</v>
      </c>
      <c r="AG68" s="520">
        <v>1</v>
      </c>
      <c r="AH68" s="520">
        <v>9</v>
      </c>
      <c r="AI68" s="520">
        <v>0</v>
      </c>
      <c r="AJ68" s="520">
        <f>VLOOKUP($I68,'Price List, Weapons &amp; Items'!A:E,5,0)</f>
        <v>0</v>
      </c>
      <c r="AK68" s="520">
        <f t="shared" si="21"/>
        <v>0</v>
      </c>
      <c r="AL68" s="520">
        <f t="shared" si="22"/>
        <v>0</v>
      </c>
      <c r="AM68" s="520">
        <f t="shared" si="23"/>
        <v>0</v>
      </c>
      <c r="AN68" s="521" t="str">
        <f>VLOOKUP($I68,'Price List, Weapons &amp; Items'!A:K,COLUMN('Price List, Weapons &amp; Items'!$I$1),0)</f>
        <v>.</v>
      </c>
      <c r="AO68" s="521" t="str">
        <f>IF(I68=".",".",VLOOKUP($I68,'Price List, Weapons &amp; Items'!A:I,3,0))</f>
        <v>spare parts</v>
      </c>
      <c r="AP68" s="517" t="str">
        <f t="shared" ca="1" si="20"/>
        <v/>
      </c>
      <c r="AQ68" s="521" t="str">
        <f>VLOOKUP($I68,'Price List, Weapons &amp; Items'!A:K,COLUMN('Price List, Weapons &amp; Items'!$K$1),0)</f>
        <v>no price, 0 count</v>
      </c>
      <c r="AS68" s="521">
        <f t="shared" si="24"/>
        <v>1</v>
      </c>
      <c r="AT68" s="521">
        <f t="shared" si="25"/>
        <v>1</v>
      </c>
      <c r="AU68" s="521">
        <f t="shared" si="26"/>
        <v>1</v>
      </c>
      <c r="AV68" s="521" t="str">
        <f t="shared" si="27"/>
        <v>.</v>
      </c>
    </row>
    <row r="69" spans="1:48" ht="15" customHeight="1">
      <c r="A69" s="18" t="s">
        <v>412</v>
      </c>
      <c r="B69" s="18" t="s">
        <v>370</v>
      </c>
      <c r="C69" s="550">
        <v>44821</v>
      </c>
      <c r="D69" s="46" t="s">
        <v>252</v>
      </c>
      <c r="E69" s="46" t="s">
        <v>307</v>
      </c>
      <c r="F69" s="46" t="s">
        <v>413</v>
      </c>
      <c r="G69" s="39" t="s">
        <v>332</v>
      </c>
      <c r="H69" s="513">
        <v>12000000</v>
      </c>
      <c r="I69" s="46" t="s">
        <v>421</v>
      </c>
      <c r="J69" s="276" t="str">
        <f>VLOOKUP($I69,'Price List, Weapons &amp; Items'!A:B,2,0)</f>
        <v>Military equipment</v>
      </c>
      <c r="K69" s="276" t="str">
        <f>IF(I69=".",I69,VLOOKUP($I69,'Price List, Weapons &amp; Items'!A:C,3,0))</f>
        <v>radar or imagery systems</v>
      </c>
      <c r="L69" s="514">
        <f>VLOOKUP(I69,'Price List, Weapons &amp; Items'!A:D,4,0)</f>
        <v>0</v>
      </c>
      <c r="M69" s="515" t="s">
        <v>232</v>
      </c>
      <c r="N69" s="515" t="s">
        <v>232</v>
      </c>
      <c r="O69" s="516" t="str">
        <f>VLOOKUP($I69,'Price List, Weapons &amp; Items'!A:F,6,0)</f>
        <v>.</v>
      </c>
      <c r="P69" s="513" t="str">
        <f t="shared" si="6"/>
        <v>.</v>
      </c>
      <c r="Q69" s="513" t="str">
        <f t="shared" si="7"/>
        <v>.</v>
      </c>
      <c r="R69" s="513" t="str">
        <f t="shared" si="19"/>
        <v/>
      </c>
      <c r="S69" s="513" t="str">
        <f>IF(AND(AD69=1,R69&lt;&gt;".")=TRUE,R69/VLOOKUP(G69,'Exchange rates'!B:C,2,0),IF(R69=".",".",""))</f>
        <v/>
      </c>
      <c r="T69" s="513" t="str">
        <f>IF(AD69=1,IF(AF69="Value is not given at all",".",IF(AF69="Value is given by the source",S69,IF(AF69="Value is calculated with prices",(IF(SUMIFS(Q:Q,A:A,A69)&gt;0,SUMIFS(Q:Q,A:A,A69),"."))/VLOOKUP("USD",'Exchange rates'!B:C,2,0),"Error with coding"))),"")</f>
        <v/>
      </c>
      <c r="U69" s="39" t="s">
        <v>233</v>
      </c>
      <c r="V69" s="826" t="s">
        <v>415</v>
      </c>
      <c r="W69" s="551" t="s">
        <v>416</v>
      </c>
      <c r="X69" s="42" t="s">
        <v>417</v>
      </c>
      <c r="Y69" s="517" t="s">
        <v>232</v>
      </c>
      <c r="Z69" s="39">
        <v>0</v>
      </c>
      <c r="AA69" s="518">
        <v>0</v>
      </c>
      <c r="AB69" s="38" t="s">
        <v>232</v>
      </c>
      <c r="AC69" s="519" t="str">
        <f>""</f>
        <v/>
      </c>
      <c r="AD69" s="520">
        <v>0</v>
      </c>
      <c r="AE69" s="520" t="s">
        <v>236</v>
      </c>
      <c r="AF69" s="520" t="s">
        <v>237</v>
      </c>
      <c r="AG69" s="520">
        <v>1</v>
      </c>
      <c r="AH69" s="520">
        <v>9</v>
      </c>
      <c r="AI69" s="520">
        <v>0</v>
      </c>
      <c r="AJ69" s="520">
        <f>VLOOKUP($I69,'Price List, Weapons &amp; Items'!A:E,5,0)</f>
        <v>0</v>
      </c>
      <c r="AK69" s="520">
        <f t="shared" si="21"/>
        <v>0</v>
      </c>
      <c r="AL69" s="520">
        <f t="shared" si="22"/>
        <v>0</v>
      </c>
      <c r="AM69" s="520">
        <f t="shared" si="23"/>
        <v>0</v>
      </c>
      <c r="AN69" s="521" t="str">
        <f>VLOOKUP($I69,'Price List, Weapons &amp; Items'!A:K,COLUMN('Price List, Weapons &amp; Items'!$I$1),0)</f>
        <v>.</v>
      </c>
      <c r="AO69" s="521" t="str">
        <f>IF(I69=".",".",VLOOKUP($I69,'Price List, Weapons &amp; Items'!A:I,3,0))</f>
        <v>radar or imagery systems</v>
      </c>
      <c r="AP69" s="517" t="str">
        <f t="shared" ca="1" si="20"/>
        <v/>
      </c>
      <c r="AQ69" s="521" t="str">
        <f>VLOOKUP($I69,'Price List, Weapons &amp; Items'!A:K,COLUMN('Price List, Weapons &amp; Items'!$K$1),0)</f>
        <v>no price, 0 count</v>
      </c>
      <c r="AS69" s="521">
        <f t="shared" si="24"/>
        <v>1</v>
      </c>
      <c r="AT69" s="521">
        <f t="shared" si="25"/>
        <v>1</v>
      </c>
      <c r="AU69" s="521">
        <f t="shared" si="26"/>
        <v>1</v>
      </c>
      <c r="AV69" s="521" t="str">
        <f t="shared" si="27"/>
        <v>.</v>
      </c>
    </row>
    <row r="70" spans="1:48" ht="15" customHeight="1">
      <c r="A70" s="18" t="s">
        <v>412</v>
      </c>
      <c r="B70" s="18" t="s">
        <v>370</v>
      </c>
      <c r="C70" s="550">
        <v>44821</v>
      </c>
      <c r="D70" s="46" t="s">
        <v>252</v>
      </c>
      <c r="E70" s="46" t="s">
        <v>307</v>
      </c>
      <c r="F70" s="46" t="s">
        <v>413</v>
      </c>
      <c r="G70" s="39" t="s">
        <v>332</v>
      </c>
      <c r="H70" s="513">
        <v>12000000</v>
      </c>
      <c r="I70" s="46" t="s">
        <v>422</v>
      </c>
      <c r="J70" s="276" t="str">
        <f>VLOOKUP($I70,'Price List, Weapons &amp; Items'!A:B,2,0)</f>
        <v>Humanitarian</v>
      </c>
      <c r="K70" s="276" t="str">
        <f>IF(I70=".",I70,VLOOKUP($I70,'Price List, Weapons &amp; Items'!A:C,3,0))</f>
        <v>.</v>
      </c>
      <c r="L70" s="514">
        <f>VLOOKUP(I70,'Price List, Weapons &amp; Items'!A:D,4,0)</f>
        <v>0</v>
      </c>
      <c r="M70" s="515" t="s">
        <v>232</v>
      </c>
      <c r="N70" s="515" t="s">
        <v>232</v>
      </c>
      <c r="O70" s="516">
        <f>VLOOKUP($I70,'Price List, Weapons &amp; Items'!A:F,6,0)</f>
        <v>220000</v>
      </c>
      <c r="P70" s="513" t="str">
        <f t="shared" si="6"/>
        <v>.</v>
      </c>
      <c r="Q70" s="513" t="str">
        <f t="shared" si="7"/>
        <v>.</v>
      </c>
      <c r="R70" s="513" t="str">
        <f t="shared" si="19"/>
        <v/>
      </c>
      <c r="S70" s="513" t="str">
        <f>IF(AND(AD70=1,R70&lt;&gt;".")=TRUE,R70/VLOOKUP(G70,'Exchange rates'!B:C,2,0),IF(R70=".",".",""))</f>
        <v/>
      </c>
      <c r="T70" s="513" t="str">
        <f>IF(AD70=1,IF(AF70="Value is not given at all",".",IF(AF70="Value is given by the source",S70,IF(AF70="Value is calculated with prices",(IF(SUMIFS(Q:Q,A:A,A70)&gt;0,SUMIFS(Q:Q,A:A,A70),"."))/VLOOKUP("USD",'Exchange rates'!B:C,2,0),"Error with coding"))),"")</f>
        <v/>
      </c>
      <c r="U70" s="39" t="s">
        <v>233</v>
      </c>
      <c r="V70" s="826" t="s">
        <v>415</v>
      </c>
      <c r="W70" s="551" t="s">
        <v>416</v>
      </c>
      <c r="X70" s="42" t="s">
        <v>417</v>
      </c>
      <c r="Y70" s="517" t="s">
        <v>232</v>
      </c>
      <c r="Z70" s="39">
        <v>0</v>
      </c>
      <c r="AA70" s="518">
        <v>0</v>
      </c>
      <c r="AB70" s="38" t="s">
        <v>232</v>
      </c>
      <c r="AC70" s="519" t="str">
        <f>""</f>
        <v/>
      </c>
      <c r="AD70" s="520">
        <v>0</v>
      </c>
      <c r="AE70" s="520" t="s">
        <v>236</v>
      </c>
      <c r="AF70" s="520" t="s">
        <v>237</v>
      </c>
      <c r="AG70" s="520">
        <v>1</v>
      </c>
      <c r="AH70" s="520">
        <v>9</v>
      </c>
      <c r="AI70" s="520">
        <v>0</v>
      </c>
      <c r="AJ70" s="520">
        <f>VLOOKUP($I70,'Price List, Weapons &amp; Items'!A:E,5,0)</f>
        <v>0</v>
      </c>
      <c r="AK70" s="520">
        <f t="shared" si="21"/>
        <v>0</v>
      </c>
      <c r="AL70" s="520">
        <f t="shared" si="22"/>
        <v>0</v>
      </c>
      <c r="AM70" s="520">
        <f t="shared" si="23"/>
        <v>0</v>
      </c>
      <c r="AN70" s="521" t="str">
        <f>VLOOKUP($I70,'Price List, Weapons &amp; Items'!A:K,COLUMN('Price List, Weapons &amp; Items'!$I$1),0)</f>
        <v>Miscellaneous</v>
      </c>
      <c r="AO70" s="521" t="str">
        <f>IF(I70=".",".",VLOOKUP($I70,'Price List, Weapons &amp; Items'!A:I,3,0))</f>
        <v>.</v>
      </c>
      <c r="AP70" s="517" t="str">
        <f t="shared" ca="1" si="20"/>
        <v/>
      </c>
      <c r="AQ70" s="521">
        <f>VLOOKUP($I70,'Price List, Weapons &amp; Items'!A:K,COLUMN('Price List, Weapons &amp; Items'!$K$1),0)</f>
        <v>0</v>
      </c>
      <c r="AS70" s="521">
        <f t="shared" si="24"/>
        <v>1</v>
      </c>
      <c r="AT70" s="521">
        <f t="shared" si="25"/>
        <v>1</v>
      </c>
      <c r="AU70" s="521">
        <f t="shared" si="26"/>
        <v>1</v>
      </c>
      <c r="AV70" s="521" t="str">
        <f t="shared" si="27"/>
        <v>.</v>
      </c>
    </row>
    <row r="71" spans="1:48" ht="15" customHeight="1">
      <c r="A71" s="18" t="s">
        <v>412</v>
      </c>
      <c r="B71" s="18" t="s">
        <v>370</v>
      </c>
      <c r="C71" s="550">
        <v>44821</v>
      </c>
      <c r="D71" s="46" t="s">
        <v>252</v>
      </c>
      <c r="E71" s="46" t="s">
        <v>307</v>
      </c>
      <c r="F71" s="46" t="s">
        <v>413</v>
      </c>
      <c r="G71" s="39" t="s">
        <v>332</v>
      </c>
      <c r="H71" s="513">
        <v>12000000</v>
      </c>
      <c r="I71" s="46" t="s">
        <v>423</v>
      </c>
      <c r="J71" s="276" t="str">
        <f>VLOOKUP($I71,'Price List, Weapons &amp; Items'!A:B,2,0)</f>
        <v>Humanitarian</v>
      </c>
      <c r="K71" s="276" t="str">
        <f>IF(I71=".",I71,VLOOKUP($I71,'Price List, Weapons &amp; Items'!A:C,3,0))</f>
        <v>.</v>
      </c>
      <c r="L71" s="514">
        <f>VLOOKUP(I71,'Price List, Weapons &amp; Items'!A:D,4,0)</f>
        <v>0</v>
      </c>
      <c r="M71" s="515" t="s">
        <v>232</v>
      </c>
      <c r="N71" s="515" t="s">
        <v>232</v>
      </c>
      <c r="O71" s="516" t="str">
        <f>VLOOKUP($I71,'Price List, Weapons &amp; Items'!A:F,6,0)</f>
        <v>.</v>
      </c>
      <c r="P71" s="513" t="str">
        <f t="shared" si="6"/>
        <v>.</v>
      </c>
      <c r="Q71" s="513" t="str">
        <f t="shared" si="7"/>
        <v>.</v>
      </c>
      <c r="R71" s="513" t="str">
        <f t="shared" si="19"/>
        <v/>
      </c>
      <c r="S71" s="513" t="str">
        <f>IF(AND(AD71=1,R71&lt;&gt;".")=TRUE,R71/VLOOKUP(G71,'Exchange rates'!B:C,2,0),IF(R71=".",".",""))</f>
        <v/>
      </c>
      <c r="T71" s="513" t="str">
        <f>IF(AD71=1,IF(AF71="Value is not given at all",".",IF(AF71="Value is given by the source",S71,IF(AF71="Value is calculated with prices",(IF(SUMIFS(Q:Q,A:A,A71)&gt;0,SUMIFS(Q:Q,A:A,A71),"."))/VLOOKUP("USD",'Exchange rates'!B:C,2,0),"Error with coding"))),"")</f>
        <v/>
      </c>
      <c r="U71" s="39" t="s">
        <v>233</v>
      </c>
      <c r="V71" s="826" t="s">
        <v>415</v>
      </c>
      <c r="W71" s="551" t="s">
        <v>416</v>
      </c>
      <c r="X71" s="42" t="s">
        <v>417</v>
      </c>
      <c r="Y71" s="517" t="s">
        <v>232</v>
      </c>
      <c r="Z71" s="39">
        <v>0</v>
      </c>
      <c r="AA71" s="518">
        <v>0</v>
      </c>
      <c r="AB71" s="38" t="s">
        <v>232</v>
      </c>
      <c r="AC71" s="519" t="str">
        <f>""</f>
        <v/>
      </c>
      <c r="AD71" s="520">
        <v>0</v>
      </c>
      <c r="AE71" s="520" t="s">
        <v>236</v>
      </c>
      <c r="AF71" s="520" t="s">
        <v>237</v>
      </c>
      <c r="AG71" s="520">
        <v>1</v>
      </c>
      <c r="AH71" s="520">
        <v>9</v>
      </c>
      <c r="AI71" s="520">
        <v>0</v>
      </c>
      <c r="AJ71" s="520">
        <f>VLOOKUP($I71,'Price List, Weapons &amp; Items'!A:E,5,0)</f>
        <v>0</v>
      </c>
      <c r="AK71" s="520">
        <f t="shared" si="21"/>
        <v>0</v>
      </c>
      <c r="AL71" s="520">
        <f t="shared" si="22"/>
        <v>0</v>
      </c>
      <c r="AM71" s="520">
        <f t="shared" si="23"/>
        <v>0</v>
      </c>
      <c r="AN71" s="521" t="str">
        <f>VLOOKUP($I71,'Price List, Weapons &amp; Items'!A:K,COLUMN('Price List, Weapons &amp; Items'!$I$1),0)</f>
        <v>.</v>
      </c>
      <c r="AO71" s="521" t="str">
        <f>IF(I71=".",".",VLOOKUP($I71,'Price List, Weapons &amp; Items'!A:I,3,0))</f>
        <v>.</v>
      </c>
      <c r="AP71" s="517" t="str">
        <f t="shared" ca="1" si="20"/>
        <v/>
      </c>
      <c r="AQ71" s="521">
        <f>VLOOKUP($I71,'Price List, Weapons &amp; Items'!A:K,COLUMN('Price List, Weapons &amp; Items'!$K$1),0)</f>
        <v>0</v>
      </c>
      <c r="AS71" s="521">
        <f t="shared" si="24"/>
        <v>1</v>
      </c>
      <c r="AT71" s="521">
        <f t="shared" si="25"/>
        <v>1</v>
      </c>
      <c r="AU71" s="521">
        <f t="shared" si="26"/>
        <v>1</v>
      </c>
      <c r="AV71" s="521" t="str">
        <f t="shared" si="27"/>
        <v>.</v>
      </c>
    </row>
    <row r="72" spans="1:48" s="41" customFormat="1" ht="15" customHeight="1">
      <c r="A72" s="18" t="s">
        <v>424</v>
      </c>
      <c r="B72" s="18" t="s">
        <v>370</v>
      </c>
      <c r="C72" s="550">
        <v>44875</v>
      </c>
      <c r="D72" s="46" t="s">
        <v>366</v>
      </c>
      <c r="E72" s="46" t="s">
        <v>330</v>
      </c>
      <c r="F72" s="46" t="s">
        <v>425</v>
      </c>
      <c r="G72" s="39" t="s">
        <v>332</v>
      </c>
      <c r="H72" s="513">
        <v>4960000</v>
      </c>
      <c r="I72" s="46" t="s">
        <v>232</v>
      </c>
      <c r="J72" s="276" t="str">
        <f>VLOOKUP($I72,'Price List, Weapons &amp; Items'!A:B,2,0)</f>
        <v>.</v>
      </c>
      <c r="K72" s="276" t="str">
        <f>IF(I72=".",I72,VLOOKUP($I72,'Price List, Weapons &amp; Items'!A:C,3,0))</f>
        <v>.</v>
      </c>
      <c r="L72" s="514">
        <f>VLOOKUP(I72,'Price List, Weapons &amp; Items'!A:D,4,0)</f>
        <v>0</v>
      </c>
      <c r="M72" s="515" t="s">
        <v>232</v>
      </c>
      <c r="N72" s="515" t="s">
        <v>232</v>
      </c>
      <c r="O72" s="516" t="s">
        <v>232</v>
      </c>
      <c r="P72" s="513" t="s">
        <v>232</v>
      </c>
      <c r="Q72" s="513" t="s">
        <v>232</v>
      </c>
      <c r="R72" s="513">
        <f t="shared" si="19"/>
        <v>4960000</v>
      </c>
      <c r="S72" s="513">
        <f>IF(AND(AD72=1,R72&lt;&gt;".")=TRUE,R72/VLOOKUP(G72,'Exchange rates'!B:C,2,0),IF(R72=".",".",""))</f>
        <v>4960000</v>
      </c>
      <c r="T72" s="513" t="str">
        <f>IF(AD72=1,IF(AF72="Value is not given at all",".",IF(AF72="Value is given by the source",S72,IF(AF72="Value is calculated with prices",(IF(SUMIFS(Q:Q,A:A,A72)&gt;0,SUMIFS(Q:Q,A:A,A72),"."))/VLOOKUP("USD",'Exchange rates'!B:C,2,0),"Error with coding"))),"")</f>
        <v>.</v>
      </c>
      <c r="U72" s="39" t="s">
        <v>233</v>
      </c>
      <c r="V72" s="672" t="s">
        <v>426</v>
      </c>
      <c r="W72" s="582" t="s">
        <v>232</v>
      </c>
      <c r="X72" s="658" t="s">
        <v>232</v>
      </c>
      <c r="Y72" s="512" t="s">
        <v>232</v>
      </c>
      <c r="Z72" s="39">
        <v>1</v>
      </c>
      <c r="AA72" s="39">
        <v>1</v>
      </c>
      <c r="AB72" s="523" t="s">
        <v>232</v>
      </c>
      <c r="AC72" s="519" t="str">
        <f>""</f>
        <v/>
      </c>
      <c r="AD72" s="522">
        <v>1</v>
      </c>
      <c r="AE72" s="522" t="s">
        <v>236</v>
      </c>
      <c r="AF72" s="522" t="s">
        <v>237</v>
      </c>
      <c r="AG72" s="522">
        <v>1</v>
      </c>
      <c r="AH72" s="522">
        <v>11</v>
      </c>
      <c r="AI72" s="522">
        <v>0</v>
      </c>
      <c r="AJ72" s="520">
        <f>VLOOKUP($I72,'Price List, Weapons &amp; Items'!A:E,5,0)</f>
        <v>0</v>
      </c>
      <c r="AK72" s="520">
        <f t="shared" si="21"/>
        <v>0</v>
      </c>
      <c r="AL72" s="520">
        <f t="shared" si="22"/>
        <v>0</v>
      </c>
      <c r="AM72" s="520">
        <f t="shared" si="23"/>
        <v>0</v>
      </c>
      <c r="AN72" s="521" t="str">
        <f>VLOOKUP($I72,'Price List, Weapons &amp; Items'!A:K,COLUMN('Price List, Weapons &amp; Items'!$I$1),0)</f>
        <v>.</v>
      </c>
      <c r="AO72" s="521" t="str">
        <f>IF(I72=".",".",VLOOKUP($I72,'Price List, Weapons &amp; Items'!A:I,3,0))</f>
        <v>.</v>
      </c>
      <c r="AP72" s="517" t="str">
        <f t="shared" ca="1" si="20"/>
        <v>.</v>
      </c>
      <c r="AQ72" s="521" t="str">
        <f>VLOOKUP($I72,'Price List, Weapons &amp; Items'!A:K,COLUMN('Price List, Weapons &amp; Items'!$K$1),0)</f>
        <v>no price, 0 count</v>
      </c>
      <c r="AS72" s="521">
        <f t="shared" si="24"/>
        <v>1</v>
      </c>
      <c r="AT72" s="521">
        <f t="shared" si="25"/>
        <v>0</v>
      </c>
      <c r="AU72" s="521">
        <f t="shared" si="26"/>
        <v>1</v>
      </c>
      <c r="AV72" s="521" t="str">
        <f t="shared" si="27"/>
        <v>.</v>
      </c>
    </row>
    <row r="73" spans="1:48" ht="15" customHeight="1">
      <c r="A73" s="41" t="s">
        <v>427</v>
      </c>
      <c r="B73" s="41" t="s">
        <v>428</v>
      </c>
      <c r="C73" s="511">
        <v>44619</v>
      </c>
      <c r="D73" s="18" t="s">
        <v>228</v>
      </c>
      <c r="E73" s="18" t="s">
        <v>229</v>
      </c>
      <c r="F73" s="512" t="s">
        <v>429</v>
      </c>
      <c r="G73" s="39" t="s">
        <v>332</v>
      </c>
      <c r="H73" s="513" t="s">
        <v>309</v>
      </c>
      <c r="I73" s="41" t="s">
        <v>232</v>
      </c>
      <c r="J73" s="276" t="str">
        <f>VLOOKUP($I73,'Price List, Weapons &amp; Items'!A:B,2,0)</f>
        <v>.</v>
      </c>
      <c r="K73" s="276" t="str">
        <f>IF(I73=".",I73,VLOOKUP($I73,'Price List, Weapons &amp; Items'!A:C,3,0))</f>
        <v>.</v>
      </c>
      <c r="L73" s="514">
        <f>VLOOKUP(I73,'Price List, Weapons &amp; Items'!A:D,4,0)</f>
        <v>0</v>
      </c>
      <c r="M73" s="515" t="s">
        <v>232</v>
      </c>
      <c r="N73" s="515" t="s">
        <v>232</v>
      </c>
      <c r="O73" s="516" t="str">
        <f>VLOOKUP($I73,'Price List, Weapons &amp; Items'!A:F,6,0)</f>
        <v>.</v>
      </c>
      <c r="P73" s="513" t="str">
        <f t="shared" ref="P73:P142" si="28">IF(TYPE(M73)=1,IF(TYPE(O73)=1,M73*O73,"No price"),".")</f>
        <v>.</v>
      </c>
      <c r="Q73" s="513" t="str">
        <f t="shared" ref="Q73:Q142" si="29">IF(TYPE(N73)=1,IF(TYPE(O73)=1,N73*O73,"No price"),".")</f>
        <v>.</v>
      </c>
      <c r="R73" s="513" t="str">
        <f t="shared" si="19"/>
        <v>.</v>
      </c>
      <c r="S73" s="513" t="str">
        <f>IF(AND(AD73=1,R73&lt;&gt;".")=TRUE,R73/VLOOKUP(G73,'Exchange rates'!B:C,2,0),IF(R73=".",".",""))</f>
        <v>.</v>
      </c>
      <c r="T73" s="513" t="str">
        <f>IF(AD73=1,IF(AF73="Value is not given at all",".",IF(AF73="Value is given by the source",S73,IF(AF73="Value is calculated with prices",(IF(SUMIFS(Q:Q,A:A,A73)&gt;0,SUMIFS(Q:Q,A:A,A73),"."))/VLOOKUP("USD",'Exchange rates'!B:C,2,0),"Error with coding"))),"")</f>
        <v>.</v>
      </c>
      <c r="U73" s="39" t="s">
        <v>372</v>
      </c>
      <c r="V73" s="42" t="s">
        <v>430</v>
      </c>
      <c r="W73" s="42" t="s">
        <v>431</v>
      </c>
      <c r="X73" s="517" t="s">
        <v>232</v>
      </c>
      <c r="Y73" s="517" t="s">
        <v>232</v>
      </c>
      <c r="Z73" s="39">
        <v>0</v>
      </c>
      <c r="AA73" s="518">
        <v>0</v>
      </c>
      <c r="AB73" s="38" t="s">
        <v>232</v>
      </c>
      <c r="AC73" s="519" t="str">
        <f>""</f>
        <v/>
      </c>
      <c r="AD73" s="520">
        <v>1</v>
      </c>
      <c r="AE73" s="520" t="s">
        <v>237</v>
      </c>
      <c r="AF73" s="520" t="s">
        <v>237</v>
      </c>
      <c r="AG73" s="520">
        <v>1</v>
      </c>
      <c r="AH73" s="520">
        <v>2</v>
      </c>
      <c r="AI73" s="520">
        <v>0</v>
      </c>
      <c r="AJ73" s="520">
        <f>VLOOKUP($I73,'Price List, Weapons &amp; Items'!A:E,5,0)</f>
        <v>0</v>
      </c>
      <c r="AK73" s="520">
        <f t="shared" si="21"/>
        <v>0</v>
      </c>
      <c r="AL73" s="520">
        <f t="shared" si="22"/>
        <v>0</v>
      </c>
      <c r="AM73" s="520">
        <f t="shared" si="23"/>
        <v>0</v>
      </c>
      <c r="AN73" s="521" t="str">
        <f>VLOOKUP($I73,'Price List, Weapons &amp; Items'!A:K,COLUMN('Price List, Weapons &amp; Items'!$I$1),0)</f>
        <v>.</v>
      </c>
      <c r="AO73" s="521" t="str">
        <f>IF(I73=".",".",VLOOKUP($I73,'Price List, Weapons &amp; Items'!A:I,3,0))</f>
        <v>.</v>
      </c>
      <c r="AP73" s="517" t="str">
        <f t="shared" ca="1" si="20"/>
        <v>.</v>
      </c>
      <c r="AQ73" s="521" t="str">
        <f>VLOOKUP($I73,'Price List, Weapons &amp; Items'!A:K,COLUMN('Price List, Weapons &amp; Items'!$K$1),0)</f>
        <v>no price, 0 count</v>
      </c>
      <c r="AS73" s="521">
        <f t="shared" si="24"/>
        <v>0</v>
      </c>
      <c r="AT73" s="521">
        <f t="shared" si="25"/>
        <v>0</v>
      </c>
      <c r="AU73" s="521">
        <f t="shared" si="26"/>
        <v>1</v>
      </c>
      <c r="AV73" s="521" t="str">
        <f t="shared" si="27"/>
        <v>.</v>
      </c>
    </row>
    <row r="74" spans="1:48" ht="15" customHeight="1">
      <c r="A74" s="41" t="s">
        <v>432</v>
      </c>
      <c r="B74" s="41" t="s">
        <v>428</v>
      </c>
      <c r="C74" s="511">
        <v>44679</v>
      </c>
      <c r="D74" s="18" t="s">
        <v>228</v>
      </c>
      <c r="E74" s="18" t="s">
        <v>229</v>
      </c>
      <c r="F74" s="512" t="s">
        <v>433</v>
      </c>
      <c r="G74" s="39" t="s">
        <v>332</v>
      </c>
      <c r="H74" s="513">
        <v>706000</v>
      </c>
      <c r="I74" s="41" t="s">
        <v>232</v>
      </c>
      <c r="J74" s="276" t="str">
        <f>VLOOKUP($I74,'Price List, Weapons &amp; Items'!A:B,2,0)</f>
        <v>.</v>
      </c>
      <c r="K74" s="276" t="str">
        <f>IF(I74=".",I74,VLOOKUP($I74,'Price List, Weapons &amp; Items'!A:C,3,0))</f>
        <v>.</v>
      </c>
      <c r="L74" s="514">
        <f>VLOOKUP(I74,'Price List, Weapons &amp; Items'!A:D,4,0)</f>
        <v>0</v>
      </c>
      <c r="M74" s="515" t="s">
        <v>232</v>
      </c>
      <c r="N74" s="515" t="s">
        <v>232</v>
      </c>
      <c r="O74" s="516" t="str">
        <f>VLOOKUP($I74,'Price List, Weapons &amp; Items'!A:F,6,0)</f>
        <v>.</v>
      </c>
      <c r="P74" s="513" t="str">
        <f t="shared" si="28"/>
        <v>.</v>
      </c>
      <c r="Q74" s="513" t="str">
        <f t="shared" si="29"/>
        <v>.</v>
      </c>
      <c r="R74" s="513">
        <f t="shared" si="19"/>
        <v>706000</v>
      </c>
      <c r="S74" s="513">
        <f>IF(AND(AD74=1,R74&lt;&gt;".")=TRUE,R74/VLOOKUP(G74,'Exchange rates'!B:C,2,0),IF(R74=".",".",""))</f>
        <v>706000</v>
      </c>
      <c r="T74" s="513" t="str">
        <f>IF(AD74=1,IF(AF74="Value is not given at all",".",IF(AF74="Value is given by the source",S74,IF(AF74="Value is calculated with prices",(IF(SUMIFS(Q:Q,A:A,A74)&gt;0,SUMIFS(Q:Q,A:A,A74),"."))/VLOOKUP("USD",'Exchange rates'!B:C,2,0),"Error with coding"))),"")</f>
        <v>.</v>
      </c>
      <c r="U74" s="39" t="s">
        <v>233</v>
      </c>
      <c r="V74" s="42" t="s">
        <v>434</v>
      </c>
      <c r="W74" s="42" t="s">
        <v>435</v>
      </c>
      <c r="X74" s="42" t="s">
        <v>436</v>
      </c>
      <c r="Y74" s="517" t="s">
        <v>232</v>
      </c>
      <c r="Z74" s="39">
        <v>0</v>
      </c>
      <c r="AA74" s="518">
        <v>0</v>
      </c>
      <c r="AB74" s="38" t="s">
        <v>232</v>
      </c>
      <c r="AC74" s="519" t="str">
        <f>""</f>
        <v/>
      </c>
      <c r="AD74" s="520">
        <v>1</v>
      </c>
      <c r="AE74" s="520" t="s">
        <v>236</v>
      </c>
      <c r="AF74" s="520" t="s">
        <v>237</v>
      </c>
      <c r="AG74" s="520">
        <v>1</v>
      </c>
      <c r="AH74" s="520">
        <v>4</v>
      </c>
      <c r="AI74" s="520">
        <v>0</v>
      </c>
      <c r="AJ74" s="520">
        <f>VLOOKUP($I74,'Price List, Weapons &amp; Items'!A:E,5,0)</f>
        <v>0</v>
      </c>
      <c r="AK74" s="520">
        <f t="shared" si="21"/>
        <v>0</v>
      </c>
      <c r="AL74" s="520">
        <f t="shared" si="22"/>
        <v>0</v>
      </c>
      <c r="AM74" s="520">
        <f t="shared" si="23"/>
        <v>0</v>
      </c>
      <c r="AN74" s="521" t="str">
        <f>VLOOKUP($I74,'Price List, Weapons &amp; Items'!A:K,COLUMN('Price List, Weapons &amp; Items'!$I$1),0)</f>
        <v>.</v>
      </c>
      <c r="AO74" s="521" t="str">
        <f>IF(I74=".",".",VLOOKUP($I74,'Price List, Weapons &amp; Items'!A:I,3,0))</f>
        <v>.</v>
      </c>
      <c r="AP74" s="517" t="str">
        <f t="shared" ca="1" si="20"/>
        <v>.</v>
      </c>
      <c r="AQ74" s="521" t="str">
        <f>VLOOKUP($I74,'Price List, Weapons &amp; Items'!A:K,COLUMN('Price List, Weapons &amp; Items'!$K$1),0)</f>
        <v>no price, 0 count</v>
      </c>
      <c r="AS74" s="521">
        <f t="shared" si="24"/>
        <v>1</v>
      </c>
      <c r="AT74" s="521">
        <f t="shared" si="25"/>
        <v>0</v>
      </c>
      <c r="AU74" s="521">
        <f t="shared" si="26"/>
        <v>1</v>
      </c>
      <c r="AV74" s="521" t="str">
        <f t="shared" si="27"/>
        <v>.</v>
      </c>
    </row>
    <row r="75" spans="1:48" ht="15" customHeight="1">
      <c r="A75" s="41" t="s">
        <v>437</v>
      </c>
      <c r="B75" s="41" t="s">
        <v>428</v>
      </c>
      <c r="C75" s="511">
        <v>44685</v>
      </c>
      <c r="D75" s="18" t="s">
        <v>228</v>
      </c>
      <c r="E75" s="18" t="s">
        <v>239</v>
      </c>
      <c r="F75" s="512" t="s">
        <v>438</v>
      </c>
      <c r="G75" s="39" t="s">
        <v>232</v>
      </c>
      <c r="H75" s="513" t="s">
        <v>309</v>
      </c>
      <c r="I75" s="41" t="s">
        <v>232</v>
      </c>
      <c r="J75" s="276" t="str">
        <f>VLOOKUP($I75,'Price List, Weapons &amp; Items'!A:B,2,0)</f>
        <v>.</v>
      </c>
      <c r="K75" s="276" t="str">
        <f>IF(I75=".",I75,VLOOKUP($I75,'Price List, Weapons &amp; Items'!A:C,3,0))</f>
        <v>.</v>
      </c>
      <c r="L75" s="514">
        <f>VLOOKUP(I75,'Price List, Weapons &amp; Items'!A:D,4,0)</f>
        <v>0</v>
      </c>
      <c r="M75" s="515" t="s">
        <v>232</v>
      </c>
      <c r="N75" s="515" t="s">
        <v>232</v>
      </c>
      <c r="O75" s="516" t="str">
        <f>VLOOKUP($I75,'Price List, Weapons &amp; Items'!A:F,6,0)</f>
        <v>.</v>
      </c>
      <c r="P75" s="513" t="str">
        <f t="shared" si="28"/>
        <v>.</v>
      </c>
      <c r="Q75" s="513" t="str">
        <f t="shared" si="29"/>
        <v>.</v>
      </c>
      <c r="R75" s="513" t="str">
        <f t="shared" si="19"/>
        <v>.</v>
      </c>
      <c r="S75" s="513" t="str">
        <f>IF(AND(AD75=1,R75&lt;&gt;".")=TRUE,R75/VLOOKUP(G75,'Exchange rates'!B:C,2,0),IF(R75=".",".",""))</f>
        <v>.</v>
      </c>
      <c r="T75" s="513" t="str">
        <f>IF(AD75=1,IF(AF75="Value is not given at all",".",IF(AF75="Value is given by the source",S75,IF(AF75="Value is calculated with prices",(IF(SUMIFS(Q:Q,A:A,A75)&gt;0,SUMIFS(Q:Q,A:A,A75),"."))/VLOOKUP("USD",'Exchange rates'!B:C,2,0),"Error with coding"))),"")</f>
        <v>.</v>
      </c>
      <c r="U75" s="39" t="s">
        <v>372</v>
      </c>
      <c r="V75" s="42" t="s">
        <v>439</v>
      </c>
      <c r="W75" s="42" t="s">
        <v>440</v>
      </c>
      <c r="X75" s="517" t="s">
        <v>232</v>
      </c>
      <c r="Y75" s="517" t="s">
        <v>232</v>
      </c>
      <c r="Z75" s="39">
        <v>0</v>
      </c>
      <c r="AA75" s="518">
        <v>0</v>
      </c>
      <c r="AB75" s="38" t="s">
        <v>232</v>
      </c>
      <c r="AC75" s="519" t="str">
        <f>""</f>
        <v/>
      </c>
      <c r="AD75" s="520">
        <v>1</v>
      </c>
      <c r="AE75" s="520" t="s">
        <v>237</v>
      </c>
      <c r="AF75" s="520" t="s">
        <v>237</v>
      </c>
      <c r="AG75" s="520">
        <v>1</v>
      </c>
      <c r="AH75" s="520">
        <v>5</v>
      </c>
      <c r="AI75" s="520">
        <v>0</v>
      </c>
      <c r="AJ75" s="520">
        <f>VLOOKUP($I75,'Price List, Weapons &amp; Items'!A:E,5,0)</f>
        <v>0</v>
      </c>
      <c r="AK75" s="520">
        <f t="shared" si="21"/>
        <v>0</v>
      </c>
      <c r="AL75" s="520">
        <f t="shared" si="22"/>
        <v>0</v>
      </c>
      <c r="AM75" s="520">
        <f t="shared" si="23"/>
        <v>0</v>
      </c>
      <c r="AN75" s="521" t="str">
        <f>VLOOKUP($I75,'Price List, Weapons &amp; Items'!A:K,COLUMN('Price List, Weapons &amp; Items'!$I$1),0)</f>
        <v>.</v>
      </c>
      <c r="AO75" s="521" t="str">
        <f>IF(I75=".",".",VLOOKUP($I75,'Price List, Weapons &amp; Items'!A:I,3,0))</f>
        <v>.</v>
      </c>
      <c r="AP75" s="517" t="str">
        <f t="shared" ca="1" si="20"/>
        <v>.</v>
      </c>
      <c r="AQ75" s="521" t="str">
        <f>VLOOKUP($I75,'Price List, Weapons &amp; Items'!A:K,COLUMN('Price List, Weapons &amp; Items'!$K$1),0)</f>
        <v>no price, 0 count</v>
      </c>
      <c r="AS75" s="521">
        <f t="shared" si="24"/>
        <v>0</v>
      </c>
      <c r="AT75" s="521">
        <f t="shared" si="25"/>
        <v>0</v>
      </c>
      <c r="AU75" s="521">
        <f t="shared" si="26"/>
        <v>1</v>
      </c>
      <c r="AV75" s="521" t="str">
        <f t="shared" si="27"/>
        <v>.</v>
      </c>
    </row>
    <row r="76" spans="1:48" ht="15" customHeight="1">
      <c r="A76" s="18" t="s">
        <v>441</v>
      </c>
      <c r="B76" s="18" t="s">
        <v>428</v>
      </c>
      <c r="C76" s="511">
        <v>44658</v>
      </c>
      <c r="D76" s="18" t="s">
        <v>252</v>
      </c>
      <c r="E76" s="18" t="s">
        <v>261</v>
      </c>
      <c r="F76" s="512" t="s">
        <v>442</v>
      </c>
      <c r="G76" s="39" t="s">
        <v>314</v>
      </c>
      <c r="H76" s="513" t="s">
        <v>309</v>
      </c>
      <c r="I76" s="41" t="s">
        <v>419</v>
      </c>
      <c r="J76" s="276" t="str">
        <f>VLOOKUP($I76,'Price List, Weapons &amp; Items'!A:B,2,0)</f>
        <v>Military equipment</v>
      </c>
      <c r="K76" s="276" t="str">
        <f>IF(I76=".",I76,VLOOKUP($I76,'Price List, Weapons &amp; Items'!A:C,3,0))</f>
        <v>.</v>
      </c>
      <c r="L76" s="514">
        <f>VLOOKUP(I76,'Price List, Weapons &amp; Items'!A:D,4,0)</f>
        <v>0</v>
      </c>
      <c r="M76" s="515">
        <v>2000</v>
      </c>
      <c r="N76" s="515">
        <v>2000</v>
      </c>
      <c r="O76" s="516">
        <f>VLOOKUP($I76,'Price List, Weapons &amp; Items'!A:F,6,0)</f>
        <v>1400</v>
      </c>
      <c r="P76" s="513">
        <f t="shared" si="28"/>
        <v>2800000</v>
      </c>
      <c r="Q76" s="513">
        <f t="shared" si="29"/>
        <v>2800000</v>
      </c>
      <c r="R76" s="513">
        <f t="shared" si="19"/>
        <v>3800000</v>
      </c>
      <c r="S76" s="513">
        <f>IF(AND(AD76=1,R76&lt;&gt;".")=TRUE,R76/VLOOKUP(G76,'Exchange rates'!B:C,2,0),IF(R76=".",".",""))</f>
        <v>3786746.3876432483</v>
      </c>
      <c r="T76" s="513">
        <f>IF(AD76=1,IF(AF76="Value is not given at all",".",IF(AF76="Value is given by the source",S76,IF(AF76="Value is calculated with prices",(IF(SUMIFS(Q:Q,A:A,A76)&gt;0,SUMIFS(Q:Q,A:A,A76),"."))/VLOOKUP("USD",'Exchange rates'!B:C,2,0),"Error with coding"))),"")</f>
        <v>3786746.3876432483</v>
      </c>
      <c r="U76" s="514" t="s">
        <v>372</v>
      </c>
      <c r="V76" s="377" t="s">
        <v>443</v>
      </c>
      <c r="W76" s="377" t="s">
        <v>444</v>
      </c>
      <c r="X76" s="583" t="s">
        <v>232</v>
      </c>
      <c r="Y76" s="583" t="s">
        <v>232</v>
      </c>
      <c r="Z76" s="584">
        <v>0</v>
      </c>
      <c r="AA76" s="584">
        <v>0</v>
      </c>
      <c r="AB76" s="394" t="s">
        <v>445</v>
      </c>
      <c r="AC76" s="519" t="str">
        <f>""</f>
        <v/>
      </c>
      <c r="AD76" s="520">
        <v>1</v>
      </c>
      <c r="AE76" s="520" t="s">
        <v>300</v>
      </c>
      <c r="AF76" s="520" t="s">
        <v>300</v>
      </c>
      <c r="AG76" s="520">
        <v>1</v>
      </c>
      <c r="AH76" s="520">
        <v>4</v>
      </c>
      <c r="AI76" s="520">
        <v>0</v>
      </c>
      <c r="AJ76" s="520">
        <f>VLOOKUP($I76,'Price List, Weapons &amp; Items'!A:E,5,0)</f>
        <v>0</v>
      </c>
      <c r="AK76" s="520">
        <f t="shared" si="21"/>
        <v>0</v>
      </c>
      <c r="AL76" s="520">
        <f t="shared" si="22"/>
        <v>0</v>
      </c>
      <c r="AM76" s="520">
        <f t="shared" si="23"/>
        <v>0</v>
      </c>
      <c r="AN76" s="521" t="str">
        <f>VLOOKUP($I76,'Price List, Weapons &amp; Items'!A:K,COLUMN('Price List, Weapons &amp; Items'!$I$1),0)</f>
        <v>Military media (incl. websites)</v>
      </c>
      <c r="AO76" s="521" t="str">
        <f>IF(I76=".",".",VLOOKUP($I76,'Price List, Weapons &amp; Items'!A:I,3,0))</f>
        <v>.</v>
      </c>
      <c r="AP76" s="517" t="str">
        <f t="shared" ca="1" si="20"/>
        <v>helmet; ballistic vest</v>
      </c>
      <c r="AQ76" s="521">
        <f>VLOOKUP($I76,'Price List, Weapons &amp; Items'!A:K,COLUMN('Price List, Weapons &amp; Items'!$K$1),0)</f>
        <v>2</v>
      </c>
      <c r="AS76" s="521">
        <f t="shared" si="24"/>
        <v>0</v>
      </c>
      <c r="AT76" s="521">
        <f t="shared" si="25"/>
        <v>1</v>
      </c>
      <c r="AU76" s="521">
        <f t="shared" si="26"/>
        <v>1</v>
      </c>
      <c r="AV76" s="521" t="str">
        <f t="shared" si="27"/>
        <v>.</v>
      </c>
    </row>
    <row r="77" spans="1:48" ht="15" customHeight="1">
      <c r="A77" s="18" t="s">
        <v>441</v>
      </c>
      <c r="B77" s="18" t="s">
        <v>428</v>
      </c>
      <c r="C77" s="511">
        <v>44658</v>
      </c>
      <c r="D77" s="18" t="s">
        <v>252</v>
      </c>
      <c r="E77" s="18" t="s">
        <v>261</v>
      </c>
      <c r="F77" s="512" t="s">
        <v>442</v>
      </c>
      <c r="G77" s="39" t="s">
        <v>314</v>
      </c>
      <c r="H77" s="513" t="s">
        <v>309</v>
      </c>
      <c r="I77" s="41" t="s">
        <v>446</v>
      </c>
      <c r="J77" s="276" t="str">
        <f>VLOOKUP($I77,'Price List, Weapons &amp; Items'!A:B,2,0)</f>
        <v>Military equipment</v>
      </c>
      <c r="K77" s="276" t="str">
        <f>IF(I77=".",I77,VLOOKUP($I77,'Price List, Weapons &amp; Items'!A:C,3,0))</f>
        <v>.</v>
      </c>
      <c r="L77" s="514">
        <f>VLOOKUP(I77,'Price List, Weapons &amp; Items'!A:D,4,0)</f>
        <v>0</v>
      </c>
      <c r="M77" s="515">
        <v>2000</v>
      </c>
      <c r="N77" s="515">
        <v>2000</v>
      </c>
      <c r="O77" s="516">
        <f>VLOOKUP($I77,'Price List, Weapons &amp; Items'!A:F,6,0)</f>
        <v>500</v>
      </c>
      <c r="P77" s="513">
        <f t="shared" si="28"/>
        <v>1000000</v>
      </c>
      <c r="Q77" s="513">
        <f t="shared" si="29"/>
        <v>1000000</v>
      </c>
      <c r="R77" s="513" t="str">
        <f t="shared" si="19"/>
        <v/>
      </c>
      <c r="S77" s="513" t="str">
        <f>IF(AND(AD77=1,R77&lt;&gt;".")=TRUE,R77/VLOOKUP(G77,'Exchange rates'!B:C,2,0),IF(R77=".",".",""))</f>
        <v/>
      </c>
      <c r="T77" s="513" t="str">
        <f>IF(AD77=1,IF(AF77="Value is not given at all",".",IF(AF77="Value is given by the source",S77,IF(AF77="Value is calculated with prices",(IF(SUMIFS(Q:Q,A:A,A77)&gt;0,SUMIFS(Q:Q,A:A,A77),"."))/VLOOKUP("USD",'Exchange rates'!B:C,2,0),"Error with coding"))),"")</f>
        <v/>
      </c>
      <c r="U77" s="514" t="s">
        <v>372</v>
      </c>
      <c r="V77" s="377" t="s">
        <v>443</v>
      </c>
      <c r="W77" s="377" t="s">
        <v>444</v>
      </c>
      <c r="X77" s="583" t="s">
        <v>232</v>
      </c>
      <c r="Y77" s="583" t="s">
        <v>232</v>
      </c>
      <c r="Z77" s="584">
        <v>0</v>
      </c>
      <c r="AA77" s="584">
        <v>0</v>
      </c>
      <c r="AB77" s="394" t="s">
        <v>445</v>
      </c>
      <c r="AC77" s="519" t="str">
        <f>""</f>
        <v/>
      </c>
      <c r="AD77" s="520">
        <v>0</v>
      </c>
      <c r="AE77" s="520" t="s">
        <v>300</v>
      </c>
      <c r="AF77" s="520" t="s">
        <v>300</v>
      </c>
      <c r="AG77" s="520">
        <v>1</v>
      </c>
      <c r="AH77" s="520">
        <v>4</v>
      </c>
      <c r="AI77" s="520">
        <v>0</v>
      </c>
      <c r="AJ77" s="520">
        <f>VLOOKUP($I77,'Price List, Weapons &amp; Items'!A:E,5,0)</f>
        <v>0</v>
      </c>
      <c r="AK77" s="520">
        <f t="shared" si="21"/>
        <v>0</v>
      </c>
      <c r="AL77" s="520">
        <f t="shared" si="22"/>
        <v>0</v>
      </c>
      <c r="AM77" s="520">
        <f t="shared" si="23"/>
        <v>0</v>
      </c>
      <c r="AN77" s="521" t="str">
        <f>VLOOKUP($I77,'Price List, Weapons &amp; Items'!A:K,COLUMN('Price List, Weapons &amp; Items'!$I$1),0)</f>
        <v>Military media (incl. websites)</v>
      </c>
      <c r="AO77" s="521" t="str">
        <f>IF(I77=".",".",VLOOKUP($I77,'Price List, Weapons &amp; Items'!A:I,3,0))</f>
        <v>.</v>
      </c>
      <c r="AP77" s="517" t="str">
        <f t="shared" ca="1" si="20"/>
        <v/>
      </c>
      <c r="AQ77" s="521">
        <f>VLOOKUP($I77,'Price List, Weapons &amp; Items'!A:K,COLUMN('Price List, Weapons &amp; Items'!$K$1),0)</f>
        <v>2</v>
      </c>
      <c r="AS77" s="521">
        <f t="shared" si="24"/>
        <v>0</v>
      </c>
      <c r="AT77" s="521">
        <f t="shared" si="25"/>
        <v>1</v>
      </c>
      <c r="AU77" s="521">
        <f t="shared" si="26"/>
        <v>1</v>
      </c>
      <c r="AV77" s="521" t="str">
        <f t="shared" si="27"/>
        <v>.</v>
      </c>
    </row>
    <row r="78" spans="1:48" ht="15" customHeight="1">
      <c r="A78" s="41" t="s">
        <v>447</v>
      </c>
      <c r="B78" s="41" t="s">
        <v>428</v>
      </c>
      <c r="C78" s="511">
        <v>44685</v>
      </c>
      <c r="D78" s="18" t="s">
        <v>252</v>
      </c>
      <c r="E78" s="18" t="s">
        <v>229</v>
      </c>
      <c r="F78" s="512" t="s">
        <v>448</v>
      </c>
      <c r="G78" s="39" t="s">
        <v>232</v>
      </c>
      <c r="H78" s="513" t="s">
        <v>309</v>
      </c>
      <c r="I78" s="41" t="s">
        <v>232</v>
      </c>
      <c r="J78" s="276" t="str">
        <f>VLOOKUP($I78,'Price List, Weapons &amp; Items'!A:B,2,0)</f>
        <v>.</v>
      </c>
      <c r="K78" s="276" t="str">
        <f>IF(I78=".",I78,VLOOKUP($I78,'Price List, Weapons &amp; Items'!A:C,3,0))</f>
        <v>.</v>
      </c>
      <c r="L78" s="514">
        <f>VLOOKUP(I78,'Price List, Weapons &amp; Items'!A:D,4,0)</f>
        <v>0</v>
      </c>
      <c r="M78" s="515" t="s">
        <v>232</v>
      </c>
      <c r="N78" s="515" t="s">
        <v>232</v>
      </c>
      <c r="O78" s="516" t="str">
        <f>VLOOKUP($I78,'Price List, Weapons &amp; Items'!A:F,6,0)</f>
        <v>.</v>
      </c>
      <c r="P78" s="513" t="str">
        <f t="shared" si="28"/>
        <v>.</v>
      </c>
      <c r="Q78" s="513" t="str">
        <f t="shared" si="29"/>
        <v>.</v>
      </c>
      <c r="R78" s="513" t="str">
        <f t="shared" si="19"/>
        <v>.</v>
      </c>
      <c r="S78" s="513" t="str">
        <f>IF(AND(AD78=1,R78&lt;&gt;".")=TRUE,R78/VLOOKUP(G78,'Exchange rates'!B:C,2,0),IF(R78=".",".",""))</f>
        <v>.</v>
      </c>
      <c r="T78" s="513" t="str">
        <f>IF(AD78=1,IF(AF78="Value is not given at all",".",IF(AF78="Value is given by the source",S78,IF(AF78="Value is calculated with prices",(IF(SUMIFS(Q:Q,A:A,A78)&gt;0,SUMIFS(Q:Q,A:A,A78),"."))/VLOOKUP("USD",'Exchange rates'!B:C,2,0),"Error with coding"))),"")</f>
        <v>.</v>
      </c>
      <c r="U78" s="514" t="s">
        <v>372</v>
      </c>
      <c r="V78" s="132" t="s">
        <v>449</v>
      </c>
      <c r="W78" s="132" t="s">
        <v>450</v>
      </c>
      <c r="X78" s="543" t="s">
        <v>232</v>
      </c>
      <c r="Y78" s="543" t="s">
        <v>232</v>
      </c>
      <c r="Z78" s="584">
        <v>0</v>
      </c>
      <c r="AA78" s="518">
        <v>0</v>
      </c>
      <c r="AB78" s="394" t="s">
        <v>232</v>
      </c>
      <c r="AC78" s="519" t="str">
        <f>""</f>
        <v/>
      </c>
      <c r="AD78" s="520">
        <v>1</v>
      </c>
      <c r="AE78" s="520" t="s">
        <v>237</v>
      </c>
      <c r="AF78" s="520" t="s">
        <v>237</v>
      </c>
      <c r="AG78" s="520">
        <v>1</v>
      </c>
      <c r="AH78" s="520">
        <v>5</v>
      </c>
      <c r="AI78" s="520">
        <v>0</v>
      </c>
      <c r="AJ78" s="520">
        <f>VLOOKUP($I78,'Price List, Weapons &amp; Items'!A:E,5,0)</f>
        <v>0</v>
      </c>
      <c r="AK78" s="520">
        <f t="shared" si="21"/>
        <v>0</v>
      </c>
      <c r="AL78" s="520">
        <f t="shared" si="22"/>
        <v>0</v>
      </c>
      <c r="AM78" s="520">
        <f t="shared" si="23"/>
        <v>0</v>
      </c>
      <c r="AN78" s="521" t="str">
        <f>VLOOKUP($I78,'Price List, Weapons &amp; Items'!A:K,COLUMN('Price List, Weapons &amp; Items'!$I$1),0)</f>
        <v>.</v>
      </c>
      <c r="AO78" s="521" t="str">
        <f>IF(I78=".",".",VLOOKUP($I78,'Price List, Weapons &amp; Items'!A:I,3,0))</f>
        <v>.</v>
      </c>
      <c r="AP78" s="517" t="str">
        <f t="shared" ca="1" si="20"/>
        <v>.</v>
      </c>
      <c r="AQ78" s="521" t="str">
        <f>VLOOKUP($I78,'Price List, Weapons &amp; Items'!A:K,COLUMN('Price List, Weapons &amp; Items'!$K$1),0)</f>
        <v>no price, 0 count</v>
      </c>
      <c r="AS78" s="521">
        <f t="shared" si="24"/>
        <v>0</v>
      </c>
      <c r="AT78" s="521">
        <f t="shared" si="25"/>
        <v>0</v>
      </c>
      <c r="AU78" s="521">
        <f t="shared" si="26"/>
        <v>1</v>
      </c>
      <c r="AV78" s="521" t="str">
        <f t="shared" si="27"/>
        <v>.</v>
      </c>
    </row>
    <row r="79" spans="1:48" s="533" customFormat="1" ht="15" customHeight="1">
      <c r="A79" s="41" t="s">
        <v>451</v>
      </c>
      <c r="B79" s="41" t="s">
        <v>452</v>
      </c>
      <c r="C79" s="511">
        <v>44606</v>
      </c>
      <c r="D79" s="18" t="s">
        <v>366</v>
      </c>
      <c r="E79" s="18" t="s">
        <v>453</v>
      </c>
      <c r="F79" s="512" t="s">
        <v>454</v>
      </c>
      <c r="G79" s="39" t="s">
        <v>455</v>
      </c>
      <c r="H79" s="513">
        <v>500000000</v>
      </c>
      <c r="I79" s="41" t="s">
        <v>232</v>
      </c>
      <c r="J79" s="276" t="str">
        <f>VLOOKUP($I79,'Price List, Weapons &amp; Items'!A:B,2,0)</f>
        <v>.</v>
      </c>
      <c r="K79" s="276" t="str">
        <f>IF(I79=".",I79,VLOOKUP($I79,'Price List, Weapons &amp; Items'!A:C,3,0))</f>
        <v>.</v>
      </c>
      <c r="L79" s="514">
        <f>VLOOKUP(I79,'Price List, Weapons &amp; Items'!A:D,4,0)</f>
        <v>0</v>
      </c>
      <c r="M79" s="515" t="s">
        <v>232</v>
      </c>
      <c r="N79" s="515" t="s">
        <v>232</v>
      </c>
      <c r="O79" s="516" t="str">
        <f>VLOOKUP($I79,'Price List, Weapons &amp; Items'!A:F,6,0)</f>
        <v>.</v>
      </c>
      <c r="P79" s="513" t="str">
        <f t="shared" si="28"/>
        <v>.</v>
      </c>
      <c r="Q79" s="513" t="str">
        <f t="shared" si="29"/>
        <v>.</v>
      </c>
      <c r="R79" s="513">
        <f t="shared" si="19"/>
        <v>500000000</v>
      </c>
      <c r="S79" s="513">
        <f>IF(AND(AD79=1,R79&lt;&gt;".")=TRUE,R79/VLOOKUP(G79,'Exchange rates'!B:C,2,0),IF(R79=".",".",""))</f>
        <v>368324125.23020262</v>
      </c>
      <c r="T79" s="513" t="str">
        <f>IF(AD79=1,IF(AF79="Value is not given at all",".",IF(AF79="Value is given by the source",S79,IF(AF79="Value is calculated with prices",(IF(SUMIFS(Q:Q,A:A,A79)&gt;0,SUMIFS(Q:Q,A:A,A79),"."))/VLOOKUP("USD",'Exchange rates'!B:C,2,0),"Error with coding"))),"")</f>
        <v>.</v>
      </c>
      <c r="U79" s="39" t="s">
        <v>233</v>
      </c>
      <c r="V79" s="42" t="s">
        <v>456</v>
      </c>
      <c r="W79" s="42" t="s">
        <v>457</v>
      </c>
      <c r="X79" s="517" t="s">
        <v>232</v>
      </c>
      <c r="Y79" s="517" t="s">
        <v>232</v>
      </c>
      <c r="Z79" s="39">
        <v>0</v>
      </c>
      <c r="AA79" s="518">
        <v>0</v>
      </c>
      <c r="AB79" s="38" t="s">
        <v>232</v>
      </c>
      <c r="AC79" s="519" t="str">
        <f>""</f>
        <v/>
      </c>
      <c r="AD79" s="520">
        <v>1</v>
      </c>
      <c r="AE79" s="520" t="s">
        <v>236</v>
      </c>
      <c r="AF79" s="520" t="s">
        <v>237</v>
      </c>
      <c r="AG79" s="520">
        <v>1</v>
      </c>
      <c r="AH79" s="520">
        <v>2</v>
      </c>
      <c r="AI79" s="520">
        <v>1</v>
      </c>
      <c r="AJ79" s="520">
        <f>VLOOKUP($I79,'Price List, Weapons &amp; Items'!A:E,5,0)</f>
        <v>0</v>
      </c>
      <c r="AK79" s="520">
        <f t="shared" si="21"/>
        <v>0</v>
      </c>
      <c r="AL79" s="520">
        <f t="shared" si="22"/>
        <v>0</v>
      </c>
      <c r="AM79" s="520">
        <f t="shared" si="23"/>
        <v>0</v>
      </c>
      <c r="AN79" s="521" t="str">
        <f>VLOOKUP($I79,'Price List, Weapons &amp; Items'!A:K,COLUMN('Price List, Weapons &amp; Items'!$I$1),0)</f>
        <v>.</v>
      </c>
      <c r="AO79" s="521" t="str">
        <f>IF(I79=".",".",VLOOKUP($I79,'Price List, Weapons &amp; Items'!A:I,3,0))</f>
        <v>.</v>
      </c>
      <c r="AP79" s="517" t="str">
        <f t="shared" ca="1" si="20"/>
        <v>.</v>
      </c>
      <c r="AQ79" s="521" t="str">
        <f>VLOOKUP($I79,'Price List, Weapons &amp; Items'!A:K,COLUMN('Price List, Weapons &amp; Items'!$K$1),0)</f>
        <v>no price, 0 count</v>
      </c>
      <c r="AS79" s="521">
        <f t="shared" si="24"/>
        <v>1</v>
      </c>
      <c r="AT79" s="521">
        <f t="shared" si="25"/>
        <v>0</v>
      </c>
      <c r="AU79" s="521">
        <f t="shared" si="26"/>
        <v>1</v>
      </c>
      <c r="AV79" s="521" t="str">
        <f t="shared" si="27"/>
        <v>.</v>
      </c>
    </row>
    <row r="80" spans="1:48" s="533" customFormat="1" ht="15" customHeight="1">
      <c r="A80" s="41" t="s">
        <v>458</v>
      </c>
      <c r="B80" s="41" t="s">
        <v>452</v>
      </c>
      <c r="C80" s="511">
        <v>44658</v>
      </c>
      <c r="D80" s="18" t="s">
        <v>366</v>
      </c>
      <c r="E80" s="18" t="s">
        <v>453</v>
      </c>
      <c r="F80" s="512" t="s">
        <v>459</v>
      </c>
      <c r="G80" s="39" t="s">
        <v>455</v>
      </c>
      <c r="H80" s="513">
        <v>1000000000</v>
      </c>
      <c r="I80" s="41" t="s">
        <v>232</v>
      </c>
      <c r="J80" s="276" t="str">
        <f>VLOOKUP($I80,'Price List, Weapons &amp; Items'!A:B,2,0)</f>
        <v>.</v>
      </c>
      <c r="K80" s="276" t="str">
        <f>IF(I80=".",I80,VLOOKUP($I80,'Price List, Weapons &amp; Items'!A:C,3,0))</f>
        <v>.</v>
      </c>
      <c r="L80" s="514">
        <f>VLOOKUP(I80,'Price List, Weapons &amp; Items'!A:D,4,0)</f>
        <v>0</v>
      </c>
      <c r="M80" s="515" t="s">
        <v>232</v>
      </c>
      <c r="N80" s="515" t="s">
        <v>232</v>
      </c>
      <c r="O80" s="516" t="str">
        <f>VLOOKUP($I80,'Price List, Weapons &amp; Items'!A:F,6,0)</f>
        <v>.</v>
      </c>
      <c r="P80" s="513" t="str">
        <f t="shared" si="28"/>
        <v>.</v>
      </c>
      <c r="Q80" s="513" t="str">
        <f t="shared" si="29"/>
        <v>.</v>
      </c>
      <c r="R80" s="513">
        <f t="shared" si="19"/>
        <v>1000000000</v>
      </c>
      <c r="S80" s="513">
        <f>IF(AND(AD80=1,R80&lt;&gt;".")=TRUE,R80/VLOOKUP(G80,'Exchange rates'!B:C,2,0),IF(R80=".",".",""))</f>
        <v>736648250.46040523</v>
      </c>
      <c r="T80" s="513" t="str">
        <f>IF(AD80=1,IF(AF80="Value is not given at all",".",IF(AF80="Value is given by the source",S80,IF(AF80="Value is calculated with prices",(IF(SUMIFS(Q:Q,A:A,A80)&gt;0,SUMIFS(Q:Q,A:A,A80),"."))/VLOOKUP("USD",'Exchange rates'!B:C,2,0),"Error with coding"))),"")</f>
        <v>.</v>
      </c>
      <c r="U80" s="39" t="s">
        <v>372</v>
      </c>
      <c r="V80" s="42" t="s">
        <v>460</v>
      </c>
      <c r="W80" s="42" t="s">
        <v>461</v>
      </c>
      <c r="X80" s="42" t="s">
        <v>462</v>
      </c>
      <c r="Y80" s="42" t="s">
        <v>463</v>
      </c>
      <c r="Z80" s="39">
        <v>1</v>
      </c>
      <c r="AA80" s="518">
        <v>0</v>
      </c>
      <c r="AB80" s="38" t="s">
        <v>232</v>
      </c>
      <c r="AC80" s="519" t="str">
        <f>""</f>
        <v/>
      </c>
      <c r="AD80" s="520">
        <v>1</v>
      </c>
      <c r="AE80" s="520" t="s">
        <v>236</v>
      </c>
      <c r="AF80" s="520" t="s">
        <v>237</v>
      </c>
      <c r="AG80" s="520">
        <v>1</v>
      </c>
      <c r="AH80" s="520">
        <v>4</v>
      </c>
      <c r="AI80" s="520">
        <v>0</v>
      </c>
      <c r="AJ80" s="520">
        <f>VLOOKUP($I80,'Price List, Weapons &amp; Items'!A:E,5,0)</f>
        <v>0</v>
      </c>
      <c r="AK80" s="520">
        <f t="shared" si="21"/>
        <v>0</v>
      </c>
      <c r="AL80" s="520">
        <f t="shared" si="22"/>
        <v>0</v>
      </c>
      <c r="AM80" s="520">
        <f t="shared" si="23"/>
        <v>0</v>
      </c>
      <c r="AN80" s="521" t="str">
        <f>VLOOKUP($I80,'Price List, Weapons &amp; Items'!A:K,COLUMN('Price List, Weapons &amp; Items'!$I$1),0)</f>
        <v>.</v>
      </c>
      <c r="AO80" s="521" t="str">
        <f>IF(I80=".",".",VLOOKUP($I80,'Price List, Weapons &amp; Items'!A:I,3,0))</f>
        <v>.</v>
      </c>
      <c r="AP80" s="517" t="str">
        <f t="shared" ca="1" si="20"/>
        <v>.</v>
      </c>
      <c r="AQ80" s="521" t="str">
        <f>VLOOKUP($I80,'Price List, Weapons &amp; Items'!A:K,COLUMN('Price List, Weapons &amp; Items'!$K$1),0)</f>
        <v>no price, 0 count</v>
      </c>
      <c r="AS80" s="521">
        <f t="shared" si="24"/>
        <v>0</v>
      </c>
      <c r="AT80" s="521">
        <f t="shared" si="25"/>
        <v>0</v>
      </c>
      <c r="AU80" s="521">
        <f t="shared" si="26"/>
        <v>1</v>
      </c>
      <c r="AV80" s="521" t="str">
        <f t="shared" si="27"/>
        <v>.</v>
      </c>
    </row>
    <row r="81" spans="1:48" s="533" customFormat="1" ht="15" customHeight="1">
      <c r="A81" s="41" t="s">
        <v>464</v>
      </c>
      <c r="B81" s="41" t="s">
        <v>452</v>
      </c>
      <c r="C81" s="511">
        <v>44701</v>
      </c>
      <c r="D81" s="18" t="s">
        <v>366</v>
      </c>
      <c r="E81" s="18" t="s">
        <v>453</v>
      </c>
      <c r="F81" s="512" t="s">
        <v>465</v>
      </c>
      <c r="G81" s="39" t="s">
        <v>455</v>
      </c>
      <c r="H81" s="513">
        <v>250000000</v>
      </c>
      <c r="I81" s="41" t="s">
        <v>232</v>
      </c>
      <c r="J81" s="276" t="str">
        <f>VLOOKUP($I81,'Price List, Weapons &amp; Items'!A:B,2,0)</f>
        <v>.</v>
      </c>
      <c r="K81" s="276" t="str">
        <f>IF(I81=".",I81,VLOOKUP($I81,'Price List, Weapons &amp; Items'!A:C,3,0))</f>
        <v>.</v>
      </c>
      <c r="L81" s="514">
        <f>VLOOKUP(I81,'Price List, Weapons &amp; Items'!A:D,4,0)</f>
        <v>0</v>
      </c>
      <c r="M81" s="515" t="s">
        <v>232</v>
      </c>
      <c r="N81" s="515" t="s">
        <v>232</v>
      </c>
      <c r="O81" s="516" t="str">
        <f>VLOOKUP($I81,'Price List, Weapons &amp; Items'!A:F,6,0)</f>
        <v>.</v>
      </c>
      <c r="P81" s="513" t="str">
        <f t="shared" si="28"/>
        <v>.</v>
      </c>
      <c r="Q81" s="513" t="str">
        <f t="shared" si="29"/>
        <v>.</v>
      </c>
      <c r="R81" s="513">
        <f t="shared" si="19"/>
        <v>250000000</v>
      </c>
      <c r="S81" s="513">
        <f>IF(AND(AD81=1,R81&lt;&gt;".")=TRUE,R81/VLOOKUP(G81,'Exchange rates'!B:C,2,0),IF(R81=".",".",""))</f>
        <v>184162062.61510131</v>
      </c>
      <c r="T81" s="513" t="str">
        <f>IF(AD81=1,IF(AF81="Value is not given at all",".",IF(AF81="Value is given by the source",S81,IF(AF81="Value is calculated with prices",(IF(SUMIFS(Q:Q,A:A,A81)&gt;0,SUMIFS(Q:Q,A:A,A81),"."))/VLOOKUP("USD",'Exchange rates'!B:C,2,0),"Error with coding"))),"")</f>
        <v>.</v>
      </c>
      <c r="U81" s="514" t="s">
        <v>233</v>
      </c>
      <c r="V81" s="42" t="s">
        <v>466</v>
      </c>
      <c r="W81" s="42" t="s">
        <v>467</v>
      </c>
      <c r="X81" s="42" t="s">
        <v>468</v>
      </c>
      <c r="Y81" s="517" t="s">
        <v>232</v>
      </c>
      <c r="Z81" s="39">
        <v>1</v>
      </c>
      <c r="AA81" s="518">
        <v>0</v>
      </c>
      <c r="AB81" s="533" t="s">
        <v>232</v>
      </c>
      <c r="AC81" s="519" t="str">
        <f>""</f>
        <v/>
      </c>
      <c r="AD81" s="520">
        <v>1</v>
      </c>
      <c r="AE81" s="520" t="s">
        <v>236</v>
      </c>
      <c r="AF81" s="520" t="s">
        <v>237</v>
      </c>
      <c r="AG81" s="520">
        <v>1</v>
      </c>
      <c r="AH81" s="520">
        <v>5</v>
      </c>
      <c r="AI81" s="520">
        <v>0</v>
      </c>
      <c r="AJ81" s="520">
        <f>VLOOKUP($I81,'Price List, Weapons &amp; Items'!A:E,5,0)</f>
        <v>0</v>
      </c>
      <c r="AK81" s="520">
        <f t="shared" si="21"/>
        <v>0</v>
      </c>
      <c r="AL81" s="520">
        <f t="shared" si="22"/>
        <v>0</v>
      </c>
      <c r="AM81" s="520">
        <f t="shared" si="23"/>
        <v>0</v>
      </c>
      <c r="AN81" s="521" t="str">
        <f>VLOOKUP($I81,'Price List, Weapons &amp; Items'!A:K,COLUMN('Price List, Weapons &amp; Items'!$I$1),0)</f>
        <v>.</v>
      </c>
      <c r="AO81" s="521" t="str">
        <f>IF(I81=".",".",VLOOKUP($I81,'Price List, Weapons &amp; Items'!A:I,3,0))</f>
        <v>.</v>
      </c>
      <c r="AP81" s="517" t="str">
        <f t="shared" ca="1" si="20"/>
        <v>.</v>
      </c>
      <c r="AQ81" s="521" t="str">
        <f>VLOOKUP($I81,'Price List, Weapons &amp; Items'!A:K,COLUMN('Price List, Weapons &amp; Items'!$K$1),0)</f>
        <v>no price, 0 count</v>
      </c>
      <c r="AS81" s="521">
        <f t="shared" si="24"/>
        <v>1</v>
      </c>
      <c r="AT81" s="521">
        <f t="shared" si="25"/>
        <v>0</v>
      </c>
      <c r="AU81" s="521">
        <f t="shared" si="26"/>
        <v>1</v>
      </c>
      <c r="AV81" s="521" t="str">
        <f t="shared" si="27"/>
        <v>.</v>
      </c>
    </row>
    <row r="82" spans="1:48" s="533" customFormat="1" ht="15" customHeight="1">
      <c r="A82" s="41" t="s">
        <v>469</v>
      </c>
      <c r="B82" s="41" t="s">
        <v>452</v>
      </c>
      <c r="C82" s="511">
        <v>44740</v>
      </c>
      <c r="D82" s="18" t="s">
        <v>366</v>
      </c>
      <c r="E82" s="18" t="s">
        <v>453</v>
      </c>
      <c r="F82" s="512" t="s">
        <v>470</v>
      </c>
      <c r="G82" s="39" t="s">
        <v>455</v>
      </c>
      <c r="H82" s="513">
        <v>200000000</v>
      </c>
      <c r="I82" s="41" t="s">
        <v>232</v>
      </c>
      <c r="J82" s="276" t="str">
        <f>VLOOKUP($I82,'Price List, Weapons &amp; Items'!A:B,2,0)</f>
        <v>.</v>
      </c>
      <c r="K82" s="276" t="str">
        <f>IF(I82=".",I82,VLOOKUP($I82,'Price List, Weapons &amp; Items'!A:C,3,0))</f>
        <v>.</v>
      </c>
      <c r="L82" s="514">
        <f>VLOOKUP(I82,'Price List, Weapons &amp; Items'!A:D,4,0)</f>
        <v>0</v>
      </c>
      <c r="M82" s="515" t="s">
        <v>232</v>
      </c>
      <c r="N82" s="515" t="s">
        <v>232</v>
      </c>
      <c r="O82" s="516" t="str">
        <f>VLOOKUP($I82,'Price List, Weapons &amp; Items'!A:F,6,0)</f>
        <v>.</v>
      </c>
      <c r="P82" s="513" t="str">
        <f t="shared" si="28"/>
        <v>.</v>
      </c>
      <c r="Q82" s="513" t="str">
        <f t="shared" si="29"/>
        <v>.</v>
      </c>
      <c r="R82" s="513">
        <f t="shared" si="19"/>
        <v>200000000</v>
      </c>
      <c r="S82" s="513">
        <f>IF(AND(AD82=1,R82&lt;&gt;".")=TRUE,R82/VLOOKUP(G82,'Exchange rates'!B:C,2,0),IF(R82=".",".",""))</f>
        <v>147329650.09208104</v>
      </c>
      <c r="T82" s="513" t="str">
        <f>IF(AD82=1,IF(AF82="Value is not given at all",".",IF(AF82="Value is given by the source",S82,IF(AF82="Value is calculated with prices",(IF(SUMIFS(Q:Q,A:A,A82)&gt;0,SUMIFS(Q:Q,A:A,A82),"."))/VLOOKUP("USD",'Exchange rates'!B:C,2,0),"Error with coding"))),"")</f>
        <v>.</v>
      </c>
      <c r="U82" s="514" t="s">
        <v>233</v>
      </c>
      <c r="V82" s="42" t="s">
        <v>471</v>
      </c>
      <c r="W82" s="42" t="s">
        <v>472</v>
      </c>
      <c r="X82" s="42" t="s">
        <v>232</v>
      </c>
      <c r="Y82" s="517" t="s">
        <v>232</v>
      </c>
      <c r="Z82" s="39">
        <v>1</v>
      </c>
      <c r="AA82" s="518">
        <v>0</v>
      </c>
      <c r="AB82" s="533" t="s">
        <v>232</v>
      </c>
      <c r="AC82" s="519" t="str">
        <f>""</f>
        <v/>
      </c>
      <c r="AD82" s="520">
        <v>1</v>
      </c>
      <c r="AE82" s="520" t="s">
        <v>236</v>
      </c>
      <c r="AF82" s="520" t="s">
        <v>237</v>
      </c>
      <c r="AG82" s="520">
        <v>1</v>
      </c>
      <c r="AH82" s="520">
        <v>6</v>
      </c>
      <c r="AI82" s="520">
        <v>0</v>
      </c>
      <c r="AJ82" s="520">
        <f>VLOOKUP($I82,'Price List, Weapons &amp; Items'!A:E,5,0)</f>
        <v>0</v>
      </c>
      <c r="AK82" s="520">
        <f t="shared" si="21"/>
        <v>0</v>
      </c>
      <c r="AL82" s="520">
        <f t="shared" si="22"/>
        <v>0</v>
      </c>
      <c r="AM82" s="520">
        <f t="shared" si="23"/>
        <v>0</v>
      </c>
      <c r="AN82" s="521" t="str">
        <f>VLOOKUP($I82,'Price List, Weapons &amp; Items'!A:K,COLUMN('Price List, Weapons &amp; Items'!$I$1),0)</f>
        <v>.</v>
      </c>
      <c r="AO82" s="521" t="str">
        <f>IF(I82=".",".",VLOOKUP($I82,'Price List, Weapons &amp; Items'!A:I,3,0))</f>
        <v>.</v>
      </c>
      <c r="AP82" s="517" t="str">
        <f t="shared" ca="1" si="20"/>
        <v>.</v>
      </c>
      <c r="AQ82" s="521" t="str">
        <f>VLOOKUP($I82,'Price List, Weapons &amp; Items'!A:K,COLUMN('Price List, Weapons &amp; Items'!$K$1),0)</f>
        <v>no price, 0 count</v>
      </c>
      <c r="AS82" s="521">
        <f t="shared" si="24"/>
        <v>1</v>
      </c>
      <c r="AT82" s="521">
        <f t="shared" si="25"/>
        <v>0</v>
      </c>
      <c r="AU82" s="521">
        <f t="shared" si="26"/>
        <v>1</v>
      </c>
      <c r="AV82" s="521" t="str">
        <f t="shared" si="27"/>
        <v>.</v>
      </c>
    </row>
    <row r="83" spans="1:48" s="533" customFormat="1" ht="15" customHeight="1">
      <c r="A83" s="41" t="s">
        <v>473</v>
      </c>
      <c r="B83" s="41" t="s">
        <v>452</v>
      </c>
      <c r="C83" s="511">
        <v>44771</v>
      </c>
      <c r="D83" s="18" t="s">
        <v>366</v>
      </c>
      <c r="E83" s="18" t="s">
        <v>453</v>
      </c>
      <c r="F83" s="512" t="s">
        <v>474</v>
      </c>
      <c r="G83" s="39" t="s">
        <v>455</v>
      </c>
      <c r="H83" s="513">
        <v>450000000</v>
      </c>
      <c r="I83" s="41" t="s">
        <v>232</v>
      </c>
      <c r="J83" s="276" t="str">
        <f>VLOOKUP($I83,'Price List, Weapons &amp; Items'!A:B,2,0)</f>
        <v>.</v>
      </c>
      <c r="K83" s="276" t="str">
        <f>IF(I83=".",I83,VLOOKUP($I83,'Price List, Weapons &amp; Items'!A:C,3,0))</f>
        <v>.</v>
      </c>
      <c r="L83" s="514">
        <f>VLOOKUP(I83,'Price List, Weapons &amp; Items'!A:D,4,0)</f>
        <v>0</v>
      </c>
      <c r="M83" s="527" t="s">
        <v>232</v>
      </c>
      <c r="N83" s="515" t="s">
        <v>232</v>
      </c>
      <c r="O83" s="516" t="str">
        <f>VLOOKUP($I83,'Price List, Weapons &amp; Items'!A:F,6,0)</f>
        <v>.</v>
      </c>
      <c r="P83" s="513" t="str">
        <f t="shared" si="28"/>
        <v>.</v>
      </c>
      <c r="Q83" s="513" t="str">
        <f t="shared" si="29"/>
        <v>.</v>
      </c>
      <c r="R83" s="513">
        <f t="shared" si="19"/>
        <v>450000000</v>
      </c>
      <c r="S83" s="513">
        <f>IF(AND(AD83=1,R83&lt;&gt;".")=TRUE,R83/VLOOKUP(G83,'Exchange rates'!B:C,2,0),IF(R83=".",".",""))</f>
        <v>331491712.70718235</v>
      </c>
      <c r="T83" s="513" t="str">
        <f>IF(AD83=1,IF(AF83="Value is not given at all",".",IF(AF83="Value is given by the source",S83,IF(AF83="Value is calculated with prices",(IF(SUMIFS(Q:Q,A:A,A83)&gt;0,SUMIFS(Q:Q,A:A,A83),"."))/VLOOKUP("USD",'Exchange rates'!B:C,2,0),"Error with coding"))),"")</f>
        <v>.</v>
      </c>
      <c r="U83" s="39" t="s">
        <v>233</v>
      </c>
      <c r="V83" s="42" t="s">
        <v>475</v>
      </c>
      <c r="W83" s="42" t="s">
        <v>476</v>
      </c>
      <c r="X83" s="825" t="s">
        <v>477</v>
      </c>
      <c r="Y83" s="512" t="s">
        <v>232</v>
      </c>
      <c r="Z83" s="39">
        <v>0</v>
      </c>
      <c r="AA83" s="518">
        <v>0</v>
      </c>
      <c r="AB83" s="534" t="s">
        <v>232</v>
      </c>
      <c r="AC83" s="519" t="str">
        <f>""</f>
        <v/>
      </c>
      <c r="AD83" s="522">
        <v>1</v>
      </c>
      <c r="AE83" s="522" t="s">
        <v>236</v>
      </c>
      <c r="AF83" s="522" t="s">
        <v>237</v>
      </c>
      <c r="AG83" s="522">
        <v>1</v>
      </c>
      <c r="AH83" s="520">
        <v>7</v>
      </c>
      <c r="AI83" s="520">
        <v>0</v>
      </c>
      <c r="AJ83" s="520">
        <f>VLOOKUP($I83,'Price List, Weapons &amp; Items'!A:E,5,0)</f>
        <v>0</v>
      </c>
      <c r="AK83" s="520">
        <f t="shared" si="21"/>
        <v>0</v>
      </c>
      <c r="AL83" s="520">
        <f t="shared" si="22"/>
        <v>0</v>
      </c>
      <c r="AM83" s="520">
        <f t="shared" si="23"/>
        <v>0</v>
      </c>
      <c r="AN83" s="521" t="str">
        <f>VLOOKUP($I83,'Price List, Weapons &amp; Items'!A:K,COLUMN('Price List, Weapons &amp; Items'!$I$1),0)</f>
        <v>.</v>
      </c>
      <c r="AO83" s="521" t="str">
        <f>IF(I83=".",".",VLOOKUP($I83,'Price List, Weapons &amp; Items'!A:I,3,0))</f>
        <v>.</v>
      </c>
      <c r="AP83" s="517" t="str">
        <f t="shared" ca="1" si="20"/>
        <v>.</v>
      </c>
      <c r="AQ83" s="521" t="str">
        <f>VLOOKUP($I83,'Price List, Weapons &amp; Items'!A:K,COLUMN('Price List, Weapons &amp; Items'!$K$1),0)</f>
        <v>no price, 0 count</v>
      </c>
      <c r="AS83" s="521">
        <f t="shared" si="24"/>
        <v>1</v>
      </c>
      <c r="AT83" s="521">
        <f t="shared" si="25"/>
        <v>0</v>
      </c>
      <c r="AU83" s="521">
        <f t="shared" si="26"/>
        <v>1</v>
      </c>
      <c r="AV83" s="521" t="str">
        <f t="shared" si="27"/>
        <v>.</v>
      </c>
    </row>
    <row r="84" spans="1:48" s="533" customFormat="1" ht="15" customHeight="1">
      <c r="A84" s="41" t="s">
        <v>478</v>
      </c>
      <c r="B84" s="41" t="s">
        <v>452</v>
      </c>
      <c r="C84" s="511">
        <v>44796</v>
      </c>
      <c r="D84" s="18" t="s">
        <v>366</v>
      </c>
      <c r="E84" s="18" t="s">
        <v>330</v>
      </c>
      <c r="F84" s="512" t="s">
        <v>479</v>
      </c>
      <c r="G84" s="39" t="s">
        <v>455</v>
      </c>
      <c r="H84" s="513">
        <v>3850000</v>
      </c>
      <c r="I84" s="41" t="s">
        <v>232</v>
      </c>
      <c r="J84" s="276" t="str">
        <f>VLOOKUP($I84,'Price List, Weapons &amp; Items'!A:B,2,0)</f>
        <v>.</v>
      </c>
      <c r="K84" s="276" t="str">
        <f>IF(I84=".",I84,VLOOKUP($I84,'Price List, Weapons &amp; Items'!A:C,3,0))</f>
        <v>.</v>
      </c>
      <c r="L84" s="514">
        <f>VLOOKUP(I84,'Price List, Weapons &amp; Items'!A:D,4,0)</f>
        <v>0</v>
      </c>
      <c r="M84" s="527" t="s">
        <v>232</v>
      </c>
      <c r="N84" s="515" t="s">
        <v>232</v>
      </c>
      <c r="O84" s="516" t="str">
        <f>VLOOKUP($I84,'Price List, Weapons &amp; Items'!A:F,6,0)</f>
        <v>.</v>
      </c>
      <c r="P84" s="513" t="str">
        <f t="shared" si="28"/>
        <v>.</v>
      </c>
      <c r="Q84" s="513" t="str">
        <f t="shared" si="29"/>
        <v>.</v>
      </c>
      <c r="R84" s="513">
        <f t="shared" si="19"/>
        <v>3850000</v>
      </c>
      <c r="S84" s="513">
        <f>IF(AND(AD84=1,R84&lt;&gt;".")=TRUE,R84/VLOOKUP(G84,'Exchange rates'!B:C,2,0),IF(R84=".",".",""))</f>
        <v>2836095.7642725599</v>
      </c>
      <c r="T84" s="513" t="str">
        <f>IF(AD84=1,IF(AF84="Value is not given at all",".",IF(AF84="Value is given by the source",S84,IF(AF84="Value is calculated with prices",(IF(SUMIFS(Q:Q,A:A,A84)&gt;0,SUMIFS(Q:Q,A:A,A84),"."))/VLOOKUP("USD",'Exchange rates'!B:C,2,0),"Error with coding"))),"")</f>
        <v>.</v>
      </c>
      <c r="U84" s="39" t="s">
        <v>233</v>
      </c>
      <c r="V84" s="42" t="s">
        <v>480</v>
      </c>
      <c r="W84" s="42" t="s">
        <v>232</v>
      </c>
      <c r="X84" s="825" t="s">
        <v>232</v>
      </c>
      <c r="Y84" s="512" t="s">
        <v>232</v>
      </c>
      <c r="Z84" s="39">
        <v>0</v>
      </c>
      <c r="AA84" s="518">
        <v>0</v>
      </c>
      <c r="AB84" s="534" t="s">
        <v>232</v>
      </c>
      <c r="AC84" s="519" t="str">
        <f>""</f>
        <v/>
      </c>
      <c r="AD84" s="522">
        <v>1</v>
      </c>
      <c r="AE84" s="522" t="s">
        <v>236</v>
      </c>
      <c r="AF84" s="522" t="s">
        <v>237</v>
      </c>
      <c r="AG84" s="522">
        <v>1</v>
      </c>
      <c r="AH84" s="520">
        <v>8</v>
      </c>
      <c r="AI84" s="520">
        <v>0</v>
      </c>
      <c r="AJ84" s="520">
        <f>VLOOKUP($I84,'Price List, Weapons &amp; Items'!A:E,5,0)</f>
        <v>0</v>
      </c>
      <c r="AK84" s="520">
        <f t="shared" si="21"/>
        <v>0</v>
      </c>
      <c r="AL84" s="520">
        <f t="shared" si="22"/>
        <v>0</v>
      </c>
      <c r="AM84" s="520">
        <f t="shared" si="23"/>
        <v>0</v>
      </c>
      <c r="AN84" s="521" t="str">
        <f>VLOOKUP($I84,'Price List, Weapons &amp; Items'!A:K,COLUMN('Price List, Weapons &amp; Items'!$I$1),0)</f>
        <v>.</v>
      </c>
      <c r="AO84" s="521" t="str">
        <f>IF(I84=".",".",VLOOKUP($I84,'Price List, Weapons &amp; Items'!A:I,3,0))</f>
        <v>.</v>
      </c>
      <c r="AP84" s="517" t="str">
        <f t="shared" ca="1" si="20"/>
        <v>.</v>
      </c>
      <c r="AQ84" s="521" t="str">
        <f>VLOOKUP($I84,'Price List, Weapons &amp; Items'!A:K,COLUMN('Price List, Weapons &amp; Items'!$K$1),0)</f>
        <v>no price, 0 count</v>
      </c>
      <c r="AS84" s="521">
        <f t="shared" si="24"/>
        <v>1</v>
      </c>
      <c r="AT84" s="521">
        <f t="shared" si="25"/>
        <v>0</v>
      </c>
      <c r="AU84" s="521">
        <f t="shared" si="26"/>
        <v>1</v>
      </c>
      <c r="AV84" s="521" t="str">
        <f t="shared" si="27"/>
        <v>.</v>
      </c>
    </row>
    <row r="85" spans="1:48" s="533" customFormat="1" ht="15" customHeight="1">
      <c r="A85" s="41" t="s">
        <v>481</v>
      </c>
      <c r="B85" s="41" t="s">
        <v>452</v>
      </c>
      <c r="C85" s="511">
        <v>44862</v>
      </c>
      <c r="D85" s="18" t="s">
        <v>366</v>
      </c>
      <c r="E85" s="18" t="s">
        <v>330</v>
      </c>
      <c r="F85" s="512" t="s">
        <v>482</v>
      </c>
      <c r="G85" s="39" t="s">
        <v>455</v>
      </c>
      <c r="H85" s="513">
        <v>500000000</v>
      </c>
      <c r="I85" s="41" t="s">
        <v>232</v>
      </c>
      <c r="J85" s="276" t="str">
        <f>VLOOKUP($I85,'Price List, Weapons &amp; Items'!A:B,2,0)</f>
        <v>.</v>
      </c>
      <c r="K85" s="276" t="str">
        <f>IF(I85=".",I85,VLOOKUP($I85,'Price List, Weapons &amp; Items'!A:C,3,0))</f>
        <v>.</v>
      </c>
      <c r="L85" s="514">
        <f>VLOOKUP(I85,'Price List, Weapons &amp; Items'!A:D,4,0)</f>
        <v>0</v>
      </c>
      <c r="M85" s="527" t="s">
        <v>232</v>
      </c>
      <c r="N85" s="515" t="s">
        <v>232</v>
      </c>
      <c r="O85" s="516" t="str">
        <f>VLOOKUP($I85,'Price List, Weapons &amp; Items'!A:F,6,0)</f>
        <v>.</v>
      </c>
      <c r="P85" s="513" t="str">
        <f t="shared" si="28"/>
        <v>.</v>
      </c>
      <c r="Q85" s="513" t="str">
        <f t="shared" si="29"/>
        <v>.</v>
      </c>
      <c r="R85" s="513">
        <f t="shared" si="19"/>
        <v>500000000</v>
      </c>
      <c r="S85" s="513">
        <f>IF(AND(AD85=1,R85&lt;&gt;".")=TRUE,R85/VLOOKUP(G85,'Exchange rates'!B:C,2,0),IF(R85=".",".",""))</f>
        <v>368324125.23020262</v>
      </c>
      <c r="T85" s="513" t="str">
        <f>IF(AD85=1,IF(AF85="Value is not given at all",".",IF(AF85="Value is given by the source",S85,IF(AF85="Value is calculated with prices",(IF(SUMIFS(Q:Q,A:A,A85)&gt;0,SUMIFS(Q:Q,A:A,A85),"."))/VLOOKUP("USD",'Exchange rates'!B:C,2,0),"Error with coding"))),"")</f>
        <v>.</v>
      </c>
      <c r="U85" s="39" t="s">
        <v>233</v>
      </c>
      <c r="V85" s="42" t="s">
        <v>483</v>
      </c>
      <c r="W85" s="42" t="s">
        <v>484</v>
      </c>
      <c r="X85" s="42" t="s">
        <v>232</v>
      </c>
      <c r="Y85" s="825" t="s">
        <v>232</v>
      </c>
      <c r="Z85" s="39">
        <v>1</v>
      </c>
      <c r="AA85" s="518">
        <v>1</v>
      </c>
      <c r="AB85" s="534" t="s">
        <v>232</v>
      </c>
      <c r="AC85" s="519" t="str">
        <f>""</f>
        <v/>
      </c>
      <c r="AD85" s="522">
        <v>1</v>
      </c>
      <c r="AE85" s="522" t="s">
        <v>236</v>
      </c>
      <c r="AF85" s="522" t="s">
        <v>237</v>
      </c>
      <c r="AG85" s="522">
        <v>1</v>
      </c>
      <c r="AH85" s="520">
        <v>10</v>
      </c>
      <c r="AI85" s="520">
        <v>0</v>
      </c>
      <c r="AJ85" s="520">
        <f>VLOOKUP($I85,'Price List, Weapons &amp; Items'!A:E,5,0)</f>
        <v>0</v>
      </c>
      <c r="AK85" s="520">
        <f t="shared" si="21"/>
        <v>0</v>
      </c>
      <c r="AL85" s="520">
        <f t="shared" si="22"/>
        <v>0</v>
      </c>
      <c r="AM85" s="520">
        <f t="shared" si="23"/>
        <v>0</v>
      </c>
      <c r="AN85" s="521" t="str">
        <f>VLOOKUP($I85,'Price List, Weapons &amp; Items'!A:K,COLUMN('Price List, Weapons &amp; Items'!$I$1),0)</f>
        <v>.</v>
      </c>
      <c r="AO85" s="521" t="str">
        <f>IF(I85=".",".",VLOOKUP($I85,'Price List, Weapons &amp; Items'!A:I,3,0))</f>
        <v>.</v>
      </c>
      <c r="AP85" s="517" t="str">
        <f t="shared" ca="1" si="20"/>
        <v>.</v>
      </c>
      <c r="AQ85" s="521" t="str">
        <f>VLOOKUP($I85,'Price List, Weapons &amp; Items'!A:K,COLUMN('Price List, Weapons &amp; Items'!$K$1),0)</f>
        <v>no price, 0 count</v>
      </c>
      <c r="AS85" s="521">
        <f t="shared" si="24"/>
        <v>1</v>
      </c>
      <c r="AT85" s="521">
        <f t="shared" si="25"/>
        <v>0</v>
      </c>
      <c r="AU85" s="521">
        <f t="shared" si="26"/>
        <v>1</v>
      </c>
      <c r="AV85" s="521" t="str">
        <f t="shared" si="27"/>
        <v>.</v>
      </c>
    </row>
    <row r="86" spans="1:48" s="533" customFormat="1" ht="15" customHeight="1">
      <c r="A86" s="41" t="s">
        <v>485</v>
      </c>
      <c r="B86" s="41" t="s">
        <v>452</v>
      </c>
      <c r="C86" s="511">
        <v>44587</v>
      </c>
      <c r="D86" s="18" t="s">
        <v>228</v>
      </c>
      <c r="E86" s="18" t="s">
        <v>229</v>
      </c>
      <c r="F86" s="512" t="s">
        <v>486</v>
      </c>
      <c r="G86" s="39" t="s">
        <v>455</v>
      </c>
      <c r="H86" s="513">
        <v>50000000</v>
      </c>
      <c r="I86" s="41" t="s">
        <v>232</v>
      </c>
      <c r="J86" s="276" t="str">
        <f>VLOOKUP($I86,'Price List, Weapons &amp; Items'!A:B,2,0)</f>
        <v>.</v>
      </c>
      <c r="K86" s="276" t="str">
        <f>IF(I86=".",I86,VLOOKUP($I86,'Price List, Weapons &amp; Items'!A:C,3,0))</f>
        <v>.</v>
      </c>
      <c r="L86" s="514">
        <f>VLOOKUP(I86,'Price List, Weapons &amp; Items'!A:D,4,0)</f>
        <v>0</v>
      </c>
      <c r="M86" s="515" t="s">
        <v>232</v>
      </c>
      <c r="N86" s="515" t="s">
        <v>232</v>
      </c>
      <c r="O86" s="516" t="str">
        <f>VLOOKUP($I86,'Price List, Weapons &amp; Items'!A:F,6,0)</f>
        <v>.</v>
      </c>
      <c r="P86" s="513" t="str">
        <f t="shared" si="28"/>
        <v>.</v>
      </c>
      <c r="Q86" s="513" t="str">
        <f t="shared" si="29"/>
        <v>.</v>
      </c>
      <c r="R86" s="513">
        <f t="shared" si="19"/>
        <v>50000000</v>
      </c>
      <c r="S86" s="513">
        <f>IF(AND(AD86=1,R86&lt;&gt;".")=TRUE,R86/VLOOKUP(G86,'Exchange rates'!B:C,2,0),IF(R86=".",".",""))</f>
        <v>36832412.52302026</v>
      </c>
      <c r="T86" s="513" t="str">
        <f>IF(AD86=1,IF(AF86="Value is not given at all",".",IF(AF86="Value is given by the source",S86,IF(AF86="Value is calculated with prices",(IF(SUMIFS(Q:Q,A:A,A86)&gt;0,SUMIFS(Q:Q,A:A,A86),"."))/VLOOKUP("USD",'Exchange rates'!B:C,2,0),"Error with coding"))),"")</f>
        <v>.</v>
      </c>
      <c r="U86" s="39" t="s">
        <v>233</v>
      </c>
      <c r="V86" s="42" t="s">
        <v>487</v>
      </c>
      <c r="W86" s="517" t="s">
        <v>232</v>
      </c>
      <c r="X86" s="517" t="s">
        <v>232</v>
      </c>
      <c r="Y86" s="517" t="s">
        <v>232</v>
      </c>
      <c r="Z86" s="39">
        <v>0</v>
      </c>
      <c r="AA86" s="518">
        <v>0</v>
      </c>
      <c r="AB86" s="38" t="s">
        <v>232</v>
      </c>
      <c r="AC86" s="519" t="str">
        <f>""</f>
        <v/>
      </c>
      <c r="AD86" s="520">
        <v>1</v>
      </c>
      <c r="AE86" s="520" t="s">
        <v>236</v>
      </c>
      <c r="AF86" s="520" t="s">
        <v>237</v>
      </c>
      <c r="AG86" s="520">
        <v>1</v>
      </c>
      <c r="AH86" s="520">
        <v>1</v>
      </c>
      <c r="AI86" s="520">
        <v>1</v>
      </c>
      <c r="AJ86" s="520">
        <f>VLOOKUP($I86,'Price List, Weapons &amp; Items'!A:E,5,0)</f>
        <v>0</v>
      </c>
      <c r="AK86" s="520">
        <f t="shared" si="21"/>
        <v>0</v>
      </c>
      <c r="AL86" s="520">
        <f t="shared" si="22"/>
        <v>0</v>
      </c>
      <c r="AM86" s="520">
        <f t="shared" si="23"/>
        <v>0</v>
      </c>
      <c r="AN86" s="521" t="str">
        <f>VLOOKUP($I86,'Price List, Weapons &amp; Items'!A:K,COLUMN('Price List, Weapons &amp; Items'!$I$1),0)</f>
        <v>.</v>
      </c>
      <c r="AO86" s="521" t="str">
        <f>IF(I86=".",".",VLOOKUP($I86,'Price List, Weapons &amp; Items'!A:I,3,0))</f>
        <v>.</v>
      </c>
      <c r="AP86" s="517" t="str">
        <f t="shared" ca="1" si="20"/>
        <v>.</v>
      </c>
      <c r="AQ86" s="521" t="str">
        <f>VLOOKUP($I86,'Price List, Weapons &amp; Items'!A:K,COLUMN('Price List, Weapons &amp; Items'!$K$1),0)</f>
        <v>no price, 0 count</v>
      </c>
      <c r="AS86" s="521">
        <f t="shared" si="24"/>
        <v>1</v>
      </c>
      <c r="AT86" s="521">
        <f t="shared" si="25"/>
        <v>0</v>
      </c>
      <c r="AU86" s="521">
        <f t="shared" si="26"/>
        <v>1</v>
      </c>
      <c r="AV86" s="521" t="str">
        <f t="shared" si="27"/>
        <v>.</v>
      </c>
    </row>
    <row r="87" spans="1:48" s="533" customFormat="1" ht="15" customHeight="1">
      <c r="A87" s="41" t="s">
        <v>488</v>
      </c>
      <c r="B87" s="41" t="s">
        <v>452</v>
      </c>
      <c r="C87" s="511">
        <v>44621</v>
      </c>
      <c r="D87" s="18" t="s">
        <v>228</v>
      </c>
      <c r="E87" s="18" t="s">
        <v>489</v>
      </c>
      <c r="F87" s="512" t="s">
        <v>490</v>
      </c>
      <c r="G87" s="39" t="s">
        <v>455</v>
      </c>
      <c r="H87" s="513">
        <v>50000000</v>
      </c>
      <c r="I87" s="41" t="s">
        <v>232</v>
      </c>
      <c r="J87" s="276" t="str">
        <f>VLOOKUP($I87,'Price List, Weapons &amp; Items'!A:B,2,0)</f>
        <v>.</v>
      </c>
      <c r="K87" s="276" t="str">
        <f>IF(I87=".",I87,VLOOKUP($I87,'Price List, Weapons &amp; Items'!A:C,3,0))</f>
        <v>.</v>
      </c>
      <c r="L87" s="514">
        <f>VLOOKUP(I87,'Price List, Weapons &amp; Items'!A:D,4,0)</f>
        <v>0</v>
      </c>
      <c r="M87" s="515" t="s">
        <v>232</v>
      </c>
      <c r="N87" s="515" t="s">
        <v>232</v>
      </c>
      <c r="O87" s="516" t="str">
        <f>VLOOKUP($I87,'Price List, Weapons &amp; Items'!A:F,6,0)</f>
        <v>.</v>
      </c>
      <c r="P87" s="513" t="str">
        <f t="shared" si="28"/>
        <v>.</v>
      </c>
      <c r="Q87" s="513" t="str">
        <f t="shared" si="29"/>
        <v>.</v>
      </c>
      <c r="R87" s="513">
        <f t="shared" si="19"/>
        <v>50000000</v>
      </c>
      <c r="S87" s="513">
        <f>IF(AND(AD87=1,R87&lt;&gt;".")=TRUE,R87/VLOOKUP(G87,'Exchange rates'!B:C,2,0),IF(R87=".",".",""))</f>
        <v>36832412.52302026</v>
      </c>
      <c r="T87" s="513" t="str">
        <f>IF(AD87=1,IF(AF87="Value is not given at all",".",IF(AF87="Value is given by the source",S87,IF(AF87="Value is calculated with prices",(IF(SUMIFS(Q:Q,A:A,A87)&gt;0,SUMIFS(Q:Q,A:A,A87),"."))/VLOOKUP("USD",'Exchange rates'!B:C,2,0),"Error with coding"))),"")</f>
        <v>.</v>
      </c>
      <c r="U87" s="39" t="s">
        <v>233</v>
      </c>
      <c r="V87" s="42" t="s">
        <v>491</v>
      </c>
      <c r="W87" s="42" t="s">
        <v>492</v>
      </c>
      <c r="X87" s="517" t="s">
        <v>232</v>
      </c>
      <c r="Y87" s="517" t="s">
        <v>232</v>
      </c>
      <c r="Z87" s="39">
        <v>0</v>
      </c>
      <c r="AA87" s="518">
        <v>0</v>
      </c>
      <c r="AB87" s="38" t="s">
        <v>232</v>
      </c>
      <c r="AC87" s="519" t="str">
        <f>""</f>
        <v/>
      </c>
      <c r="AD87" s="520">
        <v>1</v>
      </c>
      <c r="AE87" s="520" t="s">
        <v>236</v>
      </c>
      <c r="AF87" s="520" t="s">
        <v>237</v>
      </c>
      <c r="AG87" s="520">
        <v>1</v>
      </c>
      <c r="AH87" s="520">
        <v>3</v>
      </c>
      <c r="AI87" s="520">
        <v>0</v>
      </c>
      <c r="AJ87" s="520">
        <f>VLOOKUP($I87,'Price List, Weapons &amp; Items'!A:E,5,0)</f>
        <v>0</v>
      </c>
      <c r="AK87" s="520">
        <f t="shared" si="21"/>
        <v>0</v>
      </c>
      <c r="AL87" s="520">
        <f t="shared" si="22"/>
        <v>0</v>
      </c>
      <c r="AM87" s="520">
        <f t="shared" si="23"/>
        <v>0</v>
      </c>
      <c r="AN87" s="521" t="str">
        <f>VLOOKUP($I87,'Price List, Weapons &amp; Items'!A:K,COLUMN('Price List, Weapons &amp; Items'!$I$1),0)</f>
        <v>.</v>
      </c>
      <c r="AO87" s="521" t="str">
        <f>IF(I87=".",".",VLOOKUP($I87,'Price List, Weapons &amp; Items'!A:I,3,0))</f>
        <v>.</v>
      </c>
      <c r="AP87" s="517" t="str">
        <f t="shared" ca="1" si="20"/>
        <v>.</v>
      </c>
      <c r="AQ87" s="521" t="str">
        <f>VLOOKUP($I87,'Price List, Weapons &amp; Items'!A:K,COLUMN('Price List, Weapons &amp; Items'!$K$1),0)</f>
        <v>no price, 0 count</v>
      </c>
      <c r="AS87" s="521">
        <f t="shared" si="24"/>
        <v>1</v>
      </c>
      <c r="AT87" s="521">
        <f t="shared" si="25"/>
        <v>0</v>
      </c>
      <c r="AU87" s="521">
        <f t="shared" si="26"/>
        <v>1</v>
      </c>
      <c r="AV87" s="521" t="str">
        <f t="shared" si="27"/>
        <v>.</v>
      </c>
    </row>
    <row r="88" spans="1:48" s="533" customFormat="1" ht="15" customHeight="1">
      <c r="A88" s="41" t="s">
        <v>493</v>
      </c>
      <c r="B88" s="41" t="s">
        <v>452</v>
      </c>
      <c r="C88" s="511">
        <v>44660</v>
      </c>
      <c r="D88" s="18" t="s">
        <v>228</v>
      </c>
      <c r="E88" s="18" t="s">
        <v>229</v>
      </c>
      <c r="F88" s="512" t="s">
        <v>494</v>
      </c>
      <c r="G88" s="39" t="s">
        <v>455</v>
      </c>
      <c r="H88" s="513">
        <v>100000000</v>
      </c>
      <c r="I88" s="41" t="s">
        <v>232</v>
      </c>
      <c r="J88" s="276" t="str">
        <f>VLOOKUP($I88,'Price List, Weapons &amp; Items'!A:B,2,0)</f>
        <v>.</v>
      </c>
      <c r="K88" s="276" t="str">
        <f>IF(I88=".",I88,VLOOKUP($I88,'Price List, Weapons &amp; Items'!A:C,3,0))</f>
        <v>.</v>
      </c>
      <c r="L88" s="514">
        <f>VLOOKUP(I88,'Price List, Weapons &amp; Items'!A:D,4,0)</f>
        <v>0</v>
      </c>
      <c r="M88" s="515" t="s">
        <v>232</v>
      </c>
      <c r="N88" s="515" t="s">
        <v>232</v>
      </c>
      <c r="O88" s="516" t="str">
        <f>VLOOKUP($I88,'Price List, Weapons &amp; Items'!A:F,6,0)</f>
        <v>.</v>
      </c>
      <c r="P88" s="513" t="str">
        <f t="shared" si="28"/>
        <v>.</v>
      </c>
      <c r="Q88" s="513" t="str">
        <f t="shared" si="29"/>
        <v>.</v>
      </c>
      <c r="R88" s="513">
        <f t="shared" si="19"/>
        <v>100000000</v>
      </c>
      <c r="S88" s="513">
        <f>IF(AND(AD88=1,R88&lt;&gt;".")=TRUE,R88/VLOOKUP(G88,'Exchange rates'!B:C,2,0),IF(R88=".",".",""))</f>
        <v>73664825.04604052</v>
      </c>
      <c r="T88" s="513" t="str">
        <f>IF(AD88=1,IF(AF88="Value is not given at all",".",IF(AF88="Value is given by the source",S88,IF(AF88="Value is calculated with prices",(IF(SUMIFS(Q:Q,A:A,A88)&gt;0,SUMIFS(Q:Q,A:A,A88),"."))/VLOOKUP("USD",'Exchange rates'!B:C,2,0),"Error with coding"))),"")</f>
        <v>.</v>
      </c>
      <c r="U88" s="39" t="s">
        <v>233</v>
      </c>
      <c r="V88" s="42" t="s">
        <v>382</v>
      </c>
      <c r="W88" s="517" t="s">
        <v>232</v>
      </c>
      <c r="X88" s="517" t="s">
        <v>232</v>
      </c>
      <c r="Y88" s="517" t="s">
        <v>232</v>
      </c>
      <c r="Z88" s="39">
        <v>0</v>
      </c>
      <c r="AA88" s="518">
        <v>0</v>
      </c>
      <c r="AB88" s="38" t="s">
        <v>232</v>
      </c>
      <c r="AC88" s="519" t="str">
        <f>""</f>
        <v/>
      </c>
      <c r="AD88" s="520">
        <v>1</v>
      </c>
      <c r="AE88" s="520" t="s">
        <v>236</v>
      </c>
      <c r="AF88" s="520" t="s">
        <v>237</v>
      </c>
      <c r="AG88" s="520">
        <v>1</v>
      </c>
      <c r="AH88" s="520">
        <v>4</v>
      </c>
      <c r="AI88" s="520">
        <v>0</v>
      </c>
      <c r="AJ88" s="520">
        <f>VLOOKUP($I88,'Price List, Weapons &amp; Items'!A:E,5,0)</f>
        <v>0</v>
      </c>
      <c r="AK88" s="520">
        <f t="shared" si="21"/>
        <v>0</v>
      </c>
      <c r="AL88" s="520">
        <f t="shared" si="22"/>
        <v>0</v>
      </c>
      <c r="AM88" s="520">
        <f t="shared" si="23"/>
        <v>0</v>
      </c>
      <c r="AN88" s="521" t="str">
        <f>VLOOKUP($I88,'Price List, Weapons &amp; Items'!A:K,COLUMN('Price List, Weapons &amp; Items'!$I$1),0)</f>
        <v>.</v>
      </c>
      <c r="AO88" s="521" t="str">
        <f>IF(I88=".",".",VLOOKUP($I88,'Price List, Weapons &amp; Items'!A:I,3,0))</f>
        <v>.</v>
      </c>
      <c r="AP88" s="517" t="str">
        <f t="shared" ca="1" si="20"/>
        <v>.</v>
      </c>
      <c r="AQ88" s="521" t="str">
        <f>VLOOKUP($I88,'Price List, Weapons &amp; Items'!A:K,COLUMN('Price List, Weapons &amp; Items'!$K$1),0)</f>
        <v>no price, 0 count</v>
      </c>
      <c r="AS88" s="521">
        <f t="shared" si="24"/>
        <v>1</v>
      </c>
      <c r="AT88" s="521">
        <f t="shared" si="25"/>
        <v>0</v>
      </c>
      <c r="AU88" s="521">
        <f t="shared" si="26"/>
        <v>1</v>
      </c>
      <c r="AV88" s="521" t="str">
        <f t="shared" si="27"/>
        <v>.</v>
      </c>
    </row>
    <row r="89" spans="1:48" s="534" customFormat="1" ht="15" customHeight="1">
      <c r="A89" s="41" t="s">
        <v>495</v>
      </c>
      <c r="B89" s="41" t="s">
        <v>452</v>
      </c>
      <c r="C89" s="511">
        <v>44700</v>
      </c>
      <c r="D89" s="18" t="s">
        <v>228</v>
      </c>
      <c r="E89" s="18" t="s">
        <v>229</v>
      </c>
      <c r="F89" s="512" t="s">
        <v>496</v>
      </c>
      <c r="G89" s="39" t="s">
        <v>455</v>
      </c>
      <c r="H89" s="513">
        <v>2000000</v>
      </c>
      <c r="I89" s="41" t="s">
        <v>232</v>
      </c>
      <c r="J89" s="276" t="str">
        <f>VLOOKUP($I89,'Price List, Weapons &amp; Items'!A:B,2,0)</f>
        <v>.</v>
      </c>
      <c r="K89" s="276" t="str">
        <f>IF(I89=".",I89,VLOOKUP($I89,'Price List, Weapons &amp; Items'!A:C,3,0))</f>
        <v>.</v>
      </c>
      <c r="L89" s="514">
        <f>VLOOKUP(I89,'Price List, Weapons &amp; Items'!A:D,4,0)</f>
        <v>0</v>
      </c>
      <c r="M89" s="515" t="s">
        <v>232</v>
      </c>
      <c r="N89" s="515" t="s">
        <v>232</v>
      </c>
      <c r="O89" s="516" t="str">
        <f>VLOOKUP($I89,'Price List, Weapons &amp; Items'!A:F,6,0)</f>
        <v>.</v>
      </c>
      <c r="P89" s="513" t="str">
        <f t="shared" si="28"/>
        <v>.</v>
      </c>
      <c r="Q89" s="513" t="str">
        <f t="shared" si="29"/>
        <v>.</v>
      </c>
      <c r="R89" s="513">
        <f t="shared" si="19"/>
        <v>2000000</v>
      </c>
      <c r="S89" s="513">
        <f>IF(AND(AD89=1,R89&lt;&gt;".")=TRUE,R89/VLOOKUP(G89,'Exchange rates'!B:C,2,0),IF(R89=".",".",""))</f>
        <v>1473296.5009208105</v>
      </c>
      <c r="T89" s="513" t="str">
        <f>IF(AD89=1,IF(AF89="Value is not given at all",".",IF(AF89="Value is given by the source",S89,IF(AF89="Value is calculated with prices",(IF(SUMIFS(Q:Q,A:A,A89)&gt;0,SUMIFS(Q:Q,A:A,A89),"."))/VLOOKUP("USD",'Exchange rates'!B:C,2,0),"Error with coding"))),"")</f>
        <v>.</v>
      </c>
      <c r="U89" s="39" t="s">
        <v>233</v>
      </c>
      <c r="V89" s="42" t="s">
        <v>497</v>
      </c>
      <c r="W89" s="42" t="s">
        <v>498</v>
      </c>
      <c r="X89" s="512" t="s">
        <v>232</v>
      </c>
      <c r="Y89" s="512" t="s">
        <v>232</v>
      </c>
      <c r="Z89" s="39">
        <v>0</v>
      </c>
      <c r="AA89" s="39">
        <v>0</v>
      </c>
      <c r="AB89" s="534" t="s">
        <v>232</v>
      </c>
      <c r="AC89" s="519" t="str">
        <f>""</f>
        <v/>
      </c>
      <c r="AD89" s="522">
        <v>1</v>
      </c>
      <c r="AE89" s="522" t="s">
        <v>236</v>
      </c>
      <c r="AF89" s="522" t="s">
        <v>237</v>
      </c>
      <c r="AG89" s="522">
        <v>1</v>
      </c>
      <c r="AH89" s="520">
        <v>5</v>
      </c>
      <c r="AI89" s="520">
        <v>0</v>
      </c>
      <c r="AJ89" s="520">
        <f>VLOOKUP($I89,'Price List, Weapons &amp; Items'!A:E,5,0)</f>
        <v>0</v>
      </c>
      <c r="AK89" s="520">
        <f t="shared" si="21"/>
        <v>0</v>
      </c>
      <c r="AL89" s="520">
        <f t="shared" si="22"/>
        <v>0</v>
      </c>
      <c r="AM89" s="520">
        <f t="shared" si="23"/>
        <v>0</v>
      </c>
      <c r="AN89" s="521" t="str">
        <f>VLOOKUP($I89,'Price List, Weapons &amp; Items'!A:K,COLUMN('Price List, Weapons &amp; Items'!$I$1),0)</f>
        <v>.</v>
      </c>
      <c r="AO89" s="521" t="str">
        <f>IF(I89=".",".",VLOOKUP($I89,'Price List, Weapons &amp; Items'!A:I,3,0))</f>
        <v>.</v>
      </c>
      <c r="AP89" s="517" t="str">
        <f t="shared" ca="1" si="20"/>
        <v>.</v>
      </c>
      <c r="AQ89" s="521" t="str">
        <f>VLOOKUP($I89,'Price List, Weapons &amp; Items'!A:K,COLUMN('Price List, Weapons &amp; Items'!$K$1),0)</f>
        <v>no price, 0 count</v>
      </c>
      <c r="AS89" s="521">
        <f t="shared" si="24"/>
        <v>1</v>
      </c>
      <c r="AT89" s="521">
        <f t="shared" si="25"/>
        <v>0</v>
      </c>
      <c r="AU89" s="521">
        <f t="shared" si="26"/>
        <v>1</v>
      </c>
      <c r="AV89" s="521" t="str">
        <f t="shared" si="27"/>
        <v>.</v>
      </c>
    </row>
    <row r="90" spans="1:48" s="534" customFormat="1" ht="15" customHeight="1">
      <c r="A90" s="41" t="s">
        <v>499</v>
      </c>
      <c r="B90" s="41" t="s">
        <v>452</v>
      </c>
      <c r="C90" s="511">
        <v>44740</v>
      </c>
      <c r="D90" s="18" t="s">
        <v>228</v>
      </c>
      <c r="E90" s="18" t="s">
        <v>229</v>
      </c>
      <c r="F90" s="512" t="s">
        <v>500</v>
      </c>
      <c r="G90" s="39" t="s">
        <v>455</v>
      </c>
      <c r="H90" s="513">
        <v>75000000</v>
      </c>
      <c r="I90" s="41" t="s">
        <v>232</v>
      </c>
      <c r="J90" s="276" t="str">
        <f>VLOOKUP($I90,'Price List, Weapons &amp; Items'!A:B,2,0)</f>
        <v>.</v>
      </c>
      <c r="K90" s="276" t="str">
        <f>IF(I90=".",I90,VLOOKUP($I90,'Price List, Weapons &amp; Items'!A:C,3,0))</f>
        <v>.</v>
      </c>
      <c r="L90" s="514">
        <f>VLOOKUP(I90,'Price List, Weapons &amp; Items'!A:D,4,0)</f>
        <v>0</v>
      </c>
      <c r="M90" s="515" t="s">
        <v>232</v>
      </c>
      <c r="N90" s="515" t="s">
        <v>232</v>
      </c>
      <c r="O90" s="516" t="str">
        <f>VLOOKUP($I90,'Price List, Weapons &amp; Items'!A:F,6,0)</f>
        <v>.</v>
      </c>
      <c r="P90" s="513" t="str">
        <f t="shared" si="28"/>
        <v>.</v>
      </c>
      <c r="Q90" s="513" t="str">
        <f t="shared" si="29"/>
        <v>.</v>
      </c>
      <c r="R90" s="513">
        <f t="shared" si="19"/>
        <v>75000000</v>
      </c>
      <c r="S90" s="513">
        <f>IF(AND(AD90=1,R90&lt;&gt;".")=TRUE,R90/VLOOKUP(G90,'Exchange rates'!B:C,2,0),IF(R90=".",".",""))</f>
        <v>55248618.784530386</v>
      </c>
      <c r="T90" s="513" t="str">
        <f>IF(AD90=1,IF(AF90="Value is not given at all",".",IF(AF90="Value is given by the source",S90,IF(AF90="Value is calculated with prices",(IF(SUMIFS(Q:Q,A:A,A90)&gt;0,SUMIFS(Q:Q,A:A,A90),"."))/VLOOKUP("USD",'Exchange rates'!B:C,2,0),"Error with coding"))),"")</f>
        <v>.</v>
      </c>
      <c r="U90" s="39" t="s">
        <v>233</v>
      </c>
      <c r="V90" s="42" t="s">
        <v>471</v>
      </c>
      <c r="W90" s="42" t="s">
        <v>472</v>
      </c>
      <c r="X90" s="512" t="s">
        <v>232</v>
      </c>
      <c r="Y90" s="512" t="s">
        <v>232</v>
      </c>
      <c r="Z90" s="39">
        <v>0</v>
      </c>
      <c r="AA90" s="39">
        <v>0</v>
      </c>
      <c r="AB90" s="534" t="s">
        <v>232</v>
      </c>
      <c r="AC90" s="519" t="str">
        <f>""</f>
        <v/>
      </c>
      <c r="AD90" s="522">
        <v>1</v>
      </c>
      <c r="AE90" s="522" t="s">
        <v>236</v>
      </c>
      <c r="AF90" s="522" t="s">
        <v>237</v>
      </c>
      <c r="AG90" s="522">
        <v>1</v>
      </c>
      <c r="AH90" s="520">
        <v>6</v>
      </c>
      <c r="AI90" s="520">
        <v>0</v>
      </c>
      <c r="AJ90" s="520">
        <f>VLOOKUP($I90,'Price List, Weapons &amp; Items'!A:E,5,0)</f>
        <v>0</v>
      </c>
      <c r="AK90" s="520">
        <f t="shared" si="21"/>
        <v>0</v>
      </c>
      <c r="AL90" s="520">
        <f t="shared" si="22"/>
        <v>0</v>
      </c>
      <c r="AM90" s="520">
        <f t="shared" si="23"/>
        <v>0</v>
      </c>
      <c r="AN90" s="521" t="str">
        <f>VLOOKUP($I90,'Price List, Weapons &amp; Items'!A:K,COLUMN('Price List, Weapons &amp; Items'!$I$1),0)</f>
        <v>.</v>
      </c>
      <c r="AO90" s="521" t="str">
        <f>IF(I90=".",".",VLOOKUP($I90,'Price List, Weapons &amp; Items'!A:I,3,0))</f>
        <v>.</v>
      </c>
      <c r="AP90" s="517" t="str">
        <f t="shared" ca="1" si="20"/>
        <v>.</v>
      </c>
      <c r="AQ90" s="521" t="str">
        <f>VLOOKUP($I90,'Price List, Weapons &amp; Items'!A:K,COLUMN('Price List, Weapons &amp; Items'!$K$1),0)</f>
        <v>no price, 0 count</v>
      </c>
      <c r="AS90" s="521">
        <f t="shared" si="24"/>
        <v>1</v>
      </c>
      <c r="AT90" s="521">
        <f t="shared" si="25"/>
        <v>0</v>
      </c>
      <c r="AU90" s="521">
        <f t="shared" si="26"/>
        <v>1</v>
      </c>
      <c r="AV90" s="521" t="str">
        <f t="shared" si="27"/>
        <v>.</v>
      </c>
    </row>
    <row r="91" spans="1:48" s="534" customFormat="1" ht="15" customHeight="1">
      <c r="A91" s="41" t="s">
        <v>501</v>
      </c>
      <c r="B91" s="41" t="s">
        <v>452</v>
      </c>
      <c r="C91" s="511">
        <v>44740</v>
      </c>
      <c r="D91" s="18" t="s">
        <v>228</v>
      </c>
      <c r="E91" s="18" t="s">
        <v>229</v>
      </c>
      <c r="F91" s="512" t="s">
        <v>502</v>
      </c>
      <c r="G91" s="39" t="s">
        <v>455</v>
      </c>
      <c r="H91" s="513">
        <v>52000000</v>
      </c>
      <c r="I91" s="41" t="s">
        <v>232</v>
      </c>
      <c r="J91" s="276" t="str">
        <f>VLOOKUP($I91,'Price List, Weapons &amp; Items'!A:B,2,0)</f>
        <v>.</v>
      </c>
      <c r="K91" s="276" t="str">
        <f>IF(I91=".",I91,VLOOKUP($I91,'Price List, Weapons &amp; Items'!A:C,3,0))</f>
        <v>.</v>
      </c>
      <c r="L91" s="514">
        <f>VLOOKUP(I91,'Price List, Weapons &amp; Items'!A:D,4,0)</f>
        <v>0</v>
      </c>
      <c r="M91" s="515" t="s">
        <v>232</v>
      </c>
      <c r="N91" s="515" t="s">
        <v>232</v>
      </c>
      <c r="O91" s="516" t="str">
        <f>VLOOKUP($I91,'Price List, Weapons &amp; Items'!A:F,6,0)</f>
        <v>.</v>
      </c>
      <c r="P91" s="513" t="str">
        <f t="shared" si="28"/>
        <v>.</v>
      </c>
      <c r="Q91" s="513" t="str">
        <f t="shared" si="29"/>
        <v>.</v>
      </c>
      <c r="R91" s="513">
        <f t="shared" si="19"/>
        <v>52000000</v>
      </c>
      <c r="S91" s="513">
        <f>IF(AND(AD91=1,R91&lt;&gt;".")=TRUE,R91/VLOOKUP(G91,'Exchange rates'!B:C,2,0),IF(R91=".",".",""))</f>
        <v>38305709.02394107</v>
      </c>
      <c r="T91" s="513" t="str">
        <f>IF(AD91=1,IF(AF91="Value is not given at all",".",IF(AF91="Value is given by the source",S91,IF(AF91="Value is calculated with prices",(IF(SUMIFS(Q:Q,A:A,A91)&gt;0,SUMIFS(Q:Q,A:A,A91),"."))/VLOOKUP("USD",'Exchange rates'!B:C,2,0),"Error with coding"))),"")</f>
        <v>.</v>
      </c>
      <c r="U91" s="39" t="s">
        <v>233</v>
      </c>
      <c r="V91" s="42" t="s">
        <v>471</v>
      </c>
      <c r="W91" s="42" t="s">
        <v>232</v>
      </c>
      <c r="X91" s="512" t="s">
        <v>232</v>
      </c>
      <c r="Y91" s="512" t="s">
        <v>232</v>
      </c>
      <c r="Z91" s="39">
        <v>0</v>
      </c>
      <c r="AA91" s="39">
        <v>0</v>
      </c>
      <c r="AB91" s="534" t="s">
        <v>232</v>
      </c>
      <c r="AC91" s="519" t="str">
        <f>""</f>
        <v/>
      </c>
      <c r="AD91" s="522">
        <v>1</v>
      </c>
      <c r="AE91" s="522" t="s">
        <v>236</v>
      </c>
      <c r="AF91" s="522" t="s">
        <v>237</v>
      </c>
      <c r="AG91" s="522">
        <v>1</v>
      </c>
      <c r="AH91" s="520">
        <v>6</v>
      </c>
      <c r="AI91" s="520">
        <v>0</v>
      </c>
      <c r="AJ91" s="520">
        <f>VLOOKUP($I91,'Price List, Weapons &amp; Items'!A:E,5,0)</f>
        <v>0</v>
      </c>
      <c r="AK91" s="520">
        <f t="shared" si="21"/>
        <v>0</v>
      </c>
      <c r="AL91" s="520">
        <f t="shared" si="22"/>
        <v>0</v>
      </c>
      <c r="AM91" s="520">
        <f t="shared" si="23"/>
        <v>0</v>
      </c>
      <c r="AN91" s="521" t="str">
        <f>VLOOKUP($I91,'Price List, Weapons &amp; Items'!A:K,COLUMN('Price List, Weapons &amp; Items'!$I$1),0)</f>
        <v>.</v>
      </c>
      <c r="AO91" s="521" t="str">
        <f>IF(I91=".",".",VLOOKUP($I91,'Price List, Weapons &amp; Items'!A:I,3,0))</f>
        <v>.</v>
      </c>
      <c r="AP91" s="517" t="str">
        <f t="shared" ca="1" si="20"/>
        <v>.</v>
      </c>
      <c r="AQ91" s="521" t="str">
        <f>VLOOKUP($I91,'Price List, Weapons &amp; Items'!A:K,COLUMN('Price List, Weapons &amp; Items'!$K$1),0)</f>
        <v>no price, 0 count</v>
      </c>
      <c r="AS91" s="521">
        <f t="shared" si="24"/>
        <v>1</v>
      </c>
      <c r="AT91" s="521">
        <f t="shared" si="25"/>
        <v>0</v>
      </c>
      <c r="AU91" s="521">
        <f t="shared" si="26"/>
        <v>1</v>
      </c>
      <c r="AV91" s="521" t="str">
        <f t="shared" si="27"/>
        <v>.</v>
      </c>
    </row>
    <row r="92" spans="1:48" s="534" customFormat="1" ht="15" customHeight="1">
      <c r="A92" s="41" t="s">
        <v>503</v>
      </c>
      <c r="B92" s="41" t="s">
        <v>452</v>
      </c>
      <c r="C92" s="511">
        <v>44740</v>
      </c>
      <c r="D92" s="18" t="s">
        <v>228</v>
      </c>
      <c r="E92" s="18" t="s">
        <v>229</v>
      </c>
      <c r="F92" s="512" t="s">
        <v>504</v>
      </c>
      <c r="G92" s="39" t="s">
        <v>455</v>
      </c>
      <c r="H92" s="513">
        <v>9700000</v>
      </c>
      <c r="I92" s="41" t="s">
        <v>232</v>
      </c>
      <c r="J92" s="276" t="str">
        <f>VLOOKUP($I92,'Price List, Weapons &amp; Items'!A:B,2,0)</f>
        <v>.</v>
      </c>
      <c r="K92" s="276" t="str">
        <f>IF(I92=".",I92,VLOOKUP($I92,'Price List, Weapons &amp; Items'!A:C,3,0))</f>
        <v>.</v>
      </c>
      <c r="L92" s="514">
        <f>VLOOKUP(I92,'Price List, Weapons &amp; Items'!A:D,4,0)</f>
        <v>0</v>
      </c>
      <c r="M92" s="515" t="s">
        <v>232</v>
      </c>
      <c r="N92" s="515" t="s">
        <v>232</v>
      </c>
      <c r="O92" s="516" t="str">
        <f>VLOOKUP($I92,'Price List, Weapons &amp; Items'!A:F,6,0)</f>
        <v>.</v>
      </c>
      <c r="P92" s="513" t="str">
        <f t="shared" si="28"/>
        <v>.</v>
      </c>
      <c r="Q92" s="513" t="str">
        <f t="shared" si="29"/>
        <v>.</v>
      </c>
      <c r="R92" s="513">
        <f t="shared" si="19"/>
        <v>9700000</v>
      </c>
      <c r="S92" s="513">
        <f>IF(AND(AD92=1,R92&lt;&gt;".")=TRUE,R92/VLOOKUP(G92,'Exchange rates'!B:C,2,0),IF(R92=".",".",""))</f>
        <v>7145488.0294659305</v>
      </c>
      <c r="T92" s="513" t="str">
        <f>IF(AD92=1,IF(AF92="Value is not given at all",".",IF(AF92="Value is given by the source",S92,IF(AF92="Value is calculated with prices",(IF(SUMIFS(Q:Q,A:A,A92)&gt;0,SUMIFS(Q:Q,A:A,A92),"."))/VLOOKUP("USD",'Exchange rates'!B:C,2,0),"Error with coding"))),"")</f>
        <v>.</v>
      </c>
      <c r="U92" s="39" t="s">
        <v>233</v>
      </c>
      <c r="V92" s="42" t="s">
        <v>471</v>
      </c>
      <c r="W92" s="42" t="s">
        <v>232</v>
      </c>
      <c r="X92" s="512" t="s">
        <v>232</v>
      </c>
      <c r="Y92" s="512" t="s">
        <v>232</v>
      </c>
      <c r="Z92" s="39">
        <v>0</v>
      </c>
      <c r="AA92" s="39">
        <v>0</v>
      </c>
      <c r="AB92" s="534" t="s">
        <v>232</v>
      </c>
      <c r="AC92" s="519" t="str">
        <f>""</f>
        <v/>
      </c>
      <c r="AD92" s="522">
        <v>1</v>
      </c>
      <c r="AE92" s="522" t="s">
        <v>236</v>
      </c>
      <c r="AF92" s="522" t="s">
        <v>237</v>
      </c>
      <c r="AG92" s="522">
        <v>1</v>
      </c>
      <c r="AH92" s="520">
        <v>6</v>
      </c>
      <c r="AI92" s="520">
        <v>0</v>
      </c>
      <c r="AJ92" s="520">
        <f>VLOOKUP($I92,'Price List, Weapons &amp; Items'!A:E,5,0)</f>
        <v>0</v>
      </c>
      <c r="AK92" s="520">
        <f t="shared" si="21"/>
        <v>0</v>
      </c>
      <c r="AL92" s="520">
        <f t="shared" si="22"/>
        <v>0</v>
      </c>
      <c r="AM92" s="520">
        <f t="shared" si="23"/>
        <v>0</v>
      </c>
      <c r="AN92" s="521" t="str">
        <f>VLOOKUP($I92,'Price List, Weapons &amp; Items'!A:K,COLUMN('Price List, Weapons &amp; Items'!$I$1),0)</f>
        <v>.</v>
      </c>
      <c r="AO92" s="521" t="str">
        <f>IF(I92=".",".",VLOOKUP($I92,'Price List, Weapons &amp; Items'!A:I,3,0))</f>
        <v>.</v>
      </c>
      <c r="AP92" s="517" t="str">
        <f t="shared" ca="1" si="20"/>
        <v>.</v>
      </c>
      <c r="AQ92" s="521" t="str">
        <f>VLOOKUP($I92,'Price List, Weapons &amp; Items'!A:K,COLUMN('Price List, Weapons &amp; Items'!$K$1),0)</f>
        <v>no price, 0 count</v>
      </c>
      <c r="AS92" s="521">
        <f t="shared" si="24"/>
        <v>1</v>
      </c>
      <c r="AT92" s="521">
        <f t="shared" si="25"/>
        <v>0</v>
      </c>
      <c r="AU92" s="521">
        <f t="shared" si="26"/>
        <v>1</v>
      </c>
      <c r="AV92" s="521" t="str">
        <f t="shared" si="27"/>
        <v>.</v>
      </c>
    </row>
    <row r="93" spans="1:48" s="534" customFormat="1" ht="15" customHeight="1">
      <c r="A93" s="41" t="s">
        <v>505</v>
      </c>
      <c r="B93" s="41" t="s">
        <v>452</v>
      </c>
      <c r="C93" s="511">
        <v>44807</v>
      </c>
      <c r="D93" s="18" t="s">
        <v>228</v>
      </c>
      <c r="E93" s="18" t="s">
        <v>229</v>
      </c>
      <c r="F93" s="512" t="s">
        <v>506</v>
      </c>
      <c r="G93" s="39" t="s">
        <v>455</v>
      </c>
      <c r="H93" s="513">
        <v>52000000</v>
      </c>
      <c r="I93" s="41" t="s">
        <v>232</v>
      </c>
      <c r="J93" s="276" t="str">
        <f>VLOOKUP($I93,'Price List, Weapons &amp; Items'!A:B,2,0)</f>
        <v>.</v>
      </c>
      <c r="K93" s="276" t="str">
        <f>IF(I93=".",I93,VLOOKUP($I93,'Price List, Weapons &amp; Items'!A:C,3,0))</f>
        <v>.</v>
      </c>
      <c r="L93" s="514">
        <f>VLOOKUP(I93,'Price List, Weapons &amp; Items'!A:D,4,0)</f>
        <v>0</v>
      </c>
      <c r="M93" s="515" t="s">
        <v>232</v>
      </c>
      <c r="N93" s="515" t="s">
        <v>232</v>
      </c>
      <c r="O93" s="516" t="str">
        <f>VLOOKUP($I93,'Price List, Weapons &amp; Items'!A:F,6,0)</f>
        <v>.</v>
      </c>
      <c r="P93" s="513" t="str">
        <f t="shared" si="28"/>
        <v>.</v>
      </c>
      <c r="Q93" s="513" t="str">
        <f t="shared" si="29"/>
        <v>.</v>
      </c>
      <c r="R93" s="513">
        <f t="shared" si="19"/>
        <v>52000000</v>
      </c>
      <c r="S93" s="513">
        <f>IF(AND(AD93=1,R93&lt;&gt;".")=TRUE,R93/VLOOKUP(G93,'Exchange rates'!B:C,2,0),IF(R93=".",".",""))</f>
        <v>38305709.02394107</v>
      </c>
      <c r="T93" s="513" t="str">
        <f>IF(AD93=1,IF(AF93="Value is not given at all",".",IF(AF93="Value is given by the source",S93,IF(AF93="Value is calculated with prices",(IF(SUMIFS(Q:Q,A:A,A93)&gt;0,SUMIFS(Q:Q,A:A,A93),"."))/VLOOKUP("USD",'Exchange rates'!B:C,2,0),"Error with coding"))),"")</f>
        <v>.</v>
      </c>
      <c r="U93" s="39" t="s">
        <v>233</v>
      </c>
      <c r="V93" s="42" t="s">
        <v>507</v>
      </c>
      <c r="W93" s="42" t="s">
        <v>480</v>
      </c>
      <c r="X93" s="512" t="s">
        <v>232</v>
      </c>
      <c r="Y93" s="512" t="s">
        <v>232</v>
      </c>
      <c r="Z93" s="39">
        <v>0</v>
      </c>
      <c r="AA93" s="39">
        <v>0</v>
      </c>
      <c r="AB93" s="534" t="s">
        <v>232</v>
      </c>
      <c r="AC93" s="519" t="str">
        <f>""</f>
        <v/>
      </c>
      <c r="AD93" s="522">
        <v>1</v>
      </c>
      <c r="AE93" s="522" t="s">
        <v>236</v>
      </c>
      <c r="AF93" s="522" t="s">
        <v>237</v>
      </c>
      <c r="AG93" s="522">
        <v>1</v>
      </c>
      <c r="AH93" s="520">
        <v>9</v>
      </c>
      <c r="AI93" s="520">
        <v>0</v>
      </c>
      <c r="AJ93" s="520">
        <f>VLOOKUP($I93,'Price List, Weapons &amp; Items'!A:E,5,0)</f>
        <v>0</v>
      </c>
      <c r="AK93" s="520">
        <f t="shared" si="21"/>
        <v>0</v>
      </c>
      <c r="AL93" s="520">
        <f t="shared" si="22"/>
        <v>0</v>
      </c>
      <c r="AM93" s="520">
        <f t="shared" si="23"/>
        <v>0</v>
      </c>
      <c r="AN93" s="521" t="str">
        <f>VLOOKUP($I93,'Price List, Weapons &amp; Items'!A:K,COLUMN('Price List, Weapons &amp; Items'!$I$1),0)</f>
        <v>.</v>
      </c>
      <c r="AO93" s="521" t="str">
        <f>IF(I93=".",".",VLOOKUP($I93,'Price List, Weapons &amp; Items'!A:I,3,0))</f>
        <v>.</v>
      </c>
      <c r="AP93" s="517" t="str">
        <f t="shared" ca="1" si="20"/>
        <v>.</v>
      </c>
      <c r="AQ93" s="521" t="str">
        <f>VLOOKUP($I93,'Price List, Weapons &amp; Items'!A:K,COLUMN('Price List, Weapons &amp; Items'!$K$1),0)</f>
        <v>no price, 0 count</v>
      </c>
      <c r="AS93" s="521">
        <f t="shared" si="24"/>
        <v>1</v>
      </c>
      <c r="AT93" s="521">
        <f t="shared" si="25"/>
        <v>0</v>
      </c>
      <c r="AU93" s="521">
        <f t="shared" si="26"/>
        <v>1</v>
      </c>
      <c r="AV93" s="521" t="str">
        <f t="shared" si="27"/>
        <v>.</v>
      </c>
    </row>
    <row r="94" spans="1:48" s="533" customFormat="1" ht="15" customHeight="1">
      <c r="A94" s="41" t="s">
        <v>508</v>
      </c>
      <c r="B94" s="41" t="s">
        <v>452</v>
      </c>
      <c r="C94" s="511">
        <v>44587</v>
      </c>
      <c r="D94" s="18" t="s">
        <v>252</v>
      </c>
      <c r="E94" s="18" t="s">
        <v>253</v>
      </c>
      <c r="F94" s="512" t="s">
        <v>509</v>
      </c>
      <c r="G94" s="39" t="s">
        <v>455</v>
      </c>
      <c r="H94" s="513">
        <v>340000000</v>
      </c>
      <c r="I94" s="41" t="s">
        <v>232</v>
      </c>
      <c r="J94" s="276" t="str">
        <f>VLOOKUP($I94,'Price List, Weapons &amp; Items'!A:B,2,0)</f>
        <v>.</v>
      </c>
      <c r="K94" s="276" t="str">
        <f>IF(I94=".",I94,VLOOKUP($I94,'Price List, Weapons &amp; Items'!A:C,3,0))</f>
        <v>.</v>
      </c>
      <c r="L94" s="514">
        <f>VLOOKUP(I94,'Price List, Weapons &amp; Items'!A:D,4,0)</f>
        <v>0</v>
      </c>
      <c r="M94" s="515" t="s">
        <v>232</v>
      </c>
      <c r="N94" s="515" t="s">
        <v>232</v>
      </c>
      <c r="O94" s="516" t="str">
        <f>VLOOKUP($I94,'Price List, Weapons &amp; Items'!A:F,6,0)</f>
        <v>.</v>
      </c>
      <c r="P94" s="513" t="str">
        <f t="shared" si="28"/>
        <v>.</v>
      </c>
      <c r="Q94" s="513" t="str">
        <f t="shared" si="29"/>
        <v>.</v>
      </c>
      <c r="R94" s="513">
        <f t="shared" si="19"/>
        <v>340000000</v>
      </c>
      <c r="S94" s="513">
        <f>IF(AND(AD94=1,R94&lt;&gt;".")=TRUE,R94/VLOOKUP(G94,'Exchange rates'!B:C,2,0),IF(R94=".",".",""))</f>
        <v>250460405.15653777</v>
      </c>
      <c r="T94" s="513">
        <f>IF(AD94=1,IF(AF94="Value is not given at all",".",IF(AF94="Value is given by the source",S94,IF(AF94="Value is calculated with prices",(IF(SUMIFS(Q:Q,A:A,A94)&gt;0,SUMIFS(Q:Q,A:A,A94),"."))/VLOOKUP("USD",'Exchange rates'!B:C,2,0),"Error with coding"))),"")</f>
        <v>250460405.15653777</v>
      </c>
      <c r="U94" s="39" t="s">
        <v>233</v>
      </c>
      <c r="V94" s="42" t="s">
        <v>487</v>
      </c>
      <c r="W94" s="42" t="s">
        <v>510</v>
      </c>
      <c r="X94" s="517" t="s">
        <v>232</v>
      </c>
      <c r="Y94" s="517" t="s">
        <v>232</v>
      </c>
      <c r="Z94" s="39">
        <v>0</v>
      </c>
      <c r="AA94" s="518">
        <v>0</v>
      </c>
      <c r="AB94" s="394" t="s">
        <v>511</v>
      </c>
      <c r="AC94" s="519" t="str">
        <f>""</f>
        <v/>
      </c>
      <c r="AD94" s="520">
        <v>1</v>
      </c>
      <c r="AE94" s="520" t="s">
        <v>236</v>
      </c>
      <c r="AF94" s="520" t="s">
        <v>236</v>
      </c>
      <c r="AG94" s="520">
        <v>1</v>
      </c>
      <c r="AH94" s="520">
        <v>1</v>
      </c>
      <c r="AI94" s="520">
        <v>1</v>
      </c>
      <c r="AJ94" s="520">
        <f>VLOOKUP($I94,'Price List, Weapons &amp; Items'!A:E,5,0)</f>
        <v>0</v>
      </c>
      <c r="AK94" s="520">
        <f t="shared" si="21"/>
        <v>0</v>
      </c>
      <c r="AL94" s="520">
        <f t="shared" si="22"/>
        <v>0</v>
      </c>
      <c r="AM94" s="520">
        <f t="shared" si="23"/>
        <v>0</v>
      </c>
      <c r="AN94" s="521" t="str">
        <f>VLOOKUP($I94,'Price List, Weapons &amp; Items'!A:K,COLUMN('Price List, Weapons &amp; Items'!$I$1),0)</f>
        <v>.</v>
      </c>
      <c r="AO94" s="521" t="str">
        <f>IF(I94=".",".",VLOOKUP($I94,'Price List, Weapons &amp; Items'!A:I,3,0))</f>
        <v>.</v>
      </c>
      <c r="AP94" s="517" t="str">
        <f t="shared" ca="1" si="20"/>
        <v>.</v>
      </c>
      <c r="AQ94" s="521" t="str">
        <f>VLOOKUP($I94,'Price List, Weapons &amp; Items'!A:K,COLUMN('Price List, Weapons &amp; Items'!$K$1),0)</f>
        <v>no price, 0 count</v>
      </c>
      <c r="AS94" s="521">
        <f t="shared" si="24"/>
        <v>1</v>
      </c>
      <c r="AT94" s="521">
        <f t="shared" si="25"/>
        <v>1</v>
      </c>
      <c r="AU94" s="521">
        <f t="shared" si="26"/>
        <v>1</v>
      </c>
      <c r="AV94" s="521" t="str">
        <f t="shared" si="27"/>
        <v>.</v>
      </c>
    </row>
    <row r="95" spans="1:48" s="533" customFormat="1" ht="15" customHeight="1">
      <c r="A95" s="41" t="s">
        <v>512</v>
      </c>
      <c r="B95" s="41" t="s">
        <v>452</v>
      </c>
      <c r="C95" s="511">
        <v>44606</v>
      </c>
      <c r="D95" s="18" t="s">
        <v>252</v>
      </c>
      <c r="E95" s="18" t="s">
        <v>253</v>
      </c>
      <c r="F95" s="512" t="s">
        <v>513</v>
      </c>
      <c r="G95" s="39" t="s">
        <v>455</v>
      </c>
      <c r="H95" s="513">
        <v>7000000</v>
      </c>
      <c r="I95" s="41" t="s">
        <v>232</v>
      </c>
      <c r="J95" s="276" t="str">
        <f>VLOOKUP($I95,'Price List, Weapons &amp; Items'!A:B,2,0)</f>
        <v>.</v>
      </c>
      <c r="K95" s="276" t="str">
        <f>IF(I95=".",I95,VLOOKUP($I95,'Price List, Weapons &amp; Items'!A:C,3,0))</f>
        <v>.</v>
      </c>
      <c r="L95" s="514">
        <f>VLOOKUP(I95,'Price List, Weapons &amp; Items'!A:D,4,0)</f>
        <v>0</v>
      </c>
      <c r="M95" s="515" t="s">
        <v>232</v>
      </c>
      <c r="N95" s="515" t="s">
        <v>232</v>
      </c>
      <c r="O95" s="516" t="str">
        <f>VLOOKUP($I95,'Price List, Weapons &amp; Items'!A:F,6,0)</f>
        <v>.</v>
      </c>
      <c r="P95" s="513" t="str">
        <f t="shared" si="28"/>
        <v>.</v>
      </c>
      <c r="Q95" s="513" t="str">
        <f t="shared" si="29"/>
        <v>.</v>
      </c>
      <c r="R95" s="513">
        <f t="shared" si="19"/>
        <v>7000000</v>
      </c>
      <c r="S95" s="513">
        <f>IF(AND(AD95=1,R95&lt;&gt;".")=TRUE,R95/VLOOKUP(G95,'Exchange rates'!B:C,2,0),IF(R95=".",".",""))</f>
        <v>5156537.7532228362</v>
      </c>
      <c r="T95" s="513">
        <f>IF(AD95=1,IF(AF95="Value is not given at all",".",IF(AF95="Value is given by the source",S95,IF(AF95="Value is calculated with prices",(IF(SUMIFS(Q:Q,A:A,A95)&gt;0,SUMIFS(Q:Q,A:A,A95),"."))/VLOOKUP("USD",'Exchange rates'!B:C,2,0),"Error with coding"))),"")</f>
        <v>5156537.7532228362</v>
      </c>
      <c r="U95" s="39" t="s">
        <v>233</v>
      </c>
      <c r="V95" s="42" t="s">
        <v>514</v>
      </c>
      <c r="W95" s="512" t="s">
        <v>232</v>
      </c>
      <c r="X95" s="517" t="s">
        <v>232</v>
      </c>
      <c r="Y95" s="517" t="s">
        <v>232</v>
      </c>
      <c r="Z95" s="39">
        <v>0</v>
      </c>
      <c r="AA95" s="518">
        <v>0</v>
      </c>
      <c r="AB95" s="394" t="s">
        <v>515</v>
      </c>
      <c r="AC95" s="519" t="str">
        <f>""</f>
        <v/>
      </c>
      <c r="AD95" s="520">
        <v>1</v>
      </c>
      <c r="AE95" s="520" t="s">
        <v>236</v>
      </c>
      <c r="AF95" s="520" t="s">
        <v>236</v>
      </c>
      <c r="AG95" s="520">
        <v>1</v>
      </c>
      <c r="AH95" s="520">
        <v>2</v>
      </c>
      <c r="AI95" s="520">
        <v>1</v>
      </c>
      <c r="AJ95" s="520">
        <f>VLOOKUP($I95,'Price List, Weapons &amp; Items'!A:E,5,0)</f>
        <v>0</v>
      </c>
      <c r="AK95" s="520">
        <f t="shared" si="21"/>
        <v>0</v>
      </c>
      <c r="AL95" s="520">
        <f t="shared" si="22"/>
        <v>0</v>
      </c>
      <c r="AM95" s="520">
        <f t="shared" si="23"/>
        <v>0</v>
      </c>
      <c r="AN95" s="521" t="str">
        <f>VLOOKUP($I95,'Price List, Weapons &amp; Items'!A:K,COLUMN('Price List, Weapons &amp; Items'!$I$1),0)</f>
        <v>.</v>
      </c>
      <c r="AO95" s="521" t="str">
        <f>IF(I95=".",".",VLOOKUP($I95,'Price List, Weapons &amp; Items'!A:I,3,0))</f>
        <v>.</v>
      </c>
      <c r="AP95" s="517" t="str">
        <f t="shared" ca="1" si="20"/>
        <v>.</v>
      </c>
      <c r="AQ95" s="521" t="str">
        <f>VLOOKUP($I95,'Price List, Weapons &amp; Items'!A:K,COLUMN('Price List, Weapons &amp; Items'!$K$1),0)</f>
        <v>no price, 0 count</v>
      </c>
      <c r="AS95" s="521">
        <f t="shared" si="24"/>
        <v>1</v>
      </c>
      <c r="AT95" s="521">
        <f t="shared" si="25"/>
        <v>1</v>
      </c>
      <c r="AU95" s="521">
        <f t="shared" si="26"/>
        <v>1</v>
      </c>
      <c r="AV95" s="521" t="str">
        <f t="shared" si="27"/>
        <v>.</v>
      </c>
    </row>
    <row r="96" spans="1:48" ht="15" customHeight="1">
      <c r="A96" s="18" t="s">
        <v>516</v>
      </c>
      <c r="B96" s="18" t="s">
        <v>452</v>
      </c>
      <c r="C96" s="511">
        <v>44619</v>
      </c>
      <c r="D96" s="18" t="s">
        <v>252</v>
      </c>
      <c r="E96" s="18" t="s">
        <v>253</v>
      </c>
      <c r="F96" s="512" t="s">
        <v>517</v>
      </c>
      <c r="G96" s="39" t="s">
        <v>314</v>
      </c>
      <c r="H96" s="513" t="s">
        <v>309</v>
      </c>
      <c r="I96" s="41" t="s">
        <v>518</v>
      </c>
      <c r="J96" s="276" t="str">
        <f>VLOOKUP($I96,'Price List, Weapons &amp; Items'!A:B,2,0)</f>
        <v>Military equipment</v>
      </c>
      <c r="K96" s="276" t="str">
        <f>IF(I96=".",I96,VLOOKUP($I96,'Price List, Weapons &amp; Items'!A:C,3,0))</f>
        <v>.</v>
      </c>
      <c r="L96" s="514">
        <f>VLOOKUP(I96,'Price List, Weapons &amp; Items'!A:D,4,0)</f>
        <v>0</v>
      </c>
      <c r="M96" s="515">
        <v>1600</v>
      </c>
      <c r="N96" s="515">
        <v>1600</v>
      </c>
      <c r="O96" s="516">
        <f>VLOOKUP($I96,'Price List, Weapons &amp; Items'!A:F,6,0)</f>
        <v>219</v>
      </c>
      <c r="P96" s="513">
        <f t="shared" si="28"/>
        <v>350400</v>
      </c>
      <c r="Q96" s="513">
        <f t="shared" si="29"/>
        <v>350400</v>
      </c>
      <c r="R96" s="513">
        <f t="shared" si="19"/>
        <v>16263853.182718271</v>
      </c>
      <c r="S96" s="513">
        <f>IF(AND(AD96=1,R96&lt;&gt;".")=TRUE,R96/VLOOKUP(G96,'Exchange rates'!B:C,2,0),IF(R96=".",".",""))</f>
        <v>16207128.233899621</v>
      </c>
      <c r="T96" s="513">
        <f>IF(AD96=1,IF(AF96="Value is not given at all",".",IF(AF96="Value is given by the source",S96,IF(AF96="Value is calculated with prices",(IF(SUMIFS(Q:Q,A:A,A96)&gt;0,SUMIFS(Q:Q,A:A,A96),"."))/VLOOKUP("USD",'Exchange rates'!B:C,2,0),"Error with coding"))),"")</f>
        <v>16207128.233899621</v>
      </c>
      <c r="U96" s="39" t="s">
        <v>233</v>
      </c>
      <c r="V96" s="376" t="s">
        <v>519</v>
      </c>
      <c r="W96" s="530" t="s">
        <v>232</v>
      </c>
      <c r="X96" s="530" t="s">
        <v>232</v>
      </c>
      <c r="Y96" s="530" t="s">
        <v>232</v>
      </c>
      <c r="Z96" s="39">
        <v>0</v>
      </c>
      <c r="AA96" s="518">
        <v>0</v>
      </c>
      <c r="AB96" s="394" t="s">
        <v>520</v>
      </c>
      <c r="AC96" s="519" t="str">
        <f>""</f>
        <v/>
      </c>
      <c r="AD96" s="520">
        <v>1</v>
      </c>
      <c r="AE96" s="520" t="s">
        <v>300</v>
      </c>
      <c r="AF96" s="520" t="s">
        <v>300</v>
      </c>
      <c r="AG96" s="520">
        <v>1</v>
      </c>
      <c r="AH96" s="520">
        <v>2</v>
      </c>
      <c r="AI96" s="520">
        <v>0</v>
      </c>
      <c r="AJ96" s="520">
        <f>VLOOKUP($I96,'Price List, Weapons &amp; Items'!A:E,5,0)</f>
        <v>0</v>
      </c>
      <c r="AK96" s="520">
        <f t="shared" si="21"/>
        <v>0</v>
      </c>
      <c r="AL96" s="520">
        <f t="shared" si="22"/>
        <v>0</v>
      </c>
      <c r="AM96" s="520">
        <f t="shared" si="23"/>
        <v>0</v>
      </c>
      <c r="AN96" s="521" t="str">
        <f>VLOOKUP($I96,'Price List, Weapons &amp; Items'!A:K,COLUMN('Price List, Weapons &amp; Items'!$I$1),0)</f>
        <v>Online marketplaces and stores</v>
      </c>
      <c r="AO96" s="521" t="str">
        <f>IF(I96=".",".",VLOOKUP($I96,'Price List, Weapons &amp; Items'!A:I,3,0))</f>
        <v>.</v>
      </c>
      <c r="AP96" s="517" t="str">
        <f t="shared" ca="1" si="20"/>
        <v>fragmentation vest; individual meal pack; Carl Gustav M2 recoilless rifle; round of 84 mm ammunition</v>
      </c>
      <c r="AQ96" s="521">
        <f>VLOOKUP($I96,'Price List, Weapons &amp; Items'!A:K,COLUMN('Price List, Weapons &amp; Items'!$K$1),0)</f>
        <v>1</v>
      </c>
      <c r="AS96" s="521">
        <f t="shared" si="24"/>
        <v>1</v>
      </c>
      <c r="AT96" s="521">
        <f t="shared" si="25"/>
        <v>1</v>
      </c>
      <c r="AU96" s="521">
        <f t="shared" si="26"/>
        <v>1</v>
      </c>
      <c r="AV96" s="521" t="str">
        <f t="shared" si="27"/>
        <v>.</v>
      </c>
    </row>
    <row r="97" spans="1:48" ht="15" customHeight="1">
      <c r="A97" s="18" t="s">
        <v>516</v>
      </c>
      <c r="B97" s="18" t="s">
        <v>452</v>
      </c>
      <c r="C97" s="511">
        <v>44619</v>
      </c>
      <c r="D97" s="18" t="s">
        <v>252</v>
      </c>
      <c r="E97" s="18" t="s">
        <v>253</v>
      </c>
      <c r="F97" s="512" t="s">
        <v>517</v>
      </c>
      <c r="G97" s="39" t="s">
        <v>314</v>
      </c>
      <c r="H97" s="513" t="s">
        <v>309</v>
      </c>
      <c r="I97" s="41" t="s">
        <v>521</v>
      </c>
      <c r="J97" s="276" t="str">
        <f>VLOOKUP($I97,'Price List, Weapons &amp; Items'!A:B,2,0)</f>
        <v>Military equipment</v>
      </c>
      <c r="K97" s="276" t="str">
        <f>IF(I97=".",I97,VLOOKUP($I97,'Price List, Weapons &amp; Items'!A:C,3,0))</f>
        <v>.</v>
      </c>
      <c r="L97" s="514">
        <f>VLOOKUP(I97,'Price List, Weapons &amp; Items'!A:D,4,0)</f>
        <v>0</v>
      </c>
      <c r="M97" s="515">
        <v>390000</v>
      </c>
      <c r="N97" s="515">
        <v>390000</v>
      </c>
      <c r="O97" s="516">
        <f>VLOOKUP($I97,'Price List, Weapons &amp; Items'!A:F,6,0)</f>
        <v>22</v>
      </c>
      <c r="P97" s="513">
        <f t="shared" si="28"/>
        <v>8580000</v>
      </c>
      <c r="Q97" s="513">
        <f t="shared" si="29"/>
        <v>8580000</v>
      </c>
      <c r="R97" s="513" t="str">
        <f t="shared" si="19"/>
        <v/>
      </c>
      <c r="S97" s="513" t="str">
        <f>IF(AND(AD97=1,R97&lt;&gt;".")=TRUE,R97/VLOOKUP(G97,'Exchange rates'!B:C,2,0),IF(R97=".",".",""))</f>
        <v/>
      </c>
      <c r="T97" s="513" t="str">
        <f>IF(AD97=1,IF(AF97="Value is not given at all",".",IF(AF97="Value is given by the source",S97,IF(AF97="Value is calculated with prices",(IF(SUMIFS(Q:Q,A:A,A97)&gt;0,SUMIFS(Q:Q,A:A,A97),"."))/VLOOKUP("USD",'Exchange rates'!B:C,2,0),"Error with coding"))),"")</f>
        <v/>
      </c>
      <c r="U97" s="39" t="s">
        <v>233</v>
      </c>
      <c r="V97" s="376" t="s">
        <v>519</v>
      </c>
      <c r="W97" s="530" t="s">
        <v>232</v>
      </c>
      <c r="X97" s="530" t="s">
        <v>232</v>
      </c>
      <c r="Y97" s="530" t="s">
        <v>232</v>
      </c>
      <c r="Z97" s="39">
        <v>0</v>
      </c>
      <c r="AA97" s="518">
        <v>0</v>
      </c>
      <c r="AB97" s="38" t="s">
        <v>232</v>
      </c>
      <c r="AC97" s="519" t="str">
        <f>""</f>
        <v/>
      </c>
      <c r="AD97" s="520">
        <v>0</v>
      </c>
      <c r="AE97" s="520" t="s">
        <v>300</v>
      </c>
      <c r="AF97" s="520" t="s">
        <v>300</v>
      </c>
      <c r="AG97" s="520">
        <v>1</v>
      </c>
      <c r="AH97" s="520">
        <v>2</v>
      </c>
      <c r="AI97" s="520">
        <v>0</v>
      </c>
      <c r="AJ97" s="520">
        <f>VLOOKUP($I97,'Price List, Weapons &amp; Items'!A:E,5,0)</f>
        <v>0</v>
      </c>
      <c r="AK97" s="520">
        <f t="shared" si="21"/>
        <v>0</v>
      </c>
      <c r="AL97" s="520">
        <f t="shared" si="22"/>
        <v>0</v>
      </c>
      <c r="AM97" s="520">
        <f t="shared" si="23"/>
        <v>0</v>
      </c>
      <c r="AN97" s="521" t="str">
        <f>VLOOKUP($I97,'Price List, Weapons &amp; Items'!A:K,COLUMN('Price List, Weapons &amp; Items'!$I$1),0)</f>
        <v>Online marketplaces and stores</v>
      </c>
      <c r="AO97" s="521" t="str">
        <f>IF(I97=".",".",VLOOKUP($I97,'Price List, Weapons &amp; Items'!A:I,3,0))</f>
        <v>.</v>
      </c>
      <c r="AP97" s="517" t="str">
        <f t="shared" ca="1" si="20"/>
        <v/>
      </c>
      <c r="AQ97" s="521">
        <f>VLOOKUP($I97,'Price List, Weapons &amp; Items'!A:K,COLUMN('Price List, Weapons &amp; Items'!$K$1),0)</f>
        <v>2</v>
      </c>
      <c r="AS97" s="521">
        <f t="shared" si="24"/>
        <v>1</v>
      </c>
      <c r="AT97" s="521">
        <f t="shared" si="25"/>
        <v>1</v>
      </c>
      <c r="AU97" s="521">
        <f t="shared" si="26"/>
        <v>1</v>
      </c>
      <c r="AV97" s="521" t="str">
        <f t="shared" si="27"/>
        <v>.</v>
      </c>
    </row>
    <row r="98" spans="1:48" ht="15" customHeight="1">
      <c r="A98" s="18" t="s">
        <v>516</v>
      </c>
      <c r="B98" s="18" t="s">
        <v>452</v>
      </c>
      <c r="C98" s="511">
        <v>44619</v>
      </c>
      <c r="D98" s="18" t="s">
        <v>252</v>
      </c>
      <c r="E98" s="18" t="s">
        <v>253</v>
      </c>
      <c r="F98" s="512" t="s">
        <v>517</v>
      </c>
      <c r="G98" s="39" t="s">
        <v>314</v>
      </c>
      <c r="H98" s="513" t="s">
        <v>309</v>
      </c>
      <c r="I98" s="41" t="s">
        <v>522</v>
      </c>
      <c r="J98" s="276" t="str">
        <f>VLOOKUP($I98,'Price List, Weapons &amp; Items'!A:B,2,0)</f>
        <v>Light armaments &amp; infantry</v>
      </c>
      <c r="K98" s="276" t="str">
        <f>IF(I98=".",I98,VLOOKUP($I98,'Price List, Weapons &amp; Items'!A:C,3,0))</f>
        <v>Recoilless rifle (RR/RCL)</v>
      </c>
      <c r="L98" s="514">
        <f>VLOOKUP(I98,'Price List, Weapons &amp; Items'!A:D,4,0)</f>
        <v>0</v>
      </c>
      <c r="M98" s="515">
        <v>100</v>
      </c>
      <c r="N98" s="515">
        <v>100</v>
      </c>
      <c r="O98" s="516">
        <f>VLOOKUP($I98,'Price List, Weapons &amp; Items'!A:F,6,0)</f>
        <v>38334.53182718272</v>
      </c>
      <c r="P98" s="513">
        <f t="shared" si="28"/>
        <v>3833453.1827182719</v>
      </c>
      <c r="Q98" s="513">
        <f t="shared" si="29"/>
        <v>3833453.1827182719</v>
      </c>
      <c r="R98" s="513" t="str">
        <f t="shared" si="19"/>
        <v/>
      </c>
      <c r="S98" s="513" t="str">
        <f>IF(AND(AD98=1,R98&lt;&gt;".")=TRUE,R98/VLOOKUP(G98,'Exchange rates'!B:C,2,0),IF(R98=".",".",""))</f>
        <v/>
      </c>
      <c r="T98" s="513" t="str">
        <f>IF(AD98=1,IF(AF98="Value is not given at all",".",IF(AF98="Value is given by the source",S98,IF(AF98="Value is calculated with prices",(IF(SUMIFS(Q:Q,A:A,A98)&gt;0,SUMIFS(Q:Q,A:A,A98),"."))/VLOOKUP("USD",'Exchange rates'!B:C,2,0),"Error with coding"))),"")</f>
        <v/>
      </c>
      <c r="U98" s="39" t="s">
        <v>233</v>
      </c>
      <c r="V98" s="376" t="s">
        <v>519</v>
      </c>
      <c r="W98" s="530" t="s">
        <v>232</v>
      </c>
      <c r="X98" s="530" t="s">
        <v>232</v>
      </c>
      <c r="Y98" s="530" t="s">
        <v>232</v>
      </c>
      <c r="Z98" s="39">
        <v>0</v>
      </c>
      <c r="AA98" s="518">
        <v>0</v>
      </c>
      <c r="AB98" s="394" t="s">
        <v>520</v>
      </c>
      <c r="AC98" s="519" t="str">
        <f>""</f>
        <v/>
      </c>
      <c r="AD98" s="520">
        <v>0</v>
      </c>
      <c r="AE98" s="520" t="s">
        <v>300</v>
      </c>
      <c r="AF98" s="520" t="s">
        <v>300</v>
      </c>
      <c r="AG98" s="520">
        <v>1</v>
      </c>
      <c r="AH98" s="520">
        <v>2</v>
      </c>
      <c r="AI98" s="520">
        <v>0</v>
      </c>
      <c r="AJ98" s="520">
        <f>VLOOKUP($I98,'Price List, Weapons &amp; Items'!A:E,5,0)</f>
        <v>0</v>
      </c>
      <c r="AK98" s="520">
        <f t="shared" si="21"/>
        <v>0</v>
      </c>
      <c r="AL98" s="520">
        <f t="shared" si="22"/>
        <v>0</v>
      </c>
      <c r="AM98" s="520">
        <f t="shared" si="23"/>
        <v>0</v>
      </c>
      <c r="AN98" s="521" t="str">
        <f>VLOOKUP($I98,'Price List, Weapons &amp; Items'!A:K,COLUMN('Price List, Weapons &amp; Items'!$I$1),0)</f>
        <v>Military media (incl. websites)</v>
      </c>
      <c r="AO98" s="521" t="str">
        <f>IF(I98=".",".",VLOOKUP($I98,'Price List, Weapons &amp; Items'!A:I,3,0))</f>
        <v>Recoilless rifle (RR/RCL)</v>
      </c>
      <c r="AP98" s="517" t="str">
        <f t="shared" ca="1" si="20"/>
        <v/>
      </c>
      <c r="AQ98" s="521">
        <f>VLOOKUP($I98,'Price List, Weapons &amp; Items'!A:K,COLUMN('Price List, Weapons &amp; Items'!$K$1),0)</f>
        <v>2</v>
      </c>
      <c r="AS98" s="521">
        <f t="shared" si="24"/>
        <v>1</v>
      </c>
      <c r="AT98" s="521">
        <f t="shared" si="25"/>
        <v>1</v>
      </c>
      <c r="AU98" s="521">
        <f t="shared" si="26"/>
        <v>1</v>
      </c>
      <c r="AV98" s="521" t="str">
        <f t="shared" si="27"/>
        <v>.</v>
      </c>
    </row>
    <row r="99" spans="1:48" ht="15" customHeight="1">
      <c r="A99" s="18" t="s">
        <v>516</v>
      </c>
      <c r="B99" s="18" t="s">
        <v>452</v>
      </c>
      <c r="C99" s="511">
        <v>44619</v>
      </c>
      <c r="D99" s="18" t="s">
        <v>252</v>
      </c>
      <c r="E99" s="18" t="s">
        <v>253</v>
      </c>
      <c r="F99" s="512" t="s">
        <v>517</v>
      </c>
      <c r="G99" s="39" t="s">
        <v>314</v>
      </c>
      <c r="H99" s="513" t="s">
        <v>309</v>
      </c>
      <c r="I99" s="41" t="s">
        <v>523</v>
      </c>
      <c r="J99" s="276" t="str">
        <f>VLOOKUP($I99,'Price List, Weapons &amp; Items'!A:B,2,0)</f>
        <v>Ammunition for light infantry</v>
      </c>
      <c r="K99" s="276" t="str">
        <f>IF(I99=".",I99,VLOOKUP($I99,'Price List, Weapons &amp; Items'!A:C,3,0))</f>
        <v>Recoilless rifle (RR/RCL) ammunition</v>
      </c>
      <c r="L99" s="514">
        <f>VLOOKUP(I99,'Price List, Weapons &amp; Items'!A:D,4,0)</f>
        <v>0</v>
      </c>
      <c r="M99" s="515">
        <v>2000</v>
      </c>
      <c r="N99" s="515">
        <v>2000</v>
      </c>
      <c r="O99" s="516">
        <f>VLOOKUP($I99,'Price List, Weapons &amp; Items'!A:F,6,0)</f>
        <v>1750</v>
      </c>
      <c r="P99" s="513">
        <f t="shared" si="28"/>
        <v>3500000</v>
      </c>
      <c r="Q99" s="513">
        <f t="shared" si="29"/>
        <v>3500000</v>
      </c>
      <c r="R99" s="513" t="str">
        <f t="shared" si="19"/>
        <v/>
      </c>
      <c r="S99" s="513" t="str">
        <f>IF(AND(AD99=1,R99&lt;&gt;".")=TRUE,R99/VLOOKUP(G99,'Exchange rates'!B:C,2,0),IF(R99=".",".",""))</f>
        <v/>
      </c>
      <c r="T99" s="513" t="str">
        <f>IF(AD99=1,IF(AF99="Value is not given at all",".",IF(AF99="Value is given by the source",S99,IF(AF99="Value is calculated with prices",(IF(SUMIFS(Q:Q,A:A,A99)&gt;0,SUMIFS(Q:Q,A:A,A99),"."))/VLOOKUP("USD",'Exchange rates'!B:C,2,0),"Error with coding"))),"")</f>
        <v/>
      </c>
      <c r="U99" s="39" t="s">
        <v>233</v>
      </c>
      <c r="V99" s="376" t="s">
        <v>519</v>
      </c>
      <c r="W99" s="530" t="s">
        <v>232</v>
      </c>
      <c r="X99" s="530" t="s">
        <v>232</v>
      </c>
      <c r="Y99" s="530" t="s">
        <v>232</v>
      </c>
      <c r="Z99" s="39">
        <v>0</v>
      </c>
      <c r="AA99" s="518">
        <v>0</v>
      </c>
      <c r="AB99" s="394" t="s">
        <v>520</v>
      </c>
      <c r="AC99" s="519" t="str">
        <f>""</f>
        <v/>
      </c>
      <c r="AD99" s="520">
        <v>0</v>
      </c>
      <c r="AE99" s="520" t="s">
        <v>300</v>
      </c>
      <c r="AF99" s="520" t="s">
        <v>300</v>
      </c>
      <c r="AG99" s="520">
        <v>1</v>
      </c>
      <c r="AH99" s="520">
        <v>2</v>
      </c>
      <c r="AI99" s="520">
        <v>0</v>
      </c>
      <c r="AJ99" s="520">
        <f>VLOOKUP($I99,'Price List, Weapons &amp; Items'!A:E,5,0)</f>
        <v>0</v>
      </c>
      <c r="AK99" s="520">
        <f t="shared" si="21"/>
        <v>0</v>
      </c>
      <c r="AL99" s="520">
        <f t="shared" si="22"/>
        <v>0</v>
      </c>
      <c r="AM99" s="520">
        <f t="shared" si="23"/>
        <v>1</v>
      </c>
      <c r="AN99" s="521" t="str">
        <f>VLOOKUP($I99,'Price List, Weapons &amp; Items'!A:K,COLUMN('Price List, Weapons &amp; Items'!$I$1),0)</f>
        <v>Military media (incl. websites)</v>
      </c>
      <c r="AO99" s="521" t="str">
        <f>IF(I99=".",".",VLOOKUP($I99,'Price List, Weapons &amp; Items'!A:I,3,0))</f>
        <v>Recoilless rifle (RR/RCL) ammunition</v>
      </c>
      <c r="AP99" s="517" t="str">
        <f t="shared" ca="1" si="20"/>
        <v/>
      </c>
      <c r="AQ99" s="521">
        <f>VLOOKUP($I99,'Price List, Weapons &amp; Items'!A:K,COLUMN('Price List, Weapons &amp; Items'!$K$1),0)</f>
        <v>2</v>
      </c>
      <c r="AS99" s="521">
        <f t="shared" si="24"/>
        <v>1</v>
      </c>
      <c r="AT99" s="521">
        <f t="shared" si="25"/>
        <v>1</v>
      </c>
      <c r="AU99" s="521">
        <f t="shared" si="26"/>
        <v>1</v>
      </c>
      <c r="AV99" s="521" t="str">
        <f t="shared" si="27"/>
        <v>.</v>
      </c>
    </row>
    <row r="100" spans="1:48" s="533" customFormat="1" ht="15" customHeight="1">
      <c r="A100" s="18" t="s">
        <v>524</v>
      </c>
      <c r="B100" s="18" t="s">
        <v>452</v>
      </c>
      <c r="C100" s="511">
        <v>44619</v>
      </c>
      <c r="D100" s="18" t="s">
        <v>252</v>
      </c>
      <c r="E100" s="18" t="s">
        <v>261</v>
      </c>
      <c r="F100" s="512" t="s">
        <v>525</v>
      </c>
      <c r="G100" s="39" t="s">
        <v>455</v>
      </c>
      <c r="H100" s="513">
        <v>25000000</v>
      </c>
      <c r="I100" s="41" t="s">
        <v>419</v>
      </c>
      <c r="J100" s="276" t="str">
        <f>VLOOKUP($I100,'Price List, Weapons &amp; Items'!A:B,2,0)</f>
        <v>Military equipment</v>
      </c>
      <c r="K100" s="276" t="str">
        <f>IF(I100=".",I100,VLOOKUP($I100,'Price List, Weapons &amp; Items'!A:C,3,0))</f>
        <v>.</v>
      </c>
      <c r="L100" s="514">
        <f>VLOOKUP(I100,'Price List, Weapons &amp; Items'!A:D,4,0)</f>
        <v>0</v>
      </c>
      <c r="M100" s="515" t="s">
        <v>264</v>
      </c>
      <c r="N100" s="515" t="s">
        <v>264</v>
      </c>
      <c r="O100" s="516">
        <f>VLOOKUP($I100,'Price List, Weapons &amp; Items'!A:F,6,0)</f>
        <v>1400</v>
      </c>
      <c r="P100" s="513" t="str">
        <f t="shared" si="28"/>
        <v>.</v>
      </c>
      <c r="Q100" s="513" t="str">
        <f t="shared" si="29"/>
        <v>.</v>
      </c>
      <c r="R100" s="513">
        <f t="shared" si="19"/>
        <v>25000000</v>
      </c>
      <c r="S100" s="513">
        <f>IF(AND(AD100=1,R100&lt;&gt;".")=TRUE,R100/VLOOKUP(G100,'Exchange rates'!B:C,2,0),IF(R100=".",".",""))</f>
        <v>18416206.26151013</v>
      </c>
      <c r="T100" s="513">
        <f>IF(AD100=1,IF(AF100="Value is not given at all",".",IF(AF100="Value is given by the source",S100,IF(AF100="Value is calculated with prices",(IF(SUMIFS(Q:Q,A:A,A100)&gt;0,SUMIFS(Q:Q,A:A,A100),"."))/VLOOKUP("USD",'Exchange rates'!B:C,2,0),"Error with coding"))),"")</f>
        <v>18416206.26151013</v>
      </c>
      <c r="U100" s="39" t="s">
        <v>233</v>
      </c>
      <c r="V100" s="376" t="s">
        <v>519</v>
      </c>
      <c r="W100" s="376" t="s">
        <v>526</v>
      </c>
      <c r="X100" s="517" t="s">
        <v>232</v>
      </c>
      <c r="Y100" s="517" t="s">
        <v>232</v>
      </c>
      <c r="Z100" s="39">
        <v>0</v>
      </c>
      <c r="AA100" s="518">
        <v>0</v>
      </c>
      <c r="AB100" s="394" t="s">
        <v>527</v>
      </c>
      <c r="AC100" s="519" t="str">
        <f>""</f>
        <v/>
      </c>
      <c r="AD100" s="520">
        <v>1</v>
      </c>
      <c r="AE100" s="520" t="s">
        <v>236</v>
      </c>
      <c r="AF100" s="520" t="s">
        <v>236</v>
      </c>
      <c r="AG100" s="520">
        <v>1</v>
      </c>
      <c r="AH100" s="520">
        <v>2</v>
      </c>
      <c r="AI100" s="520">
        <v>0</v>
      </c>
      <c r="AJ100" s="520">
        <f>VLOOKUP($I100,'Price List, Weapons &amp; Items'!A:E,5,0)</f>
        <v>0</v>
      </c>
      <c r="AK100" s="520">
        <f t="shared" si="21"/>
        <v>0</v>
      </c>
      <c r="AL100" s="520">
        <f t="shared" si="22"/>
        <v>0</v>
      </c>
      <c r="AM100" s="520">
        <f t="shared" si="23"/>
        <v>0</v>
      </c>
      <c r="AN100" s="521" t="str">
        <f>VLOOKUP($I100,'Price List, Weapons &amp; Items'!A:K,COLUMN('Price List, Weapons &amp; Items'!$I$1),0)</f>
        <v>Military media (incl. websites)</v>
      </c>
      <c r="AO100" s="521" t="str">
        <f>IF(I100=".",".",VLOOKUP($I100,'Price List, Weapons &amp; Items'!A:I,3,0))</f>
        <v>.</v>
      </c>
      <c r="AP100" s="517" t="str">
        <f t="shared" ca="1" si="20"/>
        <v>helmet; ballistic vest; gas mask; night vision device</v>
      </c>
      <c r="AQ100" s="521">
        <f>VLOOKUP($I100,'Price List, Weapons &amp; Items'!A:K,COLUMN('Price List, Weapons &amp; Items'!$K$1),0)</f>
        <v>2</v>
      </c>
      <c r="AS100" s="521">
        <f t="shared" si="24"/>
        <v>1</v>
      </c>
      <c r="AT100" s="521">
        <f t="shared" si="25"/>
        <v>1</v>
      </c>
      <c r="AU100" s="521">
        <f t="shared" si="26"/>
        <v>1</v>
      </c>
      <c r="AV100" s="521" t="str">
        <f t="shared" si="27"/>
        <v>.</v>
      </c>
    </row>
    <row r="101" spans="1:48" s="533" customFormat="1" ht="15" customHeight="1">
      <c r="A101" s="18" t="s">
        <v>524</v>
      </c>
      <c r="B101" s="18" t="s">
        <v>452</v>
      </c>
      <c r="C101" s="511">
        <v>44619</v>
      </c>
      <c r="D101" s="18" t="s">
        <v>252</v>
      </c>
      <c r="E101" s="18" t="s">
        <v>261</v>
      </c>
      <c r="F101" s="512" t="s">
        <v>525</v>
      </c>
      <c r="G101" s="39" t="s">
        <v>455</v>
      </c>
      <c r="H101" s="513">
        <v>25000000</v>
      </c>
      <c r="I101" s="539" t="s">
        <v>446</v>
      </c>
      <c r="J101" s="276" t="str">
        <f>VLOOKUP($I101,'Price List, Weapons &amp; Items'!A:B,2,0)</f>
        <v>Military equipment</v>
      </c>
      <c r="K101" s="276" t="str">
        <f>IF(I101=".",I101,VLOOKUP($I101,'Price List, Weapons &amp; Items'!A:C,3,0))</f>
        <v>.</v>
      </c>
      <c r="L101" s="514">
        <f>VLOOKUP(I101,'Price List, Weapons &amp; Items'!A:D,4,0)</f>
        <v>0</v>
      </c>
      <c r="M101" s="515" t="s">
        <v>264</v>
      </c>
      <c r="N101" s="515" t="s">
        <v>264</v>
      </c>
      <c r="O101" s="516">
        <f>VLOOKUP($I101,'Price List, Weapons &amp; Items'!A:F,6,0)</f>
        <v>500</v>
      </c>
      <c r="P101" s="513" t="str">
        <f t="shared" si="28"/>
        <v>.</v>
      </c>
      <c r="Q101" s="513" t="str">
        <f t="shared" si="29"/>
        <v>.</v>
      </c>
      <c r="R101" s="513" t="str">
        <f t="shared" si="19"/>
        <v/>
      </c>
      <c r="S101" s="513" t="str">
        <f>IF(AND(AD101=1,R101&lt;&gt;".")=TRUE,R101/VLOOKUP(G101,'Exchange rates'!B:C,2,0),IF(R101=".",".",""))</f>
        <v/>
      </c>
      <c r="T101" s="513" t="str">
        <f>IF(AD101=1,IF(AF101="Value is not given at all",".",IF(AF101="Value is given by the source",S101,IF(AF101="Value is calculated with prices",(IF(SUMIFS(Q:Q,A:A,A101)&gt;0,SUMIFS(Q:Q,A:A,A101),"."))/VLOOKUP("USD",'Exchange rates'!B:C,2,0),"Error with coding"))),"")</f>
        <v/>
      </c>
      <c r="U101" s="39" t="s">
        <v>233</v>
      </c>
      <c r="V101" s="376" t="s">
        <v>519</v>
      </c>
      <c r="W101" s="376" t="s">
        <v>526</v>
      </c>
      <c r="X101" s="517" t="s">
        <v>232</v>
      </c>
      <c r="Y101" s="517" t="s">
        <v>232</v>
      </c>
      <c r="Z101" s="39">
        <v>0</v>
      </c>
      <c r="AA101" s="518">
        <v>0</v>
      </c>
      <c r="AB101" s="394" t="s">
        <v>527</v>
      </c>
      <c r="AC101" s="519" t="str">
        <f>""</f>
        <v/>
      </c>
      <c r="AD101" s="520">
        <v>0</v>
      </c>
      <c r="AE101" s="520" t="s">
        <v>236</v>
      </c>
      <c r="AF101" s="520" t="s">
        <v>236</v>
      </c>
      <c r="AG101" s="520">
        <v>1</v>
      </c>
      <c r="AH101" s="520">
        <v>2</v>
      </c>
      <c r="AI101" s="520">
        <v>0</v>
      </c>
      <c r="AJ101" s="520">
        <f>VLOOKUP($I101,'Price List, Weapons &amp; Items'!A:E,5,0)</f>
        <v>0</v>
      </c>
      <c r="AK101" s="520">
        <f t="shared" si="21"/>
        <v>0</v>
      </c>
      <c r="AL101" s="520">
        <f t="shared" si="22"/>
        <v>0</v>
      </c>
      <c r="AM101" s="520">
        <f t="shared" si="23"/>
        <v>0</v>
      </c>
      <c r="AN101" s="521" t="str">
        <f>VLOOKUP($I101,'Price List, Weapons &amp; Items'!A:K,COLUMN('Price List, Weapons &amp; Items'!$I$1),0)</f>
        <v>Military media (incl. websites)</v>
      </c>
      <c r="AO101" s="521" t="str">
        <f>IF(I101=".",".",VLOOKUP($I101,'Price List, Weapons &amp; Items'!A:I,3,0))</f>
        <v>.</v>
      </c>
      <c r="AP101" s="517" t="str">
        <f t="shared" ca="1" si="20"/>
        <v/>
      </c>
      <c r="AQ101" s="521">
        <f>VLOOKUP($I101,'Price List, Weapons &amp; Items'!A:K,COLUMN('Price List, Weapons &amp; Items'!$K$1),0)</f>
        <v>2</v>
      </c>
      <c r="AS101" s="521">
        <f t="shared" si="24"/>
        <v>1</v>
      </c>
      <c r="AT101" s="521">
        <f t="shared" si="25"/>
        <v>1</v>
      </c>
      <c r="AU101" s="521">
        <f t="shared" si="26"/>
        <v>1</v>
      </c>
      <c r="AV101" s="521" t="str">
        <f t="shared" si="27"/>
        <v>.</v>
      </c>
    </row>
    <row r="102" spans="1:48" s="533" customFormat="1" ht="15" customHeight="1">
      <c r="A102" s="18" t="s">
        <v>524</v>
      </c>
      <c r="B102" s="18" t="s">
        <v>452</v>
      </c>
      <c r="C102" s="511">
        <v>44619</v>
      </c>
      <c r="D102" s="18" t="s">
        <v>252</v>
      </c>
      <c r="E102" s="18" t="s">
        <v>261</v>
      </c>
      <c r="F102" s="512" t="s">
        <v>525</v>
      </c>
      <c r="G102" s="39" t="s">
        <v>455</v>
      </c>
      <c r="H102" s="513">
        <v>25000000</v>
      </c>
      <c r="I102" s="537" t="s">
        <v>528</v>
      </c>
      <c r="J102" s="276" t="str">
        <f>VLOOKUP($I102,'Price List, Weapons &amp; Items'!A:B,2,0)</f>
        <v>Military equipment</v>
      </c>
      <c r="K102" s="276" t="str">
        <f>IF(I102=".",I102,VLOOKUP($I102,'Price List, Weapons &amp; Items'!A:C,3,0))</f>
        <v>.</v>
      </c>
      <c r="L102" s="514">
        <f>VLOOKUP(I102,'Price List, Weapons &amp; Items'!A:D,4,0)</f>
        <v>0</v>
      </c>
      <c r="M102" s="515" t="s">
        <v>264</v>
      </c>
      <c r="N102" s="515" t="s">
        <v>264</v>
      </c>
      <c r="O102" s="516">
        <f>VLOOKUP($I102,'Price List, Weapons &amp; Items'!A:F,6,0)</f>
        <v>62</v>
      </c>
      <c r="P102" s="513" t="str">
        <f t="shared" si="28"/>
        <v>.</v>
      </c>
      <c r="Q102" s="513" t="str">
        <f t="shared" si="29"/>
        <v>.</v>
      </c>
      <c r="R102" s="513" t="str">
        <f t="shared" si="19"/>
        <v/>
      </c>
      <c r="S102" s="513" t="str">
        <f>IF(AND(AD102=1,R102&lt;&gt;".")=TRUE,R102/VLOOKUP(G102,'Exchange rates'!B:C,2,0),IF(R102=".",".",""))</f>
        <v/>
      </c>
      <c r="T102" s="513" t="str">
        <f>IF(AD102=1,IF(AF102="Value is not given at all",".",IF(AF102="Value is given by the source",S102,IF(AF102="Value is calculated with prices",(IF(SUMIFS(Q:Q,A:A,A102)&gt;0,SUMIFS(Q:Q,A:A,A102),"."))/VLOOKUP("USD",'Exchange rates'!B:C,2,0),"Error with coding"))),"")</f>
        <v/>
      </c>
      <c r="U102" s="39" t="s">
        <v>233</v>
      </c>
      <c r="V102" s="376" t="s">
        <v>519</v>
      </c>
      <c r="W102" s="376" t="s">
        <v>526</v>
      </c>
      <c r="X102" s="517" t="s">
        <v>232</v>
      </c>
      <c r="Y102" s="517" t="s">
        <v>232</v>
      </c>
      <c r="Z102" s="39">
        <v>0</v>
      </c>
      <c r="AA102" s="518">
        <v>0</v>
      </c>
      <c r="AB102" s="394" t="s">
        <v>527</v>
      </c>
      <c r="AC102" s="519" t="str">
        <f>""</f>
        <v/>
      </c>
      <c r="AD102" s="520">
        <v>0</v>
      </c>
      <c r="AE102" s="520" t="s">
        <v>236</v>
      </c>
      <c r="AF102" s="520" t="s">
        <v>236</v>
      </c>
      <c r="AG102" s="520">
        <v>1</v>
      </c>
      <c r="AH102" s="520">
        <v>2</v>
      </c>
      <c r="AI102" s="520">
        <v>0</v>
      </c>
      <c r="AJ102" s="520">
        <f>VLOOKUP($I102,'Price List, Weapons &amp; Items'!A:E,5,0)</f>
        <v>0</v>
      </c>
      <c r="AK102" s="520">
        <f t="shared" si="21"/>
        <v>0</v>
      </c>
      <c r="AL102" s="520">
        <f t="shared" si="22"/>
        <v>0</v>
      </c>
      <c r="AM102" s="520">
        <f t="shared" si="23"/>
        <v>0</v>
      </c>
      <c r="AN102" s="521" t="str">
        <f>VLOOKUP($I102,'Price List, Weapons &amp; Items'!A:K,COLUMN('Price List, Weapons &amp; Items'!$I$1),0)</f>
        <v>Online marketplaces and stores</v>
      </c>
      <c r="AO102" s="521" t="str">
        <f>IF(I102=".",".",VLOOKUP($I102,'Price List, Weapons &amp; Items'!A:I,3,0))</f>
        <v>.</v>
      </c>
      <c r="AP102" s="517" t="str">
        <f t="shared" ca="1" si="20"/>
        <v/>
      </c>
      <c r="AQ102" s="521" t="str">
        <f>VLOOKUP($I102,'Price List, Weapons &amp; Items'!A:K,COLUMN('Price List, Weapons &amp; Items'!$K$1),0)</f>
        <v>no price, 0 count</v>
      </c>
      <c r="AS102" s="521">
        <f t="shared" si="24"/>
        <v>1</v>
      </c>
      <c r="AT102" s="521">
        <f t="shared" si="25"/>
        <v>1</v>
      </c>
      <c r="AU102" s="521">
        <f t="shared" si="26"/>
        <v>1</v>
      </c>
      <c r="AV102" s="521" t="str">
        <f t="shared" si="27"/>
        <v>.</v>
      </c>
    </row>
    <row r="103" spans="1:48" s="533" customFormat="1" ht="15" customHeight="1">
      <c r="A103" s="18" t="s">
        <v>524</v>
      </c>
      <c r="B103" s="18" t="s">
        <v>452</v>
      </c>
      <c r="C103" s="511">
        <v>44619</v>
      </c>
      <c r="D103" s="18" t="s">
        <v>252</v>
      </c>
      <c r="E103" s="18" t="s">
        <v>261</v>
      </c>
      <c r="F103" s="512" t="s">
        <v>525</v>
      </c>
      <c r="G103" s="39" t="s">
        <v>455</v>
      </c>
      <c r="H103" s="513">
        <v>25000000</v>
      </c>
      <c r="I103" s="585" t="s">
        <v>529</v>
      </c>
      <c r="J103" s="276" t="str">
        <f>VLOOKUP($I103,'Price List, Weapons &amp; Items'!A:B,2,0)</f>
        <v>Military equipment</v>
      </c>
      <c r="K103" s="276" t="str">
        <f>IF(I103=".",I103,VLOOKUP($I103,'Price List, Weapons &amp; Items'!A:C,3,0))</f>
        <v>.</v>
      </c>
      <c r="L103" s="514">
        <f>VLOOKUP(I103,'Price List, Weapons &amp; Items'!A:D,4,0)</f>
        <v>0</v>
      </c>
      <c r="M103" s="515" t="s">
        <v>264</v>
      </c>
      <c r="N103" s="515" t="s">
        <v>264</v>
      </c>
      <c r="O103" s="516">
        <f>VLOOKUP($I103,'Price List, Weapons &amp; Items'!A:F,6,0)</f>
        <v>2320</v>
      </c>
      <c r="P103" s="513" t="str">
        <f t="shared" si="28"/>
        <v>.</v>
      </c>
      <c r="Q103" s="513" t="str">
        <f t="shared" si="29"/>
        <v>.</v>
      </c>
      <c r="R103" s="513" t="str">
        <f t="shared" si="19"/>
        <v/>
      </c>
      <c r="S103" s="513" t="str">
        <f>IF(AND(AD103=1,R103&lt;&gt;".")=TRUE,R103/VLOOKUP(G103,'Exchange rates'!B:C,2,0),IF(R103=".",".",""))</f>
        <v/>
      </c>
      <c r="T103" s="513" t="str">
        <f>IF(AD103=1,IF(AF103="Value is not given at all",".",IF(AF103="Value is given by the source",S103,IF(AF103="Value is calculated with prices",(IF(SUMIFS(Q:Q,A:A,A103)&gt;0,SUMIFS(Q:Q,A:A,A103),"."))/VLOOKUP("USD",'Exchange rates'!B:C,2,0),"Error with coding"))),"")</f>
        <v/>
      </c>
      <c r="U103" s="39" t="s">
        <v>233</v>
      </c>
      <c r="V103" s="376" t="s">
        <v>519</v>
      </c>
      <c r="W103" s="376" t="s">
        <v>526</v>
      </c>
      <c r="X103" s="517" t="s">
        <v>232</v>
      </c>
      <c r="Y103" s="517" t="s">
        <v>232</v>
      </c>
      <c r="Z103" s="39">
        <v>0</v>
      </c>
      <c r="AA103" s="518">
        <v>0</v>
      </c>
      <c r="AB103" s="394" t="s">
        <v>527</v>
      </c>
      <c r="AC103" s="519" t="str">
        <f>""</f>
        <v/>
      </c>
      <c r="AD103" s="520">
        <v>0</v>
      </c>
      <c r="AE103" s="520" t="s">
        <v>236</v>
      </c>
      <c r="AF103" s="520" t="s">
        <v>236</v>
      </c>
      <c r="AG103" s="520">
        <v>1</v>
      </c>
      <c r="AH103" s="520">
        <v>2</v>
      </c>
      <c r="AI103" s="520">
        <v>0</v>
      </c>
      <c r="AJ103" s="520">
        <f>VLOOKUP($I103,'Price List, Weapons &amp; Items'!A:E,5,0)</f>
        <v>0</v>
      </c>
      <c r="AK103" s="520">
        <f t="shared" si="21"/>
        <v>0</v>
      </c>
      <c r="AL103" s="520">
        <f t="shared" si="22"/>
        <v>0</v>
      </c>
      <c r="AM103" s="520">
        <f t="shared" si="23"/>
        <v>0</v>
      </c>
      <c r="AN103" s="521" t="str">
        <f>VLOOKUP($I103,'Price List, Weapons &amp; Items'!A:K,COLUMN('Price List, Weapons &amp; Items'!$I$1),0)</f>
        <v>Media reports (incl. social media)</v>
      </c>
      <c r="AO103" s="521" t="str">
        <f>IF(I103=".",".",VLOOKUP($I103,'Price List, Weapons &amp; Items'!A:I,3,0))</f>
        <v>.</v>
      </c>
      <c r="AP103" s="517" t="str">
        <f t="shared" ca="1" si="20"/>
        <v/>
      </c>
      <c r="AQ103" s="521">
        <f>VLOOKUP($I103,'Price List, Weapons &amp; Items'!A:K,COLUMN('Price List, Weapons &amp; Items'!$K$1),0)</f>
        <v>2</v>
      </c>
      <c r="AS103" s="521">
        <f t="shared" si="24"/>
        <v>1</v>
      </c>
      <c r="AT103" s="521">
        <f t="shared" si="25"/>
        <v>1</v>
      </c>
      <c r="AU103" s="521">
        <f t="shared" si="26"/>
        <v>1</v>
      </c>
      <c r="AV103" s="521" t="str">
        <f t="shared" si="27"/>
        <v>.</v>
      </c>
    </row>
    <row r="104" spans="1:48" ht="15" customHeight="1">
      <c r="A104" s="18" t="s">
        <v>530</v>
      </c>
      <c r="B104" s="18" t="s">
        <v>452</v>
      </c>
      <c r="C104" s="511">
        <v>44623</v>
      </c>
      <c r="D104" s="18" t="s">
        <v>252</v>
      </c>
      <c r="E104" s="18" t="s">
        <v>253</v>
      </c>
      <c r="F104" s="512" t="s">
        <v>531</v>
      </c>
      <c r="G104" s="39" t="s">
        <v>314</v>
      </c>
      <c r="H104" s="513" t="s">
        <v>309</v>
      </c>
      <c r="I104" s="41" t="s">
        <v>398</v>
      </c>
      <c r="J104" s="276" t="str">
        <f>VLOOKUP($I104,'Price List, Weapons &amp; Items'!A:B,2,0)</f>
        <v>Portable defence system</v>
      </c>
      <c r="K104" s="276" t="str">
        <f>IF(I104=".",I104,VLOOKUP($I104,'Price List, Weapons &amp; Items'!A:C,3,0))</f>
        <v>Light Anti-armor Weapon (LAW)</v>
      </c>
      <c r="L104" s="514">
        <f>VLOOKUP(I104,'Price List, Weapons &amp; Items'!A:D,4,0)</f>
        <v>0</v>
      </c>
      <c r="M104" s="515">
        <v>4500</v>
      </c>
      <c r="N104" s="515">
        <v>4500</v>
      </c>
      <c r="O104" s="516">
        <f>VLOOKUP($I104,'Price List, Weapons &amp; Items'!A:F,6,0)</f>
        <v>1475</v>
      </c>
      <c r="P104" s="513">
        <f t="shared" si="28"/>
        <v>6637500</v>
      </c>
      <c r="Q104" s="513">
        <f t="shared" si="29"/>
        <v>6637500</v>
      </c>
      <c r="R104" s="513">
        <f t="shared" si="19"/>
        <v>6975000</v>
      </c>
      <c r="S104" s="513">
        <f>IF(AND(AD104=1,R104&lt;&gt;".")=TRUE,R104/VLOOKUP(G104,'Exchange rates'!B:C,2,0),IF(R104=".",".",""))</f>
        <v>6950672.6457399102</v>
      </c>
      <c r="T104" s="513">
        <f>IF(AD104=1,IF(AF104="Value is not given at all",".",IF(AF104="Value is given by the source",S104,IF(AF104="Value is calculated with prices",(IF(SUMIFS(Q:Q,A:A,A104)&gt;0,SUMIFS(Q:Q,A:A,A104),"."))/VLOOKUP("USD",'Exchange rates'!B:C,2,0),"Error with coding"))),"")</f>
        <v>6950672.6457399102</v>
      </c>
      <c r="U104" s="39" t="s">
        <v>233</v>
      </c>
      <c r="V104" s="376" t="s">
        <v>532</v>
      </c>
      <c r="W104" s="530" t="s">
        <v>232</v>
      </c>
      <c r="X104" s="530" t="s">
        <v>232</v>
      </c>
      <c r="Y104" s="530" t="s">
        <v>232</v>
      </c>
      <c r="Z104" s="39">
        <v>0</v>
      </c>
      <c r="AA104" s="518">
        <v>0</v>
      </c>
      <c r="AB104" s="394" t="s">
        <v>520</v>
      </c>
      <c r="AC104" s="519" t="str">
        <f>""</f>
        <v/>
      </c>
      <c r="AD104" s="520">
        <v>1</v>
      </c>
      <c r="AE104" s="520" t="s">
        <v>300</v>
      </c>
      <c r="AF104" s="520" t="s">
        <v>300</v>
      </c>
      <c r="AG104" s="520">
        <v>1</v>
      </c>
      <c r="AH104" s="520">
        <v>3</v>
      </c>
      <c r="AI104" s="520">
        <v>0</v>
      </c>
      <c r="AJ104" s="520">
        <f>VLOOKUP($I104,'Price List, Weapons &amp; Items'!A:E,5,0)</f>
        <v>0</v>
      </c>
      <c r="AK104" s="520">
        <f t="shared" si="21"/>
        <v>0</v>
      </c>
      <c r="AL104" s="520">
        <f t="shared" si="22"/>
        <v>0</v>
      </c>
      <c r="AM104" s="520">
        <f t="shared" si="23"/>
        <v>0</v>
      </c>
      <c r="AN104" s="521" t="str">
        <f>VLOOKUP($I104,'Price List, Weapons &amp; Items'!A:K,COLUMN('Price List, Weapons &amp; Items'!$I$1),0)</f>
        <v>Military media (incl. websites)</v>
      </c>
      <c r="AO104" s="521" t="str">
        <f>IF(I104=".",".",VLOOKUP($I104,'Price List, Weapons &amp; Items'!A:I,3,0))</f>
        <v>Light Anti-armor Weapon (LAW)</v>
      </c>
      <c r="AP104" s="517" t="str">
        <f t="shared" ca="1" si="20"/>
        <v>M72 rocket launcher; hand grenade</v>
      </c>
      <c r="AQ104" s="521">
        <f>VLOOKUP($I104,'Price List, Weapons &amp; Items'!A:K,COLUMN('Price List, Weapons &amp; Items'!$K$1),0)</f>
        <v>2</v>
      </c>
      <c r="AS104" s="521">
        <f t="shared" si="24"/>
        <v>1</v>
      </c>
      <c r="AT104" s="521">
        <f t="shared" si="25"/>
        <v>1</v>
      </c>
      <c r="AU104" s="521">
        <f t="shared" si="26"/>
        <v>1</v>
      </c>
      <c r="AV104" s="521" t="str">
        <f t="shared" si="27"/>
        <v>.</v>
      </c>
    </row>
    <row r="105" spans="1:48" ht="15" customHeight="1">
      <c r="A105" s="18" t="s">
        <v>530</v>
      </c>
      <c r="B105" s="18" t="s">
        <v>452</v>
      </c>
      <c r="C105" s="511">
        <v>44623</v>
      </c>
      <c r="D105" s="18" t="s">
        <v>252</v>
      </c>
      <c r="E105" s="18" t="s">
        <v>253</v>
      </c>
      <c r="F105" s="512" t="s">
        <v>531</v>
      </c>
      <c r="G105" s="39" t="s">
        <v>314</v>
      </c>
      <c r="H105" s="513" t="s">
        <v>309</v>
      </c>
      <c r="I105" s="41" t="s">
        <v>533</v>
      </c>
      <c r="J105" s="276" t="str">
        <f>VLOOKUP($I105,'Price List, Weapons &amp; Items'!A:B,2,0)</f>
        <v>Light armaments &amp; infantry</v>
      </c>
      <c r="K105" s="276" t="str">
        <f>IF(I105=".",I105,VLOOKUP($I105,'Price List, Weapons &amp; Items'!A:C,3,0))</f>
        <v>Explosive</v>
      </c>
      <c r="L105" s="514">
        <f>VLOOKUP(I105,'Price List, Weapons &amp; Items'!A:D,4,0)</f>
        <v>0</v>
      </c>
      <c r="M105" s="515">
        <v>7500</v>
      </c>
      <c r="N105" s="515">
        <v>7500</v>
      </c>
      <c r="O105" s="516">
        <f>VLOOKUP($I105,'Price List, Weapons &amp; Items'!A:F,6,0)</f>
        <v>45</v>
      </c>
      <c r="P105" s="513">
        <f t="shared" si="28"/>
        <v>337500</v>
      </c>
      <c r="Q105" s="513">
        <f t="shared" si="29"/>
        <v>337500</v>
      </c>
      <c r="R105" s="513" t="str">
        <f t="shared" si="19"/>
        <v/>
      </c>
      <c r="S105" s="513" t="str">
        <f>IF(AND(AD105=1,R105&lt;&gt;".")=TRUE,R105/VLOOKUP(G105,'Exchange rates'!B:C,2,0),IF(R105=".",".",""))</f>
        <v/>
      </c>
      <c r="T105" s="513" t="str">
        <f>IF(AD105=1,IF(AF105="Value is not given at all",".",IF(AF105="Value is given by the source",S105,IF(AF105="Value is calculated with prices",(IF(SUMIFS(Q:Q,A:A,A105)&gt;0,SUMIFS(Q:Q,A:A,A105),"."))/VLOOKUP("USD",'Exchange rates'!B:C,2,0),"Error with coding"))),"")</f>
        <v/>
      </c>
      <c r="U105" s="39" t="s">
        <v>233</v>
      </c>
      <c r="V105" s="376" t="s">
        <v>532</v>
      </c>
      <c r="W105" s="530" t="s">
        <v>232</v>
      </c>
      <c r="X105" s="530" t="s">
        <v>232</v>
      </c>
      <c r="Y105" s="530" t="s">
        <v>232</v>
      </c>
      <c r="Z105" s="39">
        <v>0</v>
      </c>
      <c r="AA105" s="518">
        <v>0</v>
      </c>
      <c r="AB105" s="394" t="s">
        <v>520</v>
      </c>
      <c r="AC105" s="519" t="str">
        <f>""</f>
        <v/>
      </c>
      <c r="AD105" s="520">
        <v>0</v>
      </c>
      <c r="AE105" s="520" t="s">
        <v>300</v>
      </c>
      <c r="AF105" s="520" t="s">
        <v>300</v>
      </c>
      <c r="AG105" s="520">
        <v>1</v>
      </c>
      <c r="AH105" s="520">
        <v>3</v>
      </c>
      <c r="AI105" s="520">
        <v>0</v>
      </c>
      <c r="AJ105" s="520">
        <f>VLOOKUP($I105,'Price List, Weapons &amp; Items'!A:E,5,0)</f>
        <v>0</v>
      </c>
      <c r="AK105" s="520">
        <f t="shared" si="21"/>
        <v>0</v>
      </c>
      <c r="AL105" s="520">
        <f t="shared" si="22"/>
        <v>0</v>
      </c>
      <c r="AM105" s="520">
        <f t="shared" si="23"/>
        <v>0</v>
      </c>
      <c r="AN105" s="521" t="str">
        <f>VLOOKUP($I105,'Price List, Weapons &amp; Items'!A:K,COLUMN('Price List, Weapons &amp; Items'!$I$1),0)</f>
        <v>Miscellaneous</v>
      </c>
      <c r="AO105" s="521" t="str">
        <f>IF(I105=".",".",VLOOKUP($I105,'Price List, Weapons &amp; Items'!A:I,3,0))</f>
        <v>Explosive</v>
      </c>
      <c r="AP105" s="517" t="str">
        <f t="shared" ca="1" si="20"/>
        <v/>
      </c>
      <c r="AQ105" s="521">
        <f>VLOOKUP($I105,'Price List, Weapons &amp; Items'!A:K,COLUMN('Price List, Weapons &amp; Items'!$K$1),0)</f>
        <v>2</v>
      </c>
      <c r="AS105" s="521">
        <f t="shared" si="24"/>
        <v>1</v>
      </c>
      <c r="AT105" s="521">
        <f t="shared" si="25"/>
        <v>1</v>
      </c>
      <c r="AU105" s="521">
        <f t="shared" si="26"/>
        <v>1</v>
      </c>
      <c r="AV105" s="521" t="str">
        <f t="shared" si="27"/>
        <v>.</v>
      </c>
    </row>
    <row r="106" spans="1:48" s="533" customFormat="1" ht="15" customHeight="1">
      <c r="A106" s="41" t="s">
        <v>534</v>
      </c>
      <c r="B106" s="41" t="s">
        <v>452</v>
      </c>
      <c r="C106" s="511">
        <v>44623</v>
      </c>
      <c r="D106" s="18" t="s">
        <v>252</v>
      </c>
      <c r="E106" s="18" t="s">
        <v>261</v>
      </c>
      <c r="F106" s="512" t="s">
        <v>535</v>
      </c>
      <c r="G106" s="39" t="s">
        <v>455</v>
      </c>
      <c r="H106" s="513">
        <v>1000000</v>
      </c>
      <c r="I106" s="41" t="s">
        <v>232</v>
      </c>
      <c r="J106" s="276" t="str">
        <f>VLOOKUP($I106,'Price List, Weapons &amp; Items'!A:B,2,0)</f>
        <v>.</v>
      </c>
      <c r="K106" s="276" t="str">
        <f>IF(I106=".",I106,VLOOKUP($I106,'Price List, Weapons &amp; Items'!A:C,3,0))</f>
        <v>.</v>
      </c>
      <c r="L106" s="514">
        <f>VLOOKUP(I106,'Price List, Weapons &amp; Items'!A:D,4,0)</f>
        <v>0</v>
      </c>
      <c r="M106" s="515" t="s">
        <v>232</v>
      </c>
      <c r="N106" s="515" t="s">
        <v>232</v>
      </c>
      <c r="O106" s="516" t="str">
        <f>VLOOKUP($I106,'Price List, Weapons &amp; Items'!A:F,6,0)</f>
        <v>.</v>
      </c>
      <c r="P106" s="513" t="str">
        <f t="shared" si="28"/>
        <v>.</v>
      </c>
      <c r="Q106" s="513" t="str">
        <f t="shared" si="29"/>
        <v>.</v>
      </c>
      <c r="R106" s="513">
        <f t="shared" si="19"/>
        <v>1000000</v>
      </c>
      <c r="S106" s="513">
        <f>IF(AND(AD106=1,R106&lt;&gt;".")=TRUE,R106/VLOOKUP(G106,'Exchange rates'!B:C,2,0),IF(R106=".",".",""))</f>
        <v>736648.25046040525</v>
      </c>
      <c r="T106" s="513">
        <f>IF(AD106=1,IF(AF106="Value is not given at all",".",IF(AF106="Value is given by the source",S106,IF(AF106="Value is calculated with prices",(IF(SUMIFS(Q:Q,A:A,A106)&gt;0,SUMIFS(Q:Q,A:A,A106),"."))/VLOOKUP("USD",'Exchange rates'!B:C,2,0),"Error with coding"))),"")</f>
        <v>736648.25046040525</v>
      </c>
      <c r="U106" s="39" t="s">
        <v>233</v>
      </c>
      <c r="V106" s="42" t="s">
        <v>532</v>
      </c>
      <c r="W106" s="378" t="s">
        <v>232</v>
      </c>
      <c r="X106" s="517" t="s">
        <v>232</v>
      </c>
      <c r="Y106" s="517" t="s">
        <v>232</v>
      </c>
      <c r="Z106" s="39">
        <v>0</v>
      </c>
      <c r="AA106" s="518">
        <v>0</v>
      </c>
      <c r="AB106" s="394" t="s">
        <v>536</v>
      </c>
      <c r="AC106" s="519" t="str">
        <f>""</f>
        <v/>
      </c>
      <c r="AD106" s="520">
        <v>1</v>
      </c>
      <c r="AE106" s="520" t="s">
        <v>236</v>
      </c>
      <c r="AF106" s="520" t="s">
        <v>236</v>
      </c>
      <c r="AG106" s="520">
        <v>1</v>
      </c>
      <c r="AH106" s="520">
        <v>3</v>
      </c>
      <c r="AI106" s="520">
        <v>0</v>
      </c>
      <c r="AJ106" s="520">
        <f>VLOOKUP($I106,'Price List, Weapons &amp; Items'!A:E,5,0)</f>
        <v>0</v>
      </c>
      <c r="AK106" s="520">
        <f t="shared" si="21"/>
        <v>0</v>
      </c>
      <c r="AL106" s="520">
        <f t="shared" si="22"/>
        <v>0</v>
      </c>
      <c r="AM106" s="520">
        <f t="shared" si="23"/>
        <v>0</v>
      </c>
      <c r="AN106" s="521" t="str">
        <f>VLOOKUP($I106,'Price List, Weapons &amp; Items'!A:K,COLUMN('Price List, Weapons &amp; Items'!$I$1),0)</f>
        <v>.</v>
      </c>
      <c r="AO106" s="521" t="str">
        <f>IF(I106=".",".",VLOOKUP($I106,'Price List, Weapons &amp; Items'!A:I,3,0))</f>
        <v>.</v>
      </c>
      <c r="AP106" s="517" t="str">
        <f t="shared" ca="1" si="20"/>
        <v>.</v>
      </c>
      <c r="AQ106" s="521" t="str">
        <f>VLOOKUP($I106,'Price List, Weapons &amp; Items'!A:K,COLUMN('Price List, Weapons &amp; Items'!$K$1),0)</f>
        <v>no price, 0 count</v>
      </c>
      <c r="AS106" s="521">
        <f t="shared" si="24"/>
        <v>1</v>
      </c>
      <c r="AT106" s="521">
        <f t="shared" si="25"/>
        <v>1</v>
      </c>
      <c r="AU106" s="521">
        <f t="shared" si="26"/>
        <v>1</v>
      </c>
      <c r="AV106" s="521" t="str">
        <f t="shared" si="27"/>
        <v>.</v>
      </c>
    </row>
    <row r="107" spans="1:48" s="533" customFormat="1" ht="15" customHeight="1">
      <c r="A107" s="18" t="s">
        <v>537</v>
      </c>
      <c r="B107" s="18" t="s">
        <v>452</v>
      </c>
      <c r="C107" s="511">
        <v>44629</v>
      </c>
      <c r="D107" s="18" t="s">
        <v>252</v>
      </c>
      <c r="E107" s="18" t="s">
        <v>253</v>
      </c>
      <c r="F107" s="512" t="s">
        <v>538</v>
      </c>
      <c r="G107" s="39" t="s">
        <v>455</v>
      </c>
      <c r="H107" s="513">
        <v>50000000</v>
      </c>
      <c r="I107" s="41" t="s">
        <v>539</v>
      </c>
      <c r="J107" s="276" t="str">
        <f>VLOOKUP($I107,'Price List, Weapons &amp; Items'!A:B,2,0)</f>
        <v>Light armaments &amp; infantry</v>
      </c>
      <c r="K107" s="276" t="str">
        <f>IF(I107=".",I107,VLOOKUP($I107,'Price List, Weapons &amp; Items'!A:C,3,0))</f>
        <v>Small Arms and Light Weapons (SALW) ammunition</v>
      </c>
      <c r="L107" s="514">
        <f>VLOOKUP(I107,'Price List, Weapons &amp; Items'!A:D,4,0)</f>
        <v>0</v>
      </c>
      <c r="M107" s="515" t="s">
        <v>232</v>
      </c>
      <c r="N107" s="515" t="s">
        <v>232</v>
      </c>
      <c r="O107" s="516" t="str">
        <f>VLOOKUP($I107,'Price List, Weapons &amp; Items'!A:F,6,0)</f>
        <v>.</v>
      </c>
      <c r="P107" s="513" t="str">
        <f t="shared" si="28"/>
        <v>.</v>
      </c>
      <c r="Q107" s="513" t="str">
        <f t="shared" si="29"/>
        <v>.</v>
      </c>
      <c r="R107" s="513">
        <f t="shared" si="19"/>
        <v>50000000</v>
      </c>
      <c r="S107" s="513">
        <f>IF(AND(AD107=1,R107&lt;&gt;".")=TRUE,R107/VLOOKUP(G107,'Exchange rates'!B:C,2,0),IF(R107=".",".",""))</f>
        <v>36832412.52302026</v>
      </c>
      <c r="T107" s="513">
        <f>IF(AD107=1,IF(AF107="Value is not given at all",".",IF(AF107="Value is given by the source",S107,IF(AF107="Value is calculated with prices",(IF(SUMIFS(Q:Q,A:A,A107)&gt;0,SUMIFS(Q:Q,A:A,A107),"."))/VLOOKUP("USD",'Exchange rates'!B:C,2,0),"Error with coding"))),"")</f>
        <v>36832412.52302026</v>
      </c>
      <c r="U107" s="39" t="s">
        <v>372</v>
      </c>
      <c r="V107" s="376" t="s">
        <v>540</v>
      </c>
      <c r="W107" s="376" t="s">
        <v>541</v>
      </c>
      <c r="X107" s="517" t="s">
        <v>232</v>
      </c>
      <c r="Y107" s="517" t="s">
        <v>232</v>
      </c>
      <c r="Z107" s="39">
        <v>0</v>
      </c>
      <c r="AA107" s="518">
        <v>0</v>
      </c>
      <c r="AB107" s="394" t="s">
        <v>542</v>
      </c>
      <c r="AC107" s="519" t="str">
        <f>""</f>
        <v/>
      </c>
      <c r="AD107" s="520">
        <v>1</v>
      </c>
      <c r="AE107" s="520" t="s">
        <v>236</v>
      </c>
      <c r="AF107" s="520" t="s">
        <v>236</v>
      </c>
      <c r="AG107" s="520">
        <v>1</v>
      </c>
      <c r="AH107" s="520">
        <v>3</v>
      </c>
      <c r="AI107" s="520">
        <v>0</v>
      </c>
      <c r="AJ107" s="520">
        <f>VLOOKUP($I107,'Price List, Weapons &amp; Items'!A:E,5,0)</f>
        <v>0</v>
      </c>
      <c r="AK107" s="520">
        <f t="shared" si="21"/>
        <v>0</v>
      </c>
      <c r="AL107" s="520">
        <f t="shared" si="22"/>
        <v>0</v>
      </c>
      <c r="AM107" s="520">
        <f t="shared" si="23"/>
        <v>0</v>
      </c>
      <c r="AN107" s="521" t="str">
        <f>VLOOKUP($I107,'Price List, Weapons &amp; Items'!A:K,COLUMN('Price List, Weapons &amp; Items'!$I$1),0)</f>
        <v>.</v>
      </c>
      <c r="AO107" s="521" t="str">
        <f>IF(I107=".",".",VLOOKUP($I107,'Price List, Weapons &amp; Items'!A:I,3,0))</f>
        <v>Small Arms and Light Weapons (SALW) ammunition</v>
      </c>
      <c r="AP107" s="517" t="str">
        <f t="shared" ca="1" si="20"/>
        <v>Lethal weapons; drone camera</v>
      </c>
      <c r="AQ107" s="521" t="str">
        <f>VLOOKUP($I107,'Price List, Weapons &amp; Items'!A:K,COLUMN('Price List, Weapons &amp; Items'!$K$1),0)</f>
        <v>no price, 0 count</v>
      </c>
      <c r="AS107" s="521">
        <f t="shared" si="24"/>
        <v>0</v>
      </c>
      <c r="AT107" s="521">
        <f t="shared" si="25"/>
        <v>1</v>
      </c>
      <c r="AU107" s="521">
        <f t="shared" si="26"/>
        <v>1</v>
      </c>
      <c r="AV107" s="521" t="str">
        <f t="shared" si="27"/>
        <v>.</v>
      </c>
    </row>
    <row r="108" spans="1:48" s="533" customFormat="1" ht="15" customHeight="1">
      <c r="A108" s="18" t="s">
        <v>537</v>
      </c>
      <c r="B108" s="18" t="s">
        <v>452</v>
      </c>
      <c r="C108" s="511">
        <v>44629</v>
      </c>
      <c r="D108" s="18" t="s">
        <v>252</v>
      </c>
      <c r="E108" s="18" t="s">
        <v>253</v>
      </c>
      <c r="F108" s="512" t="s">
        <v>538</v>
      </c>
      <c r="G108" s="39" t="s">
        <v>455</v>
      </c>
      <c r="H108" s="513">
        <v>50000000</v>
      </c>
      <c r="I108" s="41" t="s">
        <v>543</v>
      </c>
      <c r="J108" s="276" t="str">
        <f>VLOOKUP($I108,'Price List, Weapons &amp; Items'!A:B,2,0)</f>
        <v>Military equipment</v>
      </c>
      <c r="K108" s="276" t="str">
        <f>IF(I108=".",I108,VLOOKUP($I108,'Price List, Weapons &amp; Items'!A:C,3,0))</f>
        <v>radar and imagery systems</v>
      </c>
      <c r="L108" s="514">
        <f>VLOOKUP(I108,'Price List, Weapons &amp; Items'!A:D,4,0)</f>
        <v>0</v>
      </c>
      <c r="M108" s="515" t="s">
        <v>264</v>
      </c>
      <c r="N108" s="515" t="s">
        <v>232</v>
      </c>
      <c r="O108" s="516">
        <f>VLOOKUP($I108,'Price List, Weapons &amp; Items'!A:F,6,0)</f>
        <v>2000</v>
      </c>
      <c r="P108" s="513" t="str">
        <f t="shared" si="28"/>
        <v>.</v>
      </c>
      <c r="Q108" s="513" t="str">
        <f t="shared" si="29"/>
        <v>.</v>
      </c>
      <c r="R108" s="513" t="str">
        <f t="shared" si="19"/>
        <v/>
      </c>
      <c r="S108" s="513" t="str">
        <f>IF(AND(AD108=1,R108&lt;&gt;".")=TRUE,R108/VLOOKUP(G108,'Exchange rates'!B:C,2,0),IF(R108=".",".",""))</f>
        <v/>
      </c>
      <c r="T108" s="513" t="str">
        <f>IF(AD108=1,IF(AF108="Value is not given at all",".",IF(AF108="Value is given by the source",S108,IF(AF108="Value is calculated with prices",(IF(SUMIFS(Q:Q,A:A,A108)&gt;0,SUMIFS(Q:Q,A:A,A108),"."))/VLOOKUP("USD",'Exchange rates'!B:C,2,0),"Error with coding"))),"")</f>
        <v/>
      </c>
      <c r="U108" s="39" t="s">
        <v>372</v>
      </c>
      <c r="V108" s="376" t="s">
        <v>540</v>
      </c>
      <c r="W108" s="376" t="s">
        <v>541</v>
      </c>
      <c r="X108" s="517" t="s">
        <v>232</v>
      </c>
      <c r="Y108" s="517" t="s">
        <v>232</v>
      </c>
      <c r="Z108" s="39">
        <v>0</v>
      </c>
      <c r="AA108" s="518">
        <v>0</v>
      </c>
      <c r="AB108" s="394" t="s">
        <v>542</v>
      </c>
      <c r="AC108" s="519" t="str">
        <f>""</f>
        <v/>
      </c>
      <c r="AD108" s="520">
        <v>0</v>
      </c>
      <c r="AE108" s="520" t="s">
        <v>236</v>
      </c>
      <c r="AF108" s="520" t="s">
        <v>236</v>
      </c>
      <c r="AG108" s="520">
        <v>1</v>
      </c>
      <c r="AH108" s="520">
        <v>3</v>
      </c>
      <c r="AI108" s="520">
        <v>0</v>
      </c>
      <c r="AJ108" s="520">
        <f>VLOOKUP($I108,'Price List, Weapons &amp; Items'!A:E,5,0)</f>
        <v>0</v>
      </c>
      <c r="AK108" s="520">
        <f t="shared" si="21"/>
        <v>0</v>
      </c>
      <c r="AL108" s="520">
        <f t="shared" si="22"/>
        <v>0</v>
      </c>
      <c r="AM108" s="520">
        <f t="shared" si="23"/>
        <v>0</v>
      </c>
      <c r="AN108" s="521" t="str">
        <f>VLOOKUP($I108,'Price List, Weapons &amp; Items'!A:K,COLUMN('Price List, Weapons &amp; Items'!$I$1),0)</f>
        <v>Online marketplaces and stores</v>
      </c>
      <c r="AO108" s="521" t="str">
        <f>IF(I108=".",".",VLOOKUP($I108,'Price List, Weapons &amp; Items'!A:I,3,0))</f>
        <v>radar and imagery systems</v>
      </c>
      <c r="AP108" s="517" t="str">
        <f t="shared" ca="1" si="20"/>
        <v/>
      </c>
      <c r="AQ108" s="521">
        <f>VLOOKUP($I108,'Price List, Weapons &amp; Items'!A:K,COLUMN('Price List, Weapons &amp; Items'!$K$1),0)</f>
        <v>1</v>
      </c>
      <c r="AS108" s="521">
        <f t="shared" si="24"/>
        <v>0</v>
      </c>
      <c r="AT108" s="521">
        <f t="shared" si="25"/>
        <v>1</v>
      </c>
      <c r="AU108" s="521">
        <f t="shared" si="26"/>
        <v>1</v>
      </c>
      <c r="AV108" s="521" t="str">
        <f t="shared" si="27"/>
        <v>.</v>
      </c>
    </row>
    <row r="109" spans="1:48" s="533" customFormat="1" ht="15" customHeight="1">
      <c r="A109" s="18" t="s">
        <v>544</v>
      </c>
      <c r="B109" s="18" t="s">
        <v>452</v>
      </c>
      <c r="C109" s="511">
        <v>44673</v>
      </c>
      <c r="D109" s="18" t="s">
        <v>252</v>
      </c>
      <c r="E109" s="18" t="s">
        <v>307</v>
      </c>
      <c r="F109" s="512" t="s">
        <v>545</v>
      </c>
      <c r="G109" s="39" t="s">
        <v>314</v>
      </c>
      <c r="H109" s="513" t="s">
        <v>309</v>
      </c>
      <c r="I109" s="41" t="s">
        <v>286</v>
      </c>
      <c r="J109" s="276" t="str">
        <f>VLOOKUP($I109,'Price List, Weapons &amp; Items'!A:B,2,0)</f>
        <v>Heavy weapon</v>
      </c>
      <c r="K109" s="276" t="str">
        <f>IF(I109=".",I109,VLOOKUP($I109,'Price List, Weapons &amp; Items'!A:C,3,0))</f>
        <v>155mm howitzer</v>
      </c>
      <c r="L109" s="514">
        <f>VLOOKUP(I109,'Price List, Weapons &amp; Items'!A:D,4,0)</f>
        <v>0</v>
      </c>
      <c r="M109" s="515">
        <v>4</v>
      </c>
      <c r="N109" s="515">
        <v>4</v>
      </c>
      <c r="O109" s="516">
        <f>VLOOKUP($I109,'Price List, Weapons &amp; Items'!A:F,6,0)</f>
        <v>5170000</v>
      </c>
      <c r="P109" s="513">
        <f t="shared" si="28"/>
        <v>20680000</v>
      </c>
      <c r="Q109" s="513">
        <f t="shared" si="29"/>
        <v>20680000</v>
      </c>
      <c r="R109" s="513">
        <f t="shared" si="19"/>
        <v>20680000</v>
      </c>
      <c r="S109" s="513">
        <f>IF(AND(AD109=1,R109&lt;&gt;".")=TRUE,R109/VLOOKUP(G109,'Exchange rates'!B:C,2,0),IF(R109=".",".",""))</f>
        <v>20607872.446437467</v>
      </c>
      <c r="T109" s="513">
        <f>IF(AD109=1,IF(AF109="Value is not given at all",".",IF(AF109="Value is given by the source",S109,IF(AF109="Value is calculated with prices",(IF(SUMIFS(Q:Q,A:A,A109)&gt;0,SUMIFS(Q:Q,A:A,A109),"."))/VLOOKUP("USD",'Exchange rates'!B:C,2,0),"Error with coding"))),"")</f>
        <v>20607872.446437467</v>
      </c>
      <c r="U109" s="514" t="s">
        <v>233</v>
      </c>
      <c r="V109" s="377" t="s">
        <v>546</v>
      </c>
      <c r="W109" s="377" t="s">
        <v>547</v>
      </c>
      <c r="X109" s="583" t="s">
        <v>232</v>
      </c>
      <c r="Y109" s="583" t="s">
        <v>232</v>
      </c>
      <c r="Z109" s="584">
        <v>0</v>
      </c>
      <c r="AA109" s="584">
        <v>0</v>
      </c>
      <c r="AB109" s="394" t="s">
        <v>547</v>
      </c>
      <c r="AC109" s="519" t="str">
        <f>""</f>
        <v/>
      </c>
      <c r="AD109" s="520">
        <v>1</v>
      </c>
      <c r="AE109" s="520" t="s">
        <v>300</v>
      </c>
      <c r="AF109" s="520" t="s">
        <v>300</v>
      </c>
      <c r="AG109" s="520">
        <v>1</v>
      </c>
      <c r="AH109" s="520">
        <v>4</v>
      </c>
      <c r="AI109" s="520">
        <v>0</v>
      </c>
      <c r="AJ109" s="520">
        <f>VLOOKUP($I109,'Price List, Weapons &amp; Items'!A:E,5,0)</f>
        <v>1</v>
      </c>
      <c r="AK109" s="520">
        <f t="shared" si="21"/>
        <v>0</v>
      </c>
      <c r="AL109" s="520">
        <f t="shared" si="22"/>
        <v>0</v>
      </c>
      <c r="AM109" s="520">
        <f t="shared" si="23"/>
        <v>0</v>
      </c>
      <c r="AN109" s="521" t="str">
        <f>VLOOKUP($I109,'Price List, Weapons &amp; Items'!A:K,COLUMN('Price List, Weapons &amp; Items'!$I$1),0)</f>
        <v>Military media (incl. websites)</v>
      </c>
      <c r="AO109" s="521" t="str">
        <f>IF(I109=".",".",VLOOKUP($I109,'Price List, Weapons &amp; Items'!A:I,3,0))</f>
        <v>155mm howitzer</v>
      </c>
      <c r="AP109" s="517" t="str">
        <f t="shared" ca="1" si="20"/>
        <v>M777 howitzer; Carl Gustav M2 recoilless rifle</v>
      </c>
      <c r="AQ109" s="521">
        <f>VLOOKUP($I109,'Price List, Weapons &amp; Items'!A:K,COLUMN('Price List, Weapons &amp; Items'!$K$1),0)</f>
        <v>2</v>
      </c>
      <c r="AS109" s="521">
        <f t="shared" si="24"/>
        <v>1</v>
      </c>
      <c r="AT109" s="521">
        <f t="shared" si="25"/>
        <v>1</v>
      </c>
      <c r="AU109" s="521">
        <f t="shared" si="26"/>
        <v>1</v>
      </c>
      <c r="AV109" s="521" t="str">
        <f t="shared" si="27"/>
        <v>.</v>
      </c>
    </row>
    <row r="110" spans="1:48" s="533" customFormat="1" ht="15" customHeight="1">
      <c r="A110" s="18" t="s">
        <v>544</v>
      </c>
      <c r="B110" s="18" t="s">
        <v>452</v>
      </c>
      <c r="C110" s="511">
        <v>44673</v>
      </c>
      <c r="D110" s="18" t="s">
        <v>252</v>
      </c>
      <c r="E110" s="18" t="s">
        <v>307</v>
      </c>
      <c r="F110" s="512" t="s">
        <v>545</v>
      </c>
      <c r="G110" s="39" t="s">
        <v>314</v>
      </c>
      <c r="H110" s="513" t="s">
        <v>309</v>
      </c>
      <c r="I110" s="41" t="s">
        <v>522</v>
      </c>
      <c r="J110" s="276" t="str">
        <f>VLOOKUP($I110,'Price List, Weapons &amp; Items'!A:B,2,0)</f>
        <v>Light armaments &amp; infantry</v>
      </c>
      <c r="K110" s="276" t="str">
        <f>IF(I110=".",I110,VLOOKUP($I110,'Price List, Weapons &amp; Items'!A:C,3,0))</f>
        <v>Recoilless rifle (RR/RCL)</v>
      </c>
      <c r="L110" s="514">
        <f>VLOOKUP(I110,'Price List, Weapons &amp; Items'!A:D,4,0)</f>
        <v>0</v>
      </c>
      <c r="M110" s="515" t="s">
        <v>264</v>
      </c>
      <c r="N110" s="515" t="s">
        <v>264</v>
      </c>
      <c r="O110" s="516">
        <f>VLOOKUP($I110,'Price List, Weapons &amp; Items'!A:F,6,0)</f>
        <v>38334.53182718272</v>
      </c>
      <c r="P110" s="513" t="str">
        <f t="shared" si="28"/>
        <v>.</v>
      </c>
      <c r="Q110" s="513" t="str">
        <f t="shared" si="29"/>
        <v>.</v>
      </c>
      <c r="R110" s="513" t="str">
        <f t="shared" si="19"/>
        <v/>
      </c>
      <c r="S110" s="513" t="str">
        <f>IF(AND(AD110=1,R110&lt;&gt;".")=TRUE,R110/VLOOKUP(G110,'Exchange rates'!B:C,2,0),IF(R110=".",".",""))</f>
        <v/>
      </c>
      <c r="T110" s="513" t="str">
        <f>IF(AD110=1,IF(AF110="Value is not given at all",".",IF(AF110="Value is given by the source",S110,IF(AF110="Value is calculated with prices",(IF(SUMIFS(Q:Q,A:A,A110)&gt;0,SUMIFS(Q:Q,A:A,A110),"."))/VLOOKUP("USD",'Exchange rates'!B:C,2,0),"Error with coding"))),"")</f>
        <v/>
      </c>
      <c r="U110" s="39" t="s">
        <v>233</v>
      </c>
      <c r="V110" s="376" t="s">
        <v>546</v>
      </c>
      <c r="W110" s="376" t="s">
        <v>547</v>
      </c>
      <c r="X110" s="530" t="s">
        <v>232</v>
      </c>
      <c r="Y110" s="530" t="s">
        <v>232</v>
      </c>
      <c r="Z110" s="518">
        <v>0</v>
      </c>
      <c r="AA110" s="518">
        <v>0</v>
      </c>
      <c r="AB110" s="395" t="s">
        <v>548</v>
      </c>
      <c r="AC110" s="519" t="str">
        <f>""</f>
        <v/>
      </c>
      <c r="AD110" s="520">
        <v>0</v>
      </c>
      <c r="AE110" s="520" t="s">
        <v>300</v>
      </c>
      <c r="AF110" s="520" t="s">
        <v>300</v>
      </c>
      <c r="AG110" s="520">
        <v>1</v>
      </c>
      <c r="AH110" s="520">
        <v>4</v>
      </c>
      <c r="AI110" s="520">
        <v>0</v>
      </c>
      <c r="AJ110" s="520">
        <f>VLOOKUP($I110,'Price List, Weapons &amp; Items'!A:E,5,0)</f>
        <v>0</v>
      </c>
      <c r="AK110" s="520">
        <f t="shared" si="21"/>
        <v>0</v>
      </c>
      <c r="AL110" s="520">
        <f t="shared" si="22"/>
        <v>0</v>
      </c>
      <c r="AM110" s="520">
        <f t="shared" si="23"/>
        <v>0</v>
      </c>
      <c r="AN110" s="521" t="str">
        <f>VLOOKUP($I110,'Price List, Weapons &amp; Items'!A:K,COLUMN('Price List, Weapons &amp; Items'!$I$1),0)</f>
        <v>Military media (incl. websites)</v>
      </c>
      <c r="AO110" s="521" t="str">
        <f>IF(I110=".",".",VLOOKUP($I110,'Price List, Weapons &amp; Items'!A:I,3,0))</f>
        <v>Recoilless rifle (RR/RCL)</v>
      </c>
      <c r="AP110" s="517" t="str">
        <f t="shared" ca="1" si="20"/>
        <v/>
      </c>
      <c r="AQ110" s="521">
        <f>VLOOKUP($I110,'Price List, Weapons &amp; Items'!A:K,COLUMN('Price List, Weapons &amp; Items'!$K$1),0)</f>
        <v>2</v>
      </c>
      <c r="AS110" s="521">
        <f t="shared" si="24"/>
        <v>1</v>
      </c>
      <c r="AT110" s="521">
        <f t="shared" si="25"/>
        <v>1</v>
      </c>
      <c r="AU110" s="521">
        <f t="shared" si="26"/>
        <v>1</v>
      </c>
      <c r="AV110" s="521" t="str">
        <f t="shared" si="27"/>
        <v>.</v>
      </c>
    </row>
    <row r="111" spans="1:48" s="533" customFormat="1" ht="15" customHeight="1">
      <c r="A111" s="18" t="s">
        <v>549</v>
      </c>
      <c r="B111" s="18" t="s">
        <v>452</v>
      </c>
      <c r="C111" s="511">
        <v>44673</v>
      </c>
      <c r="D111" s="18" t="s">
        <v>252</v>
      </c>
      <c r="E111" s="18" t="s">
        <v>253</v>
      </c>
      <c r="F111" s="512" t="s">
        <v>550</v>
      </c>
      <c r="G111" s="39" t="s">
        <v>455</v>
      </c>
      <c r="H111" s="513">
        <v>500000000</v>
      </c>
      <c r="I111" s="41" t="s">
        <v>551</v>
      </c>
      <c r="J111" s="276" t="str">
        <f>VLOOKUP($I111,'Price List, Weapons &amp; Items'!A:B,2,0)</f>
        <v>Military equipment</v>
      </c>
      <c r="K111" s="276" t="str">
        <f>IF(I111=".",I111,VLOOKUP($I111,'Price List, Weapons &amp; Items'!A:C,3,0))</f>
        <v>Armoured Personnel Carrier (APC)</v>
      </c>
      <c r="L111" s="514">
        <f>VLOOKUP(I111,'Price List, Weapons &amp; Items'!A:D,4,0)</f>
        <v>0</v>
      </c>
      <c r="M111" s="515">
        <v>8</v>
      </c>
      <c r="N111" s="515">
        <v>8</v>
      </c>
      <c r="O111" s="516">
        <f>VLOOKUP($I111,'Price List, Weapons &amp; Items'!A:F,6,0)</f>
        <v>350000</v>
      </c>
      <c r="P111" s="513">
        <f t="shared" si="28"/>
        <v>2800000</v>
      </c>
      <c r="Q111" s="513">
        <f t="shared" si="29"/>
        <v>2800000</v>
      </c>
      <c r="R111" s="513">
        <f t="shared" si="19"/>
        <v>500000000</v>
      </c>
      <c r="S111" s="513">
        <f>IF(AND(AD111=1,R111&lt;&gt;".")=TRUE,R111/VLOOKUP(G111,'Exchange rates'!B:C,2,0),IF(R111=".",".",""))</f>
        <v>368324125.23020262</v>
      </c>
      <c r="T111" s="513">
        <f>IF(AD111=1,IF(AF111="Value is not given at all",".",IF(AF111="Value is given by the source",S111,IF(AF111="Value is calculated with prices",(IF(SUMIFS(Q:Q,A:A,A111)&gt;0,SUMIFS(Q:Q,A:A,A111),"."))/VLOOKUP("USD",'Exchange rates'!B:C,2,0),"Error with coding"))),"")</f>
        <v>368324125.23020262</v>
      </c>
      <c r="U111" s="39" t="s">
        <v>233</v>
      </c>
      <c r="V111" s="42" t="s">
        <v>546</v>
      </c>
      <c r="W111" s="42" t="s">
        <v>552</v>
      </c>
      <c r="X111" s="42" t="s">
        <v>553</v>
      </c>
      <c r="Y111" s="45" t="s">
        <v>232</v>
      </c>
      <c r="Z111" s="39">
        <v>0</v>
      </c>
      <c r="AA111" s="518">
        <v>0</v>
      </c>
      <c r="AB111" s="395" t="s">
        <v>554</v>
      </c>
      <c r="AC111" s="519" t="str">
        <f>""</f>
        <v/>
      </c>
      <c r="AD111" s="520">
        <v>1</v>
      </c>
      <c r="AE111" s="520" t="s">
        <v>236</v>
      </c>
      <c r="AF111" s="520" t="s">
        <v>236</v>
      </c>
      <c r="AG111" s="520">
        <v>1</v>
      </c>
      <c r="AH111" s="520">
        <v>4</v>
      </c>
      <c r="AI111" s="520">
        <v>0</v>
      </c>
      <c r="AJ111" s="520">
        <f>VLOOKUP($I111,'Price List, Weapons &amp; Items'!A:E,5,0)</f>
        <v>1</v>
      </c>
      <c r="AK111" s="520">
        <f t="shared" si="21"/>
        <v>0</v>
      </c>
      <c r="AL111" s="520">
        <f t="shared" si="22"/>
        <v>0</v>
      </c>
      <c r="AM111" s="520">
        <f t="shared" si="23"/>
        <v>0</v>
      </c>
      <c r="AN111" s="521" t="str">
        <f>VLOOKUP($I111,'Price List, Weapons &amp; Items'!A:K,COLUMN('Price List, Weapons &amp; Items'!$I$1),0)</f>
        <v>Media reports (incl. social media)</v>
      </c>
      <c r="AO111" s="521" t="str">
        <f>IF(I111=".",".",VLOOKUP($I111,'Price List, Weapons &amp; Items'!A:I,3,0))</f>
        <v>Armoured Personnel Carrier (APC)</v>
      </c>
      <c r="AP111" s="517" t="str">
        <f t="shared" ca="1" si="20"/>
        <v>Roshel Senator 4x4 armored personnel carrier; round of ammunition for 155mm howitzer; replacement barrels for M777 howitzer</v>
      </c>
      <c r="AQ111" s="521">
        <f>VLOOKUP($I111,'Price List, Weapons &amp; Items'!A:K,COLUMN('Price List, Weapons &amp; Items'!$K$1),0)</f>
        <v>2</v>
      </c>
      <c r="AS111" s="521">
        <f t="shared" si="24"/>
        <v>1</v>
      </c>
      <c r="AT111" s="521">
        <f t="shared" si="25"/>
        <v>1</v>
      </c>
      <c r="AU111" s="521">
        <f t="shared" si="26"/>
        <v>1</v>
      </c>
      <c r="AV111" s="521" t="str">
        <f t="shared" si="27"/>
        <v>.</v>
      </c>
    </row>
    <row r="112" spans="1:48" s="533" customFormat="1" ht="15" customHeight="1">
      <c r="A112" s="18" t="s">
        <v>549</v>
      </c>
      <c r="B112" s="18" t="s">
        <v>452</v>
      </c>
      <c r="C112" s="511">
        <v>44677</v>
      </c>
      <c r="D112" s="18" t="s">
        <v>252</v>
      </c>
      <c r="E112" s="18" t="s">
        <v>253</v>
      </c>
      <c r="F112" s="512" t="s">
        <v>550</v>
      </c>
      <c r="G112" s="39" t="s">
        <v>455</v>
      </c>
      <c r="H112" s="513">
        <v>500000000</v>
      </c>
      <c r="I112" s="41" t="s">
        <v>555</v>
      </c>
      <c r="J112" s="276" t="str">
        <f>VLOOKUP($I112,'Price List, Weapons &amp; Items'!A:B,2,0)</f>
        <v>Ammunition for heavy weapon</v>
      </c>
      <c r="K112" s="276" t="str">
        <f>IF(I112=".",I112,VLOOKUP($I112,'Price List, Weapons &amp; Items'!A:C,3,0))</f>
        <v>155mm howitzer ammunition</v>
      </c>
      <c r="L112" s="514">
        <f>VLOOKUP(I112,'Price List, Weapons &amp; Items'!A:D,4,0)</f>
        <v>0</v>
      </c>
      <c r="M112" s="515">
        <v>20000</v>
      </c>
      <c r="N112" s="515">
        <v>20000</v>
      </c>
      <c r="O112" s="516">
        <f>VLOOKUP($I112,'Price List, Weapons &amp; Items'!A:F,6,0)</f>
        <v>3800</v>
      </c>
      <c r="P112" s="513">
        <f t="shared" si="28"/>
        <v>76000000</v>
      </c>
      <c r="Q112" s="513">
        <f t="shared" si="29"/>
        <v>76000000</v>
      </c>
      <c r="R112" s="513" t="str">
        <f t="shared" si="19"/>
        <v/>
      </c>
      <c r="S112" s="513" t="str">
        <f>IF(AND(AD112=1,R112&lt;&gt;".")=TRUE,R112/VLOOKUP(G112,'Exchange rates'!B:C,2,0),IF(R112=".",".",""))</f>
        <v/>
      </c>
      <c r="T112" s="513" t="str">
        <f>IF(AD112=1,IF(AF112="Value is not given at all",".",IF(AF112="Value is given by the source",S112,IF(AF112="Value is calculated with prices",(IF(SUMIFS(Q:Q,A:A,A112)&gt;0,SUMIFS(Q:Q,A:A,A112),"."))/VLOOKUP("USD",'Exchange rates'!B:C,2,0),"Error with coding"))),"")</f>
        <v/>
      </c>
      <c r="U112" s="39" t="s">
        <v>233</v>
      </c>
      <c r="V112" s="42" t="s">
        <v>546</v>
      </c>
      <c r="W112" s="42" t="s">
        <v>556</v>
      </c>
      <c r="X112" s="42" t="s">
        <v>557</v>
      </c>
      <c r="Y112" s="45" t="s">
        <v>232</v>
      </c>
      <c r="Z112" s="39">
        <v>0</v>
      </c>
      <c r="AA112" s="518">
        <v>0</v>
      </c>
      <c r="AB112" s="395" t="s">
        <v>558</v>
      </c>
      <c r="AC112" s="519" t="str">
        <f>""</f>
        <v/>
      </c>
      <c r="AD112" s="518">
        <v>0</v>
      </c>
      <c r="AE112" s="518" t="s">
        <v>236</v>
      </c>
      <c r="AF112" s="518" t="s">
        <v>236</v>
      </c>
      <c r="AG112" s="518">
        <v>1</v>
      </c>
      <c r="AH112" s="520">
        <v>4</v>
      </c>
      <c r="AI112" s="520">
        <v>0</v>
      </c>
      <c r="AJ112" s="520">
        <f>VLOOKUP($I112,'Price List, Weapons &amp; Items'!A:E,5,0)</f>
        <v>1</v>
      </c>
      <c r="AK112" s="520">
        <f t="shared" si="21"/>
        <v>0</v>
      </c>
      <c r="AL112" s="520">
        <f t="shared" si="22"/>
        <v>0</v>
      </c>
      <c r="AM112" s="520">
        <f t="shared" si="23"/>
        <v>1</v>
      </c>
      <c r="AN112" s="521" t="str">
        <f>VLOOKUP($I112,'Price List, Weapons &amp; Items'!A:K,COLUMN('Price List, Weapons &amp; Items'!$I$1),0)</f>
        <v>Government information</v>
      </c>
      <c r="AO112" s="521" t="str">
        <f>IF(I112=".",".",VLOOKUP($I112,'Price List, Weapons &amp; Items'!A:I,3,0))</f>
        <v>155mm howitzer ammunition</v>
      </c>
      <c r="AP112" s="517" t="str">
        <f t="shared" ca="1" si="20"/>
        <v/>
      </c>
      <c r="AQ112" s="521">
        <f>VLOOKUP($I112,'Price List, Weapons &amp; Items'!A:K,COLUMN('Price List, Weapons &amp; Items'!$K$1),0)</f>
        <v>2</v>
      </c>
      <c r="AS112" s="521">
        <f t="shared" si="24"/>
        <v>1</v>
      </c>
      <c r="AT112" s="521">
        <f t="shared" si="25"/>
        <v>1</v>
      </c>
      <c r="AU112" s="521">
        <f t="shared" si="26"/>
        <v>1</v>
      </c>
      <c r="AV112" s="521" t="str">
        <f t="shared" si="27"/>
        <v>.</v>
      </c>
    </row>
    <row r="113" spans="1:48" s="533" customFormat="1" ht="15" customHeight="1">
      <c r="A113" s="18" t="s">
        <v>549</v>
      </c>
      <c r="B113" s="18" t="s">
        <v>452</v>
      </c>
      <c r="C113" s="511">
        <v>44704</v>
      </c>
      <c r="D113" s="18" t="s">
        <v>252</v>
      </c>
      <c r="E113" s="18" t="s">
        <v>253</v>
      </c>
      <c r="F113" s="512" t="s">
        <v>550</v>
      </c>
      <c r="G113" s="39" t="s">
        <v>455</v>
      </c>
      <c r="H113" s="513">
        <v>500000000</v>
      </c>
      <c r="I113" s="41" t="s">
        <v>559</v>
      </c>
      <c r="J113" s="276" t="str">
        <f>VLOOKUP($I113,'Price List, Weapons &amp; Items'!A:B,2,0)</f>
        <v>Ammunition for heavy weapon</v>
      </c>
      <c r="K113" s="276" t="str">
        <f>IF(I113=".",I113,VLOOKUP($I113,'Price List, Weapons &amp; Items'!A:C,3,0))</f>
        <v>155mm howitzer ammunition</v>
      </c>
      <c r="L113" s="514">
        <f>VLOOKUP(I113,'Price List, Weapons &amp; Items'!A:D,4,0)</f>
        <v>0</v>
      </c>
      <c r="M113" s="515">
        <v>10</v>
      </c>
      <c r="N113" s="515" t="s">
        <v>232</v>
      </c>
      <c r="O113" s="516">
        <f>VLOOKUP($I113,'Price List, Weapons &amp; Items'!A:F,6,0)</f>
        <v>704613.12</v>
      </c>
      <c r="P113" s="513">
        <f t="shared" si="28"/>
        <v>7046131.2000000002</v>
      </c>
      <c r="Q113" s="513" t="str">
        <f t="shared" si="29"/>
        <v>.</v>
      </c>
      <c r="R113" s="513" t="str">
        <f t="shared" si="19"/>
        <v/>
      </c>
      <c r="S113" s="513" t="str">
        <f>IF(AND(AD113=1,R113&lt;&gt;".")=TRUE,R113/VLOOKUP(G113,'Exchange rates'!B:C,2,0),IF(R113=".",".",""))</f>
        <v/>
      </c>
      <c r="T113" s="513" t="str">
        <f>IF(AD113=1,IF(AF113="Value is not given at all",".",IF(AF113="Value is given by the source",S113,IF(AF113="Value is calculated with prices",(IF(SUMIFS(Q:Q,A:A,A113)&gt;0,SUMIFS(Q:Q,A:A,A113),"."))/VLOOKUP("USD",'Exchange rates'!B:C,2,0),"Error with coding"))),"")</f>
        <v/>
      </c>
      <c r="U113" s="39" t="s">
        <v>233</v>
      </c>
      <c r="V113" s="42" t="s">
        <v>546</v>
      </c>
      <c r="W113" s="42" t="s">
        <v>560</v>
      </c>
      <c r="X113" s="42" t="s">
        <v>232</v>
      </c>
      <c r="Y113" s="45" t="s">
        <v>232</v>
      </c>
      <c r="Z113" s="39">
        <v>0</v>
      </c>
      <c r="AA113" s="518">
        <v>0</v>
      </c>
      <c r="AB113" s="395" t="s">
        <v>232</v>
      </c>
      <c r="AC113" s="519" t="str">
        <f>""</f>
        <v/>
      </c>
      <c r="AD113" s="520">
        <v>0</v>
      </c>
      <c r="AE113" s="520" t="s">
        <v>236</v>
      </c>
      <c r="AF113" s="520" t="s">
        <v>236</v>
      </c>
      <c r="AG113" s="520">
        <v>1</v>
      </c>
      <c r="AH113" s="520">
        <v>5</v>
      </c>
      <c r="AI113" s="520">
        <v>0</v>
      </c>
      <c r="AJ113" s="520">
        <f>VLOOKUP($I113,'Price List, Weapons &amp; Items'!A:E,5,0)</f>
        <v>1</v>
      </c>
      <c r="AK113" s="520">
        <f t="shared" si="21"/>
        <v>0</v>
      </c>
      <c r="AL113" s="520">
        <f t="shared" si="22"/>
        <v>0</v>
      </c>
      <c r="AM113" s="520">
        <f t="shared" si="23"/>
        <v>0</v>
      </c>
      <c r="AN113" s="521" t="str">
        <f>VLOOKUP($I113,'Price List, Weapons &amp; Items'!A:K,COLUMN('Price List, Weapons &amp; Items'!$I$1),0)</f>
        <v>Government information</v>
      </c>
      <c r="AO113" s="521" t="str">
        <f>IF(I113=".",".",VLOOKUP($I113,'Price List, Weapons &amp; Items'!A:I,3,0))</f>
        <v>155mm howitzer ammunition</v>
      </c>
      <c r="AP113" s="517" t="str">
        <f t="shared" ca="1" si="20"/>
        <v/>
      </c>
      <c r="AQ113" s="521">
        <f>VLOOKUP($I113,'Price List, Weapons &amp; Items'!A:K,COLUMN('Price List, Weapons &amp; Items'!$K$1),0)</f>
        <v>2</v>
      </c>
      <c r="AS113" s="521">
        <f t="shared" si="24"/>
        <v>1</v>
      </c>
      <c r="AT113" s="521">
        <f t="shared" si="25"/>
        <v>1</v>
      </c>
      <c r="AU113" s="521">
        <f t="shared" si="26"/>
        <v>1</v>
      </c>
      <c r="AV113" s="521" t="str">
        <f t="shared" si="27"/>
        <v>.</v>
      </c>
    </row>
    <row r="114" spans="1:48" s="533" customFormat="1" ht="15" customHeight="1">
      <c r="A114" s="18" t="s">
        <v>561</v>
      </c>
      <c r="B114" s="18" t="s">
        <v>452</v>
      </c>
      <c r="C114" s="511">
        <v>44689</v>
      </c>
      <c r="D114" s="18" t="s">
        <v>252</v>
      </c>
      <c r="E114" s="18" t="s">
        <v>253</v>
      </c>
      <c r="F114" s="512" t="s">
        <v>562</v>
      </c>
      <c r="G114" s="39" t="s">
        <v>455</v>
      </c>
      <c r="H114" s="513">
        <v>50000000</v>
      </c>
      <c r="I114" s="41" t="s">
        <v>543</v>
      </c>
      <c r="J114" s="276" t="str">
        <f>VLOOKUP($I114,'Price List, Weapons &amp; Items'!A:B,2,0)</f>
        <v>Military equipment</v>
      </c>
      <c r="K114" s="276" t="str">
        <f>IF(I114=".",I114,VLOOKUP($I114,'Price List, Weapons &amp; Items'!A:C,3,0))</f>
        <v>radar and imagery systems</v>
      </c>
      <c r="L114" s="514">
        <f>VLOOKUP(I114,'Price List, Weapons &amp; Items'!A:D,4,0)</f>
        <v>0</v>
      </c>
      <c r="M114" s="515">
        <v>18</v>
      </c>
      <c r="N114" s="515">
        <v>18</v>
      </c>
      <c r="O114" s="516">
        <f>VLOOKUP($I114,'Price List, Weapons &amp; Items'!A:F,6,0)</f>
        <v>2000</v>
      </c>
      <c r="P114" s="513">
        <f t="shared" si="28"/>
        <v>36000</v>
      </c>
      <c r="Q114" s="513">
        <f t="shared" si="29"/>
        <v>36000</v>
      </c>
      <c r="R114" s="513">
        <f t="shared" si="19"/>
        <v>50000000</v>
      </c>
      <c r="S114" s="513">
        <f>IF(AND(AD114=1,R114&lt;&gt;".")=TRUE,R114/VLOOKUP(G114,'Exchange rates'!B:C,2,0),IF(R114=".",".",""))</f>
        <v>36832412.52302026</v>
      </c>
      <c r="T114" s="513">
        <f>IF(AD114=1,IF(AF114="Value is not given at all",".",IF(AF114="Value is given by the source",S114,IF(AF114="Value is calculated with prices",(IF(SUMIFS(Q:Q,A:A,A114)&gt;0,SUMIFS(Q:Q,A:A,A114),"."))/VLOOKUP("USD",'Exchange rates'!B:C,2,0),"Error with coding"))),"")</f>
        <v>36832412.52302026</v>
      </c>
      <c r="U114" s="39" t="s">
        <v>233</v>
      </c>
      <c r="V114" s="376" t="s">
        <v>563</v>
      </c>
      <c r="W114" s="379" t="s">
        <v>232</v>
      </c>
      <c r="X114" s="379" t="s">
        <v>232</v>
      </c>
      <c r="Y114" s="379" t="s">
        <v>232</v>
      </c>
      <c r="Z114" s="39">
        <v>0</v>
      </c>
      <c r="AA114" s="518">
        <v>0</v>
      </c>
      <c r="AB114" s="394" t="s">
        <v>564</v>
      </c>
      <c r="AC114" s="519" t="str">
        <f>""</f>
        <v/>
      </c>
      <c r="AD114" s="520">
        <v>1</v>
      </c>
      <c r="AE114" s="520" t="s">
        <v>236</v>
      </c>
      <c r="AF114" s="520" t="s">
        <v>236</v>
      </c>
      <c r="AG114" s="520">
        <v>1</v>
      </c>
      <c r="AH114" s="520">
        <v>5</v>
      </c>
      <c r="AI114" s="520">
        <v>0</v>
      </c>
      <c r="AJ114" s="520">
        <f>VLOOKUP($I114,'Price List, Weapons &amp; Items'!A:E,5,0)</f>
        <v>0</v>
      </c>
      <c r="AK114" s="520">
        <f t="shared" si="21"/>
        <v>0</v>
      </c>
      <c r="AL114" s="520">
        <f t="shared" si="22"/>
        <v>0</v>
      </c>
      <c r="AM114" s="520">
        <f t="shared" si="23"/>
        <v>0</v>
      </c>
      <c r="AN114" s="521" t="str">
        <f>VLOOKUP($I114,'Price List, Weapons &amp; Items'!A:K,COLUMN('Price List, Weapons &amp; Items'!$I$1),0)</f>
        <v>Online marketplaces and stores</v>
      </c>
      <c r="AO114" s="521" t="str">
        <f>IF(I114=".",".",VLOOKUP($I114,'Price List, Weapons &amp; Items'!A:I,3,0))</f>
        <v>radar and imagery systems</v>
      </c>
      <c r="AP114" s="517" t="str">
        <f t="shared" ca="1" si="20"/>
        <v>drone camera; high-resoultion satellity imagery; small arm and ammunition; round of ammunition for M777 howitzer</v>
      </c>
      <c r="AQ114" s="521">
        <f>VLOOKUP($I114,'Price List, Weapons &amp; Items'!A:K,COLUMN('Price List, Weapons &amp; Items'!$K$1),0)</f>
        <v>1</v>
      </c>
      <c r="AS114" s="521">
        <f t="shared" si="24"/>
        <v>1</v>
      </c>
      <c r="AT114" s="521">
        <f t="shared" si="25"/>
        <v>1</v>
      </c>
      <c r="AU114" s="521">
        <f t="shared" si="26"/>
        <v>1</v>
      </c>
      <c r="AV114" s="521" t="str">
        <f t="shared" si="27"/>
        <v>.</v>
      </c>
    </row>
    <row r="115" spans="1:48" s="533" customFormat="1" ht="15" customHeight="1">
      <c r="A115" s="18" t="s">
        <v>561</v>
      </c>
      <c r="B115" s="18" t="s">
        <v>452</v>
      </c>
      <c r="C115" s="511">
        <v>44689</v>
      </c>
      <c r="D115" s="18" t="s">
        <v>252</v>
      </c>
      <c r="E115" s="18" t="s">
        <v>253</v>
      </c>
      <c r="F115" s="512" t="s">
        <v>562</v>
      </c>
      <c r="G115" s="39" t="s">
        <v>455</v>
      </c>
      <c r="H115" s="513">
        <v>50000000</v>
      </c>
      <c r="I115" s="41" t="s">
        <v>565</v>
      </c>
      <c r="J115" s="276" t="str">
        <f>VLOOKUP($I115,'Price List, Weapons &amp; Items'!A:B,2,0)</f>
        <v>Military equipment</v>
      </c>
      <c r="K115" s="276" t="str">
        <f>IF(I115=".",I115,VLOOKUP($I115,'Price List, Weapons &amp; Items'!A:C,3,0))</f>
        <v>Radar or imagery systems</v>
      </c>
      <c r="L115" s="514">
        <f>VLOOKUP(I115,'Price List, Weapons &amp; Items'!A:D,4,0)</f>
        <v>0</v>
      </c>
      <c r="M115" s="515" t="s">
        <v>232</v>
      </c>
      <c r="N115" s="515" t="s">
        <v>264</v>
      </c>
      <c r="O115" s="516" t="str">
        <f>VLOOKUP($I115,'Price List, Weapons &amp; Items'!A:F,6,0)</f>
        <v>.</v>
      </c>
      <c r="P115" s="513" t="str">
        <f t="shared" si="28"/>
        <v>.</v>
      </c>
      <c r="Q115" s="513" t="str">
        <f t="shared" si="29"/>
        <v>.</v>
      </c>
      <c r="R115" s="513" t="str">
        <f t="shared" si="19"/>
        <v/>
      </c>
      <c r="S115" s="513" t="str">
        <f>IF(AND(AD115=1,R115&lt;&gt;".")=TRUE,R115/VLOOKUP(G115,'Exchange rates'!B:C,2,0),IF(R115=".",".",""))</f>
        <v/>
      </c>
      <c r="T115" s="513" t="str">
        <f>IF(AD115=1,IF(AF115="Value is not given at all",".",IF(AF115="Value is given by the source",S115,IF(AF115="Value is calculated with prices",(IF(SUMIFS(Q:Q,A:A,A115)&gt;0,SUMIFS(Q:Q,A:A,A115),"."))/VLOOKUP("USD",'Exchange rates'!B:C,2,0),"Error with coding"))),"")</f>
        <v/>
      </c>
      <c r="U115" s="39" t="s">
        <v>233</v>
      </c>
      <c r="V115" s="376" t="s">
        <v>563</v>
      </c>
      <c r="W115" s="379" t="s">
        <v>232</v>
      </c>
      <c r="X115" s="379" t="s">
        <v>232</v>
      </c>
      <c r="Y115" s="379" t="s">
        <v>232</v>
      </c>
      <c r="Z115" s="39">
        <v>0</v>
      </c>
      <c r="AA115" s="518">
        <v>0</v>
      </c>
      <c r="AB115" s="394" t="s">
        <v>564</v>
      </c>
      <c r="AC115" s="519" t="str">
        <f>""</f>
        <v/>
      </c>
      <c r="AD115" s="520">
        <v>0</v>
      </c>
      <c r="AE115" s="520" t="s">
        <v>236</v>
      </c>
      <c r="AF115" s="520" t="s">
        <v>236</v>
      </c>
      <c r="AG115" s="520">
        <v>1</v>
      </c>
      <c r="AH115" s="520">
        <v>5</v>
      </c>
      <c r="AI115" s="520">
        <v>0</v>
      </c>
      <c r="AJ115" s="520">
        <f>VLOOKUP($I115,'Price List, Weapons &amp; Items'!A:E,5,0)</f>
        <v>0</v>
      </c>
      <c r="AK115" s="520">
        <f t="shared" si="21"/>
        <v>0</v>
      </c>
      <c r="AL115" s="520">
        <f t="shared" si="22"/>
        <v>0</v>
      </c>
      <c r="AM115" s="520">
        <f t="shared" si="23"/>
        <v>0</v>
      </c>
      <c r="AN115" s="521" t="str">
        <f>VLOOKUP($I115,'Price List, Weapons &amp; Items'!A:K,COLUMN('Price List, Weapons &amp; Items'!$I$1),0)</f>
        <v>.</v>
      </c>
      <c r="AO115" s="521" t="str">
        <f>IF(I115=".",".",VLOOKUP($I115,'Price List, Weapons &amp; Items'!A:I,3,0))</f>
        <v>Radar or imagery systems</v>
      </c>
      <c r="AP115" s="517" t="str">
        <f t="shared" ca="1" si="20"/>
        <v/>
      </c>
      <c r="AQ115" s="521" t="str">
        <f>VLOOKUP($I115,'Price List, Weapons &amp; Items'!A:K,COLUMN('Price List, Weapons &amp; Items'!$K$1),0)</f>
        <v>no price, 0 count</v>
      </c>
      <c r="AS115" s="521">
        <f t="shared" si="24"/>
        <v>1</v>
      </c>
      <c r="AT115" s="521">
        <f t="shared" si="25"/>
        <v>1</v>
      </c>
      <c r="AU115" s="521">
        <f t="shared" si="26"/>
        <v>1</v>
      </c>
      <c r="AV115" s="521" t="str">
        <f t="shared" si="27"/>
        <v>.</v>
      </c>
    </row>
    <row r="116" spans="1:48" s="533" customFormat="1" ht="15" customHeight="1">
      <c r="A116" s="18" t="s">
        <v>561</v>
      </c>
      <c r="B116" s="18" t="s">
        <v>452</v>
      </c>
      <c r="C116" s="511">
        <v>44689</v>
      </c>
      <c r="D116" s="18" t="s">
        <v>252</v>
      </c>
      <c r="E116" s="18" t="s">
        <v>253</v>
      </c>
      <c r="F116" s="512" t="s">
        <v>562</v>
      </c>
      <c r="G116" s="39" t="s">
        <v>455</v>
      </c>
      <c r="H116" s="513">
        <v>50000000</v>
      </c>
      <c r="I116" s="41" t="s">
        <v>566</v>
      </c>
      <c r="J116" s="276" t="str">
        <f>VLOOKUP($I116,'Price List, Weapons &amp; Items'!A:B,2,0)</f>
        <v>Ammunition for light infantry</v>
      </c>
      <c r="K116" s="276" t="str">
        <f>IF(I116=".",I116,VLOOKUP($I116,'Price List, Weapons &amp; Items'!A:C,3,0))</f>
        <v>Small Arms and Light Weapons (SALW) ammunition</v>
      </c>
      <c r="L116" s="514">
        <f>VLOOKUP(I116,'Price List, Weapons &amp; Items'!A:D,4,0)</f>
        <v>0</v>
      </c>
      <c r="M116" s="515" t="s">
        <v>232</v>
      </c>
      <c r="N116" s="515" t="s">
        <v>264</v>
      </c>
      <c r="O116" s="516" t="str">
        <f>VLOOKUP($I116,'Price List, Weapons &amp; Items'!A:F,6,0)</f>
        <v>.</v>
      </c>
      <c r="P116" s="513" t="str">
        <f t="shared" si="28"/>
        <v>.</v>
      </c>
      <c r="Q116" s="513" t="str">
        <f t="shared" si="29"/>
        <v>.</v>
      </c>
      <c r="R116" s="513" t="str">
        <f t="shared" si="19"/>
        <v/>
      </c>
      <c r="S116" s="513" t="str">
        <f>IF(AND(AD116=1,R116&lt;&gt;".")=TRUE,R116/VLOOKUP(G116,'Exchange rates'!B:C,2,0),IF(R116=".",".",""))</f>
        <v/>
      </c>
      <c r="T116" s="513" t="str">
        <f>IF(AD116=1,IF(AF116="Value is not given at all",".",IF(AF116="Value is given by the source",S116,IF(AF116="Value is calculated with prices",(IF(SUMIFS(Q:Q,A:A,A116)&gt;0,SUMIFS(Q:Q,A:A,A116),"."))/VLOOKUP("USD",'Exchange rates'!B:C,2,0),"Error with coding"))),"")</f>
        <v/>
      </c>
      <c r="U116" s="39" t="s">
        <v>233</v>
      </c>
      <c r="V116" s="376" t="s">
        <v>563</v>
      </c>
      <c r="W116" s="379" t="s">
        <v>232</v>
      </c>
      <c r="X116" s="379" t="s">
        <v>232</v>
      </c>
      <c r="Y116" s="379" t="s">
        <v>232</v>
      </c>
      <c r="Z116" s="39">
        <v>0</v>
      </c>
      <c r="AA116" s="518">
        <v>0</v>
      </c>
      <c r="AB116" s="394" t="s">
        <v>564</v>
      </c>
      <c r="AC116" s="519" t="str">
        <f>""</f>
        <v/>
      </c>
      <c r="AD116" s="520">
        <v>0</v>
      </c>
      <c r="AE116" s="520" t="s">
        <v>236</v>
      </c>
      <c r="AF116" s="520" t="s">
        <v>236</v>
      </c>
      <c r="AG116" s="520">
        <v>1</v>
      </c>
      <c r="AH116" s="520">
        <v>5</v>
      </c>
      <c r="AI116" s="520">
        <v>0</v>
      </c>
      <c r="AJ116" s="520">
        <f>VLOOKUP($I116,'Price List, Weapons &amp; Items'!A:E,5,0)</f>
        <v>0</v>
      </c>
      <c r="AK116" s="520">
        <f t="shared" si="21"/>
        <v>0</v>
      </c>
      <c r="AL116" s="520">
        <f t="shared" si="22"/>
        <v>0</v>
      </c>
      <c r="AM116" s="520">
        <f t="shared" si="23"/>
        <v>1</v>
      </c>
      <c r="AN116" s="521" t="str">
        <f>VLOOKUP($I116,'Price List, Weapons &amp; Items'!A:K,COLUMN('Price List, Weapons &amp; Items'!$I$1),0)</f>
        <v>.</v>
      </c>
      <c r="AO116" s="521" t="str">
        <f>IF(I116=".",".",VLOOKUP($I116,'Price List, Weapons &amp; Items'!A:I,3,0))</f>
        <v>Small Arms and Light Weapons (SALW) ammunition</v>
      </c>
      <c r="AP116" s="517" t="str">
        <f t="shared" ca="1" si="20"/>
        <v/>
      </c>
      <c r="AQ116" s="521" t="str">
        <f>VLOOKUP($I116,'Price List, Weapons &amp; Items'!A:K,COLUMN('Price List, Weapons &amp; Items'!$K$1),0)</f>
        <v>no price, 0 count</v>
      </c>
      <c r="AS116" s="521">
        <f t="shared" si="24"/>
        <v>1</v>
      </c>
      <c r="AT116" s="521">
        <f t="shared" si="25"/>
        <v>1</v>
      </c>
      <c r="AU116" s="521">
        <f t="shared" si="26"/>
        <v>1</v>
      </c>
      <c r="AV116" s="521" t="str">
        <f t="shared" si="27"/>
        <v>.</v>
      </c>
    </row>
    <row r="117" spans="1:48" s="533" customFormat="1" ht="15" customHeight="1">
      <c r="A117" s="18" t="s">
        <v>561</v>
      </c>
      <c r="B117" s="18" t="s">
        <v>452</v>
      </c>
      <c r="C117" s="511">
        <v>44689</v>
      </c>
      <c r="D117" s="18" t="s">
        <v>252</v>
      </c>
      <c r="E117" s="18" t="s">
        <v>253</v>
      </c>
      <c r="F117" s="512" t="s">
        <v>562</v>
      </c>
      <c r="G117" s="39" t="s">
        <v>455</v>
      </c>
      <c r="H117" s="513">
        <v>50000000</v>
      </c>
      <c r="I117" s="41" t="s">
        <v>289</v>
      </c>
      <c r="J117" s="276" t="str">
        <f>VLOOKUP($I117,'Price List, Weapons &amp; Items'!A:B,2,0)</f>
        <v>Ammunition for heavy weapon</v>
      </c>
      <c r="K117" s="276" t="str">
        <f>IF(I117=".",I117,VLOOKUP($I117,'Price List, Weapons &amp; Items'!A:C,3,0))</f>
        <v>155mm howitzer ammunition</v>
      </c>
      <c r="L117" s="514">
        <f>VLOOKUP(I117,'Price List, Weapons &amp; Items'!A:D,4,0)</f>
        <v>0</v>
      </c>
      <c r="M117" s="515" t="s">
        <v>264</v>
      </c>
      <c r="N117" s="515" t="s">
        <v>264</v>
      </c>
      <c r="O117" s="516">
        <f>VLOOKUP($I117,'Price List, Weapons &amp; Items'!A:F,6,0)</f>
        <v>3800</v>
      </c>
      <c r="P117" s="513" t="str">
        <f t="shared" si="28"/>
        <v>.</v>
      </c>
      <c r="Q117" s="513" t="str">
        <f t="shared" si="29"/>
        <v>.</v>
      </c>
      <c r="R117" s="513" t="str">
        <f t="shared" si="19"/>
        <v/>
      </c>
      <c r="S117" s="513" t="str">
        <f>IF(AND(AD117=1,R117&lt;&gt;".")=TRUE,R117/VLOOKUP(G117,'Exchange rates'!B:C,2,0),IF(R117=".",".",""))</f>
        <v/>
      </c>
      <c r="T117" s="513" t="str">
        <f>IF(AD117=1,IF(AF117="Value is not given at all",".",IF(AF117="Value is given by the source",S117,IF(AF117="Value is calculated with prices",(IF(SUMIFS(Q:Q,A:A,A117)&gt;0,SUMIFS(Q:Q,A:A,A117),"."))/VLOOKUP("USD",'Exchange rates'!B:C,2,0),"Error with coding"))),"")</f>
        <v/>
      </c>
      <c r="U117" s="39" t="s">
        <v>233</v>
      </c>
      <c r="V117" s="376" t="s">
        <v>563</v>
      </c>
      <c r="W117" s="379" t="s">
        <v>232</v>
      </c>
      <c r="X117" s="379" t="s">
        <v>232</v>
      </c>
      <c r="Y117" s="379" t="s">
        <v>232</v>
      </c>
      <c r="Z117" s="39">
        <v>0</v>
      </c>
      <c r="AA117" s="518">
        <v>0</v>
      </c>
      <c r="AB117" s="394" t="s">
        <v>564</v>
      </c>
      <c r="AC117" s="519" t="str">
        <f>""</f>
        <v/>
      </c>
      <c r="AD117" s="520">
        <v>0</v>
      </c>
      <c r="AE117" s="520" t="s">
        <v>236</v>
      </c>
      <c r="AF117" s="520" t="s">
        <v>236</v>
      </c>
      <c r="AG117" s="520">
        <v>1</v>
      </c>
      <c r="AH117" s="520">
        <v>5</v>
      </c>
      <c r="AI117" s="520">
        <v>0</v>
      </c>
      <c r="AJ117" s="520">
        <f>VLOOKUP($I117,'Price List, Weapons &amp; Items'!A:E,5,0)</f>
        <v>1</v>
      </c>
      <c r="AK117" s="520">
        <f t="shared" si="21"/>
        <v>1</v>
      </c>
      <c r="AL117" s="520">
        <f t="shared" si="22"/>
        <v>1</v>
      </c>
      <c r="AM117" s="520">
        <f t="shared" si="23"/>
        <v>1</v>
      </c>
      <c r="AN117" s="521" t="str">
        <f>VLOOKUP($I117,'Price List, Weapons &amp; Items'!A:K,COLUMN('Price List, Weapons &amp; Items'!$I$1),0)</f>
        <v>Government information</v>
      </c>
      <c r="AO117" s="521" t="str">
        <f>IF(I117=".",".",VLOOKUP($I117,'Price List, Weapons &amp; Items'!A:I,3,0))</f>
        <v>155mm howitzer ammunition</v>
      </c>
      <c r="AP117" s="517" t="str">
        <f t="shared" ca="1" si="20"/>
        <v/>
      </c>
      <c r="AQ117" s="521" t="str">
        <f>VLOOKUP($I117,'Price List, Weapons &amp; Items'!A:K,COLUMN('Price List, Weapons &amp; Items'!$K$1),0)</f>
        <v>no price, 0 count</v>
      </c>
      <c r="AS117" s="521">
        <f t="shared" si="24"/>
        <v>1</v>
      </c>
      <c r="AT117" s="521">
        <f t="shared" si="25"/>
        <v>1</v>
      </c>
      <c r="AU117" s="521">
        <f t="shared" si="26"/>
        <v>1</v>
      </c>
      <c r="AV117" s="521" t="str">
        <f t="shared" si="27"/>
        <v>.</v>
      </c>
    </row>
    <row r="118" spans="1:48" s="533" customFormat="1" ht="15" customHeight="1">
      <c r="A118" s="18" t="s">
        <v>567</v>
      </c>
      <c r="B118" s="18" t="s">
        <v>452</v>
      </c>
      <c r="C118" s="511">
        <v>44742</v>
      </c>
      <c r="D118" s="18" t="s">
        <v>252</v>
      </c>
      <c r="E118" s="18" t="s">
        <v>307</v>
      </c>
      <c r="F118" s="512" t="s">
        <v>568</v>
      </c>
      <c r="G118" s="39" t="s">
        <v>314</v>
      </c>
      <c r="H118" s="513" t="s">
        <v>309</v>
      </c>
      <c r="I118" s="41" t="s">
        <v>543</v>
      </c>
      <c r="J118" s="276" t="str">
        <f>VLOOKUP($I118,'Price List, Weapons &amp; Items'!A:B,2,0)</f>
        <v>Military equipment</v>
      </c>
      <c r="K118" s="276" t="str">
        <f>IF(I118=".",I118,VLOOKUP($I118,'Price List, Weapons &amp; Items'!A:C,3,0))</f>
        <v>radar and imagery systems</v>
      </c>
      <c r="L118" s="514">
        <f>VLOOKUP(I118,'Price List, Weapons &amp; Items'!A:D,4,0)</f>
        <v>0</v>
      </c>
      <c r="M118" s="515">
        <v>6</v>
      </c>
      <c r="N118" s="515" t="s">
        <v>264</v>
      </c>
      <c r="O118" s="516">
        <f>VLOOKUP($I118,'Price List, Weapons &amp; Items'!A:F,6,0)</f>
        <v>2000</v>
      </c>
      <c r="P118" s="513">
        <f t="shared" si="28"/>
        <v>12000</v>
      </c>
      <c r="Q118" s="513" t="str">
        <f t="shared" si="29"/>
        <v>.</v>
      </c>
      <c r="R118" s="513">
        <f t="shared" si="19"/>
        <v>169528867.14300001</v>
      </c>
      <c r="S118" s="513">
        <f>IF(AND(AD118=1,R118&lt;&gt;".")=TRUE,R118/VLOOKUP(G118,'Exchange rates'!B:C,2,0),IF(R118=".",".",""))</f>
        <v>168937585.59342301</v>
      </c>
      <c r="T118" s="513" t="str">
        <f>IF(AD118=1,IF(AF118="Value is not given at all",".",IF(AF118="Value is given by the source",S118,IF(AF118="Value is calculated with prices",(IF(SUMIFS(Q:Q,A:A,A118)&gt;0,SUMIFS(Q:Q,A:A,A118),"."))/VLOOKUP("USD",'Exchange rates'!B:C,2,0),"Error with coding"))),"")</f>
        <v>.</v>
      </c>
      <c r="U118" s="39" t="s">
        <v>233</v>
      </c>
      <c r="V118" s="376" t="s">
        <v>569</v>
      </c>
      <c r="W118" s="376" t="s">
        <v>570</v>
      </c>
      <c r="X118" s="42" t="s">
        <v>232</v>
      </c>
      <c r="Y118" s="517" t="s">
        <v>232</v>
      </c>
      <c r="Z118" s="39">
        <v>0</v>
      </c>
      <c r="AA118" s="518">
        <v>0</v>
      </c>
      <c r="AB118" s="395" t="s">
        <v>232</v>
      </c>
      <c r="AC118" s="519" t="str">
        <f>""</f>
        <v/>
      </c>
      <c r="AD118" s="520">
        <v>1</v>
      </c>
      <c r="AE118" s="520" t="s">
        <v>300</v>
      </c>
      <c r="AF118" s="520" t="s">
        <v>237</v>
      </c>
      <c r="AG118" s="520">
        <v>1</v>
      </c>
      <c r="AH118" s="520">
        <v>6</v>
      </c>
      <c r="AI118" s="520">
        <v>0</v>
      </c>
      <c r="AJ118" s="520">
        <f>VLOOKUP($I118,'Price List, Weapons &amp; Items'!A:E,5,0)</f>
        <v>0</v>
      </c>
      <c r="AK118" s="520">
        <f t="shared" si="21"/>
        <v>0</v>
      </c>
      <c r="AL118" s="520">
        <f t="shared" si="22"/>
        <v>0</v>
      </c>
      <c r="AM118" s="520">
        <f t="shared" si="23"/>
        <v>0</v>
      </c>
      <c r="AN118" s="521" t="str">
        <f>VLOOKUP($I118,'Price List, Weapons &amp; Items'!A:K,COLUMN('Price List, Weapons &amp; Items'!$I$1),0)</f>
        <v>Online marketplaces and stores</v>
      </c>
      <c r="AO118" s="521" t="str">
        <f>IF(I118=".",".",VLOOKUP($I118,'Price List, Weapons &amp; Items'!A:I,3,0))</f>
        <v>radar and imagery systems</v>
      </c>
      <c r="AP118" s="517" t="str">
        <f t="shared" ca="1" si="20"/>
        <v>drone camera; Armoured Combat Support Vehicles (ACSV)</v>
      </c>
      <c r="AQ118" s="521">
        <f>VLOOKUP($I118,'Price List, Weapons &amp; Items'!A:K,COLUMN('Price List, Weapons &amp; Items'!$K$1),0)</f>
        <v>1</v>
      </c>
      <c r="AS118" s="521">
        <f t="shared" si="24"/>
        <v>1</v>
      </c>
      <c r="AT118" s="521">
        <f t="shared" si="25"/>
        <v>1</v>
      </c>
      <c r="AU118" s="521">
        <f t="shared" si="26"/>
        <v>1</v>
      </c>
      <c r="AV118" s="521" t="str">
        <f t="shared" si="27"/>
        <v>.</v>
      </c>
    </row>
    <row r="119" spans="1:48" s="533" customFormat="1" ht="15" customHeight="1">
      <c r="A119" s="18" t="s">
        <v>567</v>
      </c>
      <c r="B119" s="18" t="s">
        <v>452</v>
      </c>
      <c r="C119" s="511">
        <v>44742</v>
      </c>
      <c r="D119" s="18" t="s">
        <v>252</v>
      </c>
      <c r="E119" s="18" t="s">
        <v>307</v>
      </c>
      <c r="F119" s="512" t="s">
        <v>568</v>
      </c>
      <c r="G119" s="39" t="s">
        <v>314</v>
      </c>
      <c r="H119" s="513" t="s">
        <v>309</v>
      </c>
      <c r="I119" s="41" t="s">
        <v>571</v>
      </c>
      <c r="J119" s="276" t="str">
        <f>VLOOKUP($I119,'Price List, Weapons &amp; Items'!A:B,2,0)</f>
        <v>Heavy weapon</v>
      </c>
      <c r="K119" s="276" t="str">
        <f>IF(I119=".",I119,VLOOKUP($I119,'Price List, Weapons &amp; Items'!A:C,3,0))</f>
        <v>Armoured Personnel Carrier (APC)</v>
      </c>
      <c r="L119" s="514">
        <f>VLOOKUP(I119,'Price List, Weapons &amp; Items'!A:D,4,0)</f>
        <v>0</v>
      </c>
      <c r="M119" s="515">
        <v>39</v>
      </c>
      <c r="N119" s="515" t="s">
        <v>264</v>
      </c>
      <c r="O119" s="516">
        <f>VLOOKUP($I119,'Price List, Weapons &amp; Items'!A:F,6,0)</f>
        <v>4346586.3370000003</v>
      </c>
      <c r="P119" s="513">
        <f t="shared" si="28"/>
        <v>169516867.14300001</v>
      </c>
      <c r="Q119" s="513" t="str">
        <f t="shared" si="29"/>
        <v>.</v>
      </c>
      <c r="R119" s="513" t="str">
        <f t="shared" si="19"/>
        <v/>
      </c>
      <c r="S119" s="513" t="str">
        <f>IF(AND(AD119=1,R119&lt;&gt;".")=TRUE,R119/VLOOKUP(G119,'Exchange rates'!B:C,2,0),IF(R119=".",".",""))</f>
        <v/>
      </c>
      <c r="T119" s="513" t="str">
        <f>IF(AD119=1,IF(AF119="Value is not given at all",".",IF(AF119="Value is given by the source",S119,IF(AF119="Value is calculated with prices",(IF(SUMIFS(Q:Q,A:A,A119)&gt;0,SUMIFS(Q:Q,A:A,A119),"."))/VLOOKUP("USD",'Exchange rates'!B:C,2,0),"Error with coding"))),"")</f>
        <v/>
      </c>
      <c r="U119" s="39" t="s">
        <v>233</v>
      </c>
      <c r="V119" s="376" t="s">
        <v>569</v>
      </c>
      <c r="W119" s="376" t="s">
        <v>570</v>
      </c>
      <c r="X119" s="42" t="s">
        <v>232</v>
      </c>
      <c r="Y119" s="517" t="s">
        <v>232</v>
      </c>
      <c r="Z119" s="39">
        <v>0</v>
      </c>
      <c r="AA119" s="39">
        <v>0</v>
      </c>
      <c r="AB119" s="395" t="s">
        <v>232</v>
      </c>
      <c r="AC119" s="519" t="str">
        <f>""</f>
        <v/>
      </c>
      <c r="AD119" s="520">
        <v>0</v>
      </c>
      <c r="AE119" s="520" t="s">
        <v>300</v>
      </c>
      <c r="AF119" s="520" t="s">
        <v>237</v>
      </c>
      <c r="AG119" s="520">
        <v>1</v>
      </c>
      <c r="AH119" s="520">
        <v>6</v>
      </c>
      <c r="AI119" s="520">
        <v>0</v>
      </c>
      <c r="AJ119" s="520">
        <f>VLOOKUP($I119,'Price List, Weapons &amp; Items'!A:E,5,0)</f>
        <v>1</v>
      </c>
      <c r="AK119" s="520">
        <f t="shared" si="21"/>
        <v>0</v>
      </c>
      <c r="AL119" s="520">
        <f t="shared" si="22"/>
        <v>1</v>
      </c>
      <c r="AM119" s="520">
        <f t="shared" si="23"/>
        <v>0</v>
      </c>
      <c r="AN119" s="521" t="str">
        <f>VLOOKUP($I119,'Price List, Weapons &amp; Items'!A:K,COLUMN('Price List, Weapons &amp; Items'!$I$1),0)</f>
        <v>Government information</v>
      </c>
      <c r="AO119" s="521" t="str">
        <f>IF(I119=".",".",VLOOKUP($I119,'Price List, Weapons &amp; Items'!A:I,3,0))</f>
        <v>Armoured Personnel Carrier (APC)</v>
      </c>
      <c r="AP119" s="517" t="str">
        <f t="shared" ca="1" si="20"/>
        <v/>
      </c>
      <c r="AQ119" s="521">
        <f>VLOOKUP($I119,'Price List, Weapons &amp; Items'!A:K,COLUMN('Price List, Weapons &amp; Items'!$K$1),0)</f>
        <v>2</v>
      </c>
      <c r="AS119" s="521">
        <f t="shared" si="24"/>
        <v>1</v>
      </c>
      <c r="AT119" s="521">
        <f t="shared" si="25"/>
        <v>1</v>
      </c>
      <c r="AU119" s="521">
        <f t="shared" si="26"/>
        <v>1</v>
      </c>
      <c r="AV119" s="521" t="str">
        <f t="shared" si="27"/>
        <v>.</v>
      </c>
    </row>
    <row r="120" spans="1:48" s="533" customFormat="1" ht="15" customHeight="1">
      <c r="A120" s="18" t="s">
        <v>572</v>
      </c>
      <c r="B120" s="18" t="s">
        <v>452</v>
      </c>
      <c r="C120" s="511">
        <v>44846</v>
      </c>
      <c r="D120" s="18" t="s">
        <v>252</v>
      </c>
      <c r="E120" s="18" t="s">
        <v>253</v>
      </c>
      <c r="F120" s="512" t="s">
        <v>573</v>
      </c>
      <c r="G120" s="39" t="s">
        <v>455</v>
      </c>
      <c r="H120" s="513">
        <v>47000000</v>
      </c>
      <c r="I120" s="41" t="s">
        <v>574</v>
      </c>
      <c r="J120" s="276" t="str">
        <f>VLOOKUP($I120,'Price List, Weapons &amp; Items'!A:B,2,0)</f>
        <v>Ammunition for heavy weapon</v>
      </c>
      <c r="K120" s="276" t="str">
        <f>IF(I120=".",I120,VLOOKUP($I120,'Price List, Weapons &amp; Items'!A:C,3,0))</f>
        <v>155mm howitzer ammunition</v>
      </c>
      <c r="L120" s="514">
        <f>VLOOKUP(I120,'Price List, Weapons &amp; Items'!A:D,4,0)</f>
        <v>0</v>
      </c>
      <c r="M120" s="515" t="s">
        <v>264</v>
      </c>
      <c r="N120" s="515" t="s">
        <v>232</v>
      </c>
      <c r="O120" s="516">
        <f>VLOOKUP($I120,'Price List, Weapons &amp; Items'!A:F,6,0)</f>
        <v>3800</v>
      </c>
      <c r="P120" s="513" t="str">
        <f t="shared" si="28"/>
        <v>.</v>
      </c>
      <c r="Q120" s="513" t="str">
        <f t="shared" si="29"/>
        <v>.</v>
      </c>
      <c r="R120" s="513">
        <f t="shared" si="19"/>
        <v>47000000</v>
      </c>
      <c r="S120" s="513">
        <f>IF(AND(AD120=1,R120&lt;&gt;".")=TRUE,R120/VLOOKUP(G120,'Exchange rates'!B:C,2,0),IF(R120=".",".",""))</f>
        <v>34622467.771639042</v>
      </c>
      <c r="T120" s="513" t="str">
        <f>IF(AD120=1,IF(AF120="Value is not given at all",".",IF(AF120="Value is given by the source",S120,IF(AF120="Value is calculated with prices",(IF(SUMIFS(Q:Q,A:A,A120)&gt;0,SUMIFS(Q:Q,A:A,A120),"."))/VLOOKUP("USD",'Exchange rates'!B:C,2,0),"Error with coding"))),"")</f>
        <v>.</v>
      </c>
      <c r="U120" s="39" t="s">
        <v>233</v>
      </c>
      <c r="V120" s="376" t="s">
        <v>575</v>
      </c>
      <c r="W120" s="376" t="s">
        <v>232</v>
      </c>
      <c r="X120" s="42" t="s">
        <v>232</v>
      </c>
      <c r="Y120" s="517" t="s">
        <v>232</v>
      </c>
      <c r="Z120" s="39">
        <v>0</v>
      </c>
      <c r="AA120" s="39">
        <v>1</v>
      </c>
      <c r="AB120" s="395" t="s">
        <v>232</v>
      </c>
      <c r="AC120" s="519" t="str">
        <f>""</f>
        <v/>
      </c>
      <c r="AD120" s="520">
        <v>1</v>
      </c>
      <c r="AE120" s="520" t="s">
        <v>236</v>
      </c>
      <c r="AF120" s="520" t="s">
        <v>237</v>
      </c>
      <c r="AG120" s="520">
        <v>1</v>
      </c>
      <c r="AH120" s="520">
        <v>10</v>
      </c>
      <c r="AI120" s="520">
        <v>0</v>
      </c>
      <c r="AJ120" s="520">
        <f>VLOOKUP($I120,'Price List, Weapons &amp; Items'!A:E,5,0)</f>
        <v>1</v>
      </c>
      <c r="AK120" s="520">
        <f t="shared" si="21"/>
        <v>1</v>
      </c>
      <c r="AL120" s="520">
        <f t="shared" si="22"/>
        <v>0</v>
      </c>
      <c r="AM120" s="520">
        <f t="shared" si="23"/>
        <v>0</v>
      </c>
      <c r="AN120" s="521" t="str">
        <f>VLOOKUP($I120,'Price List, Weapons &amp; Items'!A:K,COLUMN('Price List, Weapons &amp; Items'!$I$1),0)</f>
        <v>Government information</v>
      </c>
      <c r="AO120" s="521" t="str">
        <f>IF(I120=".",".",VLOOKUP($I120,'Price List, Weapons &amp; Items'!A:I,3,0))</f>
        <v>155mm howitzer ammunition</v>
      </c>
      <c r="AP120" s="517" t="str">
        <f t="shared" ca="1" si="20"/>
        <v>155mm artillery round; drone camera; winter clothing (Canada)</v>
      </c>
      <c r="AQ120" s="521">
        <f>VLOOKUP($I120,'Price List, Weapons &amp; Items'!A:K,COLUMN('Price List, Weapons &amp; Items'!$K$1),0)</f>
        <v>2</v>
      </c>
      <c r="AS120" s="521">
        <f t="shared" si="24"/>
        <v>1</v>
      </c>
      <c r="AT120" s="521">
        <f t="shared" si="25"/>
        <v>1</v>
      </c>
      <c r="AU120" s="521">
        <f t="shared" si="26"/>
        <v>1</v>
      </c>
      <c r="AV120" s="521" t="str">
        <f t="shared" si="27"/>
        <v>.</v>
      </c>
    </row>
    <row r="121" spans="1:48" s="533" customFormat="1" ht="15" customHeight="1">
      <c r="A121" s="18" t="s">
        <v>572</v>
      </c>
      <c r="B121" s="18" t="s">
        <v>452</v>
      </c>
      <c r="C121" s="511">
        <v>44846</v>
      </c>
      <c r="D121" s="18" t="s">
        <v>252</v>
      </c>
      <c r="E121" s="18" t="s">
        <v>253</v>
      </c>
      <c r="F121" s="512" t="s">
        <v>573</v>
      </c>
      <c r="G121" s="39" t="s">
        <v>455</v>
      </c>
      <c r="H121" s="513">
        <v>47000000</v>
      </c>
      <c r="I121" s="41" t="s">
        <v>543</v>
      </c>
      <c r="J121" s="276" t="str">
        <f>VLOOKUP($I121,'Price List, Weapons &amp; Items'!A:B,2,0)</f>
        <v>Military equipment</v>
      </c>
      <c r="K121" s="276" t="str">
        <f>IF(I121=".",I121,VLOOKUP($I121,'Price List, Weapons &amp; Items'!A:C,3,0))</f>
        <v>radar and imagery systems</v>
      </c>
      <c r="L121" s="514">
        <f>VLOOKUP(I121,'Price List, Weapons &amp; Items'!A:D,4,0)</f>
        <v>0</v>
      </c>
      <c r="M121" s="515" t="s">
        <v>264</v>
      </c>
      <c r="N121" s="515" t="s">
        <v>232</v>
      </c>
      <c r="O121" s="516">
        <f>VLOOKUP($I121,'Price List, Weapons &amp; Items'!A:F,6,0)</f>
        <v>2000</v>
      </c>
      <c r="P121" s="513" t="str">
        <f t="shared" si="28"/>
        <v>.</v>
      </c>
      <c r="Q121" s="513" t="str">
        <f t="shared" si="29"/>
        <v>.</v>
      </c>
      <c r="R121" s="513" t="str">
        <f t="shared" si="19"/>
        <v/>
      </c>
      <c r="S121" s="513" t="str">
        <f>IF(AND(AD121=1,R121&lt;&gt;".")=TRUE,R121/VLOOKUP(G121,'Exchange rates'!B:C,2,0),IF(R121=".",".",""))</f>
        <v/>
      </c>
      <c r="T121" s="513" t="str">
        <f>IF(AD121=1,IF(AF121="Value is not given at all",".",IF(AF121="Value is given by the source",S121,IF(AF121="Value is calculated with prices",(IF(SUMIFS(Q:Q,A:A,A121)&gt;0,SUMIFS(Q:Q,A:A,A121),"."))/VLOOKUP("USD",'Exchange rates'!B:C,2,0),"Error with coding"))),"")</f>
        <v/>
      </c>
      <c r="U121" s="39" t="s">
        <v>233</v>
      </c>
      <c r="V121" s="376" t="s">
        <v>575</v>
      </c>
      <c r="W121" s="376" t="s">
        <v>232</v>
      </c>
      <c r="X121" s="42" t="s">
        <v>232</v>
      </c>
      <c r="Y121" s="517" t="s">
        <v>232</v>
      </c>
      <c r="Z121" s="39">
        <v>0</v>
      </c>
      <c r="AA121" s="39">
        <v>1</v>
      </c>
      <c r="AB121" s="395" t="s">
        <v>232</v>
      </c>
      <c r="AC121" s="519" t="str">
        <f>""</f>
        <v/>
      </c>
      <c r="AD121" s="520">
        <v>0</v>
      </c>
      <c r="AE121" s="520" t="s">
        <v>236</v>
      </c>
      <c r="AF121" s="520" t="s">
        <v>237</v>
      </c>
      <c r="AG121" s="520">
        <v>1</v>
      </c>
      <c r="AH121" s="520">
        <v>10</v>
      </c>
      <c r="AI121" s="520">
        <v>0</v>
      </c>
      <c r="AJ121" s="520">
        <f>VLOOKUP($I121,'Price List, Weapons &amp; Items'!A:E,5,0)</f>
        <v>0</v>
      </c>
      <c r="AK121" s="520">
        <f t="shared" si="21"/>
        <v>0</v>
      </c>
      <c r="AL121" s="520">
        <f t="shared" si="22"/>
        <v>0</v>
      </c>
      <c r="AM121" s="520">
        <f t="shared" si="23"/>
        <v>0</v>
      </c>
      <c r="AN121" s="521" t="str">
        <f>VLOOKUP($I121,'Price List, Weapons &amp; Items'!A:K,COLUMN('Price List, Weapons &amp; Items'!$I$1),0)</f>
        <v>Online marketplaces and stores</v>
      </c>
      <c r="AO121" s="521" t="str">
        <f>IF(I121=".",".",VLOOKUP($I121,'Price List, Weapons &amp; Items'!A:I,3,0))</f>
        <v>radar and imagery systems</v>
      </c>
      <c r="AP121" s="517" t="str">
        <f t="shared" ca="1" si="20"/>
        <v/>
      </c>
      <c r="AQ121" s="521">
        <f>VLOOKUP($I121,'Price List, Weapons &amp; Items'!A:K,COLUMN('Price List, Weapons &amp; Items'!$K$1),0)</f>
        <v>1</v>
      </c>
      <c r="AS121" s="521">
        <f t="shared" si="24"/>
        <v>1</v>
      </c>
      <c r="AT121" s="521">
        <f t="shared" si="25"/>
        <v>1</v>
      </c>
      <c r="AU121" s="521">
        <f t="shared" si="26"/>
        <v>1</v>
      </c>
      <c r="AV121" s="521" t="str">
        <f t="shared" si="27"/>
        <v>.</v>
      </c>
    </row>
    <row r="122" spans="1:48" s="533" customFormat="1" ht="15" customHeight="1">
      <c r="A122" s="18" t="s">
        <v>572</v>
      </c>
      <c r="B122" s="18" t="s">
        <v>452</v>
      </c>
      <c r="C122" s="511">
        <v>44846</v>
      </c>
      <c r="D122" s="18" t="s">
        <v>252</v>
      </c>
      <c r="E122" s="18" t="s">
        <v>253</v>
      </c>
      <c r="F122" s="512" t="s">
        <v>573</v>
      </c>
      <c r="G122" s="39" t="s">
        <v>455</v>
      </c>
      <c r="H122" s="513">
        <v>47000000</v>
      </c>
      <c r="I122" s="425" t="s">
        <v>576</v>
      </c>
      <c r="J122" s="276" t="str">
        <f>VLOOKUP($I122,'Price List, Weapons &amp; Items'!A:B,2,0)</f>
        <v>Military equipment</v>
      </c>
      <c r="K122" s="276" t="str">
        <f>IF(I122=".",I122,VLOOKUP($I122,'Price List, Weapons &amp; Items'!A:C,3,0))</f>
        <v>.</v>
      </c>
      <c r="L122" s="514">
        <f>VLOOKUP(I122,'Price List, Weapons &amp; Items'!A:D,4,0)</f>
        <v>0</v>
      </c>
      <c r="M122" s="515">
        <v>500000</v>
      </c>
      <c r="N122" s="515" t="s">
        <v>232</v>
      </c>
      <c r="O122" s="516">
        <f>VLOOKUP($I122,'Price List, Weapons &amp; Items'!A:F,6,0)</f>
        <v>29.069767441860463</v>
      </c>
      <c r="P122" s="513">
        <f t="shared" si="28"/>
        <v>14534883.720930232</v>
      </c>
      <c r="Q122" s="513" t="str">
        <f t="shared" si="29"/>
        <v>.</v>
      </c>
      <c r="R122" s="513" t="str">
        <f t="shared" si="19"/>
        <v/>
      </c>
      <c r="S122" s="513" t="str">
        <f>IF(AND(AD122=1,R122&lt;&gt;".")=TRUE,R122/VLOOKUP(G122,'Exchange rates'!B:C,2,0),IF(R122=".",".",""))</f>
        <v/>
      </c>
      <c r="T122" s="513" t="str">
        <f>IF(AD122=1,IF(AF122="Value is not given at all",".",IF(AF122="Value is given by the source",S122,IF(AF122="Value is calculated with prices",(IF(SUMIFS(Q:Q,A:A,A122)&gt;0,SUMIFS(Q:Q,A:A,A122),"."))/VLOOKUP("USD",'Exchange rates'!B:C,2,0),"Error with coding"))),"")</f>
        <v/>
      </c>
      <c r="U122" s="39" t="s">
        <v>233</v>
      </c>
      <c r="V122" s="376" t="s">
        <v>575</v>
      </c>
      <c r="W122" s="376" t="s">
        <v>232</v>
      </c>
      <c r="X122" s="42" t="s">
        <v>232</v>
      </c>
      <c r="Y122" s="517" t="s">
        <v>232</v>
      </c>
      <c r="Z122" s="39">
        <v>0</v>
      </c>
      <c r="AA122" s="39">
        <v>1</v>
      </c>
      <c r="AB122" s="395" t="s">
        <v>232</v>
      </c>
      <c r="AC122" s="519" t="str">
        <f>""</f>
        <v/>
      </c>
      <c r="AD122" s="520">
        <v>0</v>
      </c>
      <c r="AE122" s="520" t="s">
        <v>236</v>
      </c>
      <c r="AF122" s="520" t="s">
        <v>237</v>
      </c>
      <c r="AG122" s="520">
        <v>1</v>
      </c>
      <c r="AH122" s="520">
        <v>10</v>
      </c>
      <c r="AI122" s="520">
        <v>0</v>
      </c>
      <c r="AJ122" s="520">
        <f>VLOOKUP($I122,'Price List, Weapons &amp; Items'!A:E,5,0)</f>
        <v>0</v>
      </c>
      <c r="AK122" s="520">
        <f t="shared" si="21"/>
        <v>0</v>
      </c>
      <c r="AL122" s="520">
        <f t="shared" si="22"/>
        <v>0</v>
      </c>
      <c r="AM122" s="520">
        <f t="shared" si="23"/>
        <v>0</v>
      </c>
      <c r="AN122" s="521" t="str">
        <f>VLOOKUP($I122,'Price List, Weapons &amp; Items'!A:K,COLUMN('Price List, Weapons &amp; Items'!$I$1),0)</f>
        <v>Government information</v>
      </c>
      <c r="AO122" s="521" t="str">
        <f>IF(I122=".",".",VLOOKUP($I122,'Price List, Weapons &amp; Items'!A:I,3,0))</f>
        <v>.</v>
      </c>
      <c r="AP122" s="517" t="str">
        <f t="shared" ca="1" si="20"/>
        <v/>
      </c>
      <c r="AQ122" s="521">
        <f>VLOOKUP($I122,'Price List, Weapons &amp; Items'!A:K,COLUMN('Price List, Weapons &amp; Items'!$K$1),0)</f>
        <v>2</v>
      </c>
      <c r="AS122" s="521">
        <f t="shared" si="24"/>
        <v>1</v>
      </c>
      <c r="AT122" s="521">
        <f t="shared" si="25"/>
        <v>1</v>
      </c>
      <c r="AU122" s="521">
        <f t="shared" si="26"/>
        <v>1</v>
      </c>
      <c r="AV122" s="521" t="str">
        <f t="shared" si="27"/>
        <v>.</v>
      </c>
    </row>
    <row r="123" spans="1:48" s="533" customFormat="1" ht="15" customHeight="1">
      <c r="A123" s="18" t="s">
        <v>577</v>
      </c>
      <c r="B123" s="18" t="s">
        <v>452</v>
      </c>
      <c r="C123" s="511">
        <v>44879</v>
      </c>
      <c r="D123" s="18" t="s">
        <v>252</v>
      </c>
      <c r="E123" s="18" t="s">
        <v>330</v>
      </c>
      <c r="F123" s="512" t="s">
        <v>578</v>
      </c>
      <c r="G123" s="39" t="s">
        <v>455</v>
      </c>
      <c r="H123" s="513">
        <v>500000000</v>
      </c>
      <c r="I123" s="41" t="s">
        <v>232</v>
      </c>
      <c r="J123" s="276" t="str">
        <f>VLOOKUP($I123,'Price List, Weapons &amp; Items'!A:B,2,0)</f>
        <v>.</v>
      </c>
      <c r="K123" s="276" t="str">
        <f>IF(I123=".",I123,VLOOKUP($I123,'Price List, Weapons &amp; Items'!A:C,3,0))</f>
        <v>.</v>
      </c>
      <c r="L123" s="514">
        <f>VLOOKUP(I123,'Price List, Weapons &amp; Items'!A:D,4,0)</f>
        <v>0</v>
      </c>
      <c r="M123" s="515" t="s">
        <v>232</v>
      </c>
      <c r="N123" s="515" t="s">
        <v>232</v>
      </c>
      <c r="O123" s="516" t="str">
        <f>VLOOKUP($I123,'Price List, Weapons &amp; Items'!A:F,6,0)</f>
        <v>.</v>
      </c>
      <c r="P123" s="513" t="str">
        <f t="shared" si="28"/>
        <v>.</v>
      </c>
      <c r="Q123" s="513" t="str">
        <f t="shared" si="29"/>
        <v>.</v>
      </c>
      <c r="R123" s="513">
        <f t="shared" si="19"/>
        <v>500000000</v>
      </c>
      <c r="S123" s="513">
        <f>IF(AND(AD123=1,R123&lt;&gt;".")=TRUE,R123/VLOOKUP(G123,'Exchange rates'!B:C,2,0),IF(R123=".",".",""))</f>
        <v>368324125.23020262</v>
      </c>
      <c r="T123" s="513" t="str">
        <f>IF(AD123=1,IF(AF123="Value is not given at all",".",IF(AF123="Value is given by the source",S123,IF(AF123="Value is calculated with prices",(IF(SUMIFS(Q:Q,A:A,A123)&gt;0,SUMIFS(Q:Q,A:A,A123),"."))/VLOOKUP("USD",'Exchange rates'!B:C,2,0),"Error with coding"))),"")</f>
        <v>.</v>
      </c>
      <c r="U123" s="39" t="s">
        <v>233</v>
      </c>
      <c r="V123" s="376" t="s">
        <v>579</v>
      </c>
      <c r="W123" s="376" t="s">
        <v>232</v>
      </c>
      <c r="X123" s="42" t="s">
        <v>232</v>
      </c>
      <c r="Y123" s="517" t="s">
        <v>232</v>
      </c>
      <c r="Z123" s="39">
        <v>0</v>
      </c>
      <c r="AA123" s="39">
        <v>1</v>
      </c>
      <c r="AB123" s="395" t="s">
        <v>232</v>
      </c>
      <c r="AC123" s="519" t="str">
        <f>""</f>
        <v/>
      </c>
      <c r="AD123" s="520">
        <v>1</v>
      </c>
      <c r="AE123" s="520" t="s">
        <v>236</v>
      </c>
      <c r="AF123" s="520" t="s">
        <v>237</v>
      </c>
      <c r="AG123" s="520">
        <v>1</v>
      </c>
      <c r="AH123" s="520">
        <v>11</v>
      </c>
      <c r="AI123" s="520">
        <v>0</v>
      </c>
      <c r="AJ123" s="520">
        <f>VLOOKUP($I123,'Price List, Weapons &amp; Items'!A:E,5,0)</f>
        <v>0</v>
      </c>
      <c r="AK123" s="520">
        <f t="shared" si="21"/>
        <v>0</v>
      </c>
      <c r="AL123" s="520">
        <f t="shared" si="22"/>
        <v>0</v>
      </c>
      <c r="AM123" s="520">
        <f t="shared" si="23"/>
        <v>0</v>
      </c>
      <c r="AN123" s="521" t="str">
        <f>VLOOKUP($I123,'Price List, Weapons &amp; Items'!A:K,COLUMN('Price List, Weapons &amp; Items'!$I$1),0)</f>
        <v>.</v>
      </c>
      <c r="AO123" s="521" t="str">
        <f>IF(I123=".",".",VLOOKUP($I123,'Price List, Weapons &amp; Items'!A:I,3,0))</f>
        <v>.</v>
      </c>
      <c r="AP123" s="517" t="str">
        <f t="shared" ca="1" si="20"/>
        <v>.</v>
      </c>
      <c r="AQ123" s="521" t="str">
        <f>VLOOKUP($I123,'Price List, Weapons &amp; Items'!A:K,COLUMN('Price List, Weapons &amp; Items'!$K$1),0)</f>
        <v>no price, 0 count</v>
      </c>
      <c r="AS123" s="521">
        <f t="shared" si="24"/>
        <v>1</v>
      </c>
      <c r="AT123" s="521">
        <f t="shared" si="25"/>
        <v>0</v>
      </c>
      <c r="AU123" s="521">
        <f t="shared" si="26"/>
        <v>1</v>
      </c>
      <c r="AV123" s="521" t="str">
        <f t="shared" si="27"/>
        <v>.</v>
      </c>
    </row>
    <row r="124" spans="1:48" s="533" customFormat="1" ht="15" customHeight="1">
      <c r="A124" s="18" t="s">
        <v>580</v>
      </c>
      <c r="B124" s="18" t="s">
        <v>452</v>
      </c>
      <c r="C124" s="511">
        <v>44881</v>
      </c>
      <c r="D124" s="18" t="s">
        <v>252</v>
      </c>
      <c r="E124" s="18" t="s">
        <v>307</v>
      </c>
      <c r="F124" s="512" t="s">
        <v>581</v>
      </c>
      <c r="G124" s="39" t="s">
        <v>455</v>
      </c>
      <c r="H124" s="513">
        <v>33000000</v>
      </c>
      <c r="I124" s="41" t="s">
        <v>232</v>
      </c>
      <c r="J124" s="276" t="str">
        <f>VLOOKUP($I124,'Price List, Weapons &amp; Items'!A:B,2,0)</f>
        <v>.</v>
      </c>
      <c r="K124" s="276" t="str">
        <f>IF(I124=".",I124,VLOOKUP($I124,'Price List, Weapons &amp; Items'!A:C,3,0))</f>
        <v>.</v>
      </c>
      <c r="L124" s="514">
        <f>VLOOKUP(I124,'Price List, Weapons &amp; Items'!A:D,4,0)</f>
        <v>0</v>
      </c>
      <c r="M124" s="515" t="s">
        <v>232</v>
      </c>
      <c r="N124" s="515" t="s">
        <v>232</v>
      </c>
      <c r="O124" s="516" t="str">
        <f>VLOOKUP($I124,'Price List, Weapons &amp; Items'!A:F,6,0)</f>
        <v>.</v>
      </c>
      <c r="P124" s="513" t="str">
        <f t="shared" si="28"/>
        <v>.</v>
      </c>
      <c r="Q124" s="513" t="str">
        <f t="shared" si="29"/>
        <v>.</v>
      </c>
      <c r="R124" s="513">
        <f t="shared" si="19"/>
        <v>33000000</v>
      </c>
      <c r="S124" s="513">
        <f>IF(AND(AD124=1,R124&lt;&gt;".")=TRUE,R124/VLOOKUP(G124,'Exchange rates'!B:C,2,0),IF(R124=".",".",""))</f>
        <v>24309392.265193373</v>
      </c>
      <c r="T124" s="513" t="str">
        <f>IF(AD124=1,IF(AF124="Value is not given at all",".",IF(AF124="Value is given by the source",S124,IF(AF124="Value is calculated with prices",(IF(SUMIFS(Q:Q,A:A,A124)&gt;0,SUMIFS(Q:Q,A:A,A124),"."))/VLOOKUP("USD",'Exchange rates'!B:C,2,0),"Error with coding"))),"")</f>
        <v>.</v>
      </c>
      <c r="U124" s="39" t="s">
        <v>233</v>
      </c>
      <c r="V124" s="376" t="s">
        <v>575</v>
      </c>
      <c r="W124" s="376" t="s">
        <v>232</v>
      </c>
      <c r="X124" s="42" t="s">
        <v>232</v>
      </c>
      <c r="Y124" s="517" t="s">
        <v>232</v>
      </c>
      <c r="Z124" s="39">
        <v>0</v>
      </c>
      <c r="AA124" s="39">
        <v>1</v>
      </c>
      <c r="AB124" s="395" t="s">
        <v>232</v>
      </c>
      <c r="AC124" s="519" t="str">
        <f>""</f>
        <v/>
      </c>
      <c r="AD124" s="520">
        <v>1</v>
      </c>
      <c r="AE124" s="520" t="s">
        <v>236</v>
      </c>
      <c r="AF124" s="520" t="s">
        <v>237</v>
      </c>
      <c r="AG124" s="520">
        <v>1</v>
      </c>
      <c r="AH124" s="520">
        <v>11</v>
      </c>
      <c r="AI124" s="520">
        <v>0</v>
      </c>
      <c r="AJ124" s="520">
        <f>VLOOKUP($I124,'Price List, Weapons &amp; Items'!A:E,5,0)</f>
        <v>0</v>
      </c>
      <c r="AK124" s="520">
        <f t="shared" si="21"/>
        <v>0</v>
      </c>
      <c r="AL124" s="520">
        <f t="shared" si="22"/>
        <v>0</v>
      </c>
      <c r="AM124" s="520">
        <f t="shared" si="23"/>
        <v>0</v>
      </c>
      <c r="AN124" s="521" t="str">
        <f>VLOOKUP($I124,'Price List, Weapons &amp; Items'!A:K,COLUMN('Price List, Weapons &amp; Items'!$I$1),0)</f>
        <v>.</v>
      </c>
      <c r="AO124" s="521" t="str">
        <f>IF(I124=".",".",VLOOKUP($I124,'Price List, Weapons &amp; Items'!A:I,3,0))</f>
        <v>.</v>
      </c>
      <c r="AP124" s="517" t="str">
        <f t="shared" ca="1" si="20"/>
        <v>.</v>
      </c>
      <c r="AQ124" s="521" t="str">
        <f>VLOOKUP($I124,'Price List, Weapons &amp; Items'!A:K,COLUMN('Price List, Weapons &amp; Items'!$K$1),0)</f>
        <v>no price, 0 count</v>
      </c>
      <c r="AS124" s="521">
        <f t="shared" si="24"/>
        <v>1</v>
      </c>
      <c r="AT124" s="521">
        <f t="shared" si="25"/>
        <v>1</v>
      </c>
      <c r="AU124" s="521">
        <f t="shared" si="26"/>
        <v>1</v>
      </c>
      <c r="AV124" s="521" t="str">
        <f t="shared" si="27"/>
        <v>.</v>
      </c>
    </row>
    <row r="125" spans="1:48" s="533" customFormat="1" ht="15" customHeight="1">
      <c r="A125" s="41" t="s">
        <v>582</v>
      </c>
      <c r="B125" s="41" t="s">
        <v>583</v>
      </c>
      <c r="C125" s="511">
        <v>44629</v>
      </c>
      <c r="D125" s="18" t="s">
        <v>228</v>
      </c>
      <c r="E125" s="18" t="s">
        <v>229</v>
      </c>
      <c r="F125" s="512" t="s">
        <v>584</v>
      </c>
      <c r="G125" s="39" t="s">
        <v>585</v>
      </c>
      <c r="H125" s="513">
        <v>5000000</v>
      </c>
      <c r="I125" s="524" t="s">
        <v>232</v>
      </c>
      <c r="J125" s="276" t="str">
        <f>VLOOKUP($I125,'Price List, Weapons &amp; Items'!A:B,2,0)</f>
        <v>.</v>
      </c>
      <c r="K125" s="276" t="str">
        <f>IF(I125=".",I125,VLOOKUP($I125,'Price List, Weapons &amp; Items'!A:C,3,0))</f>
        <v>.</v>
      </c>
      <c r="L125" s="514">
        <f>VLOOKUP(I125,'Price List, Weapons &amp; Items'!A:D,4,0)</f>
        <v>0</v>
      </c>
      <c r="M125" s="515" t="s">
        <v>232</v>
      </c>
      <c r="N125" s="515" t="s">
        <v>232</v>
      </c>
      <c r="O125" s="516" t="str">
        <f>VLOOKUP($I125,'Price List, Weapons &amp; Items'!A:F,6,0)</f>
        <v>.</v>
      </c>
      <c r="P125" s="513" t="str">
        <f t="shared" si="28"/>
        <v>.</v>
      </c>
      <c r="Q125" s="513" t="str">
        <f t="shared" si="29"/>
        <v>.</v>
      </c>
      <c r="R125" s="513">
        <f t="shared" si="19"/>
        <v>5000000</v>
      </c>
      <c r="S125" s="513">
        <f>IF(AND(AD125=1,R125&lt;&gt;".")=TRUE,R125/VLOOKUP(G125,'Exchange rates'!B:C,2,0),IF(R125=".",".",""))</f>
        <v>691333.44394668436</v>
      </c>
      <c r="T125" s="513" t="str">
        <f>IF(AD125=1,IF(AF125="Value is not given at all",".",IF(AF125="Value is given by the source",S125,IF(AF125="Value is calculated with prices",(IF(SUMIFS(Q:Q,A:A,A125)&gt;0,SUMIFS(Q:Q,A:A,A125),"."))/VLOOKUP("USD",'Exchange rates'!B:C,2,0),"Error with coding"))),"")</f>
        <v>.</v>
      </c>
      <c r="U125" s="39" t="s">
        <v>372</v>
      </c>
      <c r="V125" s="42" t="s">
        <v>586</v>
      </c>
      <c r="W125" s="423" t="s">
        <v>232</v>
      </c>
      <c r="X125" s="423" t="s">
        <v>232</v>
      </c>
      <c r="Y125" s="423" t="s">
        <v>232</v>
      </c>
      <c r="Z125" s="39">
        <v>0</v>
      </c>
      <c r="AA125" s="39">
        <v>0</v>
      </c>
      <c r="AB125" s="41" t="s">
        <v>232</v>
      </c>
      <c r="AC125" s="519" t="str">
        <f>""</f>
        <v/>
      </c>
      <c r="AD125" s="522">
        <v>1</v>
      </c>
      <c r="AE125" s="522" t="s">
        <v>236</v>
      </c>
      <c r="AF125" s="522" t="s">
        <v>237</v>
      </c>
      <c r="AG125" s="522">
        <v>1</v>
      </c>
      <c r="AH125" s="520">
        <v>3</v>
      </c>
      <c r="AI125" s="520">
        <v>0</v>
      </c>
      <c r="AJ125" s="520">
        <f>VLOOKUP($I125,'Price List, Weapons &amp; Items'!A:E,5,0)</f>
        <v>0</v>
      </c>
      <c r="AK125" s="520">
        <f t="shared" si="21"/>
        <v>0</v>
      </c>
      <c r="AL125" s="520">
        <f t="shared" si="22"/>
        <v>0</v>
      </c>
      <c r="AM125" s="520">
        <f t="shared" si="23"/>
        <v>0</v>
      </c>
      <c r="AN125" s="521" t="str">
        <f>VLOOKUP($I125,'Price List, Weapons &amp; Items'!A:K,COLUMN('Price List, Weapons &amp; Items'!$I$1),0)</f>
        <v>.</v>
      </c>
      <c r="AO125" s="521" t="str">
        <f>IF(I125=".",".",VLOOKUP($I125,'Price List, Weapons &amp; Items'!A:I,3,0))</f>
        <v>.</v>
      </c>
      <c r="AP125" s="517" t="str">
        <f t="shared" ca="1" si="20"/>
        <v>.</v>
      </c>
      <c r="AQ125" s="521" t="str">
        <f>VLOOKUP($I125,'Price List, Weapons &amp; Items'!A:K,COLUMN('Price List, Weapons &amp; Items'!$K$1),0)</f>
        <v>no price, 0 count</v>
      </c>
      <c r="AS125" s="521">
        <f t="shared" si="24"/>
        <v>0</v>
      </c>
      <c r="AT125" s="521">
        <f t="shared" si="25"/>
        <v>0</v>
      </c>
      <c r="AU125" s="521">
        <f t="shared" si="26"/>
        <v>1</v>
      </c>
      <c r="AV125" s="521" t="str">
        <f t="shared" si="27"/>
        <v>.</v>
      </c>
    </row>
    <row r="126" spans="1:48" s="533" customFormat="1" ht="15" customHeight="1">
      <c r="A126" s="41" t="s">
        <v>587</v>
      </c>
      <c r="B126" s="41" t="s">
        <v>583</v>
      </c>
      <c r="C126" s="511">
        <v>44641</v>
      </c>
      <c r="D126" s="18" t="s">
        <v>228</v>
      </c>
      <c r="E126" s="18" t="s">
        <v>229</v>
      </c>
      <c r="F126" s="512" t="s">
        <v>588</v>
      </c>
      <c r="G126" s="39" t="s">
        <v>585</v>
      </c>
      <c r="H126" s="513">
        <v>10000000</v>
      </c>
      <c r="I126" s="524" t="s">
        <v>232</v>
      </c>
      <c r="J126" s="276" t="str">
        <f>VLOOKUP($I126,'Price List, Weapons &amp; Items'!A:B,2,0)</f>
        <v>.</v>
      </c>
      <c r="K126" s="276" t="str">
        <f>IF(I126=".",I126,VLOOKUP($I126,'Price List, Weapons &amp; Items'!A:C,3,0))</f>
        <v>.</v>
      </c>
      <c r="L126" s="514">
        <f>VLOOKUP(I126,'Price List, Weapons &amp; Items'!A:D,4,0)</f>
        <v>0</v>
      </c>
      <c r="M126" s="515" t="s">
        <v>232</v>
      </c>
      <c r="N126" s="515" t="s">
        <v>232</v>
      </c>
      <c r="O126" s="516" t="str">
        <f>VLOOKUP($I126,'Price List, Weapons &amp; Items'!A:F,6,0)</f>
        <v>.</v>
      </c>
      <c r="P126" s="513" t="str">
        <f t="shared" si="28"/>
        <v>.</v>
      </c>
      <c r="Q126" s="513" t="str">
        <f t="shared" si="29"/>
        <v>.</v>
      </c>
      <c r="R126" s="513">
        <f t="shared" si="19"/>
        <v>10000000</v>
      </c>
      <c r="S126" s="513">
        <f>IF(AND(AD126=1,R126&lt;&gt;".")=TRUE,R126/VLOOKUP(G126,'Exchange rates'!B:C,2,0),IF(R126=".",".",""))</f>
        <v>1382666.8878933687</v>
      </c>
      <c r="T126" s="513" t="str">
        <f>IF(AD126=1,IF(AF126="Value is not given at all",".",IF(AF126="Value is given by the source",S126,IF(AF126="Value is calculated with prices",(IF(SUMIFS(Q:Q,A:A,A126)&gt;0,SUMIFS(Q:Q,A:A,A126),"."))/VLOOKUP("USD",'Exchange rates'!B:C,2,0),"Error with coding"))),"")</f>
        <v>.</v>
      </c>
      <c r="U126" s="39" t="s">
        <v>372</v>
      </c>
      <c r="V126" s="42" t="s">
        <v>589</v>
      </c>
      <c r="W126" s="423" t="s">
        <v>232</v>
      </c>
      <c r="X126" s="423" t="s">
        <v>232</v>
      </c>
      <c r="Y126" s="423" t="s">
        <v>232</v>
      </c>
      <c r="Z126" s="39">
        <v>0</v>
      </c>
      <c r="AA126" s="39">
        <v>0</v>
      </c>
      <c r="AB126" s="41" t="s">
        <v>232</v>
      </c>
      <c r="AC126" s="519" t="str">
        <f>""</f>
        <v/>
      </c>
      <c r="AD126" s="522">
        <v>1</v>
      </c>
      <c r="AE126" s="522" t="s">
        <v>236</v>
      </c>
      <c r="AF126" s="522" t="s">
        <v>237</v>
      </c>
      <c r="AG126" s="522">
        <v>1</v>
      </c>
      <c r="AH126" s="520">
        <v>3</v>
      </c>
      <c r="AI126" s="520">
        <v>0</v>
      </c>
      <c r="AJ126" s="520">
        <f>VLOOKUP($I126,'Price List, Weapons &amp; Items'!A:E,5,0)</f>
        <v>0</v>
      </c>
      <c r="AK126" s="520">
        <f t="shared" si="21"/>
        <v>0</v>
      </c>
      <c r="AL126" s="520">
        <f t="shared" si="22"/>
        <v>0</v>
      </c>
      <c r="AM126" s="520">
        <f t="shared" si="23"/>
        <v>0</v>
      </c>
      <c r="AN126" s="521" t="str">
        <f>VLOOKUP($I126,'Price List, Weapons &amp; Items'!A:K,COLUMN('Price List, Weapons &amp; Items'!$I$1),0)</f>
        <v>.</v>
      </c>
      <c r="AO126" s="521" t="str">
        <f>IF(I126=".",".",VLOOKUP($I126,'Price List, Weapons &amp; Items'!A:I,3,0))</f>
        <v>.</v>
      </c>
      <c r="AP126" s="517" t="str">
        <f t="shared" ca="1" si="20"/>
        <v>.</v>
      </c>
      <c r="AQ126" s="521" t="str">
        <f>VLOOKUP($I126,'Price List, Weapons &amp; Items'!A:K,COLUMN('Price List, Weapons &amp; Items'!$K$1),0)</f>
        <v>no price, 0 count</v>
      </c>
      <c r="AS126" s="521">
        <f t="shared" si="24"/>
        <v>0</v>
      </c>
      <c r="AT126" s="521">
        <f t="shared" si="25"/>
        <v>0</v>
      </c>
      <c r="AU126" s="521">
        <f t="shared" si="26"/>
        <v>1</v>
      </c>
      <c r="AV126" s="521" t="str">
        <f t="shared" si="27"/>
        <v>.</v>
      </c>
    </row>
    <row r="127" spans="1:48" ht="15" customHeight="1">
      <c r="A127" s="41" t="s">
        <v>590</v>
      </c>
      <c r="B127" s="41" t="s">
        <v>591</v>
      </c>
      <c r="C127" s="511">
        <v>44616</v>
      </c>
      <c r="D127" s="18" t="s">
        <v>228</v>
      </c>
      <c r="E127" s="18" t="s">
        <v>239</v>
      </c>
      <c r="F127" s="512" t="s">
        <v>592</v>
      </c>
      <c r="G127" s="39" t="s">
        <v>593</v>
      </c>
      <c r="H127" s="513">
        <v>9100000</v>
      </c>
      <c r="I127" s="41" t="s">
        <v>232</v>
      </c>
      <c r="J127" s="276" t="str">
        <f>VLOOKUP($I127,'Price List, Weapons &amp; Items'!A:B,2,0)</f>
        <v>.</v>
      </c>
      <c r="K127" s="276" t="str">
        <f>IF(I127=".",I127,VLOOKUP($I127,'Price List, Weapons &amp; Items'!A:C,3,0))</f>
        <v>.</v>
      </c>
      <c r="L127" s="514">
        <f>VLOOKUP(I127,'Price List, Weapons &amp; Items'!A:D,4,0)</f>
        <v>0</v>
      </c>
      <c r="M127" s="515" t="s">
        <v>232</v>
      </c>
      <c r="N127" s="515" t="s">
        <v>232</v>
      </c>
      <c r="O127" s="516" t="str">
        <f>VLOOKUP($I127,'Price List, Weapons &amp; Items'!A:F,6,0)</f>
        <v>.</v>
      </c>
      <c r="P127" s="513" t="str">
        <f t="shared" si="28"/>
        <v>.</v>
      </c>
      <c r="Q127" s="513" t="str">
        <f t="shared" si="29"/>
        <v>.</v>
      </c>
      <c r="R127" s="513">
        <f t="shared" si="19"/>
        <v>9100000</v>
      </c>
      <c r="S127" s="513">
        <f>IF(AND(AD127=1,R127&lt;&gt;".")=TRUE,R127/VLOOKUP(G127,'Exchange rates'!B:C,2,0),IF(R127=".",".",""))</f>
        <v>1207280.8320950966</v>
      </c>
      <c r="T127" s="513" t="str">
        <f>IF(AD127=1,IF(AF127="Value is not given at all",".",IF(AF127="Value is given by the source",S127,IF(AF127="Value is calculated with prices",(IF(SUMIFS(Q:Q,A:A,A127)&gt;0,SUMIFS(Q:Q,A:A,A127),"."))/VLOOKUP("USD",'Exchange rates'!B:C,2,0),"Error with coding"))),"")</f>
        <v>.</v>
      </c>
      <c r="U127" s="39" t="s">
        <v>233</v>
      </c>
      <c r="V127" s="42" t="s">
        <v>594</v>
      </c>
      <c r="W127" s="42" t="s">
        <v>595</v>
      </c>
      <c r="X127" s="42" t="s">
        <v>596</v>
      </c>
      <c r="Y127" s="517" t="s">
        <v>232</v>
      </c>
      <c r="Z127" s="39">
        <v>0</v>
      </c>
      <c r="AA127" s="518">
        <v>0</v>
      </c>
      <c r="AB127" s="38" t="s">
        <v>232</v>
      </c>
      <c r="AC127" s="519" t="str">
        <f>""</f>
        <v/>
      </c>
      <c r="AD127" s="520">
        <v>1</v>
      </c>
      <c r="AE127" s="520" t="s">
        <v>236</v>
      </c>
      <c r="AF127" s="520" t="s">
        <v>237</v>
      </c>
      <c r="AG127" s="520">
        <v>1</v>
      </c>
      <c r="AH127" s="520">
        <v>2</v>
      </c>
      <c r="AI127" s="520">
        <v>0</v>
      </c>
      <c r="AJ127" s="520">
        <f>VLOOKUP($I127,'Price List, Weapons &amp; Items'!A:E,5,0)</f>
        <v>0</v>
      </c>
      <c r="AK127" s="520">
        <f t="shared" si="21"/>
        <v>0</v>
      </c>
      <c r="AL127" s="520">
        <f t="shared" si="22"/>
        <v>0</v>
      </c>
      <c r="AM127" s="520">
        <f t="shared" si="23"/>
        <v>0</v>
      </c>
      <c r="AN127" s="521" t="str">
        <f>VLOOKUP($I127,'Price List, Weapons &amp; Items'!A:K,COLUMN('Price List, Weapons &amp; Items'!$I$1),0)</f>
        <v>.</v>
      </c>
      <c r="AO127" s="521" t="str">
        <f>IF(I127=".",".",VLOOKUP($I127,'Price List, Weapons &amp; Items'!A:I,3,0))</f>
        <v>.</v>
      </c>
      <c r="AP127" s="517" t="str">
        <f t="shared" ca="1" si="20"/>
        <v>.</v>
      </c>
      <c r="AQ127" s="521" t="str">
        <f>VLOOKUP($I127,'Price List, Weapons &amp; Items'!A:K,COLUMN('Price List, Weapons &amp; Items'!$K$1),0)</f>
        <v>no price, 0 count</v>
      </c>
      <c r="AS127" s="521">
        <f t="shared" si="24"/>
        <v>1</v>
      </c>
      <c r="AT127" s="521">
        <f t="shared" si="25"/>
        <v>0</v>
      </c>
      <c r="AU127" s="521">
        <f t="shared" si="26"/>
        <v>1</v>
      </c>
      <c r="AV127" s="521" t="str">
        <f t="shared" si="27"/>
        <v>.</v>
      </c>
    </row>
    <row r="128" spans="1:48" ht="15" customHeight="1">
      <c r="A128" s="41" t="s">
        <v>597</v>
      </c>
      <c r="B128" s="41" t="s">
        <v>591</v>
      </c>
      <c r="C128" s="511">
        <v>44659</v>
      </c>
      <c r="D128" s="18" t="s">
        <v>228</v>
      </c>
      <c r="E128" s="18" t="s">
        <v>239</v>
      </c>
      <c r="F128" s="512" t="s">
        <v>598</v>
      </c>
      <c r="G128" s="39" t="s">
        <v>593</v>
      </c>
      <c r="H128" s="513">
        <v>1516800</v>
      </c>
      <c r="I128" s="41" t="s">
        <v>232</v>
      </c>
      <c r="J128" s="276" t="str">
        <f>VLOOKUP($I128,'Price List, Weapons &amp; Items'!A:B,2,0)</f>
        <v>.</v>
      </c>
      <c r="K128" s="276" t="str">
        <f>IF(I128=".",I128,VLOOKUP($I128,'Price List, Weapons &amp; Items'!A:C,3,0))</f>
        <v>.</v>
      </c>
      <c r="L128" s="514">
        <f>VLOOKUP(I128,'Price List, Weapons &amp; Items'!A:D,4,0)</f>
        <v>0</v>
      </c>
      <c r="M128" s="515" t="s">
        <v>232</v>
      </c>
      <c r="N128" s="515" t="s">
        <v>232</v>
      </c>
      <c r="O128" s="516" t="str">
        <f>VLOOKUP($I128,'Price List, Weapons &amp; Items'!A:F,6,0)</f>
        <v>.</v>
      </c>
      <c r="P128" s="513" t="str">
        <f t="shared" si="28"/>
        <v>.</v>
      </c>
      <c r="Q128" s="513" t="str">
        <f t="shared" si="29"/>
        <v>.</v>
      </c>
      <c r="R128" s="513">
        <f t="shared" si="19"/>
        <v>1516800</v>
      </c>
      <c r="S128" s="513">
        <f>IF(AND(AD128=1,R128&lt;&gt;".")=TRUE,R128/VLOOKUP(G128,'Exchange rates'!B:C,2,0),IF(R128=".",".",""))</f>
        <v>201231.16111229037</v>
      </c>
      <c r="T128" s="513" t="str">
        <f>IF(AD128=1,IF(AF128="Value is not given at all",".",IF(AF128="Value is given by the source",S128,IF(AF128="Value is calculated with prices",(IF(SUMIFS(Q:Q,A:A,A128)&gt;0,SUMIFS(Q:Q,A:A,A128),"."))/VLOOKUP("USD",'Exchange rates'!B:C,2,0),"Error with coding"))),"")</f>
        <v>.</v>
      </c>
      <c r="U128" s="39" t="s">
        <v>233</v>
      </c>
      <c r="V128" s="42" t="s">
        <v>599</v>
      </c>
      <c r="W128" s="42" t="s">
        <v>600</v>
      </c>
      <c r="X128" s="517" t="s">
        <v>232</v>
      </c>
      <c r="Y128" s="517" t="s">
        <v>232</v>
      </c>
      <c r="Z128" s="39">
        <v>0</v>
      </c>
      <c r="AA128" s="518">
        <v>0</v>
      </c>
      <c r="AB128" s="38" t="s">
        <v>232</v>
      </c>
      <c r="AC128" s="519" t="str">
        <f>""</f>
        <v/>
      </c>
      <c r="AD128" s="520">
        <v>1</v>
      </c>
      <c r="AE128" s="520" t="s">
        <v>236</v>
      </c>
      <c r="AF128" s="520" t="s">
        <v>237</v>
      </c>
      <c r="AG128" s="520">
        <v>1</v>
      </c>
      <c r="AH128" s="520">
        <v>4</v>
      </c>
      <c r="AI128" s="520">
        <v>0</v>
      </c>
      <c r="AJ128" s="520">
        <f>VLOOKUP($I128,'Price List, Weapons &amp; Items'!A:E,5,0)</f>
        <v>0</v>
      </c>
      <c r="AK128" s="520">
        <f t="shared" si="21"/>
        <v>0</v>
      </c>
      <c r="AL128" s="520">
        <f t="shared" si="22"/>
        <v>0</v>
      </c>
      <c r="AM128" s="520">
        <f t="shared" si="23"/>
        <v>0</v>
      </c>
      <c r="AN128" s="521" t="str">
        <f>VLOOKUP($I128,'Price List, Weapons &amp; Items'!A:K,COLUMN('Price List, Weapons &amp; Items'!$I$1),0)</f>
        <v>.</v>
      </c>
      <c r="AO128" s="521" t="str">
        <f>IF(I128=".",".",VLOOKUP($I128,'Price List, Weapons &amp; Items'!A:I,3,0))</f>
        <v>.</v>
      </c>
      <c r="AP128" s="517" t="str">
        <f t="shared" ca="1" si="20"/>
        <v>.</v>
      </c>
      <c r="AQ128" s="521" t="str">
        <f>VLOOKUP($I128,'Price List, Weapons &amp; Items'!A:K,COLUMN('Price List, Weapons &amp; Items'!$K$1),0)</f>
        <v>no price, 0 count</v>
      </c>
      <c r="AS128" s="521">
        <f t="shared" si="24"/>
        <v>1</v>
      </c>
      <c r="AT128" s="521">
        <f t="shared" si="25"/>
        <v>0</v>
      </c>
      <c r="AU128" s="521">
        <f t="shared" si="26"/>
        <v>1</v>
      </c>
      <c r="AV128" s="521" t="str">
        <f t="shared" si="27"/>
        <v>.</v>
      </c>
    </row>
    <row r="129" spans="1:48" ht="15" customHeight="1">
      <c r="A129" s="41" t="s">
        <v>601</v>
      </c>
      <c r="B129" s="41" t="s">
        <v>591</v>
      </c>
      <c r="C129" s="511">
        <v>44686</v>
      </c>
      <c r="D129" s="18" t="s">
        <v>228</v>
      </c>
      <c r="E129" s="18" t="s">
        <v>229</v>
      </c>
      <c r="F129" s="512" t="s">
        <v>602</v>
      </c>
      <c r="G129" s="39" t="s">
        <v>332</v>
      </c>
      <c r="H129" s="513">
        <v>5000000</v>
      </c>
      <c r="I129" s="41" t="s">
        <v>232</v>
      </c>
      <c r="J129" s="276" t="str">
        <f>VLOOKUP($I129,'Price List, Weapons &amp; Items'!A:B,2,0)</f>
        <v>.</v>
      </c>
      <c r="K129" s="276" t="str">
        <f>IF(I129=".",I129,VLOOKUP($I129,'Price List, Weapons &amp; Items'!A:C,3,0))</f>
        <v>.</v>
      </c>
      <c r="L129" s="514">
        <f>VLOOKUP(I129,'Price List, Weapons &amp; Items'!A:D,4,0)</f>
        <v>0</v>
      </c>
      <c r="M129" s="515" t="s">
        <v>232</v>
      </c>
      <c r="N129" s="515" t="s">
        <v>232</v>
      </c>
      <c r="O129" s="516" t="str">
        <f>VLOOKUP($I129,'Price List, Weapons &amp; Items'!A:F,6,0)</f>
        <v>.</v>
      </c>
      <c r="P129" s="513" t="str">
        <f t="shared" si="28"/>
        <v>.</v>
      </c>
      <c r="Q129" s="513" t="str">
        <f t="shared" si="29"/>
        <v>.</v>
      </c>
      <c r="R129" s="513">
        <f t="shared" si="19"/>
        <v>5000000</v>
      </c>
      <c r="S129" s="513">
        <f>IF(AND(AD129=1,R129&lt;&gt;".")=TRUE,R129/VLOOKUP(G129,'Exchange rates'!B:C,2,0),IF(R129=".",".",""))</f>
        <v>5000000</v>
      </c>
      <c r="T129" s="513" t="str">
        <f>IF(AD129=1,IF(AF129="Value is not given at all",".",IF(AF129="Value is given by the source",S129,IF(AF129="Value is calculated with prices",(IF(SUMIFS(Q:Q,A:A,A129)&gt;0,SUMIFS(Q:Q,A:A,A129),"."))/VLOOKUP("USD",'Exchange rates'!B:C,2,0),"Error with coding"))),"")</f>
        <v>.</v>
      </c>
      <c r="U129" s="39" t="s">
        <v>233</v>
      </c>
      <c r="V129" s="42" t="s">
        <v>385</v>
      </c>
      <c r="W129" s="42" t="s">
        <v>603</v>
      </c>
      <c r="X129" s="42" t="s">
        <v>604</v>
      </c>
      <c r="Y129" s="517" t="s">
        <v>232</v>
      </c>
      <c r="Z129" s="39">
        <v>0</v>
      </c>
      <c r="AA129" s="518">
        <v>0</v>
      </c>
      <c r="AB129" s="38" t="s">
        <v>232</v>
      </c>
      <c r="AC129" s="519" t="str">
        <f>""</f>
        <v/>
      </c>
      <c r="AD129" s="520">
        <v>1</v>
      </c>
      <c r="AE129" s="520" t="s">
        <v>236</v>
      </c>
      <c r="AF129" s="520" t="s">
        <v>237</v>
      </c>
      <c r="AG129" s="520">
        <v>1</v>
      </c>
      <c r="AH129" s="520">
        <v>5</v>
      </c>
      <c r="AI129" s="520">
        <v>0</v>
      </c>
      <c r="AJ129" s="520">
        <f>VLOOKUP($I129,'Price List, Weapons &amp; Items'!A:E,5,0)</f>
        <v>0</v>
      </c>
      <c r="AK129" s="520">
        <f t="shared" si="21"/>
        <v>0</v>
      </c>
      <c r="AL129" s="520">
        <f t="shared" si="22"/>
        <v>0</v>
      </c>
      <c r="AM129" s="520">
        <f t="shared" si="23"/>
        <v>0</v>
      </c>
      <c r="AN129" s="521" t="str">
        <f>VLOOKUP($I129,'Price List, Weapons &amp; Items'!A:K,COLUMN('Price List, Weapons &amp; Items'!$I$1),0)</f>
        <v>.</v>
      </c>
      <c r="AO129" s="521" t="str">
        <f>IF(I129=".",".",VLOOKUP($I129,'Price List, Weapons &amp; Items'!A:I,3,0))</f>
        <v>.</v>
      </c>
      <c r="AP129" s="517" t="str">
        <f t="shared" ca="1" si="20"/>
        <v>.</v>
      </c>
      <c r="AQ129" s="521" t="str">
        <f>VLOOKUP($I129,'Price List, Weapons &amp; Items'!A:K,COLUMN('Price List, Weapons &amp; Items'!$K$1),0)</f>
        <v>no price, 0 count</v>
      </c>
      <c r="AS129" s="521">
        <f t="shared" si="24"/>
        <v>1</v>
      </c>
      <c r="AT129" s="521">
        <f t="shared" si="25"/>
        <v>0</v>
      </c>
      <c r="AU129" s="521">
        <f t="shared" si="26"/>
        <v>1</v>
      </c>
      <c r="AV129" s="521" t="str">
        <f t="shared" si="27"/>
        <v>.</v>
      </c>
    </row>
    <row r="130" spans="1:48" ht="15" customHeight="1">
      <c r="A130" s="41" t="s">
        <v>605</v>
      </c>
      <c r="B130" s="41" t="s">
        <v>591</v>
      </c>
      <c r="C130" s="511">
        <v>44718</v>
      </c>
      <c r="D130" s="18" t="s">
        <v>228</v>
      </c>
      <c r="E130" s="18" t="s">
        <v>239</v>
      </c>
      <c r="F130" s="512" t="s">
        <v>606</v>
      </c>
      <c r="G130" s="39" t="s">
        <v>332</v>
      </c>
      <c r="H130" s="513">
        <v>33000</v>
      </c>
      <c r="I130" s="41" t="s">
        <v>232</v>
      </c>
      <c r="J130" s="276" t="str">
        <f>VLOOKUP($I130,'Price List, Weapons &amp; Items'!A:B,2,0)</f>
        <v>.</v>
      </c>
      <c r="K130" s="276" t="str">
        <f>IF(I130=".",I130,VLOOKUP($I130,'Price List, Weapons &amp; Items'!A:C,3,0))</f>
        <v>.</v>
      </c>
      <c r="L130" s="514">
        <f>VLOOKUP(I130,'Price List, Weapons &amp; Items'!A:D,4,0)</f>
        <v>0</v>
      </c>
      <c r="M130" s="515" t="s">
        <v>232</v>
      </c>
      <c r="N130" s="515" t="s">
        <v>232</v>
      </c>
      <c r="O130" s="516" t="str">
        <f>VLOOKUP($I130,'Price List, Weapons &amp; Items'!A:F,6,0)</f>
        <v>.</v>
      </c>
      <c r="P130" s="513" t="str">
        <f t="shared" si="28"/>
        <v>.</v>
      </c>
      <c r="Q130" s="513" t="str">
        <f t="shared" si="29"/>
        <v>.</v>
      </c>
      <c r="R130" s="513">
        <f t="shared" ref="R130:R193" si="30">IF(AD130=1,IF(H130&lt;&gt;"Not given",H130,IF(TYPE(H130)=2,IF(SUMIFS(P:P,A:A,A130)&gt;0,SUMIFS(P:P,A:A,A130),"."),"Format error")),"")</f>
        <v>33000</v>
      </c>
      <c r="S130" s="513">
        <f>IF(AND(AD130=1,R130&lt;&gt;".")=TRUE,R130/VLOOKUP(G130,'Exchange rates'!B:C,2,0),IF(R130=".",".",""))</f>
        <v>33000</v>
      </c>
      <c r="T130" s="513" t="str">
        <f>IF(AD130=1,IF(AF130="Value is not given at all",".",IF(AF130="Value is given by the source",S130,IF(AF130="Value is calculated with prices",(IF(SUMIFS(Q:Q,A:A,A130)&gt;0,SUMIFS(Q:Q,A:A,A130),"."))/VLOOKUP("USD",'Exchange rates'!B:C,2,0),"Error with coding"))),"")</f>
        <v>.</v>
      </c>
      <c r="U130" s="39" t="s">
        <v>372</v>
      </c>
      <c r="V130" s="42" t="s">
        <v>607</v>
      </c>
      <c r="W130" s="42" t="s">
        <v>608</v>
      </c>
      <c r="X130" s="531" t="s">
        <v>609</v>
      </c>
      <c r="Y130" s="512" t="s">
        <v>232</v>
      </c>
      <c r="Z130" s="39">
        <v>0</v>
      </c>
      <c r="AA130" s="39">
        <v>0</v>
      </c>
      <c r="AB130" s="41" t="s">
        <v>232</v>
      </c>
      <c r="AC130" s="519" t="str">
        <f>""</f>
        <v/>
      </c>
      <c r="AD130" s="522">
        <v>1</v>
      </c>
      <c r="AE130" s="522" t="s">
        <v>236</v>
      </c>
      <c r="AF130" s="522" t="s">
        <v>237</v>
      </c>
      <c r="AG130" s="522">
        <v>1</v>
      </c>
      <c r="AH130" s="520">
        <v>6</v>
      </c>
      <c r="AI130" s="520">
        <v>0</v>
      </c>
      <c r="AJ130" s="520">
        <f>VLOOKUP($I130,'Price List, Weapons &amp; Items'!A:E,5,0)</f>
        <v>0</v>
      </c>
      <c r="AK130" s="520">
        <f t="shared" si="21"/>
        <v>0</v>
      </c>
      <c r="AL130" s="520">
        <f t="shared" si="22"/>
        <v>0</v>
      </c>
      <c r="AM130" s="520">
        <f t="shared" si="23"/>
        <v>0</v>
      </c>
      <c r="AN130" s="521" t="str">
        <f>VLOOKUP($I130,'Price List, Weapons &amp; Items'!A:K,COLUMN('Price List, Weapons &amp; Items'!$I$1),0)</f>
        <v>.</v>
      </c>
      <c r="AO130" s="521" t="str">
        <f>IF(I130=".",".",VLOOKUP($I130,'Price List, Weapons &amp; Items'!A:I,3,0))</f>
        <v>.</v>
      </c>
      <c r="AP130" s="517" t="str">
        <f t="shared" ref="AP130:AP193" ca="1" si="31">IF(AD130=1,_xlfn.ARRAYTOTEXT(OFFSET(I130,0,0,COUNTIF(A:A,A130),1)),"")</f>
        <v>.</v>
      </c>
      <c r="AQ130" s="521" t="str">
        <f>VLOOKUP($I130,'Price List, Weapons &amp; Items'!A:K,COLUMN('Price List, Weapons &amp; Items'!$K$1),0)</f>
        <v>no price, 0 count</v>
      </c>
      <c r="AS130" s="521">
        <f t="shared" si="24"/>
        <v>0</v>
      </c>
      <c r="AT130" s="521">
        <f t="shared" si="25"/>
        <v>0</v>
      </c>
      <c r="AU130" s="521">
        <f t="shared" si="26"/>
        <v>1</v>
      </c>
      <c r="AV130" s="521" t="str">
        <f t="shared" si="27"/>
        <v>.</v>
      </c>
    </row>
    <row r="131" spans="1:48" ht="15" customHeight="1">
      <c r="A131" s="41" t="s">
        <v>610</v>
      </c>
      <c r="B131" s="41" t="s">
        <v>591</v>
      </c>
      <c r="C131" s="511">
        <v>44620</v>
      </c>
      <c r="D131" s="18" t="s">
        <v>252</v>
      </c>
      <c r="E131" s="18" t="s">
        <v>253</v>
      </c>
      <c r="F131" s="512" t="s">
        <v>611</v>
      </c>
      <c r="G131" s="39" t="s">
        <v>593</v>
      </c>
      <c r="H131" s="513">
        <v>124000000</v>
      </c>
      <c r="I131" s="41" t="s">
        <v>232</v>
      </c>
      <c r="J131" s="276" t="str">
        <f>VLOOKUP($I131,'Price List, Weapons &amp; Items'!A:B,2,0)</f>
        <v>.</v>
      </c>
      <c r="K131" s="276" t="str">
        <f>IF(I131=".",I131,VLOOKUP($I131,'Price List, Weapons &amp; Items'!A:C,3,0))</f>
        <v>.</v>
      </c>
      <c r="L131" s="514">
        <f>VLOOKUP(I131,'Price List, Weapons &amp; Items'!A:D,4,0)</f>
        <v>0</v>
      </c>
      <c r="M131" s="515" t="s">
        <v>232</v>
      </c>
      <c r="N131" s="515" t="s">
        <v>232</v>
      </c>
      <c r="O131" s="516" t="str">
        <f>VLOOKUP($I131,'Price List, Weapons &amp; Items'!A:F,6,0)</f>
        <v>.</v>
      </c>
      <c r="P131" s="513" t="str">
        <f t="shared" si="28"/>
        <v>.</v>
      </c>
      <c r="Q131" s="513" t="str">
        <f t="shared" si="29"/>
        <v>.</v>
      </c>
      <c r="R131" s="513">
        <f t="shared" si="30"/>
        <v>124000000</v>
      </c>
      <c r="S131" s="513">
        <f>IF(AND(AD131=1,R131&lt;&gt;".")=TRUE,R131/VLOOKUP(G131,'Exchange rates'!B:C,2,0),IF(R131=".",".",""))</f>
        <v>16450859.69008703</v>
      </c>
      <c r="T131" s="513" t="str">
        <f>IF(AD131=1,IF(AF131="Value is not given at all",".",IF(AF131="Value is given by the source",S131,IF(AF131="Value is calculated with prices",(IF(SUMIFS(Q:Q,A:A,A131)&gt;0,SUMIFS(Q:Q,A:A,A131),"."))/VLOOKUP("USD",'Exchange rates'!B:C,2,0),"Error with coding"))),"")</f>
        <v>.</v>
      </c>
      <c r="U131" s="39" t="s">
        <v>233</v>
      </c>
      <c r="V131" s="42" t="s">
        <v>612</v>
      </c>
      <c r="W131" s="42" t="s">
        <v>613</v>
      </c>
      <c r="X131" s="42" t="s">
        <v>614</v>
      </c>
      <c r="Y131" s="825" t="s">
        <v>615</v>
      </c>
      <c r="Z131" s="39">
        <v>0</v>
      </c>
      <c r="AA131" s="518">
        <v>0</v>
      </c>
      <c r="AB131" s="394" t="s">
        <v>616</v>
      </c>
      <c r="AC131" s="519" t="str">
        <f>""</f>
        <v/>
      </c>
      <c r="AD131" s="520">
        <v>1</v>
      </c>
      <c r="AE131" s="520" t="s">
        <v>236</v>
      </c>
      <c r="AF131" s="520" t="s">
        <v>237</v>
      </c>
      <c r="AG131" s="520">
        <v>1</v>
      </c>
      <c r="AH131" s="520">
        <v>2</v>
      </c>
      <c r="AI131" s="520">
        <v>0</v>
      </c>
      <c r="AJ131" s="520">
        <f>VLOOKUP($I131,'Price List, Weapons &amp; Items'!A:E,5,0)</f>
        <v>0</v>
      </c>
      <c r="AK131" s="520">
        <f t="shared" ref="AK131:AK194" si="32">IF(AND(AJ131=1,M131="undisclosed")=TRUE,1,0)</f>
        <v>0</v>
      </c>
      <c r="AL131" s="520">
        <f t="shared" ref="AL131:AL194" si="33">IF(AND(AJ131=1,N131="undisclosed")=TRUE,1,0)</f>
        <v>0</v>
      </c>
      <c r="AM131" s="520">
        <f t="shared" ref="AM131:AM194" si="34">IFERROR(IF(SEARCH("ammuni",I131,1)&gt;0,1,0),0)</f>
        <v>0</v>
      </c>
      <c r="AN131" s="521" t="str">
        <f>VLOOKUP($I131,'Price List, Weapons &amp; Items'!A:K,COLUMN('Price List, Weapons &amp; Items'!$I$1),0)</f>
        <v>.</v>
      </c>
      <c r="AO131" s="521" t="str">
        <f>IF(I131=".",".",VLOOKUP($I131,'Price List, Weapons &amp; Items'!A:I,3,0))</f>
        <v>.</v>
      </c>
      <c r="AP131" s="517" t="str">
        <f t="shared" ca="1" si="31"/>
        <v>.</v>
      </c>
      <c r="AQ131" s="521" t="str">
        <f>VLOOKUP($I131,'Price List, Weapons &amp; Items'!A:K,COLUMN('Price List, Weapons &amp; Items'!$K$1),0)</f>
        <v>no price, 0 count</v>
      </c>
      <c r="AS131" s="521">
        <f t="shared" ref="AS131:AS194" si="35">IF(U131="Yes",1,0)</f>
        <v>1</v>
      </c>
      <c r="AT131" s="521">
        <f t="shared" ref="AT131:AT194" si="36">IF(OR((E131="Weapons"),(E131="Weapons and equipment"),(E131="Weapons and training"),(E131="Weapons and Assistance"),(E131="Military Equipment"))=FALSE,0,1)</f>
        <v>1</v>
      </c>
      <c r="AU131" s="521">
        <f t="shared" ref="AU131:AU194" si="37">IFERROR(IF(VALUE(TEXT(C131,"mm"))=AH131,".",1),"Value is not in date format")</f>
        <v>1</v>
      </c>
      <c r="AV131" s="521" t="str">
        <f t="shared" ref="AV131:AV194" si="38">IF(AND(A131=A130,C131=C130)=TRUE,IF(F131=F130,".","1"),".")</f>
        <v>.</v>
      </c>
    </row>
    <row r="132" spans="1:48" s="533" customFormat="1" ht="15" customHeight="1">
      <c r="A132" s="18" t="s">
        <v>617</v>
      </c>
      <c r="B132" s="18" t="s">
        <v>618</v>
      </c>
      <c r="C132" s="511">
        <v>44629</v>
      </c>
      <c r="D132" s="18" t="s">
        <v>228</v>
      </c>
      <c r="E132" s="18" t="s">
        <v>239</v>
      </c>
      <c r="F132" s="512" t="s">
        <v>619</v>
      </c>
      <c r="G132" s="39" t="s">
        <v>332</v>
      </c>
      <c r="H132" s="513">
        <v>2000000</v>
      </c>
      <c r="I132" s="41" t="s">
        <v>620</v>
      </c>
      <c r="J132" s="276" t="str">
        <f>VLOOKUP($I132,'Price List, Weapons &amp; Items'!A:B,2,0)</f>
        <v>Humanitarian</v>
      </c>
      <c r="K132" s="276" t="str">
        <f>IF(I132=".",I132,VLOOKUP($I132,'Price List, Weapons &amp; Items'!A:C,3,0))</f>
        <v>.</v>
      </c>
      <c r="L132" s="514">
        <f>VLOOKUP(I132,'Price List, Weapons &amp; Items'!A:D,4,0)</f>
        <v>0</v>
      </c>
      <c r="M132" s="515">
        <v>80</v>
      </c>
      <c r="N132" s="515" t="s">
        <v>232</v>
      </c>
      <c r="O132" s="516">
        <f>VLOOKUP($I132,'Price List, Weapons &amp; Items'!A:F,6,0)</f>
        <v>2430</v>
      </c>
      <c r="P132" s="513">
        <f t="shared" si="28"/>
        <v>194400</v>
      </c>
      <c r="Q132" s="513" t="str">
        <f t="shared" si="29"/>
        <v>.</v>
      </c>
      <c r="R132" s="513">
        <f t="shared" si="30"/>
        <v>2000000</v>
      </c>
      <c r="S132" s="513">
        <f>IF(AND(AD132=1,R132&lt;&gt;".")=TRUE,R132/VLOOKUP(G132,'Exchange rates'!B:C,2,0),IF(R132=".",".",""))</f>
        <v>2000000</v>
      </c>
      <c r="T132" s="513" t="str">
        <f>IF(AD132=1,IF(AF132="Value is not given at all",".",IF(AF132="Value is given by the source",S132,IF(AF132="Value is calculated with prices",(IF(SUMIFS(Q:Q,A:A,A132)&gt;0,SUMIFS(Q:Q,A:A,A132),"."))/VLOOKUP("USD",'Exchange rates'!B:C,2,0),"Error with coding"))),"")</f>
        <v>.</v>
      </c>
      <c r="U132" s="39" t="s">
        <v>233</v>
      </c>
      <c r="V132" s="376" t="s">
        <v>621</v>
      </c>
      <c r="W132" s="376" t="s">
        <v>622</v>
      </c>
      <c r="X132" s="530" t="s">
        <v>232</v>
      </c>
      <c r="Y132" s="530" t="s">
        <v>232</v>
      </c>
      <c r="Z132" s="39">
        <v>0</v>
      </c>
      <c r="AA132" s="39">
        <v>0</v>
      </c>
      <c r="AB132" s="38" t="s">
        <v>232</v>
      </c>
      <c r="AC132" s="519" t="str">
        <f>""</f>
        <v/>
      </c>
      <c r="AD132" s="522">
        <v>1</v>
      </c>
      <c r="AE132" s="522" t="s">
        <v>236</v>
      </c>
      <c r="AF132" s="522" t="s">
        <v>237</v>
      </c>
      <c r="AG132" s="522">
        <v>1</v>
      </c>
      <c r="AH132" s="522">
        <v>3</v>
      </c>
      <c r="AI132" s="522">
        <v>0</v>
      </c>
      <c r="AJ132" s="520">
        <f>VLOOKUP($I132,'Price List, Weapons &amp; Items'!A:E,5,0)</f>
        <v>0</v>
      </c>
      <c r="AK132" s="520">
        <f t="shared" si="32"/>
        <v>0</v>
      </c>
      <c r="AL132" s="520">
        <f t="shared" si="33"/>
        <v>0</v>
      </c>
      <c r="AM132" s="520">
        <f t="shared" si="34"/>
        <v>0</v>
      </c>
      <c r="AN132" s="521" t="str">
        <f>VLOOKUP($I132,'Price List, Weapons &amp; Items'!A:K,COLUMN('Price List, Weapons &amp; Items'!$I$1),0)</f>
        <v>Government information</v>
      </c>
      <c r="AO132" s="521" t="str">
        <f>IF(I132=".",".",VLOOKUP($I132,'Price List, Weapons &amp; Items'!A:I,3,0))</f>
        <v>.</v>
      </c>
      <c r="AP132" s="517" t="str">
        <f t="shared" ca="1" si="31"/>
        <v>ton of food; ton of medical equipment; liter of bottled water; pair of shoes; Power generator</v>
      </c>
      <c r="AQ132" s="521">
        <f>VLOOKUP($I132,'Price List, Weapons &amp; Items'!A:K,COLUMN('Price List, Weapons &amp; Items'!$K$1),0)</f>
        <v>0</v>
      </c>
      <c r="AS132" s="521">
        <f t="shared" si="35"/>
        <v>1</v>
      </c>
      <c r="AT132" s="521">
        <f t="shared" si="36"/>
        <v>0</v>
      </c>
      <c r="AU132" s="521">
        <f t="shared" si="37"/>
        <v>1</v>
      </c>
      <c r="AV132" s="521" t="str">
        <f t="shared" si="38"/>
        <v>.</v>
      </c>
    </row>
    <row r="133" spans="1:48" s="533" customFormat="1" ht="15" customHeight="1">
      <c r="A133" s="18" t="s">
        <v>617</v>
      </c>
      <c r="B133" s="18" t="s">
        <v>618</v>
      </c>
      <c r="C133" s="511">
        <v>44629</v>
      </c>
      <c r="D133" s="18" t="s">
        <v>228</v>
      </c>
      <c r="E133" s="18" t="s">
        <v>239</v>
      </c>
      <c r="F133" s="512" t="s">
        <v>619</v>
      </c>
      <c r="G133" s="39" t="s">
        <v>332</v>
      </c>
      <c r="H133" s="513">
        <v>2000000</v>
      </c>
      <c r="I133" s="41" t="s">
        <v>623</v>
      </c>
      <c r="J133" s="276" t="str">
        <f>VLOOKUP($I133,'Price List, Weapons &amp; Items'!A:B,2,0)</f>
        <v>Humanitarian</v>
      </c>
      <c r="K133" s="276" t="str">
        <f>IF(I133=".",I133,VLOOKUP($I133,'Price List, Weapons &amp; Items'!A:C,3,0))</f>
        <v>.</v>
      </c>
      <c r="L133" s="514">
        <f>VLOOKUP(I133,'Price List, Weapons &amp; Items'!A:D,4,0)</f>
        <v>0</v>
      </c>
      <c r="M133" s="515">
        <v>13</v>
      </c>
      <c r="N133" s="515" t="s">
        <v>232</v>
      </c>
      <c r="O133" s="516">
        <f>VLOOKUP($I133,'Price List, Weapons &amp; Items'!A:F,6,0)</f>
        <v>10000</v>
      </c>
      <c r="P133" s="513">
        <f t="shared" si="28"/>
        <v>130000</v>
      </c>
      <c r="Q133" s="513" t="str">
        <f t="shared" si="29"/>
        <v>.</v>
      </c>
      <c r="R133" s="513" t="str">
        <f t="shared" si="30"/>
        <v/>
      </c>
      <c r="S133" s="513" t="str">
        <f>IF(AND(AD133=1,R133&lt;&gt;".")=TRUE,R133/VLOOKUP(G133,'Exchange rates'!B:C,2,0),IF(R133=".",".",""))</f>
        <v/>
      </c>
      <c r="T133" s="513" t="str">
        <f>IF(AD133=1,IF(AF133="Value is not given at all",".",IF(AF133="Value is given by the source",S133,IF(AF133="Value is calculated with prices",(IF(SUMIFS(Q:Q,A:A,A133)&gt;0,SUMIFS(Q:Q,A:A,A133),"."))/VLOOKUP("USD",'Exchange rates'!B:C,2,0),"Error with coding"))),"")</f>
        <v/>
      </c>
      <c r="U133" s="39" t="s">
        <v>233</v>
      </c>
      <c r="V133" s="376" t="s">
        <v>621</v>
      </c>
      <c r="W133" s="376" t="s">
        <v>622</v>
      </c>
      <c r="X133" s="530" t="s">
        <v>232</v>
      </c>
      <c r="Y133" s="530" t="s">
        <v>232</v>
      </c>
      <c r="Z133" s="39">
        <v>0</v>
      </c>
      <c r="AA133" s="39">
        <v>0</v>
      </c>
      <c r="AB133" s="38" t="s">
        <v>232</v>
      </c>
      <c r="AC133" s="519" t="str">
        <f>""</f>
        <v/>
      </c>
      <c r="AD133" s="522">
        <v>0</v>
      </c>
      <c r="AE133" s="522" t="s">
        <v>236</v>
      </c>
      <c r="AF133" s="522" t="s">
        <v>237</v>
      </c>
      <c r="AG133" s="522">
        <v>1</v>
      </c>
      <c r="AH133" s="522">
        <v>3</v>
      </c>
      <c r="AI133" s="522">
        <v>0</v>
      </c>
      <c r="AJ133" s="520">
        <f>VLOOKUP($I133,'Price List, Weapons &amp; Items'!A:E,5,0)</f>
        <v>0</v>
      </c>
      <c r="AK133" s="520">
        <f t="shared" si="32"/>
        <v>0</v>
      </c>
      <c r="AL133" s="520">
        <f t="shared" si="33"/>
        <v>0</v>
      </c>
      <c r="AM133" s="520">
        <f t="shared" si="34"/>
        <v>0</v>
      </c>
      <c r="AN133" s="521" t="str">
        <f>VLOOKUP($I133,'Price List, Weapons &amp; Items'!A:K,COLUMN('Price List, Weapons &amp; Items'!$I$1),0)</f>
        <v>Miscellaneous</v>
      </c>
      <c r="AO133" s="521" t="str">
        <f>IF(I133=".",".",VLOOKUP($I133,'Price List, Weapons &amp; Items'!A:I,3,0))</f>
        <v>.</v>
      </c>
      <c r="AP133" s="517" t="str">
        <f t="shared" ca="1" si="31"/>
        <v/>
      </c>
      <c r="AQ133" s="521">
        <f>VLOOKUP($I133,'Price List, Weapons &amp; Items'!A:K,COLUMN('Price List, Weapons &amp; Items'!$K$1),0)</f>
        <v>0</v>
      </c>
      <c r="AS133" s="521">
        <f t="shared" si="35"/>
        <v>1</v>
      </c>
      <c r="AT133" s="521">
        <f t="shared" si="36"/>
        <v>0</v>
      </c>
      <c r="AU133" s="521">
        <f t="shared" si="37"/>
        <v>1</v>
      </c>
      <c r="AV133" s="521" t="str">
        <f t="shared" si="38"/>
        <v>.</v>
      </c>
    </row>
    <row r="134" spans="1:48" s="533" customFormat="1" ht="15" customHeight="1">
      <c r="A134" s="18" t="s">
        <v>617</v>
      </c>
      <c r="B134" s="18" t="s">
        <v>618</v>
      </c>
      <c r="C134" s="511">
        <v>44629</v>
      </c>
      <c r="D134" s="18" t="s">
        <v>228</v>
      </c>
      <c r="E134" s="18" t="s">
        <v>239</v>
      </c>
      <c r="F134" s="512" t="s">
        <v>619</v>
      </c>
      <c r="G134" s="39" t="s">
        <v>332</v>
      </c>
      <c r="H134" s="513">
        <v>2000000</v>
      </c>
      <c r="I134" s="41" t="s">
        <v>624</v>
      </c>
      <c r="J134" s="276" t="str">
        <f>VLOOKUP($I134,'Price List, Weapons &amp; Items'!A:B,2,0)</f>
        <v>Humanitarian</v>
      </c>
      <c r="K134" s="276" t="str">
        <f>IF(I134=".",I134,VLOOKUP($I134,'Price List, Weapons &amp; Items'!A:C,3,0))</f>
        <v>.</v>
      </c>
      <c r="L134" s="514">
        <f>VLOOKUP(I134,'Price List, Weapons &amp; Items'!A:D,4,0)</f>
        <v>0</v>
      </c>
      <c r="M134" s="515">
        <v>22500</v>
      </c>
      <c r="N134" s="515" t="s">
        <v>232</v>
      </c>
      <c r="O134" s="516">
        <f>VLOOKUP($I134,'Price List, Weapons &amp; Items'!A:F,6,0)</f>
        <v>1.5</v>
      </c>
      <c r="P134" s="513">
        <f t="shared" si="28"/>
        <v>33750</v>
      </c>
      <c r="Q134" s="513" t="str">
        <f t="shared" si="29"/>
        <v>.</v>
      </c>
      <c r="R134" s="513" t="str">
        <f t="shared" si="30"/>
        <v/>
      </c>
      <c r="S134" s="513" t="str">
        <f>IF(AND(AD134=1,R134&lt;&gt;".")=TRUE,R134/VLOOKUP(G134,'Exchange rates'!B:C,2,0),IF(R134=".",".",""))</f>
        <v/>
      </c>
      <c r="U134" s="39" t="s">
        <v>233</v>
      </c>
      <c r="V134" s="376" t="s">
        <v>621</v>
      </c>
      <c r="W134" s="376" t="s">
        <v>622</v>
      </c>
      <c r="X134" s="530" t="s">
        <v>232</v>
      </c>
      <c r="Y134" s="530" t="s">
        <v>232</v>
      </c>
      <c r="Z134" s="39">
        <v>0</v>
      </c>
      <c r="AA134" s="39">
        <v>0</v>
      </c>
      <c r="AB134" s="38" t="s">
        <v>232</v>
      </c>
      <c r="AC134" s="519" t="str">
        <f>""</f>
        <v/>
      </c>
      <c r="AD134" s="522">
        <v>0</v>
      </c>
      <c r="AE134" s="522" t="s">
        <v>236</v>
      </c>
      <c r="AF134" s="522" t="s">
        <v>237</v>
      </c>
      <c r="AG134" s="522">
        <v>1</v>
      </c>
      <c r="AH134" s="522">
        <v>3</v>
      </c>
      <c r="AI134" s="522">
        <v>0</v>
      </c>
      <c r="AJ134" s="520">
        <f>VLOOKUP($I134,'Price List, Weapons &amp; Items'!A:E,5,0)</f>
        <v>0</v>
      </c>
      <c r="AK134" s="520">
        <f t="shared" si="32"/>
        <v>0</v>
      </c>
      <c r="AL134" s="520">
        <f t="shared" si="33"/>
        <v>0</v>
      </c>
      <c r="AM134" s="520">
        <f t="shared" si="34"/>
        <v>0</v>
      </c>
      <c r="AN134" s="521" t="str">
        <f>VLOOKUP($I134,'Price List, Weapons &amp; Items'!A:K,COLUMN('Price List, Weapons &amp; Items'!$I$1),0)</f>
        <v>Online marketplaces and stores</v>
      </c>
      <c r="AO134" s="521" t="str">
        <f>IF(I134=".",".",VLOOKUP($I134,'Price List, Weapons &amp; Items'!A:I,3,0))</f>
        <v>.</v>
      </c>
      <c r="AP134" s="517" t="str">
        <f t="shared" ca="1" si="31"/>
        <v/>
      </c>
      <c r="AQ134" s="521">
        <f>VLOOKUP($I134,'Price List, Weapons &amp; Items'!A:K,COLUMN('Price List, Weapons &amp; Items'!$K$1),0)</f>
        <v>0</v>
      </c>
      <c r="AS134" s="521">
        <f t="shared" si="35"/>
        <v>1</v>
      </c>
      <c r="AT134" s="521">
        <f t="shared" si="36"/>
        <v>0</v>
      </c>
      <c r="AU134" s="521">
        <f t="shared" si="37"/>
        <v>1</v>
      </c>
      <c r="AV134" s="521" t="str">
        <f t="shared" si="38"/>
        <v>.</v>
      </c>
    </row>
    <row r="135" spans="1:48" s="533" customFormat="1" ht="15" customHeight="1">
      <c r="A135" s="18" t="s">
        <v>617</v>
      </c>
      <c r="B135" s="18" t="s">
        <v>618</v>
      </c>
      <c r="C135" s="511">
        <v>44629</v>
      </c>
      <c r="D135" s="18" t="s">
        <v>228</v>
      </c>
      <c r="E135" s="18" t="s">
        <v>239</v>
      </c>
      <c r="F135" s="512" t="s">
        <v>619</v>
      </c>
      <c r="G135" s="39" t="s">
        <v>332</v>
      </c>
      <c r="H135" s="513">
        <v>2000000</v>
      </c>
      <c r="I135" s="41" t="s">
        <v>625</v>
      </c>
      <c r="J135" s="276" t="str">
        <f>VLOOKUP($I135,'Price List, Weapons &amp; Items'!A:B,2,0)</f>
        <v>Humanitarian</v>
      </c>
      <c r="K135" s="276" t="str">
        <f>IF(I135=".",I135,VLOOKUP($I135,'Price List, Weapons &amp; Items'!A:C,3,0))</f>
        <v>.</v>
      </c>
      <c r="L135" s="514">
        <f>VLOOKUP(I135,'Price List, Weapons &amp; Items'!A:D,4,0)</f>
        <v>0</v>
      </c>
      <c r="M135" s="515">
        <v>5000</v>
      </c>
      <c r="N135" s="515" t="s">
        <v>232</v>
      </c>
      <c r="O135" s="516">
        <f>VLOOKUP($I135,'Price List, Weapons &amp; Items'!A:F,6,0)</f>
        <v>20</v>
      </c>
      <c r="P135" s="513">
        <f t="shared" si="28"/>
        <v>100000</v>
      </c>
      <c r="Q135" s="513" t="str">
        <f t="shared" si="29"/>
        <v>.</v>
      </c>
      <c r="R135" s="513" t="str">
        <f t="shared" si="30"/>
        <v/>
      </c>
      <c r="S135" s="513" t="str">
        <f>IF(AND(AD135=1,R135&lt;&gt;".")=TRUE,R135/VLOOKUP(G135,'Exchange rates'!B:C,2,0),IF(R135=".",".",""))</f>
        <v/>
      </c>
      <c r="T135" s="513" t="str">
        <f>IF(AD134=1,IF(AF134="Value is not given at all",".",IF(AF134="Value is given by the source",S134,IF(AF134="Value is calculated with prices",(IF(SUMIFS(Q:Q,A:A,A134)&gt;0,SUMIFS(Q:Q,A:A,A134),"."))/VLOOKUP("USD",'Exchange rates'!B:C,2,0),"Error with coding"))),"")</f>
        <v/>
      </c>
      <c r="U135" s="39" t="s">
        <v>233</v>
      </c>
      <c r="V135" s="376" t="s">
        <v>621</v>
      </c>
      <c r="W135" s="376" t="s">
        <v>622</v>
      </c>
      <c r="X135" s="530" t="s">
        <v>232</v>
      </c>
      <c r="Y135" s="530" t="s">
        <v>232</v>
      </c>
      <c r="Z135" s="39">
        <v>0</v>
      </c>
      <c r="AA135" s="39">
        <v>0</v>
      </c>
      <c r="AB135" s="38" t="s">
        <v>232</v>
      </c>
      <c r="AC135" s="519" t="str">
        <f>""</f>
        <v/>
      </c>
      <c r="AD135" s="522">
        <v>0</v>
      </c>
      <c r="AE135" s="522" t="s">
        <v>236</v>
      </c>
      <c r="AF135" s="522" t="s">
        <v>237</v>
      </c>
      <c r="AG135" s="522">
        <v>1</v>
      </c>
      <c r="AH135" s="522">
        <v>3</v>
      </c>
      <c r="AI135" s="522">
        <v>0</v>
      </c>
      <c r="AJ135" s="520">
        <f>VLOOKUP($I135,'Price List, Weapons &amp; Items'!A:E,5,0)</f>
        <v>0</v>
      </c>
      <c r="AK135" s="520">
        <f t="shared" si="32"/>
        <v>0</v>
      </c>
      <c r="AL135" s="520">
        <f t="shared" si="33"/>
        <v>0</v>
      </c>
      <c r="AM135" s="520">
        <f t="shared" si="34"/>
        <v>0</v>
      </c>
      <c r="AN135" s="521" t="str">
        <f>VLOOKUP($I135,'Price List, Weapons &amp; Items'!A:K,COLUMN('Price List, Weapons &amp; Items'!$I$1),0)</f>
        <v>Online marketplaces and stores</v>
      </c>
      <c r="AO135" s="521" t="str">
        <f>IF(I135=".",".",VLOOKUP($I135,'Price List, Weapons &amp; Items'!A:I,3,0))</f>
        <v>.</v>
      </c>
      <c r="AP135" s="517" t="str">
        <f t="shared" ca="1" si="31"/>
        <v/>
      </c>
      <c r="AQ135" s="521">
        <f>VLOOKUP($I135,'Price List, Weapons &amp; Items'!A:K,COLUMN('Price List, Weapons &amp; Items'!$K$1),0)</f>
        <v>0</v>
      </c>
      <c r="AS135" s="521">
        <f t="shared" si="35"/>
        <v>1</v>
      </c>
      <c r="AT135" s="521">
        <f t="shared" si="36"/>
        <v>0</v>
      </c>
      <c r="AU135" s="521">
        <f t="shared" si="37"/>
        <v>1</v>
      </c>
      <c r="AV135" s="521" t="str">
        <f t="shared" si="38"/>
        <v>.</v>
      </c>
    </row>
    <row r="136" spans="1:48" s="533" customFormat="1" ht="15" customHeight="1">
      <c r="A136" s="18" t="s">
        <v>617</v>
      </c>
      <c r="B136" s="18" t="s">
        <v>618</v>
      </c>
      <c r="C136" s="511">
        <v>44629</v>
      </c>
      <c r="D136" s="18" t="s">
        <v>228</v>
      </c>
      <c r="E136" s="18" t="s">
        <v>239</v>
      </c>
      <c r="F136" s="512" t="s">
        <v>619</v>
      </c>
      <c r="G136" s="39" t="s">
        <v>332</v>
      </c>
      <c r="H136" s="513">
        <v>2000000</v>
      </c>
      <c r="I136" s="41" t="s">
        <v>626</v>
      </c>
      <c r="J136" s="276" t="str">
        <f>VLOOKUP($I136,'Price List, Weapons &amp; Items'!A:B,2,0)</f>
        <v>Humanitarian</v>
      </c>
      <c r="K136" s="276" t="str">
        <f>IF(I136=".",I136,VLOOKUP($I136,'Price List, Weapons &amp; Items'!A:C,3,0))</f>
        <v>.</v>
      </c>
      <c r="L136" s="514">
        <f>VLOOKUP(I136,'Price List, Weapons &amp; Items'!A:D,4,0)</f>
        <v>0</v>
      </c>
      <c r="M136" s="515">
        <v>1</v>
      </c>
      <c r="N136" s="515" t="s">
        <v>232</v>
      </c>
      <c r="O136" s="516" t="str">
        <f>VLOOKUP($I136,'Price List, Weapons &amp; Items'!A:F,6,0)</f>
        <v>.</v>
      </c>
      <c r="P136" s="513" t="str">
        <f t="shared" si="28"/>
        <v>No price</v>
      </c>
      <c r="Q136" s="513" t="str">
        <f t="shared" si="29"/>
        <v>.</v>
      </c>
      <c r="R136" s="513" t="str">
        <f t="shared" si="30"/>
        <v/>
      </c>
      <c r="S136" s="513" t="str">
        <f>IF(AND(AD136=1,R136&lt;&gt;".")=TRUE,R136/VLOOKUP(G136,'Exchange rates'!B:C,2,0),IF(R136=".",".",""))</f>
        <v/>
      </c>
      <c r="T136" s="513" t="str">
        <f>IF(AD136=1,IF(AF136="Value is not given at all",".",IF(AF136="Value is given by the source",S136,IF(AF136="Value is calculated with prices",(IF(SUMIFS(Q:Q,A:A,A136)&gt;0,SUMIFS(Q:Q,A:A,A136),"."))/VLOOKUP("USD",'Exchange rates'!B:C,2,0),"Error with coding"))),"")</f>
        <v/>
      </c>
      <c r="U136" s="39" t="s">
        <v>233</v>
      </c>
      <c r="V136" s="376" t="s">
        <v>621</v>
      </c>
      <c r="W136" s="376" t="s">
        <v>622</v>
      </c>
      <c r="X136" s="530" t="s">
        <v>232</v>
      </c>
      <c r="Y136" s="517" t="s">
        <v>232</v>
      </c>
      <c r="Z136" s="39">
        <v>0</v>
      </c>
      <c r="AA136" s="39">
        <v>0</v>
      </c>
      <c r="AB136" s="523" t="s">
        <v>232</v>
      </c>
      <c r="AC136" s="519" t="str">
        <f>""</f>
        <v/>
      </c>
      <c r="AD136" s="522">
        <v>0</v>
      </c>
      <c r="AE136" s="522" t="s">
        <v>236</v>
      </c>
      <c r="AF136" s="522" t="s">
        <v>237</v>
      </c>
      <c r="AG136" s="522">
        <v>1</v>
      </c>
      <c r="AH136" s="522">
        <v>3</v>
      </c>
      <c r="AI136" s="522">
        <v>0</v>
      </c>
      <c r="AJ136" s="520">
        <f>VLOOKUP($I136,'Price List, Weapons &amp; Items'!A:E,5,0)</f>
        <v>0</v>
      </c>
      <c r="AK136" s="520">
        <f t="shared" si="32"/>
        <v>0</v>
      </c>
      <c r="AL136" s="520">
        <f t="shared" si="33"/>
        <v>0</v>
      </c>
      <c r="AM136" s="520">
        <f t="shared" si="34"/>
        <v>0</v>
      </c>
      <c r="AN136" s="521" t="str">
        <f>VLOOKUP($I136,'Price List, Weapons &amp; Items'!A:K,COLUMN('Price List, Weapons &amp; Items'!$I$1),0)</f>
        <v>Media reports (incl. social media)</v>
      </c>
      <c r="AO136" s="521" t="str">
        <f>IF(I136=".",".",VLOOKUP($I136,'Price List, Weapons &amp; Items'!A:I,3,0))</f>
        <v>.</v>
      </c>
      <c r="AP136" s="517" t="str">
        <f t="shared" ca="1" si="31"/>
        <v/>
      </c>
      <c r="AQ136" s="521">
        <f>VLOOKUP($I136,'Price List, Weapons &amp; Items'!A:K,COLUMN('Price List, Weapons &amp; Items'!$K$1),0)</f>
        <v>0</v>
      </c>
      <c r="AS136" s="521">
        <f t="shared" si="35"/>
        <v>1</v>
      </c>
      <c r="AT136" s="521">
        <f t="shared" si="36"/>
        <v>0</v>
      </c>
      <c r="AU136" s="521">
        <f t="shared" si="37"/>
        <v>1</v>
      </c>
      <c r="AV136" s="521" t="str">
        <f t="shared" si="38"/>
        <v>.</v>
      </c>
    </row>
    <row r="137" spans="1:48" s="533" customFormat="1" ht="15" customHeight="1">
      <c r="A137" s="41" t="s">
        <v>627</v>
      </c>
      <c r="B137" s="41" t="s">
        <v>618</v>
      </c>
      <c r="C137" s="511">
        <v>44715</v>
      </c>
      <c r="D137" s="18" t="s">
        <v>228</v>
      </c>
      <c r="E137" s="18" t="s">
        <v>239</v>
      </c>
      <c r="F137" s="512" t="s">
        <v>628</v>
      </c>
      <c r="G137" s="39" t="s">
        <v>332</v>
      </c>
      <c r="H137" s="513">
        <v>500000</v>
      </c>
      <c r="I137" s="41" t="s">
        <v>232</v>
      </c>
      <c r="J137" s="276" t="str">
        <f>VLOOKUP($I137,'Price List, Weapons &amp; Items'!A:B,2,0)</f>
        <v>.</v>
      </c>
      <c r="K137" s="276" t="str">
        <f>IF(I137=".",I137,VLOOKUP($I137,'Price List, Weapons &amp; Items'!A:C,3,0))</f>
        <v>.</v>
      </c>
      <c r="L137" s="514">
        <f>VLOOKUP(I137,'Price List, Weapons &amp; Items'!A:D,4,0)</f>
        <v>0</v>
      </c>
      <c r="M137" s="515" t="s">
        <v>232</v>
      </c>
      <c r="N137" s="515" t="s">
        <v>232</v>
      </c>
      <c r="O137" s="516" t="str">
        <f>VLOOKUP($I137,'Price List, Weapons &amp; Items'!A:F,6,0)</f>
        <v>.</v>
      </c>
      <c r="P137" s="513" t="str">
        <f t="shared" si="28"/>
        <v>.</v>
      </c>
      <c r="Q137" s="513" t="str">
        <f t="shared" si="29"/>
        <v>.</v>
      </c>
      <c r="R137" s="513">
        <f t="shared" si="30"/>
        <v>500000</v>
      </c>
      <c r="S137" s="513">
        <f>IF(AND(AD137=1,R137&lt;&gt;".")=TRUE,R137/VLOOKUP(G137,'Exchange rates'!B:C,2,0),IF(R137=".",".",""))</f>
        <v>500000</v>
      </c>
      <c r="T137" s="513" t="str">
        <f>IF(AD137=1,IF(AF137="Value is not given at all",".",IF(AF137="Value is given by the source",S137,IF(AF137="Value is calculated with prices",(IF(SUMIFS(Q:Q,A:A,A137)&gt;0,SUMIFS(Q:Q,A:A,A137),"."))/VLOOKUP("USD",'Exchange rates'!B:C,2,0),"Error with coding"))),"")</f>
        <v>.</v>
      </c>
      <c r="U137" s="39" t="s">
        <v>372</v>
      </c>
      <c r="V137" s="42" t="s">
        <v>629</v>
      </c>
      <c r="W137" s="42" t="s">
        <v>630</v>
      </c>
      <c r="X137" s="517" t="s">
        <v>232</v>
      </c>
      <c r="Y137" s="517" t="s">
        <v>232</v>
      </c>
      <c r="Z137" s="39">
        <v>0</v>
      </c>
      <c r="AA137" s="39">
        <v>0</v>
      </c>
      <c r="AB137" s="38" t="s">
        <v>232</v>
      </c>
      <c r="AC137" s="519" t="str">
        <f>""</f>
        <v/>
      </c>
      <c r="AD137" s="522">
        <v>1</v>
      </c>
      <c r="AE137" s="522" t="s">
        <v>236</v>
      </c>
      <c r="AF137" s="522" t="s">
        <v>237</v>
      </c>
      <c r="AG137" s="522">
        <v>1</v>
      </c>
      <c r="AH137" s="520">
        <v>6</v>
      </c>
      <c r="AI137" s="520">
        <v>0</v>
      </c>
      <c r="AJ137" s="520">
        <f>VLOOKUP($I137,'Price List, Weapons &amp; Items'!A:E,5,0)</f>
        <v>0</v>
      </c>
      <c r="AK137" s="520">
        <f t="shared" si="32"/>
        <v>0</v>
      </c>
      <c r="AL137" s="520">
        <f t="shared" si="33"/>
        <v>0</v>
      </c>
      <c r="AM137" s="520">
        <f t="shared" si="34"/>
        <v>0</v>
      </c>
      <c r="AN137" s="521" t="str">
        <f>VLOOKUP($I137,'Price List, Weapons &amp; Items'!A:K,COLUMN('Price List, Weapons &amp; Items'!$I$1),0)</f>
        <v>.</v>
      </c>
      <c r="AO137" s="521" t="str">
        <f>IF(I137=".",".",VLOOKUP($I137,'Price List, Weapons &amp; Items'!A:I,3,0))</f>
        <v>.</v>
      </c>
      <c r="AP137" s="517" t="str">
        <f t="shared" ca="1" si="31"/>
        <v>.</v>
      </c>
      <c r="AQ137" s="521" t="str">
        <f>VLOOKUP($I137,'Price List, Weapons &amp; Items'!A:K,COLUMN('Price List, Weapons &amp; Items'!$K$1),0)</f>
        <v>no price, 0 count</v>
      </c>
      <c r="AS137" s="521">
        <f t="shared" si="35"/>
        <v>0</v>
      </c>
      <c r="AT137" s="521">
        <f t="shared" si="36"/>
        <v>0</v>
      </c>
      <c r="AU137" s="521">
        <f t="shared" si="37"/>
        <v>1</v>
      </c>
      <c r="AV137" s="521" t="str">
        <f t="shared" si="38"/>
        <v>.</v>
      </c>
    </row>
    <row r="138" spans="1:48" ht="15" customHeight="1">
      <c r="A138" s="41" t="s">
        <v>631</v>
      </c>
      <c r="B138" s="41" t="s">
        <v>632</v>
      </c>
      <c r="C138" s="511">
        <v>44618</v>
      </c>
      <c r="D138" s="18" t="s">
        <v>252</v>
      </c>
      <c r="E138" s="18" t="s">
        <v>261</v>
      </c>
      <c r="F138" s="512" t="s">
        <v>633</v>
      </c>
      <c r="G138" s="39" t="s">
        <v>634</v>
      </c>
      <c r="H138" s="513">
        <v>36600000</v>
      </c>
      <c r="I138" s="523" t="s">
        <v>232</v>
      </c>
      <c r="J138" s="276" t="str">
        <f>VLOOKUP($I138,'Price List, Weapons &amp; Items'!A:B,2,0)</f>
        <v>.</v>
      </c>
      <c r="K138" s="276" t="str">
        <f>IF(I138=".",I138,VLOOKUP($I138,'Price List, Weapons &amp; Items'!A:C,3,0))</f>
        <v>.</v>
      </c>
      <c r="L138" s="514">
        <f>VLOOKUP(I138,'Price List, Weapons &amp; Items'!A:D,4,0)</f>
        <v>0</v>
      </c>
      <c r="M138" s="515" t="s">
        <v>232</v>
      </c>
      <c r="N138" s="515" t="s">
        <v>232</v>
      </c>
      <c r="O138" s="516" t="str">
        <f>VLOOKUP($I138,'Price List, Weapons &amp; Items'!A:F,6,0)</f>
        <v>.</v>
      </c>
      <c r="P138" s="513" t="str">
        <f t="shared" si="28"/>
        <v>.</v>
      </c>
      <c r="Q138" s="513" t="str">
        <f t="shared" si="29"/>
        <v>.</v>
      </c>
      <c r="R138" s="513">
        <f t="shared" si="30"/>
        <v>36600000</v>
      </c>
      <c r="S138" s="513">
        <f>IF(AND(AD138=1,R138&lt;&gt;".")=TRUE,R138/VLOOKUP(G138,'Exchange rates'!B:C,2,0),IF(R138=".",".",""))</f>
        <v>1498648.7593153713</v>
      </c>
      <c r="T138" s="513">
        <f>IF(AD138=1,IF(AF138="Value is not given at all",".",IF(AF138="Value is given by the source",S138,IF(AF138="Value is calculated with prices",(IF(SUMIFS(Q:Q,A:A,A138)&gt;0,SUMIFS(Q:Q,A:A,A138),"."))/VLOOKUP("USD",'Exchange rates'!B:C,2,0),"Error with coding"))),"")</f>
        <v>1498648.7593153713</v>
      </c>
      <c r="U138" s="39" t="s">
        <v>372</v>
      </c>
      <c r="V138" s="42" t="s">
        <v>635</v>
      </c>
      <c r="W138" s="42" t="s">
        <v>636</v>
      </c>
      <c r="X138" s="517" t="s">
        <v>232</v>
      </c>
      <c r="Y138" s="517" t="s">
        <v>232</v>
      </c>
      <c r="Z138" s="39">
        <v>0</v>
      </c>
      <c r="AA138" s="518">
        <v>0</v>
      </c>
      <c r="AB138" s="395" t="s">
        <v>636</v>
      </c>
      <c r="AC138" s="519" t="str">
        <f>""</f>
        <v/>
      </c>
      <c r="AD138" s="520">
        <v>1</v>
      </c>
      <c r="AE138" s="520" t="s">
        <v>236</v>
      </c>
      <c r="AF138" s="520" t="s">
        <v>236</v>
      </c>
      <c r="AG138" s="520">
        <v>1</v>
      </c>
      <c r="AH138" s="520">
        <v>2</v>
      </c>
      <c r="AI138" s="520">
        <v>0</v>
      </c>
      <c r="AJ138" s="520">
        <f>VLOOKUP($I138,'Price List, Weapons &amp; Items'!A:E,5,0)</f>
        <v>0</v>
      </c>
      <c r="AK138" s="520">
        <f t="shared" si="32"/>
        <v>0</v>
      </c>
      <c r="AL138" s="520">
        <f t="shared" si="33"/>
        <v>0</v>
      </c>
      <c r="AM138" s="520">
        <f t="shared" si="34"/>
        <v>0</v>
      </c>
      <c r="AN138" s="521" t="str">
        <f>VLOOKUP($I138,'Price List, Weapons &amp; Items'!A:K,COLUMN('Price List, Weapons &amp; Items'!$I$1),0)</f>
        <v>.</v>
      </c>
      <c r="AO138" s="521" t="str">
        <f>IF(I138=".",".",VLOOKUP($I138,'Price List, Weapons &amp; Items'!A:I,3,0))</f>
        <v>.</v>
      </c>
      <c r="AP138" s="517" t="str">
        <f t="shared" ca="1" si="31"/>
        <v>.</v>
      </c>
      <c r="AQ138" s="521" t="str">
        <f>VLOOKUP($I138,'Price List, Weapons &amp; Items'!A:K,COLUMN('Price List, Weapons &amp; Items'!$K$1),0)</f>
        <v>no price, 0 count</v>
      </c>
      <c r="AS138" s="521">
        <f t="shared" si="35"/>
        <v>0</v>
      </c>
      <c r="AT138" s="521">
        <f t="shared" si="36"/>
        <v>1</v>
      </c>
      <c r="AU138" s="521">
        <f t="shared" si="37"/>
        <v>1</v>
      </c>
      <c r="AV138" s="521" t="str">
        <f t="shared" si="38"/>
        <v>.</v>
      </c>
    </row>
    <row r="139" spans="1:48" ht="15" customHeight="1">
      <c r="A139" s="18" t="s">
        <v>637</v>
      </c>
      <c r="B139" s="18" t="s">
        <v>632</v>
      </c>
      <c r="C139" s="511">
        <v>44618</v>
      </c>
      <c r="D139" s="541" t="s">
        <v>252</v>
      </c>
      <c r="E139" s="541" t="s">
        <v>253</v>
      </c>
      <c r="F139" s="512" t="s">
        <v>638</v>
      </c>
      <c r="G139" s="542" t="s">
        <v>634</v>
      </c>
      <c r="H139" s="513">
        <v>188106550</v>
      </c>
      <c r="I139" s="524" t="s">
        <v>639</v>
      </c>
      <c r="J139" s="276" t="str">
        <f>VLOOKUP($I139,'Price List, Weapons &amp; Items'!A:B,2,0)</f>
        <v>Light armaments &amp; infantry</v>
      </c>
      <c r="K139" s="276" t="str">
        <f>IF(I139=".",I139,VLOOKUP($I139,'Price List, Weapons &amp; Items'!A:C,3,0))</f>
        <v>Small Arms and Light Weapons (SALW)</v>
      </c>
      <c r="L139" s="514">
        <f>VLOOKUP(I139,'Price List, Weapons &amp; Items'!A:D,4,0)</f>
        <v>0</v>
      </c>
      <c r="M139" s="515">
        <v>150</v>
      </c>
      <c r="N139" s="515">
        <f t="shared" ref="N139:N150" si="39">M139</f>
        <v>150</v>
      </c>
      <c r="O139" s="516">
        <f>VLOOKUP($I139,'Price List, Weapons &amp; Items'!A:F,6,0)</f>
        <v>368.75</v>
      </c>
      <c r="P139" s="513">
        <f t="shared" si="28"/>
        <v>55312.5</v>
      </c>
      <c r="Q139" s="513">
        <f t="shared" si="29"/>
        <v>55312.5</v>
      </c>
      <c r="R139" s="513">
        <f t="shared" si="30"/>
        <v>188106550</v>
      </c>
      <c r="S139" s="513">
        <f>IF(AND(AD139=1,R139&lt;&gt;".")=TRUE,R139/VLOOKUP(G139,'Exchange rates'!B:C,2,0),IF(R139=".",".",""))</f>
        <v>7702340.1031856518</v>
      </c>
      <c r="T139" s="513">
        <f>IF(AD139=1,IF(AF139="Value is not given at all",".",IF(AF139="Value is given by the source",S139,IF(AF139="Value is calculated with prices",(IF(SUMIFS(Q:Q,A:A,A139)&gt;0,SUMIFS(Q:Q,A:A,A139),"."))/VLOOKUP("USD",'Exchange rates'!B:C,2,0),"Error with coding"))),"")</f>
        <v>7702340.1031856518</v>
      </c>
      <c r="U139" s="542" t="s">
        <v>372</v>
      </c>
      <c r="V139" s="380" t="s">
        <v>640</v>
      </c>
      <c r="W139" s="586" t="s">
        <v>232</v>
      </c>
      <c r="X139" s="586" t="s">
        <v>232</v>
      </c>
      <c r="Y139" s="586" t="s">
        <v>232</v>
      </c>
      <c r="Z139" s="39">
        <v>0</v>
      </c>
      <c r="AA139" s="518">
        <v>0</v>
      </c>
      <c r="AB139" s="394" t="s">
        <v>640</v>
      </c>
      <c r="AC139" s="519" t="str">
        <f>""</f>
        <v/>
      </c>
      <c r="AD139" s="520">
        <v>1</v>
      </c>
      <c r="AE139" s="520" t="s">
        <v>236</v>
      </c>
      <c r="AF139" s="520" t="s">
        <v>236</v>
      </c>
      <c r="AG139" s="520">
        <v>1</v>
      </c>
      <c r="AH139" s="520">
        <v>2</v>
      </c>
      <c r="AI139" s="520">
        <v>0</v>
      </c>
      <c r="AJ139" s="520">
        <f>VLOOKUP($I139,'Price List, Weapons &amp; Items'!A:E,5,0)</f>
        <v>0</v>
      </c>
      <c r="AK139" s="520">
        <f t="shared" si="32"/>
        <v>0</v>
      </c>
      <c r="AL139" s="520">
        <f t="shared" si="33"/>
        <v>0</v>
      </c>
      <c r="AM139" s="520">
        <f t="shared" si="34"/>
        <v>0</v>
      </c>
      <c r="AN139" s="521" t="str">
        <f>VLOOKUP($I139,'Price List, Weapons &amp; Items'!A:K,COLUMN('Price List, Weapons &amp; Items'!$I$1),0)</f>
        <v>Online marketplaces and stores</v>
      </c>
      <c r="AO139" s="521" t="str">
        <f>IF(I139=".",".",VLOOKUP($I139,'Price List, Weapons &amp; Items'!A:I,3,0))</f>
        <v>Small Arms and Light Weapons (SALW)</v>
      </c>
      <c r="AP139" s="517" t="str">
        <f t="shared" ca="1" si="31"/>
        <v>9mm pistol vz. 82; 7.62 mm assault rifle vz. 58; hub NB 7.62-43; hub NB 7.62-SV 43; 7.65mm submachine gun vz. 61 Scorpio; hub NB 7.65-Browning; 7.62 mm universal machine gun vz.59; 7.62 mm sniper rifle Dragunov; hub NB 7,62-59 (TŽ, OKRAJ.); hub NB 7,62-SV 59 (TŽ-SV); hub NB 7,62-PZ 59 (PZ EDGE); 12.7mm sniper rifle Falcon</v>
      </c>
      <c r="AQ139" s="521">
        <f>VLOOKUP($I139,'Price List, Weapons &amp; Items'!A:K,COLUMN('Price List, Weapons &amp; Items'!$K$1),0)</f>
        <v>1</v>
      </c>
      <c r="AS139" s="521">
        <f t="shared" si="35"/>
        <v>0</v>
      </c>
      <c r="AT139" s="521">
        <f t="shared" si="36"/>
        <v>1</v>
      </c>
      <c r="AU139" s="521">
        <f t="shared" si="37"/>
        <v>1</v>
      </c>
      <c r="AV139" s="521" t="str">
        <f t="shared" si="38"/>
        <v>.</v>
      </c>
    </row>
    <row r="140" spans="1:48" ht="15" customHeight="1">
      <c r="A140" s="18" t="s">
        <v>637</v>
      </c>
      <c r="B140" s="18" t="s">
        <v>632</v>
      </c>
      <c r="C140" s="511">
        <v>44618</v>
      </c>
      <c r="D140" s="18" t="s">
        <v>252</v>
      </c>
      <c r="E140" s="18" t="s">
        <v>253</v>
      </c>
      <c r="F140" s="512" t="s">
        <v>638</v>
      </c>
      <c r="G140" s="39" t="s">
        <v>634</v>
      </c>
      <c r="H140" s="513">
        <v>188106550</v>
      </c>
      <c r="I140" s="524" t="s">
        <v>641</v>
      </c>
      <c r="J140" s="276" t="str">
        <f>VLOOKUP($I140,'Price List, Weapons &amp; Items'!A:B,2,0)</f>
        <v>Light armaments &amp; infantry</v>
      </c>
      <c r="K140" s="276" t="str">
        <f>IF(I140=".",I140,VLOOKUP($I140,'Price List, Weapons &amp; Items'!A:C,3,0))</f>
        <v>Small Arms and Light Weapons (SALW)</v>
      </c>
      <c r="L140" s="514">
        <f>VLOOKUP(I140,'Price List, Weapons &amp; Items'!A:D,4,0)</f>
        <v>1</v>
      </c>
      <c r="M140" s="515">
        <v>5000</v>
      </c>
      <c r="N140" s="515">
        <f t="shared" si="39"/>
        <v>5000</v>
      </c>
      <c r="O140" s="516">
        <f>VLOOKUP($I140,'Price List, Weapons &amp; Items'!A:F,6,0)</f>
        <v>1266</v>
      </c>
      <c r="P140" s="513">
        <f t="shared" si="28"/>
        <v>6330000</v>
      </c>
      <c r="Q140" s="513">
        <f t="shared" si="29"/>
        <v>6330000</v>
      </c>
      <c r="R140" s="513" t="str">
        <f t="shared" si="30"/>
        <v/>
      </c>
      <c r="S140" s="513" t="str">
        <f>IF(AND(AD140=1,R140&lt;&gt;".")=TRUE,R140/VLOOKUP(G140,'Exchange rates'!B:C,2,0),IF(R140=".",".",""))</f>
        <v/>
      </c>
      <c r="T140" s="513" t="str">
        <f>IF(AD140=1,IF(AF140="Value is not given at all",".",IF(AF140="Value is given by the source",S140,IF(AF140="Value is calculated with prices",(IF(SUMIFS(Q:Q,A:A,A140)&gt;0,SUMIFS(Q:Q,A:A,A140),"."))/VLOOKUP("USD",'Exchange rates'!B:C,2,0),"Error with coding"))),"")</f>
        <v/>
      </c>
      <c r="U140" s="39" t="s">
        <v>372</v>
      </c>
      <c r="V140" s="376" t="s">
        <v>640</v>
      </c>
      <c r="W140" s="530" t="s">
        <v>232</v>
      </c>
      <c r="X140" s="530" t="s">
        <v>232</v>
      </c>
      <c r="Y140" s="530" t="s">
        <v>232</v>
      </c>
      <c r="Z140" s="39">
        <v>0</v>
      </c>
      <c r="AA140" s="518">
        <v>0</v>
      </c>
      <c r="AB140" s="394" t="s">
        <v>640</v>
      </c>
      <c r="AC140" s="519" t="str">
        <f>""</f>
        <v/>
      </c>
      <c r="AD140" s="520">
        <v>0</v>
      </c>
      <c r="AE140" s="520" t="s">
        <v>236</v>
      </c>
      <c r="AF140" s="520" t="s">
        <v>236</v>
      </c>
      <c r="AG140" s="520">
        <v>1</v>
      </c>
      <c r="AH140" s="520">
        <v>2</v>
      </c>
      <c r="AI140" s="520">
        <v>0</v>
      </c>
      <c r="AJ140" s="520">
        <f>VLOOKUP($I140,'Price List, Weapons &amp; Items'!A:E,5,0)</f>
        <v>0</v>
      </c>
      <c r="AK140" s="520">
        <f t="shared" si="32"/>
        <v>0</v>
      </c>
      <c r="AL140" s="520">
        <f t="shared" si="33"/>
        <v>0</v>
      </c>
      <c r="AM140" s="520">
        <f t="shared" si="34"/>
        <v>0</v>
      </c>
      <c r="AN140" s="521" t="str">
        <f>VLOOKUP($I140,'Price List, Weapons &amp; Items'!A:K,COLUMN('Price List, Weapons &amp; Items'!$I$1),0)</f>
        <v>Miscellaneous</v>
      </c>
      <c r="AO140" s="521" t="str">
        <f>IF(I140=".",".",VLOOKUP($I140,'Price List, Weapons &amp; Items'!A:I,3,0))</f>
        <v>Small Arms and Light Weapons (SALW)</v>
      </c>
      <c r="AP140" s="517" t="str">
        <f t="shared" ca="1" si="31"/>
        <v/>
      </c>
      <c r="AQ140" s="521">
        <f>VLOOKUP($I140,'Price List, Weapons &amp; Items'!A:K,COLUMN('Price List, Weapons &amp; Items'!$K$1),0)</f>
        <v>2</v>
      </c>
      <c r="AS140" s="521">
        <f t="shared" si="35"/>
        <v>0</v>
      </c>
      <c r="AT140" s="521">
        <f t="shared" si="36"/>
        <v>1</v>
      </c>
      <c r="AU140" s="521">
        <f t="shared" si="37"/>
        <v>1</v>
      </c>
      <c r="AV140" s="521" t="str">
        <f t="shared" si="38"/>
        <v>.</v>
      </c>
    </row>
    <row r="141" spans="1:48" ht="15" customHeight="1">
      <c r="A141" s="18" t="s">
        <v>637</v>
      </c>
      <c r="B141" s="18" t="s">
        <v>632</v>
      </c>
      <c r="C141" s="511">
        <v>44618</v>
      </c>
      <c r="D141" s="18" t="s">
        <v>252</v>
      </c>
      <c r="E141" s="18" t="s">
        <v>253</v>
      </c>
      <c r="F141" s="512" t="s">
        <v>638</v>
      </c>
      <c r="G141" s="39" t="s">
        <v>634</v>
      </c>
      <c r="H141" s="513">
        <v>188106550</v>
      </c>
      <c r="I141" s="524" t="s">
        <v>642</v>
      </c>
      <c r="J141" s="276" t="str">
        <f>VLOOKUP($I141,'Price List, Weapons &amp; Items'!A:B,2,0)</f>
        <v>Ammunition for light infantry</v>
      </c>
      <c r="K141" s="276" t="str">
        <f>IF(I141=".",I141,VLOOKUP($I141,'Price List, Weapons &amp; Items'!A:C,3,0))</f>
        <v>Small Arms and Light Weapons (SALW) ammunition</v>
      </c>
      <c r="L141" s="514">
        <f>VLOOKUP(I141,'Price List, Weapons &amp; Items'!A:D,4,0)</f>
        <v>1</v>
      </c>
      <c r="M141" s="515">
        <v>500000</v>
      </c>
      <c r="N141" s="515">
        <f t="shared" si="39"/>
        <v>500000</v>
      </c>
      <c r="O141" s="516">
        <f>VLOOKUP($I141,'Price List, Weapons &amp; Items'!A:F,6,0)</f>
        <v>0.4</v>
      </c>
      <c r="P141" s="513">
        <f t="shared" si="28"/>
        <v>200000</v>
      </c>
      <c r="Q141" s="513">
        <f t="shared" si="29"/>
        <v>200000</v>
      </c>
      <c r="R141" s="513" t="str">
        <f t="shared" si="30"/>
        <v/>
      </c>
      <c r="S141" s="513" t="str">
        <f>IF(AND(AD141=1,R141&lt;&gt;".")=TRUE,R141/VLOOKUP(G141,'Exchange rates'!B:C,2,0),IF(R141=".",".",""))</f>
        <v/>
      </c>
      <c r="T141" s="513" t="str">
        <f>IF(AD141=1,IF(AF141="Value is not given at all",".",IF(AF141="Value is given by the source",S141,IF(AF141="Value is calculated with prices",(IF(SUMIFS(Q:Q,A:A,A141)&gt;0,SUMIFS(Q:Q,A:A,A141),"."))/VLOOKUP("USD",'Exchange rates'!B:C,2,0),"Error with coding"))),"")</f>
        <v/>
      </c>
      <c r="U141" s="39" t="s">
        <v>372</v>
      </c>
      <c r="V141" s="376" t="s">
        <v>640</v>
      </c>
      <c r="W141" s="530" t="s">
        <v>232</v>
      </c>
      <c r="X141" s="530" t="s">
        <v>232</v>
      </c>
      <c r="Y141" s="530" t="s">
        <v>232</v>
      </c>
      <c r="Z141" s="39">
        <v>0</v>
      </c>
      <c r="AA141" s="518">
        <v>0</v>
      </c>
      <c r="AB141" s="394" t="s">
        <v>640</v>
      </c>
      <c r="AC141" s="519" t="str">
        <f>""</f>
        <v/>
      </c>
      <c r="AD141" s="520">
        <v>0</v>
      </c>
      <c r="AE141" s="520" t="s">
        <v>236</v>
      </c>
      <c r="AF141" s="520" t="s">
        <v>236</v>
      </c>
      <c r="AG141" s="520">
        <v>1</v>
      </c>
      <c r="AH141" s="520">
        <v>2</v>
      </c>
      <c r="AI141" s="520">
        <v>0</v>
      </c>
      <c r="AJ141" s="520">
        <f>VLOOKUP($I141,'Price List, Weapons &amp; Items'!A:E,5,0)</f>
        <v>0</v>
      </c>
      <c r="AK141" s="520">
        <f t="shared" si="32"/>
        <v>0</v>
      </c>
      <c r="AL141" s="520">
        <f t="shared" si="33"/>
        <v>0</v>
      </c>
      <c r="AM141" s="520">
        <f t="shared" si="34"/>
        <v>0</v>
      </c>
      <c r="AN141" s="521" t="str">
        <f>VLOOKUP($I141,'Price List, Weapons &amp; Items'!A:K,COLUMN('Price List, Weapons &amp; Items'!$I$1),0)</f>
        <v>Online marketplaces and stores</v>
      </c>
      <c r="AO141" s="521" t="str">
        <f>IF(I141=".",".",VLOOKUP($I141,'Price List, Weapons &amp; Items'!A:I,3,0))</f>
        <v>Small Arms and Light Weapons (SALW) ammunition</v>
      </c>
      <c r="AP141" s="517" t="str">
        <f t="shared" ca="1" si="31"/>
        <v/>
      </c>
      <c r="AQ141" s="521">
        <f>VLOOKUP($I141,'Price List, Weapons &amp; Items'!A:K,COLUMN('Price List, Weapons &amp; Items'!$K$1),0)</f>
        <v>1</v>
      </c>
      <c r="AS141" s="521">
        <f t="shared" si="35"/>
        <v>0</v>
      </c>
      <c r="AT141" s="521">
        <f t="shared" si="36"/>
        <v>1</v>
      </c>
      <c r="AU141" s="521">
        <f t="shared" si="37"/>
        <v>1</v>
      </c>
      <c r="AV141" s="521" t="str">
        <f t="shared" si="38"/>
        <v>.</v>
      </c>
    </row>
    <row r="142" spans="1:48" ht="15" customHeight="1">
      <c r="A142" s="18" t="s">
        <v>637</v>
      </c>
      <c r="B142" s="18" t="s">
        <v>632</v>
      </c>
      <c r="C142" s="511">
        <v>44618</v>
      </c>
      <c r="D142" s="18" t="s">
        <v>252</v>
      </c>
      <c r="E142" s="18" t="s">
        <v>253</v>
      </c>
      <c r="F142" s="512" t="s">
        <v>638</v>
      </c>
      <c r="G142" s="39" t="s">
        <v>634</v>
      </c>
      <c r="H142" s="513">
        <v>188106550</v>
      </c>
      <c r="I142" s="524" t="s">
        <v>643</v>
      </c>
      <c r="J142" s="276" t="str">
        <f>VLOOKUP($I142,'Price List, Weapons &amp; Items'!A:B,2,0)</f>
        <v>Ammunition for light infantry</v>
      </c>
      <c r="K142" s="276" t="str">
        <f>IF(I142=".",I142,VLOOKUP($I142,'Price List, Weapons &amp; Items'!A:C,3,0))</f>
        <v>Small Arms and Light Weapons (SALW) ammunition</v>
      </c>
      <c r="L142" s="514">
        <f>VLOOKUP(I142,'Price List, Weapons &amp; Items'!A:D,4,0)</f>
        <v>1</v>
      </c>
      <c r="M142" s="515">
        <v>125000</v>
      </c>
      <c r="N142" s="515">
        <f t="shared" si="39"/>
        <v>125000</v>
      </c>
      <c r="O142" s="516">
        <f>VLOOKUP($I142,'Price List, Weapons &amp; Items'!A:F,6,0)</f>
        <v>1.625</v>
      </c>
      <c r="P142" s="513">
        <f t="shared" si="28"/>
        <v>203125</v>
      </c>
      <c r="Q142" s="513">
        <f t="shared" si="29"/>
        <v>203125</v>
      </c>
      <c r="R142" s="513" t="str">
        <f t="shared" si="30"/>
        <v/>
      </c>
      <c r="S142" s="513" t="str">
        <f>IF(AND(AD142=1,R142&lt;&gt;".")=TRUE,R142/VLOOKUP(G142,'Exchange rates'!B:C,2,0),IF(R142=".",".",""))</f>
        <v/>
      </c>
      <c r="T142" s="513" t="str">
        <f>IF(AD142=1,IF(AF142="Value is not given at all",".",IF(AF142="Value is given by the source",S142,IF(AF142="Value is calculated with prices",(IF(SUMIFS(Q:Q,A:A,A142)&gt;0,SUMIFS(Q:Q,A:A,A142),"."))/VLOOKUP("USD",'Exchange rates'!B:C,2,0),"Error with coding"))),"")</f>
        <v/>
      </c>
      <c r="U142" s="39" t="s">
        <v>372</v>
      </c>
      <c r="V142" s="376" t="s">
        <v>640</v>
      </c>
      <c r="W142" s="530" t="s">
        <v>232</v>
      </c>
      <c r="X142" s="530" t="s">
        <v>232</v>
      </c>
      <c r="Y142" s="530" t="s">
        <v>232</v>
      </c>
      <c r="Z142" s="39">
        <v>0</v>
      </c>
      <c r="AA142" s="518">
        <v>0</v>
      </c>
      <c r="AB142" s="394" t="s">
        <v>640</v>
      </c>
      <c r="AC142" s="519" t="str">
        <f>""</f>
        <v/>
      </c>
      <c r="AD142" s="520">
        <v>0</v>
      </c>
      <c r="AE142" s="520" t="s">
        <v>236</v>
      </c>
      <c r="AF142" s="520" t="s">
        <v>236</v>
      </c>
      <c r="AG142" s="520">
        <v>1</v>
      </c>
      <c r="AH142" s="520">
        <v>2</v>
      </c>
      <c r="AI142" s="520">
        <v>0</v>
      </c>
      <c r="AJ142" s="520">
        <f>VLOOKUP($I142,'Price List, Weapons &amp; Items'!A:E,5,0)</f>
        <v>0</v>
      </c>
      <c r="AK142" s="520">
        <f t="shared" si="32"/>
        <v>0</v>
      </c>
      <c r="AL142" s="520">
        <f t="shared" si="33"/>
        <v>0</v>
      </c>
      <c r="AM142" s="520">
        <f t="shared" si="34"/>
        <v>0</v>
      </c>
      <c r="AN142" s="521" t="str">
        <f>VLOOKUP($I142,'Price List, Weapons &amp; Items'!A:K,COLUMN('Price List, Weapons &amp; Items'!$I$1),0)</f>
        <v>Online marketplaces and stores</v>
      </c>
      <c r="AO142" s="521" t="str">
        <f>IF(I142=".",".",VLOOKUP($I142,'Price List, Weapons &amp; Items'!A:I,3,0))</f>
        <v>Small Arms and Light Weapons (SALW) ammunition</v>
      </c>
      <c r="AP142" s="517" t="str">
        <f t="shared" ca="1" si="31"/>
        <v/>
      </c>
      <c r="AQ142" s="521">
        <f>VLOOKUP($I142,'Price List, Weapons &amp; Items'!A:K,COLUMN('Price List, Weapons &amp; Items'!$K$1),0)</f>
        <v>1</v>
      </c>
      <c r="AS142" s="521">
        <f t="shared" si="35"/>
        <v>0</v>
      </c>
      <c r="AT142" s="521">
        <f t="shared" si="36"/>
        <v>1</v>
      </c>
      <c r="AU142" s="521">
        <f t="shared" si="37"/>
        <v>1</v>
      </c>
      <c r="AV142" s="521" t="str">
        <f t="shared" si="38"/>
        <v>.</v>
      </c>
    </row>
    <row r="143" spans="1:48" ht="15" customHeight="1">
      <c r="A143" s="18" t="s">
        <v>637</v>
      </c>
      <c r="B143" s="18" t="s">
        <v>632</v>
      </c>
      <c r="C143" s="511">
        <v>44618</v>
      </c>
      <c r="D143" s="18" t="s">
        <v>252</v>
      </c>
      <c r="E143" s="18" t="s">
        <v>253</v>
      </c>
      <c r="F143" s="512" t="s">
        <v>638</v>
      </c>
      <c r="G143" s="39" t="s">
        <v>634</v>
      </c>
      <c r="H143" s="513">
        <v>188106550</v>
      </c>
      <c r="I143" s="524" t="s">
        <v>644</v>
      </c>
      <c r="J143" s="276" t="str">
        <f>VLOOKUP($I143,'Price List, Weapons &amp; Items'!A:B,2,0)</f>
        <v>Light armaments &amp; infantry</v>
      </c>
      <c r="K143" s="276" t="str">
        <f>IF(I143=".",I143,VLOOKUP($I143,'Price List, Weapons &amp; Items'!A:C,3,0))</f>
        <v>Small Arms and Light Weapons (SALW) ammunition</v>
      </c>
      <c r="L143" s="514">
        <f>VLOOKUP(I143,'Price List, Weapons &amp; Items'!A:D,4,0)</f>
        <v>1</v>
      </c>
      <c r="M143" s="515">
        <v>2085</v>
      </c>
      <c r="N143" s="515">
        <f t="shared" si="39"/>
        <v>2085</v>
      </c>
      <c r="O143" s="516">
        <f>VLOOKUP($I143,'Price List, Weapons &amp; Items'!A:F,6,0)</f>
        <v>705</v>
      </c>
      <c r="P143" s="513">
        <f t="shared" ref="P143:P213" si="40">IF(TYPE(M143)=1,IF(TYPE(O143)=1,M143*O143,"No price"),".")</f>
        <v>1469925</v>
      </c>
      <c r="Q143" s="513">
        <f t="shared" ref="Q143:Q213" si="41">IF(TYPE(N143)=1,IF(TYPE(O143)=1,N143*O143,"No price"),".")</f>
        <v>1469925</v>
      </c>
      <c r="R143" s="513" t="str">
        <f t="shared" si="30"/>
        <v/>
      </c>
      <c r="S143" s="513" t="str">
        <f>IF(AND(AD143=1,R143&lt;&gt;".")=TRUE,R143/VLOOKUP(G143,'Exchange rates'!B:C,2,0),IF(R143=".",".",""))</f>
        <v/>
      </c>
      <c r="T143" s="513" t="str">
        <f>IF(AD143=1,IF(AF143="Value is not given at all",".",IF(AF143="Value is given by the source",S143,IF(AF143="Value is calculated with prices",(IF(SUMIFS(Q:Q,A:A,A143)&gt;0,SUMIFS(Q:Q,A:A,A143),"."))/VLOOKUP("USD",'Exchange rates'!B:C,2,0),"Error with coding"))),"")</f>
        <v/>
      </c>
      <c r="U143" s="39" t="s">
        <v>372</v>
      </c>
      <c r="V143" s="376" t="s">
        <v>640</v>
      </c>
      <c r="W143" s="530" t="s">
        <v>232</v>
      </c>
      <c r="X143" s="530" t="s">
        <v>232</v>
      </c>
      <c r="Y143" s="530" t="s">
        <v>232</v>
      </c>
      <c r="Z143" s="39">
        <v>0</v>
      </c>
      <c r="AA143" s="518">
        <v>0</v>
      </c>
      <c r="AB143" s="394" t="s">
        <v>640</v>
      </c>
      <c r="AC143" s="519" t="str">
        <f>""</f>
        <v/>
      </c>
      <c r="AD143" s="520">
        <v>0</v>
      </c>
      <c r="AE143" s="520" t="s">
        <v>236</v>
      </c>
      <c r="AF143" s="520" t="s">
        <v>236</v>
      </c>
      <c r="AG143" s="520">
        <v>1</v>
      </c>
      <c r="AH143" s="520">
        <v>2</v>
      </c>
      <c r="AI143" s="520">
        <v>0</v>
      </c>
      <c r="AJ143" s="520">
        <f>VLOOKUP($I143,'Price List, Weapons &amp; Items'!A:E,5,0)</f>
        <v>0</v>
      </c>
      <c r="AK143" s="520">
        <f t="shared" si="32"/>
        <v>0</v>
      </c>
      <c r="AL143" s="520">
        <f t="shared" si="33"/>
        <v>0</v>
      </c>
      <c r="AM143" s="520">
        <f t="shared" si="34"/>
        <v>0</v>
      </c>
      <c r="AN143" s="521" t="str">
        <f>VLOOKUP($I143,'Price List, Weapons &amp; Items'!A:K,COLUMN('Price List, Weapons &amp; Items'!$I$1),0)</f>
        <v>Online marketplaces and stores</v>
      </c>
      <c r="AO143" s="521" t="str">
        <f>IF(I143=".",".",VLOOKUP($I143,'Price List, Weapons &amp; Items'!A:I,3,0))</f>
        <v>Small Arms and Light Weapons (SALW) ammunition</v>
      </c>
      <c r="AP143" s="517" t="str">
        <f t="shared" ca="1" si="31"/>
        <v/>
      </c>
      <c r="AQ143" s="521">
        <f>VLOOKUP($I143,'Price List, Weapons &amp; Items'!A:K,COLUMN('Price List, Weapons &amp; Items'!$K$1),0)</f>
        <v>2</v>
      </c>
      <c r="AS143" s="521">
        <f t="shared" si="35"/>
        <v>0</v>
      </c>
      <c r="AT143" s="521">
        <f t="shared" si="36"/>
        <v>1</v>
      </c>
      <c r="AU143" s="521">
        <f t="shared" si="37"/>
        <v>1</v>
      </c>
      <c r="AV143" s="521" t="str">
        <f t="shared" si="38"/>
        <v>.</v>
      </c>
    </row>
    <row r="144" spans="1:48" ht="15" customHeight="1">
      <c r="A144" s="18" t="s">
        <v>637</v>
      </c>
      <c r="B144" s="18" t="s">
        <v>632</v>
      </c>
      <c r="C144" s="511">
        <v>44618</v>
      </c>
      <c r="D144" s="18" t="s">
        <v>252</v>
      </c>
      <c r="E144" s="18" t="s">
        <v>253</v>
      </c>
      <c r="F144" s="512" t="s">
        <v>638</v>
      </c>
      <c r="G144" s="39" t="s">
        <v>634</v>
      </c>
      <c r="H144" s="513">
        <v>188106550</v>
      </c>
      <c r="I144" s="524" t="s">
        <v>645</v>
      </c>
      <c r="J144" s="276" t="str">
        <f>VLOOKUP($I144,'Price List, Weapons &amp; Items'!A:B,2,0)</f>
        <v>Ammunition for light infantry</v>
      </c>
      <c r="K144" s="276" t="str">
        <f>IF(I144=".",I144,VLOOKUP($I144,'Price List, Weapons &amp; Items'!A:C,3,0))</f>
        <v>Small Arms and Light Weapons (SALW) ammunition</v>
      </c>
      <c r="L144" s="514">
        <f>VLOOKUP(I144,'Price List, Weapons &amp; Items'!A:D,4,0)</f>
        <v>0</v>
      </c>
      <c r="M144" s="515">
        <v>1000000</v>
      </c>
      <c r="N144" s="515">
        <f t="shared" si="39"/>
        <v>1000000</v>
      </c>
      <c r="O144" s="516">
        <f>VLOOKUP($I144,'Price List, Weapons &amp; Items'!A:F,6,0)</f>
        <v>0.5</v>
      </c>
      <c r="P144" s="513">
        <f t="shared" si="40"/>
        <v>500000</v>
      </c>
      <c r="Q144" s="513">
        <f t="shared" si="41"/>
        <v>500000</v>
      </c>
      <c r="R144" s="513" t="str">
        <f t="shared" si="30"/>
        <v/>
      </c>
      <c r="S144" s="513" t="str">
        <f>IF(AND(AD144=1,R144&lt;&gt;".")=TRUE,R144/VLOOKUP(G144,'Exchange rates'!B:C,2,0),IF(R144=".",".",""))</f>
        <v/>
      </c>
      <c r="T144" s="513" t="str">
        <f>IF(AD144=1,IF(AF144="Value is not given at all",".",IF(AF144="Value is given by the source",S144,IF(AF144="Value is calculated with prices",(IF(SUMIFS(Q:Q,A:A,A144)&gt;0,SUMIFS(Q:Q,A:A,A144),"."))/VLOOKUP("USD",'Exchange rates'!B:C,2,0),"Error with coding"))),"")</f>
        <v/>
      </c>
      <c r="U144" s="39" t="s">
        <v>372</v>
      </c>
      <c r="V144" s="376" t="s">
        <v>640</v>
      </c>
      <c r="W144" s="530" t="s">
        <v>232</v>
      </c>
      <c r="X144" s="530" t="s">
        <v>232</v>
      </c>
      <c r="Y144" s="530" t="s">
        <v>232</v>
      </c>
      <c r="Z144" s="39">
        <v>0</v>
      </c>
      <c r="AA144" s="518">
        <v>0</v>
      </c>
      <c r="AB144" s="394" t="s">
        <v>640</v>
      </c>
      <c r="AC144" s="519" t="str">
        <f>""</f>
        <v/>
      </c>
      <c r="AD144" s="520">
        <v>0</v>
      </c>
      <c r="AE144" s="520" t="s">
        <v>236</v>
      </c>
      <c r="AF144" s="520" t="s">
        <v>236</v>
      </c>
      <c r="AG144" s="520">
        <v>1</v>
      </c>
      <c r="AH144" s="520">
        <v>2</v>
      </c>
      <c r="AI144" s="520">
        <v>0</v>
      </c>
      <c r="AJ144" s="520">
        <f>VLOOKUP($I144,'Price List, Weapons &amp; Items'!A:E,5,0)</f>
        <v>0</v>
      </c>
      <c r="AK144" s="520">
        <f t="shared" si="32"/>
        <v>0</v>
      </c>
      <c r="AL144" s="520">
        <f t="shared" si="33"/>
        <v>0</v>
      </c>
      <c r="AM144" s="520">
        <f t="shared" si="34"/>
        <v>0</v>
      </c>
      <c r="AN144" s="521" t="str">
        <f>VLOOKUP($I144,'Price List, Weapons &amp; Items'!A:K,COLUMN('Price List, Weapons &amp; Items'!$I$1),0)</f>
        <v>Online marketplaces and stores</v>
      </c>
      <c r="AO144" s="521" t="str">
        <f>IF(I144=".",".",VLOOKUP($I144,'Price List, Weapons &amp; Items'!A:I,3,0))</f>
        <v>Small Arms and Light Weapons (SALW) ammunition</v>
      </c>
      <c r="AP144" s="517" t="str">
        <f t="shared" ca="1" si="31"/>
        <v/>
      </c>
      <c r="AQ144" s="521">
        <f>VLOOKUP($I144,'Price List, Weapons &amp; Items'!A:K,COLUMN('Price List, Weapons &amp; Items'!$K$1),0)</f>
        <v>1</v>
      </c>
      <c r="AS144" s="521">
        <f t="shared" si="35"/>
        <v>0</v>
      </c>
      <c r="AT144" s="521">
        <f t="shared" si="36"/>
        <v>1</v>
      </c>
      <c r="AU144" s="521">
        <f t="shared" si="37"/>
        <v>1</v>
      </c>
      <c r="AV144" s="521" t="str">
        <f t="shared" si="38"/>
        <v>.</v>
      </c>
    </row>
    <row r="145" spans="1:48" ht="15" customHeight="1">
      <c r="A145" s="18" t="s">
        <v>637</v>
      </c>
      <c r="B145" s="18" t="s">
        <v>632</v>
      </c>
      <c r="C145" s="511">
        <v>44618</v>
      </c>
      <c r="D145" s="18" t="s">
        <v>252</v>
      </c>
      <c r="E145" s="18" t="s">
        <v>253</v>
      </c>
      <c r="F145" s="512" t="s">
        <v>638</v>
      </c>
      <c r="G145" s="39" t="s">
        <v>634</v>
      </c>
      <c r="H145" s="513">
        <v>188106550</v>
      </c>
      <c r="I145" s="524" t="s">
        <v>646</v>
      </c>
      <c r="J145" s="276" t="str">
        <f>VLOOKUP($I145,'Price List, Weapons &amp; Items'!A:B,2,0)</f>
        <v>Light armaments &amp; infantry</v>
      </c>
      <c r="K145" s="276" t="str">
        <f>IF(I145=".",I145,VLOOKUP($I145,'Price List, Weapons &amp; Items'!A:C,3,0))</f>
        <v>Small Arms and Light Weapons (SALW)</v>
      </c>
      <c r="L145" s="514">
        <f>VLOOKUP(I145,'Price List, Weapons &amp; Items'!A:D,4,0)</f>
        <v>0</v>
      </c>
      <c r="M145" s="515">
        <v>3200</v>
      </c>
      <c r="N145" s="515">
        <f t="shared" si="39"/>
        <v>3200</v>
      </c>
      <c r="O145" s="516">
        <f>VLOOKUP($I145,'Price List, Weapons &amp; Items'!A:F,6,0)</f>
        <v>5175</v>
      </c>
      <c r="P145" s="513">
        <f t="shared" si="40"/>
        <v>16560000</v>
      </c>
      <c r="Q145" s="513">
        <f t="shared" si="41"/>
        <v>16560000</v>
      </c>
      <c r="R145" s="513" t="str">
        <f t="shared" si="30"/>
        <v/>
      </c>
      <c r="S145" s="513" t="str">
        <f>IF(AND(AD145=1,R145&lt;&gt;".")=TRUE,R145/VLOOKUP(G145,'Exchange rates'!B:C,2,0),IF(R145=".",".",""))</f>
        <v/>
      </c>
      <c r="T145" s="513" t="str">
        <f>IF(AD145=1,IF(AF145="Value is not given at all",".",IF(AF145="Value is given by the source",S145,IF(AF145="Value is calculated with prices",(IF(SUMIFS(Q:Q,A:A,A145)&gt;0,SUMIFS(Q:Q,A:A,A145),"."))/VLOOKUP("USD",'Exchange rates'!B:C,2,0),"Error with coding"))),"")</f>
        <v/>
      </c>
      <c r="U145" s="39" t="s">
        <v>372</v>
      </c>
      <c r="V145" s="376" t="s">
        <v>640</v>
      </c>
      <c r="W145" s="530" t="s">
        <v>232</v>
      </c>
      <c r="X145" s="530" t="s">
        <v>232</v>
      </c>
      <c r="Y145" s="530" t="s">
        <v>232</v>
      </c>
      <c r="Z145" s="39">
        <v>0</v>
      </c>
      <c r="AA145" s="518">
        <v>0</v>
      </c>
      <c r="AB145" s="394" t="s">
        <v>640</v>
      </c>
      <c r="AC145" s="519" t="str">
        <f>""</f>
        <v/>
      </c>
      <c r="AD145" s="520">
        <v>0</v>
      </c>
      <c r="AE145" s="520" t="s">
        <v>236</v>
      </c>
      <c r="AF145" s="520" t="s">
        <v>236</v>
      </c>
      <c r="AG145" s="520">
        <v>1</v>
      </c>
      <c r="AH145" s="520">
        <v>2</v>
      </c>
      <c r="AI145" s="520">
        <v>0</v>
      </c>
      <c r="AJ145" s="520">
        <f>VLOOKUP($I145,'Price List, Weapons &amp; Items'!A:E,5,0)</f>
        <v>0</v>
      </c>
      <c r="AK145" s="520">
        <f t="shared" si="32"/>
        <v>0</v>
      </c>
      <c r="AL145" s="520">
        <f t="shared" si="33"/>
        <v>0</v>
      </c>
      <c r="AM145" s="520">
        <f t="shared" si="34"/>
        <v>0</v>
      </c>
      <c r="AN145" s="521" t="str">
        <f>VLOOKUP($I145,'Price List, Weapons &amp; Items'!A:K,COLUMN('Price List, Weapons &amp; Items'!$I$1),0)</f>
        <v>Online marketplaces and stores</v>
      </c>
      <c r="AO145" s="521" t="str">
        <f>IF(I145=".",".",VLOOKUP($I145,'Price List, Weapons &amp; Items'!A:I,3,0))</f>
        <v>Small Arms and Light Weapons (SALW)</v>
      </c>
      <c r="AP145" s="517" t="str">
        <f t="shared" ca="1" si="31"/>
        <v/>
      </c>
      <c r="AQ145" s="521">
        <f>VLOOKUP($I145,'Price List, Weapons &amp; Items'!A:K,COLUMN('Price List, Weapons &amp; Items'!$K$1),0)</f>
        <v>2</v>
      </c>
      <c r="AS145" s="521">
        <f t="shared" si="35"/>
        <v>0</v>
      </c>
      <c r="AT145" s="521">
        <f t="shared" si="36"/>
        <v>1</v>
      </c>
      <c r="AU145" s="521">
        <f t="shared" si="37"/>
        <v>1</v>
      </c>
      <c r="AV145" s="521" t="str">
        <f t="shared" si="38"/>
        <v>.</v>
      </c>
    </row>
    <row r="146" spans="1:48" ht="15" customHeight="1">
      <c r="A146" s="18" t="s">
        <v>637</v>
      </c>
      <c r="B146" s="18" t="s">
        <v>632</v>
      </c>
      <c r="C146" s="511">
        <v>44618</v>
      </c>
      <c r="D146" s="18" t="s">
        <v>252</v>
      </c>
      <c r="E146" s="18" t="s">
        <v>253</v>
      </c>
      <c r="F146" s="512" t="s">
        <v>638</v>
      </c>
      <c r="G146" s="39" t="s">
        <v>634</v>
      </c>
      <c r="H146" s="513">
        <v>188106550</v>
      </c>
      <c r="I146" s="524" t="s">
        <v>647</v>
      </c>
      <c r="J146" s="276" t="str">
        <f>VLOOKUP($I146,'Price List, Weapons &amp; Items'!A:B,2,0)</f>
        <v>Light armaments &amp; infantry</v>
      </c>
      <c r="K146" s="276" t="str">
        <f>IF(I146=".",I146,VLOOKUP($I146,'Price List, Weapons &amp; Items'!A:C,3,0))</f>
        <v>Small Arms and Light Weapons (SALW)</v>
      </c>
      <c r="L146" s="514">
        <f>VLOOKUP(I146,'Price List, Weapons &amp; Items'!A:D,4,0)</f>
        <v>1</v>
      </c>
      <c r="M146" s="515">
        <v>12</v>
      </c>
      <c r="N146" s="515">
        <f t="shared" si="39"/>
        <v>12</v>
      </c>
      <c r="O146" s="516">
        <f>VLOOKUP($I146,'Price List, Weapons &amp; Items'!A:F,6,0)</f>
        <v>3832.65</v>
      </c>
      <c r="P146" s="513">
        <f t="shared" si="40"/>
        <v>45991.8</v>
      </c>
      <c r="Q146" s="513">
        <f t="shared" si="41"/>
        <v>45991.8</v>
      </c>
      <c r="R146" s="513" t="str">
        <f t="shared" si="30"/>
        <v/>
      </c>
      <c r="S146" s="513" t="str">
        <f>IF(AND(AD146=1,R146&lt;&gt;".")=TRUE,R146/VLOOKUP(G146,'Exchange rates'!B:C,2,0),IF(R146=".",".",""))</f>
        <v/>
      </c>
      <c r="T146" s="513" t="str">
        <f>IF(AD146=1,IF(AF146="Value is not given at all",".",IF(AF146="Value is given by the source",S146,IF(AF146="Value is calculated with prices",(IF(SUMIFS(Q:Q,A:A,A146)&gt;0,SUMIFS(Q:Q,A:A,A146),"."))/VLOOKUP("USD",'Exchange rates'!B:C,2,0),"Error with coding"))),"")</f>
        <v/>
      </c>
      <c r="U146" s="39" t="s">
        <v>372</v>
      </c>
      <c r="V146" s="376" t="s">
        <v>640</v>
      </c>
      <c r="W146" s="530" t="s">
        <v>232</v>
      </c>
      <c r="X146" s="530" t="s">
        <v>232</v>
      </c>
      <c r="Y146" s="530" t="s">
        <v>232</v>
      </c>
      <c r="Z146" s="39">
        <v>0</v>
      </c>
      <c r="AA146" s="518">
        <v>0</v>
      </c>
      <c r="AB146" s="394" t="s">
        <v>640</v>
      </c>
      <c r="AC146" s="519" t="str">
        <f>""</f>
        <v/>
      </c>
      <c r="AD146" s="520">
        <v>0</v>
      </c>
      <c r="AE146" s="520" t="s">
        <v>236</v>
      </c>
      <c r="AF146" s="520" t="s">
        <v>236</v>
      </c>
      <c r="AG146" s="520">
        <v>1</v>
      </c>
      <c r="AH146" s="520">
        <v>2</v>
      </c>
      <c r="AI146" s="520">
        <v>0</v>
      </c>
      <c r="AJ146" s="520">
        <f>VLOOKUP($I146,'Price List, Weapons &amp; Items'!A:E,5,0)</f>
        <v>0</v>
      </c>
      <c r="AK146" s="520">
        <f t="shared" si="32"/>
        <v>0</v>
      </c>
      <c r="AL146" s="520">
        <f t="shared" si="33"/>
        <v>0</v>
      </c>
      <c r="AM146" s="520">
        <f t="shared" si="34"/>
        <v>0</v>
      </c>
      <c r="AN146" s="521" t="str">
        <f>VLOOKUP($I146,'Price List, Weapons &amp; Items'!A:K,COLUMN('Price List, Weapons &amp; Items'!$I$1),0)</f>
        <v>Online marketplaces and stores</v>
      </c>
      <c r="AO146" s="521" t="str">
        <f>IF(I146=".",".",VLOOKUP($I146,'Price List, Weapons &amp; Items'!A:I,3,0))</f>
        <v>Small Arms and Light Weapons (SALW)</v>
      </c>
      <c r="AP146" s="517" t="str">
        <f t="shared" ca="1" si="31"/>
        <v/>
      </c>
      <c r="AQ146" s="521">
        <f>VLOOKUP($I146,'Price List, Weapons &amp; Items'!A:K,COLUMN('Price List, Weapons &amp; Items'!$K$1),0)</f>
        <v>1</v>
      </c>
      <c r="AS146" s="521">
        <f t="shared" si="35"/>
        <v>0</v>
      </c>
      <c r="AT146" s="521">
        <f t="shared" si="36"/>
        <v>1</v>
      </c>
      <c r="AU146" s="521">
        <f t="shared" si="37"/>
        <v>1</v>
      </c>
      <c r="AV146" s="521" t="str">
        <f t="shared" si="38"/>
        <v>.</v>
      </c>
    </row>
    <row r="147" spans="1:48" ht="15" customHeight="1">
      <c r="A147" s="18" t="s">
        <v>637</v>
      </c>
      <c r="B147" s="18" t="s">
        <v>632</v>
      </c>
      <c r="C147" s="511">
        <v>44618</v>
      </c>
      <c r="D147" s="18" t="s">
        <v>252</v>
      </c>
      <c r="E147" s="18" t="s">
        <v>253</v>
      </c>
      <c r="F147" s="512" t="s">
        <v>638</v>
      </c>
      <c r="G147" s="39" t="s">
        <v>634</v>
      </c>
      <c r="H147" s="513">
        <v>188106550</v>
      </c>
      <c r="I147" s="524" t="s">
        <v>648</v>
      </c>
      <c r="J147" s="276" t="str">
        <f>VLOOKUP($I147,'Price List, Weapons &amp; Items'!A:B,2,0)</f>
        <v>Ammunition for light infantry</v>
      </c>
      <c r="K147" s="276" t="str">
        <f>IF(I147=".",I147,VLOOKUP($I147,'Price List, Weapons &amp; Items'!A:C,3,0))</f>
        <v>Small Arms and Light Weapons (SALW) ammunition</v>
      </c>
      <c r="L147" s="514">
        <f>VLOOKUP(I147,'Price List, Weapons &amp; Items'!A:D,4,0)</f>
        <v>1</v>
      </c>
      <c r="M147" s="515">
        <v>1000000</v>
      </c>
      <c r="N147" s="515">
        <f t="shared" si="39"/>
        <v>1000000</v>
      </c>
      <c r="O147" s="516">
        <f>VLOOKUP($I147,'Price List, Weapons &amp; Items'!A:F,6,0)</f>
        <v>0.95</v>
      </c>
      <c r="P147" s="513">
        <f t="shared" si="40"/>
        <v>950000</v>
      </c>
      <c r="Q147" s="513">
        <f t="shared" si="41"/>
        <v>950000</v>
      </c>
      <c r="R147" s="513" t="str">
        <f t="shared" si="30"/>
        <v/>
      </c>
      <c r="S147" s="513" t="str">
        <f>IF(AND(AD147=1,R147&lt;&gt;".")=TRUE,R147/VLOOKUP(G147,'Exchange rates'!B:C,2,0),IF(R147=".",".",""))</f>
        <v/>
      </c>
      <c r="T147" s="513" t="str">
        <f>IF(AD147=1,IF(AF147="Value is not given at all",".",IF(AF147="Value is given by the source",S147,IF(AF147="Value is calculated with prices",(IF(SUMIFS(Q:Q,A:A,A147)&gt;0,SUMIFS(Q:Q,A:A,A147),"."))/VLOOKUP("USD",'Exchange rates'!B:C,2,0),"Error with coding"))),"")</f>
        <v/>
      </c>
      <c r="U147" s="39" t="s">
        <v>372</v>
      </c>
      <c r="V147" s="376" t="s">
        <v>640</v>
      </c>
      <c r="W147" s="530" t="s">
        <v>232</v>
      </c>
      <c r="X147" s="530" t="s">
        <v>232</v>
      </c>
      <c r="Y147" s="530" t="s">
        <v>232</v>
      </c>
      <c r="Z147" s="39">
        <v>0</v>
      </c>
      <c r="AA147" s="518">
        <v>0</v>
      </c>
      <c r="AB147" s="394" t="s">
        <v>640</v>
      </c>
      <c r="AC147" s="519" t="str">
        <f>""</f>
        <v/>
      </c>
      <c r="AD147" s="520">
        <v>0</v>
      </c>
      <c r="AE147" s="520" t="s">
        <v>236</v>
      </c>
      <c r="AF147" s="520" t="s">
        <v>236</v>
      </c>
      <c r="AG147" s="520">
        <v>1</v>
      </c>
      <c r="AH147" s="520">
        <v>2</v>
      </c>
      <c r="AI147" s="520">
        <v>0</v>
      </c>
      <c r="AJ147" s="520">
        <f>VLOOKUP($I147,'Price List, Weapons &amp; Items'!A:E,5,0)</f>
        <v>0</v>
      </c>
      <c r="AK147" s="520">
        <f t="shared" si="32"/>
        <v>0</v>
      </c>
      <c r="AL147" s="520">
        <f t="shared" si="33"/>
        <v>0</v>
      </c>
      <c r="AM147" s="520">
        <f t="shared" si="34"/>
        <v>0</v>
      </c>
      <c r="AN147" s="521" t="str">
        <f>VLOOKUP($I147,'Price List, Weapons &amp; Items'!A:K,COLUMN('Price List, Weapons &amp; Items'!$I$1),0)</f>
        <v>Online marketplaces and stores</v>
      </c>
      <c r="AO147" s="521" t="str">
        <f>IF(I147=".",".",VLOOKUP($I147,'Price List, Weapons &amp; Items'!A:I,3,0))</f>
        <v>Small Arms and Light Weapons (SALW) ammunition</v>
      </c>
      <c r="AP147" s="517" t="str">
        <f t="shared" ca="1" si="31"/>
        <v/>
      </c>
      <c r="AQ147" s="521">
        <f>VLOOKUP($I147,'Price List, Weapons &amp; Items'!A:K,COLUMN('Price List, Weapons &amp; Items'!$K$1),0)</f>
        <v>1</v>
      </c>
      <c r="AS147" s="521">
        <f t="shared" si="35"/>
        <v>0</v>
      </c>
      <c r="AT147" s="521">
        <f t="shared" si="36"/>
        <v>1</v>
      </c>
      <c r="AU147" s="521">
        <f t="shared" si="37"/>
        <v>1</v>
      </c>
      <c r="AV147" s="521" t="str">
        <f t="shared" si="38"/>
        <v>.</v>
      </c>
    </row>
    <row r="148" spans="1:48" ht="15" customHeight="1">
      <c r="A148" s="18" t="s">
        <v>637</v>
      </c>
      <c r="B148" s="18" t="s">
        <v>632</v>
      </c>
      <c r="C148" s="511">
        <v>44618</v>
      </c>
      <c r="D148" s="18" t="s">
        <v>252</v>
      </c>
      <c r="E148" s="18" t="s">
        <v>253</v>
      </c>
      <c r="F148" s="512" t="s">
        <v>638</v>
      </c>
      <c r="G148" s="39" t="s">
        <v>634</v>
      </c>
      <c r="H148" s="513">
        <v>188106550</v>
      </c>
      <c r="I148" s="524" t="s">
        <v>649</v>
      </c>
      <c r="J148" s="276" t="str">
        <f>VLOOKUP($I148,'Price List, Weapons &amp; Items'!A:B,2,0)</f>
        <v>Ammunition for light infantry</v>
      </c>
      <c r="K148" s="276" t="str">
        <f>IF(I148=".",I148,VLOOKUP($I148,'Price List, Weapons &amp; Items'!A:C,3,0))</f>
        <v>Small Arms and Light Weapons (SALW) ammunition</v>
      </c>
      <c r="L148" s="514">
        <f>VLOOKUP(I148,'Price List, Weapons &amp; Items'!A:D,4,0)</f>
        <v>0</v>
      </c>
      <c r="M148" s="515">
        <v>1000000</v>
      </c>
      <c r="N148" s="515">
        <f t="shared" si="39"/>
        <v>1000000</v>
      </c>
      <c r="O148" s="516">
        <f>VLOOKUP($I148,'Price List, Weapons &amp; Items'!A:F,6,0)</f>
        <v>0.95</v>
      </c>
      <c r="P148" s="513">
        <f t="shared" si="40"/>
        <v>950000</v>
      </c>
      <c r="Q148" s="513">
        <f t="shared" si="41"/>
        <v>950000</v>
      </c>
      <c r="R148" s="513" t="str">
        <f t="shared" si="30"/>
        <v/>
      </c>
      <c r="S148" s="513" t="str">
        <f>IF(AND(AD148=1,R148&lt;&gt;".")=TRUE,R148/VLOOKUP(G148,'Exchange rates'!B:C,2,0),IF(R148=".",".",""))</f>
        <v/>
      </c>
      <c r="T148" s="513" t="str">
        <f>IF(AD148=1,IF(AF148="Value is not given at all",".",IF(AF148="Value is given by the source",S148,IF(AF148="Value is calculated with prices",(IF(SUMIFS(Q:Q,A:A,A148)&gt;0,SUMIFS(Q:Q,A:A,A148),"."))/VLOOKUP("USD",'Exchange rates'!B:C,2,0),"Error with coding"))),"")</f>
        <v/>
      </c>
      <c r="U148" s="39" t="s">
        <v>372</v>
      </c>
      <c r="V148" s="376" t="s">
        <v>640</v>
      </c>
      <c r="W148" s="530" t="s">
        <v>232</v>
      </c>
      <c r="X148" s="530" t="s">
        <v>232</v>
      </c>
      <c r="Y148" s="530" t="s">
        <v>232</v>
      </c>
      <c r="Z148" s="39">
        <v>0</v>
      </c>
      <c r="AA148" s="518">
        <v>0</v>
      </c>
      <c r="AB148" s="394" t="s">
        <v>640</v>
      </c>
      <c r="AC148" s="519" t="str">
        <f>""</f>
        <v/>
      </c>
      <c r="AD148" s="520">
        <v>0</v>
      </c>
      <c r="AE148" s="520" t="s">
        <v>236</v>
      </c>
      <c r="AF148" s="520" t="s">
        <v>236</v>
      </c>
      <c r="AG148" s="520">
        <v>1</v>
      </c>
      <c r="AH148" s="520">
        <v>2</v>
      </c>
      <c r="AI148" s="520">
        <v>0</v>
      </c>
      <c r="AJ148" s="520">
        <f>VLOOKUP($I148,'Price List, Weapons &amp; Items'!A:E,5,0)</f>
        <v>0</v>
      </c>
      <c r="AK148" s="520">
        <f t="shared" si="32"/>
        <v>0</v>
      </c>
      <c r="AL148" s="520">
        <f t="shared" si="33"/>
        <v>0</v>
      </c>
      <c r="AM148" s="520">
        <f t="shared" si="34"/>
        <v>0</v>
      </c>
      <c r="AN148" s="521" t="str">
        <f>VLOOKUP($I148,'Price List, Weapons &amp; Items'!A:K,COLUMN('Price List, Weapons &amp; Items'!$I$1),0)</f>
        <v>Online marketplaces and stores</v>
      </c>
      <c r="AO148" s="521" t="str">
        <f>IF(I148=".",".",VLOOKUP($I148,'Price List, Weapons &amp; Items'!A:I,3,0))</f>
        <v>Small Arms and Light Weapons (SALW) ammunition</v>
      </c>
      <c r="AP148" s="517" t="str">
        <f t="shared" ca="1" si="31"/>
        <v/>
      </c>
      <c r="AQ148" s="521">
        <f>VLOOKUP($I148,'Price List, Weapons &amp; Items'!A:K,COLUMN('Price List, Weapons &amp; Items'!$K$1),0)</f>
        <v>1</v>
      </c>
      <c r="AS148" s="521">
        <f t="shared" si="35"/>
        <v>0</v>
      </c>
      <c r="AT148" s="521">
        <f t="shared" si="36"/>
        <v>1</v>
      </c>
      <c r="AU148" s="521">
        <f t="shared" si="37"/>
        <v>1</v>
      </c>
      <c r="AV148" s="521" t="str">
        <f t="shared" si="38"/>
        <v>.</v>
      </c>
    </row>
    <row r="149" spans="1:48" ht="15" customHeight="1">
      <c r="A149" s="18" t="s">
        <v>637</v>
      </c>
      <c r="B149" s="18" t="s">
        <v>632</v>
      </c>
      <c r="C149" s="511">
        <v>44618</v>
      </c>
      <c r="D149" s="18" t="s">
        <v>252</v>
      </c>
      <c r="E149" s="18" t="s">
        <v>253</v>
      </c>
      <c r="F149" s="512" t="s">
        <v>638</v>
      </c>
      <c r="G149" s="39" t="s">
        <v>634</v>
      </c>
      <c r="H149" s="513">
        <v>188106550</v>
      </c>
      <c r="I149" s="524" t="s">
        <v>650</v>
      </c>
      <c r="J149" s="276" t="str">
        <f>VLOOKUP($I149,'Price List, Weapons &amp; Items'!A:B,2,0)</f>
        <v>Ammunition for light infantry</v>
      </c>
      <c r="K149" s="276" t="str">
        <f>IF(I149=".",I149,VLOOKUP($I149,'Price List, Weapons &amp; Items'!A:C,3,0))</f>
        <v>Small Arms and Light Weapons (SALW) ammunition</v>
      </c>
      <c r="L149" s="514">
        <f>VLOOKUP(I149,'Price List, Weapons &amp; Items'!A:D,4,0)</f>
        <v>0</v>
      </c>
      <c r="M149" s="515">
        <v>150000</v>
      </c>
      <c r="N149" s="515">
        <f t="shared" si="39"/>
        <v>150000</v>
      </c>
      <c r="O149" s="516">
        <f>VLOOKUP($I149,'Price List, Weapons &amp; Items'!A:F,6,0)</f>
        <v>0.95</v>
      </c>
      <c r="P149" s="513">
        <f t="shared" si="40"/>
        <v>142500</v>
      </c>
      <c r="Q149" s="513">
        <f t="shared" si="41"/>
        <v>142500</v>
      </c>
      <c r="R149" s="513" t="str">
        <f t="shared" si="30"/>
        <v/>
      </c>
      <c r="S149" s="513" t="str">
        <f>IF(AND(AD149=1,R149&lt;&gt;".")=TRUE,R149/VLOOKUP(G149,'Exchange rates'!B:C,2,0),IF(R149=".",".",""))</f>
        <v/>
      </c>
      <c r="T149" s="513" t="str">
        <f>IF(AD149=1,IF(AF149="Value is not given at all",".",IF(AF149="Value is given by the source",S149,IF(AF149="Value is calculated with prices",(IF(SUMIFS(Q:Q,A:A,A149)&gt;0,SUMIFS(Q:Q,A:A,A149),"."))/VLOOKUP("USD",'Exchange rates'!B:C,2,0),"Error with coding"))),"")</f>
        <v/>
      </c>
      <c r="U149" s="39" t="s">
        <v>372</v>
      </c>
      <c r="V149" s="376" t="s">
        <v>640</v>
      </c>
      <c r="W149" s="530" t="s">
        <v>232</v>
      </c>
      <c r="X149" s="530" t="s">
        <v>232</v>
      </c>
      <c r="Y149" s="530" t="s">
        <v>232</v>
      </c>
      <c r="Z149" s="39">
        <v>0</v>
      </c>
      <c r="AA149" s="518">
        <v>0</v>
      </c>
      <c r="AB149" s="394" t="s">
        <v>640</v>
      </c>
      <c r="AC149" s="519" t="str">
        <f>""</f>
        <v/>
      </c>
      <c r="AD149" s="520">
        <v>0</v>
      </c>
      <c r="AE149" s="520" t="s">
        <v>236</v>
      </c>
      <c r="AF149" s="520" t="s">
        <v>236</v>
      </c>
      <c r="AG149" s="520">
        <v>1</v>
      </c>
      <c r="AH149" s="520">
        <v>2</v>
      </c>
      <c r="AI149" s="520">
        <v>0</v>
      </c>
      <c r="AJ149" s="520">
        <f>VLOOKUP($I149,'Price List, Weapons &amp; Items'!A:E,5,0)</f>
        <v>0</v>
      </c>
      <c r="AK149" s="520">
        <f t="shared" si="32"/>
        <v>0</v>
      </c>
      <c r="AL149" s="520">
        <f t="shared" si="33"/>
        <v>0</v>
      </c>
      <c r="AM149" s="520">
        <f t="shared" si="34"/>
        <v>0</v>
      </c>
      <c r="AN149" s="521" t="str">
        <f>VLOOKUP($I149,'Price List, Weapons &amp; Items'!A:K,COLUMN('Price List, Weapons &amp; Items'!$I$1),0)</f>
        <v>Online marketplaces and stores</v>
      </c>
      <c r="AO149" s="521" t="str">
        <f>IF(I149=".",".",VLOOKUP($I149,'Price List, Weapons &amp; Items'!A:I,3,0))</f>
        <v>Small Arms and Light Weapons (SALW) ammunition</v>
      </c>
      <c r="AP149" s="517" t="str">
        <f t="shared" ca="1" si="31"/>
        <v/>
      </c>
      <c r="AQ149" s="521">
        <f>VLOOKUP($I149,'Price List, Weapons &amp; Items'!A:K,COLUMN('Price List, Weapons &amp; Items'!$K$1),0)</f>
        <v>1</v>
      </c>
      <c r="AS149" s="521">
        <f t="shared" si="35"/>
        <v>0</v>
      </c>
      <c r="AT149" s="521">
        <f t="shared" si="36"/>
        <v>1</v>
      </c>
      <c r="AU149" s="521">
        <f t="shared" si="37"/>
        <v>1</v>
      </c>
      <c r="AV149" s="521" t="str">
        <f t="shared" si="38"/>
        <v>.</v>
      </c>
    </row>
    <row r="150" spans="1:48" ht="15" customHeight="1">
      <c r="A150" s="18" t="s">
        <v>637</v>
      </c>
      <c r="B150" s="18" t="s">
        <v>632</v>
      </c>
      <c r="C150" s="511">
        <v>44618</v>
      </c>
      <c r="D150" s="18" t="s">
        <v>252</v>
      </c>
      <c r="E150" s="18" t="s">
        <v>253</v>
      </c>
      <c r="F150" s="512" t="s">
        <v>638</v>
      </c>
      <c r="G150" s="39" t="s">
        <v>634</v>
      </c>
      <c r="H150" s="513">
        <v>188106550</v>
      </c>
      <c r="I150" s="524" t="s">
        <v>651</v>
      </c>
      <c r="J150" s="276" t="str">
        <f>VLOOKUP($I150,'Price List, Weapons &amp; Items'!A:B,2,0)</f>
        <v>Light armaments &amp; infantry</v>
      </c>
      <c r="K150" s="276" t="str">
        <f>IF(I150=".",I150,VLOOKUP($I150,'Price List, Weapons &amp; Items'!A:C,3,0))</f>
        <v>Anti-materiel rifle</v>
      </c>
      <c r="L150" s="514">
        <f>VLOOKUP(I150,'Price List, Weapons &amp; Items'!A:D,4,0)</f>
        <v>1</v>
      </c>
      <c r="M150" s="515">
        <v>19</v>
      </c>
      <c r="N150" s="515">
        <f t="shared" si="39"/>
        <v>19</v>
      </c>
      <c r="O150" s="516">
        <f>VLOOKUP($I150,'Price List, Weapons &amp; Items'!A:F,6,0)</f>
        <v>8625</v>
      </c>
      <c r="P150" s="513">
        <f t="shared" si="40"/>
        <v>163875</v>
      </c>
      <c r="Q150" s="513">
        <f t="shared" si="41"/>
        <v>163875</v>
      </c>
      <c r="R150" s="513" t="str">
        <f t="shared" si="30"/>
        <v/>
      </c>
      <c r="S150" s="513" t="str">
        <f>IF(AND(AD150=1,R150&lt;&gt;".")=TRUE,R150/VLOOKUP(G150,'Exchange rates'!B:C,2,0),IF(R150=".",".",""))</f>
        <v/>
      </c>
      <c r="T150" s="513" t="str">
        <f>IF(AD150=1,IF(AF150="Value is not given at all",".",IF(AF150="Value is given by the source",S150,IF(AF150="Value is calculated with prices",(IF(SUMIFS(Q:Q,A:A,A150)&gt;0,SUMIFS(Q:Q,A:A,A150),"."))/VLOOKUP("USD",'Exchange rates'!B:C,2,0),"Error with coding"))),"")</f>
        <v/>
      </c>
      <c r="U150" s="39" t="s">
        <v>372</v>
      </c>
      <c r="V150" s="376" t="s">
        <v>640</v>
      </c>
      <c r="W150" s="530" t="s">
        <v>232</v>
      </c>
      <c r="X150" s="530" t="s">
        <v>232</v>
      </c>
      <c r="Y150" s="530" t="s">
        <v>232</v>
      </c>
      <c r="Z150" s="39">
        <v>0</v>
      </c>
      <c r="AA150" s="518">
        <v>0</v>
      </c>
      <c r="AB150" s="394" t="s">
        <v>640</v>
      </c>
      <c r="AC150" s="519" t="str">
        <f>""</f>
        <v/>
      </c>
      <c r="AD150" s="520">
        <v>0</v>
      </c>
      <c r="AE150" s="520" t="s">
        <v>236</v>
      </c>
      <c r="AF150" s="520" t="s">
        <v>236</v>
      </c>
      <c r="AG150" s="520">
        <v>1</v>
      </c>
      <c r="AH150" s="520">
        <v>2</v>
      </c>
      <c r="AI150" s="520">
        <v>0</v>
      </c>
      <c r="AJ150" s="520">
        <f>VLOOKUP($I150,'Price List, Weapons &amp; Items'!A:E,5,0)</f>
        <v>0</v>
      </c>
      <c r="AK150" s="520">
        <f t="shared" si="32"/>
        <v>0</v>
      </c>
      <c r="AL150" s="520">
        <f t="shared" si="33"/>
        <v>0</v>
      </c>
      <c r="AM150" s="520">
        <f t="shared" si="34"/>
        <v>0</v>
      </c>
      <c r="AN150" s="521" t="str">
        <f>VLOOKUP($I150,'Price List, Weapons &amp; Items'!A:K,COLUMN('Price List, Weapons &amp; Items'!$I$1),0)</f>
        <v>Manufacturer price</v>
      </c>
      <c r="AO150" s="521" t="str">
        <f>IF(I150=".",".",VLOOKUP($I150,'Price List, Weapons &amp; Items'!A:I,3,0))</f>
        <v>Anti-materiel rifle</v>
      </c>
      <c r="AP150" s="517" t="str">
        <f t="shared" ca="1" si="31"/>
        <v/>
      </c>
      <c r="AQ150" s="521">
        <f>VLOOKUP($I150,'Price List, Weapons &amp; Items'!A:K,COLUMN('Price List, Weapons &amp; Items'!$K$1),0)</f>
        <v>1</v>
      </c>
      <c r="AS150" s="521">
        <f t="shared" si="35"/>
        <v>0</v>
      </c>
      <c r="AT150" s="521">
        <f t="shared" si="36"/>
        <v>1</v>
      </c>
      <c r="AU150" s="521">
        <f t="shared" si="37"/>
        <v>1</v>
      </c>
      <c r="AV150" s="521" t="str">
        <f t="shared" si="38"/>
        <v>.</v>
      </c>
    </row>
    <row r="151" spans="1:48" s="533" customFormat="1" ht="15" customHeight="1">
      <c r="A151" s="18" t="s">
        <v>652</v>
      </c>
      <c r="B151" s="18" t="s">
        <v>632</v>
      </c>
      <c r="C151" s="511">
        <v>44619</v>
      </c>
      <c r="D151" s="541" t="s">
        <v>252</v>
      </c>
      <c r="E151" s="18" t="s">
        <v>253</v>
      </c>
      <c r="F151" s="512" t="s">
        <v>653</v>
      </c>
      <c r="G151" s="39" t="s">
        <v>634</v>
      </c>
      <c r="H151" s="513">
        <v>400000000</v>
      </c>
      <c r="I151" s="523" t="s">
        <v>654</v>
      </c>
      <c r="J151" s="276" t="str">
        <f>VLOOKUP($I151,'Price List, Weapons &amp; Items'!A:B,2,0)</f>
        <v>Portable defence system</v>
      </c>
      <c r="K151" s="276" t="str">
        <f>IF(I151=".",I151,VLOOKUP($I151,'Price List, Weapons &amp; Items'!A:C,3,0))</f>
        <v>Light Anti-armor Weapon (LAW)</v>
      </c>
      <c r="L151" s="514">
        <f>VLOOKUP(I151,'Price List, Weapons &amp; Items'!A:D,4,0)</f>
        <v>0</v>
      </c>
      <c r="M151" s="515">
        <v>160</v>
      </c>
      <c r="N151" s="515">
        <v>160</v>
      </c>
      <c r="O151" s="516">
        <f>VLOOKUP($I151,'Price List, Weapons &amp; Items'!A:F,6,0)</f>
        <v>119000</v>
      </c>
      <c r="P151" s="513">
        <f t="shared" si="40"/>
        <v>19040000</v>
      </c>
      <c r="Q151" s="513">
        <f t="shared" si="41"/>
        <v>19040000</v>
      </c>
      <c r="R151" s="513">
        <f t="shared" si="30"/>
        <v>400000000</v>
      </c>
      <c r="S151" s="513">
        <f>IF(AND(AD151=1,R151&lt;&gt;".")=TRUE,R151/VLOOKUP(G151,'Exchange rates'!B:C,2,0),IF(R151=".",".",""))</f>
        <v>16378674.965195315</v>
      </c>
      <c r="T151" s="513">
        <f>IF(AD151=1,IF(AF151="Value is not given at all",".",IF(AF151="Value is given by the source",S151,IF(AF151="Value is calculated with prices",(IF(SUMIFS(Q:Q,A:A,A151)&gt;0,SUMIFS(Q:Q,A:A,A151),"."))/VLOOKUP("USD",'Exchange rates'!B:C,2,0),"Error with coding"))),"")</f>
        <v>16378674.965195315</v>
      </c>
      <c r="U151" s="39" t="s">
        <v>233</v>
      </c>
      <c r="V151" s="376" t="s">
        <v>655</v>
      </c>
      <c r="W151" s="376" t="s">
        <v>656</v>
      </c>
      <c r="X151" s="376" t="s">
        <v>657</v>
      </c>
      <c r="Y151" s="586" t="s">
        <v>232</v>
      </c>
      <c r="Z151" s="39">
        <v>0</v>
      </c>
      <c r="AA151" s="518">
        <v>0</v>
      </c>
      <c r="AB151" s="394" t="s">
        <v>658</v>
      </c>
      <c r="AC151" s="519" t="str">
        <f>""</f>
        <v/>
      </c>
      <c r="AD151" s="520">
        <v>1</v>
      </c>
      <c r="AE151" s="520" t="s">
        <v>236</v>
      </c>
      <c r="AF151" s="520" t="s">
        <v>236</v>
      </c>
      <c r="AG151" s="520">
        <v>1</v>
      </c>
      <c r="AH151" s="520">
        <v>2</v>
      </c>
      <c r="AI151" s="520">
        <v>0</v>
      </c>
      <c r="AJ151" s="520">
        <f>VLOOKUP($I151,'Price List, Weapons &amp; Items'!A:E,5,0)</f>
        <v>0</v>
      </c>
      <c r="AK151" s="520">
        <f t="shared" si="32"/>
        <v>0</v>
      </c>
      <c r="AL151" s="520">
        <f t="shared" si="33"/>
        <v>0</v>
      </c>
      <c r="AM151" s="520">
        <f t="shared" si="34"/>
        <v>0</v>
      </c>
      <c r="AN151" s="521" t="str">
        <f>VLOOKUP($I151,'Price List, Weapons &amp; Items'!A:K,COLUMN('Price List, Weapons &amp; Items'!$I$1),0)</f>
        <v>Miscellaneous</v>
      </c>
      <c r="AO151" s="521" t="str">
        <f>IF(I151=".",".",VLOOKUP($I151,'Price List, Weapons &amp; Items'!A:I,3,0))</f>
        <v>Light Anti-armor Weapon (LAW)</v>
      </c>
      <c r="AP151" s="517" t="str">
        <f t="shared" ca="1" si="31"/>
        <v>shoulder fired MANPAD; FN Minimi; CZ 805 BREN; CZ Scorpion Evo 3; bullet; tactical gloves</v>
      </c>
      <c r="AQ151" s="521">
        <f>VLOOKUP($I151,'Price List, Weapons &amp; Items'!A:K,COLUMN('Price List, Weapons &amp; Items'!$K$1),0)</f>
        <v>2</v>
      </c>
      <c r="AS151" s="521">
        <f t="shared" si="35"/>
        <v>1</v>
      </c>
      <c r="AT151" s="521">
        <f t="shared" si="36"/>
        <v>1</v>
      </c>
      <c r="AU151" s="521">
        <f t="shared" si="37"/>
        <v>1</v>
      </c>
      <c r="AV151" s="521" t="str">
        <f t="shared" si="38"/>
        <v>.</v>
      </c>
    </row>
    <row r="152" spans="1:48" s="533" customFormat="1" ht="15" customHeight="1">
      <c r="A152" s="18" t="s">
        <v>652</v>
      </c>
      <c r="B152" s="18" t="s">
        <v>632</v>
      </c>
      <c r="C152" s="511">
        <v>44619</v>
      </c>
      <c r="D152" s="541" t="s">
        <v>252</v>
      </c>
      <c r="E152" s="18" t="s">
        <v>253</v>
      </c>
      <c r="F152" s="512" t="s">
        <v>653</v>
      </c>
      <c r="G152" s="39" t="s">
        <v>634</v>
      </c>
      <c r="H152" s="513">
        <v>400000000</v>
      </c>
      <c r="I152" s="523" t="s">
        <v>659</v>
      </c>
      <c r="J152" s="276" t="str">
        <f>VLOOKUP($I152,'Price List, Weapons &amp; Items'!A:B,2,0)</f>
        <v>Light armaments &amp; infantry</v>
      </c>
      <c r="K152" s="276" t="str">
        <f>IF(I152=".",I152,VLOOKUP($I152,'Price List, Weapons &amp; Items'!A:C,3,0))</f>
        <v>Small Arms and Light Weapons (SALW)</v>
      </c>
      <c r="L152" s="514">
        <f>VLOOKUP(I152,'Price List, Weapons &amp; Items'!A:D,4,0)</f>
        <v>0</v>
      </c>
      <c r="M152" s="515">
        <v>20</v>
      </c>
      <c r="N152" s="515">
        <f>M152</f>
        <v>20</v>
      </c>
      <c r="O152" s="516">
        <f>VLOOKUP($I152,'Price List, Weapons &amp; Items'!A:F,6,0)</f>
        <v>52687</v>
      </c>
      <c r="P152" s="513">
        <f t="shared" si="40"/>
        <v>1053740</v>
      </c>
      <c r="Q152" s="513">
        <f t="shared" si="41"/>
        <v>1053740</v>
      </c>
      <c r="R152" s="513" t="str">
        <f t="shared" si="30"/>
        <v/>
      </c>
      <c r="S152" s="513" t="str">
        <f>IF(AND(AD152=1,R152&lt;&gt;".")=TRUE,R152/VLOOKUP(G152,'Exchange rates'!B:C,2,0),IF(R152=".",".",""))</f>
        <v/>
      </c>
      <c r="T152" s="513" t="str">
        <f>IF(AD152=1,IF(AF152="Value is not given at all",".",IF(AF152="Value is given by the source",S152,IF(AF152="Value is calculated with prices",(IF(SUMIFS(Q:Q,A:A,A152)&gt;0,SUMIFS(Q:Q,A:A,A152),"."))/VLOOKUP("USD",'Exchange rates'!B:C,2,0),"Error with coding"))),"")</f>
        <v/>
      </c>
      <c r="U152" s="39" t="s">
        <v>233</v>
      </c>
      <c r="V152" s="376" t="s">
        <v>655</v>
      </c>
      <c r="W152" s="376" t="s">
        <v>656</v>
      </c>
      <c r="X152" s="376" t="s">
        <v>657</v>
      </c>
      <c r="Y152" s="530" t="s">
        <v>232</v>
      </c>
      <c r="Z152" s="39">
        <v>0</v>
      </c>
      <c r="AA152" s="518">
        <v>0</v>
      </c>
      <c r="AB152" s="394" t="s">
        <v>658</v>
      </c>
      <c r="AC152" s="519" t="str">
        <f>""</f>
        <v/>
      </c>
      <c r="AD152" s="520">
        <v>0</v>
      </c>
      <c r="AE152" s="520" t="s">
        <v>236</v>
      </c>
      <c r="AF152" s="520" t="s">
        <v>236</v>
      </c>
      <c r="AG152" s="520">
        <v>1</v>
      </c>
      <c r="AH152" s="520">
        <v>2</v>
      </c>
      <c r="AI152" s="520">
        <v>0</v>
      </c>
      <c r="AJ152" s="520">
        <f>VLOOKUP($I152,'Price List, Weapons &amp; Items'!A:E,5,0)</f>
        <v>0</v>
      </c>
      <c r="AK152" s="520">
        <f t="shared" si="32"/>
        <v>0</v>
      </c>
      <c r="AL152" s="520">
        <f t="shared" si="33"/>
        <v>0</v>
      </c>
      <c r="AM152" s="520">
        <f t="shared" si="34"/>
        <v>0</v>
      </c>
      <c r="AN152" s="521" t="str">
        <f>VLOOKUP($I152,'Price List, Weapons &amp; Items'!A:K,COLUMN('Price List, Weapons &amp; Items'!$I$1),0)</f>
        <v>Contracts</v>
      </c>
      <c r="AO152" s="521" t="str">
        <f>IF(I152=".",".",VLOOKUP($I152,'Price List, Weapons &amp; Items'!A:I,3,0))</f>
        <v>Small Arms and Light Weapons (SALW)</v>
      </c>
      <c r="AP152" s="517" t="str">
        <f t="shared" ca="1" si="31"/>
        <v/>
      </c>
      <c r="AQ152" s="521">
        <f>VLOOKUP($I152,'Price List, Weapons &amp; Items'!A:K,COLUMN('Price List, Weapons &amp; Items'!$K$1),0)</f>
        <v>1</v>
      </c>
      <c r="AS152" s="521">
        <f t="shared" si="35"/>
        <v>1</v>
      </c>
      <c r="AT152" s="521">
        <f t="shared" si="36"/>
        <v>1</v>
      </c>
      <c r="AU152" s="521">
        <f t="shared" si="37"/>
        <v>1</v>
      </c>
      <c r="AV152" s="521" t="str">
        <f t="shared" si="38"/>
        <v>.</v>
      </c>
    </row>
    <row r="153" spans="1:48" s="533" customFormat="1" ht="15" customHeight="1">
      <c r="A153" s="18" t="s">
        <v>652</v>
      </c>
      <c r="B153" s="18" t="s">
        <v>632</v>
      </c>
      <c r="C153" s="511">
        <v>44619</v>
      </c>
      <c r="D153" s="541" t="s">
        <v>252</v>
      </c>
      <c r="E153" s="18" t="s">
        <v>253</v>
      </c>
      <c r="F153" s="512" t="s">
        <v>653</v>
      </c>
      <c r="G153" s="39" t="s">
        <v>634</v>
      </c>
      <c r="H153" s="513">
        <v>400000000</v>
      </c>
      <c r="I153" s="523" t="s">
        <v>660</v>
      </c>
      <c r="J153" s="276" t="str">
        <f>VLOOKUP($I153,'Price List, Weapons &amp; Items'!A:B,2,0)</f>
        <v>Light armaments &amp; infantry</v>
      </c>
      <c r="K153" s="276" t="str">
        <f>IF(I153=".",I153,VLOOKUP($I153,'Price List, Weapons &amp; Items'!A:C,3,0))</f>
        <v>Light Anti-armor Weapon (LAW) ammunition</v>
      </c>
      <c r="L153" s="514">
        <f>VLOOKUP(I153,'Price List, Weapons &amp; Items'!A:D,4,0)</f>
        <v>0</v>
      </c>
      <c r="M153" s="515">
        <v>132</v>
      </c>
      <c r="N153" s="515">
        <f>M153</f>
        <v>132</v>
      </c>
      <c r="O153" s="516">
        <f>VLOOKUP($I153,'Price List, Weapons &amp; Items'!A:F,6,0)</f>
        <v>1818.28</v>
      </c>
      <c r="P153" s="513">
        <f t="shared" si="40"/>
        <v>240012.96</v>
      </c>
      <c r="Q153" s="513">
        <f t="shared" si="41"/>
        <v>240012.96</v>
      </c>
      <c r="R153" s="513" t="str">
        <f t="shared" si="30"/>
        <v/>
      </c>
      <c r="S153" s="513" t="str">
        <f>IF(AND(AD153=1,R153&lt;&gt;".")=TRUE,R153/VLOOKUP(G153,'Exchange rates'!B:C,2,0),IF(R153=".",".",""))</f>
        <v/>
      </c>
      <c r="T153" s="513" t="str">
        <f>IF(AD153=1,IF(AF153="Value is not given at all",".",IF(AF153="Value is given by the source",S153,IF(AF153="Value is calculated with prices",(IF(SUMIFS(Q:Q,A:A,A153)&gt;0,SUMIFS(Q:Q,A:A,A153),"."))/VLOOKUP("USD",'Exchange rates'!B:C,2,0),"Error with coding"))),"")</f>
        <v/>
      </c>
      <c r="U153" s="39" t="s">
        <v>233</v>
      </c>
      <c r="V153" s="376" t="s">
        <v>655</v>
      </c>
      <c r="W153" s="376" t="s">
        <v>656</v>
      </c>
      <c r="X153" s="376" t="s">
        <v>657</v>
      </c>
      <c r="Y153" s="530" t="s">
        <v>232</v>
      </c>
      <c r="Z153" s="39">
        <v>0</v>
      </c>
      <c r="AA153" s="518">
        <v>0</v>
      </c>
      <c r="AB153" s="394" t="s">
        <v>658</v>
      </c>
      <c r="AC153" s="519" t="str">
        <f>""</f>
        <v/>
      </c>
      <c r="AD153" s="520">
        <v>0</v>
      </c>
      <c r="AE153" s="520" t="s">
        <v>236</v>
      </c>
      <c r="AF153" s="520" t="s">
        <v>236</v>
      </c>
      <c r="AG153" s="520">
        <v>1</v>
      </c>
      <c r="AH153" s="520">
        <v>2</v>
      </c>
      <c r="AI153" s="520">
        <v>0</v>
      </c>
      <c r="AJ153" s="520">
        <f>VLOOKUP($I153,'Price List, Weapons &amp; Items'!A:E,5,0)</f>
        <v>0</v>
      </c>
      <c r="AK153" s="520">
        <f t="shared" si="32"/>
        <v>0</v>
      </c>
      <c r="AL153" s="520">
        <f t="shared" si="33"/>
        <v>0</v>
      </c>
      <c r="AM153" s="520">
        <f t="shared" si="34"/>
        <v>0</v>
      </c>
      <c r="AN153" s="521" t="str">
        <f>VLOOKUP($I153,'Price List, Weapons &amp; Items'!A:K,COLUMN('Price List, Weapons &amp; Items'!$I$1),0)</f>
        <v>Online marketplaces and stores</v>
      </c>
      <c r="AO153" s="521" t="str">
        <f>IF(I153=".",".",VLOOKUP($I153,'Price List, Weapons &amp; Items'!A:I,3,0))</f>
        <v>Light Anti-armor Weapon (LAW) ammunition</v>
      </c>
      <c r="AP153" s="517" t="str">
        <f t="shared" ca="1" si="31"/>
        <v/>
      </c>
      <c r="AQ153" s="521">
        <f>VLOOKUP($I153,'Price List, Weapons &amp; Items'!A:K,COLUMN('Price List, Weapons &amp; Items'!$K$1),0)</f>
        <v>1</v>
      </c>
      <c r="AS153" s="521">
        <f t="shared" si="35"/>
        <v>1</v>
      </c>
      <c r="AT153" s="521">
        <f t="shared" si="36"/>
        <v>1</v>
      </c>
      <c r="AU153" s="521">
        <f t="shared" si="37"/>
        <v>1</v>
      </c>
      <c r="AV153" s="521" t="str">
        <f t="shared" si="38"/>
        <v>.</v>
      </c>
    </row>
    <row r="154" spans="1:48" s="533" customFormat="1" ht="15" customHeight="1">
      <c r="A154" s="18" t="s">
        <v>652</v>
      </c>
      <c r="B154" s="18" t="s">
        <v>632</v>
      </c>
      <c r="C154" s="511">
        <v>44619</v>
      </c>
      <c r="D154" s="541" t="s">
        <v>252</v>
      </c>
      <c r="E154" s="18" t="s">
        <v>253</v>
      </c>
      <c r="F154" s="512" t="s">
        <v>653</v>
      </c>
      <c r="G154" s="39" t="s">
        <v>634</v>
      </c>
      <c r="H154" s="513">
        <v>400000000</v>
      </c>
      <c r="I154" s="523" t="s">
        <v>661</v>
      </c>
      <c r="J154" s="276" t="str">
        <f>VLOOKUP($I154,'Price List, Weapons &amp; Items'!A:B,2,0)</f>
        <v>Light armaments &amp; infantry</v>
      </c>
      <c r="K154" s="276" t="str">
        <f>IF(I154=".",I154,VLOOKUP($I154,'Price List, Weapons &amp; Items'!A:C,3,0))</f>
        <v>Light Anti-armor Weapon (LAW) ammunition</v>
      </c>
      <c r="L154" s="514">
        <f>VLOOKUP(I154,'Price List, Weapons &amp; Items'!A:D,4,0)</f>
        <v>0</v>
      </c>
      <c r="M154" s="515">
        <v>70</v>
      </c>
      <c r="N154" s="515">
        <f>M154</f>
        <v>70</v>
      </c>
      <c r="O154" s="516">
        <f>VLOOKUP($I154,'Price List, Weapons &amp; Items'!A:F,6,0)</f>
        <v>992.4</v>
      </c>
      <c r="P154" s="513">
        <f t="shared" si="40"/>
        <v>69468</v>
      </c>
      <c r="Q154" s="513">
        <f t="shared" si="41"/>
        <v>69468</v>
      </c>
      <c r="R154" s="513" t="str">
        <f t="shared" si="30"/>
        <v/>
      </c>
      <c r="S154" s="513" t="str">
        <f>IF(AND(AD154=1,R154&lt;&gt;".")=TRUE,R154/VLOOKUP(G154,'Exchange rates'!B:C,2,0),IF(R154=".",".",""))</f>
        <v/>
      </c>
      <c r="T154" s="513" t="str">
        <f>IF(AD154=1,IF(AF154="Value is not given at all",".",IF(AF154="Value is given by the source",S154,IF(AF154="Value is calculated with prices",(IF(SUMIFS(Q:Q,A:A,A154)&gt;0,SUMIFS(Q:Q,A:A,A154),"."))/VLOOKUP("USD",'Exchange rates'!B:C,2,0),"Error with coding"))),"")</f>
        <v/>
      </c>
      <c r="U154" s="39" t="s">
        <v>233</v>
      </c>
      <c r="V154" s="376" t="s">
        <v>655</v>
      </c>
      <c r="W154" s="376" t="s">
        <v>656</v>
      </c>
      <c r="X154" s="376" t="s">
        <v>657</v>
      </c>
      <c r="Y154" s="530" t="s">
        <v>232</v>
      </c>
      <c r="Z154" s="39">
        <v>0</v>
      </c>
      <c r="AA154" s="518">
        <v>0</v>
      </c>
      <c r="AB154" s="394" t="s">
        <v>658</v>
      </c>
      <c r="AC154" s="519" t="str">
        <f>""</f>
        <v/>
      </c>
      <c r="AD154" s="520">
        <v>0</v>
      </c>
      <c r="AE154" s="520" t="s">
        <v>236</v>
      </c>
      <c r="AF154" s="520" t="s">
        <v>236</v>
      </c>
      <c r="AG154" s="520">
        <v>1</v>
      </c>
      <c r="AH154" s="520">
        <v>2</v>
      </c>
      <c r="AI154" s="520">
        <v>0</v>
      </c>
      <c r="AJ154" s="520">
        <f>VLOOKUP($I154,'Price List, Weapons &amp; Items'!A:E,5,0)</f>
        <v>0</v>
      </c>
      <c r="AK154" s="520">
        <f t="shared" si="32"/>
        <v>0</v>
      </c>
      <c r="AL154" s="520">
        <f t="shared" si="33"/>
        <v>0</v>
      </c>
      <c r="AM154" s="520">
        <f t="shared" si="34"/>
        <v>0</v>
      </c>
      <c r="AN154" s="521" t="str">
        <f>VLOOKUP($I154,'Price List, Weapons &amp; Items'!A:K,COLUMN('Price List, Weapons &amp; Items'!$I$1),0)</f>
        <v>Online marketplaces and stores</v>
      </c>
      <c r="AO154" s="521" t="str">
        <f>IF(I154=".",".",VLOOKUP($I154,'Price List, Weapons &amp; Items'!A:I,3,0))</f>
        <v>Light Anti-armor Weapon (LAW) ammunition</v>
      </c>
      <c r="AP154" s="517" t="str">
        <f t="shared" ca="1" si="31"/>
        <v/>
      </c>
      <c r="AQ154" s="521">
        <f>VLOOKUP($I154,'Price List, Weapons &amp; Items'!A:K,COLUMN('Price List, Weapons &amp; Items'!$K$1),0)</f>
        <v>1</v>
      </c>
      <c r="AS154" s="521">
        <f t="shared" si="35"/>
        <v>1</v>
      </c>
      <c r="AT154" s="521">
        <f t="shared" si="36"/>
        <v>1</v>
      </c>
      <c r="AU154" s="521">
        <f t="shared" si="37"/>
        <v>1</v>
      </c>
      <c r="AV154" s="521" t="str">
        <f t="shared" si="38"/>
        <v>.</v>
      </c>
    </row>
    <row r="155" spans="1:48" s="533" customFormat="1" ht="15" customHeight="1">
      <c r="A155" s="18" t="s">
        <v>652</v>
      </c>
      <c r="B155" s="18" t="s">
        <v>632</v>
      </c>
      <c r="C155" s="511">
        <v>44619</v>
      </c>
      <c r="D155" s="541" t="s">
        <v>252</v>
      </c>
      <c r="E155" s="18" t="s">
        <v>253</v>
      </c>
      <c r="F155" s="512" t="s">
        <v>653</v>
      </c>
      <c r="G155" s="39" t="s">
        <v>634</v>
      </c>
      <c r="H155" s="513">
        <v>400000000</v>
      </c>
      <c r="I155" s="523" t="s">
        <v>662</v>
      </c>
      <c r="J155" s="276" t="str">
        <f>VLOOKUP($I155,'Price List, Weapons &amp; Items'!A:B,2,0)</f>
        <v>Ammunition for light infantry</v>
      </c>
      <c r="K155" s="276" t="str">
        <f>IF(I155=".",I155,VLOOKUP($I155,'Price List, Weapons &amp; Items'!A:C,3,0))</f>
        <v>Small Arms and Light Weapons (SALW) ammunition</v>
      </c>
      <c r="L155" s="514">
        <f>VLOOKUP(I155,'Price List, Weapons &amp; Items'!A:D,4,0)</f>
        <v>0</v>
      </c>
      <c r="M155" s="515">
        <v>108000</v>
      </c>
      <c r="N155" s="515">
        <f>M155</f>
        <v>108000</v>
      </c>
      <c r="O155" s="516">
        <f>VLOOKUP($I155,'Price List, Weapons &amp; Items'!A:F,6,0)</f>
        <v>0.41799999999999998</v>
      </c>
      <c r="P155" s="513">
        <f t="shared" si="40"/>
        <v>45144</v>
      </c>
      <c r="Q155" s="513">
        <f t="shared" si="41"/>
        <v>45144</v>
      </c>
      <c r="R155" s="513" t="str">
        <f t="shared" si="30"/>
        <v/>
      </c>
      <c r="S155" s="513" t="str">
        <f>IF(AND(AD155=1,R155&lt;&gt;".")=TRUE,R155/VLOOKUP(G155,'Exchange rates'!B:C,2,0),IF(R155=".",".",""))</f>
        <v/>
      </c>
      <c r="T155" s="513" t="str">
        <f>IF(AD155=1,IF(AF155="Value is not given at all",".",IF(AF155="Value is given by the source",S155,IF(AF155="Value is calculated with prices",(IF(SUMIFS(Q:Q,A:A,A155)&gt;0,SUMIFS(Q:Q,A:A,A155),"."))/VLOOKUP("USD",'Exchange rates'!B:C,2,0),"Error with coding"))),"")</f>
        <v/>
      </c>
      <c r="U155" s="39" t="s">
        <v>233</v>
      </c>
      <c r="V155" s="376" t="s">
        <v>655</v>
      </c>
      <c r="W155" s="376" t="s">
        <v>656</v>
      </c>
      <c r="X155" s="376" t="s">
        <v>657</v>
      </c>
      <c r="Y155" s="530" t="s">
        <v>232</v>
      </c>
      <c r="Z155" s="39">
        <v>0</v>
      </c>
      <c r="AA155" s="518">
        <v>0</v>
      </c>
      <c r="AB155" s="394" t="s">
        <v>658</v>
      </c>
      <c r="AC155" s="519" t="str">
        <f>""</f>
        <v/>
      </c>
      <c r="AD155" s="520">
        <v>0</v>
      </c>
      <c r="AE155" s="520" t="s">
        <v>236</v>
      </c>
      <c r="AF155" s="520" t="s">
        <v>236</v>
      </c>
      <c r="AG155" s="520">
        <v>1</v>
      </c>
      <c r="AH155" s="520">
        <v>2</v>
      </c>
      <c r="AI155" s="520">
        <v>0</v>
      </c>
      <c r="AJ155" s="520">
        <f>VLOOKUP($I155,'Price List, Weapons &amp; Items'!A:E,5,0)</f>
        <v>0</v>
      </c>
      <c r="AK155" s="520">
        <f t="shared" si="32"/>
        <v>0</v>
      </c>
      <c r="AL155" s="520">
        <f t="shared" si="33"/>
        <v>0</v>
      </c>
      <c r="AM155" s="520">
        <f t="shared" si="34"/>
        <v>0</v>
      </c>
      <c r="AN155" s="521" t="str">
        <f>VLOOKUP($I155,'Price List, Weapons &amp; Items'!A:K,COLUMN('Price List, Weapons &amp; Items'!$I$1),0)</f>
        <v>Online marketplaces and stores</v>
      </c>
      <c r="AO155" s="521" t="str">
        <f>IF(I155=".",".",VLOOKUP($I155,'Price List, Weapons &amp; Items'!A:I,3,0))</f>
        <v>Small Arms and Light Weapons (SALW) ammunition</v>
      </c>
      <c r="AP155" s="517" t="str">
        <f t="shared" ca="1" si="31"/>
        <v/>
      </c>
      <c r="AQ155" s="521">
        <f>VLOOKUP($I155,'Price List, Weapons &amp; Items'!A:K,COLUMN('Price List, Weapons &amp; Items'!$K$1),0)</f>
        <v>1</v>
      </c>
      <c r="AS155" s="521">
        <f t="shared" si="35"/>
        <v>1</v>
      </c>
      <c r="AT155" s="521">
        <f t="shared" si="36"/>
        <v>1</v>
      </c>
      <c r="AU155" s="521">
        <f t="shared" si="37"/>
        <v>1</v>
      </c>
      <c r="AV155" s="521" t="str">
        <f t="shared" si="38"/>
        <v>.</v>
      </c>
    </row>
    <row r="156" spans="1:48" s="533" customFormat="1" ht="15" customHeight="1">
      <c r="A156" s="18" t="s">
        <v>652</v>
      </c>
      <c r="B156" s="18" t="s">
        <v>632</v>
      </c>
      <c r="C156" s="511">
        <v>44619</v>
      </c>
      <c r="D156" s="541" t="s">
        <v>252</v>
      </c>
      <c r="E156" s="18" t="s">
        <v>253</v>
      </c>
      <c r="F156" s="512" t="s">
        <v>653</v>
      </c>
      <c r="G156" s="39" t="s">
        <v>634</v>
      </c>
      <c r="H156" s="513">
        <v>400000000</v>
      </c>
      <c r="I156" s="523" t="s">
        <v>663</v>
      </c>
      <c r="J156" s="276" t="str">
        <f>VLOOKUP($I156,'Price List, Weapons &amp; Items'!A:B,2,0)</f>
        <v>Military equipment</v>
      </c>
      <c r="K156" s="276" t="str">
        <f>IF(I156=".",I156,VLOOKUP($I156,'Price List, Weapons &amp; Items'!A:C,3,0))</f>
        <v>.</v>
      </c>
      <c r="L156" s="514">
        <f>VLOOKUP(I156,'Price List, Weapons &amp; Items'!A:D,4,0)</f>
        <v>0</v>
      </c>
      <c r="M156" s="515">
        <v>1000</v>
      </c>
      <c r="N156" s="515">
        <f>M156</f>
        <v>1000</v>
      </c>
      <c r="O156" s="516">
        <f>VLOOKUP($I156,'Price List, Weapons &amp; Items'!A:F,6,0)</f>
        <v>60</v>
      </c>
      <c r="P156" s="513">
        <f t="shared" si="40"/>
        <v>60000</v>
      </c>
      <c r="Q156" s="513">
        <f t="shared" si="41"/>
        <v>60000</v>
      </c>
      <c r="R156" s="513" t="str">
        <f t="shared" si="30"/>
        <v/>
      </c>
      <c r="S156" s="513" t="str">
        <f>IF(AND(AD156=1,R156&lt;&gt;".")=TRUE,R156/VLOOKUP(G156,'Exchange rates'!B:C,2,0),IF(R156=".",".",""))</f>
        <v/>
      </c>
      <c r="T156" s="513" t="str">
        <f>IF(AD156=1,IF(AF156="Value is not given at all",".",IF(AF156="Value is given by the source",S156,IF(AF156="Value is calculated with prices",(IF(SUMIFS(Q:Q,A:A,A156)&gt;0,SUMIFS(Q:Q,A:A,A156),"."))/VLOOKUP("USD",'Exchange rates'!B:C,2,0),"Error with coding"))),"")</f>
        <v/>
      </c>
      <c r="U156" s="39" t="s">
        <v>233</v>
      </c>
      <c r="V156" s="376" t="s">
        <v>655</v>
      </c>
      <c r="W156" s="376" t="s">
        <v>656</v>
      </c>
      <c r="X156" s="376" t="s">
        <v>657</v>
      </c>
      <c r="Y156" s="530" t="s">
        <v>232</v>
      </c>
      <c r="Z156" s="39">
        <v>0</v>
      </c>
      <c r="AA156" s="518">
        <v>0</v>
      </c>
      <c r="AB156" s="394" t="s">
        <v>658</v>
      </c>
      <c r="AC156" s="519" t="str">
        <f>""</f>
        <v/>
      </c>
      <c r="AD156" s="520">
        <v>0</v>
      </c>
      <c r="AE156" s="520" t="s">
        <v>236</v>
      </c>
      <c r="AF156" s="520" t="s">
        <v>236</v>
      </c>
      <c r="AG156" s="520">
        <v>1</v>
      </c>
      <c r="AH156" s="520">
        <v>2</v>
      </c>
      <c r="AI156" s="520">
        <v>0</v>
      </c>
      <c r="AJ156" s="520">
        <f>VLOOKUP($I156,'Price List, Weapons &amp; Items'!A:E,5,0)</f>
        <v>0</v>
      </c>
      <c r="AK156" s="520">
        <f t="shared" si="32"/>
        <v>0</v>
      </c>
      <c r="AL156" s="520">
        <f t="shared" si="33"/>
        <v>0</v>
      </c>
      <c r="AM156" s="520">
        <f t="shared" si="34"/>
        <v>0</v>
      </c>
      <c r="AN156" s="521" t="str">
        <f>VLOOKUP($I156,'Price List, Weapons &amp; Items'!A:K,COLUMN('Price List, Weapons &amp; Items'!$I$1),0)</f>
        <v>Miscellaneous</v>
      </c>
      <c r="AO156" s="521" t="str">
        <f>IF(I156=".",".",VLOOKUP($I156,'Price List, Weapons &amp; Items'!A:I,3,0))</f>
        <v>.</v>
      </c>
      <c r="AP156" s="517" t="str">
        <f t="shared" ca="1" si="31"/>
        <v/>
      </c>
      <c r="AQ156" s="521">
        <f>VLOOKUP($I156,'Price List, Weapons &amp; Items'!A:K,COLUMN('Price List, Weapons &amp; Items'!$K$1),0)</f>
        <v>1</v>
      </c>
      <c r="AS156" s="521">
        <f t="shared" si="35"/>
        <v>1</v>
      </c>
      <c r="AT156" s="521">
        <f t="shared" si="36"/>
        <v>1</v>
      </c>
      <c r="AU156" s="521">
        <f t="shared" si="37"/>
        <v>1</v>
      </c>
      <c r="AV156" s="521" t="str">
        <f t="shared" si="38"/>
        <v>.</v>
      </c>
    </row>
    <row r="157" spans="1:48" ht="15" customHeight="1">
      <c r="A157" s="41" t="s">
        <v>664</v>
      </c>
      <c r="B157" s="41" t="s">
        <v>632</v>
      </c>
      <c r="C157" s="511">
        <v>44623</v>
      </c>
      <c r="D157" s="18" t="s">
        <v>252</v>
      </c>
      <c r="E157" s="18" t="s">
        <v>253</v>
      </c>
      <c r="F157" s="512" t="s">
        <v>665</v>
      </c>
      <c r="G157" s="39" t="s">
        <v>634</v>
      </c>
      <c r="H157" s="513">
        <v>17000000</v>
      </c>
      <c r="I157" s="523" t="s">
        <v>232</v>
      </c>
      <c r="J157" s="276" t="str">
        <f>VLOOKUP($I157,'Price List, Weapons &amp; Items'!A:B,2,0)</f>
        <v>.</v>
      </c>
      <c r="K157" s="276" t="str">
        <f>IF(I157=".",I157,VLOOKUP($I157,'Price List, Weapons &amp; Items'!A:C,3,0))</f>
        <v>.</v>
      </c>
      <c r="L157" s="514">
        <f>VLOOKUP(I157,'Price List, Weapons &amp; Items'!A:D,4,0)</f>
        <v>0</v>
      </c>
      <c r="M157" s="515" t="s">
        <v>232</v>
      </c>
      <c r="N157" s="515" t="s">
        <v>232</v>
      </c>
      <c r="O157" s="516" t="str">
        <f>VLOOKUP($I157,'Price List, Weapons &amp; Items'!A:F,6,0)</f>
        <v>.</v>
      </c>
      <c r="P157" s="513" t="str">
        <f t="shared" si="40"/>
        <v>.</v>
      </c>
      <c r="Q157" s="513" t="str">
        <f t="shared" si="41"/>
        <v>.</v>
      </c>
      <c r="R157" s="513">
        <f t="shared" si="30"/>
        <v>17000000</v>
      </c>
      <c r="S157" s="513">
        <f>IF(AND(AD157=1,R157&lt;&gt;".")=TRUE,R157/VLOOKUP(G157,'Exchange rates'!B:C,2,0),IF(R157=".",".",""))</f>
        <v>696093.68602080084</v>
      </c>
      <c r="T157" s="513">
        <f>IF(AD157=1,IF(AF157="Value is not given at all",".",IF(AF157="Value is given by the source",S157,IF(AF157="Value is calculated with prices",(IF(SUMIFS(Q:Q,A:A,A157)&gt;0,SUMIFS(Q:Q,A:A,A157),"."))/VLOOKUP("USD",'Exchange rates'!B:C,2,0),"Error with coding"))),"")</f>
        <v>696093.68602080084</v>
      </c>
      <c r="U157" s="39" t="s">
        <v>233</v>
      </c>
      <c r="V157" s="42" t="s">
        <v>666</v>
      </c>
      <c r="W157" s="42" t="s">
        <v>667</v>
      </c>
      <c r="X157" s="517" t="s">
        <v>232</v>
      </c>
      <c r="Y157" s="517" t="s">
        <v>232</v>
      </c>
      <c r="Z157" s="39">
        <v>0</v>
      </c>
      <c r="AA157" s="518">
        <v>0</v>
      </c>
      <c r="AB157" s="395" t="s">
        <v>658</v>
      </c>
      <c r="AC157" s="519" t="str">
        <f>""</f>
        <v/>
      </c>
      <c r="AD157" s="520">
        <v>1</v>
      </c>
      <c r="AE157" s="520" t="s">
        <v>236</v>
      </c>
      <c r="AF157" s="520" t="s">
        <v>236</v>
      </c>
      <c r="AG157" s="520">
        <v>1</v>
      </c>
      <c r="AH157" s="520">
        <v>3</v>
      </c>
      <c r="AI157" s="520">
        <v>0</v>
      </c>
      <c r="AJ157" s="520">
        <f>VLOOKUP($I157,'Price List, Weapons &amp; Items'!A:E,5,0)</f>
        <v>0</v>
      </c>
      <c r="AK157" s="520">
        <f t="shared" si="32"/>
        <v>0</v>
      </c>
      <c r="AL157" s="520">
        <f t="shared" si="33"/>
        <v>0</v>
      </c>
      <c r="AM157" s="520">
        <f t="shared" si="34"/>
        <v>0</v>
      </c>
      <c r="AN157" s="521" t="str">
        <f>VLOOKUP($I157,'Price List, Weapons &amp; Items'!A:K,COLUMN('Price List, Weapons &amp; Items'!$I$1),0)</f>
        <v>.</v>
      </c>
      <c r="AO157" s="521" t="str">
        <f>IF(I157=".",".",VLOOKUP($I157,'Price List, Weapons &amp; Items'!A:I,3,0))</f>
        <v>.</v>
      </c>
      <c r="AP157" s="517" t="str">
        <f t="shared" ca="1" si="31"/>
        <v>.</v>
      </c>
      <c r="AQ157" s="521" t="str">
        <f>VLOOKUP($I157,'Price List, Weapons &amp; Items'!A:K,COLUMN('Price List, Weapons &amp; Items'!$K$1),0)</f>
        <v>no price, 0 count</v>
      </c>
      <c r="AS157" s="521">
        <f t="shared" si="35"/>
        <v>1</v>
      </c>
      <c r="AT157" s="521">
        <f t="shared" si="36"/>
        <v>1</v>
      </c>
      <c r="AU157" s="521">
        <f t="shared" si="37"/>
        <v>1</v>
      </c>
      <c r="AV157" s="521" t="str">
        <f t="shared" si="38"/>
        <v>.</v>
      </c>
    </row>
    <row r="158" spans="1:48" ht="15" customHeight="1">
      <c r="A158" s="41" t="s">
        <v>668</v>
      </c>
      <c r="B158" s="41" t="s">
        <v>632</v>
      </c>
      <c r="C158" s="511">
        <v>44629</v>
      </c>
      <c r="D158" s="18" t="s">
        <v>252</v>
      </c>
      <c r="E158" s="18" t="s">
        <v>253</v>
      </c>
      <c r="F158" s="512" t="s">
        <v>669</v>
      </c>
      <c r="G158" s="39" t="s">
        <v>314</v>
      </c>
      <c r="H158" s="513">
        <v>31500000</v>
      </c>
      <c r="I158" s="523" t="s">
        <v>232</v>
      </c>
      <c r="J158" s="276" t="str">
        <f>VLOOKUP($I158,'Price List, Weapons &amp; Items'!A:B,2,0)</f>
        <v>.</v>
      </c>
      <c r="K158" s="276" t="str">
        <f>IF(I158=".",I158,VLOOKUP($I158,'Price List, Weapons &amp; Items'!A:C,3,0))</f>
        <v>.</v>
      </c>
      <c r="L158" s="514">
        <f>VLOOKUP(I158,'Price List, Weapons &amp; Items'!A:D,4,0)</f>
        <v>0</v>
      </c>
      <c r="M158" s="515" t="s">
        <v>232</v>
      </c>
      <c r="N158" s="515" t="s">
        <v>232</v>
      </c>
      <c r="O158" s="516" t="str">
        <f>VLOOKUP($I158,'Price List, Weapons &amp; Items'!A:F,6,0)</f>
        <v>.</v>
      </c>
      <c r="P158" s="513" t="str">
        <f t="shared" si="40"/>
        <v>.</v>
      </c>
      <c r="Q158" s="513" t="str">
        <f t="shared" si="41"/>
        <v>.</v>
      </c>
      <c r="R158" s="513">
        <f t="shared" si="30"/>
        <v>31500000</v>
      </c>
      <c r="S158" s="513">
        <f>IF(AND(AD158=1,R158&lt;&gt;".")=TRUE,R158/VLOOKUP(G158,'Exchange rates'!B:C,2,0),IF(R158=".",".",""))</f>
        <v>31390134.529147979</v>
      </c>
      <c r="T158" s="513">
        <f>IF(AD158=1,IF(AF158="Value is not given at all",".",IF(AF158="Value is given by the source",S158,IF(AF158="Value is calculated with prices",(IF(SUMIFS(Q:Q,A:A,A158)&gt;0,SUMIFS(Q:Q,A:A,A158),"."))/VLOOKUP("USD",'Exchange rates'!B:C,2,0),"Error with coding"))),"")</f>
        <v>31390134.529147979</v>
      </c>
      <c r="U158" s="39" t="s">
        <v>372</v>
      </c>
      <c r="V158" s="42" t="s">
        <v>670</v>
      </c>
      <c r="W158" s="42" t="s">
        <v>671</v>
      </c>
      <c r="X158" s="42" t="s">
        <v>672</v>
      </c>
      <c r="Y158" s="517" t="s">
        <v>232</v>
      </c>
      <c r="Z158" s="39">
        <v>0</v>
      </c>
      <c r="AA158" s="518">
        <v>0</v>
      </c>
      <c r="AB158" s="395" t="s">
        <v>658</v>
      </c>
      <c r="AC158" s="519" t="str">
        <f>""</f>
        <v/>
      </c>
      <c r="AD158" s="520">
        <v>1</v>
      </c>
      <c r="AE158" s="520" t="s">
        <v>236</v>
      </c>
      <c r="AF158" s="520" t="s">
        <v>236</v>
      </c>
      <c r="AG158" s="520">
        <v>1</v>
      </c>
      <c r="AH158" s="520">
        <v>3</v>
      </c>
      <c r="AI158" s="520">
        <v>0</v>
      </c>
      <c r="AJ158" s="520">
        <f>VLOOKUP($I158,'Price List, Weapons &amp; Items'!A:E,5,0)</f>
        <v>0</v>
      </c>
      <c r="AK158" s="520">
        <f t="shared" si="32"/>
        <v>0</v>
      </c>
      <c r="AL158" s="520">
        <f t="shared" si="33"/>
        <v>0</v>
      </c>
      <c r="AM158" s="520">
        <f t="shared" si="34"/>
        <v>0</v>
      </c>
      <c r="AN158" s="521" t="str">
        <f>VLOOKUP($I158,'Price List, Weapons &amp; Items'!A:K,COLUMN('Price List, Weapons &amp; Items'!$I$1),0)</f>
        <v>.</v>
      </c>
      <c r="AO158" s="521" t="str">
        <f>IF(I158=".",".",VLOOKUP($I158,'Price List, Weapons &amp; Items'!A:I,3,0))</f>
        <v>.</v>
      </c>
      <c r="AP158" s="517" t="str">
        <f t="shared" ca="1" si="31"/>
        <v>.</v>
      </c>
      <c r="AQ158" s="521" t="str">
        <f>VLOOKUP($I158,'Price List, Weapons &amp; Items'!A:K,COLUMN('Price List, Weapons &amp; Items'!$K$1),0)</f>
        <v>no price, 0 count</v>
      </c>
      <c r="AS158" s="521">
        <f t="shared" si="35"/>
        <v>0</v>
      </c>
      <c r="AT158" s="521">
        <f t="shared" si="36"/>
        <v>1</v>
      </c>
      <c r="AU158" s="521">
        <f t="shared" si="37"/>
        <v>1</v>
      </c>
      <c r="AV158" s="521" t="str">
        <f t="shared" si="38"/>
        <v>.</v>
      </c>
    </row>
    <row r="159" spans="1:48" ht="15" customHeight="1">
      <c r="A159" s="41" t="s">
        <v>673</v>
      </c>
      <c r="B159" s="41" t="s">
        <v>632</v>
      </c>
      <c r="C159" s="511">
        <v>44629</v>
      </c>
      <c r="D159" s="18" t="s">
        <v>252</v>
      </c>
      <c r="E159" s="18" t="s">
        <v>261</v>
      </c>
      <c r="F159" s="512" t="s">
        <v>674</v>
      </c>
      <c r="G159" s="39" t="s">
        <v>634</v>
      </c>
      <c r="H159" s="513">
        <v>24000000</v>
      </c>
      <c r="I159" s="523" t="s">
        <v>232</v>
      </c>
      <c r="J159" s="276" t="str">
        <f>VLOOKUP($I159,'Price List, Weapons &amp; Items'!A:B,2,0)</f>
        <v>.</v>
      </c>
      <c r="K159" s="276" t="str">
        <f>IF(I159=".",I159,VLOOKUP($I159,'Price List, Weapons &amp; Items'!A:C,3,0))</f>
        <v>.</v>
      </c>
      <c r="L159" s="514">
        <f>VLOOKUP(I159,'Price List, Weapons &amp; Items'!A:D,4,0)</f>
        <v>0</v>
      </c>
      <c r="M159" s="515" t="s">
        <v>232</v>
      </c>
      <c r="N159" s="515" t="s">
        <v>232</v>
      </c>
      <c r="O159" s="516" t="str">
        <f>VLOOKUP($I159,'Price List, Weapons &amp; Items'!A:F,6,0)</f>
        <v>.</v>
      </c>
      <c r="P159" s="513" t="str">
        <f t="shared" si="40"/>
        <v>.</v>
      </c>
      <c r="Q159" s="513" t="str">
        <f t="shared" si="41"/>
        <v>.</v>
      </c>
      <c r="R159" s="513">
        <f t="shared" si="30"/>
        <v>24000000</v>
      </c>
      <c r="S159" s="513">
        <f>IF(AND(AD159=1,R159&lt;&gt;".")=TRUE,R159/VLOOKUP(G159,'Exchange rates'!B:C,2,0),IF(R159=".",".",""))</f>
        <v>982720.49791171891</v>
      </c>
      <c r="T159" s="513">
        <f>IF(AD159=1,IF(AF159="Value is not given at all",".",IF(AF159="Value is given by the source",S159,IF(AF159="Value is calculated with prices",(IF(SUMIFS(Q:Q,A:A,A159)&gt;0,SUMIFS(Q:Q,A:A,A159),"."))/VLOOKUP("USD",'Exchange rates'!B:C,2,0),"Error with coding"))),"")</f>
        <v>982720.49791171891</v>
      </c>
      <c r="U159" s="39" t="s">
        <v>233</v>
      </c>
      <c r="V159" s="42" t="s">
        <v>675</v>
      </c>
      <c r="W159" s="378" t="s">
        <v>232</v>
      </c>
      <c r="X159" s="378" t="s">
        <v>232</v>
      </c>
      <c r="Y159" s="517" t="s">
        <v>232</v>
      </c>
      <c r="Z159" s="39">
        <v>0</v>
      </c>
      <c r="AA159" s="518">
        <v>0</v>
      </c>
      <c r="AB159" s="395" t="s">
        <v>658</v>
      </c>
      <c r="AC159" s="519" t="str">
        <f>""</f>
        <v/>
      </c>
      <c r="AD159" s="520">
        <v>1</v>
      </c>
      <c r="AE159" s="520" t="s">
        <v>236</v>
      </c>
      <c r="AF159" s="520" t="s">
        <v>236</v>
      </c>
      <c r="AG159" s="520">
        <v>1</v>
      </c>
      <c r="AH159" s="520">
        <v>3</v>
      </c>
      <c r="AI159" s="520">
        <v>0</v>
      </c>
      <c r="AJ159" s="520">
        <f>VLOOKUP($I159,'Price List, Weapons &amp; Items'!A:E,5,0)</f>
        <v>0</v>
      </c>
      <c r="AK159" s="520">
        <f t="shared" si="32"/>
        <v>0</v>
      </c>
      <c r="AL159" s="520">
        <f t="shared" si="33"/>
        <v>0</v>
      </c>
      <c r="AM159" s="520">
        <f t="shared" si="34"/>
        <v>0</v>
      </c>
      <c r="AN159" s="521" t="str">
        <f>VLOOKUP($I159,'Price List, Weapons &amp; Items'!A:K,COLUMN('Price List, Weapons &amp; Items'!$I$1),0)</f>
        <v>.</v>
      </c>
      <c r="AO159" s="521" t="str">
        <f>IF(I159=".",".",VLOOKUP($I159,'Price List, Weapons &amp; Items'!A:I,3,0))</f>
        <v>.</v>
      </c>
      <c r="AP159" s="517" t="str">
        <f t="shared" ca="1" si="31"/>
        <v>.</v>
      </c>
      <c r="AQ159" s="521" t="str">
        <f>VLOOKUP($I159,'Price List, Weapons &amp; Items'!A:K,COLUMN('Price List, Weapons &amp; Items'!$K$1),0)</f>
        <v>no price, 0 count</v>
      </c>
      <c r="AS159" s="521">
        <f t="shared" si="35"/>
        <v>1</v>
      </c>
      <c r="AT159" s="521">
        <f t="shared" si="36"/>
        <v>1</v>
      </c>
      <c r="AU159" s="521">
        <f t="shared" si="37"/>
        <v>1</v>
      </c>
      <c r="AV159" s="521" t="str">
        <f t="shared" si="38"/>
        <v>.</v>
      </c>
    </row>
    <row r="160" spans="1:48" ht="15" customHeight="1">
      <c r="A160" s="41" t="s">
        <v>676</v>
      </c>
      <c r="B160" s="41" t="s">
        <v>632</v>
      </c>
      <c r="C160" s="511">
        <v>44630</v>
      </c>
      <c r="D160" s="18" t="s">
        <v>252</v>
      </c>
      <c r="E160" s="18" t="s">
        <v>261</v>
      </c>
      <c r="F160" s="512" t="s">
        <v>677</v>
      </c>
      <c r="G160" s="39" t="s">
        <v>314</v>
      </c>
      <c r="H160" s="513" t="s">
        <v>309</v>
      </c>
      <c r="I160" s="523" t="s">
        <v>446</v>
      </c>
      <c r="J160" s="276" t="str">
        <f>VLOOKUP($I160,'Price List, Weapons &amp; Items'!A:B,2,0)</f>
        <v>Military equipment</v>
      </c>
      <c r="K160" s="276" t="str">
        <f>IF(I160=".",I160,VLOOKUP($I160,'Price List, Weapons &amp; Items'!A:C,3,0))</f>
        <v>.</v>
      </c>
      <c r="L160" s="514">
        <f>VLOOKUP(I160,'Price List, Weapons &amp; Items'!A:D,4,0)</f>
        <v>0</v>
      </c>
      <c r="M160" s="515">
        <v>22</v>
      </c>
      <c r="N160" s="515">
        <v>22</v>
      </c>
      <c r="O160" s="516">
        <f>VLOOKUP($I160,'Price List, Weapons &amp; Items'!A:F,6,0)</f>
        <v>500</v>
      </c>
      <c r="P160" s="513">
        <f t="shared" si="40"/>
        <v>11000</v>
      </c>
      <c r="Q160" s="513">
        <f t="shared" si="41"/>
        <v>11000</v>
      </c>
      <c r="R160" s="513">
        <f t="shared" si="30"/>
        <v>11000</v>
      </c>
      <c r="S160" s="513">
        <f>IF(AND(AD160=1,R160&lt;&gt;".")=TRUE,R160/VLOOKUP(G160,'Exchange rates'!B:C,2,0),IF(R160=".",".",""))</f>
        <v>10961.634280019929</v>
      </c>
      <c r="T160" s="513">
        <f>IF(AD160=1,IF(AF160="Value is not given at all",".",IF(AF160="Value is given by the source",S160,IF(AF160="Value is calculated with prices",(IF(SUMIFS(Q:Q,A:A,A160)&gt;0,SUMIFS(Q:Q,A:A,A160),"."))/VLOOKUP("USD",'Exchange rates'!B:C,2,0),"Error with coding"))),"")</f>
        <v>10961.634280019929</v>
      </c>
      <c r="U160" s="39" t="s">
        <v>233</v>
      </c>
      <c r="V160" s="42" t="s">
        <v>675</v>
      </c>
      <c r="W160" s="378" t="s">
        <v>232</v>
      </c>
      <c r="X160" s="378" t="s">
        <v>232</v>
      </c>
      <c r="Y160" s="517" t="s">
        <v>232</v>
      </c>
      <c r="Z160" s="39">
        <v>0</v>
      </c>
      <c r="AA160" s="518">
        <v>0</v>
      </c>
      <c r="AB160" s="394" t="s">
        <v>658</v>
      </c>
      <c r="AC160" s="519" t="str">
        <f>""</f>
        <v/>
      </c>
      <c r="AD160" s="520">
        <v>1</v>
      </c>
      <c r="AE160" s="520" t="s">
        <v>300</v>
      </c>
      <c r="AF160" s="520" t="s">
        <v>300</v>
      </c>
      <c r="AG160" s="520">
        <v>1</v>
      </c>
      <c r="AH160" s="520">
        <v>3</v>
      </c>
      <c r="AI160" s="520">
        <v>0</v>
      </c>
      <c r="AJ160" s="520">
        <f>VLOOKUP($I160,'Price List, Weapons &amp; Items'!A:E,5,0)</f>
        <v>0</v>
      </c>
      <c r="AK160" s="520">
        <f t="shared" si="32"/>
        <v>0</v>
      </c>
      <c r="AL160" s="520">
        <f t="shared" si="33"/>
        <v>0</v>
      </c>
      <c r="AM160" s="520">
        <f t="shared" si="34"/>
        <v>0</v>
      </c>
      <c r="AN160" s="521" t="str">
        <f>VLOOKUP($I160,'Price List, Weapons &amp; Items'!A:K,COLUMN('Price List, Weapons &amp; Items'!$I$1),0)</f>
        <v>Military media (incl. websites)</v>
      </c>
      <c r="AO160" s="521" t="str">
        <f>IF(I160=".",".",VLOOKUP($I160,'Price List, Weapons &amp; Items'!A:I,3,0))</f>
        <v>.</v>
      </c>
      <c r="AP160" s="517" t="str">
        <f t="shared" ca="1" si="31"/>
        <v>ballistic vest</v>
      </c>
      <c r="AQ160" s="521">
        <f>VLOOKUP($I160,'Price List, Weapons &amp; Items'!A:K,COLUMN('Price List, Weapons &amp; Items'!$K$1),0)</f>
        <v>2</v>
      </c>
      <c r="AS160" s="521">
        <f t="shared" si="35"/>
        <v>1</v>
      </c>
      <c r="AT160" s="521">
        <f t="shared" si="36"/>
        <v>1</v>
      </c>
      <c r="AU160" s="521">
        <f t="shared" si="37"/>
        <v>1</v>
      </c>
      <c r="AV160" s="521" t="str">
        <f t="shared" si="38"/>
        <v>.</v>
      </c>
    </row>
    <row r="161" spans="1:48" ht="15" customHeight="1">
      <c r="A161" s="41" t="s">
        <v>678</v>
      </c>
      <c r="B161" s="41" t="s">
        <v>632</v>
      </c>
      <c r="C161" s="511" t="s">
        <v>679</v>
      </c>
      <c r="D161" s="18" t="s">
        <v>252</v>
      </c>
      <c r="E161" s="18" t="s">
        <v>261</v>
      </c>
      <c r="F161" s="512" t="s">
        <v>680</v>
      </c>
      <c r="G161" s="39" t="s">
        <v>634</v>
      </c>
      <c r="H161" s="513">
        <v>53260000</v>
      </c>
      <c r="I161" s="523" t="s">
        <v>232</v>
      </c>
      <c r="J161" s="276" t="str">
        <f>VLOOKUP($I161,'Price List, Weapons &amp; Items'!A:B,2,0)</f>
        <v>.</v>
      </c>
      <c r="K161" s="276" t="str">
        <f>IF(I161=".",I161,VLOOKUP($I161,'Price List, Weapons &amp; Items'!A:C,3,0))</f>
        <v>.</v>
      </c>
      <c r="L161" s="514">
        <f>VLOOKUP(I161,'Price List, Weapons &amp; Items'!A:D,4,0)</f>
        <v>0</v>
      </c>
      <c r="M161" s="515" t="s">
        <v>232</v>
      </c>
      <c r="N161" s="515" t="s">
        <v>232</v>
      </c>
      <c r="O161" s="516" t="str">
        <f>VLOOKUP($I161,'Price List, Weapons &amp; Items'!A:F,6,0)</f>
        <v>.</v>
      </c>
      <c r="P161" s="513" t="str">
        <f t="shared" si="40"/>
        <v>.</v>
      </c>
      <c r="Q161" s="513" t="str">
        <f t="shared" si="41"/>
        <v>.</v>
      </c>
      <c r="R161" s="513">
        <f t="shared" si="30"/>
        <v>53260000</v>
      </c>
      <c r="S161" s="513">
        <f>IF(AND(AD161=1,R161&lt;&gt;".")=TRUE,R161/VLOOKUP(G161,'Exchange rates'!B:C,2,0),IF(R161=".",".",""))</f>
        <v>2180820.571615756</v>
      </c>
      <c r="T161" s="513">
        <f>IF(AD161=1,IF(AF161="Value is not given at all",".",IF(AF161="Value is given by the source",S161,IF(AF161="Value is calculated with prices",(IF(SUMIFS(Q:Q,A:A,A161)&gt;0,SUMIFS(Q:Q,A:A,A161),"."))/VLOOKUP("USD",'Exchange rates'!B:C,2,0),"Error with coding"))),"")</f>
        <v>2180820.571615756</v>
      </c>
      <c r="U161" s="39" t="s">
        <v>233</v>
      </c>
      <c r="V161" s="42" t="s">
        <v>675</v>
      </c>
      <c r="W161" s="378" t="s">
        <v>232</v>
      </c>
      <c r="X161" s="378" t="s">
        <v>232</v>
      </c>
      <c r="Y161" s="517" t="s">
        <v>232</v>
      </c>
      <c r="Z161" s="39">
        <v>0</v>
      </c>
      <c r="AA161" s="518">
        <v>0</v>
      </c>
      <c r="AB161" s="394" t="s">
        <v>658</v>
      </c>
      <c r="AC161" s="519" t="str">
        <f>""</f>
        <v/>
      </c>
      <c r="AD161" s="520">
        <v>1</v>
      </c>
      <c r="AE161" s="520" t="s">
        <v>236</v>
      </c>
      <c r="AF161" s="520" t="s">
        <v>236</v>
      </c>
      <c r="AG161" s="520">
        <v>0</v>
      </c>
      <c r="AH161" s="520">
        <v>0</v>
      </c>
      <c r="AI161" s="520">
        <v>0</v>
      </c>
      <c r="AJ161" s="520">
        <f>VLOOKUP($I161,'Price List, Weapons &amp; Items'!A:E,5,0)</f>
        <v>0</v>
      </c>
      <c r="AK161" s="520">
        <f t="shared" si="32"/>
        <v>0</v>
      </c>
      <c r="AL161" s="520">
        <f t="shared" si="33"/>
        <v>0</v>
      </c>
      <c r="AM161" s="520">
        <f t="shared" si="34"/>
        <v>0</v>
      </c>
      <c r="AN161" s="521" t="str">
        <f>VLOOKUP($I161,'Price List, Weapons &amp; Items'!A:K,COLUMN('Price List, Weapons &amp; Items'!$I$1),0)</f>
        <v>.</v>
      </c>
      <c r="AO161" s="521" t="str">
        <f>IF(I161=".",".",VLOOKUP($I161,'Price List, Weapons &amp; Items'!A:I,3,0))</f>
        <v>.</v>
      </c>
      <c r="AP161" s="517" t="str">
        <f t="shared" ca="1" si="31"/>
        <v>.</v>
      </c>
      <c r="AQ161" s="521" t="str">
        <f>VLOOKUP($I161,'Price List, Weapons &amp; Items'!A:K,COLUMN('Price List, Weapons &amp; Items'!$K$1),0)</f>
        <v>no price, 0 count</v>
      </c>
      <c r="AS161" s="521">
        <f t="shared" si="35"/>
        <v>1</v>
      </c>
      <c r="AT161" s="521">
        <f t="shared" si="36"/>
        <v>1</v>
      </c>
      <c r="AU161" s="521" t="str">
        <f t="shared" si="37"/>
        <v>Value is not in date format</v>
      </c>
      <c r="AV161" s="521" t="str">
        <f t="shared" si="38"/>
        <v>.</v>
      </c>
    </row>
    <row r="162" spans="1:48" ht="15" customHeight="1">
      <c r="A162" s="41" t="s">
        <v>681</v>
      </c>
      <c r="B162" s="41" t="s">
        <v>632</v>
      </c>
      <c r="C162" s="511" t="s">
        <v>682</v>
      </c>
      <c r="D162" s="18" t="s">
        <v>252</v>
      </c>
      <c r="E162" s="18" t="s">
        <v>261</v>
      </c>
      <c r="F162" s="512" t="s">
        <v>683</v>
      </c>
      <c r="G162" s="39" t="s">
        <v>634</v>
      </c>
      <c r="H162" s="513">
        <v>30000000</v>
      </c>
      <c r="I162" s="523" t="s">
        <v>232</v>
      </c>
      <c r="J162" s="276" t="str">
        <f>VLOOKUP($I162,'Price List, Weapons &amp; Items'!A:B,2,0)</f>
        <v>.</v>
      </c>
      <c r="K162" s="276" t="str">
        <f>IF(I162=".",I162,VLOOKUP($I162,'Price List, Weapons &amp; Items'!A:C,3,0))</f>
        <v>.</v>
      </c>
      <c r="L162" s="514">
        <f>VLOOKUP(I162,'Price List, Weapons &amp; Items'!A:D,4,0)</f>
        <v>0</v>
      </c>
      <c r="M162" s="515" t="s">
        <v>232</v>
      </c>
      <c r="N162" s="515" t="s">
        <v>232</v>
      </c>
      <c r="O162" s="516" t="str">
        <f>VLOOKUP($I162,'Price List, Weapons &amp; Items'!A:F,6,0)</f>
        <v>.</v>
      </c>
      <c r="P162" s="513" t="str">
        <f t="shared" si="40"/>
        <v>.</v>
      </c>
      <c r="Q162" s="513" t="str">
        <f t="shared" si="41"/>
        <v>.</v>
      </c>
      <c r="R162" s="513">
        <f t="shared" si="30"/>
        <v>30000000</v>
      </c>
      <c r="S162" s="513">
        <f>IF(AND(AD162=1,R162&lt;&gt;".")=TRUE,R162/VLOOKUP(G162,'Exchange rates'!B:C,2,0),IF(R162=".",".",""))</f>
        <v>1228400.6223896486</v>
      </c>
      <c r="T162" s="513">
        <f>IF(AD162=1,IF(AF162="Value is not given at all",".",IF(AF162="Value is given by the source",S162,IF(AF162="Value is calculated with prices",(IF(SUMIFS(Q:Q,A:A,A162)&gt;0,SUMIFS(Q:Q,A:A,A162),"."))/VLOOKUP("USD",'Exchange rates'!B:C,2,0),"Error with coding"))),"")</f>
        <v>1228400.6223896486</v>
      </c>
      <c r="U162" s="39" t="s">
        <v>233</v>
      </c>
      <c r="V162" s="42" t="s">
        <v>684</v>
      </c>
      <c r="W162" s="42" t="s">
        <v>675</v>
      </c>
      <c r="X162" s="378" t="s">
        <v>232</v>
      </c>
      <c r="Y162" s="517" t="s">
        <v>232</v>
      </c>
      <c r="Z162" s="39">
        <v>0</v>
      </c>
      <c r="AA162" s="518">
        <v>0</v>
      </c>
      <c r="AB162" s="394" t="s">
        <v>658</v>
      </c>
      <c r="AC162" s="519" t="str">
        <f>""</f>
        <v/>
      </c>
      <c r="AD162" s="520">
        <v>1</v>
      </c>
      <c r="AE162" s="520" t="s">
        <v>236</v>
      </c>
      <c r="AF162" s="520" t="s">
        <v>236</v>
      </c>
      <c r="AG162" s="520">
        <v>0</v>
      </c>
      <c r="AH162" s="520">
        <v>0</v>
      </c>
      <c r="AI162" s="520">
        <v>0</v>
      </c>
      <c r="AJ162" s="520">
        <f>VLOOKUP($I162,'Price List, Weapons &amp; Items'!A:E,5,0)</f>
        <v>0</v>
      </c>
      <c r="AK162" s="520">
        <f t="shared" si="32"/>
        <v>0</v>
      </c>
      <c r="AL162" s="520">
        <f t="shared" si="33"/>
        <v>0</v>
      </c>
      <c r="AM162" s="520">
        <f t="shared" si="34"/>
        <v>0</v>
      </c>
      <c r="AN162" s="521" t="str">
        <f>VLOOKUP($I162,'Price List, Weapons &amp; Items'!A:K,COLUMN('Price List, Weapons &amp; Items'!$I$1),0)</f>
        <v>.</v>
      </c>
      <c r="AO162" s="521" t="str">
        <f>IF(I162=".",".",VLOOKUP($I162,'Price List, Weapons &amp; Items'!A:I,3,0))</f>
        <v>.</v>
      </c>
      <c r="AP162" s="517" t="str">
        <f t="shared" ca="1" si="31"/>
        <v>.</v>
      </c>
      <c r="AQ162" s="521" t="str">
        <f>VLOOKUP($I162,'Price List, Weapons &amp; Items'!A:K,COLUMN('Price List, Weapons &amp; Items'!$K$1),0)</f>
        <v>no price, 0 count</v>
      </c>
      <c r="AS162" s="521">
        <f t="shared" si="35"/>
        <v>1</v>
      </c>
      <c r="AT162" s="521">
        <f t="shared" si="36"/>
        <v>1</v>
      </c>
      <c r="AU162" s="521" t="str">
        <f t="shared" si="37"/>
        <v>Value is not in date format</v>
      </c>
      <c r="AV162" s="521" t="str">
        <f t="shared" si="38"/>
        <v>.</v>
      </c>
    </row>
    <row r="163" spans="1:48" ht="15" customHeight="1">
      <c r="A163" s="41" t="s">
        <v>685</v>
      </c>
      <c r="B163" s="41" t="s">
        <v>632</v>
      </c>
      <c r="C163" s="511" t="s">
        <v>682</v>
      </c>
      <c r="D163" s="18" t="s">
        <v>252</v>
      </c>
      <c r="E163" s="18" t="s">
        <v>261</v>
      </c>
      <c r="F163" s="512" t="s">
        <v>686</v>
      </c>
      <c r="G163" s="39" t="s">
        <v>634</v>
      </c>
      <c r="H163" s="513">
        <v>4500000</v>
      </c>
      <c r="I163" s="523" t="s">
        <v>687</v>
      </c>
      <c r="J163" s="276" t="str">
        <f>VLOOKUP($I163,'Price List, Weapons &amp; Items'!A:B,2,0)</f>
        <v>Humanitarian</v>
      </c>
      <c r="K163" s="276" t="str">
        <f>IF(I163=".",I163,VLOOKUP($I163,'Price List, Weapons &amp; Items'!A:C,3,0))</f>
        <v>.</v>
      </c>
      <c r="L163" s="514">
        <f>VLOOKUP(I163,'Price List, Weapons &amp; Items'!A:D,4,0)</f>
        <v>0</v>
      </c>
      <c r="M163" s="515">
        <v>6</v>
      </c>
      <c r="N163" s="515" t="s">
        <v>232</v>
      </c>
      <c r="O163" s="516">
        <f>VLOOKUP($I163,'Price List, Weapons &amp; Items'!A:F,6,0)</f>
        <v>400000</v>
      </c>
      <c r="P163" s="513">
        <f t="shared" si="40"/>
        <v>2400000</v>
      </c>
      <c r="Q163" s="513" t="str">
        <f t="shared" si="41"/>
        <v>.</v>
      </c>
      <c r="R163" s="513">
        <f t="shared" si="30"/>
        <v>4500000</v>
      </c>
      <c r="S163" s="513">
        <f>IF(AND(AD163=1,R163&lt;&gt;".")=TRUE,R163/VLOOKUP(G163,'Exchange rates'!B:C,2,0),IF(R163=".",".",""))</f>
        <v>184260.09335844731</v>
      </c>
      <c r="T163" s="513">
        <f>IF(AD163=1,IF(AF163="Value is not given at all",".",IF(AF163="Value is given by the source",S163,IF(AF163="Value is calculated with prices",(IF(SUMIFS(Q:Q,A:A,A163)&gt;0,SUMIFS(Q:Q,A:A,A163),"."))/VLOOKUP("USD",'Exchange rates'!B:C,2,0),"Error with coding"))),"")</f>
        <v>184260.09335844731</v>
      </c>
      <c r="U163" s="39" t="s">
        <v>233</v>
      </c>
      <c r="V163" s="42" t="s">
        <v>675</v>
      </c>
      <c r="W163" s="378" t="s">
        <v>232</v>
      </c>
      <c r="X163" s="378" t="s">
        <v>232</v>
      </c>
      <c r="Y163" s="517" t="s">
        <v>232</v>
      </c>
      <c r="Z163" s="39">
        <v>0</v>
      </c>
      <c r="AA163" s="518">
        <v>0</v>
      </c>
      <c r="AB163" s="394" t="s">
        <v>658</v>
      </c>
      <c r="AC163" s="519" t="str">
        <f>""</f>
        <v/>
      </c>
      <c r="AD163" s="520">
        <v>1</v>
      </c>
      <c r="AE163" s="520" t="s">
        <v>236</v>
      </c>
      <c r="AF163" s="520" t="s">
        <v>236</v>
      </c>
      <c r="AG163" s="520">
        <v>0</v>
      </c>
      <c r="AH163" s="520">
        <v>0</v>
      </c>
      <c r="AI163" s="520">
        <v>0</v>
      </c>
      <c r="AJ163" s="520">
        <f>VLOOKUP($I163,'Price List, Weapons &amp; Items'!A:E,5,0)</f>
        <v>0</v>
      </c>
      <c r="AK163" s="520">
        <f t="shared" si="32"/>
        <v>0</v>
      </c>
      <c r="AL163" s="520">
        <f t="shared" si="33"/>
        <v>0</v>
      </c>
      <c r="AM163" s="520">
        <f t="shared" si="34"/>
        <v>0</v>
      </c>
      <c r="AN163" s="521" t="str">
        <f>VLOOKUP($I163,'Price List, Weapons &amp; Items'!A:K,COLUMN('Price List, Weapons &amp; Items'!$I$1),0)</f>
        <v>Media reports (incl. social media)</v>
      </c>
      <c r="AO163" s="521" t="str">
        <f>IF(I163=".",".",VLOOKUP($I163,'Price List, Weapons &amp; Items'!A:I,3,0))</f>
        <v>.</v>
      </c>
      <c r="AP163" s="517" t="str">
        <f t="shared" ca="1" si="31"/>
        <v>fire-engine</v>
      </c>
      <c r="AQ163" s="521">
        <f>VLOOKUP($I163,'Price List, Weapons &amp; Items'!A:K,COLUMN('Price List, Weapons &amp; Items'!$K$1),0)</f>
        <v>0</v>
      </c>
      <c r="AS163" s="521">
        <f t="shared" si="35"/>
        <v>1</v>
      </c>
      <c r="AT163" s="521">
        <f t="shared" si="36"/>
        <v>1</v>
      </c>
      <c r="AU163" s="521" t="str">
        <f t="shared" si="37"/>
        <v>Value is not in date format</v>
      </c>
      <c r="AV163" s="521" t="str">
        <f t="shared" si="38"/>
        <v>.</v>
      </c>
    </row>
    <row r="164" spans="1:48" ht="15" customHeight="1">
      <c r="A164" s="41" t="s">
        <v>688</v>
      </c>
      <c r="B164" s="41" t="s">
        <v>632</v>
      </c>
      <c r="C164" s="511">
        <v>44643</v>
      </c>
      <c r="D164" s="18" t="s">
        <v>252</v>
      </c>
      <c r="E164" s="18" t="s">
        <v>253</v>
      </c>
      <c r="F164" s="512" t="s">
        <v>689</v>
      </c>
      <c r="G164" s="39" t="s">
        <v>232</v>
      </c>
      <c r="H164" s="513" t="s">
        <v>309</v>
      </c>
      <c r="I164" s="523" t="s">
        <v>232</v>
      </c>
      <c r="J164" s="276" t="str">
        <f>VLOOKUP($I164,'Price List, Weapons &amp; Items'!A:B,2,0)</f>
        <v>.</v>
      </c>
      <c r="K164" s="276" t="str">
        <f>IF(I164=".",I164,VLOOKUP($I164,'Price List, Weapons &amp; Items'!A:C,3,0))</f>
        <v>.</v>
      </c>
      <c r="L164" s="514">
        <f>VLOOKUP(I164,'Price List, Weapons &amp; Items'!A:D,4,0)</f>
        <v>0</v>
      </c>
      <c r="M164" s="515" t="s">
        <v>232</v>
      </c>
      <c r="N164" s="515" t="s">
        <v>232</v>
      </c>
      <c r="O164" s="516" t="str">
        <f>VLOOKUP($I164,'Price List, Weapons &amp; Items'!A:F,6,0)</f>
        <v>.</v>
      </c>
      <c r="P164" s="513" t="str">
        <f t="shared" si="40"/>
        <v>.</v>
      </c>
      <c r="Q164" s="513" t="str">
        <f t="shared" si="41"/>
        <v>.</v>
      </c>
      <c r="R164" s="513" t="str">
        <f t="shared" si="30"/>
        <v>.</v>
      </c>
      <c r="S164" s="513" t="str">
        <f>IF(AND(AD164=1,R164&lt;&gt;".")=TRUE,R164/VLOOKUP(G164,'Exchange rates'!B:C,2,0),IF(R164=".",".",""))</f>
        <v>.</v>
      </c>
      <c r="T164" s="513" t="str">
        <f>IF(AD164=1,IF(AF164="Value is not given at all",".",IF(AF164="Value is given by the source",S164,IF(AF164="Value is calculated with prices",(IF(SUMIFS(Q:Q,A:A,A164)&gt;0,SUMIFS(Q:Q,A:A,A164),"."))/VLOOKUP("USD",'Exchange rates'!B:C,2,0),"Error with coding"))),"")</f>
        <v>.</v>
      </c>
      <c r="U164" s="39" t="s">
        <v>372</v>
      </c>
      <c r="V164" s="42" t="s">
        <v>670</v>
      </c>
      <c r="W164" s="42" t="s">
        <v>675</v>
      </c>
      <c r="X164" s="378" t="s">
        <v>232</v>
      </c>
      <c r="Y164" s="517" t="s">
        <v>232</v>
      </c>
      <c r="Z164" s="39">
        <v>0</v>
      </c>
      <c r="AA164" s="518">
        <v>0</v>
      </c>
      <c r="AB164" s="38" t="s">
        <v>232</v>
      </c>
      <c r="AC164" s="519" t="str">
        <f>""</f>
        <v/>
      </c>
      <c r="AD164" s="520">
        <v>1</v>
      </c>
      <c r="AE164" s="520" t="s">
        <v>237</v>
      </c>
      <c r="AF164" s="520" t="s">
        <v>237</v>
      </c>
      <c r="AG164" s="520">
        <v>1</v>
      </c>
      <c r="AH164" s="520">
        <v>3</v>
      </c>
      <c r="AI164" s="520">
        <v>0</v>
      </c>
      <c r="AJ164" s="520">
        <f>VLOOKUP($I164,'Price List, Weapons &amp; Items'!A:E,5,0)</f>
        <v>0</v>
      </c>
      <c r="AK164" s="520">
        <f t="shared" si="32"/>
        <v>0</v>
      </c>
      <c r="AL164" s="520">
        <f t="shared" si="33"/>
        <v>0</v>
      </c>
      <c r="AM164" s="520">
        <f t="shared" si="34"/>
        <v>0</v>
      </c>
      <c r="AN164" s="521" t="str">
        <f>VLOOKUP($I164,'Price List, Weapons &amp; Items'!A:K,COLUMN('Price List, Weapons &amp; Items'!$I$1),0)</f>
        <v>.</v>
      </c>
      <c r="AO164" s="521" t="str">
        <f>IF(I164=".",".",VLOOKUP($I164,'Price List, Weapons &amp; Items'!A:I,3,0))</f>
        <v>.</v>
      </c>
      <c r="AP164" s="517" t="str">
        <f t="shared" ca="1" si="31"/>
        <v>.</v>
      </c>
      <c r="AQ164" s="521" t="str">
        <f>VLOOKUP($I164,'Price List, Weapons &amp; Items'!A:K,COLUMN('Price List, Weapons &amp; Items'!$K$1),0)</f>
        <v>no price, 0 count</v>
      </c>
      <c r="AS164" s="521">
        <f t="shared" si="35"/>
        <v>0</v>
      </c>
      <c r="AT164" s="521">
        <f t="shared" si="36"/>
        <v>1</v>
      </c>
      <c r="AU164" s="521">
        <f t="shared" si="37"/>
        <v>1</v>
      </c>
      <c r="AV164" s="521" t="str">
        <f t="shared" si="38"/>
        <v>.</v>
      </c>
    </row>
    <row r="165" spans="1:48" ht="15" customHeight="1">
      <c r="A165" s="41" t="s">
        <v>690</v>
      </c>
      <c r="B165" s="41" t="s">
        <v>632</v>
      </c>
      <c r="C165" s="511">
        <v>44650</v>
      </c>
      <c r="D165" s="18" t="s">
        <v>252</v>
      </c>
      <c r="E165" s="18" t="s">
        <v>261</v>
      </c>
      <c r="F165" s="512" t="s">
        <v>691</v>
      </c>
      <c r="G165" s="39" t="s">
        <v>634</v>
      </c>
      <c r="H165" s="513">
        <v>857000</v>
      </c>
      <c r="I165" s="523" t="s">
        <v>446</v>
      </c>
      <c r="J165" s="276" t="str">
        <f>VLOOKUP($I165,'Price List, Weapons &amp; Items'!A:B,2,0)</f>
        <v>Military equipment</v>
      </c>
      <c r="K165" s="276" t="str">
        <f>IF(I165=".",I165,VLOOKUP($I165,'Price List, Weapons &amp; Items'!A:C,3,0))</f>
        <v>.</v>
      </c>
      <c r="L165" s="514">
        <f>VLOOKUP(I165,'Price List, Weapons &amp; Items'!A:D,4,0)</f>
        <v>0</v>
      </c>
      <c r="M165" s="515">
        <v>52</v>
      </c>
      <c r="N165" s="515" t="s">
        <v>232</v>
      </c>
      <c r="O165" s="516">
        <f>VLOOKUP($I165,'Price List, Weapons &amp; Items'!A:F,6,0)</f>
        <v>500</v>
      </c>
      <c r="P165" s="513">
        <f t="shared" si="40"/>
        <v>26000</v>
      </c>
      <c r="Q165" s="513" t="str">
        <f t="shared" si="41"/>
        <v>.</v>
      </c>
      <c r="R165" s="513">
        <f t="shared" si="30"/>
        <v>857000</v>
      </c>
      <c r="S165" s="513">
        <f>IF(AND(AD165=1,R165&lt;&gt;".")=TRUE,R165/VLOOKUP(G165,'Exchange rates'!B:C,2,0),IF(R165=".",".",""))</f>
        <v>35091.311112930962</v>
      </c>
      <c r="T165" s="513">
        <f>IF(AD165=1,IF(AF165="Value is not given at all",".",IF(AF165="Value is given by the source",S165,IF(AF165="Value is calculated with prices",(IF(SUMIFS(Q:Q,A:A,A165)&gt;0,SUMIFS(Q:Q,A:A,A165),"."))/VLOOKUP("USD",'Exchange rates'!B:C,2,0),"Error with coding"))),"")</f>
        <v>35091.311112930962</v>
      </c>
      <c r="U165" s="39" t="s">
        <v>233</v>
      </c>
      <c r="V165" s="42" t="s">
        <v>675</v>
      </c>
      <c r="W165" s="378" t="s">
        <v>232</v>
      </c>
      <c r="X165" s="378" t="s">
        <v>232</v>
      </c>
      <c r="Y165" s="517" t="s">
        <v>232</v>
      </c>
      <c r="Z165" s="39">
        <v>0</v>
      </c>
      <c r="AA165" s="518">
        <v>0</v>
      </c>
      <c r="AB165" s="394" t="s">
        <v>658</v>
      </c>
      <c r="AC165" s="519" t="str">
        <f>""</f>
        <v/>
      </c>
      <c r="AD165" s="520">
        <v>1</v>
      </c>
      <c r="AE165" s="520" t="s">
        <v>236</v>
      </c>
      <c r="AF165" s="520" t="s">
        <v>236</v>
      </c>
      <c r="AG165" s="520">
        <v>1</v>
      </c>
      <c r="AH165" s="520">
        <v>3</v>
      </c>
      <c r="AI165" s="520">
        <v>0</v>
      </c>
      <c r="AJ165" s="520">
        <f>VLOOKUP($I165,'Price List, Weapons &amp; Items'!A:E,5,0)</f>
        <v>0</v>
      </c>
      <c r="AK165" s="520">
        <f t="shared" si="32"/>
        <v>0</v>
      </c>
      <c r="AL165" s="520">
        <f t="shared" si="33"/>
        <v>0</v>
      </c>
      <c r="AM165" s="520">
        <f t="shared" si="34"/>
        <v>0</v>
      </c>
      <c r="AN165" s="521" t="str">
        <f>VLOOKUP($I165,'Price List, Weapons &amp; Items'!A:K,COLUMN('Price List, Weapons &amp; Items'!$I$1),0)</f>
        <v>Military media (incl. websites)</v>
      </c>
      <c r="AO165" s="521" t="str">
        <f>IF(I165=".",".",VLOOKUP($I165,'Price List, Weapons &amp; Items'!A:I,3,0))</f>
        <v>.</v>
      </c>
      <c r="AP165" s="517" t="str">
        <f t="shared" ca="1" si="31"/>
        <v>ballistic vest</v>
      </c>
      <c r="AQ165" s="521">
        <f>VLOOKUP($I165,'Price List, Weapons &amp; Items'!A:K,COLUMN('Price List, Weapons &amp; Items'!$K$1),0)</f>
        <v>2</v>
      </c>
      <c r="AS165" s="521">
        <f t="shared" si="35"/>
        <v>1</v>
      </c>
      <c r="AT165" s="521">
        <f t="shared" si="36"/>
        <v>1</v>
      </c>
      <c r="AU165" s="521">
        <f t="shared" si="37"/>
        <v>1</v>
      </c>
      <c r="AV165" s="521" t="str">
        <f t="shared" si="38"/>
        <v>.</v>
      </c>
    </row>
    <row r="166" spans="1:48" ht="15" customHeight="1">
      <c r="A166" s="41" t="s">
        <v>692</v>
      </c>
      <c r="B166" s="41" t="s">
        <v>632</v>
      </c>
      <c r="C166" s="511">
        <v>44652</v>
      </c>
      <c r="D166" s="18" t="s">
        <v>252</v>
      </c>
      <c r="E166" s="18" t="s">
        <v>229</v>
      </c>
      <c r="F166" s="512" t="s">
        <v>693</v>
      </c>
      <c r="G166" s="39" t="s">
        <v>232</v>
      </c>
      <c r="H166" s="513" t="s">
        <v>309</v>
      </c>
      <c r="I166" s="41" t="s">
        <v>232</v>
      </c>
      <c r="J166" s="276" t="str">
        <f>VLOOKUP($I166,'Price List, Weapons &amp; Items'!A:B,2,0)</f>
        <v>.</v>
      </c>
      <c r="K166" s="276" t="str">
        <f>IF(I166=".",I166,VLOOKUP($I166,'Price List, Weapons &amp; Items'!A:C,3,0))</f>
        <v>.</v>
      </c>
      <c r="L166" s="514">
        <f>VLOOKUP(I166,'Price List, Weapons &amp; Items'!A:D,4,0)</f>
        <v>0</v>
      </c>
      <c r="M166" s="515" t="s">
        <v>232</v>
      </c>
      <c r="N166" s="515" t="s">
        <v>232</v>
      </c>
      <c r="O166" s="516" t="str">
        <f>VLOOKUP($I166,'Price List, Weapons &amp; Items'!A:F,6,0)</f>
        <v>.</v>
      </c>
      <c r="P166" s="513" t="str">
        <f t="shared" si="40"/>
        <v>.</v>
      </c>
      <c r="Q166" s="513" t="str">
        <f t="shared" si="41"/>
        <v>.</v>
      </c>
      <c r="R166" s="513" t="str">
        <f t="shared" si="30"/>
        <v>.</v>
      </c>
      <c r="S166" s="513" t="str">
        <f>IF(AND(AD166=1,R166&lt;&gt;".")=TRUE,R166/VLOOKUP(G166,'Exchange rates'!B:C,2,0),IF(R166=".",".",""))</f>
        <v>.</v>
      </c>
      <c r="T166" s="513" t="str">
        <f>IF(AD166=1,IF(AF166="Value is not given at all",".",IF(AF166="Value is given by the source",S166,IF(AF166="Value is calculated with prices",(IF(SUMIFS(Q:Q,A:A,A166)&gt;0,SUMIFS(Q:Q,A:A,A166),"."))/VLOOKUP("USD",'Exchange rates'!B:C,2,0),"Error with coding"))),"")</f>
        <v>.</v>
      </c>
      <c r="U166" s="39" t="s">
        <v>372</v>
      </c>
      <c r="V166" s="42" t="s">
        <v>694</v>
      </c>
      <c r="W166" s="423" t="s">
        <v>232</v>
      </c>
      <c r="X166" s="423" t="s">
        <v>232</v>
      </c>
      <c r="Y166" s="512" t="s">
        <v>232</v>
      </c>
      <c r="Z166" s="39">
        <v>0</v>
      </c>
      <c r="AA166" s="39">
        <v>0</v>
      </c>
      <c r="AB166" s="532" t="s">
        <v>232</v>
      </c>
      <c r="AC166" s="519" t="str">
        <f>""</f>
        <v/>
      </c>
      <c r="AD166" s="522">
        <v>1</v>
      </c>
      <c r="AE166" s="522" t="s">
        <v>237</v>
      </c>
      <c r="AF166" s="522" t="s">
        <v>237</v>
      </c>
      <c r="AG166" s="522">
        <v>1</v>
      </c>
      <c r="AH166" s="520">
        <v>4</v>
      </c>
      <c r="AI166" s="520">
        <v>0</v>
      </c>
      <c r="AJ166" s="520">
        <f>VLOOKUP($I166,'Price List, Weapons &amp; Items'!A:E,5,0)</f>
        <v>0</v>
      </c>
      <c r="AK166" s="520">
        <f t="shared" si="32"/>
        <v>0</v>
      </c>
      <c r="AL166" s="520">
        <f t="shared" si="33"/>
        <v>0</v>
      </c>
      <c r="AM166" s="520">
        <f t="shared" si="34"/>
        <v>0</v>
      </c>
      <c r="AN166" s="521" t="str">
        <f>VLOOKUP($I166,'Price List, Weapons &amp; Items'!A:K,COLUMN('Price List, Weapons &amp; Items'!$I$1),0)</f>
        <v>.</v>
      </c>
      <c r="AO166" s="521" t="str">
        <f>IF(I166=".",".",VLOOKUP($I166,'Price List, Weapons &amp; Items'!A:I,3,0))</f>
        <v>.</v>
      </c>
      <c r="AP166" s="517" t="str">
        <f t="shared" ca="1" si="31"/>
        <v>.</v>
      </c>
      <c r="AQ166" s="521" t="str">
        <f>VLOOKUP($I166,'Price List, Weapons &amp; Items'!A:K,COLUMN('Price List, Weapons &amp; Items'!$K$1),0)</f>
        <v>no price, 0 count</v>
      </c>
      <c r="AS166" s="521">
        <f t="shared" si="35"/>
        <v>0</v>
      </c>
      <c r="AT166" s="521">
        <f t="shared" si="36"/>
        <v>0</v>
      </c>
      <c r="AU166" s="521">
        <f t="shared" si="37"/>
        <v>1</v>
      </c>
      <c r="AV166" s="521" t="str">
        <f t="shared" si="38"/>
        <v>.</v>
      </c>
    </row>
    <row r="167" spans="1:48" s="533" customFormat="1" ht="15" customHeight="1">
      <c r="A167" s="18" t="s">
        <v>695</v>
      </c>
      <c r="B167" s="18" t="s">
        <v>632</v>
      </c>
      <c r="C167" s="511">
        <v>44656</v>
      </c>
      <c r="D167" s="18" t="s">
        <v>252</v>
      </c>
      <c r="E167" s="18" t="s">
        <v>307</v>
      </c>
      <c r="F167" s="512" t="s">
        <v>696</v>
      </c>
      <c r="G167" s="39" t="s">
        <v>314</v>
      </c>
      <c r="H167" s="513" t="s">
        <v>309</v>
      </c>
      <c r="I167" s="41" t="s">
        <v>697</v>
      </c>
      <c r="J167" s="276" t="str">
        <f>VLOOKUP($I167,'Price List, Weapons &amp; Items'!A:B,2,0)</f>
        <v>Heavy weapon</v>
      </c>
      <c r="K167" s="276" t="str">
        <f>IF(I167=".",I167,VLOOKUP($I167,'Price List, Weapons &amp; Items'!A:C,3,0))</f>
        <v>Main Battle Tank (MBT)</v>
      </c>
      <c r="L167" s="514">
        <f>VLOOKUP(I167,'Price List, Weapons &amp; Items'!A:D,4,0)</f>
        <v>1</v>
      </c>
      <c r="M167" s="515">
        <v>40</v>
      </c>
      <c r="N167" s="515">
        <v>40</v>
      </c>
      <c r="O167" s="516">
        <f>VLOOKUP($I167,'Price List, Weapons &amp; Items'!A:F,6,0)</f>
        <v>1616065.9562782401</v>
      </c>
      <c r="P167" s="513">
        <f t="shared" si="40"/>
        <v>64642638.251129605</v>
      </c>
      <c r="Q167" s="513">
        <f t="shared" si="41"/>
        <v>64642638.251129605</v>
      </c>
      <c r="R167" s="513">
        <f t="shared" si="30"/>
        <v>65892638.251129605</v>
      </c>
      <c r="S167" s="513">
        <f>IF(AND(AD167=1,R167&lt;&gt;".")=TRUE,R167/VLOOKUP(G167,'Exchange rates'!B:C,2,0),IF(R167=".",".",""))</f>
        <v>65662818.386775889</v>
      </c>
      <c r="T167" s="513">
        <f>IF(AD167=1,IF(AF167="Value is not given at all",".",IF(AF167="Value is given by the source",S167,IF(AF167="Value is calculated with prices",(IF(SUMIFS(Q:Q,A:A,A167)&gt;0,SUMIFS(Q:Q,A:A,A167),"."))/VLOOKUP("USD",'Exchange rates'!B:C,2,0),"Error with coding"))),"")</f>
        <v>65662818.386775889</v>
      </c>
      <c r="U167" s="39" t="s">
        <v>372</v>
      </c>
      <c r="V167" s="376" t="s">
        <v>698</v>
      </c>
      <c r="W167" s="376" t="s">
        <v>699</v>
      </c>
      <c r="X167" s="376" t="s">
        <v>700</v>
      </c>
      <c r="Y167" s="376" t="s">
        <v>701</v>
      </c>
      <c r="Z167" s="39">
        <v>0</v>
      </c>
      <c r="AA167" s="39">
        <v>0</v>
      </c>
      <c r="AB167" s="395" t="s">
        <v>701</v>
      </c>
      <c r="AC167" s="519" t="str">
        <f>""</f>
        <v/>
      </c>
      <c r="AD167" s="522">
        <v>1</v>
      </c>
      <c r="AE167" s="522" t="s">
        <v>300</v>
      </c>
      <c r="AF167" s="522" t="s">
        <v>300</v>
      </c>
      <c r="AG167" s="522">
        <v>1</v>
      </c>
      <c r="AH167" s="522">
        <v>4</v>
      </c>
      <c r="AI167" s="522">
        <v>0</v>
      </c>
      <c r="AJ167" s="520">
        <f>VLOOKUP($I167,'Price List, Weapons &amp; Items'!A:E,5,0)</f>
        <v>1</v>
      </c>
      <c r="AK167" s="520">
        <f t="shared" si="32"/>
        <v>0</v>
      </c>
      <c r="AL167" s="520">
        <f t="shared" si="33"/>
        <v>0</v>
      </c>
      <c r="AM167" s="520">
        <f t="shared" si="34"/>
        <v>0</v>
      </c>
      <c r="AN167" s="521" t="str">
        <f>VLOOKUP($I167,'Price List, Weapons &amp; Items'!A:K,COLUMN('Price List, Weapons &amp; Items'!$I$1),0)</f>
        <v>Contracts</v>
      </c>
      <c r="AO167" s="521" t="str">
        <f>IF(I167=".",".",VLOOKUP($I167,'Price List, Weapons &amp; Items'!A:I,3,0))</f>
        <v>Main Battle Tank (MBT)</v>
      </c>
      <c r="AP167" s="517" t="str">
        <f t="shared" ca="1" si="31"/>
        <v>Modified T-72 tank (T-72A/T-72M1/M1R); BVP-1 infantry fighting vehicle</v>
      </c>
      <c r="AQ167" s="521">
        <f>VLOOKUP($I167,'Price List, Weapons &amp; Items'!A:K,COLUMN('Price List, Weapons &amp; Items'!$K$1),0)</f>
        <v>2</v>
      </c>
      <c r="AS167" s="521">
        <f t="shared" si="35"/>
        <v>0</v>
      </c>
      <c r="AT167" s="521">
        <f t="shared" si="36"/>
        <v>1</v>
      </c>
      <c r="AU167" s="521">
        <f t="shared" si="37"/>
        <v>1</v>
      </c>
      <c r="AV167" s="521" t="str">
        <f t="shared" si="38"/>
        <v>.</v>
      </c>
    </row>
    <row r="168" spans="1:48" s="533" customFormat="1" ht="15" customHeight="1">
      <c r="A168" s="18" t="s">
        <v>695</v>
      </c>
      <c r="B168" s="18" t="s">
        <v>632</v>
      </c>
      <c r="C168" s="511">
        <v>44656</v>
      </c>
      <c r="D168" s="18" t="s">
        <v>252</v>
      </c>
      <c r="E168" s="18" t="s">
        <v>307</v>
      </c>
      <c r="F168" s="512" t="s">
        <v>696</v>
      </c>
      <c r="G168" s="39" t="s">
        <v>314</v>
      </c>
      <c r="H168" s="513" t="s">
        <v>309</v>
      </c>
      <c r="I168" s="41" t="s">
        <v>702</v>
      </c>
      <c r="J168" s="276" t="str">
        <f>VLOOKUP($I168,'Price List, Weapons &amp; Items'!A:B,2,0)</f>
        <v>Heavy weapon</v>
      </c>
      <c r="K168" s="276" t="str">
        <f>IF(I168=".",I168,VLOOKUP($I168,'Price List, Weapons &amp; Items'!A:C,3,0))</f>
        <v>Infantry fighting vehicle (IFV)</v>
      </c>
      <c r="L168" s="514">
        <f>VLOOKUP(I168,'Price List, Weapons &amp; Items'!A:D,4,0)</f>
        <v>1</v>
      </c>
      <c r="M168" s="515">
        <v>5</v>
      </c>
      <c r="N168" s="515">
        <v>5</v>
      </c>
      <c r="O168" s="516">
        <f>VLOOKUP($I168,'Price List, Weapons &amp; Items'!A:F,6,0)</f>
        <v>250000</v>
      </c>
      <c r="P168" s="513">
        <f t="shared" si="40"/>
        <v>1250000</v>
      </c>
      <c r="Q168" s="513">
        <f t="shared" si="41"/>
        <v>1250000</v>
      </c>
      <c r="R168" s="513" t="str">
        <f t="shared" si="30"/>
        <v/>
      </c>
      <c r="S168" s="513" t="str">
        <f>IF(AND(AD168=1,R168&lt;&gt;".")=TRUE,R168/VLOOKUP(G168,'Exchange rates'!B:C,2,0),IF(R168=".",".",""))</f>
        <v/>
      </c>
      <c r="T168" s="513" t="str">
        <f>IF(AD168=1,IF(AF168="Value is not given at all",".",IF(AF168="Value is given by the source",S168,IF(AF168="Value is calculated with prices",(IF(SUMIFS(Q:Q,A:A,A168)&gt;0,SUMIFS(Q:Q,A:A,A168),"."))/VLOOKUP("USD",'Exchange rates'!B:C,2,0),"Error with coding"))),"")</f>
        <v/>
      </c>
      <c r="U168" s="39" t="s">
        <v>372</v>
      </c>
      <c r="V168" s="376" t="s">
        <v>698</v>
      </c>
      <c r="W168" s="376" t="s">
        <v>699</v>
      </c>
      <c r="X168" s="376" t="s">
        <v>700</v>
      </c>
      <c r="Y168" s="376" t="s">
        <v>701</v>
      </c>
      <c r="Z168" s="39">
        <v>0</v>
      </c>
      <c r="AA168" s="39">
        <v>0</v>
      </c>
      <c r="AB168" s="395" t="s">
        <v>699</v>
      </c>
      <c r="AC168" s="519" t="str">
        <f>""</f>
        <v/>
      </c>
      <c r="AD168" s="522">
        <v>0</v>
      </c>
      <c r="AE168" s="522" t="s">
        <v>300</v>
      </c>
      <c r="AF168" s="522" t="s">
        <v>300</v>
      </c>
      <c r="AG168" s="522">
        <v>1</v>
      </c>
      <c r="AH168" s="522">
        <v>4</v>
      </c>
      <c r="AI168" s="522">
        <v>0</v>
      </c>
      <c r="AJ168" s="520">
        <f>VLOOKUP($I168,'Price List, Weapons &amp; Items'!A:E,5,0)</f>
        <v>1</v>
      </c>
      <c r="AK168" s="520">
        <f t="shared" si="32"/>
        <v>0</v>
      </c>
      <c r="AL168" s="520">
        <f t="shared" si="33"/>
        <v>0</v>
      </c>
      <c r="AM168" s="520">
        <f t="shared" si="34"/>
        <v>0</v>
      </c>
      <c r="AN168" s="521" t="str">
        <f>VLOOKUP($I168,'Price List, Weapons &amp; Items'!A:K,COLUMN('Price List, Weapons &amp; Items'!$I$1),0)</f>
        <v>Military media (incl. websites)</v>
      </c>
      <c r="AO168" s="521" t="str">
        <f>IF(I168=".",".",VLOOKUP($I168,'Price List, Weapons &amp; Items'!A:I,3,0))</f>
        <v>Infantry fighting vehicle (IFV)</v>
      </c>
      <c r="AP168" s="517" t="str">
        <f t="shared" ca="1" si="31"/>
        <v/>
      </c>
      <c r="AQ168" s="521">
        <f>VLOOKUP($I168,'Price List, Weapons &amp; Items'!A:K,COLUMN('Price List, Weapons &amp; Items'!$K$1),0)</f>
        <v>2</v>
      </c>
      <c r="AS168" s="521">
        <f t="shared" si="35"/>
        <v>0</v>
      </c>
      <c r="AT168" s="521">
        <f t="shared" si="36"/>
        <v>1</v>
      </c>
      <c r="AU168" s="521">
        <f t="shared" si="37"/>
        <v>1</v>
      </c>
      <c r="AV168" s="521" t="str">
        <f t="shared" si="38"/>
        <v>.</v>
      </c>
    </row>
    <row r="169" spans="1:48" s="533" customFormat="1" ht="15" customHeight="1">
      <c r="A169" s="41" t="s">
        <v>703</v>
      </c>
      <c r="B169" s="41" t="s">
        <v>632</v>
      </c>
      <c r="C169" s="511">
        <v>44657</v>
      </c>
      <c r="D169" s="18" t="s">
        <v>252</v>
      </c>
      <c r="E169" s="18" t="s">
        <v>253</v>
      </c>
      <c r="F169" s="512" t="s">
        <v>704</v>
      </c>
      <c r="G169" s="39" t="s">
        <v>634</v>
      </c>
      <c r="H169" s="513">
        <v>133000000</v>
      </c>
      <c r="I169" s="41" t="s">
        <v>232</v>
      </c>
      <c r="J169" s="276" t="str">
        <f>VLOOKUP($I169,'Price List, Weapons &amp; Items'!A:B,2,0)</f>
        <v>.</v>
      </c>
      <c r="K169" s="276" t="str">
        <f>IF(I169=".",I169,VLOOKUP($I169,'Price List, Weapons &amp; Items'!A:C,3,0))</f>
        <v>.</v>
      </c>
      <c r="L169" s="514">
        <f>VLOOKUP(I169,'Price List, Weapons &amp; Items'!A:D,4,0)</f>
        <v>0</v>
      </c>
      <c r="M169" s="515" t="s">
        <v>232</v>
      </c>
      <c r="N169" s="515" t="s">
        <v>232</v>
      </c>
      <c r="O169" s="516" t="str">
        <f>VLOOKUP($I169,'Price List, Weapons &amp; Items'!A:F,6,0)</f>
        <v>.</v>
      </c>
      <c r="P169" s="513" t="str">
        <f t="shared" si="40"/>
        <v>.</v>
      </c>
      <c r="Q169" s="513" t="str">
        <f t="shared" si="41"/>
        <v>.</v>
      </c>
      <c r="R169" s="513">
        <f t="shared" si="30"/>
        <v>133000000</v>
      </c>
      <c r="S169" s="513">
        <f>IF(AND(AD169=1,R169&lt;&gt;".")=TRUE,R169/VLOOKUP(G169,'Exchange rates'!B:C,2,0),IF(R169=".",".",""))</f>
        <v>5445909.4259274425</v>
      </c>
      <c r="T169" s="513">
        <f>IF(AD169=1,IF(AF169="Value is not given at all",".",IF(AF169="Value is given by the source",S169,IF(AF169="Value is calculated with prices",(IF(SUMIFS(Q:Q,A:A,A169)&gt;0,SUMIFS(Q:Q,A:A,A169),"."))/VLOOKUP("USD",'Exchange rates'!B:C,2,0),"Error with coding"))),"")</f>
        <v>5445909.4259274425</v>
      </c>
      <c r="U169" s="39" t="s">
        <v>233</v>
      </c>
      <c r="V169" s="42" t="s">
        <v>675</v>
      </c>
      <c r="W169" s="423" t="s">
        <v>232</v>
      </c>
      <c r="X169" s="512" t="s">
        <v>232</v>
      </c>
      <c r="Y169" s="512" t="s">
        <v>232</v>
      </c>
      <c r="Z169" s="39">
        <v>0</v>
      </c>
      <c r="AA169" s="39">
        <v>0</v>
      </c>
      <c r="AB169" s="395" t="s">
        <v>658</v>
      </c>
      <c r="AC169" s="519" t="str">
        <f>""</f>
        <v/>
      </c>
      <c r="AD169" s="522">
        <v>1</v>
      </c>
      <c r="AE169" s="522" t="s">
        <v>236</v>
      </c>
      <c r="AF169" s="522" t="s">
        <v>236</v>
      </c>
      <c r="AG169" s="522">
        <v>1</v>
      </c>
      <c r="AH169" s="520">
        <v>4</v>
      </c>
      <c r="AI169" s="520">
        <v>0</v>
      </c>
      <c r="AJ169" s="520">
        <f>VLOOKUP($I169,'Price List, Weapons &amp; Items'!A:E,5,0)</f>
        <v>0</v>
      </c>
      <c r="AK169" s="520">
        <f t="shared" si="32"/>
        <v>0</v>
      </c>
      <c r="AL169" s="520">
        <f t="shared" si="33"/>
        <v>0</v>
      </c>
      <c r="AM169" s="520">
        <f t="shared" si="34"/>
        <v>0</v>
      </c>
      <c r="AN169" s="521" t="str">
        <f>VLOOKUP($I169,'Price List, Weapons &amp; Items'!A:K,COLUMN('Price List, Weapons &amp; Items'!$I$1),0)</f>
        <v>.</v>
      </c>
      <c r="AO169" s="521" t="str">
        <f>IF(I169=".",".",VLOOKUP($I169,'Price List, Weapons &amp; Items'!A:I,3,0))</f>
        <v>.</v>
      </c>
      <c r="AP169" s="517" t="str">
        <f t="shared" ca="1" si="31"/>
        <v>.</v>
      </c>
      <c r="AQ169" s="521" t="str">
        <f>VLOOKUP($I169,'Price List, Weapons &amp; Items'!A:K,COLUMN('Price List, Weapons &amp; Items'!$K$1),0)</f>
        <v>no price, 0 count</v>
      </c>
      <c r="AS169" s="521">
        <f t="shared" si="35"/>
        <v>1</v>
      </c>
      <c r="AT169" s="521">
        <f t="shared" si="36"/>
        <v>1</v>
      </c>
      <c r="AU169" s="521">
        <f t="shared" si="37"/>
        <v>1</v>
      </c>
      <c r="AV169" s="521" t="str">
        <f t="shared" si="38"/>
        <v>.</v>
      </c>
    </row>
    <row r="170" spans="1:48" s="533" customFormat="1" ht="15" customHeight="1">
      <c r="A170" s="18" t="s">
        <v>705</v>
      </c>
      <c r="B170" s="18" t="s">
        <v>632</v>
      </c>
      <c r="C170" s="511" t="s">
        <v>706</v>
      </c>
      <c r="D170" s="18" t="s">
        <v>252</v>
      </c>
      <c r="E170" s="18" t="s">
        <v>307</v>
      </c>
      <c r="F170" s="512" t="s">
        <v>707</v>
      </c>
      <c r="G170" s="39" t="s">
        <v>314</v>
      </c>
      <c r="H170" s="513" t="s">
        <v>309</v>
      </c>
      <c r="I170" s="41" t="s">
        <v>708</v>
      </c>
      <c r="J170" s="276" t="str">
        <f>VLOOKUP($I170,'Price List, Weapons &amp; Items'!A:B,2,0)</f>
        <v>Heavy weapon</v>
      </c>
      <c r="K170" s="276" t="str">
        <f>IF(I170=".",I170,VLOOKUP($I170,'Price List, Weapons &amp; Items'!A:C,3,0))</f>
        <v>122mm MLRS</v>
      </c>
      <c r="L170" s="514">
        <f>VLOOKUP(I170,'Price List, Weapons &amp; Items'!A:D,4,0)</f>
        <v>1</v>
      </c>
      <c r="M170" s="515">
        <v>20</v>
      </c>
      <c r="N170" s="515">
        <v>20</v>
      </c>
      <c r="O170" s="516">
        <f>VLOOKUP($I170,'Price List, Weapons &amp; Items'!A:F,6,0)</f>
        <v>1637933.8716107793</v>
      </c>
      <c r="P170" s="513">
        <f t="shared" si="40"/>
        <v>32758677.432215586</v>
      </c>
      <c r="Q170" s="513">
        <f t="shared" si="41"/>
        <v>32758677.432215586</v>
      </c>
      <c r="R170" s="513">
        <f t="shared" si="30"/>
        <v>63758677.432215586</v>
      </c>
      <c r="S170" s="513">
        <f>IF(AND(AD170=1,R170&lt;&gt;".")=TRUE,R170/VLOOKUP(G170,'Exchange rates'!B:C,2,0),IF(R170=".",".",""))</f>
        <v>63536300.380882494</v>
      </c>
      <c r="T170" s="513">
        <f>IF(AD170=1,IF(AF170="Value is not given at all",".",IF(AF170="Value is given by the source",S170,IF(AF170="Value is calculated with prices",(IF(SUMIFS(Q:Q,A:A,A170)&gt;0,SUMIFS(Q:Q,A:A,A170),"."))/VLOOKUP("USD",'Exchange rates'!B:C,2,0),"Error with coding"))),"")</f>
        <v>63536300.380882494</v>
      </c>
      <c r="U170" s="39" t="s">
        <v>372</v>
      </c>
      <c r="V170" s="376" t="s">
        <v>709</v>
      </c>
      <c r="W170" s="525" t="s">
        <v>232</v>
      </c>
      <c r="X170" s="525" t="s">
        <v>232</v>
      </c>
      <c r="Y170" s="525" t="s">
        <v>232</v>
      </c>
      <c r="Z170" s="39">
        <v>0</v>
      </c>
      <c r="AA170" s="39">
        <v>0</v>
      </c>
      <c r="AB170" s="395" t="s">
        <v>710</v>
      </c>
      <c r="AC170" s="519" t="str">
        <f>""</f>
        <v/>
      </c>
      <c r="AD170" s="522">
        <v>1</v>
      </c>
      <c r="AE170" s="522" t="s">
        <v>300</v>
      </c>
      <c r="AF170" s="522" t="s">
        <v>300</v>
      </c>
      <c r="AG170" s="522">
        <v>1</v>
      </c>
      <c r="AH170" s="522">
        <v>4</v>
      </c>
      <c r="AI170" s="522">
        <v>0</v>
      </c>
      <c r="AJ170" s="520">
        <f>VLOOKUP($I170,'Price List, Weapons &amp; Items'!A:E,5,0)</f>
        <v>1</v>
      </c>
      <c r="AK170" s="520">
        <f t="shared" si="32"/>
        <v>0</v>
      </c>
      <c r="AL170" s="520">
        <f t="shared" si="33"/>
        <v>0</v>
      </c>
      <c r="AM170" s="520">
        <f t="shared" si="34"/>
        <v>0</v>
      </c>
      <c r="AN170" s="521" t="str">
        <f>VLOOKUP($I170,'Price List, Weapons &amp; Items'!A:K,COLUMN('Price List, Weapons &amp; Items'!$I$1),0)</f>
        <v>Contracts</v>
      </c>
      <c r="AO170" s="521" t="str">
        <f>IF(I170=".",".",VLOOKUP($I170,'Price List, Weapons &amp; Items'!A:I,3,0))</f>
        <v>122mm MLRS</v>
      </c>
      <c r="AP170" s="517" t="str">
        <f t="shared" ca="1" si="31"/>
        <v>RM-70 multiple rocket launcher; Dana Howitzer</v>
      </c>
      <c r="AQ170" s="521">
        <f>VLOOKUP($I170,'Price List, Weapons &amp; Items'!A:K,COLUMN('Price List, Weapons &amp; Items'!$K$1),0)</f>
        <v>2</v>
      </c>
      <c r="AS170" s="521">
        <f t="shared" si="35"/>
        <v>0</v>
      </c>
      <c r="AT170" s="521">
        <f t="shared" si="36"/>
        <v>1</v>
      </c>
      <c r="AU170" s="521" t="str">
        <f t="shared" si="37"/>
        <v>Value is not in date format</v>
      </c>
      <c r="AV170" s="521" t="str">
        <f t="shared" si="38"/>
        <v>.</v>
      </c>
    </row>
    <row r="171" spans="1:48" s="533" customFormat="1" ht="15" customHeight="1">
      <c r="A171" s="18" t="s">
        <v>705</v>
      </c>
      <c r="B171" s="18" t="s">
        <v>632</v>
      </c>
      <c r="C171" s="511" t="s">
        <v>706</v>
      </c>
      <c r="D171" s="18" t="s">
        <v>252</v>
      </c>
      <c r="E171" s="18" t="s">
        <v>307</v>
      </c>
      <c r="F171" s="512" t="s">
        <v>707</v>
      </c>
      <c r="G171" s="39" t="s">
        <v>314</v>
      </c>
      <c r="H171" s="513" t="s">
        <v>309</v>
      </c>
      <c r="I171" s="41" t="s">
        <v>711</v>
      </c>
      <c r="J171" s="276" t="str">
        <f>VLOOKUP($I171,'Price List, Weapons &amp; Items'!A:B,2,0)</f>
        <v>Heavy weapon</v>
      </c>
      <c r="K171" s="276" t="str">
        <f>IF(I171=".",I171,VLOOKUP($I171,'Price List, Weapons &amp; Items'!A:C,3,0))</f>
        <v>152mm howitzer</v>
      </c>
      <c r="L171" s="514">
        <f>VLOOKUP(I171,'Price List, Weapons &amp; Items'!A:D,4,0)</f>
        <v>1</v>
      </c>
      <c r="M171" s="515">
        <v>20</v>
      </c>
      <c r="N171" s="515">
        <v>20</v>
      </c>
      <c r="O171" s="516">
        <f>VLOOKUP($I171,'Price List, Weapons &amp; Items'!A:F,6,0)</f>
        <v>1550000</v>
      </c>
      <c r="P171" s="513">
        <f t="shared" si="40"/>
        <v>31000000</v>
      </c>
      <c r="Q171" s="513">
        <f t="shared" si="41"/>
        <v>31000000</v>
      </c>
      <c r="R171" s="513" t="str">
        <f t="shared" si="30"/>
        <v/>
      </c>
      <c r="S171" s="513" t="str">
        <f>IF(AND(AD171=1,R171&lt;&gt;".")=TRUE,R171/VLOOKUP(G171,'Exchange rates'!B:C,2,0),IF(R171=".",".",""))</f>
        <v/>
      </c>
      <c r="T171" s="513" t="str">
        <f>IF(AD171=1,IF(AF171="Value is not given at all",".",IF(AF171="Value is given by the source",S171,IF(AF171="Value is calculated with prices",(IF(SUMIFS(Q:Q,A:A,A171)&gt;0,SUMIFS(Q:Q,A:A,A171),"."))/VLOOKUP("USD",'Exchange rates'!B:C,2,0),"Error with coding"))),"")</f>
        <v/>
      </c>
      <c r="U171" s="39" t="s">
        <v>372</v>
      </c>
      <c r="V171" s="376" t="s">
        <v>709</v>
      </c>
      <c r="W171" s="525" t="s">
        <v>232</v>
      </c>
      <c r="X171" s="525" t="s">
        <v>232</v>
      </c>
      <c r="Y171" s="525" t="s">
        <v>232</v>
      </c>
      <c r="Z171" s="39">
        <v>0</v>
      </c>
      <c r="AA171" s="39">
        <v>0</v>
      </c>
      <c r="AB171" s="395" t="s">
        <v>709</v>
      </c>
      <c r="AC171" s="519" t="str">
        <f>""</f>
        <v/>
      </c>
      <c r="AD171" s="522">
        <v>0</v>
      </c>
      <c r="AE171" s="522" t="s">
        <v>300</v>
      </c>
      <c r="AF171" s="522" t="s">
        <v>300</v>
      </c>
      <c r="AG171" s="522">
        <v>1</v>
      </c>
      <c r="AH171" s="522">
        <v>4</v>
      </c>
      <c r="AI171" s="522">
        <v>0</v>
      </c>
      <c r="AJ171" s="520">
        <f>VLOOKUP($I171,'Price List, Weapons &amp; Items'!A:E,5,0)</f>
        <v>1</v>
      </c>
      <c r="AK171" s="520">
        <f t="shared" si="32"/>
        <v>0</v>
      </c>
      <c r="AL171" s="520">
        <f t="shared" si="33"/>
        <v>0</v>
      </c>
      <c r="AM171" s="520">
        <f t="shared" si="34"/>
        <v>0</v>
      </c>
      <c r="AN171" s="521" t="str">
        <f>VLOOKUP($I171,'Price List, Weapons &amp; Items'!A:K,COLUMN('Price List, Weapons &amp; Items'!$I$1),0)</f>
        <v>Military media (incl. websites)</v>
      </c>
      <c r="AO171" s="521" t="str">
        <f>IF(I171=".",".",VLOOKUP($I171,'Price List, Weapons &amp; Items'!A:I,3,0))</f>
        <v>152mm howitzer</v>
      </c>
      <c r="AP171" s="517" t="str">
        <f t="shared" ca="1" si="31"/>
        <v/>
      </c>
      <c r="AQ171" s="521">
        <f>VLOOKUP($I171,'Price List, Weapons &amp; Items'!A:K,COLUMN('Price List, Weapons &amp; Items'!$K$1),0)</f>
        <v>2</v>
      </c>
      <c r="AS171" s="521">
        <f t="shared" si="35"/>
        <v>0</v>
      </c>
      <c r="AT171" s="521">
        <f t="shared" si="36"/>
        <v>1</v>
      </c>
      <c r="AU171" s="521" t="str">
        <f t="shared" si="37"/>
        <v>Value is not in date format</v>
      </c>
      <c r="AV171" s="521" t="str">
        <f t="shared" si="38"/>
        <v>.</v>
      </c>
    </row>
    <row r="172" spans="1:48" s="533" customFormat="1" ht="15" customHeight="1">
      <c r="A172" s="41" t="s">
        <v>712</v>
      </c>
      <c r="B172" s="41" t="s">
        <v>632</v>
      </c>
      <c r="C172" s="511">
        <v>44704</v>
      </c>
      <c r="D172" s="18" t="s">
        <v>252</v>
      </c>
      <c r="E172" s="18" t="s">
        <v>307</v>
      </c>
      <c r="F172" s="512" t="s">
        <v>713</v>
      </c>
      <c r="G172" s="39" t="s">
        <v>314</v>
      </c>
      <c r="H172" s="513" t="s">
        <v>309</v>
      </c>
      <c r="I172" s="41" t="s">
        <v>714</v>
      </c>
      <c r="J172" s="276" t="str">
        <f>VLOOKUP($I172,'Price List, Weapons &amp; Items'!A:B,2,0)</f>
        <v>Aviation and drones</v>
      </c>
      <c r="K172" s="276" t="str">
        <f>IF(I172=".",I172,VLOOKUP($I172,'Price List, Weapons &amp; Items'!A:C,3,0))</f>
        <v>Combat aircraft</v>
      </c>
      <c r="L172" s="514">
        <f>VLOOKUP(I172,'Price List, Weapons &amp; Items'!A:D,4,0)</f>
        <v>1</v>
      </c>
      <c r="M172" s="515">
        <v>7</v>
      </c>
      <c r="N172" s="515">
        <v>7</v>
      </c>
      <c r="O172" s="516">
        <f>VLOOKUP($I172,'Price List, Weapons &amp; Items'!A:F,6,0)</f>
        <v>12000000</v>
      </c>
      <c r="P172" s="513">
        <f t="shared" si="40"/>
        <v>84000000</v>
      </c>
      <c r="Q172" s="513">
        <f t="shared" si="41"/>
        <v>84000000</v>
      </c>
      <c r="R172" s="513">
        <f t="shared" si="30"/>
        <v>84000000</v>
      </c>
      <c r="S172" s="513">
        <f>IF(AND(AD172=1,R172&lt;&gt;".")=TRUE,R172/VLOOKUP(G172,'Exchange rates'!B:C,2,0),IF(R172=".",".",""))</f>
        <v>83707025.411061287</v>
      </c>
      <c r="T172" s="513">
        <f>IF(AD172=1,IF(AF172="Value is not given at all",".",IF(AF172="Value is given by the source",S172,IF(AF172="Value is calculated with prices",(IF(SUMIFS(Q:Q,A:A,A172)&gt;0,SUMIFS(Q:Q,A:A,A172),"."))/VLOOKUP("USD",'Exchange rates'!B:C,2,0),"Error with coding"))),"")</f>
        <v>83707025.411061287</v>
      </c>
      <c r="U172" s="39" t="s">
        <v>372</v>
      </c>
      <c r="V172" s="42" t="s">
        <v>715</v>
      </c>
      <c r="W172" s="42" t="s">
        <v>716</v>
      </c>
      <c r="X172" s="423" t="s">
        <v>232</v>
      </c>
      <c r="Y172" s="423" t="s">
        <v>232</v>
      </c>
      <c r="Z172" s="39">
        <v>0</v>
      </c>
      <c r="AA172" s="39">
        <v>0</v>
      </c>
      <c r="AB172" s="395" t="s">
        <v>717</v>
      </c>
      <c r="AC172" s="519" t="str">
        <f>""</f>
        <v/>
      </c>
      <c r="AD172" s="522">
        <v>1</v>
      </c>
      <c r="AE172" s="522" t="s">
        <v>300</v>
      </c>
      <c r="AF172" s="522" t="s">
        <v>300</v>
      </c>
      <c r="AG172" s="522">
        <v>1</v>
      </c>
      <c r="AH172" s="520">
        <v>5</v>
      </c>
      <c r="AI172" s="520">
        <v>0</v>
      </c>
      <c r="AJ172" s="520">
        <f>VLOOKUP($I172,'Price List, Weapons &amp; Items'!A:E,5,0)</f>
        <v>0</v>
      </c>
      <c r="AK172" s="520">
        <f t="shared" si="32"/>
        <v>0</v>
      </c>
      <c r="AL172" s="520">
        <f t="shared" si="33"/>
        <v>0</v>
      </c>
      <c r="AM172" s="520">
        <f t="shared" si="34"/>
        <v>0</v>
      </c>
      <c r="AN172" s="521" t="str">
        <f>VLOOKUP($I172,'Price List, Weapons &amp; Items'!A:K,COLUMN('Price List, Weapons &amp; Items'!$I$1),0)</f>
        <v>Military media (incl. websites)</v>
      </c>
      <c r="AO172" s="521" t="str">
        <f>IF(I172=".",".",VLOOKUP($I172,'Price List, Weapons &amp; Items'!A:I,3,0))</f>
        <v>Combat aircraft</v>
      </c>
      <c r="AP172" s="517" t="str">
        <f t="shared" ca="1" si="31"/>
        <v>Mi-24 attack helicopter</v>
      </c>
      <c r="AQ172" s="521">
        <f>VLOOKUP($I172,'Price List, Weapons &amp; Items'!A:K,COLUMN('Price List, Weapons &amp; Items'!$K$1),0)</f>
        <v>2</v>
      </c>
      <c r="AS172" s="521">
        <f t="shared" si="35"/>
        <v>0</v>
      </c>
      <c r="AT172" s="521">
        <f t="shared" si="36"/>
        <v>1</v>
      </c>
      <c r="AU172" s="521">
        <f t="shared" si="37"/>
        <v>1</v>
      </c>
      <c r="AV172" s="521" t="str">
        <f t="shared" si="38"/>
        <v>.</v>
      </c>
    </row>
    <row r="173" spans="1:48" s="533" customFormat="1" ht="15" customHeight="1">
      <c r="A173" s="41" t="s">
        <v>718</v>
      </c>
      <c r="B173" s="41" t="s">
        <v>632</v>
      </c>
      <c r="C173" s="511">
        <v>44710</v>
      </c>
      <c r="D173" s="18" t="s">
        <v>252</v>
      </c>
      <c r="E173" s="18" t="s">
        <v>307</v>
      </c>
      <c r="F173" s="512" t="s">
        <v>719</v>
      </c>
      <c r="G173" s="39" t="s">
        <v>314</v>
      </c>
      <c r="H173" s="513">
        <v>30000000</v>
      </c>
      <c r="I173" s="41" t="s">
        <v>232</v>
      </c>
      <c r="J173" s="276" t="str">
        <f>VLOOKUP($I173,'Price List, Weapons &amp; Items'!A:B,2,0)</f>
        <v>.</v>
      </c>
      <c r="K173" s="276" t="str">
        <f>IF(I173=".",I173,VLOOKUP($I173,'Price List, Weapons &amp; Items'!A:C,3,0))</f>
        <v>.</v>
      </c>
      <c r="L173" s="514">
        <f>VLOOKUP(I173,'Price List, Weapons &amp; Items'!A:D,4,0)</f>
        <v>0</v>
      </c>
      <c r="M173" s="515" t="s">
        <v>232</v>
      </c>
      <c r="N173" s="515" t="s">
        <v>232</v>
      </c>
      <c r="O173" s="516" t="str">
        <f>VLOOKUP($I173,'Price List, Weapons &amp; Items'!A:F,6,0)</f>
        <v>.</v>
      </c>
      <c r="P173" s="513" t="str">
        <f t="shared" si="40"/>
        <v>.</v>
      </c>
      <c r="Q173" s="513" t="str">
        <f t="shared" si="41"/>
        <v>.</v>
      </c>
      <c r="R173" s="513">
        <f t="shared" si="30"/>
        <v>30000000</v>
      </c>
      <c r="S173" s="513">
        <f>IF(AND(AD173=1,R173&lt;&gt;".")=TRUE,R173/VLOOKUP(G173,'Exchange rates'!B:C,2,0),IF(R173=".",".",""))</f>
        <v>29895366.218236171</v>
      </c>
      <c r="T173" s="513" t="str">
        <f>IF(AD173=1,IF(AF173="Value is not given at all",".",IF(AF173="Value is given by the source",S173,IF(AF173="Value is calculated with prices",(IF(SUMIFS(Q:Q,A:A,A173)&gt;0,SUMIFS(Q:Q,A:A,A173),"."))/VLOOKUP("USD",'Exchange rates'!B:C,2,0),"Error with coding"))),"")</f>
        <v>.</v>
      </c>
      <c r="U173" s="39" t="s">
        <v>372</v>
      </c>
      <c r="V173" s="42" t="s">
        <v>658</v>
      </c>
      <c r="W173" s="423" t="s">
        <v>232</v>
      </c>
      <c r="X173" s="423" t="s">
        <v>232</v>
      </c>
      <c r="Y173" s="423" t="s">
        <v>232</v>
      </c>
      <c r="Z173" s="39">
        <v>0</v>
      </c>
      <c r="AA173" s="39">
        <v>0</v>
      </c>
      <c r="AB173" s="534" t="s">
        <v>232</v>
      </c>
      <c r="AC173" s="519" t="str">
        <f>""</f>
        <v/>
      </c>
      <c r="AD173" s="522">
        <v>1</v>
      </c>
      <c r="AE173" s="522" t="s">
        <v>236</v>
      </c>
      <c r="AF173" s="522" t="s">
        <v>237</v>
      </c>
      <c r="AG173" s="522">
        <v>1</v>
      </c>
      <c r="AH173" s="520">
        <v>5</v>
      </c>
      <c r="AI173" s="520">
        <v>0</v>
      </c>
      <c r="AJ173" s="520">
        <f>VLOOKUP($I173,'Price List, Weapons &amp; Items'!A:E,5,0)</f>
        <v>0</v>
      </c>
      <c r="AK173" s="520">
        <f t="shared" si="32"/>
        <v>0</v>
      </c>
      <c r="AL173" s="520">
        <f t="shared" si="33"/>
        <v>0</v>
      </c>
      <c r="AM173" s="520">
        <f t="shared" si="34"/>
        <v>0</v>
      </c>
      <c r="AN173" s="521" t="str">
        <f>VLOOKUP($I173,'Price List, Weapons &amp; Items'!A:K,COLUMN('Price List, Weapons &amp; Items'!$I$1),0)</f>
        <v>.</v>
      </c>
      <c r="AO173" s="521" t="str">
        <f>IF(I173=".",".",VLOOKUP($I173,'Price List, Weapons &amp; Items'!A:I,3,0))</f>
        <v>.</v>
      </c>
      <c r="AP173" s="517" t="str">
        <f t="shared" ca="1" si="31"/>
        <v>.</v>
      </c>
      <c r="AQ173" s="521" t="str">
        <f>VLOOKUP($I173,'Price List, Weapons &amp; Items'!A:K,COLUMN('Price List, Weapons &amp; Items'!$K$1),0)</f>
        <v>no price, 0 count</v>
      </c>
      <c r="AS173" s="521">
        <f t="shared" si="35"/>
        <v>0</v>
      </c>
      <c r="AT173" s="521">
        <f t="shared" si="36"/>
        <v>1</v>
      </c>
      <c r="AU173" s="521">
        <f t="shared" si="37"/>
        <v>1</v>
      </c>
      <c r="AV173" s="521" t="str">
        <f t="shared" si="38"/>
        <v>.</v>
      </c>
    </row>
    <row r="174" spans="1:48" s="533" customFormat="1" ht="15" customHeight="1">
      <c r="A174" s="41" t="s">
        <v>720</v>
      </c>
      <c r="B174" s="41" t="s">
        <v>632</v>
      </c>
      <c r="C174" s="511">
        <v>44839</v>
      </c>
      <c r="D174" s="18" t="s">
        <v>252</v>
      </c>
      <c r="E174" s="18" t="s">
        <v>253</v>
      </c>
      <c r="F174" s="512" t="s">
        <v>721</v>
      </c>
      <c r="G174" s="39" t="s">
        <v>634</v>
      </c>
      <c r="H174" s="513">
        <v>1801621450</v>
      </c>
      <c r="I174" s="41" t="s">
        <v>232</v>
      </c>
      <c r="J174" s="276" t="str">
        <f>VLOOKUP($I174,'Price List, Weapons &amp; Items'!A:B,2,0)</f>
        <v>.</v>
      </c>
      <c r="K174" s="276" t="str">
        <f>IF(I174=".",I174,VLOOKUP($I174,'Price List, Weapons &amp; Items'!A:C,3,0))</f>
        <v>.</v>
      </c>
      <c r="L174" s="514">
        <f>VLOOKUP(I174,'Price List, Weapons &amp; Items'!A:D,4,0)</f>
        <v>0</v>
      </c>
      <c r="M174" s="515" t="s">
        <v>232</v>
      </c>
      <c r="N174" s="515" t="s">
        <v>232</v>
      </c>
      <c r="O174" s="516" t="s">
        <v>232</v>
      </c>
      <c r="P174" s="513" t="s">
        <v>232</v>
      </c>
      <c r="Q174" s="513" t="s">
        <v>232</v>
      </c>
      <c r="R174" s="513">
        <f t="shared" si="30"/>
        <v>1801621450</v>
      </c>
      <c r="S174" s="513">
        <f>IF(AND(AD174=1,R174&lt;&gt;".")=TRUE,R174/VLOOKUP(G174,'Exchange rates'!B:C,2,0),IF(R174=".",".",""))</f>
        <v>73770430.349684715</v>
      </c>
      <c r="T174" s="513" t="str">
        <f>IF(AD174=1,IF(AF174="Value is not given at all",".",IF(AF174="Value is given by the source",S174,IF(AF174="Value is calculated with prices",(IF(SUMIFS(Q:Q,A:A,A174)&gt;0,SUMIFS(Q:Q,A:A,A174),"."))/VLOOKUP("USD",'Exchange rates'!B:C,2,0),"Error with coding"))),"")</f>
        <v>.</v>
      </c>
      <c r="U174" s="39" t="s">
        <v>722</v>
      </c>
      <c r="V174" s="828" t="s">
        <v>723</v>
      </c>
      <c r="W174" s="42" t="s">
        <v>232</v>
      </c>
      <c r="X174" s="42" t="s">
        <v>232</v>
      </c>
      <c r="Y174" s="825" t="s">
        <v>232</v>
      </c>
      <c r="Z174" s="39">
        <v>0</v>
      </c>
      <c r="AA174" s="39">
        <v>1</v>
      </c>
      <c r="AB174" s="395" t="s">
        <v>232</v>
      </c>
      <c r="AC174" s="519" t="str">
        <f>""</f>
        <v/>
      </c>
      <c r="AD174" s="522">
        <v>1</v>
      </c>
      <c r="AE174" s="522" t="s">
        <v>236</v>
      </c>
      <c r="AF174" s="522" t="s">
        <v>237</v>
      </c>
      <c r="AG174" s="522">
        <v>1</v>
      </c>
      <c r="AH174" s="520">
        <v>10</v>
      </c>
      <c r="AI174" s="520">
        <v>0</v>
      </c>
      <c r="AJ174" s="520">
        <f>VLOOKUP($I174,'Price List, Weapons &amp; Items'!A:E,5,0)</f>
        <v>0</v>
      </c>
      <c r="AK174" s="520">
        <f t="shared" si="32"/>
        <v>0</v>
      </c>
      <c r="AL174" s="520">
        <f t="shared" si="33"/>
        <v>0</v>
      </c>
      <c r="AM174" s="520">
        <f t="shared" si="34"/>
        <v>0</v>
      </c>
      <c r="AN174" s="521" t="str">
        <f>VLOOKUP($I174,'Price List, Weapons &amp; Items'!A:K,COLUMN('Price List, Weapons &amp; Items'!$I$1),0)</f>
        <v>.</v>
      </c>
      <c r="AO174" s="521" t="str">
        <f>IF(I174=".",".",VLOOKUP($I174,'Price List, Weapons &amp; Items'!A:I,3,0))</f>
        <v>.</v>
      </c>
      <c r="AP174" s="517" t="str">
        <f t="shared" ca="1" si="31"/>
        <v>.</v>
      </c>
      <c r="AQ174" s="521" t="str">
        <f>VLOOKUP($I174,'Price List, Weapons &amp; Items'!A:K,COLUMN('Price List, Weapons &amp; Items'!$K$1),0)</f>
        <v>no price, 0 count</v>
      </c>
      <c r="AS174" s="521">
        <f t="shared" si="35"/>
        <v>0</v>
      </c>
      <c r="AT174" s="521">
        <f t="shared" si="36"/>
        <v>1</v>
      </c>
      <c r="AU174" s="521">
        <f t="shared" si="37"/>
        <v>1</v>
      </c>
      <c r="AV174" s="521" t="str">
        <f t="shared" si="38"/>
        <v>.</v>
      </c>
    </row>
    <row r="175" spans="1:48" s="533" customFormat="1" ht="15" customHeight="1">
      <c r="A175" s="41" t="s">
        <v>724</v>
      </c>
      <c r="B175" s="41" t="s">
        <v>632</v>
      </c>
      <c r="C175" s="511">
        <v>44839</v>
      </c>
      <c r="D175" s="18" t="s">
        <v>252</v>
      </c>
      <c r="E175" s="18" t="s">
        <v>253</v>
      </c>
      <c r="F175" s="512" t="s">
        <v>725</v>
      </c>
      <c r="G175" s="39" t="s">
        <v>314</v>
      </c>
      <c r="H175" s="513">
        <v>7500000</v>
      </c>
      <c r="I175" s="41" t="s">
        <v>232</v>
      </c>
      <c r="J175" s="276" t="str">
        <f>VLOOKUP($I175,'Price List, Weapons &amp; Items'!A:B,2,0)</f>
        <v>.</v>
      </c>
      <c r="K175" s="276" t="str">
        <f>IF(I175=".",I175,VLOOKUP($I175,'Price List, Weapons &amp; Items'!A:C,3,0))</f>
        <v>.</v>
      </c>
      <c r="L175" s="514">
        <f>VLOOKUP(I175,'Price List, Weapons &amp; Items'!A:D,4,0)</f>
        <v>0</v>
      </c>
      <c r="M175" s="515" t="s">
        <v>232</v>
      </c>
      <c r="N175" s="515" t="s">
        <v>232</v>
      </c>
      <c r="O175" s="516" t="str">
        <f>VLOOKUP($I175,'Price List, Weapons &amp; Items'!A:F,6,0)</f>
        <v>.</v>
      </c>
      <c r="P175" s="513" t="str">
        <f t="shared" si="40"/>
        <v>.</v>
      </c>
      <c r="Q175" s="513" t="s">
        <v>232</v>
      </c>
      <c r="R175" s="513">
        <f t="shared" si="30"/>
        <v>7500000</v>
      </c>
      <c r="S175" s="513">
        <f>IF(AND(AD175=1,R175&lt;&gt;".")=TRUE,R175/VLOOKUP(G175,'Exchange rates'!B:C,2,0),IF(R175=".",".",""))</f>
        <v>7473841.5545590427</v>
      </c>
      <c r="T175" s="513" t="str">
        <f>IF(AD175=1,IF(AF175="Value is not given at all",".",IF(AF175="Value is given by the source",S175,IF(AF175="Value is calculated with prices",(IF(SUMIFS(Q:Q,A:A,A175)&gt;0,SUMIFS(Q:Q,A:A,A175),"."))/VLOOKUP("USD",'Exchange rates'!B:C,2,0),"Error with coding"))),"")</f>
        <v>.</v>
      </c>
      <c r="U175" s="39" t="s">
        <v>372</v>
      </c>
      <c r="V175" s="828" t="s">
        <v>726</v>
      </c>
      <c r="W175" s="829" t="s">
        <v>727</v>
      </c>
      <c r="X175" s="42" t="s">
        <v>232</v>
      </c>
      <c r="Y175" s="825" t="s">
        <v>232</v>
      </c>
      <c r="Z175" s="39">
        <v>0</v>
      </c>
      <c r="AA175" s="39">
        <v>1</v>
      </c>
      <c r="AB175" s="534" t="s">
        <v>232</v>
      </c>
      <c r="AC175" s="519" t="str">
        <f>""</f>
        <v/>
      </c>
      <c r="AD175" s="522">
        <v>1</v>
      </c>
      <c r="AE175" s="522" t="s">
        <v>236</v>
      </c>
      <c r="AF175" s="522" t="s">
        <v>237</v>
      </c>
      <c r="AG175" s="522">
        <v>1</v>
      </c>
      <c r="AH175" s="520">
        <v>10</v>
      </c>
      <c r="AI175" s="520">
        <v>0</v>
      </c>
      <c r="AJ175" s="520">
        <f>VLOOKUP($I175,'Price List, Weapons &amp; Items'!A:E,5,0)</f>
        <v>0</v>
      </c>
      <c r="AK175" s="520">
        <f t="shared" si="32"/>
        <v>0</v>
      </c>
      <c r="AL175" s="520">
        <f t="shared" si="33"/>
        <v>0</v>
      </c>
      <c r="AM175" s="520">
        <f t="shared" si="34"/>
        <v>0</v>
      </c>
      <c r="AN175" s="521" t="str">
        <f>VLOOKUP($I175,'Price List, Weapons &amp; Items'!A:K,COLUMN('Price List, Weapons &amp; Items'!$I$1),0)</f>
        <v>.</v>
      </c>
      <c r="AO175" s="521" t="str">
        <f>IF(I175=".",".",VLOOKUP($I175,'Price List, Weapons &amp; Items'!A:I,3,0))</f>
        <v>.</v>
      </c>
      <c r="AP175" s="517" t="str">
        <f t="shared" ca="1" si="31"/>
        <v>.</v>
      </c>
      <c r="AQ175" s="521" t="str">
        <f>VLOOKUP($I175,'Price List, Weapons &amp; Items'!A:K,COLUMN('Price List, Weapons &amp; Items'!$K$1),0)</f>
        <v>no price, 0 count</v>
      </c>
      <c r="AS175" s="521">
        <f t="shared" si="35"/>
        <v>0</v>
      </c>
      <c r="AT175" s="521">
        <f t="shared" si="36"/>
        <v>1</v>
      </c>
      <c r="AU175" s="521">
        <f t="shared" si="37"/>
        <v>1</v>
      </c>
      <c r="AV175" s="521" t="str">
        <f t="shared" si="38"/>
        <v>.</v>
      </c>
    </row>
    <row r="176" spans="1:48" s="533" customFormat="1" ht="15" customHeight="1">
      <c r="A176" s="41" t="s">
        <v>728</v>
      </c>
      <c r="B176" s="41" t="s">
        <v>632</v>
      </c>
      <c r="C176" s="511">
        <v>44854</v>
      </c>
      <c r="D176" s="18" t="s">
        <v>252</v>
      </c>
      <c r="E176" s="18" t="s">
        <v>729</v>
      </c>
      <c r="F176" s="512" t="s">
        <v>730</v>
      </c>
      <c r="G176" s="39" t="s">
        <v>314</v>
      </c>
      <c r="H176" s="513">
        <v>413193</v>
      </c>
      <c r="I176" s="41" t="s">
        <v>232</v>
      </c>
      <c r="J176" s="276" t="str">
        <f>VLOOKUP($I176,'Price List, Weapons &amp; Items'!A:B,2,0)</f>
        <v>.</v>
      </c>
      <c r="K176" s="276" t="str">
        <f>IF(I176=".",I176,VLOOKUP($I176,'Price List, Weapons &amp; Items'!A:C,3,0))</f>
        <v>.</v>
      </c>
      <c r="L176" s="514">
        <f>VLOOKUP(I176,'Price List, Weapons &amp; Items'!A:D,4,0)</f>
        <v>0</v>
      </c>
      <c r="M176" s="515" t="s">
        <v>232</v>
      </c>
      <c r="N176" s="515" t="s">
        <v>232</v>
      </c>
      <c r="O176" s="516" t="str">
        <f>VLOOKUP($I176,'Price List, Weapons &amp; Items'!A:F,6,0)</f>
        <v>.</v>
      </c>
      <c r="P176" s="513" t="str">
        <f t="shared" si="40"/>
        <v>.</v>
      </c>
      <c r="Q176" s="513" t="s">
        <v>232</v>
      </c>
      <c r="R176" s="513">
        <f t="shared" si="30"/>
        <v>413193</v>
      </c>
      <c r="S176" s="513">
        <f>IF(AND(AD176=1,R176&lt;&gt;".")=TRUE,R176/VLOOKUP(G176,'Exchange rates'!B:C,2,0),IF(R176=".",".",""))</f>
        <v>411751.86846038862</v>
      </c>
      <c r="T176" s="513" t="str">
        <f>IF(AD176=1,IF(AF176="Value is not given at all",".",IF(AF176="Value is given by the source",S176,IF(AF176="Value is calculated with prices",(IF(SUMIFS(Q:Q,A:A,A176)&gt;0,SUMIFS(Q:Q,A:A,A176),"."))/VLOOKUP("USD",'Exchange rates'!B:C,2,0),"Error with coding"))),"")</f>
        <v>.</v>
      </c>
      <c r="U176" s="39" t="s">
        <v>372</v>
      </c>
      <c r="V176" s="828" t="s">
        <v>727</v>
      </c>
      <c r="W176" s="42" t="s">
        <v>232</v>
      </c>
      <c r="X176" s="42" t="s">
        <v>232</v>
      </c>
      <c r="Y176" s="825" t="s">
        <v>232</v>
      </c>
      <c r="Z176" s="39">
        <v>0</v>
      </c>
      <c r="AA176" s="39">
        <v>1</v>
      </c>
      <c r="AB176" s="534" t="s">
        <v>232</v>
      </c>
      <c r="AC176" s="519" t="str">
        <f>""</f>
        <v/>
      </c>
      <c r="AD176" s="522">
        <v>1</v>
      </c>
      <c r="AE176" s="522" t="s">
        <v>236</v>
      </c>
      <c r="AF176" s="522" t="s">
        <v>237</v>
      </c>
      <c r="AG176" s="522">
        <v>1</v>
      </c>
      <c r="AH176" s="520">
        <v>10</v>
      </c>
      <c r="AI176" s="520">
        <v>0</v>
      </c>
      <c r="AJ176" s="520">
        <f>VLOOKUP($I176,'Price List, Weapons &amp; Items'!A:E,5,0)</f>
        <v>0</v>
      </c>
      <c r="AK176" s="520">
        <f t="shared" si="32"/>
        <v>0</v>
      </c>
      <c r="AL176" s="520">
        <f t="shared" si="33"/>
        <v>0</v>
      </c>
      <c r="AM176" s="520">
        <f t="shared" si="34"/>
        <v>0</v>
      </c>
      <c r="AN176" s="521" t="str">
        <f>VLOOKUP($I176,'Price List, Weapons &amp; Items'!A:K,COLUMN('Price List, Weapons &amp; Items'!$I$1),0)</f>
        <v>.</v>
      </c>
      <c r="AO176" s="521" t="str">
        <f>IF(I176=".",".",VLOOKUP($I176,'Price List, Weapons &amp; Items'!A:I,3,0))</f>
        <v>.</v>
      </c>
      <c r="AP176" s="517" t="str">
        <f t="shared" ca="1" si="31"/>
        <v>.</v>
      </c>
      <c r="AQ176" s="521" t="str">
        <f>VLOOKUP($I176,'Price List, Weapons &amp; Items'!A:K,COLUMN('Price List, Weapons &amp; Items'!$K$1),0)</f>
        <v>no price, 0 count</v>
      </c>
      <c r="AS176" s="521">
        <f t="shared" si="35"/>
        <v>0</v>
      </c>
      <c r="AT176" s="521">
        <f t="shared" si="36"/>
        <v>1</v>
      </c>
      <c r="AU176" s="521">
        <f t="shared" si="37"/>
        <v>1</v>
      </c>
      <c r="AV176" s="521" t="str">
        <f t="shared" si="38"/>
        <v>.</v>
      </c>
    </row>
    <row r="177" spans="1:48" s="533" customFormat="1" ht="15" customHeight="1">
      <c r="A177" s="41" t="s">
        <v>731</v>
      </c>
      <c r="B177" s="41" t="s">
        <v>632</v>
      </c>
      <c r="C177" s="511">
        <v>44869</v>
      </c>
      <c r="D177" s="18" t="s">
        <v>252</v>
      </c>
      <c r="E177" s="18" t="s">
        <v>307</v>
      </c>
      <c r="F177" s="512" t="s">
        <v>732</v>
      </c>
      <c r="G177" s="39" t="s">
        <v>314</v>
      </c>
      <c r="H177" s="513">
        <v>45000000</v>
      </c>
      <c r="I177" s="41" t="s">
        <v>733</v>
      </c>
      <c r="J177" s="276" t="str">
        <f>VLOOKUP($I177,'Price List, Weapons &amp; Items'!A:B,2,0)</f>
        <v>Heavy weapon</v>
      </c>
      <c r="K177" s="276" t="str">
        <f>IF(I177=".",I177,VLOOKUP($I177,'Price List, Weapons &amp; Items'!A:C,3,0))</f>
        <v>Main Battle Tank (MBT)</v>
      </c>
      <c r="L177" s="514">
        <f>VLOOKUP(I177,'Price List, Weapons &amp; Items'!A:D,4,0)</f>
        <v>1</v>
      </c>
      <c r="M177" s="515">
        <v>90</v>
      </c>
      <c r="N177" s="515" t="s">
        <v>232</v>
      </c>
      <c r="O177" s="516">
        <f>VLOOKUP($I177,'Price List, Weapons &amp; Items'!A:F,6,0)</f>
        <v>500000</v>
      </c>
      <c r="P177" s="513">
        <f t="shared" si="40"/>
        <v>45000000</v>
      </c>
      <c r="Q177" s="513" t="s">
        <v>232</v>
      </c>
      <c r="R177" s="513">
        <f t="shared" si="30"/>
        <v>45000000</v>
      </c>
      <c r="S177" s="513">
        <f>IF(AND(AD177=1,R177&lt;&gt;".")=TRUE,R177/VLOOKUP(G177,'Exchange rates'!B:C,2,0),IF(R177=".",".",""))</f>
        <v>44843049.32735426</v>
      </c>
      <c r="T177" s="513" t="str">
        <f>IF(AD177=1,IF(AF177="Value is not given at all",".",IF(AF177="Value is given by the source",S177,IF(AF177="Value is calculated with prices",(IF(SUMIFS(Q:Q,A:A,A177)&gt;0,SUMIFS(Q:Q,A:A,A177),"."))/VLOOKUP("USD",'Exchange rates'!B:C,2,0),"Error with coding"))),"")</f>
        <v>.</v>
      </c>
      <c r="U177" s="39" t="s">
        <v>233</v>
      </c>
      <c r="V177" s="830" t="s">
        <v>734</v>
      </c>
      <c r="W177" s="828" t="s">
        <v>735</v>
      </c>
      <c r="X177" s="829" t="s">
        <v>736</v>
      </c>
      <c r="Y177" s="825" t="s">
        <v>232</v>
      </c>
      <c r="Z177" s="39">
        <v>0</v>
      </c>
      <c r="AA177" s="39">
        <v>1</v>
      </c>
      <c r="AB177" s="534" t="s">
        <v>232</v>
      </c>
      <c r="AC177" s="519" t="str">
        <f>""</f>
        <v/>
      </c>
      <c r="AD177" s="522">
        <v>1</v>
      </c>
      <c r="AE177" s="522" t="s">
        <v>300</v>
      </c>
      <c r="AF177" s="522" t="s">
        <v>237</v>
      </c>
      <c r="AG177" s="522">
        <v>1</v>
      </c>
      <c r="AH177" s="520">
        <v>11</v>
      </c>
      <c r="AI177" s="520">
        <v>0</v>
      </c>
      <c r="AJ177" s="520">
        <f>VLOOKUP($I177,'Price List, Weapons &amp; Items'!A:E,5,0)</f>
        <v>1</v>
      </c>
      <c r="AK177" s="520">
        <f t="shared" si="32"/>
        <v>0</v>
      </c>
      <c r="AL177" s="520">
        <f t="shared" si="33"/>
        <v>0</v>
      </c>
      <c r="AM177" s="520">
        <f t="shared" si="34"/>
        <v>0</v>
      </c>
      <c r="AN177" s="521" t="str">
        <f>VLOOKUP($I177,'Price List, Weapons &amp; Items'!A:K,COLUMN('Price List, Weapons &amp; Items'!$I$1),0)</f>
        <v>.</v>
      </c>
      <c r="AO177" s="521" t="str">
        <f>IF(I177=".",".",VLOOKUP($I177,'Price List, Weapons &amp; Items'!A:I,3,0))</f>
        <v>Main Battle Tank (MBT)</v>
      </c>
      <c r="AP177" s="517" t="str">
        <f t="shared" ca="1" si="31"/>
        <v>unrefurbished T-72 (US, NL, CZ)</v>
      </c>
      <c r="AQ177" s="521">
        <f>VLOOKUP($I177,'Price List, Weapons &amp; Items'!A:K,COLUMN('Price List, Weapons &amp; Items'!$K$1),0)</f>
        <v>2</v>
      </c>
      <c r="AS177" s="521">
        <f t="shared" si="35"/>
        <v>1</v>
      </c>
      <c r="AT177" s="521">
        <f t="shared" si="36"/>
        <v>1</v>
      </c>
      <c r="AU177" s="521">
        <f t="shared" si="37"/>
        <v>1</v>
      </c>
      <c r="AV177" s="521" t="str">
        <f t="shared" si="38"/>
        <v>.</v>
      </c>
    </row>
    <row r="178" spans="1:48" s="533" customFormat="1" ht="15" customHeight="1">
      <c r="A178" s="41" t="s">
        <v>737</v>
      </c>
      <c r="B178" s="41" t="s">
        <v>632</v>
      </c>
      <c r="C178" s="511">
        <v>44881</v>
      </c>
      <c r="D178" s="18" t="s">
        <v>252</v>
      </c>
      <c r="E178" s="18" t="s">
        <v>738</v>
      </c>
      <c r="F178" s="512" t="s">
        <v>739</v>
      </c>
      <c r="G178" s="39" t="s">
        <v>314</v>
      </c>
      <c r="H178" s="513">
        <v>41600000</v>
      </c>
      <c r="I178" s="41" t="s">
        <v>232</v>
      </c>
      <c r="J178" s="276" t="str">
        <f>VLOOKUP($I178,'Price List, Weapons &amp; Items'!A:B,2,0)</f>
        <v>.</v>
      </c>
      <c r="K178" s="276" t="str">
        <f>IF(I178=".",I178,VLOOKUP($I178,'Price List, Weapons &amp; Items'!A:C,3,0))</f>
        <v>.</v>
      </c>
      <c r="L178" s="514">
        <f>VLOOKUP(I178,'Price List, Weapons &amp; Items'!A:D,4,0)</f>
        <v>0</v>
      </c>
      <c r="M178" s="515" t="s">
        <v>232</v>
      </c>
      <c r="N178" s="515" t="s">
        <v>232</v>
      </c>
      <c r="O178" s="516" t="str">
        <f>VLOOKUP($I178,'Price List, Weapons &amp; Items'!A:F,6,0)</f>
        <v>.</v>
      </c>
      <c r="P178" s="513" t="str">
        <f t="shared" si="40"/>
        <v>.</v>
      </c>
      <c r="Q178" s="513" t="s">
        <v>232</v>
      </c>
      <c r="R178" s="513">
        <f t="shared" si="30"/>
        <v>41600000</v>
      </c>
      <c r="S178" s="513">
        <f>IF(AND(AD178=1,R178&lt;&gt;".")=TRUE,R178/VLOOKUP(G178,'Exchange rates'!B:C,2,0),IF(R178=".",".",""))</f>
        <v>41454907.822620824</v>
      </c>
      <c r="T178" s="513" t="str">
        <f>IF(AD178=1,IF(AF178="Value is not given at all",".",IF(AF178="Value is given by the source",S178,IF(AF178="Value is calculated with prices",(IF(SUMIFS(Q:Q,A:A,A178)&gt;0,SUMIFS(Q:Q,A:A,A178),"."))/VLOOKUP("USD",'Exchange rates'!B:C,2,0),"Error with coding"))),"")</f>
        <v>.</v>
      </c>
      <c r="U178" s="39" t="s">
        <v>233</v>
      </c>
      <c r="V178" s="828" t="s">
        <v>740</v>
      </c>
      <c r="W178" s="42" t="s">
        <v>232</v>
      </c>
      <c r="X178" s="42" t="s">
        <v>232</v>
      </c>
      <c r="Y178" s="825" t="s">
        <v>232</v>
      </c>
      <c r="Z178" s="39">
        <v>0</v>
      </c>
      <c r="AA178" s="39">
        <v>1</v>
      </c>
      <c r="AB178" s="534" t="s">
        <v>232</v>
      </c>
      <c r="AC178" s="519" t="str">
        <f>""</f>
        <v/>
      </c>
      <c r="AD178" s="522">
        <v>1</v>
      </c>
      <c r="AE178" s="522" t="s">
        <v>236</v>
      </c>
      <c r="AF178" s="522" t="s">
        <v>237</v>
      </c>
      <c r="AG178" s="522">
        <v>1</v>
      </c>
      <c r="AH178" s="520">
        <v>11</v>
      </c>
      <c r="AI178" s="520">
        <v>0</v>
      </c>
      <c r="AJ178" s="520">
        <f>VLOOKUP($I178,'Price List, Weapons &amp; Items'!A:E,5,0)</f>
        <v>0</v>
      </c>
      <c r="AK178" s="520">
        <f t="shared" si="32"/>
        <v>0</v>
      </c>
      <c r="AL178" s="520">
        <f t="shared" si="33"/>
        <v>0</v>
      </c>
      <c r="AM178" s="520">
        <f t="shared" si="34"/>
        <v>0</v>
      </c>
      <c r="AN178" s="521" t="str">
        <f>VLOOKUP($I178,'Price List, Weapons &amp; Items'!A:K,COLUMN('Price List, Weapons &amp; Items'!$I$1),0)</f>
        <v>.</v>
      </c>
      <c r="AO178" s="521" t="str">
        <f>IF(I178=".",".",VLOOKUP($I178,'Price List, Weapons &amp; Items'!A:I,3,0))</f>
        <v>.</v>
      </c>
      <c r="AP178" s="517" t="str">
        <f t="shared" ca="1" si="31"/>
        <v>.</v>
      </c>
      <c r="AQ178" s="521" t="str">
        <f>VLOOKUP($I178,'Price List, Weapons &amp; Items'!A:K,COLUMN('Price List, Weapons &amp; Items'!$K$1),0)</f>
        <v>no price, 0 count</v>
      </c>
      <c r="AS178" s="521">
        <f t="shared" si="35"/>
        <v>1</v>
      </c>
      <c r="AT178" s="521">
        <f t="shared" si="36"/>
        <v>0</v>
      </c>
      <c r="AU178" s="521">
        <f t="shared" si="37"/>
        <v>1</v>
      </c>
      <c r="AV178" s="521" t="str">
        <f t="shared" si="38"/>
        <v>.</v>
      </c>
    </row>
    <row r="179" spans="1:48" ht="15" customHeight="1">
      <c r="A179" s="41" t="s">
        <v>741</v>
      </c>
      <c r="B179" s="41" t="s">
        <v>632</v>
      </c>
      <c r="C179" s="511">
        <v>44616</v>
      </c>
      <c r="D179" s="18" t="s">
        <v>228</v>
      </c>
      <c r="E179" s="18" t="s">
        <v>229</v>
      </c>
      <c r="F179" s="512" t="s">
        <v>742</v>
      </c>
      <c r="G179" s="39" t="s">
        <v>634</v>
      </c>
      <c r="H179" s="513">
        <v>300000000</v>
      </c>
      <c r="I179" s="41" t="s">
        <v>232</v>
      </c>
      <c r="J179" s="276" t="str">
        <f>VLOOKUP($I179,'Price List, Weapons &amp; Items'!A:B,2,0)</f>
        <v>.</v>
      </c>
      <c r="K179" s="276" t="str">
        <f>IF(I179=".",I179,VLOOKUP($I179,'Price List, Weapons &amp; Items'!A:C,3,0))</f>
        <v>.</v>
      </c>
      <c r="L179" s="514">
        <f>VLOOKUP(I179,'Price List, Weapons &amp; Items'!A:D,4,0)</f>
        <v>0</v>
      </c>
      <c r="M179" s="515" t="s">
        <v>232</v>
      </c>
      <c r="N179" s="515" t="s">
        <v>232</v>
      </c>
      <c r="O179" s="516" t="str">
        <f>VLOOKUP($I179,'Price List, Weapons &amp; Items'!A:F,6,0)</f>
        <v>.</v>
      </c>
      <c r="P179" s="513" t="str">
        <f t="shared" si="40"/>
        <v>.</v>
      </c>
      <c r="Q179" s="513" t="str">
        <f t="shared" si="41"/>
        <v>.</v>
      </c>
      <c r="R179" s="513">
        <f t="shared" si="30"/>
        <v>300000000</v>
      </c>
      <c r="S179" s="513">
        <f>IF(AND(AD179=1,R179&lt;&gt;".")=TRUE,R179/VLOOKUP(G179,'Exchange rates'!B:C,2,0),IF(R179=".",".",""))</f>
        <v>12284006.223896487</v>
      </c>
      <c r="T179" s="513" t="str">
        <f>IF(AD179=1,IF(AF179="Value is not given at all",".",IF(AF179="Value is given by the source",S179,IF(AF179="Value is calculated with prices",(IF(SUMIFS(Q:Q,A:A,A179)&gt;0,SUMIFS(Q:Q,A:A,A179),"."))/VLOOKUP("USD",'Exchange rates'!B:C,2,0),"Error with coding"))),"")</f>
        <v>.</v>
      </c>
      <c r="U179" s="39" t="s">
        <v>233</v>
      </c>
      <c r="V179" s="42" t="s">
        <v>675</v>
      </c>
      <c r="W179" s="42" t="s">
        <v>743</v>
      </c>
      <c r="X179" s="42" t="s">
        <v>744</v>
      </c>
      <c r="Y179" s="512" t="s">
        <v>232</v>
      </c>
      <c r="Z179" s="47">
        <v>0</v>
      </c>
      <c r="AA179" s="518">
        <v>0</v>
      </c>
      <c r="AB179" s="38" t="s">
        <v>232</v>
      </c>
      <c r="AC179" s="519" t="str">
        <f>""</f>
        <v/>
      </c>
      <c r="AD179" s="520">
        <v>1</v>
      </c>
      <c r="AE179" s="520" t="s">
        <v>236</v>
      </c>
      <c r="AF179" s="520" t="s">
        <v>237</v>
      </c>
      <c r="AG179" s="520">
        <v>1</v>
      </c>
      <c r="AH179" s="520">
        <v>2</v>
      </c>
      <c r="AI179" s="520">
        <v>0</v>
      </c>
      <c r="AJ179" s="520">
        <f>VLOOKUP($I179,'Price List, Weapons &amp; Items'!A:E,5,0)</f>
        <v>0</v>
      </c>
      <c r="AK179" s="520">
        <f t="shared" si="32"/>
        <v>0</v>
      </c>
      <c r="AL179" s="520">
        <f t="shared" si="33"/>
        <v>0</v>
      </c>
      <c r="AM179" s="520">
        <f t="shared" si="34"/>
        <v>0</v>
      </c>
      <c r="AN179" s="521" t="str">
        <f>VLOOKUP($I179,'Price List, Weapons &amp; Items'!A:K,COLUMN('Price List, Weapons &amp; Items'!$I$1),0)</f>
        <v>.</v>
      </c>
      <c r="AO179" s="521" t="str">
        <f>IF(I179=".",".",VLOOKUP($I179,'Price List, Weapons &amp; Items'!A:I,3,0))</f>
        <v>.</v>
      </c>
      <c r="AP179" s="517" t="str">
        <f t="shared" ca="1" si="31"/>
        <v>.</v>
      </c>
      <c r="AQ179" s="521" t="str">
        <f>VLOOKUP($I179,'Price List, Weapons &amp; Items'!A:K,COLUMN('Price List, Weapons &amp; Items'!$K$1),0)</f>
        <v>no price, 0 count</v>
      </c>
      <c r="AS179" s="521">
        <f t="shared" si="35"/>
        <v>1</v>
      </c>
      <c r="AT179" s="521">
        <f t="shared" si="36"/>
        <v>0</v>
      </c>
      <c r="AU179" s="521">
        <f t="shared" si="37"/>
        <v>1</v>
      </c>
      <c r="AV179" s="521" t="str">
        <f t="shared" si="38"/>
        <v>.</v>
      </c>
    </row>
    <row r="180" spans="1:48" ht="15" customHeight="1">
      <c r="A180" s="41" t="s">
        <v>745</v>
      </c>
      <c r="B180" s="41" t="s">
        <v>632</v>
      </c>
      <c r="C180" s="511">
        <v>44624</v>
      </c>
      <c r="D180" s="18" t="s">
        <v>228</v>
      </c>
      <c r="E180" s="18" t="s">
        <v>239</v>
      </c>
      <c r="F180" s="512" t="s">
        <v>746</v>
      </c>
      <c r="G180" s="39" t="s">
        <v>634</v>
      </c>
      <c r="H180" s="513">
        <v>108000000</v>
      </c>
      <c r="I180" s="523" t="s">
        <v>232</v>
      </c>
      <c r="J180" s="276" t="str">
        <f>VLOOKUP($I180,'Price List, Weapons &amp; Items'!A:B,2,0)</f>
        <v>.</v>
      </c>
      <c r="K180" s="276" t="str">
        <f>IF(I180=".",I180,VLOOKUP($I180,'Price List, Weapons &amp; Items'!A:C,3,0))</f>
        <v>.</v>
      </c>
      <c r="L180" s="514">
        <f>VLOOKUP(I180,'Price List, Weapons &amp; Items'!A:D,4,0)</f>
        <v>0</v>
      </c>
      <c r="M180" s="515" t="s">
        <v>232</v>
      </c>
      <c r="N180" s="515" t="s">
        <v>232</v>
      </c>
      <c r="O180" s="516" t="str">
        <f>VLOOKUP($I180,'Price List, Weapons &amp; Items'!A:F,6,0)</f>
        <v>.</v>
      </c>
      <c r="P180" s="513" t="str">
        <f t="shared" si="40"/>
        <v>.</v>
      </c>
      <c r="Q180" s="513" t="str">
        <f t="shared" si="41"/>
        <v>.</v>
      </c>
      <c r="R180" s="513">
        <f t="shared" si="30"/>
        <v>108000000</v>
      </c>
      <c r="S180" s="513">
        <f>IF(AND(AD180=1,R180&lt;&gt;".")=TRUE,R180/VLOOKUP(G180,'Exchange rates'!B:C,2,0),IF(R180=".",".",""))</f>
        <v>4422242.2406027354</v>
      </c>
      <c r="T180" s="513" t="str">
        <f>IF(AD180=1,IF(AF180="Value is not given at all",".",IF(AF180="Value is given by the source",S180,IF(AF180="Value is calculated with prices",(IF(SUMIFS(Q:Q,A:A,A180)&gt;0,SUMIFS(Q:Q,A:A,A180),"."))/VLOOKUP("USD",'Exchange rates'!B:C,2,0),"Error with coding"))),"")</f>
        <v>.</v>
      </c>
      <c r="U180" s="39" t="s">
        <v>372</v>
      </c>
      <c r="V180" s="42" t="s">
        <v>684</v>
      </c>
      <c r="W180" s="42" t="s">
        <v>747</v>
      </c>
      <c r="X180" s="42" t="s">
        <v>684</v>
      </c>
      <c r="Y180" s="512" t="s">
        <v>232</v>
      </c>
      <c r="Z180" s="39">
        <v>0</v>
      </c>
      <c r="AA180" s="518">
        <v>0</v>
      </c>
      <c r="AB180" s="38" t="s">
        <v>232</v>
      </c>
      <c r="AC180" s="519" t="str">
        <f>""</f>
        <v/>
      </c>
      <c r="AD180" s="520">
        <v>1</v>
      </c>
      <c r="AE180" s="520" t="s">
        <v>236</v>
      </c>
      <c r="AF180" s="520" t="s">
        <v>237</v>
      </c>
      <c r="AG180" s="520">
        <v>1</v>
      </c>
      <c r="AH180" s="520">
        <v>3</v>
      </c>
      <c r="AI180" s="520">
        <v>0</v>
      </c>
      <c r="AJ180" s="520">
        <f>VLOOKUP($I180,'Price List, Weapons &amp; Items'!A:E,5,0)</f>
        <v>0</v>
      </c>
      <c r="AK180" s="520">
        <f t="shared" si="32"/>
        <v>0</v>
      </c>
      <c r="AL180" s="520">
        <f t="shared" si="33"/>
        <v>0</v>
      </c>
      <c r="AM180" s="520">
        <f t="shared" si="34"/>
        <v>0</v>
      </c>
      <c r="AN180" s="521" t="str">
        <f>VLOOKUP($I180,'Price List, Weapons &amp; Items'!A:K,COLUMN('Price List, Weapons &amp; Items'!$I$1),0)</f>
        <v>.</v>
      </c>
      <c r="AO180" s="521" t="str">
        <f>IF(I180=".",".",VLOOKUP($I180,'Price List, Weapons &amp; Items'!A:I,3,0))</f>
        <v>.</v>
      </c>
      <c r="AP180" s="517" t="str">
        <f t="shared" ca="1" si="31"/>
        <v>.</v>
      </c>
      <c r="AQ180" s="521" t="str">
        <f>VLOOKUP($I180,'Price List, Weapons &amp; Items'!A:K,COLUMN('Price List, Weapons &amp; Items'!$K$1),0)</f>
        <v>no price, 0 count</v>
      </c>
      <c r="AS180" s="521">
        <f t="shared" si="35"/>
        <v>0</v>
      </c>
      <c r="AT180" s="521">
        <f t="shared" si="36"/>
        <v>0</v>
      </c>
      <c r="AU180" s="521">
        <f t="shared" si="37"/>
        <v>1</v>
      </c>
      <c r="AV180" s="521" t="str">
        <f t="shared" si="38"/>
        <v>.</v>
      </c>
    </row>
    <row r="181" spans="1:48" ht="15" customHeight="1">
      <c r="A181" s="41" t="s">
        <v>748</v>
      </c>
      <c r="B181" s="41" t="s">
        <v>632</v>
      </c>
      <c r="C181" s="511">
        <v>44625</v>
      </c>
      <c r="D181" s="18" t="s">
        <v>228</v>
      </c>
      <c r="E181" s="18" t="s">
        <v>330</v>
      </c>
      <c r="F181" s="512" t="s">
        <v>749</v>
      </c>
      <c r="G181" s="39" t="s">
        <v>634</v>
      </c>
      <c r="H181" s="513">
        <v>10000000</v>
      </c>
      <c r="I181" s="523" t="s">
        <v>232</v>
      </c>
      <c r="J181" s="276" t="str">
        <f>VLOOKUP($I181,'Price List, Weapons &amp; Items'!A:B,2,0)</f>
        <v>.</v>
      </c>
      <c r="K181" s="276" t="str">
        <f>IF(I181=".",I181,VLOOKUP($I181,'Price List, Weapons &amp; Items'!A:C,3,0))</f>
        <v>.</v>
      </c>
      <c r="L181" s="514">
        <f>VLOOKUP(I181,'Price List, Weapons &amp; Items'!A:D,4,0)</f>
        <v>0</v>
      </c>
      <c r="M181" s="515" t="s">
        <v>232</v>
      </c>
      <c r="N181" s="515" t="s">
        <v>232</v>
      </c>
      <c r="O181" s="516" t="str">
        <f>VLOOKUP($I181,'Price List, Weapons &amp; Items'!A:F,6,0)</f>
        <v>.</v>
      </c>
      <c r="P181" s="513" t="str">
        <f t="shared" si="40"/>
        <v>.</v>
      </c>
      <c r="Q181" s="513" t="str">
        <f t="shared" si="41"/>
        <v>.</v>
      </c>
      <c r="R181" s="513">
        <f t="shared" si="30"/>
        <v>10000000</v>
      </c>
      <c r="S181" s="513">
        <f>IF(AND(AD181=1,R181&lt;&gt;".")=TRUE,R181/VLOOKUP(G181,'Exchange rates'!B:C,2,0),IF(R181=".",".",""))</f>
        <v>409466.8741298829</v>
      </c>
      <c r="T181" s="513" t="str">
        <f>IF(AD181=1,IF(AF181="Value is not given at all",".",IF(AF181="Value is given by the source",S181,IF(AF181="Value is calculated with prices",(IF(SUMIFS(Q:Q,A:A,A181)&gt;0,SUMIFS(Q:Q,A:A,A181),"."))/VLOOKUP("USD",'Exchange rates'!B:C,2,0),"Error with coding"))),"")</f>
        <v>.</v>
      </c>
      <c r="U181" s="39" t="s">
        <v>233</v>
      </c>
      <c r="V181" s="42" t="s">
        <v>684</v>
      </c>
      <c r="W181" s="512" t="s">
        <v>232</v>
      </c>
      <c r="X181" s="512" t="s">
        <v>232</v>
      </c>
      <c r="Y181" s="512" t="s">
        <v>232</v>
      </c>
      <c r="Z181" s="39">
        <v>0</v>
      </c>
      <c r="AA181" s="518">
        <v>0</v>
      </c>
      <c r="AB181" s="38" t="s">
        <v>232</v>
      </c>
      <c r="AC181" s="519" t="str">
        <f>""</f>
        <v/>
      </c>
      <c r="AD181" s="520">
        <v>1</v>
      </c>
      <c r="AE181" s="520" t="s">
        <v>236</v>
      </c>
      <c r="AF181" s="520" t="s">
        <v>237</v>
      </c>
      <c r="AG181" s="520">
        <v>1</v>
      </c>
      <c r="AH181" s="520">
        <v>3</v>
      </c>
      <c r="AI181" s="520">
        <v>0</v>
      </c>
      <c r="AJ181" s="520">
        <f>VLOOKUP($I181,'Price List, Weapons &amp; Items'!A:E,5,0)</f>
        <v>0</v>
      </c>
      <c r="AK181" s="520">
        <f t="shared" si="32"/>
        <v>0</v>
      </c>
      <c r="AL181" s="520">
        <f t="shared" si="33"/>
        <v>0</v>
      </c>
      <c r="AM181" s="520">
        <f t="shared" si="34"/>
        <v>0</v>
      </c>
      <c r="AN181" s="521" t="str">
        <f>VLOOKUP($I181,'Price List, Weapons &amp; Items'!A:K,COLUMN('Price List, Weapons &amp; Items'!$I$1),0)</f>
        <v>.</v>
      </c>
      <c r="AO181" s="521" t="str">
        <f>IF(I181=".",".",VLOOKUP($I181,'Price List, Weapons &amp; Items'!A:I,3,0))</f>
        <v>.</v>
      </c>
      <c r="AP181" s="517" t="str">
        <f t="shared" ca="1" si="31"/>
        <v>.</v>
      </c>
      <c r="AQ181" s="521" t="str">
        <f>VLOOKUP($I181,'Price List, Weapons &amp; Items'!A:K,COLUMN('Price List, Weapons &amp; Items'!$K$1),0)</f>
        <v>no price, 0 count</v>
      </c>
      <c r="AS181" s="521">
        <f t="shared" si="35"/>
        <v>1</v>
      </c>
      <c r="AT181" s="521">
        <f t="shared" si="36"/>
        <v>0</v>
      </c>
      <c r="AU181" s="521">
        <f t="shared" si="37"/>
        <v>1</v>
      </c>
      <c r="AV181" s="521" t="str">
        <f t="shared" si="38"/>
        <v>.</v>
      </c>
    </row>
    <row r="182" spans="1:48" ht="15" customHeight="1">
      <c r="A182" s="41" t="s">
        <v>750</v>
      </c>
      <c r="B182" s="41" t="s">
        <v>632</v>
      </c>
      <c r="C182" s="511" t="s">
        <v>682</v>
      </c>
      <c r="D182" s="18" t="s">
        <v>228</v>
      </c>
      <c r="E182" s="18" t="s">
        <v>751</v>
      </c>
      <c r="F182" s="512" t="s">
        <v>752</v>
      </c>
      <c r="G182" s="39" t="s">
        <v>634</v>
      </c>
      <c r="H182" s="513">
        <v>25000000</v>
      </c>
      <c r="I182" s="41" t="s">
        <v>232</v>
      </c>
      <c r="J182" s="276" t="str">
        <f>VLOOKUP($I182,'Price List, Weapons &amp; Items'!A:B,2,0)</f>
        <v>.</v>
      </c>
      <c r="K182" s="276" t="str">
        <f>IF(I182=".",I182,VLOOKUP($I182,'Price List, Weapons &amp; Items'!A:C,3,0))</f>
        <v>.</v>
      </c>
      <c r="L182" s="514">
        <f>VLOOKUP(I182,'Price List, Weapons &amp; Items'!A:D,4,0)</f>
        <v>0</v>
      </c>
      <c r="M182" s="515" t="s">
        <v>232</v>
      </c>
      <c r="N182" s="515" t="s">
        <v>232</v>
      </c>
      <c r="O182" s="516" t="str">
        <f>VLOOKUP($I182,'Price List, Weapons &amp; Items'!A:F,6,0)</f>
        <v>.</v>
      </c>
      <c r="P182" s="513" t="str">
        <f t="shared" si="40"/>
        <v>.</v>
      </c>
      <c r="Q182" s="513" t="str">
        <f t="shared" si="41"/>
        <v>.</v>
      </c>
      <c r="R182" s="513">
        <f t="shared" si="30"/>
        <v>25000000</v>
      </c>
      <c r="S182" s="513">
        <f>IF(AND(AD182=1,R182&lt;&gt;".")=TRUE,R182/VLOOKUP(G182,'Exchange rates'!B:C,2,0),IF(R182=".",".",""))</f>
        <v>1023667.1853247072</v>
      </c>
      <c r="T182" s="513" t="str">
        <f>IF(AD182=1,IF(AF182="Value is not given at all",".",IF(AF182="Value is given by the source",S182,IF(AF182="Value is calculated with prices",(IF(SUMIFS(Q:Q,A:A,A182)&gt;0,SUMIFS(Q:Q,A:A,A182),"."))/VLOOKUP("USD",'Exchange rates'!B:C,2,0),"Error with coding"))),"")</f>
        <v>.</v>
      </c>
      <c r="U182" s="39" t="s">
        <v>233</v>
      </c>
      <c r="V182" s="42" t="s">
        <v>675</v>
      </c>
      <c r="W182" s="512" t="s">
        <v>232</v>
      </c>
      <c r="X182" s="512" t="s">
        <v>232</v>
      </c>
      <c r="Y182" s="512" t="s">
        <v>232</v>
      </c>
      <c r="Z182" s="47">
        <v>0</v>
      </c>
      <c r="AA182" s="518">
        <v>0</v>
      </c>
      <c r="AB182" s="38" t="s">
        <v>232</v>
      </c>
      <c r="AC182" s="519" t="str">
        <f>""</f>
        <v/>
      </c>
      <c r="AD182" s="520">
        <v>1</v>
      </c>
      <c r="AE182" s="520" t="s">
        <v>236</v>
      </c>
      <c r="AF182" s="520" t="s">
        <v>237</v>
      </c>
      <c r="AG182" s="520">
        <v>0</v>
      </c>
      <c r="AH182" s="520">
        <v>0</v>
      </c>
      <c r="AI182" s="520">
        <v>0</v>
      </c>
      <c r="AJ182" s="520">
        <f>VLOOKUP($I182,'Price List, Weapons &amp; Items'!A:E,5,0)</f>
        <v>0</v>
      </c>
      <c r="AK182" s="520">
        <f t="shared" si="32"/>
        <v>0</v>
      </c>
      <c r="AL182" s="520">
        <f t="shared" si="33"/>
        <v>0</v>
      </c>
      <c r="AM182" s="520">
        <f t="shared" si="34"/>
        <v>0</v>
      </c>
      <c r="AN182" s="521" t="str">
        <f>VLOOKUP($I182,'Price List, Weapons &amp; Items'!A:K,COLUMN('Price List, Weapons &amp; Items'!$I$1),0)</f>
        <v>.</v>
      </c>
      <c r="AO182" s="521" t="str">
        <f>IF(I182=".",".",VLOOKUP($I182,'Price List, Weapons &amp; Items'!A:I,3,0))</f>
        <v>.</v>
      </c>
      <c r="AP182" s="517" t="str">
        <f t="shared" ca="1" si="31"/>
        <v>.</v>
      </c>
      <c r="AQ182" s="521" t="str">
        <f>VLOOKUP($I182,'Price List, Weapons &amp; Items'!A:K,COLUMN('Price List, Weapons &amp; Items'!$K$1),0)</f>
        <v>no price, 0 count</v>
      </c>
      <c r="AS182" s="521">
        <f t="shared" si="35"/>
        <v>1</v>
      </c>
      <c r="AT182" s="521">
        <f t="shared" si="36"/>
        <v>0</v>
      </c>
      <c r="AU182" s="521" t="str">
        <f t="shared" si="37"/>
        <v>Value is not in date format</v>
      </c>
      <c r="AV182" s="521" t="str">
        <f t="shared" si="38"/>
        <v>.</v>
      </c>
    </row>
    <row r="183" spans="1:48" ht="15" customHeight="1">
      <c r="A183" s="41" t="s">
        <v>753</v>
      </c>
      <c r="B183" s="41" t="s">
        <v>632</v>
      </c>
      <c r="C183" s="511">
        <v>44657</v>
      </c>
      <c r="D183" s="18" t="s">
        <v>228</v>
      </c>
      <c r="E183" s="18" t="s">
        <v>751</v>
      </c>
      <c r="F183" s="512" t="s">
        <v>754</v>
      </c>
      <c r="G183" s="39" t="s">
        <v>634</v>
      </c>
      <c r="H183" s="513">
        <v>14000000</v>
      </c>
      <c r="I183" s="41" t="s">
        <v>232</v>
      </c>
      <c r="J183" s="276" t="str">
        <f>VLOOKUP($I183,'Price List, Weapons &amp; Items'!A:B,2,0)</f>
        <v>.</v>
      </c>
      <c r="K183" s="276" t="str">
        <f>IF(I183=".",I183,VLOOKUP($I183,'Price List, Weapons &amp; Items'!A:C,3,0))</f>
        <v>.</v>
      </c>
      <c r="L183" s="514">
        <f>VLOOKUP(I183,'Price List, Weapons &amp; Items'!A:D,4,0)</f>
        <v>0</v>
      </c>
      <c r="M183" s="515" t="s">
        <v>232</v>
      </c>
      <c r="N183" s="515" t="s">
        <v>232</v>
      </c>
      <c r="O183" s="516" t="str">
        <f>VLOOKUP($I183,'Price List, Weapons &amp; Items'!A:F,6,0)</f>
        <v>.</v>
      </c>
      <c r="P183" s="513" t="str">
        <f t="shared" si="40"/>
        <v>.</v>
      </c>
      <c r="Q183" s="513" t="str">
        <f t="shared" si="41"/>
        <v>.</v>
      </c>
      <c r="R183" s="513">
        <f t="shared" si="30"/>
        <v>14000000</v>
      </c>
      <c r="S183" s="513">
        <f>IF(AND(AD183=1,R183&lt;&gt;".")=TRUE,R183/VLOOKUP(G183,'Exchange rates'!B:C,2,0),IF(R183=".",".",""))</f>
        <v>573253.62378183601</v>
      </c>
      <c r="T183" s="513" t="str">
        <f>IF(AD183=1,IF(AF183="Value is not given at all",".",IF(AF183="Value is given by the source",S183,IF(AF183="Value is calculated with prices",(IF(SUMIFS(Q:Q,A:A,A183)&gt;0,SUMIFS(Q:Q,A:A,A183),"."))/VLOOKUP("USD",'Exchange rates'!B:C,2,0),"Error with coding"))),"")</f>
        <v>.</v>
      </c>
      <c r="U183" s="39" t="s">
        <v>233</v>
      </c>
      <c r="V183" s="42" t="s">
        <v>675</v>
      </c>
      <c r="W183" s="512" t="s">
        <v>232</v>
      </c>
      <c r="X183" s="512" t="s">
        <v>232</v>
      </c>
      <c r="Y183" s="512" t="s">
        <v>232</v>
      </c>
      <c r="Z183" s="47">
        <v>0</v>
      </c>
      <c r="AA183" s="518">
        <v>0</v>
      </c>
      <c r="AB183" s="38" t="s">
        <v>232</v>
      </c>
      <c r="AC183" s="519" t="str">
        <f>""</f>
        <v/>
      </c>
      <c r="AD183" s="520">
        <v>1</v>
      </c>
      <c r="AE183" s="520" t="s">
        <v>236</v>
      </c>
      <c r="AF183" s="520" t="s">
        <v>237</v>
      </c>
      <c r="AG183" s="520">
        <v>1</v>
      </c>
      <c r="AH183" s="520">
        <v>4</v>
      </c>
      <c r="AI183" s="520">
        <v>0</v>
      </c>
      <c r="AJ183" s="520">
        <f>VLOOKUP($I183,'Price List, Weapons &amp; Items'!A:E,5,0)</f>
        <v>0</v>
      </c>
      <c r="AK183" s="520">
        <f t="shared" si="32"/>
        <v>0</v>
      </c>
      <c r="AL183" s="520">
        <f t="shared" si="33"/>
        <v>0</v>
      </c>
      <c r="AM183" s="520">
        <f t="shared" si="34"/>
        <v>0</v>
      </c>
      <c r="AN183" s="521" t="str">
        <f>VLOOKUP($I183,'Price List, Weapons &amp; Items'!A:K,COLUMN('Price List, Weapons &amp; Items'!$I$1),0)</f>
        <v>.</v>
      </c>
      <c r="AO183" s="521" t="str">
        <f>IF(I183=".",".",VLOOKUP($I183,'Price List, Weapons &amp; Items'!A:I,3,0))</f>
        <v>.</v>
      </c>
      <c r="AP183" s="517" t="str">
        <f t="shared" ca="1" si="31"/>
        <v>.</v>
      </c>
      <c r="AQ183" s="521" t="str">
        <f>VLOOKUP($I183,'Price List, Weapons &amp; Items'!A:K,COLUMN('Price List, Weapons &amp; Items'!$K$1),0)</f>
        <v>no price, 0 count</v>
      </c>
      <c r="AS183" s="521">
        <f t="shared" si="35"/>
        <v>1</v>
      </c>
      <c r="AT183" s="521">
        <f t="shared" si="36"/>
        <v>0</v>
      </c>
      <c r="AU183" s="521">
        <f t="shared" si="37"/>
        <v>1</v>
      </c>
      <c r="AV183" s="521" t="str">
        <f t="shared" si="38"/>
        <v>.</v>
      </c>
    </row>
    <row r="184" spans="1:48" ht="15" customHeight="1">
      <c r="A184" s="41" t="s">
        <v>755</v>
      </c>
      <c r="B184" s="41" t="s">
        <v>632</v>
      </c>
      <c r="C184" s="511">
        <v>44686</v>
      </c>
      <c r="D184" s="18" t="s">
        <v>228</v>
      </c>
      <c r="E184" s="18" t="s">
        <v>751</v>
      </c>
      <c r="F184" s="512" t="s">
        <v>756</v>
      </c>
      <c r="G184" s="39" t="s">
        <v>634</v>
      </c>
      <c r="H184" s="513">
        <v>433000000</v>
      </c>
      <c r="I184" s="41" t="s">
        <v>232</v>
      </c>
      <c r="J184" s="276" t="str">
        <f>VLOOKUP($I184,'Price List, Weapons &amp; Items'!A:B,2,0)</f>
        <v>.</v>
      </c>
      <c r="K184" s="276" t="str">
        <f>IF(I184=".",I184,VLOOKUP($I184,'Price List, Weapons &amp; Items'!A:C,3,0))</f>
        <v>.</v>
      </c>
      <c r="L184" s="514">
        <f>VLOOKUP(I184,'Price List, Weapons &amp; Items'!A:D,4,0)</f>
        <v>0</v>
      </c>
      <c r="M184" s="515" t="s">
        <v>232</v>
      </c>
      <c r="N184" s="515" t="s">
        <v>232</v>
      </c>
      <c r="O184" s="516" t="str">
        <f>VLOOKUP($I184,'Price List, Weapons &amp; Items'!A:F,6,0)</f>
        <v>.</v>
      </c>
      <c r="P184" s="513" t="str">
        <f t="shared" si="40"/>
        <v>.</v>
      </c>
      <c r="Q184" s="513" t="str">
        <f t="shared" si="41"/>
        <v>.</v>
      </c>
      <c r="R184" s="513">
        <f t="shared" si="30"/>
        <v>433000000</v>
      </c>
      <c r="S184" s="513">
        <f>IF(AND(AD184=1,R184&lt;&gt;".")=TRUE,R184/VLOOKUP(G184,'Exchange rates'!B:C,2,0),IF(R184=".",".",""))</f>
        <v>17729915.64982393</v>
      </c>
      <c r="T184" s="513" t="str">
        <f>IF(AD184=1,IF(AF184="Value is not given at all",".",IF(AF184="Value is given by the source",S184,IF(AF184="Value is calculated with prices",(IF(SUMIFS(Q:Q,A:A,A184)&gt;0,SUMIFS(Q:Q,A:A,A184),"."))/VLOOKUP("USD",'Exchange rates'!B:C,2,0),"Error with coding"))),"")</f>
        <v>.</v>
      </c>
      <c r="U184" s="39" t="s">
        <v>233</v>
      </c>
      <c r="V184" s="42" t="s">
        <v>385</v>
      </c>
      <c r="W184" s="512" t="s">
        <v>232</v>
      </c>
      <c r="X184" s="512" t="s">
        <v>232</v>
      </c>
      <c r="Y184" s="512" t="s">
        <v>232</v>
      </c>
      <c r="Z184" s="47">
        <v>0</v>
      </c>
      <c r="AA184" s="518">
        <v>0</v>
      </c>
      <c r="AB184" s="38" t="s">
        <v>232</v>
      </c>
      <c r="AC184" s="519" t="str">
        <f>""</f>
        <v/>
      </c>
      <c r="AD184" s="520">
        <v>1</v>
      </c>
      <c r="AE184" s="520" t="s">
        <v>236</v>
      </c>
      <c r="AF184" s="520" t="s">
        <v>237</v>
      </c>
      <c r="AG184" s="520">
        <v>1</v>
      </c>
      <c r="AH184" s="520">
        <v>5</v>
      </c>
      <c r="AI184" s="520">
        <v>0</v>
      </c>
      <c r="AJ184" s="520">
        <f>VLOOKUP($I184,'Price List, Weapons &amp; Items'!A:E,5,0)</f>
        <v>0</v>
      </c>
      <c r="AK184" s="520">
        <f t="shared" si="32"/>
        <v>0</v>
      </c>
      <c r="AL184" s="520">
        <f t="shared" si="33"/>
        <v>0</v>
      </c>
      <c r="AM184" s="520">
        <f t="shared" si="34"/>
        <v>0</v>
      </c>
      <c r="AN184" s="521" t="str">
        <f>VLOOKUP($I184,'Price List, Weapons &amp; Items'!A:K,COLUMN('Price List, Weapons &amp; Items'!$I$1),0)</f>
        <v>.</v>
      </c>
      <c r="AO184" s="521" t="str">
        <f>IF(I184=".",".",VLOOKUP($I184,'Price List, Weapons &amp; Items'!A:I,3,0))</f>
        <v>.</v>
      </c>
      <c r="AP184" s="517" t="str">
        <f t="shared" ca="1" si="31"/>
        <v>.</v>
      </c>
      <c r="AQ184" s="521" t="str">
        <f>VLOOKUP($I184,'Price List, Weapons &amp; Items'!A:K,COLUMN('Price List, Weapons &amp; Items'!$K$1),0)</f>
        <v>no price, 0 count</v>
      </c>
      <c r="AS184" s="521">
        <f t="shared" si="35"/>
        <v>1</v>
      </c>
      <c r="AT184" s="521">
        <f t="shared" si="36"/>
        <v>0</v>
      </c>
      <c r="AU184" s="521">
        <f t="shared" si="37"/>
        <v>1</v>
      </c>
      <c r="AV184" s="521" t="str">
        <f t="shared" si="38"/>
        <v>.</v>
      </c>
    </row>
    <row r="185" spans="1:48" ht="15" customHeight="1">
      <c r="A185" s="41" t="s">
        <v>757</v>
      </c>
      <c r="B185" s="41" t="s">
        <v>632</v>
      </c>
      <c r="C185" s="511">
        <v>44713</v>
      </c>
      <c r="D185" s="18" t="s">
        <v>228</v>
      </c>
      <c r="E185" s="18" t="s">
        <v>239</v>
      </c>
      <c r="F185" s="512" t="s">
        <v>758</v>
      </c>
      <c r="G185" s="39" t="s">
        <v>314</v>
      </c>
      <c r="H185" s="513" t="s">
        <v>309</v>
      </c>
      <c r="I185" s="41" t="s">
        <v>759</v>
      </c>
      <c r="J185" s="276" t="str">
        <f>VLOOKUP($I185,'Price List, Weapons &amp; Items'!A:B,2,0)</f>
        <v>Humanitarian</v>
      </c>
      <c r="K185" s="276" t="str">
        <f>IF(I185=".",I185,VLOOKUP($I185,'Price List, Weapons &amp; Items'!A:C,3,0))</f>
        <v>.</v>
      </c>
      <c r="L185" s="514">
        <f>VLOOKUP(I185,'Price List, Weapons &amp; Items'!A:D,4,0)</f>
        <v>0</v>
      </c>
      <c r="M185" s="515">
        <v>2</v>
      </c>
      <c r="N185" s="515" t="s">
        <v>232</v>
      </c>
      <c r="O185" s="516">
        <f>VLOOKUP($I185,'Price List, Weapons &amp; Items'!A:F,6,0)</f>
        <v>33960000</v>
      </c>
      <c r="P185" s="513">
        <f t="shared" si="40"/>
        <v>67920000</v>
      </c>
      <c r="Q185" s="513" t="str">
        <f t="shared" si="41"/>
        <v>.</v>
      </c>
      <c r="R185" s="513">
        <f t="shared" si="30"/>
        <v>67920000</v>
      </c>
      <c r="S185" s="513">
        <f>IF(AND(AD185=1,R185&lt;&gt;".")=TRUE,R185/VLOOKUP(G185,'Exchange rates'!B:C,2,0),IF(R185=".",".",""))</f>
        <v>67683109.118086696</v>
      </c>
      <c r="T185" s="513" t="str">
        <f>IF(AD185=1,IF(AF185="Value is not given at all",".",IF(AF185="Value is given by the source",S185,IF(AF185="Value is calculated with prices",(IF(SUMIFS(Q:Q,A:A,A185)&gt;0,SUMIFS(Q:Q,A:A,A185),"."))/VLOOKUP("USD",'Exchange rates'!B:C,2,0),"Error with coding"))),"")</f>
        <v>.</v>
      </c>
      <c r="U185" s="39" t="s">
        <v>372</v>
      </c>
      <c r="V185" s="42" t="s">
        <v>760</v>
      </c>
      <c r="W185" s="512" t="s">
        <v>232</v>
      </c>
      <c r="X185" s="512" t="s">
        <v>232</v>
      </c>
      <c r="Y185" s="512" t="s">
        <v>232</v>
      </c>
      <c r="Z185" s="47">
        <v>0</v>
      </c>
      <c r="AA185" s="518">
        <v>0</v>
      </c>
      <c r="AB185" s="38" t="s">
        <v>232</v>
      </c>
      <c r="AC185" s="519" t="str">
        <f>""</f>
        <v/>
      </c>
      <c r="AD185" s="522">
        <v>1</v>
      </c>
      <c r="AE185" s="522" t="s">
        <v>300</v>
      </c>
      <c r="AF185" s="522" t="s">
        <v>237</v>
      </c>
      <c r="AG185" s="522">
        <v>1</v>
      </c>
      <c r="AH185" s="520">
        <v>6</v>
      </c>
      <c r="AI185" s="520">
        <v>0</v>
      </c>
      <c r="AJ185" s="520">
        <f>VLOOKUP($I185,'Price List, Weapons &amp; Items'!A:E,5,0)</f>
        <v>0</v>
      </c>
      <c r="AK185" s="520">
        <f t="shared" si="32"/>
        <v>0</v>
      </c>
      <c r="AL185" s="520">
        <f t="shared" si="33"/>
        <v>0</v>
      </c>
      <c r="AM185" s="520">
        <f t="shared" si="34"/>
        <v>0</v>
      </c>
      <c r="AN185" s="521" t="str">
        <f>VLOOKUP($I185,'Price List, Weapons &amp; Items'!A:K,COLUMN('Price List, Weapons &amp; Items'!$I$1),0)</f>
        <v>Media reports (incl. social media)</v>
      </c>
      <c r="AO185" s="521" t="str">
        <f>IF(I185=".",".",VLOOKUP($I185,'Price List, Weapons &amp; Items'!A:I,3,0))</f>
        <v>.</v>
      </c>
      <c r="AP185" s="517" t="str">
        <f t="shared" ca="1" si="31"/>
        <v>temporary bridge</v>
      </c>
      <c r="AQ185" s="521">
        <f>VLOOKUP($I185,'Price List, Weapons &amp; Items'!A:K,COLUMN('Price List, Weapons &amp; Items'!$K$1),0)</f>
        <v>0</v>
      </c>
      <c r="AS185" s="521">
        <f t="shared" si="35"/>
        <v>0</v>
      </c>
      <c r="AT185" s="521">
        <f t="shared" si="36"/>
        <v>0</v>
      </c>
      <c r="AU185" s="521">
        <f t="shared" si="37"/>
        <v>1</v>
      </c>
      <c r="AV185" s="521" t="str">
        <f t="shared" si="38"/>
        <v>.</v>
      </c>
    </row>
    <row r="186" spans="1:48" ht="15" customHeight="1">
      <c r="A186" s="18" t="s">
        <v>761</v>
      </c>
      <c r="B186" s="18" t="s">
        <v>632</v>
      </c>
      <c r="C186" s="511">
        <v>44719</v>
      </c>
      <c r="D186" s="18" t="s">
        <v>228</v>
      </c>
      <c r="E186" s="18" t="s">
        <v>239</v>
      </c>
      <c r="F186" s="512" t="s">
        <v>762</v>
      </c>
      <c r="G186" s="39" t="s">
        <v>634</v>
      </c>
      <c r="H186" s="513">
        <v>100000000</v>
      </c>
      <c r="I186" s="41" t="s">
        <v>763</v>
      </c>
      <c r="J186" s="276" t="str">
        <f>VLOOKUP($I186,'Price List, Weapons &amp; Items'!A:B,2,0)</f>
        <v>Humanitarian</v>
      </c>
      <c r="K186" s="276" t="str">
        <f>IF(I186=".",I186,VLOOKUP($I186,'Price List, Weapons &amp; Items'!A:C,3,0))</f>
        <v>.</v>
      </c>
      <c r="L186" s="514">
        <f>VLOOKUP(I186,'Price List, Weapons &amp; Items'!A:D,4,0)</f>
        <v>0</v>
      </c>
      <c r="M186" s="515">
        <v>3640000</v>
      </c>
      <c r="N186" s="515">
        <v>3640000</v>
      </c>
      <c r="O186" s="516">
        <f>VLOOKUP($I186,'Price List, Weapons &amp; Items'!A:F,6,0)</f>
        <v>0.13</v>
      </c>
      <c r="P186" s="513">
        <f t="shared" si="40"/>
        <v>473200</v>
      </c>
      <c r="Q186" s="513">
        <f t="shared" si="41"/>
        <v>473200</v>
      </c>
      <c r="R186" s="513">
        <f t="shared" si="30"/>
        <v>100000000</v>
      </c>
      <c r="S186" s="513">
        <f>IF(AND(AD186=1,R186&lt;&gt;".")=TRUE,R186/VLOOKUP(G186,'Exchange rates'!B:C,2,0),IF(R186=".",".",""))</f>
        <v>4094668.7412988287</v>
      </c>
      <c r="T186" s="513">
        <f>IF(AD186=1,IF(AF186="Value is not given at all",".",IF(AF186="Value is given by the source",S186,IF(AF186="Value is calculated with prices",(IF(SUMIFS(Q:Q,A:A,A186)&gt;0,SUMIFS(Q:Q,A:A,A186),"."))/VLOOKUP("USD",'Exchange rates'!B:C,2,0),"Error with coding"))),"")</f>
        <v>4094668.7412988287</v>
      </c>
      <c r="U186" s="39" t="s">
        <v>372</v>
      </c>
      <c r="V186" s="376" t="s">
        <v>764</v>
      </c>
      <c r="W186" s="528" t="s">
        <v>232</v>
      </c>
      <c r="X186" s="528" t="s">
        <v>232</v>
      </c>
      <c r="Y186" s="528" t="s">
        <v>232</v>
      </c>
      <c r="Z186" s="47">
        <v>0</v>
      </c>
      <c r="AA186" s="518">
        <v>0</v>
      </c>
      <c r="AB186" s="394" t="s">
        <v>764</v>
      </c>
      <c r="AC186" s="519" t="str">
        <f>""</f>
        <v/>
      </c>
      <c r="AD186" s="520">
        <v>1</v>
      </c>
      <c r="AE186" s="520" t="s">
        <v>236</v>
      </c>
      <c r="AF186" s="520" t="s">
        <v>236</v>
      </c>
      <c r="AG186" s="520">
        <v>1</v>
      </c>
      <c r="AH186" s="520">
        <v>6</v>
      </c>
      <c r="AI186" s="520">
        <v>0</v>
      </c>
      <c r="AJ186" s="520">
        <f>VLOOKUP($I186,'Price List, Weapons &amp; Items'!A:E,5,0)</f>
        <v>0</v>
      </c>
      <c r="AK186" s="520">
        <f t="shared" si="32"/>
        <v>0</v>
      </c>
      <c r="AL186" s="520">
        <f t="shared" si="33"/>
        <v>0</v>
      </c>
      <c r="AM186" s="520">
        <f t="shared" si="34"/>
        <v>0</v>
      </c>
      <c r="AN186" s="521" t="str">
        <f>VLOOKUP($I186,'Price List, Weapons &amp; Items'!A:K,COLUMN('Price List, Weapons &amp; Items'!$I$1),0)</f>
        <v>Online marketplaces and stores</v>
      </c>
      <c r="AO186" s="521" t="str">
        <f>IF(I186=".",".",VLOOKUP($I186,'Price List, Weapons &amp; Items'!A:I,3,0))</f>
        <v>.</v>
      </c>
      <c r="AP186" s="517" t="str">
        <f t="shared" ca="1" si="31"/>
        <v>disposable glove; single-use protective suit</v>
      </c>
      <c r="AQ186" s="521">
        <f>VLOOKUP($I186,'Price List, Weapons &amp; Items'!A:K,COLUMN('Price List, Weapons &amp; Items'!$K$1),0)</f>
        <v>0</v>
      </c>
      <c r="AS186" s="521">
        <f t="shared" si="35"/>
        <v>0</v>
      </c>
      <c r="AT186" s="521">
        <f t="shared" si="36"/>
        <v>0</v>
      </c>
      <c r="AU186" s="521">
        <f t="shared" si="37"/>
        <v>1</v>
      </c>
      <c r="AV186" s="521" t="str">
        <f t="shared" si="38"/>
        <v>.</v>
      </c>
    </row>
    <row r="187" spans="1:48" ht="15" customHeight="1">
      <c r="A187" s="18" t="s">
        <v>761</v>
      </c>
      <c r="B187" s="18" t="s">
        <v>632</v>
      </c>
      <c r="C187" s="511">
        <v>44719</v>
      </c>
      <c r="D187" s="18" t="s">
        <v>228</v>
      </c>
      <c r="E187" s="18" t="s">
        <v>239</v>
      </c>
      <c r="F187" s="512" t="s">
        <v>762</v>
      </c>
      <c r="G187" s="39" t="s">
        <v>634</v>
      </c>
      <c r="H187" s="513">
        <v>100000000</v>
      </c>
      <c r="I187" s="41" t="s">
        <v>765</v>
      </c>
      <c r="J187" s="276" t="str">
        <f>VLOOKUP($I187,'Price List, Weapons &amp; Items'!A:B,2,0)</f>
        <v>Humanitarian</v>
      </c>
      <c r="K187" s="276" t="str">
        <f>IF(I187=".",I187,VLOOKUP($I187,'Price List, Weapons &amp; Items'!A:C,3,0))</f>
        <v>.</v>
      </c>
      <c r="L187" s="514">
        <f>VLOOKUP(I187,'Price List, Weapons &amp; Items'!A:D,4,0)</f>
        <v>0</v>
      </c>
      <c r="M187" s="515">
        <v>500000</v>
      </c>
      <c r="N187" s="515">
        <v>500000</v>
      </c>
      <c r="O187" s="516">
        <f>VLOOKUP($I187,'Price List, Weapons &amp; Items'!A:F,6,0)</f>
        <v>13.5</v>
      </c>
      <c r="P187" s="513">
        <f t="shared" si="40"/>
        <v>6750000</v>
      </c>
      <c r="Q187" s="513">
        <f t="shared" si="41"/>
        <v>6750000</v>
      </c>
      <c r="R187" s="513" t="str">
        <f t="shared" si="30"/>
        <v/>
      </c>
      <c r="S187" s="513" t="str">
        <f>IF(AND(AD187=1,R187&lt;&gt;".")=TRUE,R187/VLOOKUP(G187,'Exchange rates'!B:C,2,0),IF(R187=".",".",""))</f>
        <v/>
      </c>
      <c r="T187" s="513" t="str">
        <f>IF(AD187=1,IF(AF187="Value is not given at all",".",IF(AF187="Value is given by the source",S187,IF(AF187="Value is calculated with prices",(IF(SUMIFS(Q:Q,A:A,A187)&gt;0,SUMIFS(Q:Q,A:A,A187),"."))/VLOOKUP("USD",'Exchange rates'!B:C,2,0),"Error with coding"))),"")</f>
        <v/>
      </c>
      <c r="U187" s="39" t="s">
        <v>372</v>
      </c>
      <c r="V187" s="376" t="s">
        <v>764</v>
      </c>
      <c r="W187" s="528" t="s">
        <v>232</v>
      </c>
      <c r="X187" s="528" t="s">
        <v>232</v>
      </c>
      <c r="Y187" s="528" t="s">
        <v>232</v>
      </c>
      <c r="Z187" s="47">
        <v>0</v>
      </c>
      <c r="AA187" s="518">
        <v>0</v>
      </c>
      <c r="AB187" s="394" t="s">
        <v>764</v>
      </c>
      <c r="AC187" s="519" t="str">
        <f>""</f>
        <v/>
      </c>
      <c r="AD187" s="520">
        <v>0</v>
      </c>
      <c r="AE187" s="520" t="s">
        <v>236</v>
      </c>
      <c r="AF187" s="520" t="s">
        <v>236</v>
      </c>
      <c r="AG187" s="520">
        <v>1</v>
      </c>
      <c r="AH187" s="520">
        <v>6</v>
      </c>
      <c r="AI187" s="520">
        <v>0</v>
      </c>
      <c r="AJ187" s="520">
        <f>VLOOKUP($I187,'Price List, Weapons &amp; Items'!A:E,5,0)</f>
        <v>0</v>
      </c>
      <c r="AK187" s="520">
        <f t="shared" si="32"/>
        <v>0</v>
      </c>
      <c r="AL187" s="520">
        <f t="shared" si="33"/>
        <v>0</v>
      </c>
      <c r="AM187" s="520">
        <f t="shared" si="34"/>
        <v>0</v>
      </c>
      <c r="AN187" s="521" t="str">
        <f>VLOOKUP($I187,'Price List, Weapons &amp; Items'!A:K,COLUMN('Price List, Weapons &amp; Items'!$I$1),0)</f>
        <v>Online marketplaces and stores</v>
      </c>
      <c r="AO187" s="521" t="str">
        <f>IF(I187=".",".",VLOOKUP($I187,'Price List, Weapons &amp; Items'!A:I,3,0))</f>
        <v>.</v>
      </c>
      <c r="AP187" s="517" t="str">
        <f t="shared" ca="1" si="31"/>
        <v/>
      </c>
      <c r="AQ187" s="521">
        <f>VLOOKUP($I187,'Price List, Weapons &amp; Items'!A:K,COLUMN('Price List, Weapons &amp; Items'!$K$1),0)</f>
        <v>0</v>
      </c>
      <c r="AS187" s="521">
        <f t="shared" si="35"/>
        <v>0</v>
      </c>
      <c r="AT187" s="521">
        <f t="shared" si="36"/>
        <v>0</v>
      </c>
      <c r="AU187" s="521">
        <f t="shared" si="37"/>
        <v>1</v>
      </c>
      <c r="AV187" s="521" t="str">
        <f t="shared" si="38"/>
        <v>.</v>
      </c>
    </row>
    <row r="188" spans="1:48" ht="15" customHeight="1">
      <c r="A188" s="41" t="s">
        <v>766</v>
      </c>
      <c r="B188" s="41" t="s">
        <v>767</v>
      </c>
      <c r="C188" s="511" t="s">
        <v>768</v>
      </c>
      <c r="D188" s="18" t="s">
        <v>228</v>
      </c>
      <c r="E188" s="18" t="s">
        <v>239</v>
      </c>
      <c r="F188" s="512" t="s">
        <v>769</v>
      </c>
      <c r="G188" s="39" t="s">
        <v>770</v>
      </c>
      <c r="H188" s="513">
        <v>8000000</v>
      </c>
      <c r="I188" s="41" t="s">
        <v>232</v>
      </c>
      <c r="J188" s="276" t="str">
        <f>VLOOKUP($I188,'Price List, Weapons &amp; Items'!A:B,2,0)</f>
        <v>.</v>
      </c>
      <c r="K188" s="276" t="str">
        <f>IF(I188=".",I188,VLOOKUP($I188,'Price List, Weapons &amp; Items'!A:C,3,0))</f>
        <v>.</v>
      </c>
      <c r="L188" s="514">
        <f>VLOOKUP(I188,'Price List, Weapons &amp; Items'!A:D,4,0)</f>
        <v>0</v>
      </c>
      <c r="M188" s="515" t="s">
        <v>232</v>
      </c>
      <c r="N188" s="515" t="s">
        <v>232</v>
      </c>
      <c r="O188" s="516" t="str">
        <f>VLOOKUP($I188,'Price List, Weapons &amp; Items'!A:F,6,0)</f>
        <v>.</v>
      </c>
      <c r="P188" s="513" t="str">
        <f t="shared" si="40"/>
        <v>.</v>
      </c>
      <c r="Q188" s="513" t="str">
        <f t="shared" si="41"/>
        <v>.</v>
      </c>
      <c r="R188" s="513">
        <f t="shared" si="30"/>
        <v>8000000</v>
      </c>
      <c r="S188" s="513">
        <f>IF(AND(AD188=1,R188&lt;&gt;".")=TRUE,R188/VLOOKUP(G188,'Exchange rates'!B:C,2,0),IF(R188=".",".",""))</f>
        <v>1075312.1765662595</v>
      </c>
      <c r="T188" s="513" t="str">
        <f>IF(AD188=1,IF(AF188="Value is not given at all",".",IF(AF188="Value is given by the source",S188,IF(AF188="Value is calculated with prices",(IF(SUMIFS(Q:Q,A:A,A188)&gt;0,SUMIFS(Q:Q,A:A,A188),"."))/VLOOKUP("USD",'Exchange rates'!B:C,2,0),"Error with coding"))),"")</f>
        <v>.</v>
      </c>
      <c r="U188" s="39" t="s">
        <v>233</v>
      </c>
      <c r="V188" s="42" t="s">
        <v>771</v>
      </c>
      <c r="W188" s="512" t="s">
        <v>232</v>
      </c>
      <c r="X188" s="512" t="s">
        <v>232</v>
      </c>
      <c r="Y188" s="512" t="s">
        <v>232</v>
      </c>
      <c r="Z188" s="39">
        <v>0</v>
      </c>
      <c r="AA188" s="518">
        <v>0</v>
      </c>
      <c r="AB188" s="38" t="s">
        <v>232</v>
      </c>
      <c r="AC188" s="519" t="str">
        <f>""</f>
        <v/>
      </c>
      <c r="AD188" s="520">
        <v>1</v>
      </c>
      <c r="AE188" s="520" t="s">
        <v>236</v>
      </c>
      <c r="AF188" s="520" t="s">
        <v>237</v>
      </c>
      <c r="AG188" s="520">
        <v>1</v>
      </c>
      <c r="AH188" s="520">
        <v>3</v>
      </c>
      <c r="AI188" s="520">
        <v>0</v>
      </c>
      <c r="AJ188" s="520">
        <f>VLOOKUP($I188,'Price List, Weapons &amp; Items'!A:E,5,0)</f>
        <v>0</v>
      </c>
      <c r="AK188" s="520">
        <f t="shared" si="32"/>
        <v>0</v>
      </c>
      <c r="AL188" s="520">
        <f t="shared" si="33"/>
        <v>0</v>
      </c>
      <c r="AM188" s="520">
        <f t="shared" si="34"/>
        <v>0</v>
      </c>
      <c r="AN188" s="521" t="str">
        <f>VLOOKUP($I188,'Price List, Weapons &amp; Items'!A:K,COLUMN('Price List, Weapons &amp; Items'!$I$1),0)</f>
        <v>.</v>
      </c>
      <c r="AO188" s="521" t="str">
        <f>IF(I188=".",".",VLOOKUP($I188,'Price List, Weapons &amp; Items'!A:I,3,0))</f>
        <v>.</v>
      </c>
      <c r="AP188" s="517" t="str">
        <f t="shared" ca="1" si="31"/>
        <v>.</v>
      </c>
      <c r="AQ188" s="521" t="str">
        <f>VLOOKUP($I188,'Price List, Weapons &amp; Items'!A:K,COLUMN('Price List, Weapons &amp; Items'!$K$1),0)</f>
        <v>no price, 0 count</v>
      </c>
      <c r="AS188" s="521">
        <f t="shared" si="35"/>
        <v>1</v>
      </c>
      <c r="AT188" s="521">
        <f t="shared" si="36"/>
        <v>0</v>
      </c>
      <c r="AU188" s="521" t="str">
        <f t="shared" si="37"/>
        <v>Value is not in date format</v>
      </c>
      <c r="AV188" s="521" t="str">
        <f t="shared" si="38"/>
        <v>.</v>
      </c>
    </row>
    <row r="189" spans="1:48" ht="15" customHeight="1">
      <c r="A189" s="41" t="s">
        <v>772</v>
      </c>
      <c r="B189" s="41" t="s">
        <v>767</v>
      </c>
      <c r="C189" s="511" t="s">
        <v>768</v>
      </c>
      <c r="D189" s="18" t="s">
        <v>228</v>
      </c>
      <c r="E189" s="18" t="s">
        <v>773</v>
      </c>
      <c r="F189" s="512" t="s">
        <v>774</v>
      </c>
      <c r="G189" s="39" t="s">
        <v>770</v>
      </c>
      <c r="H189" s="513">
        <v>20000000</v>
      </c>
      <c r="I189" s="41" t="s">
        <v>232</v>
      </c>
      <c r="J189" s="276" t="str">
        <f>VLOOKUP($I189,'Price List, Weapons &amp; Items'!A:B,2,0)</f>
        <v>.</v>
      </c>
      <c r="K189" s="276" t="str">
        <f>IF(I189=".",I189,VLOOKUP($I189,'Price List, Weapons &amp; Items'!A:C,3,0))</f>
        <v>.</v>
      </c>
      <c r="L189" s="514">
        <f>VLOOKUP(I189,'Price List, Weapons &amp; Items'!A:D,4,0)</f>
        <v>0</v>
      </c>
      <c r="M189" s="515" t="s">
        <v>232</v>
      </c>
      <c r="N189" s="515" t="s">
        <v>232</v>
      </c>
      <c r="O189" s="516" t="str">
        <f>VLOOKUP($I189,'Price List, Weapons &amp; Items'!A:F,6,0)</f>
        <v>.</v>
      </c>
      <c r="P189" s="513" t="str">
        <f t="shared" si="40"/>
        <v>.</v>
      </c>
      <c r="Q189" s="513" t="str">
        <f t="shared" si="41"/>
        <v>.</v>
      </c>
      <c r="R189" s="513">
        <f t="shared" si="30"/>
        <v>20000000</v>
      </c>
      <c r="S189" s="513">
        <f>IF(AND(AD189=1,R189&lt;&gt;".")=TRUE,R189/VLOOKUP(G189,'Exchange rates'!B:C,2,0),IF(R189=".",".",""))</f>
        <v>2688280.4414156484</v>
      </c>
      <c r="T189" s="513" t="str">
        <f>IF(AD189=1,IF(AF189="Value is not given at all",".",IF(AF189="Value is given by the source",S189,IF(AF189="Value is calculated with prices",(IF(SUMIFS(Q:Q,A:A,A189)&gt;0,SUMIFS(Q:Q,A:A,A189),"."))/VLOOKUP("USD",'Exchange rates'!B:C,2,0),"Error with coding"))),"")</f>
        <v>.</v>
      </c>
      <c r="U189" s="39" t="s">
        <v>233</v>
      </c>
      <c r="V189" s="42" t="s">
        <v>771</v>
      </c>
      <c r="W189" s="512" t="s">
        <v>232</v>
      </c>
      <c r="X189" s="512" t="s">
        <v>232</v>
      </c>
      <c r="Y189" s="512" t="s">
        <v>232</v>
      </c>
      <c r="Z189" s="39">
        <v>0</v>
      </c>
      <c r="AA189" s="518">
        <v>0</v>
      </c>
      <c r="AB189" s="38" t="s">
        <v>232</v>
      </c>
      <c r="AC189" s="519" t="str">
        <f>""</f>
        <v/>
      </c>
      <c r="AD189" s="520">
        <v>1</v>
      </c>
      <c r="AE189" s="520" t="s">
        <v>236</v>
      </c>
      <c r="AF189" s="520" t="s">
        <v>237</v>
      </c>
      <c r="AG189" s="520">
        <v>1</v>
      </c>
      <c r="AH189" s="520">
        <v>3</v>
      </c>
      <c r="AI189" s="520">
        <v>0</v>
      </c>
      <c r="AJ189" s="520">
        <f>VLOOKUP($I189,'Price List, Weapons &amp; Items'!A:E,5,0)</f>
        <v>0</v>
      </c>
      <c r="AK189" s="520">
        <f t="shared" si="32"/>
        <v>0</v>
      </c>
      <c r="AL189" s="520">
        <f t="shared" si="33"/>
        <v>0</v>
      </c>
      <c r="AM189" s="520">
        <f t="shared" si="34"/>
        <v>0</v>
      </c>
      <c r="AN189" s="521" t="str">
        <f>VLOOKUP($I189,'Price List, Weapons &amp; Items'!A:K,COLUMN('Price List, Weapons &amp; Items'!$I$1),0)</f>
        <v>.</v>
      </c>
      <c r="AO189" s="521" t="str">
        <f>IF(I189=".",".",VLOOKUP($I189,'Price List, Weapons &amp; Items'!A:I,3,0))</f>
        <v>.</v>
      </c>
      <c r="AP189" s="517" t="str">
        <f t="shared" ca="1" si="31"/>
        <v>.</v>
      </c>
      <c r="AQ189" s="521" t="str">
        <f>VLOOKUP($I189,'Price List, Weapons &amp; Items'!A:K,COLUMN('Price List, Weapons &amp; Items'!$K$1),0)</f>
        <v>no price, 0 count</v>
      </c>
      <c r="AS189" s="521">
        <f t="shared" si="35"/>
        <v>1</v>
      </c>
      <c r="AT189" s="521">
        <f t="shared" si="36"/>
        <v>0</v>
      </c>
      <c r="AU189" s="521" t="str">
        <f t="shared" si="37"/>
        <v>Value is not in date format</v>
      </c>
      <c r="AV189" s="521" t="str">
        <f t="shared" si="38"/>
        <v>.</v>
      </c>
    </row>
    <row r="190" spans="1:48" ht="15" customHeight="1">
      <c r="A190" s="41" t="s">
        <v>775</v>
      </c>
      <c r="B190" s="41" t="s">
        <v>767</v>
      </c>
      <c r="C190" s="511" t="s">
        <v>768</v>
      </c>
      <c r="D190" s="18" t="s">
        <v>228</v>
      </c>
      <c r="E190" s="18" t="s">
        <v>229</v>
      </c>
      <c r="F190" s="512" t="s">
        <v>776</v>
      </c>
      <c r="G190" s="39" t="s">
        <v>770</v>
      </c>
      <c r="H190" s="513">
        <v>10000000</v>
      </c>
      <c r="I190" s="41" t="s">
        <v>232</v>
      </c>
      <c r="J190" s="276" t="str">
        <f>VLOOKUP($I190,'Price List, Weapons &amp; Items'!A:B,2,0)</f>
        <v>.</v>
      </c>
      <c r="K190" s="276" t="str">
        <f>IF(I190=".",I190,VLOOKUP($I190,'Price List, Weapons &amp; Items'!A:C,3,0))</f>
        <v>.</v>
      </c>
      <c r="L190" s="514">
        <f>VLOOKUP(I190,'Price List, Weapons &amp; Items'!A:D,4,0)</f>
        <v>0</v>
      </c>
      <c r="M190" s="515" t="s">
        <v>232</v>
      </c>
      <c r="N190" s="515" t="s">
        <v>232</v>
      </c>
      <c r="O190" s="516" t="str">
        <f>VLOOKUP($I190,'Price List, Weapons &amp; Items'!A:F,6,0)</f>
        <v>.</v>
      </c>
      <c r="P190" s="513" t="str">
        <f t="shared" si="40"/>
        <v>.</v>
      </c>
      <c r="Q190" s="513" t="str">
        <f t="shared" si="41"/>
        <v>.</v>
      </c>
      <c r="R190" s="513">
        <f t="shared" si="30"/>
        <v>10000000</v>
      </c>
      <c r="S190" s="513">
        <f>IF(AND(AD190=1,R190&lt;&gt;".")=TRUE,R190/VLOOKUP(G190,'Exchange rates'!B:C,2,0),IF(R190=".",".",""))</f>
        <v>1344140.2207078242</v>
      </c>
      <c r="T190" s="513" t="str">
        <f>IF(AD190=1,IF(AF190="Value is not given at all",".",IF(AF190="Value is given by the source",S190,IF(AF190="Value is calculated with prices",(IF(SUMIFS(Q:Q,A:A,A190)&gt;0,SUMIFS(Q:Q,A:A,A190),"."))/VLOOKUP("USD",'Exchange rates'!B:C,2,0),"Error with coding"))),"")</f>
        <v>.</v>
      </c>
      <c r="U190" s="39" t="s">
        <v>233</v>
      </c>
      <c r="V190" s="42" t="s">
        <v>771</v>
      </c>
      <c r="W190" s="512" t="s">
        <v>232</v>
      </c>
      <c r="X190" s="512" t="s">
        <v>232</v>
      </c>
      <c r="Y190" s="512" t="s">
        <v>232</v>
      </c>
      <c r="Z190" s="39">
        <v>0</v>
      </c>
      <c r="AA190" s="518">
        <v>0</v>
      </c>
      <c r="AB190" s="38" t="s">
        <v>232</v>
      </c>
      <c r="AC190" s="519" t="str">
        <f>""</f>
        <v/>
      </c>
      <c r="AD190" s="520">
        <v>1</v>
      </c>
      <c r="AE190" s="520" t="s">
        <v>236</v>
      </c>
      <c r="AF190" s="520" t="s">
        <v>237</v>
      </c>
      <c r="AG190" s="520">
        <v>1</v>
      </c>
      <c r="AH190" s="520">
        <v>3</v>
      </c>
      <c r="AI190" s="520">
        <v>0</v>
      </c>
      <c r="AJ190" s="520">
        <f>VLOOKUP($I190,'Price List, Weapons &amp; Items'!A:E,5,0)</f>
        <v>0</v>
      </c>
      <c r="AK190" s="520">
        <f t="shared" si="32"/>
        <v>0</v>
      </c>
      <c r="AL190" s="520">
        <f t="shared" si="33"/>
        <v>0</v>
      </c>
      <c r="AM190" s="520">
        <f t="shared" si="34"/>
        <v>0</v>
      </c>
      <c r="AN190" s="521" t="str">
        <f>VLOOKUP($I190,'Price List, Weapons &amp; Items'!A:K,COLUMN('Price List, Weapons &amp; Items'!$I$1),0)</f>
        <v>.</v>
      </c>
      <c r="AO190" s="521" t="str">
        <f>IF(I190=".",".",VLOOKUP($I190,'Price List, Weapons &amp; Items'!A:I,3,0))</f>
        <v>.</v>
      </c>
      <c r="AP190" s="517" t="str">
        <f t="shared" ca="1" si="31"/>
        <v>.</v>
      </c>
      <c r="AQ190" s="521" t="str">
        <f>VLOOKUP($I190,'Price List, Weapons &amp; Items'!A:K,COLUMN('Price List, Weapons &amp; Items'!$K$1),0)</f>
        <v>no price, 0 count</v>
      </c>
      <c r="AS190" s="521">
        <f t="shared" si="35"/>
        <v>1</v>
      </c>
      <c r="AT190" s="521">
        <f t="shared" si="36"/>
        <v>0</v>
      </c>
      <c r="AU190" s="521" t="str">
        <f t="shared" si="37"/>
        <v>Value is not in date format</v>
      </c>
      <c r="AV190" s="521" t="str">
        <f t="shared" si="38"/>
        <v>.</v>
      </c>
    </row>
    <row r="191" spans="1:48" ht="15" customHeight="1">
      <c r="A191" s="41" t="s">
        <v>777</v>
      </c>
      <c r="B191" s="41" t="s">
        <v>767</v>
      </c>
      <c r="C191" s="511" t="s">
        <v>768</v>
      </c>
      <c r="D191" s="18" t="s">
        <v>228</v>
      </c>
      <c r="E191" s="18" t="s">
        <v>239</v>
      </c>
      <c r="F191" s="512" t="s">
        <v>778</v>
      </c>
      <c r="G191" s="39" t="s">
        <v>770</v>
      </c>
      <c r="H191" s="513">
        <v>50000000</v>
      </c>
      <c r="I191" s="41" t="s">
        <v>232</v>
      </c>
      <c r="J191" s="276" t="str">
        <f>VLOOKUP($I191,'Price List, Weapons &amp; Items'!A:B,2,0)</f>
        <v>.</v>
      </c>
      <c r="K191" s="276" t="str">
        <f>IF(I191=".",I191,VLOOKUP($I191,'Price List, Weapons &amp; Items'!A:C,3,0))</f>
        <v>.</v>
      </c>
      <c r="L191" s="514">
        <f>VLOOKUP(I191,'Price List, Weapons &amp; Items'!A:D,4,0)</f>
        <v>0</v>
      </c>
      <c r="M191" s="515" t="s">
        <v>232</v>
      </c>
      <c r="N191" s="515" t="s">
        <v>232</v>
      </c>
      <c r="O191" s="516" t="str">
        <f>VLOOKUP($I191,'Price List, Weapons &amp; Items'!A:F,6,0)</f>
        <v>.</v>
      </c>
      <c r="P191" s="513" t="str">
        <f t="shared" si="40"/>
        <v>.</v>
      </c>
      <c r="Q191" s="513" t="str">
        <f t="shared" si="41"/>
        <v>.</v>
      </c>
      <c r="R191" s="513">
        <f t="shared" si="30"/>
        <v>50000000</v>
      </c>
      <c r="S191" s="513">
        <f>IF(AND(AD191=1,R191&lt;&gt;".")=TRUE,R191/VLOOKUP(G191,'Exchange rates'!B:C,2,0),IF(R191=".",".",""))</f>
        <v>6720701.1035391213</v>
      </c>
      <c r="T191" s="513" t="str">
        <f>IF(AD191=1,IF(AF191="Value is not given at all",".",IF(AF191="Value is given by the source",S191,IF(AF191="Value is calculated with prices",(IF(SUMIFS(Q:Q,A:A,A191)&gt;0,SUMIFS(Q:Q,A:A,A191),"."))/VLOOKUP("USD",'Exchange rates'!B:C,2,0),"Error with coding"))),"")</f>
        <v>.</v>
      </c>
      <c r="U191" s="39" t="s">
        <v>233</v>
      </c>
      <c r="V191" s="42" t="s">
        <v>771</v>
      </c>
      <c r="W191" s="825" t="s">
        <v>779</v>
      </c>
      <c r="X191" s="512" t="s">
        <v>232</v>
      </c>
      <c r="Y191" s="512" t="s">
        <v>232</v>
      </c>
      <c r="Z191" s="39">
        <v>0</v>
      </c>
      <c r="AA191" s="39">
        <v>0</v>
      </c>
      <c r="AB191" s="523" t="s">
        <v>232</v>
      </c>
      <c r="AC191" s="519" t="str">
        <f>""</f>
        <v/>
      </c>
      <c r="AD191" s="522">
        <v>1</v>
      </c>
      <c r="AE191" s="522" t="s">
        <v>236</v>
      </c>
      <c r="AF191" s="522" t="s">
        <v>237</v>
      </c>
      <c r="AG191" s="522">
        <v>1</v>
      </c>
      <c r="AH191" s="520">
        <v>3</v>
      </c>
      <c r="AI191" s="520">
        <v>0</v>
      </c>
      <c r="AJ191" s="520">
        <f>VLOOKUP($I191,'Price List, Weapons &amp; Items'!A:E,5,0)</f>
        <v>0</v>
      </c>
      <c r="AK191" s="520">
        <f t="shared" si="32"/>
        <v>0</v>
      </c>
      <c r="AL191" s="520">
        <f t="shared" si="33"/>
        <v>0</v>
      </c>
      <c r="AM191" s="520">
        <f t="shared" si="34"/>
        <v>0</v>
      </c>
      <c r="AN191" s="521" t="str">
        <f>VLOOKUP($I191,'Price List, Weapons &amp; Items'!A:K,COLUMN('Price List, Weapons &amp; Items'!$I$1),0)</f>
        <v>.</v>
      </c>
      <c r="AO191" s="521" t="str">
        <f>IF(I191=".",".",VLOOKUP($I191,'Price List, Weapons &amp; Items'!A:I,3,0))</f>
        <v>.</v>
      </c>
      <c r="AP191" s="517" t="str">
        <f t="shared" ca="1" si="31"/>
        <v>.</v>
      </c>
      <c r="AQ191" s="521" t="str">
        <f>VLOOKUP($I191,'Price List, Weapons &amp; Items'!A:K,COLUMN('Price List, Weapons &amp; Items'!$K$1),0)</f>
        <v>no price, 0 count</v>
      </c>
      <c r="AS191" s="521">
        <f t="shared" si="35"/>
        <v>1</v>
      </c>
      <c r="AT191" s="521">
        <f t="shared" si="36"/>
        <v>0</v>
      </c>
      <c r="AU191" s="521" t="str">
        <f t="shared" si="37"/>
        <v>Value is not in date format</v>
      </c>
      <c r="AV191" s="521" t="str">
        <f t="shared" si="38"/>
        <v>.</v>
      </c>
    </row>
    <row r="192" spans="1:48" ht="15" customHeight="1">
      <c r="A192" s="41" t="s">
        <v>780</v>
      </c>
      <c r="B192" s="41" t="s">
        <v>767</v>
      </c>
      <c r="C192" s="511">
        <v>44621</v>
      </c>
      <c r="D192" s="18" t="s">
        <v>228</v>
      </c>
      <c r="E192" s="18" t="s">
        <v>239</v>
      </c>
      <c r="F192" s="512" t="s">
        <v>781</v>
      </c>
      <c r="G192" s="39" t="s">
        <v>770</v>
      </c>
      <c r="H192" s="513">
        <v>50000000</v>
      </c>
      <c r="I192" s="41" t="s">
        <v>232</v>
      </c>
      <c r="J192" s="276" t="str">
        <f>VLOOKUP($I192,'Price List, Weapons &amp; Items'!A:B,2,0)</f>
        <v>.</v>
      </c>
      <c r="K192" s="276" t="str">
        <f>IF(I192=".",I192,VLOOKUP($I192,'Price List, Weapons &amp; Items'!A:C,3,0))</f>
        <v>.</v>
      </c>
      <c r="L192" s="514">
        <f>VLOOKUP(I192,'Price List, Weapons &amp; Items'!A:D,4,0)</f>
        <v>0</v>
      </c>
      <c r="M192" s="515" t="s">
        <v>232</v>
      </c>
      <c r="N192" s="515" t="s">
        <v>232</v>
      </c>
      <c r="O192" s="516" t="str">
        <f>VLOOKUP($I192,'Price List, Weapons &amp; Items'!A:F,6,0)</f>
        <v>.</v>
      </c>
      <c r="P192" s="513" t="str">
        <f t="shared" si="40"/>
        <v>.</v>
      </c>
      <c r="Q192" s="513" t="str">
        <f t="shared" si="41"/>
        <v>.</v>
      </c>
      <c r="R192" s="513">
        <f t="shared" si="30"/>
        <v>50000000</v>
      </c>
      <c r="S192" s="513">
        <f>IF(AND(AD192=1,R192&lt;&gt;".")=TRUE,R192/VLOOKUP(G192,'Exchange rates'!B:C,2,0),IF(R192=".",".",""))</f>
        <v>6720701.1035391213</v>
      </c>
      <c r="T192" s="513" t="str">
        <f>IF(AD192=1,IF(AF192="Value is not given at all",".",IF(AF192="Value is given by the source",S192,IF(AF192="Value is calculated with prices",(IF(SUMIFS(Q:Q,A:A,A192)&gt;0,SUMIFS(Q:Q,A:A,A192),"."))/VLOOKUP("USD",'Exchange rates'!B:C,2,0),"Error with coding"))),"")</f>
        <v>.</v>
      </c>
      <c r="U192" s="39" t="s">
        <v>233</v>
      </c>
      <c r="V192" s="42" t="s">
        <v>782</v>
      </c>
      <c r="W192" s="825" t="s">
        <v>779</v>
      </c>
      <c r="X192" s="512" t="s">
        <v>232</v>
      </c>
      <c r="Y192" s="512" t="s">
        <v>232</v>
      </c>
      <c r="Z192" s="39">
        <v>0</v>
      </c>
      <c r="AA192" s="39">
        <v>0</v>
      </c>
      <c r="AB192" s="523" t="s">
        <v>232</v>
      </c>
      <c r="AC192" s="519" t="str">
        <f>""</f>
        <v/>
      </c>
      <c r="AD192" s="522">
        <v>1</v>
      </c>
      <c r="AE192" s="522" t="s">
        <v>236</v>
      </c>
      <c r="AF192" s="522" t="s">
        <v>237</v>
      </c>
      <c r="AG192" s="522">
        <v>1</v>
      </c>
      <c r="AH192" s="520">
        <v>3</v>
      </c>
      <c r="AI192" s="520">
        <v>0</v>
      </c>
      <c r="AJ192" s="520">
        <f>VLOOKUP($I192,'Price List, Weapons &amp; Items'!A:E,5,0)</f>
        <v>0</v>
      </c>
      <c r="AK192" s="520">
        <f t="shared" si="32"/>
        <v>0</v>
      </c>
      <c r="AL192" s="520">
        <f t="shared" si="33"/>
        <v>0</v>
      </c>
      <c r="AM192" s="520">
        <f t="shared" si="34"/>
        <v>0</v>
      </c>
      <c r="AN192" s="521" t="str">
        <f>VLOOKUP($I192,'Price List, Weapons &amp; Items'!A:K,COLUMN('Price List, Weapons &amp; Items'!$I$1),0)</f>
        <v>.</v>
      </c>
      <c r="AO192" s="521" t="str">
        <f>IF(I192=".",".",VLOOKUP($I192,'Price List, Weapons &amp; Items'!A:I,3,0))</f>
        <v>.</v>
      </c>
      <c r="AP192" s="517" t="str">
        <f t="shared" ca="1" si="31"/>
        <v>.</v>
      </c>
      <c r="AQ192" s="521" t="str">
        <f>VLOOKUP($I192,'Price List, Weapons &amp; Items'!A:K,COLUMN('Price List, Weapons &amp; Items'!$K$1),0)</f>
        <v>no price, 0 count</v>
      </c>
      <c r="AS192" s="521">
        <f t="shared" si="35"/>
        <v>1</v>
      </c>
      <c r="AT192" s="521">
        <f t="shared" si="36"/>
        <v>0</v>
      </c>
      <c r="AU192" s="521">
        <f t="shared" si="37"/>
        <v>1</v>
      </c>
      <c r="AV192" s="521" t="str">
        <f t="shared" si="38"/>
        <v>.</v>
      </c>
    </row>
    <row r="193" spans="1:48" ht="15" customHeight="1">
      <c r="A193" s="41" t="s">
        <v>783</v>
      </c>
      <c r="B193" s="41" t="s">
        <v>767</v>
      </c>
      <c r="C193" s="511" t="s">
        <v>784</v>
      </c>
      <c r="D193" s="18" t="s">
        <v>228</v>
      </c>
      <c r="E193" s="18" t="s">
        <v>229</v>
      </c>
      <c r="F193" s="512" t="s">
        <v>785</v>
      </c>
      <c r="G193" s="39" t="s">
        <v>770</v>
      </c>
      <c r="H193" s="513">
        <v>155000000</v>
      </c>
      <c r="I193" s="41" t="s">
        <v>232</v>
      </c>
      <c r="J193" s="276" t="str">
        <f>VLOOKUP($I193,'Price List, Weapons &amp; Items'!A:B,2,0)</f>
        <v>.</v>
      </c>
      <c r="K193" s="276" t="str">
        <f>IF(I193=".",I193,VLOOKUP($I193,'Price List, Weapons &amp; Items'!A:C,3,0))</f>
        <v>.</v>
      </c>
      <c r="L193" s="514">
        <f>VLOOKUP(I193,'Price List, Weapons &amp; Items'!A:D,4,0)</f>
        <v>0</v>
      </c>
      <c r="M193" s="515" t="s">
        <v>232</v>
      </c>
      <c r="N193" s="515" t="s">
        <v>232</v>
      </c>
      <c r="O193" s="516" t="str">
        <f>VLOOKUP($I193,'Price List, Weapons &amp; Items'!A:F,6,0)</f>
        <v>.</v>
      </c>
      <c r="P193" s="513" t="str">
        <f t="shared" si="40"/>
        <v>.</v>
      </c>
      <c r="Q193" s="513" t="str">
        <f t="shared" si="41"/>
        <v>.</v>
      </c>
      <c r="R193" s="513">
        <f t="shared" si="30"/>
        <v>155000000</v>
      </c>
      <c r="S193" s="513">
        <f>IF(AND(AD193=1,R193&lt;&gt;".")=TRUE,R193/VLOOKUP(G193,'Exchange rates'!B:C,2,0),IF(R193=".",".",""))</f>
        <v>20834173.420971274</v>
      </c>
      <c r="T193" s="513" t="str">
        <f>IF(AD193=1,IF(AF193="Value is not given at all",".",IF(AF193="Value is given by the source",S193,IF(AF193="Value is calculated with prices",(IF(SUMIFS(Q:Q,A:A,A193)&gt;0,SUMIFS(Q:Q,A:A,A193),"."))/VLOOKUP("USD",'Exchange rates'!B:C,2,0),"Error with coding"))),"")</f>
        <v>.</v>
      </c>
      <c r="U193" s="39" t="s">
        <v>233</v>
      </c>
      <c r="V193" s="42" t="s">
        <v>786</v>
      </c>
      <c r="W193" s="831" t="s">
        <v>779</v>
      </c>
      <c r="X193" s="587" t="s">
        <v>232</v>
      </c>
      <c r="Y193" s="587" t="s">
        <v>232</v>
      </c>
      <c r="Z193" s="39">
        <v>0</v>
      </c>
      <c r="AA193" s="39">
        <v>0</v>
      </c>
      <c r="AB193" s="523" t="s">
        <v>232</v>
      </c>
      <c r="AC193" s="519" t="str">
        <f>""</f>
        <v/>
      </c>
      <c r="AD193" s="522">
        <v>1</v>
      </c>
      <c r="AE193" s="522" t="s">
        <v>236</v>
      </c>
      <c r="AF193" s="522" t="s">
        <v>237</v>
      </c>
      <c r="AG193" s="522">
        <v>1</v>
      </c>
      <c r="AH193" s="520">
        <v>5</v>
      </c>
      <c r="AI193" s="520">
        <v>0</v>
      </c>
      <c r="AJ193" s="520">
        <f>VLOOKUP($I193,'Price List, Weapons &amp; Items'!A:E,5,0)</f>
        <v>0</v>
      </c>
      <c r="AK193" s="520">
        <f t="shared" si="32"/>
        <v>0</v>
      </c>
      <c r="AL193" s="520">
        <f t="shared" si="33"/>
        <v>0</v>
      </c>
      <c r="AM193" s="520">
        <f t="shared" si="34"/>
        <v>0</v>
      </c>
      <c r="AN193" s="521" t="str">
        <f>VLOOKUP($I193,'Price List, Weapons &amp; Items'!A:K,COLUMN('Price List, Weapons &amp; Items'!$I$1),0)</f>
        <v>.</v>
      </c>
      <c r="AO193" s="521" t="str">
        <f>IF(I193=".",".",VLOOKUP($I193,'Price List, Weapons &amp; Items'!A:I,3,0))</f>
        <v>.</v>
      </c>
      <c r="AP193" s="517" t="str">
        <f t="shared" ca="1" si="31"/>
        <v>.</v>
      </c>
      <c r="AQ193" s="521" t="str">
        <f>VLOOKUP($I193,'Price List, Weapons &amp; Items'!A:K,COLUMN('Price List, Weapons &amp; Items'!$K$1),0)</f>
        <v>no price, 0 count</v>
      </c>
      <c r="AS193" s="521">
        <f t="shared" si="35"/>
        <v>1</v>
      </c>
      <c r="AT193" s="521">
        <f t="shared" si="36"/>
        <v>0</v>
      </c>
      <c r="AU193" s="521" t="str">
        <f t="shared" si="37"/>
        <v>Value is not in date format</v>
      </c>
      <c r="AV193" s="521" t="str">
        <f t="shared" si="38"/>
        <v>.</v>
      </c>
    </row>
    <row r="194" spans="1:48" ht="15" customHeight="1">
      <c r="A194" s="41" t="s">
        <v>787</v>
      </c>
      <c r="B194" s="41" t="s">
        <v>767</v>
      </c>
      <c r="C194" s="511" t="s">
        <v>788</v>
      </c>
      <c r="D194" s="18" t="s">
        <v>228</v>
      </c>
      <c r="E194" s="18" t="s">
        <v>789</v>
      </c>
      <c r="F194" s="512" t="s">
        <v>790</v>
      </c>
      <c r="G194" s="39" t="s">
        <v>332</v>
      </c>
      <c r="H194" s="513">
        <v>16000000</v>
      </c>
      <c r="I194" s="41" t="s">
        <v>232</v>
      </c>
      <c r="J194" s="276" t="str">
        <f>VLOOKUP($I194,'Price List, Weapons &amp; Items'!A:B,2,0)</f>
        <v>.</v>
      </c>
      <c r="K194" s="276" t="str">
        <f>IF(I194=".",I194,VLOOKUP($I194,'Price List, Weapons &amp; Items'!A:C,3,0))</f>
        <v>.</v>
      </c>
      <c r="L194" s="514">
        <f>VLOOKUP(I194,'Price List, Weapons &amp; Items'!A:D,4,0)</f>
        <v>0</v>
      </c>
      <c r="M194" s="515" t="s">
        <v>232</v>
      </c>
      <c r="N194" s="515" t="s">
        <v>232</v>
      </c>
      <c r="O194" s="516" t="str">
        <f>VLOOKUP($I194,'Price List, Weapons &amp; Items'!A:F,6,0)</f>
        <v>.</v>
      </c>
      <c r="P194" s="513" t="str">
        <f t="shared" si="40"/>
        <v>.</v>
      </c>
      <c r="Q194" s="513" t="str">
        <f t="shared" si="41"/>
        <v>.</v>
      </c>
      <c r="R194" s="513">
        <f t="shared" ref="R194:R257" si="42">IF(AD194=1,IF(H194&lt;&gt;"Not given",H194,IF(TYPE(H194)=2,IF(SUMIFS(P:P,A:A,A194)&gt;0,SUMIFS(P:P,A:A,A194),"."),"Format error")),"")</f>
        <v>16000000</v>
      </c>
      <c r="S194" s="513">
        <f>IF(AND(AD194=1,R194&lt;&gt;".")=TRUE,R194/VLOOKUP(G194,'Exchange rates'!B:C,2,0),IF(R194=".",".",""))</f>
        <v>16000000</v>
      </c>
      <c r="T194" s="513" t="str">
        <f>IF(AD194=1,IF(AF194="Value is not given at all",".",IF(AF194="Value is given by the source",S194,IF(AF194="Value is calculated with prices",(IF(SUMIFS(Q:Q,A:A,A194)&gt;0,SUMIFS(Q:Q,A:A,A194),"."))/VLOOKUP("USD",'Exchange rates'!B:C,2,0),"Error with coding"))),"")</f>
        <v>.</v>
      </c>
      <c r="U194" s="39" t="s">
        <v>233</v>
      </c>
      <c r="V194" s="827" t="s">
        <v>791</v>
      </c>
      <c r="W194" s="827" t="s">
        <v>792</v>
      </c>
      <c r="X194" s="42" t="s">
        <v>232</v>
      </c>
      <c r="Y194" s="825" t="s">
        <v>232</v>
      </c>
      <c r="Z194" s="39">
        <v>0</v>
      </c>
      <c r="AA194" s="39">
        <v>1</v>
      </c>
      <c r="AB194" s="395" t="s">
        <v>232</v>
      </c>
      <c r="AC194" s="519" t="str">
        <f>""</f>
        <v/>
      </c>
      <c r="AD194" s="522">
        <v>1</v>
      </c>
      <c r="AE194" s="522" t="s">
        <v>236</v>
      </c>
      <c r="AF194" s="522" t="s">
        <v>237</v>
      </c>
      <c r="AG194" s="522">
        <v>1</v>
      </c>
      <c r="AH194" s="520">
        <v>8</v>
      </c>
      <c r="AI194" s="520">
        <v>0</v>
      </c>
      <c r="AJ194" s="520">
        <f>VLOOKUP($I194,'Price List, Weapons &amp; Items'!A:E,5,0)</f>
        <v>0</v>
      </c>
      <c r="AK194" s="520">
        <f t="shared" si="32"/>
        <v>0</v>
      </c>
      <c r="AL194" s="520">
        <f t="shared" si="33"/>
        <v>0</v>
      </c>
      <c r="AM194" s="520">
        <f t="shared" si="34"/>
        <v>0</v>
      </c>
      <c r="AN194" s="521" t="str">
        <f>VLOOKUP($I194,'Price List, Weapons &amp; Items'!A:K,COLUMN('Price List, Weapons &amp; Items'!$I$1),0)</f>
        <v>.</v>
      </c>
      <c r="AO194" s="521" t="str">
        <f>IF(I194=".",".",VLOOKUP($I194,'Price List, Weapons &amp; Items'!A:I,3,0))</f>
        <v>.</v>
      </c>
      <c r="AP194" s="517" t="str">
        <f t="shared" ref="AP194:AP257" ca="1" si="43">IF(AD194=1,_xlfn.ARRAYTOTEXT(OFFSET(I194,0,0,COUNTIF(A:A,A194),1)),"")</f>
        <v>.</v>
      </c>
      <c r="AQ194" s="521" t="str">
        <f>VLOOKUP($I194,'Price List, Weapons &amp; Items'!A:K,COLUMN('Price List, Weapons &amp; Items'!$K$1),0)</f>
        <v>no price, 0 count</v>
      </c>
      <c r="AS194" s="521">
        <f t="shared" si="35"/>
        <v>1</v>
      </c>
      <c r="AT194" s="521">
        <f t="shared" si="36"/>
        <v>0</v>
      </c>
      <c r="AU194" s="521" t="str">
        <f t="shared" si="37"/>
        <v>Value is not in date format</v>
      </c>
      <c r="AV194" s="521" t="str">
        <f t="shared" si="38"/>
        <v>.</v>
      </c>
    </row>
    <row r="195" spans="1:48" ht="15" customHeight="1">
      <c r="A195" s="41" t="s">
        <v>793</v>
      </c>
      <c r="B195" s="41" t="s">
        <v>767</v>
      </c>
      <c r="C195" s="511" t="s">
        <v>794</v>
      </c>
      <c r="D195" s="18" t="s">
        <v>228</v>
      </c>
      <c r="E195" s="18" t="s">
        <v>229</v>
      </c>
      <c r="F195" s="512" t="s">
        <v>795</v>
      </c>
      <c r="G195" s="39" t="s">
        <v>332</v>
      </c>
      <c r="H195" s="513">
        <v>18200000</v>
      </c>
      <c r="I195" s="41" t="s">
        <v>232</v>
      </c>
      <c r="J195" s="276" t="str">
        <f>VLOOKUP($I195,'Price List, Weapons &amp; Items'!A:B,2,0)</f>
        <v>.</v>
      </c>
      <c r="K195" s="276" t="str">
        <f>IF(I195=".",I195,VLOOKUP($I195,'Price List, Weapons &amp; Items'!A:C,3,0))</f>
        <v>.</v>
      </c>
      <c r="L195" s="514">
        <f>VLOOKUP(I195,'Price List, Weapons &amp; Items'!A:D,4,0)</f>
        <v>0</v>
      </c>
      <c r="M195" s="515" t="s">
        <v>232</v>
      </c>
      <c r="N195" s="515" t="s">
        <v>232</v>
      </c>
      <c r="O195" s="516"/>
      <c r="R195" s="513">
        <f t="shared" si="42"/>
        <v>18200000</v>
      </c>
      <c r="S195" s="513">
        <f>IF(AND(AD195=1,R195&lt;&gt;".")=TRUE,R195/VLOOKUP(G195,'Exchange rates'!B:C,2,0),IF(R195=".",".",""))</f>
        <v>18200000</v>
      </c>
      <c r="T195" s="513" t="str">
        <f>IF(AD195=1,IF(AF195="Value is not given at all",".",IF(AF195="Value is given by the source",S195,IF(AF195="Value is calculated with prices",(IF(SUMIFS(Q:Q,A:A,A195)&gt;0,SUMIFS(Q:Q,A:A,A195),"."))/VLOOKUP("USD",'Exchange rates'!B:C,2,0),"Error with coding"))),"")</f>
        <v>.</v>
      </c>
      <c r="U195" s="39" t="s">
        <v>233</v>
      </c>
      <c r="V195" s="827" t="s">
        <v>792</v>
      </c>
      <c r="W195" s="42" t="s">
        <v>232</v>
      </c>
      <c r="X195" s="42" t="s">
        <v>232</v>
      </c>
      <c r="Y195" s="825" t="s">
        <v>232</v>
      </c>
      <c r="Z195" s="39">
        <v>0</v>
      </c>
      <c r="AA195" s="39">
        <v>1</v>
      </c>
      <c r="AB195" s="395" t="s">
        <v>232</v>
      </c>
      <c r="AC195" s="519" t="str">
        <f>""</f>
        <v/>
      </c>
      <c r="AD195" s="522">
        <v>1</v>
      </c>
      <c r="AE195" s="522" t="s">
        <v>236</v>
      </c>
      <c r="AF195" s="522" t="s">
        <v>237</v>
      </c>
      <c r="AG195" s="522">
        <v>1</v>
      </c>
      <c r="AH195" s="520">
        <v>10</v>
      </c>
      <c r="AI195" s="520">
        <v>0</v>
      </c>
      <c r="AJ195" s="520">
        <f>VLOOKUP($I195,'Price List, Weapons &amp; Items'!A:E,5,0)</f>
        <v>0</v>
      </c>
      <c r="AK195" s="520">
        <f t="shared" ref="AK195:AK258" si="44">IF(AND(AJ195=1,M195="undisclosed")=TRUE,1,0)</f>
        <v>0</v>
      </c>
      <c r="AL195" s="520">
        <f t="shared" ref="AL195:AL258" si="45">IF(AND(AJ195=1,N195="undisclosed")=TRUE,1,0)</f>
        <v>0</v>
      </c>
      <c r="AM195" s="520">
        <f t="shared" ref="AM195:AM258" si="46">IFERROR(IF(SEARCH("ammuni",I195,1)&gt;0,1,0),0)</f>
        <v>0</v>
      </c>
      <c r="AN195" s="521" t="str">
        <f>VLOOKUP($I195,'Price List, Weapons &amp; Items'!A:K,COLUMN('Price List, Weapons &amp; Items'!$I$1),0)</f>
        <v>.</v>
      </c>
      <c r="AO195" s="521" t="str">
        <f>IF(I195=".",".",VLOOKUP($I195,'Price List, Weapons &amp; Items'!A:I,3,0))</f>
        <v>.</v>
      </c>
      <c r="AP195" s="517" t="str">
        <f t="shared" ca="1" si="43"/>
        <v>.</v>
      </c>
      <c r="AQ195" s="521" t="str">
        <f>VLOOKUP($I195,'Price List, Weapons &amp; Items'!A:K,COLUMN('Price List, Weapons &amp; Items'!$K$1),0)</f>
        <v>no price, 0 count</v>
      </c>
      <c r="AS195" s="521">
        <f t="shared" ref="AS195:AS258" si="47">IF(U195="Yes",1,0)</f>
        <v>1</v>
      </c>
      <c r="AT195" s="521">
        <f t="shared" ref="AT195:AT258" si="48">IF(OR((E195="Weapons"),(E195="Weapons and equipment"),(E195="Weapons and training"),(E195="Weapons and Assistance"),(E195="Military Equipment"))=FALSE,0,1)</f>
        <v>0</v>
      </c>
      <c r="AU195" s="521" t="str">
        <f t="shared" ref="AU195:AU258" si="49">IFERROR(IF(VALUE(TEXT(C195,"mm"))=AH195,".",1),"Value is not in date format")</f>
        <v>Value is not in date format</v>
      </c>
      <c r="AV195" s="521" t="str">
        <f t="shared" ref="AV195:AV258" si="50">IF(AND(A195=A194,C195=C194)=TRUE,IF(F195=F194,".","1"),".")</f>
        <v>.</v>
      </c>
    </row>
    <row r="196" spans="1:48" ht="15" customHeight="1">
      <c r="A196" s="18" t="s">
        <v>796</v>
      </c>
      <c r="B196" s="18" t="s">
        <v>767</v>
      </c>
      <c r="C196" s="511">
        <v>44672</v>
      </c>
      <c r="D196" s="18" t="s">
        <v>252</v>
      </c>
      <c r="E196" s="18" t="s">
        <v>253</v>
      </c>
      <c r="F196" s="512" t="s">
        <v>797</v>
      </c>
      <c r="G196" s="39" t="s">
        <v>770</v>
      </c>
      <c r="H196" s="513">
        <v>1000000000</v>
      </c>
      <c r="I196" s="41" t="s">
        <v>398</v>
      </c>
      <c r="J196" s="276" t="str">
        <f>VLOOKUP($I196,'Price List, Weapons &amp; Items'!A:B,2,0)</f>
        <v>Portable defence system</v>
      </c>
      <c r="K196" s="276" t="str">
        <f>IF(I196=".",I196,VLOOKUP($I196,'Price List, Weapons &amp; Items'!A:C,3,0))</f>
        <v>Light Anti-armor Weapon (LAW)</v>
      </c>
      <c r="L196" s="514">
        <f>VLOOKUP(I196,'Price List, Weapons &amp; Items'!A:D,4,0)</f>
        <v>0</v>
      </c>
      <c r="M196" s="515">
        <v>2700</v>
      </c>
      <c r="N196" s="515">
        <v>2700</v>
      </c>
      <c r="O196" s="516">
        <f>VLOOKUP($I196,'Price List, Weapons &amp; Items'!A:F,6,0)</f>
        <v>1475</v>
      </c>
      <c r="P196" s="513">
        <f t="shared" si="40"/>
        <v>3982500</v>
      </c>
      <c r="Q196" s="513">
        <f t="shared" si="41"/>
        <v>3982500</v>
      </c>
      <c r="R196" s="513">
        <f t="shared" si="42"/>
        <v>1000000000</v>
      </c>
      <c r="S196" s="513">
        <f>IF(AND(AD196=1,R196&lt;&gt;".")=TRUE,R196/VLOOKUP(G196,'Exchange rates'!B:C,2,0),IF(R196=".",".",""))</f>
        <v>134414022.07078242</v>
      </c>
      <c r="T196" s="513">
        <f>IF(AD196=1,IF(AF196="Value is not given at all",".",IF(AF196="Value is given by the source",S196,IF(AF196="Value is calculated with prices",(IF(SUMIFS(Q:Q,A:A,A196)&gt;0,SUMIFS(Q:Q,A:A,A196),"."))/VLOOKUP("USD",'Exchange rates'!B:C,2,0),"Error with coding"))),"")</f>
        <v>134414022.07078242</v>
      </c>
      <c r="U196" s="39" t="s">
        <v>233</v>
      </c>
      <c r="V196" s="376" t="s">
        <v>798</v>
      </c>
      <c r="W196" s="376" t="s">
        <v>799</v>
      </c>
      <c r="X196" s="376" t="s">
        <v>800</v>
      </c>
      <c r="Y196" s="376" t="s">
        <v>801</v>
      </c>
      <c r="Z196" s="518">
        <v>0</v>
      </c>
      <c r="AA196" s="518">
        <v>1</v>
      </c>
      <c r="AB196" s="395" t="s">
        <v>802</v>
      </c>
      <c r="AC196" s="519" t="str">
        <f>""</f>
        <v/>
      </c>
      <c r="AD196" s="522">
        <v>1</v>
      </c>
      <c r="AE196" s="522" t="s">
        <v>236</v>
      </c>
      <c r="AF196" s="522" t="s">
        <v>236</v>
      </c>
      <c r="AG196" s="522">
        <v>1</v>
      </c>
      <c r="AH196" s="522">
        <v>4</v>
      </c>
      <c r="AI196" s="522">
        <v>0</v>
      </c>
      <c r="AJ196" s="520">
        <f>VLOOKUP($I196,'Price List, Weapons &amp; Items'!A:E,5,0)</f>
        <v>0</v>
      </c>
      <c r="AK196" s="520">
        <f t="shared" si="44"/>
        <v>0</v>
      </c>
      <c r="AL196" s="520">
        <f t="shared" si="45"/>
        <v>0</v>
      </c>
      <c r="AM196" s="520">
        <f t="shared" si="46"/>
        <v>0</v>
      </c>
      <c r="AN196" s="521" t="str">
        <f>VLOOKUP($I196,'Price List, Weapons &amp; Items'!A:K,COLUMN('Price List, Weapons &amp; Items'!$I$1),0)</f>
        <v>Military media (incl. websites)</v>
      </c>
      <c r="AO196" s="521" t="str">
        <f>IF(I196=".",".",VLOOKUP($I196,'Price List, Weapons &amp; Items'!A:I,3,0))</f>
        <v>Light Anti-armor Weapon (LAW)</v>
      </c>
      <c r="AP196" s="517" t="str">
        <f t="shared" ca="1" si="43"/>
        <v>M72 rocket launcher; Stinger anti-aircraft system; Skywatch drone; ballistic vest; hygiene kit; M113 armored personnel carrier; mine; M10 mortar; M10 mortar shell</v>
      </c>
      <c r="AQ196" s="521">
        <f>VLOOKUP($I196,'Price List, Weapons &amp; Items'!A:K,COLUMN('Price List, Weapons &amp; Items'!$K$1),0)</f>
        <v>2</v>
      </c>
      <c r="AS196" s="521">
        <f t="shared" si="47"/>
        <v>1</v>
      </c>
      <c r="AT196" s="521">
        <f t="shared" si="48"/>
        <v>1</v>
      </c>
      <c r="AU196" s="521">
        <f t="shared" si="49"/>
        <v>1</v>
      </c>
      <c r="AV196" s="521" t="str">
        <f t="shared" si="50"/>
        <v>.</v>
      </c>
    </row>
    <row r="197" spans="1:48" ht="15" customHeight="1">
      <c r="A197" s="18" t="s">
        <v>796</v>
      </c>
      <c r="B197" s="18" t="s">
        <v>767</v>
      </c>
      <c r="C197" s="511">
        <v>44672</v>
      </c>
      <c r="D197" s="18" t="s">
        <v>252</v>
      </c>
      <c r="E197" s="18" t="s">
        <v>253</v>
      </c>
      <c r="F197" s="512" t="s">
        <v>797</v>
      </c>
      <c r="G197" s="39" t="s">
        <v>770</v>
      </c>
      <c r="H197" s="513">
        <v>1000000000</v>
      </c>
      <c r="I197" s="41" t="s">
        <v>803</v>
      </c>
      <c r="J197" s="276" t="str">
        <f>VLOOKUP($I197,'Price List, Weapons &amp; Items'!A:B,2,0)</f>
        <v>Portable defence system</v>
      </c>
      <c r="K197" s="276" t="str">
        <f>IF(I197=".",I197,VLOOKUP($I197,'Price List, Weapons &amp; Items'!A:C,3,0))</f>
        <v>MANPADS</v>
      </c>
      <c r="L197" s="514">
        <f>VLOOKUP(I197,'Price List, Weapons &amp; Items'!A:D,4,0)</f>
        <v>0</v>
      </c>
      <c r="M197" s="515">
        <v>300</v>
      </c>
      <c r="N197" s="515">
        <v>300</v>
      </c>
      <c r="O197" s="516">
        <f>VLOOKUP($I197,'Price List, Weapons &amp; Items'!A:F,6,0)</f>
        <v>119000</v>
      </c>
      <c r="P197" s="513">
        <f t="shared" si="40"/>
        <v>35700000</v>
      </c>
      <c r="Q197" s="513">
        <f t="shared" si="41"/>
        <v>35700000</v>
      </c>
      <c r="R197" s="513" t="str">
        <f t="shared" si="42"/>
        <v/>
      </c>
      <c r="S197" s="513" t="str">
        <f>IF(AND(AD197=1,R197&lt;&gt;".")=TRUE,R197/VLOOKUP(G197,'Exchange rates'!B:C,2,0),IF(R197=".",".",""))</f>
        <v/>
      </c>
      <c r="T197" s="513" t="str">
        <f>IF(AD197=1,IF(AF197="Value is not given at all",".",IF(AF197="Value is given by the source",S197,IF(AF197="Value is calculated with prices",(IF(SUMIFS(Q:Q,A:A,A197)&gt;0,SUMIFS(Q:Q,A:A,A197),"."))/VLOOKUP("USD",'Exchange rates'!B:C,2,0),"Error with coding"))),"")</f>
        <v/>
      </c>
      <c r="U197" s="39" t="s">
        <v>233</v>
      </c>
      <c r="V197" s="376" t="s">
        <v>798</v>
      </c>
      <c r="W197" s="376" t="s">
        <v>799</v>
      </c>
      <c r="X197" s="376" t="s">
        <v>800</v>
      </c>
      <c r="Y197" s="376" t="s">
        <v>801</v>
      </c>
      <c r="Z197" s="518">
        <v>0</v>
      </c>
      <c r="AA197" s="39">
        <v>1</v>
      </c>
      <c r="AB197" s="395" t="s">
        <v>804</v>
      </c>
      <c r="AC197" s="519" t="str">
        <f>""</f>
        <v/>
      </c>
      <c r="AD197" s="522">
        <v>0</v>
      </c>
      <c r="AE197" s="522" t="s">
        <v>236</v>
      </c>
      <c r="AF197" s="522" t="s">
        <v>236</v>
      </c>
      <c r="AG197" s="522">
        <v>1</v>
      </c>
      <c r="AH197" s="522">
        <v>4</v>
      </c>
      <c r="AI197" s="522">
        <v>0</v>
      </c>
      <c r="AJ197" s="520">
        <f>VLOOKUP($I197,'Price List, Weapons &amp; Items'!A:E,5,0)</f>
        <v>0</v>
      </c>
      <c r="AK197" s="520">
        <f t="shared" si="44"/>
        <v>0</v>
      </c>
      <c r="AL197" s="520">
        <f t="shared" si="45"/>
        <v>0</v>
      </c>
      <c r="AM197" s="520">
        <f t="shared" si="46"/>
        <v>0</v>
      </c>
      <c r="AN197" s="521" t="str">
        <f>VLOOKUP($I197,'Price List, Weapons &amp; Items'!A:K,COLUMN('Price List, Weapons &amp; Items'!$I$1),0)</f>
        <v>Miscellaneous</v>
      </c>
      <c r="AO197" s="521" t="str">
        <f>IF(I197=".",".",VLOOKUP($I197,'Price List, Weapons &amp; Items'!A:I,3,0))</f>
        <v>MANPADS</v>
      </c>
      <c r="AP197" s="517" t="str">
        <f t="shared" ca="1" si="43"/>
        <v/>
      </c>
      <c r="AQ197" s="521">
        <f>VLOOKUP($I197,'Price List, Weapons &amp; Items'!A:K,COLUMN('Price List, Weapons &amp; Items'!$K$1),0)</f>
        <v>2</v>
      </c>
      <c r="AS197" s="521">
        <f t="shared" si="47"/>
        <v>1</v>
      </c>
      <c r="AT197" s="521">
        <f t="shared" si="48"/>
        <v>1</v>
      </c>
      <c r="AU197" s="521">
        <f t="shared" si="49"/>
        <v>1</v>
      </c>
      <c r="AV197" s="521" t="str">
        <f t="shared" si="50"/>
        <v>.</v>
      </c>
    </row>
    <row r="198" spans="1:48" ht="15" customHeight="1">
      <c r="A198" s="18" t="s">
        <v>796</v>
      </c>
      <c r="B198" s="18" t="s">
        <v>767</v>
      </c>
      <c r="C198" s="511">
        <v>44672</v>
      </c>
      <c r="D198" s="18" t="s">
        <v>252</v>
      </c>
      <c r="E198" s="18" t="s">
        <v>253</v>
      </c>
      <c r="F198" s="512" t="s">
        <v>797</v>
      </c>
      <c r="G198" s="39" t="s">
        <v>770</v>
      </c>
      <c r="H198" s="513">
        <v>1000000000</v>
      </c>
      <c r="I198" s="41" t="s">
        <v>805</v>
      </c>
      <c r="J198" s="276" t="str">
        <f>VLOOKUP($I198,'Price List, Weapons &amp; Items'!A:B,2,0)</f>
        <v>Aviation and drones</v>
      </c>
      <c r="K198" s="276" t="str">
        <f>IF(I198=".",I198,VLOOKUP($I198,'Price List, Weapons &amp; Items'!A:C,3,0))</f>
        <v>Reconnaissance drone</v>
      </c>
      <c r="L198" s="514">
        <f>VLOOKUP(I198,'Price List, Weapons &amp; Items'!A:D,4,0)</f>
        <v>0</v>
      </c>
      <c r="M198" s="515">
        <v>25</v>
      </c>
      <c r="N198" s="515">
        <v>25</v>
      </c>
      <c r="O198" s="516">
        <f>VLOOKUP($I198,'Price List, Weapons &amp; Items'!A:F,6,0)</f>
        <v>850000</v>
      </c>
      <c r="P198" s="513">
        <f t="shared" si="40"/>
        <v>21250000</v>
      </c>
      <c r="Q198" s="513">
        <f t="shared" si="41"/>
        <v>21250000</v>
      </c>
      <c r="R198" s="513" t="str">
        <f t="shared" si="42"/>
        <v/>
      </c>
      <c r="S198" s="513" t="str">
        <f>IF(AND(AD198=1,R198&lt;&gt;".")=TRUE,R198/VLOOKUP(G198,'Exchange rates'!B:C,2,0),IF(R198=".",".",""))</f>
        <v/>
      </c>
      <c r="T198" s="513" t="str">
        <f>IF(AD198=1,IF(AF198="Value is not given at all",".",IF(AF198="Value is given by the source",S198,IF(AF198="Value is calculated with prices",(IF(SUMIFS(Q:Q,A:A,A198)&gt;0,SUMIFS(Q:Q,A:A,A198),"."))/VLOOKUP("USD",'Exchange rates'!B:C,2,0),"Error with coding"))),"")</f>
        <v/>
      </c>
      <c r="U198" s="39" t="s">
        <v>233</v>
      </c>
      <c r="V198" s="376" t="s">
        <v>798</v>
      </c>
      <c r="W198" s="376" t="s">
        <v>799</v>
      </c>
      <c r="X198" s="376" t="s">
        <v>800</v>
      </c>
      <c r="Y198" s="376" t="s">
        <v>801</v>
      </c>
      <c r="Z198" s="518">
        <v>0</v>
      </c>
      <c r="AA198" s="518">
        <v>1</v>
      </c>
      <c r="AB198" s="395" t="s">
        <v>806</v>
      </c>
      <c r="AC198" s="519" t="str">
        <f>""</f>
        <v/>
      </c>
      <c r="AD198" s="522">
        <v>0</v>
      </c>
      <c r="AE198" s="522" t="s">
        <v>236</v>
      </c>
      <c r="AF198" s="522" t="s">
        <v>236</v>
      </c>
      <c r="AG198" s="522">
        <v>1</v>
      </c>
      <c r="AH198" s="522">
        <v>4</v>
      </c>
      <c r="AI198" s="522">
        <v>0</v>
      </c>
      <c r="AJ198" s="520">
        <f>VLOOKUP($I198,'Price List, Weapons &amp; Items'!A:E,5,0)</f>
        <v>0</v>
      </c>
      <c r="AK198" s="520">
        <f t="shared" si="44"/>
        <v>0</v>
      </c>
      <c r="AL198" s="520">
        <f t="shared" si="45"/>
        <v>0</v>
      </c>
      <c r="AM198" s="520">
        <f t="shared" si="46"/>
        <v>0</v>
      </c>
      <c r="AN198" s="521" t="str">
        <f>VLOOKUP($I198,'Price List, Weapons &amp; Items'!A:K,COLUMN('Price List, Weapons &amp; Items'!$I$1),0)</f>
        <v>Military media (incl. websites)</v>
      </c>
      <c r="AO198" s="521" t="str">
        <f>IF(I198=".",".",VLOOKUP($I198,'Price List, Weapons &amp; Items'!A:I,3,0))</f>
        <v>Reconnaissance drone</v>
      </c>
      <c r="AP198" s="517" t="str">
        <f t="shared" ca="1" si="43"/>
        <v/>
      </c>
      <c r="AQ198" s="521">
        <f>VLOOKUP($I198,'Price List, Weapons &amp; Items'!A:K,COLUMN('Price List, Weapons &amp; Items'!$K$1),0)</f>
        <v>2</v>
      </c>
      <c r="AS198" s="521">
        <f t="shared" si="47"/>
        <v>1</v>
      </c>
      <c r="AT198" s="521">
        <f t="shared" si="48"/>
        <v>1</v>
      </c>
      <c r="AU198" s="521">
        <f t="shared" si="49"/>
        <v>1</v>
      </c>
      <c r="AV198" s="521" t="str">
        <f t="shared" si="50"/>
        <v>.</v>
      </c>
    </row>
    <row r="199" spans="1:48" ht="15" customHeight="1">
      <c r="A199" s="18" t="s">
        <v>796</v>
      </c>
      <c r="B199" s="18" t="s">
        <v>767</v>
      </c>
      <c r="C199" s="511">
        <v>44672</v>
      </c>
      <c r="D199" s="18" t="s">
        <v>252</v>
      </c>
      <c r="E199" s="18" t="s">
        <v>253</v>
      </c>
      <c r="F199" s="512" t="s">
        <v>797</v>
      </c>
      <c r="G199" s="39" t="s">
        <v>770</v>
      </c>
      <c r="H199" s="513">
        <v>1000000000</v>
      </c>
      <c r="I199" s="41" t="s">
        <v>446</v>
      </c>
      <c r="J199" s="276" t="str">
        <f>VLOOKUP($I199,'Price List, Weapons &amp; Items'!A:B,2,0)</f>
        <v>Military equipment</v>
      </c>
      <c r="K199" s="276" t="str">
        <f>IF(I199=".",I199,VLOOKUP($I199,'Price List, Weapons &amp; Items'!A:C,3,0))</f>
        <v>.</v>
      </c>
      <c r="L199" s="514">
        <f>VLOOKUP(I199,'Price List, Weapons &amp; Items'!A:D,4,0)</f>
        <v>0</v>
      </c>
      <c r="M199" s="515">
        <v>2000</v>
      </c>
      <c r="N199" s="515">
        <v>2000</v>
      </c>
      <c r="O199" s="516">
        <f>VLOOKUP($I199,'Price List, Weapons &amp; Items'!A:F,6,0)</f>
        <v>500</v>
      </c>
      <c r="P199" s="513">
        <f t="shared" si="40"/>
        <v>1000000</v>
      </c>
      <c r="Q199" s="513">
        <f t="shared" si="41"/>
        <v>1000000</v>
      </c>
      <c r="R199" s="513" t="str">
        <f t="shared" si="42"/>
        <v/>
      </c>
      <c r="S199" s="513" t="str">
        <f>IF(AND(AD199=1,R199&lt;&gt;".")=TRUE,R199/VLOOKUP(G199,'Exchange rates'!B:C,2,0),IF(R199=".",".",""))</f>
        <v/>
      </c>
      <c r="T199" s="513" t="str">
        <f>IF(AD199=1,IF(AF199="Value is not given at all",".",IF(AF199="Value is given by the source",S199,IF(AF199="Value is calculated with prices",(IF(SUMIFS(Q:Q,A:A,A199)&gt;0,SUMIFS(Q:Q,A:A,A199),"."))/VLOOKUP("USD",'Exchange rates'!B:C,2,0),"Error with coding"))),"")</f>
        <v/>
      </c>
      <c r="U199" s="39" t="s">
        <v>233</v>
      </c>
      <c r="V199" s="376" t="s">
        <v>798</v>
      </c>
      <c r="W199" s="376" t="s">
        <v>799</v>
      </c>
      <c r="X199" s="376" t="s">
        <v>800</v>
      </c>
      <c r="Y199" s="376" t="s">
        <v>801</v>
      </c>
      <c r="Z199" s="518">
        <v>0</v>
      </c>
      <c r="AA199" s="39">
        <v>1</v>
      </c>
      <c r="AB199" s="395" t="s">
        <v>800</v>
      </c>
      <c r="AC199" s="519" t="str">
        <f>""</f>
        <v/>
      </c>
      <c r="AD199" s="522">
        <v>0</v>
      </c>
      <c r="AE199" s="522" t="s">
        <v>236</v>
      </c>
      <c r="AF199" s="522" t="s">
        <v>236</v>
      </c>
      <c r="AG199" s="522">
        <v>1</v>
      </c>
      <c r="AH199" s="522">
        <v>4</v>
      </c>
      <c r="AI199" s="522">
        <v>0</v>
      </c>
      <c r="AJ199" s="520">
        <f>VLOOKUP($I199,'Price List, Weapons &amp; Items'!A:E,5,0)</f>
        <v>0</v>
      </c>
      <c r="AK199" s="520">
        <f t="shared" si="44"/>
        <v>0</v>
      </c>
      <c r="AL199" s="520">
        <f t="shared" si="45"/>
        <v>0</v>
      </c>
      <c r="AM199" s="520">
        <f t="shared" si="46"/>
        <v>0</v>
      </c>
      <c r="AN199" s="521" t="str">
        <f>VLOOKUP($I199,'Price List, Weapons &amp; Items'!A:K,COLUMN('Price List, Weapons &amp; Items'!$I$1),0)</f>
        <v>Military media (incl. websites)</v>
      </c>
      <c r="AO199" s="521" t="str">
        <f>IF(I199=".",".",VLOOKUP($I199,'Price List, Weapons &amp; Items'!A:I,3,0))</f>
        <v>.</v>
      </c>
      <c r="AP199" s="517" t="str">
        <f t="shared" ca="1" si="43"/>
        <v/>
      </c>
      <c r="AQ199" s="521">
        <f>VLOOKUP($I199,'Price List, Weapons &amp; Items'!A:K,COLUMN('Price List, Weapons &amp; Items'!$K$1),0)</f>
        <v>2</v>
      </c>
      <c r="AS199" s="521">
        <f t="shared" si="47"/>
        <v>1</v>
      </c>
      <c r="AT199" s="521">
        <f t="shared" si="48"/>
        <v>1</v>
      </c>
      <c r="AU199" s="521">
        <f t="shared" si="49"/>
        <v>1</v>
      </c>
      <c r="AV199" s="521" t="str">
        <f t="shared" si="50"/>
        <v>.</v>
      </c>
    </row>
    <row r="200" spans="1:48" ht="15" customHeight="1">
      <c r="A200" s="18" t="s">
        <v>796</v>
      </c>
      <c r="B200" s="18" t="s">
        <v>767</v>
      </c>
      <c r="C200" s="511">
        <v>44672</v>
      </c>
      <c r="D200" s="18" t="s">
        <v>252</v>
      </c>
      <c r="E200" s="18" t="s">
        <v>253</v>
      </c>
      <c r="F200" s="512" t="s">
        <v>797</v>
      </c>
      <c r="G200" s="39" t="s">
        <v>770</v>
      </c>
      <c r="H200" s="513">
        <v>1000000000</v>
      </c>
      <c r="I200" s="41" t="s">
        <v>807</v>
      </c>
      <c r="J200" s="276" t="str">
        <f>VLOOKUP($I200,'Price List, Weapons &amp; Items'!A:B,2,0)</f>
        <v>Military equipment</v>
      </c>
      <c r="K200" s="276" t="str">
        <f>IF(I200=".",I200,VLOOKUP($I200,'Price List, Weapons &amp; Items'!A:C,3,0))</f>
        <v>.</v>
      </c>
      <c r="L200" s="514">
        <f>VLOOKUP(I200,'Price List, Weapons &amp; Items'!A:D,4,0)</f>
        <v>0</v>
      </c>
      <c r="M200" s="515">
        <v>700</v>
      </c>
      <c r="N200" s="515">
        <v>700</v>
      </c>
      <c r="O200" s="516">
        <f>VLOOKUP($I200,'Price List, Weapons &amp; Items'!A:F,6,0)</f>
        <v>2.5</v>
      </c>
      <c r="P200" s="513">
        <f t="shared" si="40"/>
        <v>1750</v>
      </c>
      <c r="Q200" s="513">
        <f t="shared" si="41"/>
        <v>1750</v>
      </c>
      <c r="R200" s="513" t="str">
        <f t="shared" si="42"/>
        <v/>
      </c>
      <c r="S200" s="513" t="str">
        <f>IF(AND(AD200=1,R200&lt;&gt;".")=TRUE,R200/VLOOKUP(G200,'Exchange rates'!B:C,2,0),IF(R200=".",".",""))</f>
        <v/>
      </c>
      <c r="T200" s="513" t="str">
        <f>IF(AD200=1,IF(AF200="Value is not given at all",".",IF(AF200="Value is given by the source",S200,IF(AF200="Value is calculated with prices",(IF(SUMIFS(Q:Q,A:A,A200)&gt;0,SUMIFS(Q:Q,A:A,A200),"."))/VLOOKUP("USD",'Exchange rates'!B:C,2,0),"Error with coding"))),"")</f>
        <v/>
      </c>
      <c r="U200" s="39" t="s">
        <v>233</v>
      </c>
      <c r="V200" s="376" t="s">
        <v>798</v>
      </c>
      <c r="W200" s="376" t="s">
        <v>799</v>
      </c>
      <c r="X200" s="376" t="s">
        <v>800</v>
      </c>
      <c r="Y200" s="376" t="s">
        <v>801</v>
      </c>
      <c r="Z200" s="518">
        <v>0</v>
      </c>
      <c r="AA200" s="518">
        <v>1</v>
      </c>
      <c r="AB200" s="395" t="s">
        <v>800</v>
      </c>
      <c r="AC200" s="519" t="str">
        <f>""</f>
        <v/>
      </c>
      <c r="AD200" s="522">
        <v>0</v>
      </c>
      <c r="AE200" s="522" t="s">
        <v>236</v>
      </c>
      <c r="AF200" s="522" t="s">
        <v>236</v>
      </c>
      <c r="AG200" s="522">
        <v>1</v>
      </c>
      <c r="AH200" s="522">
        <v>4</v>
      </c>
      <c r="AI200" s="522">
        <v>0</v>
      </c>
      <c r="AJ200" s="520">
        <f>VLOOKUP($I200,'Price List, Weapons &amp; Items'!A:E,5,0)</f>
        <v>0</v>
      </c>
      <c r="AK200" s="520">
        <f t="shared" si="44"/>
        <v>0</v>
      </c>
      <c r="AL200" s="520">
        <f t="shared" si="45"/>
        <v>0</v>
      </c>
      <c r="AM200" s="520">
        <f t="shared" si="46"/>
        <v>0</v>
      </c>
      <c r="AN200" s="521" t="str">
        <f>VLOOKUP($I200,'Price List, Weapons &amp; Items'!A:K,COLUMN('Price List, Weapons &amp; Items'!$I$1),0)</f>
        <v>Online marketplaces and stores</v>
      </c>
      <c r="AO200" s="521" t="str">
        <f>IF(I200=".",".",VLOOKUP($I200,'Price List, Weapons &amp; Items'!A:I,3,0))</f>
        <v>.</v>
      </c>
      <c r="AP200" s="517" t="str">
        <f t="shared" ca="1" si="43"/>
        <v/>
      </c>
      <c r="AQ200" s="521">
        <f>VLOOKUP($I200,'Price List, Weapons &amp; Items'!A:K,COLUMN('Price List, Weapons &amp; Items'!$K$1),0)</f>
        <v>1</v>
      </c>
      <c r="AS200" s="521">
        <f t="shared" si="47"/>
        <v>1</v>
      </c>
      <c r="AT200" s="521">
        <f t="shared" si="48"/>
        <v>1</v>
      </c>
      <c r="AU200" s="521">
        <f t="shared" si="49"/>
        <v>1</v>
      </c>
      <c r="AV200" s="521" t="str">
        <f t="shared" si="50"/>
        <v>.</v>
      </c>
    </row>
    <row r="201" spans="1:48" ht="15" customHeight="1">
      <c r="A201" s="18" t="s">
        <v>796</v>
      </c>
      <c r="B201" s="18" t="s">
        <v>767</v>
      </c>
      <c r="C201" s="511">
        <v>44672</v>
      </c>
      <c r="D201" s="18" t="s">
        <v>252</v>
      </c>
      <c r="E201" s="18" t="s">
        <v>253</v>
      </c>
      <c r="F201" s="512" t="s">
        <v>797</v>
      </c>
      <c r="G201" s="39" t="s">
        <v>770</v>
      </c>
      <c r="H201" s="513">
        <v>1000000000</v>
      </c>
      <c r="I201" s="41" t="s">
        <v>292</v>
      </c>
      <c r="J201" s="276" t="str">
        <f>VLOOKUP($I201,'Price List, Weapons &amp; Items'!A:B,2,0)</f>
        <v>Heavy weapon</v>
      </c>
      <c r="K201" s="276" t="str">
        <f>IF(I201=".",I201,VLOOKUP($I201,'Price List, Weapons &amp; Items'!A:C,3,0))</f>
        <v>Armoured Personnel Carrier (APC)</v>
      </c>
      <c r="L201" s="514">
        <f>VLOOKUP(I201,'Price List, Weapons &amp; Items'!A:D,4,0)</f>
        <v>0</v>
      </c>
      <c r="M201" s="515">
        <v>50</v>
      </c>
      <c r="N201" s="515" t="s">
        <v>232</v>
      </c>
      <c r="O201" s="516">
        <f>VLOOKUP($I201,'Price List, Weapons &amp; Items'!A:F,6,0)</f>
        <v>300000</v>
      </c>
      <c r="P201" s="513">
        <f t="shared" si="40"/>
        <v>15000000</v>
      </c>
      <c r="Q201" s="513" t="str">
        <f t="shared" si="41"/>
        <v>.</v>
      </c>
      <c r="R201" s="513" t="str">
        <f t="shared" si="42"/>
        <v/>
      </c>
      <c r="S201" s="513" t="str">
        <f>IF(AND(AD201=1,R201&lt;&gt;".")=TRUE,R201/VLOOKUP(G201,'Exchange rates'!B:C,2,0),IF(R201=".",".",""))</f>
        <v/>
      </c>
      <c r="T201" s="513" t="str">
        <f>IF(AD201=1,IF(AF201="Value is not given at all",".",IF(AF201="Value is given by the source",S201,IF(AF201="Value is calculated with prices",(IF(SUMIFS(Q:Q,A:A,A201)&gt;0,SUMIFS(Q:Q,A:A,A201),"."))/VLOOKUP("USD",'Exchange rates'!B:C,2,0),"Error with coding"))),"")</f>
        <v/>
      </c>
      <c r="U201" s="39" t="s">
        <v>233</v>
      </c>
      <c r="V201" s="376" t="s">
        <v>798</v>
      </c>
      <c r="W201" s="376" t="s">
        <v>799</v>
      </c>
      <c r="X201" s="376" t="s">
        <v>800</v>
      </c>
      <c r="Y201" s="376" t="s">
        <v>801</v>
      </c>
      <c r="Z201" s="518">
        <v>0</v>
      </c>
      <c r="AA201" s="39">
        <v>1</v>
      </c>
      <c r="AB201" s="832" t="s">
        <v>799</v>
      </c>
      <c r="AC201" s="519" t="str">
        <f>""</f>
        <v/>
      </c>
      <c r="AD201" s="522">
        <v>0</v>
      </c>
      <c r="AE201" s="522" t="s">
        <v>236</v>
      </c>
      <c r="AF201" s="522" t="s">
        <v>236</v>
      </c>
      <c r="AG201" s="522">
        <v>1</v>
      </c>
      <c r="AH201" s="522">
        <v>4</v>
      </c>
      <c r="AI201" s="522">
        <v>0</v>
      </c>
      <c r="AJ201" s="520">
        <f>VLOOKUP($I201,'Price List, Weapons &amp; Items'!A:E,5,0)</f>
        <v>1</v>
      </c>
      <c r="AK201" s="520">
        <f t="shared" si="44"/>
        <v>0</v>
      </c>
      <c r="AL201" s="520">
        <f t="shared" si="45"/>
        <v>0</v>
      </c>
      <c r="AM201" s="520">
        <f t="shared" si="46"/>
        <v>0</v>
      </c>
      <c r="AN201" s="521" t="str">
        <f>VLOOKUP($I201,'Price List, Weapons &amp; Items'!A:K,COLUMN('Price List, Weapons &amp; Items'!$I$1),0)</f>
        <v>Military media (incl. websites)</v>
      </c>
      <c r="AO201" s="521" t="str">
        <f>IF(I201=".",".",VLOOKUP($I201,'Price List, Weapons &amp; Items'!A:I,3,0))</f>
        <v>Armoured Personnel Carrier (APC)</v>
      </c>
      <c r="AP201" s="517" t="str">
        <f t="shared" ca="1" si="43"/>
        <v/>
      </c>
      <c r="AQ201" s="521">
        <f>VLOOKUP($I201,'Price List, Weapons &amp; Items'!A:K,COLUMN('Price List, Weapons &amp; Items'!$K$1),0)</f>
        <v>2</v>
      </c>
      <c r="AS201" s="521">
        <f t="shared" si="47"/>
        <v>1</v>
      </c>
      <c r="AT201" s="521">
        <f t="shared" si="48"/>
        <v>1</v>
      </c>
      <c r="AU201" s="521">
        <f t="shared" si="49"/>
        <v>1</v>
      </c>
      <c r="AV201" s="521" t="str">
        <f t="shared" si="50"/>
        <v>.</v>
      </c>
    </row>
    <row r="202" spans="1:48" ht="15" customHeight="1">
      <c r="A202" s="18" t="s">
        <v>796</v>
      </c>
      <c r="B202" s="18" t="s">
        <v>767</v>
      </c>
      <c r="C202" s="511">
        <v>44672</v>
      </c>
      <c r="D202" s="18" t="s">
        <v>252</v>
      </c>
      <c r="E202" s="18" t="s">
        <v>253</v>
      </c>
      <c r="F202" s="512" t="s">
        <v>797</v>
      </c>
      <c r="G202" s="39" t="s">
        <v>770</v>
      </c>
      <c r="H202" s="513">
        <v>1000000000</v>
      </c>
      <c r="I202" s="41" t="s">
        <v>808</v>
      </c>
      <c r="J202" s="276" t="str">
        <f>VLOOKUP($I202,'Price List, Weapons &amp; Items'!A:B,2,0)</f>
        <v>Ammunition for light infantry</v>
      </c>
      <c r="K202" s="276" t="str">
        <f>IF(I202=".",I202,VLOOKUP($I202,'Price List, Weapons &amp; Items'!A:C,3,0))</f>
        <v>.</v>
      </c>
      <c r="L202" s="514">
        <f>VLOOKUP(I202,'Price List, Weapons &amp; Items'!A:D,4,0)</f>
        <v>0</v>
      </c>
      <c r="M202" s="515" t="s">
        <v>264</v>
      </c>
      <c r="N202" s="515" t="s">
        <v>232</v>
      </c>
      <c r="O202" s="516">
        <f>VLOOKUP($I202,'Price List, Weapons &amp; Items'!A:F,6,0)</f>
        <v>16.5</v>
      </c>
      <c r="P202" s="513" t="str">
        <f t="shared" si="40"/>
        <v>.</v>
      </c>
      <c r="Q202" s="513" t="str">
        <f t="shared" si="41"/>
        <v>.</v>
      </c>
      <c r="R202" s="513" t="str">
        <f t="shared" si="42"/>
        <v/>
      </c>
      <c r="S202" s="513" t="str">
        <f>IF(AND(AD202=1,R202&lt;&gt;".")=TRUE,R202/VLOOKUP(G202,'Exchange rates'!B:C,2,0),IF(R202=".",".",""))</f>
        <v/>
      </c>
      <c r="T202" s="513" t="str">
        <f>IF(AD202=1,IF(AF202="Value is not given at all",".",IF(AF202="Value is given by the source",S202,IF(AF202="Value is calculated with prices",(IF(SUMIFS(Q:Q,A:A,A202)&gt;0,SUMIFS(Q:Q,A:A,A202),"."))/VLOOKUP("USD",'Exchange rates'!B:C,2,0),"Error with coding"))),"")</f>
        <v/>
      </c>
      <c r="U202" s="39" t="s">
        <v>233</v>
      </c>
      <c r="V202" s="376" t="s">
        <v>798</v>
      </c>
      <c r="W202" s="376" t="s">
        <v>799</v>
      </c>
      <c r="X202" s="376" t="s">
        <v>800</v>
      </c>
      <c r="Y202" s="376" t="s">
        <v>801</v>
      </c>
      <c r="Z202" s="518">
        <v>0</v>
      </c>
      <c r="AA202" s="518">
        <v>1</v>
      </c>
      <c r="AB202" s="832" t="s">
        <v>799</v>
      </c>
      <c r="AC202" s="519" t="str">
        <f>""</f>
        <v/>
      </c>
      <c r="AD202" s="522">
        <v>0</v>
      </c>
      <c r="AE202" s="522" t="s">
        <v>236</v>
      </c>
      <c r="AF202" s="522" t="s">
        <v>236</v>
      </c>
      <c r="AG202" s="522">
        <v>1</v>
      </c>
      <c r="AH202" s="522">
        <v>4</v>
      </c>
      <c r="AI202" s="522">
        <v>0</v>
      </c>
      <c r="AJ202" s="520">
        <f>VLOOKUP($I202,'Price List, Weapons &amp; Items'!A:E,5,0)</f>
        <v>0</v>
      </c>
      <c r="AK202" s="520">
        <f t="shared" si="44"/>
        <v>0</v>
      </c>
      <c r="AL202" s="520">
        <f t="shared" si="45"/>
        <v>0</v>
      </c>
      <c r="AM202" s="520">
        <f t="shared" si="46"/>
        <v>0</v>
      </c>
      <c r="AN202" s="521" t="str">
        <f>VLOOKUP($I202,'Price List, Weapons &amp; Items'!A:K,COLUMN('Price List, Weapons &amp; Items'!$I$1),0)</f>
        <v>Miscellaneous</v>
      </c>
      <c r="AO202" s="521" t="str">
        <f>IF(I202=".",".",VLOOKUP($I202,'Price List, Weapons &amp; Items'!A:I,3,0))</f>
        <v>.</v>
      </c>
      <c r="AP202" s="517" t="str">
        <f t="shared" ca="1" si="43"/>
        <v/>
      </c>
      <c r="AQ202" s="521" t="str">
        <f>VLOOKUP($I202,'Price List, Weapons &amp; Items'!A:K,COLUMN('Price List, Weapons &amp; Items'!$K$1),0)</f>
        <v>no price, 0 count</v>
      </c>
      <c r="AS202" s="521">
        <f t="shared" si="47"/>
        <v>1</v>
      </c>
      <c r="AT202" s="521">
        <f t="shared" si="48"/>
        <v>1</v>
      </c>
      <c r="AU202" s="521">
        <f t="shared" si="49"/>
        <v>1</v>
      </c>
      <c r="AV202" s="521" t="str">
        <f t="shared" si="50"/>
        <v>.</v>
      </c>
    </row>
    <row r="203" spans="1:48" ht="15" customHeight="1">
      <c r="A203" s="18" t="s">
        <v>796</v>
      </c>
      <c r="B203" s="18" t="s">
        <v>767</v>
      </c>
      <c r="C203" s="511">
        <v>44672</v>
      </c>
      <c r="D203" s="18" t="s">
        <v>252</v>
      </c>
      <c r="E203" s="18" t="s">
        <v>253</v>
      </c>
      <c r="F203" s="512" t="s">
        <v>797</v>
      </c>
      <c r="G203" s="39" t="s">
        <v>770</v>
      </c>
      <c r="H203" s="513">
        <v>1000000000</v>
      </c>
      <c r="I203" s="41" t="s">
        <v>809</v>
      </c>
      <c r="J203" s="276" t="str">
        <f>VLOOKUP($I203,'Price List, Weapons &amp; Items'!A:B,2,0)</f>
        <v>Light armaments &amp; infantry</v>
      </c>
      <c r="K203" s="276" t="str">
        <f>IF(I203=".",I203,VLOOKUP($I203,'Price List, Weapons &amp; Items'!A:C,3,0))</f>
        <v>Mortar</v>
      </c>
      <c r="L203" s="514">
        <f>VLOOKUP(I203,'Price List, Weapons &amp; Items'!A:D,4,0)</f>
        <v>0</v>
      </c>
      <c r="M203" s="515" t="s">
        <v>264</v>
      </c>
      <c r="N203" s="515" t="s">
        <v>232</v>
      </c>
      <c r="O203" s="516">
        <f>VLOOKUP($I203,'Price List, Weapons &amp; Items'!A:F,6,0)</f>
        <v>10658</v>
      </c>
      <c r="P203" s="513" t="str">
        <f t="shared" si="40"/>
        <v>.</v>
      </c>
      <c r="Q203" s="513" t="str">
        <f t="shared" si="41"/>
        <v>.</v>
      </c>
      <c r="R203" s="513" t="str">
        <f t="shared" si="42"/>
        <v/>
      </c>
      <c r="S203" s="513" t="str">
        <f>IF(AND(AD203=1,R203&lt;&gt;".")=TRUE,R203/VLOOKUP(G203,'Exchange rates'!B:C,2,0),IF(R203=".",".",""))</f>
        <v/>
      </c>
      <c r="T203" s="513" t="str">
        <f>IF(AD203=1,IF(AF203="Value is not given at all",".",IF(AF203="Value is given by the source",S203,IF(AF203="Value is calculated with prices",(IF(SUMIFS(Q:Q,A:A,A203)&gt;0,SUMIFS(Q:Q,A:A,A203),"."))/VLOOKUP("USD",'Exchange rates'!B:C,2,0),"Error with coding"))),"")</f>
        <v/>
      </c>
      <c r="U203" s="39" t="s">
        <v>233</v>
      </c>
      <c r="V203" s="376" t="s">
        <v>798</v>
      </c>
      <c r="W203" s="376" t="s">
        <v>799</v>
      </c>
      <c r="X203" s="376" t="s">
        <v>800</v>
      </c>
      <c r="Y203" s="376" t="s">
        <v>801</v>
      </c>
      <c r="Z203" s="518">
        <v>0</v>
      </c>
      <c r="AA203" s="39">
        <v>1</v>
      </c>
      <c r="AB203" s="832" t="s">
        <v>799</v>
      </c>
      <c r="AC203" s="519" t="str">
        <f>""</f>
        <v/>
      </c>
      <c r="AD203" s="522">
        <v>0</v>
      </c>
      <c r="AE203" s="522" t="s">
        <v>236</v>
      </c>
      <c r="AF203" s="522" t="s">
        <v>236</v>
      </c>
      <c r="AG203" s="522">
        <v>1</v>
      </c>
      <c r="AH203" s="522">
        <v>4</v>
      </c>
      <c r="AI203" s="522">
        <v>0</v>
      </c>
      <c r="AJ203" s="520">
        <f>VLOOKUP($I203,'Price List, Weapons &amp; Items'!A:E,5,0)</f>
        <v>0</v>
      </c>
      <c r="AK203" s="520">
        <f t="shared" si="44"/>
        <v>0</v>
      </c>
      <c r="AL203" s="520">
        <f t="shared" si="45"/>
        <v>0</v>
      </c>
      <c r="AM203" s="520">
        <f t="shared" si="46"/>
        <v>0</v>
      </c>
      <c r="AN203" s="521" t="str">
        <f>VLOOKUP($I203,'Price List, Weapons &amp; Items'!A:K,COLUMN('Price List, Weapons &amp; Items'!$I$1),0)</f>
        <v>Military media (incl. websites)</v>
      </c>
      <c r="AO203" s="521" t="str">
        <f>IF(I203=".",".",VLOOKUP($I203,'Price List, Weapons &amp; Items'!A:I,3,0))</f>
        <v>Mortar</v>
      </c>
      <c r="AP203" s="517" t="str">
        <f t="shared" ca="1" si="43"/>
        <v/>
      </c>
      <c r="AQ203" s="521" t="str">
        <f>VLOOKUP($I203,'Price List, Weapons &amp; Items'!A:K,COLUMN('Price List, Weapons &amp; Items'!$K$1),0)</f>
        <v>no price, 0 count</v>
      </c>
      <c r="AS203" s="521">
        <f t="shared" si="47"/>
        <v>1</v>
      </c>
      <c r="AT203" s="521">
        <f t="shared" si="48"/>
        <v>1</v>
      </c>
      <c r="AU203" s="521">
        <f t="shared" si="49"/>
        <v>1</v>
      </c>
      <c r="AV203" s="521" t="str">
        <f t="shared" si="50"/>
        <v>.</v>
      </c>
    </row>
    <row r="204" spans="1:48" ht="15" customHeight="1">
      <c r="A204" s="18" t="s">
        <v>796</v>
      </c>
      <c r="B204" s="18" t="s">
        <v>767</v>
      </c>
      <c r="C204" s="511">
        <v>44672</v>
      </c>
      <c r="D204" s="18" t="s">
        <v>252</v>
      </c>
      <c r="E204" s="18" t="s">
        <v>253</v>
      </c>
      <c r="F204" s="512" t="s">
        <v>797</v>
      </c>
      <c r="G204" s="39" t="s">
        <v>770</v>
      </c>
      <c r="H204" s="513">
        <v>1000000000</v>
      </c>
      <c r="I204" s="41" t="s">
        <v>810</v>
      </c>
      <c r="J204" s="276" t="str">
        <f>VLOOKUP($I204,'Price List, Weapons &amp; Items'!A:B,2,0)</f>
        <v>Ammunition for light infantry</v>
      </c>
      <c r="K204" s="276" t="str">
        <f>IF(I204=".",I204,VLOOKUP($I204,'Price List, Weapons &amp; Items'!A:C,3,0))</f>
        <v>Mortar ammunition</v>
      </c>
      <c r="L204" s="514">
        <f>VLOOKUP(I204,'Price List, Weapons &amp; Items'!A:D,4,0)</f>
        <v>0</v>
      </c>
      <c r="M204" s="515" t="s">
        <v>264</v>
      </c>
      <c r="N204" s="515" t="s">
        <v>232</v>
      </c>
      <c r="O204" s="516">
        <f>VLOOKUP($I204,'Price List, Weapons &amp; Items'!A:F,6,0)</f>
        <v>33000</v>
      </c>
      <c r="P204" s="513" t="str">
        <f t="shared" si="40"/>
        <v>.</v>
      </c>
      <c r="Q204" s="513" t="str">
        <f t="shared" si="41"/>
        <v>.</v>
      </c>
      <c r="R204" s="513" t="str">
        <f t="shared" si="42"/>
        <v/>
      </c>
      <c r="S204" s="513" t="str">
        <f>IF(AND(AD204=1,R204&lt;&gt;".")=TRUE,R204/VLOOKUP(G204,'Exchange rates'!B:C,2,0),IF(R204=".",".",""))</f>
        <v/>
      </c>
      <c r="T204" s="513" t="str">
        <f>IF(AD204=1,IF(AF204="Value is not given at all",".",IF(AF204="Value is given by the source",S204,IF(AF204="Value is calculated with prices",(IF(SUMIFS(Q:Q,A:A,A204)&gt;0,SUMIFS(Q:Q,A:A,A204),"."))/VLOOKUP("USD",'Exchange rates'!B:C,2,0),"Error with coding"))),"")</f>
        <v/>
      </c>
      <c r="U204" s="39" t="s">
        <v>233</v>
      </c>
      <c r="V204" s="376" t="s">
        <v>798</v>
      </c>
      <c r="W204" s="376" t="s">
        <v>799</v>
      </c>
      <c r="X204" s="376" t="s">
        <v>800</v>
      </c>
      <c r="Y204" s="376" t="s">
        <v>801</v>
      </c>
      <c r="Z204" s="518">
        <v>0</v>
      </c>
      <c r="AA204" s="518">
        <v>1</v>
      </c>
      <c r="AB204" s="832" t="s">
        <v>799</v>
      </c>
      <c r="AC204" s="519" t="str">
        <f>""</f>
        <v/>
      </c>
      <c r="AD204" s="522">
        <v>0</v>
      </c>
      <c r="AE204" s="522" t="s">
        <v>236</v>
      </c>
      <c r="AF204" s="522" t="s">
        <v>236</v>
      </c>
      <c r="AG204" s="522">
        <v>1</v>
      </c>
      <c r="AH204" s="522">
        <v>4</v>
      </c>
      <c r="AI204" s="522">
        <v>0</v>
      </c>
      <c r="AJ204" s="520">
        <f>VLOOKUP($I204,'Price List, Weapons &amp; Items'!A:E,5,0)</f>
        <v>0</v>
      </c>
      <c r="AK204" s="520">
        <f t="shared" si="44"/>
        <v>0</v>
      </c>
      <c r="AL204" s="520">
        <f t="shared" si="45"/>
        <v>0</v>
      </c>
      <c r="AM204" s="520">
        <f t="shared" si="46"/>
        <v>0</v>
      </c>
      <c r="AN204" s="521" t="str">
        <f>VLOOKUP($I204,'Price List, Weapons &amp; Items'!A:K,COLUMN('Price List, Weapons &amp; Items'!$I$1),0)</f>
        <v>Media reports (incl. social media)</v>
      </c>
      <c r="AO204" s="521" t="str">
        <f>IF(I204=".",".",VLOOKUP($I204,'Price List, Weapons &amp; Items'!A:I,3,0))</f>
        <v>Mortar ammunition</v>
      </c>
      <c r="AP204" s="517" t="str">
        <f t="shared" ca="1" si="43"/>
        <v/>
      </c>
      <c r="AQ204" s="521" t="str">
        <f>VLOOKUP($I204,'Price List, Weapons &amp; Items'!A:K,COLUMN('Price List, Weapons &amp; Items'!$K$1),0)</f>
        <v>no price, 0 count</v>
      </c>
      <c r="AS204" s="521">
        <f t="shared" si="47"/>
        <v>1</v>
      </c>
      <c r="AT204" s="521">
        <f t="shared" si="48"/>
        <v>1</v>
      </c>
      <c r="AU204" s="521">
        <f t="shared" si="49"/>
        <v>1</v>
      </c>
      <c r="AV204" s="521" t="str">
        <f t="shared" si="50"/>
        <v>.</v>
      </c>
    </row>
    <row r="205" spans="1:48" ht="15" customHeight="1">
      <c r="A205" s="18" t="s">
        <v>811</v>
      </c>
      <c r="B205" s="18" t="s">
        <v>767</v>
      </c>
      <c r="C205" s="511" t="s">
        <v>812</v>
      </c>
      <c r="D205" s="18" t="s">
        <v>252</v>
      </c>
      <c r="E205" s="18" t="s">
        <v>307</v>
      </c>
      <c r="F205" s="512" t="s">
        <v>813</v>
      </c>
      <c r="G205" s="39" t="s">
        <v>770</v>
      </c>
      <c r="H205" s="513">
        <v>1000000000</v>
      </c>
      <c r="I205" s="41" t="s">
        <v>814</v>
      </c>
      <c r="J205" s="276" t="str">
        <f>VLOOKUP($I205,'Price List, Weapons &amp; Items'!A:B,2,0)</f>
        <v>Heavy weapon</v>
      </c>
      <c r="K205" s="276" t="str">
        <f>IF(I205=".",I205,VLOOKUP($I205,'Price List, Weapons &amp; Items'!A:C,3,0))</f>
        <v>Anti-ship missle system</v>
      </c>
      <c r="L205" s="514">
        <f>VLOOKUP(I205,'Price List, Weapons &amp; Items'!A:D,4,0)</f>
        <v>0</v>
      </c>
      <c r="M205" s="515">
        <v>1</v>
      </c>
      <c r="N205" s="515">
        <v>1</v>
      </c>
      <c r="O205" s="516">
        <f>VLOOKUP($I205,'Price List, Weapons &amp; Items'!A:F,6,0)</f>
        <v>35411360.630000003</v>
      </c>
      <c r="P205" s="513">
        <f t="shared" si="40"/>
        <v>35411360.630000003</v>
      </c>
      <c r="Q205" s="513">
        <f t="shared" si="41"/>
        <v>35411360.630000003</v>
      </c>
      <c r="R205" s="513">
        <f t="shared" si="42"/>
        <v>1000000000</v>
      </c>
      <c r="S205" s="513">
        <f>IF(AND(AD205=1,R205&lt;&gt;".")=TRUE,R205/VLOOKUP(G205,'Exchange rates'!B:C,2,0),IF(R205=".",".",""))</f>
        <v>134414022.07078242</v>
      </c>
      <c r="T205" s="513">
        <f>IF(AD205=1,IF(AF205="Value is not given at all",".",IF(AF205="Value is given by the source",S205,IF(AF205="Value is calculated with prices",(IF(SUMIFS(Q:Q,A:A,A205)&gt;0,SUMIFS(Q:Q,A:A,A205),"."))/VLOOKUP("USD",'Exchange rates'!B:C,2,0),"Error with coding"))),"")</f>
        <v>134414022.07078242</v>
      </c>
      <c r="U205" s="39" t="s">
        <v>233</v>
      </c>
      <c r="V205" s="376" t="s">
        <v>815</v>
      </c>
      <c r="W205" s="376" t="s">
        <v>816</v>
      </c>
      <c r="X205" s="376" t="s">
        <v>817</v>
      </c>
      <c r="Y205" s="377" t="s">
        <v>818</v>
      </c>
      <c r="Z205" s="39">
        <v>0</v>
      </c>
      <c r="AA205" s="518">
        <v>0</v>
      </c>
      <c r="AB205" s="395" t="s">
        <v>819</v>
      </c>
      <c r="AC205" s="519" t="str">
        <f>""</f>
        <v/>
      </c>
      <c r="AD205" s="522">
        <v>1</v>
      </c>
      <c r="AE205" s="522" t="s">
        <v>236</v>
      </c>
      <c r="AF205" s="522" t="s">
        <v>236</v>
      </c>
      <c r="AG205" s="522">
        <v>1</v>
      </c>
      <c r="AH205" s="522">
        <v>5</v>
      </c>
      <c r="AI205" s="522">
        <v>0</v>
      </c>
      <c r="AJ205" s="520">
        <f>VLOOKUP($I205,'Price List, Weapons &amp; Items'!A:E,5,0)</f>
        <v>0</v>
      </c>
      <c r="AK205" s="520">
        <f t="shared" si="44"/>
        <v>0</v>
      </c>
      <c r="AL205" s="520">
        <f t="shared" si="45"/>
        <v>0</v>
      </c>
      <c r="AM205" s="520">
        <f t="shared" si="46"/>
        <v>0</v>
      </c>
      <c r="AN205" s="521" t="str">
        <f>VLOOKUP($I205,'Price List, Weapons &amp; Items'!A:K,COLUMN('Price List, Weapons &amp; Items'!$I$1),0)</f>
        <v>Government information</v>
      </c>
      <c r="AO205" s="521" t="str">
        <f>IF(I205=".",".",VLOOKUP($I205,'Price List, Weapons &amp; Items'!A:I,3,0))</f>
        <v>Anti-ship missle system</v>
      </c>
      <c r="AP205" s="517" t="str">
        <f t="shared" ca="1" si="43"/>
        <v>Harpoon coastal defense missile system; Harpoon coastal defense missile; ballistic vest</v>
      </c>
      <c r="AQ205" s="521">
        <f>VLOOKUP($I205,'Price List, Weapons &amp; Items'!A:K,COLUMN('Price List, Weapons &amp; Items'!$K$1),0)</f>
        <v>2</v>
      </c>
      <c r="AS205" s="521">
        <f t="shared" si="47"/>
        <v>1</v>
      </c>
      <c r="AT205" s="521">
        <f t="shared" si="48"/>
        <v>1</v>
      </c>
      <c r="AU205" s="521" t="str">
        <f t="shared" si="49"/>
        <v>Value is not in date format</v>
      </c>
      <c r="AV205" s="521" t="str">
        <f t="shared" si="50"/>
        <v>.</v>
      </c>
    </row>
    <row r="206" spans="1:48" ht="15" customHeight="1">
      <c r="A206" s="18" t="s">
        <v>811</v>
      </c>
      <c r="B206" s="18" t="s">
        <v>767</v>
      </c>
      <c r="C206" s="511" t="s">
        <v>812</v>
      </c>
      <c r="D206" s="18" t="s">
        <v>252</v>
      </c>
      <c r="E206" s="18" t="s">
        <v>307</v>
      </c>
      <c r="F206" s="512" t="s">
        <v>813</v>
      </c>
      <c r="G206" s="39" t="s">
        <v>770</v>
      </c>
      <c r="H206" s="513">
        <v>1000000000</v>
      </c>
      <c r="I206" s="41" t="s">
        <v>820</v>
      </c>
      <c r="J206" s="276" t="str">
        <f>VLOOKUP($I206,'Price List, Weapons &amp; Items'!A:B,2,0)</f>
        <v>Ammunition for heavy weapon</v>
      </c>
      <c r="K206" s="276" t="str">
        <f>IF(I206=".",I206,VLOOKUP($I206,'Price List, Weapons &amp; Items'!A:C,3,0))</f>
        <v>.</v>
      </c>
      <c r="L206" s="514">
        <f>VLOOKUP(I206,'Price List, Weapons &amp; Items'!A:D,4,0)</f>
        <v>0</v>
      </c>
      <c r="M206" s="515" t="s">
        <v>264</v>
      </c>
      <c r="N206" s="515" t="s">
        <v>264</v>
      </c>
      <c r="O206" s="516">
        <f>VLOOKUP($I206,'Price List, Weapons &amp; Items'!A:F,6,0)</f>
        <v>1406812</v>
      </c>
      <c r="P206" s="513" t="str">
        <f t="shared" si="40"/>
        <v>.</v>
      </c>
      <c r="Q206" s="513" t="str">
        <f t="shared" si="41"/>
        <v>.</v>
      </c>
      <c r="R206" s="513" t="str">
        <f t="shared" si="42"/>
        <v/>
      </c>
      <c r="S206" s="513" t="str">
        <f>IF(AND(AD206=1,R206&lt;&gt;".")=TRUE,R206/VLOOKUP(G206,'Exchange rates'!B:C,2,0),IF(R206=".",".",""))</f>
        <v/>
      </c>
      <c r="T206" s="513" t="str">
        <f>IF(AD206=1,IF(AF206="Value is not given at all",".",IF(AF206="Value is given by the source",S206,IF(AF206="Value is calculated with prices",(IF(SUMIFS(Q:Q,A:A,A206)&gt;0,SUMIFS(Q:Q,A:A,A206),"."))/VLOOKUP("USD",'Exchange rates'!B:C,2,0),"Error with coding"))),"")</f>
        <v/>
      </c>
      <c r="U206" s="39" t="s">
        <v>233</v>
      </c>
      <c r="V206" s="376" t="s">
        <v>815</v>
      </c>
      <c r="W206" s="376" t="s">
        <v>816</v>
      </c>
      <c r="X206" s="376" t="s">
        <v>817</v>
      </c>
      <c r="Y206" s="377" t="s">
        <v>818</v>
      </c>
      <c r="Z206" s="39">
        <v>0</v>
      </c>
      <c r="AA206" s="518">
        <v>0</v>
      </c>
      <c r="AB206" s="395" t="s">
        <v>819</v>
      </c>
      <c r="AC206" s="519" t="str">
        <f>""</f>
        <v/>
      </c>
      <c r="AD206" s="522">
        <v>0</v>
      </c>
      <c r="AE206" s="522" t="s">
        <v>236</v>
      </c>
      <c r="AF206" s="522" t="s">
        <v>236</v>
      </c>
      <c r="AG206" s="522">
        <v>1</v>
      </c>
      <c r="AH206" s="522">
        <v>5</v>
      </c>
      <c r="AI206" s="522">
        <v>0</v>
      </c>
      <c r="AJ206" s="520">
        <f>VLOOKUP($I206,'Price List, Weapons &amp; Items'!A:E,5,0)</f>
        <v>0</v>
      </c>
      <c r="AK206" s="520">
        <f t="shared" si="44"/>
        <v>0</v>
      </c>
      <c r="AL206" s="520">
        <f t="shared" si="45"/>
        <v>0</v>
      </c>
      <c r="AM206" s="520">
        <f t="shared" si="46"/>
        <v>0</v>
      </c>
      <c r="AN206" s="521" t="str">
        <f>VLOOKUP($I206,'Price List, Weapons &amp; Items'!A:K,COLUMN('Price List, Weapons &amp; Items'!$I$1),0)</f>
        <v>Miscellaneous</v>
      </c>
      <c r="AO206" s="521" t="str">
        <f>IF(I206=".",".",VLOOKUP($I206,'Price List, Weapons &amp; Items'!A:I,3,0))</f>
        <v>.</v>
      </c>
      <c r="AP206" s="517" t="str">
        <f t="shared" ca="1" si="43"/>
        <v/>
      </c>
      <c r="AQ206" s="521" t="str">
        <f>VLOOKUP($I206,'Price List, Weapons &amp; Items'!A:K,COLUMN('Price List, Weapons &amp; Items'!$K$1),0)</f>
        <v>no price, 0 count</v>
      </c>
      <c r="AS206" s="521">
        <f t="shared" si="47"/>
        <v>1</v>
      </c>
      <c r="AT206" s="521">
        <f t="shared" si="48"/>
        <v>1</v>
      </c>
      <c r="AU206" s="521" t="str">
        <f t="shared" si="49"/>
        <v>Value is not in date format</v>
      </c>
      <c r="AV206" s="521" t="str">
        <f t="shared" si="50"/>
        <v>.</v>
      </c>
    </row>
    <row r="207" spans="1:48" ht="15" customHeight="1">
      <c r="A207" s="18" t="s">
        <v>811</v>
      </c>
      <c r="B207" s="18" t="s">
        <v>767</v>
      </c>
      <c r="C207" s="511" t="s">
        <v>812</v>
      </c>
      <c r="D207" s="18" t="s">
        <v>252</v>
      </c>
      <c r="E207" s="18" t="s">
        <v>307</v>
      </c>
      <c r="F207" s="512" t="s">
        <v>813</v>
      </c>
      <c r="G207" s="39" t="s">
        <v>770</v>
      </c>
      <c r="H207" s="513">
        <v>1000000000</v>
      </c>
      <c r="I207" s="41" t="s">
        <v>446</v>
      </c>
      <c r="J207" s="276" t="str">
        <f>VLOOKUP($I207,'Price List, Weapons &amp; Items'!A:B,2,0)</f>
        <v>Military equipment</v>
      </c>
      <c r="K207" s="276" t="str">
        <f>IF(I207=".",I207,VLOOKUP($I207,'Price List, Weapons &amp; Items'!A:C,3,0))</f>
        <v>.</v>
      </c>
      <c r="L207" s="514">
        <f>VLOOKUP(I207,'Price List, Weapons &amp; Items'!A:D,4,0)</f>
        <v>0</v>
      </c>
      <c r="M207" s="515" t="s">
        <v>264</v>
      </c>
      <c r="N207" s="515" t="s">
        <v>232</v>
      </c>
      <c r="O207" s="516">
        <f>VLOOKUP($I207,'Price List, Weapons &amp; Items'!A:F,6,0)</f>
        <v>500</v>
      </c>
      <c r="P207" s="513" t="str">
        <f t="shared" si="40"/>
        <v>.</v>
      </c>
      <c r="Q207" s="513" t="str">
        <f t="shared" si="41"/>
        <v>.</v>
      </c>
      <c r="R207" s="513" t="str">
        <f t="shared" si="42"/>
        <v/>
      </c>
      <c r="S207" s="513" t="str">
        <f>IF(AND(AD207=1,R207&lt;&gt;".")=TRUE,R207/VLOOKUP(G207,'Exchange rates'!B:C,2,0),IF(R207=".",".",""))</f>
        <v/>
      </c>
      <c r="T207" s="513" t="str">
        <f>IF(AD207=1,IF(AF207="Value is not given at all",".",IF(AF207="Value is given by the source",S207,IF(AF207="Value is calculated with prices",(IF(SUMIFS(Q:Q,A:A,A207)&gt;0,SUMIFS(Q:Q,A:A,A207),"."))/VLOOKUP("USD",'Exchange rates'!B:C,2,0),"Error with coding"))),"")</f>
        <v/>
      </c>
      <c r="U207" s="39" t="s">
        <v>233</v>
      </c>
      <c r="V207" s="376" t="s">
        <v>815</v>
      </c>
      <c r="W207" s="376" t="s">
        <v>816</v>
      </c>
      <c r="X207" s="376" t="s">
        <v>817</v>
      </c>
      <c r="Y207" s="377" t="s">
        <v>818</v>
      </c>
      <c r="Z207" s="39">
        <v>0</v>
      </c>
      <c r="AA207" s="518">
        <v>0</v>
      </c>
      <c r="AB207" s="395" t="s">
        <v>232</v>
      </c>
      <c r="AC207" s="519" t="str">
        <f>""</f>
        <v/>
      </c>
      <c r="AD207" s="522">
        <v>0</v>
      </c>
      <c r="AE207" s="522" t="s">
        <v>236</v>
      </c>
      <c r="AF207" s="522" t="s">
        <v>236</v>
      </c>
      <c r="AG207" s="522">
        <v>1</v>
      </c>
      <c r="AH207" s="522">
        <v>5</v>
      </c>
      <c r="AI207" s="522">
        <v>0</v>
      </c>
      <c r="AJ207" s="520">
        <f>VLOOKUP($I207,'Price List, Weapons &amp; Items'!A:E,5,0)</f>
        <v>0</v>
      </c>
      <c r="AK207" s="520">
        <f t="shared" si="44"/>
        <v>0</v>
      </c>
      <c r="AL207" s="520">
        <f t="shared" si="45"/>
        <v>0</v>
      </c>
      <c r="AM207" s="520">
        <f t="shared" si="46"/>
        <v>0</v>
      </c>
      <c r="AN207" s="521" t="str">
        <f>VLOOKUP($I207,'Price List, Weapons &amp; Items'!A:K,COLUMN('Price List, Weapons &amp; Items'!$I$1),0)</f>
        <v>Military media (incl. websites)</v>
      </c>
      <c r="AO207" s="521" t="str">
        <f>IF(I207=".",".",VLOOKUP($I207,'Price List, Weapons &amp; Items'!A:I,3,0))</f>
        <v>.</v>
      </c>
      <c r="AP207" s="517" t="str">
        <f t="shared" ca="1" si="43"/>
        <v/>
      </c>
      <c r="AQ207" s="521">
        <f>VLOOKUP($I207,'Price List, Weapons &amp; Items'!A:K,COLUMN('Price List, Weapons &amp; Items'!$K$1),0)</f>
        <v>2</v>
      </c>
      <c r="AS207" s="521">
        <f t="shared" si="47"/>
        <v>1</v>
      </c>
      <c r="AT207" s="521">
        <f t="shared" si="48"/>
        <v>1</v>
      </c>
      <c r="AU207" s="521" t="str">
        <f t="shared" si="49"/>
        <v>Value is not in date format</v>
      </c>
      <c r="AV207" s="521" t="str">
        <f t="shared" si="50"/>
        <v>.</v>
      </c>
    </row>
    <row r="208" spans="1:48" ht="15" customHeight="1">
      <c r="A208" s="18" t="s">
        <v>821</v>
      </c>
      <c r="B208" s="18" t="s">
        <v>767</v>
      </c>
      <c r="C208" s="511">
        <v>44784</v>
      </c>
      <c r="D208" s="18" t="s">
        <v>252</v>
      </c>
      <c r="E208" s="18" t="s">
        <v>822</v>
      </c>
      <c r="F208" s="512" t="s">
        <v>823</v>
      </c>
      <c r="G208" s="39" t="s">
        <v>770</v>
      </c>
      <c r="H208" s="513">
        <v>820000000</v>
      </c>
      <c r="I208" s="41" t="s">
        <v>824</v>
      </c>
      <c r="J208" s="276" t="str">
        <f>VLOOKUP($I208,'Price List, Weapons &amp; Items'!A:B,2,0)</f>
        <v>Heavy weapon</v>
      </c>
      <c r="K208" s="276" t="str">
        <f>IF(I208=".",I208,VLOOKUP($I208,'Price List, Weapons &amp; Items'!A:C,3,0))</f>
        <v>155mm howitzer</v>
      </c>
      <c r="L208" s="514">
        <f>VLOOKUP(I208,'Price List, Weapons &amp; Items'!A:D,4,0)</f>
        <v>1</v>
      </c>
      <c r="M208" s="515">
        <v>5</v>
      </c>
      <c r="N208" s="515" t="s">
        <v>232</v>
      </c>
      <c r="O208" s="516">
        <f>VLOOKUP($I208,'Price List, Weapons &amp; Items'!A:F,6,0)</f>
        <v>8661378.4511823338</v>
      </c>
      <c r="P208" s="513">
        <f t="shared" si="40"/>
        <v>43306892.255911671</v>
      </c>
      <c r="Q208" s="513" t="str">
        <f>IF(TYPE(N208)=1,IF(TYPE(O208)=1,N208*O208,"No price"),".")</f>
        <v>.</v>
      </c>
      <c r="R208" s="513">
        <f t="shared" si="42"/>
        <v>820000000</v>
      </c>
      <c r="S208" s="513">
        <f>IF(AND(AD208=1,R208&lt;&gt;".")=TRUE,R208/VLOOKUP(G208,'Exchange rates'!B:C,2,0),IF(R208=".",".",""))</f>
        <v>110219498.09804158</v>
      </c>
      <c r="T208" s="513" t="str">
        <f>IF(AD208=1,IF(AF208="Value is not given at all",".",IF(AF208="Value is given by the source",S208,IF(AF208="Value is calculated with prices",(IF(SUMIFS(Q:Q,A:A,A208)&gt;0,SUMIFS(Q:Q,A:A,A208),"."))/VLOOKUP("USD",'Exchange rates'!B:C,2,0),"Error with coding"))),"")</f>
        <v>.</v>
      </c>
      <c r="U208" s="39" t="s">
        <v>233</v>
      </c>
      <c r="V208" s="376" t="s">
        <v>825</v>
      </c>
      <c r="W208" s="376" t="s">
        <v>826</v>
      </c>
      <c r="X208" s="376" t="s">
        <v>827</v>
      </c>
      <c r="Y208" s="377" t="s">
        <v>800</v>
      </c>
      <c r="Z208" s="39">
        <v>0</v>
      </c>
      <c r="AA208" s="518">
        <v>1</v>
      </c>
      <c r="AB208" s="395" t="s">
        <v>232</v>
      </c>
      <c r="AC208" s="519" t="str">
        <f>""</f>
        <v/>
      </c>
      <c r="AD208" s="522">
        <v>1</v>
      </c>
      <c r="AE208" s="522" t="s">
        <v>236</v>
      </c>
      <c r="AF208" s="522" t="s">
        <v>237</v>
      </c>
      <c r="AG208" s="522">
        <v>1</v>
      </c>
      <c r="AH208" s="522">
        <v>8</v>
      </c>
      <c r="AI208" s="522">
        <v>0</v>
      </c>
      <c r="AJ208" s="520">
        <f>VLOOKUP($I208,'Price List, Weapons &amp; Items'!A:E,5,0)</f>
        <v>1</v>
      </c>
      <c r="AK208" s="520">
        <f t="shared" ref="AK208" si="51">IF(AND(AJ208=1,M208="undisclosed")=TRUE,1,0)</f>
        <v>0</v>
      </c>
      <c r="AL208" s="520">
        <f t="shared" ref="AL208" si="52">IF(AND(AJ208=1,N208="undisclosed")=TRUE,1,0)</f>
        <v>0</v>
      </c>
      <c r="AM208" s="520">
        <f t="shared" ref="AM208" si="53">IFERROR(IF(SEARCH("ammuni",I208,1)&gt;0,1,0),0)</f>
        <v>0</v>
      </c>
      <c r="AN208" s="521" t="str">
        <f>VLOOKUP($I208,'Price List, Weapons &amp; Items'!A:K,COLUMN('Price List, Weapons &amp; Items'!$I$1),0)</f>
        <v>Government information</v>
      </c>
      <c r="AO208" s="521" t="str">
        <f>IF(I208=".",".",VLOOKUP($I208,'Price List, Weapons &amp; Items'!A:I,3,0))</f>
        <v>155mm howitzer</v>
      </c>
      <c r="AP208" s="517" t="str">
        <f t="shared" ca="1" si="43"/>
        <v>Zusana-2 howitzer</v>
      </c>
      <c r="AQ208" s="521">
        <f>VLOOKUP($I208,'Price List, Weapons &amp; Items'!A:K,COLUMN('Price List, Weapons &amp; Items'!$K$1),0)</f>
        <v>2</v>
      </c>
      <c r="AS208" s="521">
        <f t="shared" ref="AS208" si="54">IF(U208="Yes",1,0)</f>
        <v>1</v>
      </c>
      <c r="AT208" s="521">
        <f t="shared" ref="AT208" si="55">IF(OR((E208="Weapons"),(E208="Weapons and equipment"),(E208="Weapons and training"),(E208="Weapons and Assistance"),(E208="Military Equipment"))=FALSE,0,1)</f>
        <v>0</v>
      </c>
      <c r="AU208" s="521">
        <f t="shared" ref="AU208" si="56">IFERROR(IF(VALUE(TEXT(C208,"mm"))=AH208,".",1),"Value is not in date format")</f>
        <v>1</v>
      </c>
      <c r="AV208" s="521" t="str">
        <f t="shared" ref="AV208" si="57">IF(AND(A208=A207,C208=C207)=TRUE,IF(F208=F207,".","1"),".")</f>
        <v>.</v>
      </c>
    </row>
    <row r="209" spans="1:48" ht="15" customHeight="1">
      <c r="A209" s="18" t="s">
        <v>828</v>
      </c>
      <c r="B209" s="18" t="s">
        <v>767</v>
      </c>
      <c r="C209" s="511" t="s">
        <v>829</v>
      </c>
      <c r="D209" s="18" t="s">
        <v>252</v>
      </c>
      <c r="E209" s="18" t="s">
        <v>822</v>
      </c>
      <c r="F209" s="512" t="s">
        <v>830</v>
      </c>
      <c r="G209" s="39" t="s">
        <v>770</v>
      </c>
      <c r="H209" s="513">
        <v>974000000</v>
      </c>
      <c r="I209" s="41" t="s">
        <v>232</v>
      </c>
      <c r="J209" s="276" t="str">
        <f>VLOOKUP($I209,'Price List, Weapons &amp; Items'!A:B,2,0)</f>
        <v>.</v>
      </c>
      <c r="K209" s="276" t="str">
        <f>IF(I209=".",I209,VLOOKUP($I209,'Price List, Weapons &amp; Items'!A:C,3,0))</f>
        <v>.</v>
      </c>
      <c r="L209" s="514">
        <f>VLOOKUP(I209,'Price List, Weapons &amp; Items'!A:D,4,0)</f>
        <v>0</v>
      </c>
      <c r="M209" s="515" t="s">
        <v>232</v>
      </c>
      <c r="N209" s="515" t="s">
        <v>232</v>
      </c>
      <c r="O209" s="516" t="str">
        <f>VLOOKUP($I209,'Price List, Weapons &amp; Items'!A:F,6,0)</f>
        <v>.</v>
      </c>
      <c r="P209" s="513" t="str">
        <f t="shared" si="40"/>
        <v>.</v>
      </c>
      <c r="Q209" s="513" t="str">
        <f t="shared" si="41"/>
        <v>.</v>
      </c>
      <c r="R209" s="513">
        <f t="shared" si="42"/>
        <v>974000000</v>
      </c>
      <c r="S209" s="513">
        <f>IF(AND(AD209=1,R209&lt;&gt;".")=TRUE,R209/VLOOKUP(G209,'Exchange rates'!B:C,2,0),IF(R209=".",".",""))</f>
        <v>130919257.49694207</v>
      </c>
      <c r="T209" s="513" t="str">
        <f>IF(AD209=1,IF(AF209="Value is not given at all",".",IF(AF209="Value is given by the source",S209,IF(AF209="Value is calculated with prices",(IF(SUMIFS(Q:Q,A:A,A209)&gt;0,SUMIFS(Q:Q,A:A,A209),"."))/VLOOKUP("USD",'Exchange rates'!B:C,2,0),"Error with coding"))),"")</f>
        <v>.</v>
      </c>
      <c r="U209" s="39" t="s">
        <v>233</v>
      </c>
      <c r="V209" s="827" t="s">
        <v>779</v>
      </c>
      <c r="W209" s="42" t="s">
        <v>232</v>
      </c>
      <c r="X209" s="42" t="s">
        <v>232</v>
      </c>
      <c r="Y209" s="825" t="s">
        <v>232</v>
      </c>
      <c r="Z209" s="39">
        <v>0</v>
      </c>
      <c r="AA209" s="518">
        <v>1</v>
      </c>
      <c r="AB209" s="395" t="s">
        <v>232</v>
      </c>
      <c r="AC209" s="519" t="str">
        <f>""</f>
        <v/>
      </c>
      <c r="AD209" s="522">
        <v>1</v>
      </c>
      <c r="AE209" s="522" t="s">
        <v>236</v>
      </c>
      <c r="AF209" s="522" t="s">
        <v>237</v>
      </c>
      <c r="AG209" s="522">
        <v>1</v>
      </c>
      <c r="AH209" s="522">
        <v>10</v>
      </c>
      <c r="AI209" s="522">
        <v>0</v>
      </c>
      <c r="AJ209" s="520">
        <f>VLOOKUP($I209,'Price List, Weapons &amp; Items'!A:E,5,0)</f>
        <v>0</v>
      </c>
      <c r="AK209" s="520">
        <f t="shared" si="44"/>
        <v>0</v>
      </c>
      <c r="AL209" s="520">
        <f t="shared" si="45"/>
        <v>0</v>
      </c>
      <c r="AM209" s="520">
        <f t="shared" si="46"/>
        <v>0</v>
      </c>
      <c r="AN209" s="521" t="str">
        <f>VLOOKUP($I209,'Price List, Weapons &amp; Items'!A:K,COLUMN('Price List, Weapons &amp; Items'!$I$1),0)</f>
        <v>.</v>
      </c>
      <c r="AO209" s="521" t="str">
        <f>IF(I209=".",".",VLOOKUP($I209,'Price List, Weapons &amp; Items'!A:I,3,0))</f>
        <v>.</v>
      </c>
      <c r="AP209" s="517" t="str">
        <f t="shared" ca="1" si="43"/>
        <v>.</v>
      </c>
      <c r="AQ209" s="521" t="str">
        <f>VLOOKUP($I209,'Price List, Weapons &amp; Items'!A:K,COLUMN('Price List, Weapons &amp; Items'!$K$1),0)</f>
        <v>no price, 0 count</v>
      </c>
      <c r="AS209" s="521">
        <f t="shared" si="47"/>
        <v>1</v>
      </c>
      <c r="AT209" s="521">
        <f t="shared" si="48"/>
        <v>0</v>
      </c>
      <c r="AU209" s="521" t="str">
        <f t="shared" si="49"/>
        <v>Value is not in date format</v>
      </c>
      <c r="AV209" s="521" t="str">
        <f>IF(AND(A209=A208,C209=C208)=TRUE,IF(F209=F208,".","1"),".")</f>
        <v>.</v>
      </c>
    </row>
    <row r="210" spans="1:48" ht="15" customHeight="1">
      <c r="A210" s="41" t="s">
        <v>831</v>
      </c>
      <c r="B210" s="41" t="s">
        <v>767</v>
      </c>
      <c r="C210" s="511">
        <v>44627</v>
      </c>
      <c r="D210" s="18" t="s">
        <v>366</v>
      </c>
      <c r="E210" s="18" t="s">
        <v>330</v>
      </c>
      <c r="F210" s="512" t="s">
        <v>832</v>
      </c>
      <c r="G210" s="39" t="s">
        <v>332</v>
      </c>
      <c r="H210" s="513">
        <v>20000000</v>
      </c>
      <c r="I210" s="41" t="s">
        <v>232</v>
      </c>
      <c r="J210" s="276" t="str">
        <f>VLOOKUP($I210,'Price List, Weapons &amp; Items'!A:B,2,0)</f>
        <v>.</v>
      </c>
      <c r="K210" s="276" t="str">
        <f>IF(I210=".",I210,VLOOKUP($I210,'Price List, Weapons &amp; Items'!A:C,3,0))</f>
        <v>.</v>
      </c>
      <c r="L210" s="514">
        <f>VLOOKUP(I210,'Price List, Weapons &amp; Items'!A:D,4,0)</f>
        <v>0</v>
      </c>
      <c r="M210" s="515" t="s">
        <v>232</v>
      </c>
      <c r="N210" s="515" t="s">
        <v>232</v>
      </c>
      <c r="O210" s="516" t="str">
        <f>VLOOKUP($I210,'Price List, Weapons &amp; Items'!A:F,6,0)</f>
        <v>.</v>
      </c>
      <c r="P210" s="513" t="str">
        <f t="shared" si="40"/>
        <v>.</v>
      </c>
      <c r="Q210" s="513" t="str">
        <f t="shared" si="41"/>
        <v>.</v>
      </c>
      <c r="R210" s="513">
        <f t="shared" si="42"/>
        <v>20000000</v>
      </c>
      <c r="S210" s="513">
        <f>IF(AND(AD210=1,R210&lt;&gt;".")=TRUE,R210/VLOOKUP(G210,'Exchange rates'!B:C,2,0),IF(R210=".",".",""))</f>
        <v>20000000</v>
      </c>
      <c r="T210" s="513" t="str">
        <f>IF(AD210=1,IF(AF210="Value is not given at all",".",IF(AF210="Value is given by the source",S210,IF(AF210="Value is calculated with prices",(IF(SUMIFS(Q:Q,A:A,A210)&gt;0,SUMIFS(Q:Q,A:A,A210),"."))/VLOOKUP("USD",'Exchange rates'!B:C,2,0),"Error with coding"))),"")</f>
        <v>.</v>
      </c>
      <c r="U210" s="39" t="s">
        <v>233</v>
      </c>
      <c r="V210" s="42" t="s">
        <v>833</v>
      </c>
      <c r="W210" s="42" t="s">
        <v>834</v>
      </c>
      <c r="X210" s="512" t="s">
        <v>232</v>
      </c>
      <c r="Y210" s="512" t="s">
        <v>232</v>
      </c>
      <c r="Z210" s="39">
        <v>1</v>
      </c>
      <c r="AA210" s="518">
        <v>0</v>
      </c>
      <c r="AB210" s="38" t="s">
        <v>232</v>
      </c>
      <c r="AC210" s="519" t="str">
        <f>""</f>
        <v/>
      </c>
      <c r="AD210" s="520">
        <v>1</v>
      </c>
      <c r="AE210" s="520" t="s">
        <v>236</v>
      </c>
      <c r="AF210" s="520" t="s">
        <v>237</v>
      </c>
      <c r="AG210" s="520">
        <v>1</v>
      </c>
      <c r="AH210" s="520">
        <v>3</v>
      </c>
      <c r="AI210" s="520">
        <v>0</v>
      </c>
      <c r="AJ210" s="520">
        <f>VLOOKUP($I210,'Price List, Weapons &amp; Items'!A:E,5,0)</f>
        <v>0</v>
      </c>
      <c r="AK210" s="520">
        <f t="shared" si="44"/>
        <v>0</v>
      </c>
      <c r="AL210" s="520">
        <f t="shared" si="45"/>
        <v>0</v>
      </c>
      <c r="AM210" s="520">
        <f t="shared" si="46"/>
        <v>0</v>
      </c>
      <c r="AN210" s="521" t="str">
        <f>VLOOKUP($I210,'Price List, Weapons &amp; Items'!A:K,COLUMN('Price List, Weapons &amp; Items'!$I$1),0)</f>
        <v>.</v>
      </c>
      <c r="AO210" s="521" t="str">
        <f>IF(I210=".",".",VLOOKUP($I210,'Price List, Weapons &amp; Items'!A:I,3,0))</f>
        <v>.</v>
      </c>
      <c r="AP210" s="517" t="str">
        <f t="shared" ca="1" si="43"/>
        <v>.</v>
      </c>
      <c r="AQ210" s="521" t="str">
        <f>VLOOKUP($I210,'Price List, Weapons &amp; Items'!A:K,COLUMN('Price List, Weapons &amp; Items'!$K$1),0)</f>
        <v>no price, 0 count</v>
      </c>
      <c r="AS210" s="521">
        <f t="shared" si="47"/>
        <v>1</v>
      </c>
      <c r="AT210" s="521">
        <f t="shared" si="48"/>
        <v>0</v>
      </c>
      <c r="AU210" s="521">
        <f t="shared" si="49"/>
        <v>1</v>
      </c>
      <c r="AV210" s="521" t="str">
        <f t="shared" si="50"/>
        <v>.</v>
      </c>
    </row>
    <row r="211" spans="1:48" ht="15" customHeight="1">
      <c r="A211" s="41" t="s">
        <v>835</v>
      </c>
      <c r="B211" s="41" t="s">
        <v>767</v>
      </c>
      <c r="C211" s="511">
        <v>44834</v>
      </c>
      <c r="D211" s="18" t="s">
        <v>366</v>
      </c>
      <c r="E211" s="18" t="s">
        <v>330</v>
      </c>
      <c r="F211" s="512" t="s">
        <v>836</v>
      </c>
      <c r="G211" s="39" t="s">
        <v>332</v>
      </c>
      <c r="H211" s="513">
        <v>37500000</v>
      </c>
      <c r="I211" s="41" t="s">
        <v>232</v>
      </c>
      <c r="J211" s="276" t="str">
        <f>VLOOKUP($I211,'Price List, Weapons &amp; Items'!A:B,2,0)</f>
        <v>.</v>
      </c>
      <c r="K211" s="276" t="str">
        <f>IF(I211=".",I211,VLOOKUP($I211,'Price List, Weapons &amp; Items'!A:C,3,0))</f>
        <v>.</v>
      </c>
      <c r="L211" s="514">
        <f>VLOOKUP(I211,'Price List, Weapons &amp; Items'!A:D,4,0)</f>
        <v>0</v>
      </c>
      <c r="M211" s="515" t="s">
        <v>232</v>
      </c>
      <c r="N211" s="515" t="s">
        <v>232</v>
      </c>
      <c r="O211" s="516" t="str">
        <f>VLOOKUP($I211,'Price List, Weapons &amp; Items'!A:F,6,0)</f>
        <v>.</v>
      </c>
      <c r="P211" s="513" t="str">
        <f t="shared" si="40"/>
        <v>.</v>
      </c>
      <c r="Q211" s="513" t="str">
        <f t="shared" si="41"/>
        <v>.</v>
      </c>
      <c r="R211" s="513">
        <f t="shared" si="42"/>
        <v>37500000</v>
      </c>
      <c r="S211" s="513">
        <f>IF(AND(AD211=1,R211&lt;&gt;".")=TRUE,R211/VLOOKUP(G211,'Exchange rates'!B:C,2,0),IF(R211=".",".",""))</f>
        <v>37500000</v>
      </c>
      <c r="T211" s="513" t="str">
        <f>IF(AD211=1,IF(AF211="Value is not given at all",".",IF(AF211="Value is given by the source",S211,IF(AF211="Value is calculated with prices",(IF(SUMIFS(Q:Q,A:A,A211)&gt;0,SUMIFS(Q:Q,A:A,A211),"."))/VLOOKUP("USD",'Exchange rates'!B:C,2,0),"Error with coding"))),"")</f>
        <v>.</v>
      </c>
      <c r="U211" s="39" t="s">
        <v>233</v>
      </c>
      <c r="V211" s="42" t="s">
        <v>779</v>
      </c>
      <c r="W211" s="42" t="s">
        <v>837</v>
      </c>
      <c r="X211" s="827" t="s">
        <v>838</v>
      </c>
      <c r="Y211" s="827" t="s">
        <v>779</v>
      </c>
      <c r="Z211" s="39">
        <v>1</v>
      </c>
      <c r="AA211" s="518">
        <v>1</v>
      </c>
      <c r="AB211" s="38" t="s">
        <v>232</v>
      </c>
      <c r="AC211" s="519" t="str">
        <f>""</f>
        <v/>
      </c>
      <c r="AD211" s="520">
        <v>1</v>
      </c>
      <c r="AE211" s="520" t="s">
        <v>236</v>
      </c>
      <c r="AF211" s="520" t="s">
        <v>237</v>
      </c>
      <c r="AG211" s="520">
        <v>1</v>
      </c>
      <c r="AH211" s="520">
        <v>9</v>
      </c>
      <c r="AI211" s="520">
        <v>0</v>
      </c>
      <c r="AJ211" s="520">
        <f>VLOOKUP($I211,'Price List, Weapons &amp; Items'!A:E,5,0)</f>
        <v>0</v>
      </c>
      <c r="AK211" s="520">
        <f t="shared" si="44"/>
        <v>0</v>
      </c>
      <c r="AL211" s="520">
        <f t="shared" si="45"/>
        <v>0</v>
      </c>
      <c r="AM211" s="520">
        <f t="shared" si="46"/>
        <v>0</v>
      </c>
      <c r="AN211" s="521" t="str">
        <f>VLOOKUP($I211,'Price List, Weapons &amp; Items'!A:K,COLUMN('Price List, Weapons &amp; Items'!$I$1),0)</f>
        <v>.</v>
      </c>
      <c r="AO211" s="521" t="str">
        <f>IF(I211=".",".",VLOOKUP($I211,'Price List, Weapons &amp; Items'!A:I,3,0))</f>
        <v>.</v>
      </c>
      <c r="AP211" s="517" t="str">
        <f t="shared" ca="1" si="43"/>
        <v>.</v>
      </c>
      <c r="AQ211" s="521" t="str">
        <f>VLOOKUP($I211,'Price List, Weapons &amp; Items'!A:K,COLUMN('Price List, Weapons &amp; Items'!$K$1),0)</f>
        <v>no price, 0 count</v>
      </c>
      <c r="AS211" s="521">
        <f t="shared" si="47"/>
        <v>1</v>
      </c>
      <c r="AT211" s="521">
        <f t="shared" si="48"/>
        <v>0</v>
      </c>
      <c r="AU211" s="521">
        <f t="shared" si="49"/>
        <v>1</v>
      </c>
      <c r="AV211" s="521" t="str">
        <f t="shared" si="50"/>
        <v>.</v>
      </c>
    </row>
    <row r="212" spans="1:48" ht="15" customHeight="1">
      <c r="A212" s="18" t="s">
        <v>839</v>
      </c>
      <c r="B212" s="18" t="s">
        <v>840</v>
      </c>
      <c r="C212" s="511" t="s">
        <v>841</v>
      </c>
      <c r="D212" s="18" t="s">
        <v>252</v>
      </c>
      <c r="E212" s="18" t="s">
        <v>253</v>
      </c>
      <c r="F212" s="512" t="s">
        <v>842</v>
      </c>
      <c r="G212" s="39" t="s">
        <v>332</v>
      </c>
      <c r="H212" s="513">
        <v>240000000</v>
      </c>
      <c r="I212" s="41" t="s">
        <v>843</v>
      </c>
      <c r="J212" s="276" t="str">
        <f>VLOOKUP($I212,'Price List, Weapons &amp; Items'!A:B,2,0)</f>
        <v>Military equipment</v>
      </c>
      <c r="K212" s="276" t="str">
        <f>IF(I212=".",I212,VLOOKUP($I212,'Price List, Weapons &amp; Items'!A:C,3,0))</f>
        <v>.</v>
      </c>
      <c r="L212" s="514">
        <f>VLOOKUP(I212,'Price List, Weapons &amp; Items'!A:D,4,0)</f>
        <v>0</v>
      </c>
      <c r="M212" s="515">
        <v>25000</v>
      </c>
      <c r="N212" s="515">
        <f t="shared" ref="N212:N230" si="58">M212</f>
        <v>25000</v>
      </c>
      <c r="O212" s="516">
        <f>VLOOKUP($I212,'Price List, Weapons &amp; Items'!A:F,6,0)</f>
        <v>22</v>
      </c>
      <c r="P212" s="513">
        <f t="shared" si="40"/>
        <v>550000</v>
      </c>
      <c r="Q212" s="513">
        <f t="shared" si="41"/>
        <v>550000</v>
      </c>
      <c r="R212" s="513">
        <f t="shared" si="42"/>
        <v>240000000</v>
      </c>
      <c r="S212" s="513">
        <f>IF(AND(AD212=1,R212&lt;&gt;".")=TRUE,R212/VLOOKUP(G212,'Exchange rates'!B:C,2,0),IF(R212=".",".",""))</f>
        <v>240000000</v>
      </c>
      <c r="T212" s="513">
        <f>IF(AD212=1,IF(AF212="Value is not given at all",".",IF(AF212="Value is given by the source",S212,IF(AF212="Value is calculated with prices",(IF(SUMIFS(Q:Q,A:A,A212)&gt;0,SUMIFS(Q:Q,A:A,A212),"."))/VLOOKUP("USD",'Exchange rates'!B:C,2,0),"Error with coding"))),"")</f>
        <v>240000000</v>
      </c>
      <c r="U212" s="39" t="s">
        <v>233</v>
      </c>
      <c r="V212" s="376" t="s">
        <v>844</v>
      </c>
      <c r="W212" s="376" t="s">
        <v>845</v>
      </c>
      <c r="X212" s="376" t="s">
        <v>846</v>
      </c>
      <c r="Y212" s="376" t="s">
        <v>847</v>
      </c>
      <c r="Z212" s="39">
        <v>0</v>
      </c>
      <c r="AA212" s="518">
        <v>0</v>
      </c>
      <c r="AB212" s="395" t="s">
        <v>848</v>
      </c>
      <c r="AC212" s="519" t="str">
        <f>""</f>
        <v/>
      </c>
      <c r="AD212" s="520">
        <v>1</v>
      </c>
      <c r="AE212" s="520" t="s">
        <v>236</v>
      </c>
      <c r="AF212" s="520" t="s">
        <v>236</v>
      </c>
      <c r="AG212" s="520">
        <v>1</v>
      </c>
      <c r="AH212" s="520">
        <v>5</v>
      </c>
      <c r="AI212" s="520">
        <v>0</v>
      </c>
      <c r="AJ212" s="520">
        <f>VLOOKUP($I212,'Price List, Weapons &amp; Items'!A:E,5,0)</f>
        <v>0</v>
      </c>
      <c r="AK212" s="520">
        <f t="shared" si="44"/>
        <v>0</v>
      </c>
      <c r="AL212" s="520">
        <f t="shared" si="45"/>
        <v>0</v>
      </c>
      <c r="AM212" s="520">
        <f t="shared" si="46"/>
        <v>0</v>
      </c>
      <c r="AN212" s="521" t="str">
        <f>VLOOKUP($I212,'Price List, Weapons &amp; Items'!A:K,COLUMN('Price List, Weapons &amp; Items'!$I$1),0)</f>
        <v>Online marketplaces and stores</v>
      </c>
      <c r="AO212" s="521" t="str">
        <f>IF(I212=".",".",VLOOKUP($I212,'Price List, Weapons &amp; Items'!A:I,3,0))</f>
        <v>.</v>
      </c>
      <c r="AP212" s="517" t="str">
        <f t="shared" ca="1" si="43"/>
        <v>food ration M; Javelin anti-tank missile; D-30 Howitzer; minesweeper; hand grenade; single-use anti-tank granade launcher; mine; recoiless anti-tank gun; automatic fire arm; small-calibre ammunition; fuse; helmet; lifejacket; ballistic vest; radio transmitter; drone; night vision device; thermal imagery system; laser rangefinder; Mamba 4x4 armoured vehicle</v>
      </c>
      <c r="AQ212" s="521">
        <f>VLOOKUP($I212,'Price List, Weapons &amp; Items'!A:K,COLUMN('Price List, Weapons &amp; Items'!$K$1),0)</f>
        <v>2</v>
      </c>
      <c r="AS212" s="521">
        <f t="shared" si="47"/>
        <v>1</v>
      </c>
      <c r="AT212" s="521">
        <f t="shared" si="48"/>
        <v>1</v>
      </c>
      <c r="AU212" s="521" t="str">
        <f t="shared" si="49"/>
        <v>Value is not in date format</v>
      </c>
      <c r="AV212" s="521" t="str">
        <f t="shared" si="50"/>
        <v>.</v>
      </c>
    </row>
    <row r="213" spans="1:48" ht="15" customHeight="1">
      <c r="A213" s="18" t="s">
        <v>839</v>
      </c>
      <c r="B213" s="18" t="s">
        <v>840</v>
      </c>
      <c r="C213" s="511" t="s">
        <v>841</v>
      </c>
      <c r="D213" s="18" t="s">
        <v>252</v>
      </c>
      <c r="E213" s="18" t="s">
        <v>253</v>
      </c>
      <c r="F213" s="512" t="s">
        <v>842</v>
      </c>
      <c r="G213" s="39" t="s">
        <v>332</v>
      </c>
      <c r="H213" s="513">
        <v>240000000</v>
      </c>
      <c r="I213" s="41" t="s">
        <v>849</v>
      </c>
      <c r="J213" s="276" t="str">
        <f>VLOOKUP($I213,'Price List, Weapons &amp; Items'!A:B,2,0)</f>
        <v>Ammunition for portable defence system</v>
      </c>
      <c r="K213" s="276" t="str">
        <f>IF(I213=".",I213,VLOOKUP($I213,'Price List, Weapons &amp; Items'!A:C,3,0))</f>
        <v>Light Anti-armor Weapon (LAW) ammunition</v>
      </c>
      <c r="L213" s="514">
        <f>VLOOKUP(I213,'Price List, Weapons &amp; Items'!A:D,4,0)</f>
        <v>0</v>
      </c>
      <c r="M213" s="515" t="s">
        <v>264</v>
      </c>
      <c r="N213" s="515" t="str">
        <f t="shared" si="58"/>
        <v>undisclosed</v>
      </c>
      <c r="O213" s="516">
        <f>VLOOKUP($I213,'Price List, Weapons &amp; Items'!A:F,6,0)</f>
        <v>78000</v>
      </c>
      <c r="P213" s="513" t="str">
        <f t="shared" si="40"/>
        <v>.</v>
      </c>
      <c r="Q213" s="513" t="str">
        <f t="shared" si="41"/>
        <v>.</v>
      </c>
      <c r="R213" s="513" t="str">
        <f t="shared" si="42"/>
        <v/>
      </c>
      <c r="S213" s="513" t="str">
        <f>IF(AND(AD213=1,R213&lt;&gt;".")=TRUE,R213/VLOOKUP(G213,'Exchange rates'!B:C,2,0),IF(R213=".",".",""))</f>
        <v/>
      </c>
      <c r="T213" s="513" t="str">
        <f>IF(AD213=1,IF(AF213="Value is not given at all",".",IF(AF213="Value is given by the source",S213,IF(AF213="Value is calculated with prices",(IF(SUMIFS(Q:Q,A:A,A213)&gt;0,SUMIFS(Q:Q,A:A,A213),"."))/VLOOKUP("USD",'Exchange rates'!B:C,2,0),"Error with coding"))),"")</f>
        <v/>
      </c>
      <c r="U213" s="39" t="s">
        <v>233</v>
      </c>
      <c r="V213" s="376" t="s">
        <v>844</v>
      </c>
      <c r="W213" s="376" t="s">
        <v>845</v>
      </c>
      <c r="X213" s="376" t="s">
        <v>846</v>
      </c>
      <c r="Y213" s="376" t="s">
        <v>847</v>
      </c>
      <c r="Z213" s="39">
        <v>0</v>
      </c>
      <c r="AA213" s="518">
        <v>0</v>
      </c>
      <c r="AB213" s="395" t="s">
        <v>848</v>
      </c>
      <c r="AC213" s="519" t="str">
        <f>""</f>
        <v/>
      </c>
      <c r="AD213" s="520">
        <v>0</v>
      </c>
      <c r="AE213" s="520" t="s">
        <v>236</v>
      </c>
      <c r="AF213" s="520" t="s">
        <v>236</v>
      </c>
      <c r="AG213" s="520">
        <v>1</v>
      </c>
      <c r="AH213" s="520">
        <v>5</v>
      </c>
      <c r="AI213" s="520">
        <v>0</v>
      </c>
      <c r="AJ213" s="520">
        <f>VLOOKUP($I213,'Price List, Weapons &amp; Items'!A:E,5,0)</f>
        <v>0</v>
      </c>
      <c r="AK213" s="520">
        <f t="shared" si="44"/>
        <v>0</v>
      </c>
      <c r="AL213" s="520">
        <f t="shared" si="45"/>
        <v>0</v>
      </c>
      <c r="AM213" s="520">
        <f t="shared" si="46"/>
        <v>0</v>
      </c>
      <c r="AN213" s="521" t="str">
        <f>VLOOKUP($I213,'Price List, Weapons &amp; Items'!A:K,COLUMN('Price List, Weapons &amp; Items'!$I$1),0)</f>
        <v>Military media (incl. websites)</v>
      </c>
      <c r="AO213" s="521" t="str">
        <f>IF(I213=".",".",VLOOKUP($I213,'Price List, Weapons &amp; Items'!A:I,3,0))</f>
        <v>Light Anti-armor Weapon (LAW) ammunition</v>
      </c>
      <c r="AP213" s="517" t="str">
        <f t="shared" ca="1" si="43"/>
        <v/>
      </c>
      <c r="AQ213" s="521">
        <f>VLOOKUP($I213,'Price List, Weapons &amp; Items'!A:K,COLUMN('Price List, Weapons &amp; Items'!$K$1),0)</f>
        <v>2</v>
      </c>
      <c r="AS213" s="521">
        <f t="shared" si="47"/>
        <v>1</v>
      </c>
      <c r="AT213" s="521">
        <f t="shared" si="48"/>
        <v>1</v>
      </c>
      <c r="AU213" s="521" t="str">
        <f t="shared" si="49"/>
        <v>Value is not in date format</v>
      </c>
      <c r="AV213" s="521" t="str">
        <f t="shared" si="50"/>
        <v>.</v>
      </c>
    </row>
    <row r="214" spans="1:48" ht="15" customHeight="1">
      <c r="A214" s="18" t="s">
        <v>839</v>
      </c>
      <c r="B214" s="18" t="s">
        <v>840</v>
      </c>
      <c r="C214" s="511" t="s">
        <v>841</v>
      </c>
      <c r="D214" s="18" t="s">
        <v>252</v>
      </c>
      <c r="E214" s="18" t="s">
        <v>253</v>
      </c>
      <c r="F214" s="512" t="s">
        <v>842</v>
      </c>
      <c r="G214" s="39" t="s">
        <v>332</v>
      </c>
      <c r="H214" s="513">
        <v>240000000</v>
      </c>
      <c r="I214" s="41" t="s">
        <v>850</v>
      </c>
      <c r="J214" s="276" t="str">
        <f>VLOOKUP($I214,'Price List, Weapons &amp; Items'!A:B,2,0)</f>
        <v>Heavy weapon</v>
      </c>
      <c r="K214" s="276" t="str">
        <f>IF(I214=".",I214,VLOOKUP($I214,'Price List, Weapons &amp; Items'!A:C,3,0))</f>
        <v>122mm howitzer</v>
      </c>
      <c r="L214" s="514">
        <f>VLOOKUP(I214,'Price List, Weapons &amp; Items'!A:D,4,0)</f>
        <v>1</v>
      </c>
      <c r="M214" s="515" t="s">
        <v>264</v>
      </c>
      <c r="N214" s="515" t="str">
        <f t="shared" si="58"/>
        <v>undisclosed</v>
      </c>
      <c r="O214" s="516">
        <f>VLOOKUP($I214,'Price List, Weapons &amp; Items'!A:F,6,0)</f>
        <v>80503.62</v>
      </c>
      <c r="P214" s="513" t="str">
        <f t="shared" ref="P214:P284" si="59">IF(TYPE(M214)=1,IF(TYPE(O214)=1,M214*O214,"No price"),".")</f>
        <v>.</v>
      </c>
      <c r="Q214" s="513" t="str">
        <f t="shared" ref="Q214:Q284" si="60">IF(TYPE(N214)=1,IF(TYPE(O214)=1,N214*O214,"No price"),".")</f>
        <v>.</v>
      </c>
      <c r="R214" s="513" t="str">
        <f t="shared" si="42"/>
        <v/>
      </c>
      <c r="S214" s="513" t="str">
        <f>IF(AND(AD214=1,R214&lt;&gt;".")=TRUE,R214/VLOOKUP(G214,'Exchange rates'!B:C,2,0),IF(R214=".",".",""))</f>
        <v/>
      </c>
      <c r="T214" s="513" t="str">
        <f>IF(AD214=1,IF(AF214="Value is not given at all",".",IF(AF214="Value is given by the source",S214,IF(AF214="Value is calculated with prices",(IF(SUMIFS(Q:Q,A:A,A214)&gt;0,SUMIFS(Q:Q,A:A,A214),"."))/VLOOKUP("USD",'Exchange rates'!B:C,2,0),"Error with coding"))),"")</f>
        <v/>
      </c>
      <c r="U214" s="39" t="s">
        <v>233</v>
      </c>
      <c r="V214" s="376" t="s">
        <v>844</v>
      </c>
      <c r="W214" s="376" t="s">
        <v>845</v>
      </c>
      <c r="X214" s="376" t="s">
        <v>846</v>
      </c>
      <c r="Y214" s="376" t="s">
        <v>847</v>
      </c>
      <c r="Z214" s="39">
        <v>0</v>
      </c>
      <c r="AA214" s="518">
        <v>0</v>
      </c>
      <c r="AB214" s="395" t="s">
        <v>848</v>
      </c>
      <c r="AC214" s="519" t="str">
        <f>""</f>
        <v/>
      </c>
      <c r="AD214" s="520">
        <v>0</v>
      </c>
      <c r="AE214" s="520" t="s">
        <v>236</v>
      </c>
      <c r="AF214" s="520" t="s">
        <v>236</v>
      </c>
      <c r="AG214" s="520">
        <v>1</v>
      </c>
      <c r="AH214" s="520">
        <v>5</v>
      </c>
      <c r="AI214" s="520">
        <v>0</v>
      </c>
      <c r="AJ214" s="520">
        <f>VLOOKUP($I214,'Price List, Weapons &amp; Items'!A:E,5,0)</f>
        <v>0</v>
      </c>
      <c r="AK214" s="520">
        <f t="shared" si="44"/>
        <v>0</v>
      </c>
      <c r="AL214" s="520">
        <f t="shared" si="45"/>
        <v>0</v>
      </c>
      <c r="AM214" s="520">
        <f t="shared" si="46"/>
        <v>0</v>
      </c>
      <c r="AN214" s="521" t="str">
        <f>VLOOKUP($I214,'Price List, Weapons &amp; Items'!A:K,COLUMN('Price List, Weapons &amp; Items'!$I$1),0)</f>
        <v>Contracts</v>
      </c>
      <c r="AO214" s="521" t="str">
        <f>IF(I214=".",".",VLOOKUP($I214,'Price List, Weapons &amp; Items'!A:I,3,0))</f>
        <v>122mm howitzer</v>
      </c>
      <c r="AP214" s="517" t="str">
        <f t="shared" ca="1" si="43"/>
        <v/>
      </c>
      <c r="AQ214" s="521" t="str">
        <f>VLOOKUP($I214,'Price List, Weapons &amp; Items'!A:K,COLUMN('Price List, Weapons &amp; Items'!$K$1),0)</f>
        <v>no price, 0 count</v>
      </c>
      <c r="AS214" s="521">
        <f t="shared" si="47"/>
        <v>1</v>
      </c>
      <c r="AT214" s="521">
        <f t="shared" si="48"/>
        <v>1</v>
      </c>
      <c r="AU214" s="521" t="str">
        <f t="shared" si="49"/>
        <v>Value is not in date format</v>
      </c>
      <c r="AV214" s="521" t="str">
        <f t="shared" si="50"/>
        <v>.</v>
      </c>
    </row>
    <row r="215" spans="1:48" ht="15" customHeight="1">
      <c r="A215" s="18" t="s">
        <v>839</v>
      </c>
      <c r="B215" s="18" t="s">
        <v>840</v>
      </c>
      <c r="C215" s="511" t="s">
        <v>841</v>
      </c>
      <c r="D215" s="18" t="s">
        <v>252</v>
      </c>
      <c r="E215" s="18" t="s">
        <v>253</v>
      </c>
      <c r="F215" s="512" t="s">
        <v>842</v>
      </c>
      <c r="G215" s="39" t="s">
        <v>332</v>
      </c>
      <c r="H215" s="513">
        <v>240000000</v>
      </c>
      <c r="I215" s="41" t="s">
        <v>851</v>
      </c>
      <c r="J215" s="276" t="str">
        <f>VLOOKUP($I215,'Price List, Weapons &amp; Items'!A:B,2,0)</f>
        <v>Military equipment</v>
      </c>
      <c r="K215" s="276" t="str">
        <f>IF(I215=".",I215,VLOOKUP($I215,'Price List, Weapons &amp; Items'!A:C,3,0))</f>
        <v>Mine Vessels</v>
      </c>
      <c r="L215" s="514">
        <f>VLOOKUP(I215,'Price List, Weapons &amp; Items'!A:D,4,0)</f>
        <v>0</v>
      </c>
      <c r="M215" s="515" t="s">
        <v>264</v>
      </c>
      <c r="N215" s="515" t="str">
        <f t="shared" si="58"/>
        <v>undisclosed</v>
      </c>
      <c r="O215" s="516">
        <f>VLOOKUP($I215,'Price List, Weapons &amp; Items'!A:F,6,0)</f>
        <v>86940000</v>
      </c>
      <c r="P215" s="513" t="str">
        <f t="shared" si="59"/>
        <v>.</v>
      </c>
      <c r="Q215" s="513" t="str">
        <f t="shared" si="60"/>
        <v>.</v>
      </c>
      <c r="R215" s="513" t="str">
        <f t="shared" si="42"/>
        <v/>
      </c>
      <c r="S215" s="513" t="str">
        <f>IF(AND(AD215=1,R215&lt;&gt;".")=TRUE,R215/VLOOKUP(G215,'Exchange rates'!B:C,2,0),IF(R215=".",".",""))</f>
        <v/>
      </c>
      <c r="T215" s="513" t="str">
        <f>IF(AD215=1,IF(AF215="Value is not given at all",".",IF(AF215="Value is given by the source",S215,IF(AF215="Value is calculated with prices",(IF(SUMIFS(Q:Q,A:A,A215)&gt;0,SUMIFS(Q:Q,A:A,A215),"."))/VLOOKUP("USD",'Exchange rates'!B:C,2,0),"Error with coding"))),"")</f>
        <v/>
      </c>
      <c r="U215" s="39" t="s">
        <v>233</v>
      </c>
      <c r="V215" s="376" t="s">
        <v>844</v>
      </c>
      <c r="W215" s="376" t="s">
        <v>845</v>
      </c>
      <c r="X215" s="376" t="s">
        <v>846</v>
      </c>
      <c r="Y215" s="376" t="s">
        <v>847</v>
      </c>
      <c r="Z215" s="39">
        <v>0</v>
      </c>
      <c r="AA215" s="518">
        <v>0</v>
      </c>
      <c r="AB215" s="395" t="s">
        <v>848</v>
      </c>
      <c r="AC215" s="519" t="str">
        <f>""</f>
        <v/>
      </c>
      <c r="AD215" s="520">
        <v>0</v>
      </c>
      <c r="AE215" s="520" t="s">
        <v>236</v>
      </c>
      <c r="AF215" s="520" t="s">
        <v>236</v>
      </c>
      <c r="AG215" s="520">
        <v>1</v>
      </c>
      <c r="AH215" s="520">
        <v>5</v>
      </c>
      <c r="AI215" s="520">
        <v>0</v>
      </c>
      <c r="AJ215" s="520">
        <f>VLOOKUP($I215,'Price List, Weapons &amp; Items'!A:E,5,0)</f>
        <v>0</v>
      </c>
      <c r="AK215" s="520">
        <f t="shared" si="44"/>
        <v>0</v>
      </c>
      <c r="AL215" s="520">
        <f t="shared" si="45"/>
        <v>0</v>
      </c>
      <c r="AM215" s="520">
        <f t="shared" si="46"/>
        <v>0</v>
      </c>
      <c r="AN215" s="521" t="str">
        <f>VLOOKUP($I215,'Price List, Weapons &amp; Items'!A:K,COLUMN('Price List, Weapons &amp; Items'!$I$1),0)</f>
        <v>Miscellaneous</v>
      </c>
      <c r="AO215" s="521" t="str">
        <f>IF(I215=".",".",VLOOKUP($I215,'Price List, Weapons &amp; Items'!A:I,3,0))</f>
        <v>Mine Vessels</v>
      </c>
      <c r="AP215" s="517" t="str">
        <f t="shared" ca="1" si="43"/>
        <v/>
      </c>
      <c r="AQ215" s="521" t="str">
        <f>VLOOKUP($I215,'Price List, Weapons &amp; Items'!A:K,COLUMN('Price List, Weapons &amp; Items'!$K$1),0)</f>
        <v>no price, 0 count</v>
      </c>
      <c r="AS215" s="521">
        <f t="shared" si="47"/>
        <v>1</v>
      </c>
      <c r="AT215" s="521">
        <f t="shared" si="48"/>
        <v>1</v>
      </c>
      <c r="AU215" s="521" t="str">
        <f t="shared" si="49"/>
        <v>Value is not in date format</v>
      </c>
      <c r="AV215" s="521" t="str">
        <f t="shared" si="50"/>
        <v>.</v>
      </c>
    </row>
    <row r="216" spans="1:48" ht="15" customHeight="1">
      <c r="A216" s="18" t="s">
        <v>839</v>
      </c>
      <c r="B216" s="18" t="s">
        <v>840</v>
      </c>
      <c r="C216" s="511" t="s">
        <v>841</v>
      </c>
      <c r="D216" s="18" t="s">
        <v>252</v>
      </c>
      <c r="E216" s="18" t="s">
        <v>253</v>
      </c>
      <c r="F216" s="512" t="s">
        <v>842</v>
      </c>
      <c r="G216" s="39" t="s">
        <v>332</v>
      </c>
      <c r="H216" s="513">
        <v>240000000</v>
      </c>
      <c r="I216" s="41" t="s">
        <v>533</v>
      </c>
      <c r="J216" s="276" t="str">
        <f>VLOOKUP($I216,'Price List, Weapons &amp; Items'!A:B,2,0)</f>
        <v>Light armaments &amp; infantry</v>
      </c>
      <c r="K216" s="276" t="str">
        <f>IF(I216=".",I216,VLOOKUP($I216,'Price List, Weapons &amp; Items'!A:C,3,0))</f>
        <v>Explosive</v>
      </c>
      <c r="L216" s="514">
        <f>VLOOKUP(I216,'Price List, Weapons &amp; Items'!A:D,4,0)</f>
        <v>0</v>
      </c>
      <c r="M216" s="515" t="s">
        <v>264</v>
      </c>
      <c r="N216" s="515" t="str">
        <f t="shared" si="58"/>
        <v>undisclosed</v>
      </c>
      <c r="O216" s="516">
        <f>VLOOKUP($I216,'Price List, Weapons &amp; Items'!A:F,6,0)</f>
        <v>45</v>
      </c>
      <c r="P216" s="513" t="str">
        <f t="shared" si="59"/>
        <v>.</v>
      </c>
      <c r="Q216" s="513" t="str">
        <f t="shared" si="60"/>
        <v>.</v>
      </c>
      <c r="R216" s="513" t="str">
        <f t="shared" si="42"/>
        <v/>
      </c>
      <c r="S216" s="513" t="str">
        <f>IF(AND(AD216=1,R216&lt;&gt;".")=TRUE,R216/VLOOKUP(G216,'Exchange rates'!B:C,2,0),IF(R216=".",".",""))</f>
        <v/>
      </c>
      <c r="T216" s="513" t="str">
        <f>IF(AD216=1,IF(AF216="Value is not given at all",".",IF(AF216="Value is given by the source",S216,IF(AF216="Value is calculated with prices",(IF(SUMIFS(Q:Q,A:A,A216)&gt;0,SUMIFS(Q:Q,A:A,A216),"."))/VLOOKUP("USD",'Exchange rates'!B:C,2,0),"Error with coding"))),"")</f>
        <v/>
      </c>
      <c r="U216" s="39" t="s">
        <v>233</v>
      </c>
      <c r="V216" s="376" t="s">
        <v>844</v>
      </c>
      <c r="W216" s="376" t="s">
        <v>845</v>
      </c>
      <c r="X216" s="376" t="s">
        <v>846</v>
      </c>
      <c r="Y216" s="376" t="s">
        <v>847</v>
      </c>
      <c r="Z216" s="39">
        <v>0</v>
      </c>
      <c r="AA216" s="518">
        <v>0</v>
      </c>
      <c r="AB216" s="395" t="s">
        <v>848</v>
      </c>
      <c r="AC216" s="519" t="str">
        <f>""</f>
        <v/>
      </c>
      <c r="AD216" s="520">
        <v>0</v>
      </c>
      <c r="AE216" s="520" t="s">
        <v>236</v>
      </c>
      <c r="AF216" s="520" t="s">
        <v>236</v>
      </c>
      <c r="AG216" s="520">
        <v>1</v>
      </c>
      <c r="AH216" s="520">
        <v>5</v>
      </c>
      <c r="AI216" s="520">
        <v>0</v>
      </c>
      <c r="AJ216" s="520">
        <f>VLOOKUP($I216,'Price List, Weapons &amp; Items'!A:E,5,0)</f>
        <v>0</v>
      </c>
      <c r="AK216" s="520">
        <f t="shared" si="44"/>
        <v>0</v>
      </c>
      <c r="AL216" s="520">
        <f t="shared" si="45"/>
        <v>0</v>
      </c>
      <c r="AM216" s="520">
        <f t="shared" si="46"/>
        <v>0</v>
      </c>
      <c r="AN216" s="521" t="str">
        <f>VLOOKUP($I216,'Price List, Weapons &amp; Items'!A:K,COLUMN('Price List, Weapons &amp; Items'!$I$1),0)</f>
        <v>Miscellaneous</v>
      </c>
      <c r="AO216" s="521" t="str">
        <f>IF(I216=".",".",VLOOKUP($I216,'Price List, Weapons &amp; Items'!A:I,3,0))</f>
        <v>Explosive</v>
      </c>
      <c r="AP216" s="517" t="str">
        <f t="shared" ca="1" si="43"/>
        <v/>
      </c>
      <c r="AQ216" s="521">
        <f>VLOOKUP($I216,'Price List, Weapons &amp; Items'!A:K,COLUMN('Price List, Weapons &amp; Items'!$K$1),0)</f>
        <v>2</v>
      </c>
      <c r="AS216" s="521">
        <f t="shared" si="47"/>
        <v>1</v>
      </c>
      <c r="AT216" s="521">
        <f t="shared" si="48"/>
        <v>1</v>
      </c>
      <c r="AU216" s="521" t="str">
        <f t="shared" si="49"/>
        <v>Value is not in date format</v>
      </c>
      <c r="AV216" s="521" t="str">
        <f t="shared" si="50"/>
        <v>.</v>
      </c>
    </row>
    <row r="217" spans="1:48" ht="15" customHeight="1">
      <c r="A217" s="18" t="s">
        <v>839</v>
      </c>
      <c r="B217" s="18" t="s">
        <v>840</v>
      </c>
      <c r="C217" s="511" t="s">
        <v>841</v>
      </c>
      <c r="D217" s="18" t="s">
        <v>252</v>
      </c>
      <c r="E217" s="18" t="s">
        <v>253</v>
      </c>
      <c r="F217" s="512" t="s">
        <v>842</v>
      </c>
      <c r="G217" s="39" t="s">
        <v>332</v>
      </c>
      <c r="H217" s="513">
        <v>240000000</v>
      </c>
      <c r="I217" s="41" t="s">
        <v>852</v>
      </c>
      <c r="J217" s="276" t="str">
        <f>VLOOKUP($I217,'Price List, Weapons &amp; Items'!A:B,2,0)</f>
        <v>Portable defence system</v>
      </c>
      <c r="K217" s="276" t="str">
        <f>IF(I217=".",I217,VLOOKUP($I217,'Price List, Weapons &amp; Items'!A:C,3,0))</f>
        <v>Light Anti-armor Weapon (LAW)</v>
      </c>
      <c r="L217" s="514">
        <f>VLOOKUP(I217,'Price List, Weapons &amp; Items'!A:D,4,0)</f>
        <v>0</v>
      </c>
      <c r="M217" s="515" t="s">
        <v>264</v>
      </c>
      <c r="N217" s="515" t="str">
        <f t="shared" si="58"/>
        <v>undisclosed</v>
      </c>
      <c r="O217" s="516">
        <f>VLOOKUP($I217,'Price List, Weapons &amp; Items'!A:F,6,0)</f>
        <v>1475</v>
      </c>
      <c r="P217" s="513" t="str">
        <f t="shared" si="59"/>
        <v>.</v>
      </c>
      <c r="Q217" s="513" t="str">
        <f t="shared" si="60"/>
        <v>.</v>
      </c>
      <c r="R217" s="513" t="str">
        <f t="shared" si="42"/>
        <v/>
      </c>
      <c r="S217" s="513" t="str">
        <f>IF(AND(AD217=1,R217&lt;&gt;".")=TRUE,R217/VLOOKUP(G217,'Exchange rates'!B:C,2,0),IF(R217=".",".",""))</f>
        <v/>
      </c>
      <c r="T217" s="513" t="str">
        <f>IF(AD217=1,IF(AF217="Value is not given at all",".",IF(AF217="Value is given by the source",S217,IF(AF217="Value is calculated with prices",(IF(SUMIFS(Q:Q,A:A,A217)&gt;0,SUMIFS(Q:Q,A:A,A217),"."))/VLOOKUP("USD",'Exchange rates'!B:C,2,0),"Error with coding"))),"")</f>
        <v/>
      </c>
      <c r="U217" s="39" t="s">
        <v>233</v>
      </c>
      <c r="V217" s="376" t="s">
        <v>844</v>
      </c>
      <c r="W217" s="376" t="s">
        <v>845</v>
      </c>
      <c r="X217" s="376" t="s">
        <v>846</v>
      </c>
      <c r="Y217" s="376" t="s">
        <v>847</v>
      </c>
      <c r="Z217" s="39">
        <v>0</v>
      </c>
      <c r="AA217" s="518">
        <v>0</v>
      </c>
      <c r="AB217" s="395" t="s">
        <v>848</v>
      </c>
      <c r="AC217" s="519" t="str">
        <f>""</f>
        <v/>
      </c>
      <c r="AD217" s="520">
        <v>0</v>
      </c>
      <c r="AE217" s="520" t="s">
        <v>236</v>
      </c>
      <c r="AF217" s="520" t="s">
        <v>236</v>
      </c>
      <c r="AG217" s="520">
        <v>1</v>
      </c>
      <c r="AH217" s="520">
        <v>5</v>
      </c>
      <c r="AI217" s="520">
        <v>0</v>
      </c>
      <c r="AJ217" s="520">
        <f>VLOOKUP($I217,'Price List, Weapons &amp; Items'!A:E,5,0)</f>
        <v>0</v>
      </c>
      <c r="AK217" s="520">
        <f t="shared" si="44"/>
        <v>0</v>
      </c>
      <c r="AL217" s="520">
        <f t="shared" si="45"/>
        <v>0</v>
      </c>
      <c r="AM217" s="520">
        <f t="shared" si="46"/>
        <v>0</v>
      </c>
      <c r="AN217" s="521" t="str">
        <f>VLOOKUP($I217,'Price List, Weapons &amp; Items'!A:K,COLUMN('Price List, Weapons &amp; Items'!$I$1),0)</f>
        <v>Military media (incl. websites)</v>
      </c>
      <c r="AO217" s="521" t="str">
        <f>IF(I217=".",".",VLOOKUP($I217,'Price List, Weapons &amp; Items'!A:I,3,0))</f>
        <v>Light Anti-armor Weapon (LAW)</v>
      </c>
      <c r="AP217" s="517" t="str">
        <f t="shared" ca="1" si="43"/>
        <v/>
      </c>
      <c r="AQ217" s="521" t="str">
        <f>VLOOKUP($I217,'Price List, Weapons &amp; Items'!A:K,COLUMN('Price List, Weapons &amp; Items'!$K$1),0)</f>
        <v>no price, 0 count</v>
      </c>
      <c r="AS217" s="521">
        <f t="shared" si="47"/>
        <v>1</v>
      </c>
      <c r="AT217" s="521">
        <f t="shared" si="48"/>
        <v>1</v>
      </c>
      <c r="AU217" s="521" t="str">
        <f t="shared" si="49"/>
        <v>Value is not in date format</v>
      </c>
      <c r="AV217" s="521" t="str">
        <f t="shared" si="50"/>
        <v>.</v>
      </c>
    </row>
    <row r="218" spans="1:48" ht="15" customHeight="1">
      <c r="A218" s="18" t="s">
        <v>839</v>
      </c>
      <c r="B218" s="18" t="s">
        <v>840</v>
      </c>
      <c r="C218" s="511" t="s">
        <v>841</v>
      </c>
      <c r="D218" s="18" t="s">
        <v>252</v>
      </c>
      <c r="E218" s="18" t="s">
        <v>253</v>
      </c>
      <c r="F218" s="512" t="s">
        <v>842</v>
      </c>
      <c r="G218" s="39" t="s">
        <v>332</v>
      </c>
      <c r="H218" s="513">
        <v>240000000</v>
      </c>
      <c r="I218" s="41" t="s">
        <v>808</v>
      </c>
      <c r="J218" s="276" t="str">
        <f>VLOOKUP($I218,'Price List, Weapons &amp; Items'!A:B,2,0)</f>
        <v>Ammunition for light infantry</v>
      </c>
      <c r="K218" s="276" t="str">
        <f>IF(I218=".",I218,VLOOKUP($I218,'Price List, Weapons &amp; Items'!A:C,3,0))</f>
        <v>.</v>
      </c>
      <c r="L218" s="514">
        <f>VLOOKUP(I218,'Price List, Weapons &amp; Items'!A:D,4,0)</f>
        <v>0</v>
      </c>
      <c r="M218" s="515" t="s">
        <v>264</v>
      </c>
      <c r="N218" s="515" t="str">
        <f t="shared" si="58"/>
        <v>undisclosed</v>
      </c>
      <c r="O218" s="516">
        <f>VLOOKUP($I218,'Price List, Weapons &amp; Items'!A:F,6,0)</f>
        <v>16.5</v>
      </c>
      <c r="P218" s="513" t="str">
        <f t="shared" si="59"/>
        <v>.</v>
      </c>
      <c r="Q218" s="513" t="str">
        <f t="shared" si="60"/>
        <v>.</v>
      </c>
      <c r="R218" s="513" t="str">
        <f t="shared" si="42"/>
        <v/>
      </c>
      <c r="S218" s="513" t="str">
        <f>IF(AND(AD218=1,R218&lt;&gt;".")=TRUE,R218/VLOOKUP(G218,'Exchange rates'!B:C,2,0),IF(R218=".",".",""))</f>
        <v/>
      </c>
      <c r="T218" s="513" t="str">
        <f>IF(AD218=1,IF(AF218="Value is not given at all",".",IF(AF218="Value is given by the source",S218,IF(AF218="Value is calculated with prices",(IF(SUMIFS(Q:Q,A:A,A218)&gt;0,SUMIFS(Q:Q,A:A,A218),"."))/VLOOKUP("USD",'Exchange rates'!B:C,2,0),"Error with coding"))),"")</f>
        <v/>
      </c>
      <c r="U218" s="39" t="s">
        <v>233</v>
      </c>
      <c r="V218" s="376" t="s">
        <v>844</v>
      </c>
      <c r="W218" s="376" t="s">
        <v>845</v>
      </c>
      <c r="X218" s="376" t="s">
        <v>846</v>
      </c>
      <c r="Y218" s="376" t="s">
        <v>847</v>
      </c>
      <c r="Z218" s="39">
        <v>0</v>
      </c>
      <c r="AA218" s="518">
        <v>0</v>
      </c>
      <c r="AB218" s="395" t="s">
        <v>848</v>
      </c>
      <c r="AC218" s="519" t="str">
        <f>""</f>
        <v/>
      </c>
      <c r="AD218" s="520">
        <v>0</v>
      </c>
      <c r="AE218" s="520" t="s">
        <v>236</v>
      </c>
      <c r="AF218" s="520" t="s">
        <v>236</v>
      </c>
      <c r="AG218" s="520">
        <v>1</v>
      </c>
      <c r="AH218" s="520">
        <v>5</v>
      </c>
      <c r="AI218" s="520">
        <v>0</v>
      </c>
      <c r="AJ218" s="520">
        <f>VLOOKUP($I218,'Price List, Weapons &amp; Items'!A:E,5,0)</f>
        <v>0</v>
      </c>
      <c r="AK218" s="520">
        <f t="shared" si="44"/>
        <v>0</v>
      </c>
      <c r="AL218" s="520">
        <f t="shared" si="45"/>
        <v>0</v>
      </c>
      <c r="AM218" s="520">
        <f t="shared" si="46"/>
        <v>0</v>
      </c>
      <c r="AN218" s="521" t="str">
        <f>VLOOKUP($I218,'Price List, Weapons &amp; Items'!A:K,COLUMN('Price List, Weapons &amp; Items'!$I$1),0)</f>
        <v>Miscellaneous</v>
      </c>
      <c r="AO218" s="521" t="str">
        <f>IF(I218=".",".",VLOOKUP($I218,'Price List, Weapons &amp; Items'!A:I,3,0))</f>
        <v>.</v>
      </c>
      <c r="AP218" s="517" t="str">
        <f t="shared" ca="1" si="43"/>
        <v/>
      </c>
      <c r="AQ218" s="521" t="str">
        <f>VLOOKUP($I218,'Price List, Weapons &amp; Items'!A:K,COLUMN('Price List, Weapons &amp; Items'!$K$1),0)</f>
        <v>no price, 0 count</v>
      </c>
      <c r="AS218" s="521">
        <f t="shared" si="47"/>
        <v>1</v>
      </c>
      <c r="AT218" s="521">
        <f t="shared" si="48"/>
        <v>1</v>
      </c>
      <c r="AU218" s="521" t="str">
        <f t="shared" si="49"/>
        <v>Value is not in date format</v>
      </c>
      <c r="AV218" s="521" t="str">
        <f t="shared" si="50"/>
        <v>.</v>
      </c>
    </row>
    <row r="219" spans="1:48" ht="15" customHeight="1">
      <c r="A219" s="18" t="s">
        <v>839</v>
      </c>
      <c r="B219" s="18" t="s">
        <v>840</v>
      </c>
      <c r="C219" s="511" t="s">
        <v>841</v>
      </c>
      <c r="D219" s="18" t="s">
        <v>252</v>
      </c>
      <c r="E219" s="18" t="s">
        <v>253</v>
      </c>
      <c r="F219" s="512" t="s">
        <v>842</v>
      </c>
      <c r="G219" s="39" t="s">
        <v>332</v>
      </c>
      <c r="H219" s="513">
        <v>240000000</v>
      </c>
      <c r="I219" s="41" t="s">
        <v>853</v>
      </c>
      <c r="J219" s="276" t="str">
        <f>VLOOKUP($I219,'Price List, Weapons &amp; Items'!A:B,2,0)</f>
        <v>Light armaments &amp; infantry</v>
      </c>
      <c r="K219" s="276" t="str">
        <f>IF(I219=".",I219,VLOOKUP($I219,'Price List, Weapons &amp; Items'!A:C,3,0))</f>
        <v>Recoilless rifle (RR/RCL)</v>
      </c>
      <c r="L219" s="514">
        <f>VLOOKUP(I219,'Price List, Weapons &amp; Items'!A:D,4,0)</f>
        <v>0</v>
      </c>
      <c r="M219" s="515" t="s">
        <v>264</v>
      </c>
      <c r="N219" s="515" t="str">
        <f t="shared" si="58"/>
        <v>undisclosed</v>
      </c>
      <c r="O219" s="516">
        <f>VLOOKUP($I219,'Price List, Weapons &amp; Items'!A:F,6,0)</f>
        <v>20000</v>
      </c>
      <c r="P219" s="513" t="str">
        <f t="shared" si="59"/>
        <v>.</v>
      </c>
      <c r="Q219" s="513" t="str">
        <f t="shared" si="60"/>
        <v>.</v>
      </c>
      <c r="R219" s="513" t="str">
        <f t="shared" si="42"/>
        <v/>
      </c>
      <c r="S219" s="513" t="str">
        <f>IF(AND(AD219=1,R219&lt;&gt;".")=TRUE,R219/VLOOKUP(G219,'Exchange rates'!B:C,2,0),IF(R219=".",".",""))</f>
        <v/>
      </c>
      <c r="T219" s="513" t="str">
        <f>IF(AD219=1,IF(AF219="Value is not given at all",".",IF(AF219="Value is given by the source",S219,IF(AF219="Value is calculated with prices",(IF(SUMIFS(Q:Q,A:A,A219)&gt;0,SUMIFS(Q:Q,A:A,A219),"."))/VLOOKUP("USD",'Exchange rates'!B:C,2,0),"Error with coding"))),"")</f>
        <v/>
      </c>
      <c r="U219" s="39" t="s">
        <v>233</v>
      </c>
      <c r="V219" s="376" t="s">
        <v>844</v>
      </c>
      <c r="W219" s="376" t="s">
        <v>845</v>
      </c>
      <c r="X219" s="376" t="s">
        <v>846</v>
      </c>
      <c r="Y219" s="376" t="s">
        <v>847</v>
      </c>
      <c r="Z219" s="39">
        <v>0</v>
      </c>
      <c r="AA219" s="518">
        <v>0</v>
      </c>
      <c r="AB219" s="395" t="s">
        <v>848</v>
      </c>
      <c r="AC219" s="519" t="str">
        <f>""</f>
        <v/>
      </c>
      <c r="AD219" s="520">
        <v>0</v>
      </c>
      <c r="AE219" s="520" t="s">
        <v>236</v>
      </c>
      <c r="AF219" s="520" t="s">
        <v>236</v>
      </c>
      <c r="AG219" s="520">
        <v>1</v>
      </c>
      <c r="AH219" s="520">
        <v>5</v>
      </c>
      <c r="AI219" s="520">
        <v>0</v>
      </c>
      <c r="AJ219" s="520">
        <f>VLOOKUP($I219,'Price List, Weapons &amp; Items'!A:E,5,0)</f>
        <v>0</v>
      </c>
      <c r="AK219" s="520">
        <f t="shared" si="44"/>
        <v>0</v>
      </c>
      <c r="AL219" s="520">
        <f t="shared" si="45"/>
        <v>0</v>
      </c>
      <c r="AM219" s="520">
        <f t="shared" si="46"/>
        <v>0</v>
      </c>
      <c r="AN219" s="521" t="str">
        <f>VLOOKUP($I219,'Price List, Weapons &amp; Items'!A:K,COLUMN('Price List, Weapons &amp; Items'!$I$1),0)</f>
        <v>Miscellaneous</v>
      </c>
      <c r="AO219" s="521" t="str">
        <f>IF(I219=".",".",VLOOKUP($I219,'Price List, Weapons &amp; Items'!A:I,3,0))</f>
        <v>Recoilless rifle (RR/RCL)</v>
      </c>
      <c r="AP219" s="517" t="str">
        <f t="shared" ca="1" si="43"/>
        <v/>
      </c>
      <c r="AQ219" s="521" t="str">
        <f>VLOOKUP($I219,'Price List, Weapons &amp; Items'!A:K,COLUMN('Price List, Weapons &amp; Items'!$K$1),0)</f>
        <v>no price, 0 count</v>
      </c>
      <c r="AS219" s="521">
        <f t="shared" si="47"/>
        <v>1</v>
      </c>
      <c r="AT219" s="521">
        <f t="shared" si="48"/>
        <v>1</v>
      </c>
      <c r="AU219" s="521" t="str">
        <f t="shared" si="49"/>
        <v>Value is not in date format</v>
      </c>
      <c r="AV219" s="521" t="str">
        <f t="shared" si="50"/>
        <v>.</v>
      </c>
    </row>
    <row r="220" spans="1:48" ht="15" customHeight="1">
      <c r="A220" s="18" t="s">
        <v>839</v>
      </c>
      <c r="B220" s="18" t="s">
        <v>840</v>
      </c>
      <c r="C220" s="511" t="s">
        <v>841</v>
      </c>
      <c r="D220" s="18" t="s">
        <v>252</v>
      </c>
      <c r="E220" s="18" t="s">
        <v>253</v>
      </c>
      <c r="F220" s="512" t="s">
        <v>842</v>
      </c>
      <c r="G220" s="39" t="s">
        <v>332</v>
      </c>
      <c r="H220" s="513">
        <v>240000000</v>
      </c>
      <c r="I220" s="41" t="s">
        <v>854</v>
      </c>
      <c r="J220" s="276" t="str">
        <f>VLOOKUP($I220,'Price List, Weapons &amp; Items'!A:B,2,0)</f>
        <v>Light armaments &amp; infantry</v>
      </c>
      <c r="K220" s="276" t="str">
        <f>IF(I220=".",I220,VLOOKUP($I220,'Price List, Weapons &amp; Items'!A:C,3,0))</f>
        <v>Small Arms and Light Weapons (SALW)</v>
      </c>
      <c r="L220" s="514">
        <f>VLOOKUP(I220,'Price List, Weapons &amp; Items'!A:D,4,0)</f>
        <v>0</v>
      </c>
      <c r="M220" s="515" t="s">
        <v>264</v>
      </c>
      <c r="N220" s="515" t="str">
        <f t="shared" si="58"/>
        <v>undisclosed</v>
      </c>
      <c r="O220" s="516">
        <f>VLOOKUP($I220,'Price List, Weapons &amp; Items'!A:F,6,0)</f>
        <v>5300</v>
      </c>
      <c r="P220" s="513" t="str">
        <f t="shared" si="59"/>
        <v>.</v>
      </c>
      <c r="Q220" s="513" t="str">
        <f t="shared" si="60"/>
        <v>.</v>
      </c>
      <c r="R220" s="513" t="str">
        <f t="shared" si="42"/>
        <v/>
      </c>
      <c r="S220" s="513" t="str">
        <f>IF(AND(AD220=1,R220&lt;&gt;".")=TRUE,R220/VLOOKUP(G220,'Exchange rates'!B:C,2,0),IF(R220=".",".",""))</f>
        <v/>
      </c>
      <c r="T220" s="513" t="str">
        <f>IF(AD220=1,IF(AF220="Value is not given at all",".",IF(AF220="Value is given by the source",S220,IF(AF220="Value is calculated with prices",(IF(SUMIFS(Q:Q,A:A,A220)&gt;0,SUMIFS(Q:Q,A:A,A220),"."))/VLOOKUP("USD",'Exchange rates'!B:C,2,0),"Error with coding"))),"")</f>
        <v/>
      </c>
      <c r="U220" s="39" t="s">
        <v>233</v>
      </c>
      <c r="V220" s="376" t="s">
        <v>844</v>
      </c>
      <c r="W220" s="376" t="s">
        <v>845</v>
      </c>
      <c r="X220" s="376" t="s">
        <v>846</v>
      </c>
      <c r="Y220" s="376" t="s">
        <v>847</v>
      </c>
      <c r="Z220" s="39">
        <v>0</v>
      </c>
      <c r="AA220" s="518">
        <v>0</v>
      </c>
      <c r="AB220" s="395" t="s">
        <v>848</v>
      </c>
      <c r="AC220" s="519" t="str">
        <f>""</f>
        <v/>
      </c>
      <c r="AD220" s="520">
        <v>0</v>
      </c>
      <c r="AE220" s="520" t="s">
        <v>236</v>
      </c>
      <c r="AF220" s="520" t="s">
        <v>236</v>
      </c>
      <c r="AG220" s="520">
        <v>1</v>
      </c>
      <c r="AH220" s="520">
        <v>5</v>
      </c>
      <c r="AI220" s="520">
        <v>0</v>
      </c>
      <c r="AJ220" s="520">
        <f>VLOOKUP($I220,'Price List, Weapons &amp; Items'!A:E,5,0)</f>
        <v>0</v>
      </c>
      <c r="AK220" s="520">
        <f t="shared" si="44"/>
        <v>0</v>
      </c>
      <c r="AL220" s="520">
        <f t="shared" si="45"/>
        <v>0</v>
      </c>
      <c r="AM220" s="520">
        <f t="shared" si="46"/>
        <v>0</v>
      </c>
      <c r="AN220" s="521" t="str">
        <f>VLOOKUP($I220,'Price List, Weapons &amp; Items'!A:K,COLUMN('Price List, Weapons &amp; Items'!$I$1),0)</f>
        <v>Miscellaneous</v>
      </c>
      <c r="AO220" s="521" t="str">
        <f>IF(I220=".",".",VLOOKUP($I220,'Price List, Weapons &amp; Items'!A:I,3,0))</f>
        <v>Small Arms and Light Weapons (SALW)</v>
      </c>
      <c r="AP220" s="517" t="str">
        <f t="shared" ca="1" si="43"/>
        <v/>
      </c>
      <c r="AQ220" s="521" t="str">
        <f>VLOOKUP($I220,'Price List, Weapons &amp; Items'!A:K,COLUMN('Price List, Weapons &amp; Items'!$K$1),0)</f>
        <v>no price, 0 count</v>
      </c>
      <c r="AS220" s="521">
        <f t="shared" si="47"/>
        <v>1</v>
      </c>
      <c r="AT220" s="521">
        <f t="shared" si="48"/>
        <v>1</v>
      </c>
      <c r="AU220" s="521" t="str">
        <f t="shared" si="49"/>
        <v>Value is not in date format</v>
      </c>
      <c r="AV220" s="521" t="str">
        <f t="shared" si="50"/>
        <v>.</v>
      </c>
    </row>
    <row r="221" spans="1:48" ht="15" customHeight="1">
      <c r="A221" s="18" t="s">
        <v>839</v>
      </c>
      <c r="B221" s="18" t="s">
        <v>840</v>
      </c>
      <c r="C221" s="511" t="s">
        <v>841</v>
      </c>
      <c r="D221" s="18" t="s">
        <v>252</v>
      </c>
      <c r="E221" s="18" t="s">
        <v>253</v>
      </c>
      <c r="F221" s="512" t="s">
        <v>842</v>
      </c>
      <c r="G221" s="39" t="s">
        <v>332</v>
      </c>
      <c r="H221" s="513">
        <v>240000000</v>
      </c>
      <c r="I221" s="41" t="s">
        <v>855</v>
      </c>
      <c r="J221" s="276" t="str">
        <f>VLOOKUP($I221,'Price List, Weapons &amp; Items'!A:B,2,0)</f>
        <v>Ammunition for light infantry</v>
      </c>
      <c r="K221" s="276" t="str">
        <f>IF(I221=".",I221,VLOOKUP($I221,'Price List, Weapons &amp; Items'!A:C,3,0))</f>
        <v>Small Arms and Light Weapons (SALW) ammunition</v>
      </c>
      <c r="L221" s="514">
        <f>VLOOKUP(I221,'Price List, Weapons &amp; Items'!A:D,4,0)</f>
        <v>0</v>
      </c>
      <c r="M221" s="515" t="s">
        <v>264</v>
      </c>
      <c r="N221" s="515" t="str">
        <f t="shared" si="58"/>
        <v>undisclosed</v>
      </c>
      <c r="O221" s="516">
        <f>VLOOKUP($I221,'Price List, Weapons &amp; Items'!A:F,6,0)</f>
        <v>0.41799999999999998</v>
      </c>
      <c r="P221" s="513" t="str">
        <f t="shared" si="59"/>
        <v>.</v>
      </c>
      <c r="Q221" s="513" t="str">
        <f t="shared" si="60"/>
        <v>.</v>
      </c>
      <c r="R221" s="513" t="str">
        <f t="shared" si="42"/>
        <v/>
      </c>
      <c r="S221" s="513" t="str">
        <f>IF(AND(AD221=1,R221&lt;&gt;".")=TRUE,R221/VLOOKUP(G221,'Exchange rates'!B:C,2,0),IF(R221=".",".",""))</f>
        <v/>
      </c>
      <c r="T221" s="513" t="str">
        <f>IF(AD221=1,IF(AF221="Value is not given at all",".",IF(AF221="Value is given by the source",S221,IF(AF221="Value is calculated with prices",(IF(SUMIFS(Q:Q,A:A,A221)&gt;0,SUMIFS(Q:Q,A:A,A221),"."))/VLOOKUP("USD",'Exchange rates'!B:C,2,0),"Error with coding"))),"")</f>
        <v/>
      </c>
      <c r="U221" s="39" t="s">
        <v>233</v>
      </c>
      <c r="V221" s="376" t="s">
        <v>844</v>
      </c>
      <c r="W221" s="376" t="s">
        <v>845</v>
      </c>
      <c r="X221" s="376" t="s">
        <v>846</v>
      </c>
      <c r="Y221" s="376" t="s">
        <v>847</v>
      </c>
      <c r="Z221" s="39">
        <v>0</v>
      </c>
      <c r="AA221" s="518">
        <v>0</v>
      </c>
      <c r="AB221" s="395" t="s">
        <v>848</v>
      </c>
      <c r="AC221" s="519" t="str">
        <f>""</f>
        <v/>
      </c>
      <c r="AD221" s="520">
        <v>0</v>
      </c>
      <c r="AE221" s="520" t="s">
        <v>236</v>
      </c>
      <c r="AF221" s="520" t="s">
        <v>236</v>
      </c>
      <c r="AG221" s="520">
        <v>1</v>
      </c>
      <c r="AH221" s="520">
        <v>5</v>
      </c>
      <c r="AI221" s="520">
        <v>0</v>
      </c>
      <c r="AJ221" s="520">
        <f>VLOOKUP($I221,'Price List, Weapons &amp; Items'!A:E,5,0)</f>
        <v>0</v>
      </c>
      <c r="AK221" s="520">
        <f t="shared" si="44"/>
        <v>0</v>
      </c>
      <c r="AL221" s="520">
        <f t="shared" si="45"/>
        <v>0</v>
      </c>
      <c r="AM221" s="520">
        <f t="shared" si="46"/>
        <v>1</v>
      </c>
      <c r="AN221" s="521" t="str">
        <f>VLOOKUP($I221,'Price List, Weapons &amp; Items'!A:K,COLUMN('Price List, Weapons &amp; Items'!$I$1),0)</f>
        <v>Online marketplaces and stores</v>
      </c>
      <c r="AO221" s="521" t="str">
        <f>IF(I221=".",".",VLOOKUP($I221,'Price List, Weapons &amp; Items'!A:I,3,0))</f>
        <v>Small Arms and Light Weapons (SALW) ammunition</v>
      </c>
      <c r="AP221" s="517" t="str">
        <f t="shared" ca="1" si="43"/>
        <v/>
      </c>
      <c r="AQ221" s="521" t="str">
        <f>VLOOKUP($I221,'Price List, Weapons &amp; Items'!A:K,COLUMN('Price List, Weapons &amp; Items'!$K$1),0)</f>
        <v>no price, 0 count</v>
      </c>
      <c r="AS221" s="521">
        <f t="shared" si="47"/>
        <v>1</v>
      </c>
      <c r="AT221" s="521">
        <f t="shared" si="48"/>
        <v>1</v>
      </c>
      <c r="AU221" s="521" t="str">
        <f t="shared" si="49"/>
        <v>Value is not in date format</v>
      </c>
      <c r="AV221" s="521" t="str">
        <f t="shared" si="50"/>
        <v>.</v>
      </c>
    </row>
    <row r="222" spans="1:48" ht="15" customHeight="1">
      <c r="A222" s="18" t="s">
        <v>839</v>
      </c>
      <c r="B222" s="18" t="s">
        <v>840</v>
      </c>
      <c r="C222" s="511" t="s">
        <v>841</v>
      </c>
      <c r="D222" s="18" t="s">
        <v>252</v>
      </c>
      <c r="E222" s="18" t="s">
        <v>253</v>
      </c>
      <c r="F222" s="512" t="s">
        <v>842</v>
      </c>
      <c r="G222" s="39" t="s">
        <v>332</v>
      </c>
      <c r="H222" s="513">
        <v>240000000</v>
      </c>
      <c r="I222" s="41" t="s">
        <v>856</v>
      </c>
      <c r="J222" s="276" t="str">
        <f>VLOOKUP($I222,'Price List, Weapons &amp; Items'!A:B,2,0)</f>
        <v>Ammunition for heavy weapon</v>
      </c>
      <c r="K222" s="276" t="str">
        <f>IF(I222=".",I222,VLOOKUP($I222,'Price List, Weapons &amp; Items'!A:C,3,0))</f>
        <v>.</v>
      </c>
      <c r="L222" s="514">
        <f>VLOOKUP(I222,'Price List, Weapons &amp; Items'!A:D,4,0)</f>
        <v>0</v>
      </c>
      <c r="M222" s="515" t="s">
        <v>264</v>
      </c>
      <c r="N222" s="515" t="str">
        <f t="shared" si="58"/>
        <v>undisclosed</v>
      </c>
      <c r="O222" s="516" t="str">
        <f>VLOOKUP($I222,'Price List, Weapons &amp; Items'!A:F,6,0)</f>
        <v>.</v>
      </c>
      <c r="P222" s="513" t="str">
        <f t="shared" si="59"/>
        <v>.</v>
      </c>
      <c r="Q222" s="513" t="str">
        <f t="shared" si="60"/>
        <v>.</v>
      </c>
      <c r="R222" s="513" t="str">
        <f t="shared" si="42"/>
        <v/>
      </c>
      <c r="S222" s="513" t="str">
        <f>IF(AND(AD222=1,R222&lt;&gt;".")=TRUE,R222/VLOOKUP(G222,'Exchange rates'!B:C,2,0),IF(R222=".",".",""))</f>
        <v/>
      </c>
      <c r="T222" s="513" t="str">
        <f>IF(AD222=1,IF(AF222="Value is not given at all",".",IF(AF222="Value is given by the source",S222,IF(AF222="Value is calculated with prices",(IF(SUMIFS(Q:Q,A:A,A222)&gt;0,SUMIFS(Q:Q,A:A,A222),"."))/VLOOKUP("USD",'Exchange rates'!B:C,2,0),"Error with coding"))),"")</f>
        <v/>
      </c>
      <c r="U222" s="39" t="s">
        <v>233</v>
      </c>
      <c r="V222" s="376" t="s">
        <v>844</v>
      </c>
      <c r="W222" s="376" t="s">
        <v>845</v>
      </c>
      <c r="X222" s="376" t="s">
        <v>846</v>
      </c>
      <c r="Y222" s="376" t="s">
        <v>847</v>
      </c>
      <c r="Z222" s="39">
        <v>0</v>
      </c>
      <c r="AA222" s="518">
        <v>0</v>
      </c>
      <c r="AB222" s="395" t="s">
        <v>848</v>
      </c>
      <c r="AC222" s="519" t="str">
        <f>""</f>
        <v/>
      </c>
      <c r="AD222" s="520">
        <v>0</v>
      </c>
      <c r="AE222" s="520" t="s">
        <v>236</v>
      </c>
      <c r="AF222" s="520" t="s">
        <v>236</v>
      </c>
      <c r="AG222" s="520">
        <v>1</v>
      </c>
      <c r="AH222" s="520">
        <v>5</v>
      </c>
      <c r="AI222" s="520">
        <v>0</v>
      </c>
      <c r="AJ222" s="520">
        <f>VLOOKUP($I222,'Price List, Weapons &amp; Items'!A:E,5,0)</f>
        <v>0</v>
      </c>
      <c r="AK222" s="520">
        <f t="shared" si="44"/>
        <v>0</v>
      </c>
      <c r="AL222" s="520">
        <f t="shared" si="45"/>
        <v>0</v>
      </c>
      <c r="AM222" s="520">
        <f t="shared" si="46"/>
        <v>0</v>
      </c>
      <c r="AN222" s="521" t="str">
        <f>VLOOKUP($I222,'Price List, Weapons &amp; Items'!A:K,COLUMN('Price List, Weapons &amp; Items'!$I$1),0)</f>
        <v>.</v>
      </c>
      <c r="AO222" s="521" t="str">
        <f>IF(I222=".",".",VLOOKUP($I222,'Price List, Weapons &amp; Items'!A:I,3,0))</f>
        <v>.</v>
      </c>
      <c r="AP222" s="517" t="str">
        <f t="shared" ca="1" si="43"/>
        <v/>
      </c>
      <c r="AQ222" s="521" t="str">
        <f>VLOOKUP($I222,'Price List, Weapons &amp; Items'!A:K,COLUMN('Price List, Weapons &amp; Items'!$K$1),0)</f>
        <v>no price, 0 count</v>
      </c>
      <c r="AS222" s="521">
        <f t="shared" si="47"/>
        <v>1</v>
      </c>
      <c r="AT222" s="521">
        <f t="shared" si="48"/>
        <v>1</v>
      </c>
      <c r="AU222" s="521" t="str">
        <f t="shared" si="49"/>
        <v>Value is not in date format</v>
      </c>
      <c r="AV222" s="521" t="str">
        <f t="shared" si="50"/>
        <v>.</v>
      </c>
    </row>
    <row r="223" spans="1:48" ht="15" customHeight="1">
      <c r="A223" s="18" t="s">
        <v>839</v>
      </c>
      <c r="B223" s="18" t="s">
        <v>840</v>
      </c>
      <c r="C223" s="511" t="s">
        <v>841</v>
      </c>
      <c r="D223" s="18" t="s">
        <v>252</v>
      </c>
      <c r="E223" s="18" t="s">
        <v>253</v>
      </c>
      <c r="F223" s="512" t="s">
        <v>842</v>
      </c>
      <c r="G223" s="39" t="s">
        <v>332</v>
      </c>
      <c r="H223" s="513">
        <v>240000000</v>
      </c>
      <c r="I223" s="41" t="s">
        <v>419</v>
      </c>
      <c r="J223" s="276" t="str">
        <f>VLOOKUP($I223,'Price List, Weapons &amp; Items'!A:B,2,0)</f>
        <v>Military equipment</v>
      </c>
      <c r="K223" s="276" t="str">
        <f>IF(I223=".",I223,VLOOKUP($I223,'Price List, Weapons &amp; Items'!A:C,3,0))</f>
        <v>.</v>
      </c>
      <c r="L223" s="514">
        <f>VLOOKUP(I223,'Price List, Weapons &amp; Items'!A:D,4,0)</f>
        <v>0</v>
      </c>
      <c r="M223" s="515" t="s">
        <v>264</v>
      </c>
      <c r="N223" s="515" t="str">
        <f t="shared" si="58"/>
        <v>undisclosed</v>
      </c>
      <c r="O223" s="516">
        <f>VLOOKUP($I223,'Price List, Weapons &amp; Items'!A:F,6,0)</f>
        <v>1400</v>
      </c>
      <c r="P223" s="513" t="str">
        <f t="shared" si="59"/>
        <v>.</v>
      </c>
      <c r="Q223" s="513" t="str">
        <f t="shared" si="60"/>
        <v>.</v>
      </c>
      <c r="R223" s="513" t="str">
        <f t="shared" si="42"/>
        <v/>
      </c>
      <c r="S223" s="513" t="str">
        <f>IF(AND(AD223=1,R223&lt;&gt;".")=TRUE,R223/VLOOKUP(G223,'Exchange rates'!B:C,2,0),IF(R223=".",".",""))</f>
        <v/>
      </c>
      <c r="T223" s="513" t="str">
        <f>IF(AD223=1,IF(AF223="Value is not given at all",".",IF(AF223="Value is given by the source",S223,IF(AF223="Value is calculated with prices",(IF(SUMIFS(Q:Q,A:A,A223)&gt;0,SUMIFS(Q:Q,A:A,A223),"."))/VLOOKUP("USD",'Exchange rates'!B:C,2,0),"Error with coding"))),"")</f>
        <v/>
      </c>
      <c r="U223" s="39" t="s">
        <v>233</v>
      </c>
      <c r="V223" s="376" t="s">
        <v>844</v>
      </c>
      <c r="W223" s="376" t="s">
        <v>845</v>
      </c>
      <c r="X223" s="376" t="s">
        <v>846</v>
      </c>
      <c r="Y223" s="376" t="s">
        <v>847</v>
      </c>
      <c r="Z223" s="39">
        <v>0</v>
      </c>
      <c r="AA223" s="518">
        <v>0</v>
      </c>
      <c r="AB223" s="395" t="s">
        <v>848</v>
      </c>
      <c r="AC223" s="519" t="str">
        <f>""</f>
        <v/>
      </c>
      <c r="AD223" s="520">
        <v>0</v>
      </c>
      <c r="AE223" s="520" t="s">
        <v>236</v>
      </c>
      <c r="AF223" s="520" t="s">
        <v>236</v>
      </c>
      <c r="AG223" s="520">
        <v>1</v>
      </c>
      <c r="AH223" s="520">
        <v>5</v>
      </c>
      <c r="AI223" s="520">
        <v>0</v>
      </c>
      <c r="AJ223" s="520">
        <f>VLOOKUP($I223,'Price List, Weapons &amp; Items'!A:E,5,0)</f>
        <v>0</v>
      </c>
      <c r="AK223" s="520">
        <f t="shared" si="44"/>
        <v>0</v>
      </c>
      <c r="AL223" s="520">
        <f t="shared" si="45"/>
        <v>0</v>
      </c>
      <c r="AM223" s="520">
        <f t="shared" si="46"/>
        <v>0</v>
      </c>
      <c r="AN223" s="521" t="str">
        <f>VLOOKUP($I223,'Price List, Weapons &amp; Items'!A:K,COLUMN('Price List, Weapons &amp; Items'!$I$1),0)</f>
        <v>Military media (incl. websites)</v>
      </c>
      <c r="AO223" s="521" t="str">
        <f>IF(I223=".",".",VLOOKUP($I223,'Price List, Weapons &amp; Items'!A:I,3,0))</f>
        <v>.</v>
      </c>
      <c r="AP223" s="517" t="str">
        <f t="shared" ca="1" si="43"/>
        <v/>
      </c>
      <c r="AQ223" s="521">
        <f>VLOOKUP($I223,'Price List, Weapons &amp; Items'!A:K,COLUMN('Price List, Weapons &amp; Items'!$K$1),0)</f>
        <v>2</v>
      </c>
      <c r="AS223" s="521">
        <f t="shared" si="47"/>
        <v>1</v>
      </c>
      <c r="AT223" s="521">
        <f t="shared" si="48"/>
        <v>1</v>
      </c>
      <c r="AU223" s="521" t="str">
        <f t="shared" si="49"/>
        <v>Value is not in date format</v>
      </c>
      <c r="AV223" s="521" t="str">
        <f t="shared" si="50"/>
        <v>.</v>
      </c>
    </row>
    <row r="224" spans="1:48" ht="15" customHeight="1">
      <c r="A224" s="18" t="s">
        <v>839</v>
      </c>
      <c r="B224" s="18" t="s">
        <v>840</v>
      </c>
      <c r="C224" s="511" t="s">
        <v>841</v>
      </c>
      <c r="D224" s="18" t="s">
        <v>252</v>
      </c>
      <c r="E224" s="18" t="s">
        <v>253</v>
      </c>
      <c r="F224" s="512" t="s">
        <v>842</v>
      </c>
      <c r="G224" s="39" t="s">
        <v>332</v>
      </c>
      <c r="H224" s="513">
        <v>240000000</v>
      </c>
      <c r="I224" s="41" t="s">
        <v>857</v>
      </c>
      <c r="J224" s="276" t="str">
        <f>VLOOKUP($I224,'Price List, Weapons &amp; Items'!A:B,2,0)</f>
        <v>Military equipment</v>
      </c>
      <c r="K224" s="276" t="str">
        <f>IF(I224=".",I224,VLOOKUP($I224,'Price List, Weapons &amp; Items'!A:C,3,0))</f>
        <v>.</v>
      </c>
      <c r="L224" s="514">
        <f>VLOOKUP(I224,'Price List, Weapons &amp; Items'!A:D,4,0)</f>
        <v>0</v>
      </c>
      <c r="M224" s="515" t="s">
        <v>264</v>
      </c>
      <c r="N224" s="515" t="str">
        <f t="shared" si="58"/>
        <v>undisclosed</v>
      </c>
      <c r="O224" s="516">
        <f>VLOOKUP($I224,'Price List, Weapons &amp; Items'!A:F,6,0)</f>
        <v>35</v>
      </c>
      <c r="P224" s="513" t="str">
        <f t="shared" si="59"/>
        <v>.</v>
      </c>
      <c r="Q224" s="513" t="str">
        <f t="shared" si="60"/>
        <v>.</v>
      </c>
      <c r="R224" s="513" t="str">
        <f t="shared" si="42"/>
        <v/>
      </c>
      <c r="S224" s="513" t="str">
        <f>IF(AND(AD224=1,R224&lt;&gt;".")=TRUE,R224/VLOOKUP(G224,'Exchange rates'!B:C,2,0),IF(R224=".",".",""))</f>
        <v/>
      </c>
      <c r="T224" s="513" t="str">
        <f>IF(AD224=1,IF(AF224="Value is not given at all",".",IF(AF224="Value is given by the source",S224,IF(AF224="Value is calculated with prices",(IF(SUMIFS(Q:Q,A:A,A224)&gt;0,SUMIFS(Q:Q,A:A,A224),"."))/VLOOKUP("USD",'Exchange rates'!B:C,2,0),"Error with coding"))),"")</f>
        <v/>
      </c>
      <c r="U224" s="39" t="s">
        <v>233</v>
      </c>
      <c r="V224" s="376" t="s">
        <v>844</v>
      </c>
      <c r="W224" s="376" t="s">
        <v>845</v>
      </c>
      <c r="X224" s="376" t="s">
        <v>846</v>
      </c>
      <c r="Y224" s="376" t="s">
        <v>847</v>
      </c>
      <c r="Z224" s="39">
        <v>0</v>
      </c>
      <c r="AA224" s="518">
        <v>0</v>
      </c>
      <c r="AB224" s="395" t="s">
        <v>848</v>
      </c>
      <c r="AC224" s="519" t="str">
        <f>""</f>
        <v/>
      </c>
      <c r="AD224" s="520">
        <v>0</v>
      </c>
      <c r="AE224" s="520" t="s">
        <v>236</v>
      </c>
      <c r="AF224" s="520" t="s">
        <v>236</v>
      </c>
      <c r="AG224" s="520">
        <v>1</v>
      </c>
      <c r="AH224" s="520">
        <v>5</v>
      </c>
      <c r="AI224" s="520">
        <v>0</v>
      </c>
      <c r="AJ224" s="520">
        <f>VLOOKUP($I224,'Price List, Weapons &amp; Items'!A:E,5,0)</f>
        <v>0</v>
      </c>
      <c r="AK224" s="520">
        <f t="shared" si="44"/>
        <v>0</v>
      </c>
      <c r="AL224" s="520">
        <f t="shared" si="45"/>
        <v>0</v>
      </c>
      <c r="AM224" s="520">
        <f t="shared" si="46"/>
        <v>0</v>
      </c>
      <c r="AN224" s="521" t="str">
        <f>VLOOKUP($I224,'Price List, Weapons &amp; Items'!A:K,COLUMN('Price List, Weapons &amp; Items'!$I$1),0)</f>
        <v>Online marketplaces and stores</v>
      </c>
      <c r="AO224" s="521" t="str">
        <f>IF(I224=".",".",VLOOKUP($I224,'Price List, Weapons &amp; Items'!A:I,3,0))</f>
        <v>.</v>
      </c>
      <c r="AP224" s="517" t="str">
        <f t="shared" ca="1" si="43"/>
        <v/>
      </c>
      <c r="AQ224" s="521" t="str">
        <f>VLOOKUP($I224,'Price List, Weapons &amp; Items'!A:K,COLUMN('Price List, Weapons &amp; Items'!$K$1),0)</f>
        <v>no price, 0 count</v>
      </c>
      <c r="AS224" s="521">
        <f t="shared" si="47"/>
        <v>1</v>
      </c>
      <c r="AT224" s="521">
        <f t="shared" si="48"/>
        <v>1</v>
      </c>
      <c r="AU224" s="521" t="str">
        <f t="shared" si="49"/>
        <v>Value is not in date format</v>
      </c>
      <c r="AV224" s="521" t="str">
        <f t="shared" si="50"/>
        <v>.</v>
      </c>
    </row>
    <row r="225" spans="1:48" ht="15" customHeight="1">
      <c r="A225" s="18" t="s">
        <v>839</v>
      </c>
      <c r="B225" s="18" t="s">
        <v>840</v>
      </c>
      <c r="C225" s="511" t="s">
        <v>841</v>
      </c>
      <c r="D225" s="18" t="s">
        <v>252</v>
      </c>
      <c r="E225" s="18" t="s">
        <v>253</v>
      </c>
      <c r="F225" s="512" t="s">
        <v>842</v>
      </c>
      <c r="G225" s="39" t="s">
        <v>332</v>
      </c>
      <c r="H225" s="513">
        <v>240000000</v>
      </c>
      <c r="I225" s="41" t="s">
        <v>446</v>
      </c>
      <c r="J225" s="276" t="str">
        <f>VLOOKUP($I225,'Price List, Weapons &amp; Items'!A:B,2,0)</f>
        <v>Military equipment</v>
      </c>
      <c r="K225" s="276" t="str">
        <f>IF(I225=".",I225,VLOOKUP($I225,'Price List, Weapons &amp; Items'!A:C,3,0))</f>
        <v>.</v>
      </c>
      <c r="L225" s="514">
        <f>VLOOKUP(I225,'Price List, Weapons &amp; Items'!A:D,4,0)</f>
        <v>0</v>
      </c>
      <c r="M225" s="515" t="s">
        <v>264</v>
      </c>
      <c r="N225" s="515" t="str">
        <f t="shared" si="58"/>
        <v>undisclosed</v>
      </c>
      <c r="O225" s="516">
        <f>VLOOKUP($I225,'Price List, Weapons &amp; Items'!A:F,6,0)</f>
        <v>500</v>
      </c>
      <c r="P225" s="513" t="str">
        <f t="shared" si="59"/>
        <v>.</v>
      </c>
      <c r="Q225" s="513" t="str">
        <f t="shared" si="60"/>
        <v>.</v>
      </c>
      <c r="R225" s="513" t="str">
        <f t="shared" si="42"/>
        <v/>
      </c>
      <c r="S225" s="513" t="str">
        <f>IF(AND(AD225=1,R225&lt;&gt;".")=TRUE,R225/VLOOKUP(G225,'Exchange rates'!B:C,2,0),IF(R225=".",".",""))</f>
        <v/>
      </c>
      <c r="T225" s="513" t="str">
        <f>IF(AD225=1,IF(AF225="Value is not given at all",".",IF(AF225="Value is given by the source",S225,IF(AF225="Value is calculated with prices",(IF(SUMIFS(Q:Q,A:A,A225)&gt;0,SUMIFS(Q:Q,A:A,A225),"."))/VLOOKUP("USD",'Exchange rates'!B:C,2,0),"Error with coding"))),"")</f>
        <v/>
      </c>
      <c r="U225" s="39" t="s">
        <v>233</v>
      </c>
      <c r="V225" s="376" t="s">
        <v>844</v>
      </c>
      <c r="W225" s="376" t="s">
        <v>845</v>
      </c>
      <c r="X225" s="376" t="s">
        <v>846</v>
      </c>
      <c r="Y225" s="376" t="s">
        <v>847</v>
      </c>
      <c r="Z225" s="39">
        <v>0</v>
      </c>
      <c r="AA225" s="518">
        <v>0</v>
      </c>
      <c r="AB225" s="395" t="s">
        <v>848</v>
      </c>
      <c r="AC225" s="519" t="str">
        <f>""</f>
        <v/>
      </c>
      <c r="AD225" s="520">
        <v>0</v>
      </c>
      <c r="AE225" s="520" t="s">
        <v>236</v>
      </c>
      <c r="AF225" s="520" t="s">
        <v>236</v>
      </c>
      <c r="AG225" s="520">
        <v>1</v>
      </c>
      <c r="AH225" s="520">
        <v>5</v>
      </c>
      <c r="AI225" s="520">
        <v>0</v>
      </c>
      <c r="AJ225" s="520">
        <f>VLOOKUP($I225,'Price List, Weapons &amp; Items'!A:E,5,0)</f>
        <v>0</v>
      </c>
      <c r="AK225" s="520">
        <f t="shared" si="44"/>
        <v>0</v>
      </c>
      <c r="AL225" s="520">
        <f t="shared" si="45"/>
        <v>0</v>
      </c>
      <c r="AM225" s="520">
        <f t="shared" si="46"/>
        <v>0</v>
      </c>
      <c r="AN225" s="521" t="str">
        <f>VLOOKUP($I225,'Price List, Weapons &amp; Items'!A:K,COLUMN('Price List, Weapons &amp; Items'!$I$1),0)</f>
        <v>Military media (incl. websites)</v>
      </c>
      <c r="AO225" s="521" t="str">
        <f>IF(I225=".",".",VLOOKUP($I225,'Price List, Weapons &amp; Items'!A:I,3,0))</f>
        <v>.</v>
      </c>
      <c r="AP225" s="517" t="str">
        <f t="shared" ca="1" si="43"/>
        <v/>
      </c>
      <c r="AQ225" s="521">
        <f>VLOOKUP($I225,'Price List, Weapons &amp; Items'!A:K,COLUMN('Price List, Weapons &amp; Items'!$K$1),0)</f>
        <v>2</v>
      </c>
      <c r="AS225" s="521">
        <f t="shared" si="47"/>
        <v>1</v>
      </c>
      <c r="AT225" s="521">
        <f t="shared" si="48"/>
        <v>1</v>
      </c>
      <c r="AU225" s="521" t="str">
        <f t="shared" si="49"/>
        <v>Value is not in date format</v>
      </c>
      <c r="AV225" s="521" t="str">
        <f t="shared" si="50"/>
        <v>.</v>
      </c>
    </row>
    <row r="226" spans="1:48" ht="15" customHeight="1">
      <c r="A226" s="18" t="s">
        <v>839</v>
      </c>
      <c r="B226" s="18" t="s">
        <v>840</v>
      </c>
      <c r="C226" s="511" t="s">
        <v>841</v>
      </c>
      <c r="D226" s="18" t="s">
        <v>252</v>
      </c>
      <c r="E226" s="18" t="s">
        <v>253</v>
      </c>
      <c r="F226" s="512" t="s">
        <v>842</v>
      </c>
      <c r="G226" s="39" t="s">
        <v>332</v>
      </c>
      <c r="H226" s="513">
        <v>240000000</v>
      </c>
      <c r="I226" s="41" t="s">
        <v>858</v>
      </c>
      <c r="J226" s="276" t="str">
        <f>VLOOKUP($I226,'Price List, Weapons &amp; Items'!A:B,2,0)</f>
        <v>Military equipment</v>
      </c>
      <c r="K226" s="276">
        <f>IF(I226=".",I226,VLOOKUP($I226,'Price List, Weapons &amp; Items'!A:C,3,0))</f>
        <v>0</v>
      </c>
      <c r="L226" s="514">
        <f>VLOOKUP(I226,'Price List, Weapons &amp; Items'!A:D,4,0)</f>
        <v>0</v>
      </c>
      <c r="M226" s="515" t="s">
        <v>264</v>
      </c>
      <c r="N226" s="515" t="str">
        <f t="shared" si="58"/>
        <v>undisclosed</v>
      </c>
      <c r="O226" s="516" t="str">
        <f>VLOOKUP($I226,'Price List, Weapons &amp; Items'!A:F,6,0)</f>
        <v>.</v>
      </c>
      <c r="P226" s="513" t="str">
        <f t="shared" si="59"/>
        <v>.</v>
      </c>
      <c r="Q226" s="513" t="str">
        <f t="shared" si="60"/>
        <v>.</v>
      </c>
      <c r="R226" s="513" t="str">
        <f t="shared" si="42"/>
        <v/>
      </c>
      <c r="S226" s="513" t="str">
        <f>IF(AND(AD226=1,R226&lt;&gt;".")=TRUE,R226/VLOOKUP(G226,'Exchange rates'!B:C,2,0),IF(R226=".",".",""))</f>
        <v/>
      </c>
      <c r="T226" s="513" t="str">
        <f>IF(AD226=1,IF(AF226="Value is not given at all",".",IF(AF226="Value is given by the source",S226,IF(AF226="Value is calculated with prices",(IF(SUMIFS(Q:Q,A:A,A226)&gt;0,SUMIFS(Q:Q,A:A,A226),"."))/VLOOKUP("USD",'Exchange rates'!B:C,2,0),"Error with coding"))),"")</f>
        <v/>
      </c>
      <c r="U226" s="39" t="s">
        <v>233</v>
      </c>
      <c r="V226" s="376" t="s">
        <v>844</v>
      </c>
      <c r="W226" s="376" t="s">
        <v>845</v>
      </c>
      <c r="X226" s="376" t="s">
        <v>846</v>
      </c>
      <c r="Y226" s="376" t="s">
        <v>847</v>
      </c>
      <c r="Z226" s="39">
        <v>0</v>
      </c>
      <c r="AA226" s="518">
        <v>0</v>
      </c>
      <c r="AB226" s="395" t="s">
        <v>848</v>
      </c>
      <c r="AC226" s="519" t="str">
        <f>""</f>
        <v/>
      </c>
      <c r="AD226" s="520">
        <v>0</v>
      </c>
      <c r="AE226" s="520" t="s">
        <v>236</v>
      </c>
      <c r="AF226" s="520" t="s">
        <v>236</v>
      </c>
      <c r="AG226" s="520">
        <v>1</v>
      </c>
      <c r="AH226" s="520">
        <v>5</v>
      </c>
      <c r="AI226" s="520">
        <v>0</v>
      </c>
      <c r="AJ226" s="520">
        <f>VLOOKUP($I226,'Price List, Weapons &amp; Items'!A:E,5,0)</f>
        <v>0</v>
      </c>
      <c r="AK226" s="520">
        <f t="shared" si="44"/>
        <v>0</v>
      </c>
      <c r="AL226" s="520">
        <f t="shared" si="45"/>
        <v>0</v>
      </c>
      <c r="AM226" s="520">
        <f t="shared" si="46"/>
        <v>0</v>
      </c>
      <c r="AN226" s="521" t="str">
        <f>VLOOKUP($I226,'Price List, Weapons &amp; Items'!A:K,COLUMN('Price List, Weapons &amp; Items'!$I$1),0)</f>
        <v>.</v>
      </c>
      <c r="AO226" s="521">
        <f>IF(I226=".",".",VLOOKUP($I226,'Price List, Weapons &amp; Items'!A:I,3,0))</f>
        <v>0</v>
      </c>
      <c r="AP226" s="517" t="str">
        <f t="shared" ca="1" si="43"/>
        <v/>
      </c>
      <c r="AQ226" s="521">
        <f>VLOOKUP($I226,'Price List, Weapons &amp; Items'!A:K,COLUMN('Price List, Weapons &amp; Items'!$K$1),0)</f>
        <v>0</v>
      </c>
      <c r="AS226" s="521">
        <f t="shared" si="47"/>
        <v>1</v>
      </c>
      <c r="AT226" s="521">
        <f t="shared" si="48"/>
        <v>1</v>
      </c>
      <c r="AU226" s="521" t="str">
        <f t="shared" si="49"/>
        <v>Value is not in date format</v>
      </c>
      <c r="AV226" s="521" t="str">
        <f t="shared" si="50"/>
        <v>.</v>
      </c>
    </row>
    <row r="227" spans="1:48" ht="15" customHeight="1">
      <c r="A227" s="18" t="s">
        <v>839</v>
      </c>
      <c r="B227" s="18" t="s">
        <v>840</v>
      </c>
      <c r="C227" s="511" t="s">
        <v>841</v>
      </c>
      <c r="D227" s="18" t="s">
        <v>252</v>
      </c>
      <c r="E227" s="18" t="s">
        <v>253</v>
      </c>
      <c r="F227" s="512" t="s">
        <v>842</v>
      </c>
      <c r="G227" s="39" t="s">
        <v>332</v>
      </c>
      <c r="H227" s="513">
        <v>240000000</v>
      </c>
      <c r="I227" s="41" t="s">
        <v>859</v>
      </c>
      <c r="J227" s="276" t="str">
        <f>VLOOKUP($I227,'Price List, Weapons &amp; Items'!A:B,2,0)</f>
        <v>Aviation and drones</v>
      </c>
      <c r="K227" s="276" t="str">
        <f>IF(I227=".",I227,VLOOKUP($I227,'Price List, Weapons &amp; Items'!A:C,3,0))</f>
        <v>unknown drone</v>
      </c>
      <c r="L227" s="514">
        <f>VLOOKUP(I227,'Price List, Weapons &amp; Items'!A:D,4,0)</f>
        <v>0</v>
      </c>
      <c r="M227" s="515" t="s">
        <v>264</v>
      </c>
      <c r="N227" s="515" t="str">
        <f t="shared" si="58"/>
        <v>undisclosed</v>
      </c>
      <c r="O227" s="516">
        <f>VLOOKUP($I227,'Price List, Weapons &amp; Items'!A:F,6,0)</f>
        <v>6000</v>
      </c>
      <c r="P227" s="513" t="str">
        <f t="shared" si="59"/>
        <v>.</v>
      </c>
      <c r="Q227" s="513" t="str">
        <f t="shared" si="60"/>
        <v>.</v>
      </c>
      <c r="R227" s="513" t="str">
        <f t="shared" si="42"/>
        <v/>
      </c>
      <c r="S227" s="513" t="str">
        <f>IF(AND(AD227=1,R227&lt;&gt;".")=TRUE,R227/VLOOKUP(G227,'Exchange rates'!B:C,2,0),IF(R227=".",".",""))</f>
        <v/>
      </c>
      <c r="T227" s="513" t="str">
        <f>IF(AD227=1,IF(AF227="Value is not given at all",".",IF(AF227="Value is given by the source",S227,IF(AF227="Value is calculated with prices",(IF(SUMIFS(Q:Q,A:A,A227)&gt;0,SUMIFS(Q:Q,A:A,A227),"."))/VLOOKUP("USD",'Exchange rates'!B:C,2,0),"Error with coding"))),"")</f>
        <v/>
      </c>
      <c r="U227" s="39" t="s">
        <v>233</v>
      </c>
      <c r="V227" s="376" t="s">
        <v>844</v>
      </c>
      <c r="W227" s="376" t="s">
        <v>845</v>
      </c>
      <c r="X227" s="376" t="s">
        <v>846</v>
      </c>
      <c r="Y227" s="376" t="s">
        <v>847</v>
      </c>
      <c r="Z227" s="39">
        <v>0</v>
      </c>
      <c r="AA227" s="518">
        <v>0</v>
      </c>
      <c r="AB227" s="395" t="s">
        <v>848</v>
      </c>
      <c r="AC227" s="519" t="str">
        <f>""</f>
        <v/>
      </c>
      <c r="AD227" s="520">
        <v>0</v>
      </c>
      <c r="AE227" s="520" t="s">
        <v>236</v>
      </c>
      <c r="AF227" s="520" t="s">
        <v>236</v>
      </c>
      <c r="AG227" s="520">
        <v>1</v>
      </c>
      <c r="AH227" s="520">
        <v>5</v>
      </c>
      <c r="AI227" s="520">
        <v>0</v>
      </c>
      <c r="AJ227" s="520">
        <f>VLOOKUP($I227,'Price List, Weapons &amp; Items'!A:E,5,0)</f>
        <v>0</v>
      </c>
      <c r="AK227" s="520">
        <f t="shared" si="44"/>
        <v>0</v>
      </c>
      <c r="AL227" s="520">
        <f t="shared" si="45"/>
        <v>0</v>
      </c>
      <c r="AM227" s="520">
        <f t="shared" si="46"/>
        <v>0</v>
      </c>
      <c r="AN227" s="521" t="str">
        <f>VLOOKUP($I227,'Price List, Weapons &amp; Items'!A:K,COLUMN('Price List, Weapons &amp; Items'!$I$1),0)</f>
        <v>Miscellaneous</v>
      </c>
      <c r="AO227" s="521" t="str">
        <f>IF(I227=".",".",VLOOKUP($I227,'Price List, Weapons &amp; Items'!A:I,3,0))</f>
        <v>unknown drone</v>
      </c>
      <c r="AP227" s="517" t="str">
        <f t="shared" ca="1" si="43"/>
        <v/>
      </c>
      <c r="AQ227" s="521">
        <f>VLOOKUP($I227,'Price List, Weapons &amp; Items'!A:K,COLUMN('Price List, Weapons &amp; Items'!$K$1),0)</f>
        <v>1</v>
      </c>
      <c r="AS227" s="521">
        <f t="shared" si="47"/>
        <v>1</v>
      </c>
      <c r="AT227" s="521">
        <f t="shared" si="48"/>
        <v>1</v>
      </c>
      <c r="AU227" s="521" t="str">
        <f t="shared" si="49"/>
        <v>Value is not in date format</v>
      </c>
      <c r="AV227" s="521" t="str">
        <f t="shared" si="50"/>
        <v>.</v>
      </c>
    </row>
    <row r="228" spans="1:48" ht="15" customHeight="1">
      <c r="A228" s="18" t="s">
        <v>839</v>
      </c>
      <c r="B228" s="18" t="s">
        <v>840</v>
      </c>
      <c r="C228" s="511" t="s">
        <v>841</v>
      </c>
      <c r="D228" s="18" t="s">
        <v>252</v>
      </c>
      <c r="E228" s="18" t="s">
        <v>253</v>
      </c>
      <c r="F228" s="512" t="s">
        <v>842</v>
      </c>
      <c r="G228" s="39" t="s">
        <v>332</v>
      </c>
      <c r="H228" s="513">
        <v>240000000</v>
      </c>
      <c r="I228" s="41" t="s">
        <v>529</v>
      </c>
      <c r="J228" s="276" t="str">
        <f>VLOOKUP($I228,'Price List, Weapons &amp; Items'!A:B,2,0)</f>
        <v>Military equipment</v>
      </c>
      <c r="K228" s="276" t="str">
        <f>IF(I228=".",I228,VLOOKUP($I228,'Price List, Weapons &amp; Items'!A:C,3,0))</f>
        <v>.</v>
      </c>
      <c r="L228" s="514">
        <f>VLOOKUP(I228,'Price List, Weapons &amp; Items'!A:D,4,0)</f>
        <v>0</v>
      </c>
      <c r="M228" s="515" t="s">
        <v>264</v>
      </c>
      <c r="N228" s="515" t="str">
        <f t="shared" si="58"/>
        <v>undisclosed</v>
      </c>
      <c r="O228" s="516">
        <f>VLOOKUP($I228,'Price List, Weapons &amp; Items'!A:F,6,0)</f>
        <v>2320</v>
      </c>
      <c r="P228" s="513" t="str">
        <f t="shared" si="59"/>
        <v>.</v>
      </c>
      <c r="Q228" s="513" t="str">
        <f t="shared" si="60"/>
        <v>.</v>
      </c>
      <c r="R228" s="513" t="str">
        <f t="shared" si="42"/>
        <v/>
      </c>
      <c r="S228" s="513" t="str">
        <f>IF(AND(AD228=1,R228&lt;&gt;".")=TRUE,R228/VLOOKUP(G228,'Exchange rates'!B:C,2,0),IF(R228=".",".",""))</f>
        <v/>
      </c>
      <c r="T228" s="513" t="str">
        <f>IF(AD228=1,IF(AF228="Value is not given at all",".",IF(AF228="Value is given by the source",S228,IF(AF228="Value is calculated with prices",(IF(SUMIFS(Q:Q,A:A,A228)&gt;0,SUMIFS(Q:Q,A:A,A228),"."))/VLOOKUP("USD",'Exchange rates'!B:C,2,0),"Error with coding"))),"")</f>
        <v/>
      </c>
      <c r="U228" s="39" t="s">
        <v>233</v>
      </c>
      <c r="V228" s="376" t="s">
        <v>844</v>
      </c>
      <c r="W228" s="376" t="s">
        <v>845</v>
      </c>
      <c r="X228" s="376" t="s">
        <v>846</v>
      </c>
      <c r="Y228" s="376" t="s">
        <v>847</v>
      </c>
      <c r="Z228" s="39">
        <v>0</v>
      </c>
      <c r="AA228" s="518">
        <v>0</v>
      </c>
      <c r="AB228" s="395" t="s">
        <v>848</v>
      </c>
      <c r="AC228" s="519" t="str">
        <f>""</f>
        <v/>
      </c>
      <c r="AD228" s="520">
        <v>0</v>
      </c>
      <c r="AE228" s="520" t="s">
        <v>236</v>
      </c>
      <c r="AF228" s="520" t="s">
        <v>236</v>
      </c>
      <c r="AG228" s="520">
        <v>1</v>
      </c>
      <c r="AH228" s="520">
        <v>5</v>
      </c>
      <c r="AI228" s="520">
        <v>0</v>
      </c>
      <c r="AJ228" s="520">
        <f>VLOOKUP($I228,'Price List, Weapons &amp; Items'!A:E,5,0)</f>
        <v>0</v>
      </c>
      <c r="AK228" s="520">
        <f t="shared" si="44"/>
        <v>0</v>
      </c>
      <c r="AL228" s="520">
        <f t="shared" si="45"/>
        <v>0</v>
      </c>
      <c r="AM228" s="520">
        <f t="shared" si="46"/>
        <v>0</v>
      </c>
      <c r="AN228" s="521" t="str">
        <f>VLOOKUP($I228,'Price List, Weapons &amp; Items'!A:K,COLUMN('Price List, Weapons &amp; Items'!$I$1),0)</f>
        <v>Media reports (incl. social media)</v>
      </c>
      <c r="AO228" s="521" t="str">
        <f>IF(I228=".",".",VLOOKUP($I228,'Price List, Weapons &amp; Items'!A:I,3,0))</f>
        <v>.</v>
      </c>
      <c r="AP228" s="517" t="str">
        <f t="shared" ca="1" si="43"/>
        <v/>
      </c>
      <c r="AQ228" s="521">
        <f>VLOOKUP($I228,'Price List, Weapons &amp; Items'!A:K,COLUMN('Price List, Weapons &amp; Items'!$K$1),0)</f>
        <v>2</v>
      </c>
      <c r="AS228" s="521">
        <f t="shared" si="47"/>
        <v>1</v>
      </c>
      <c r="AT228" s="521">
        <f t="shared" si="48"/>
        <v>1</v>
      </c>
      <c r="AU228" s="521" t="str">
        <f t="shared" si="49"/>
        <v>Value is not in date format</v>
      </c>
      <c r="AV228" s="521" t="str">
        <f t="shared" si="50"/>
        <v>.</v>
      </c>
    </row>
    <row r="229" spans="1:48" ht="15" customHeight="1">
      <c r="A229" s="18" t="s">
        <v>839</v>
      </c>
      <c r="B229" s="18" t="s">
        <v>840</v>
      </c>
      <c r="C229" s="511" t="s">
        <v>841</v>
      </c>
      <c r="D229" s="18" t="s">
        <v>252</v>
      </c>
      <c r="E229" s="18" t="s">
        <v>253</v>
      </c>
      <c r="F229" s="512" t="s">
        <v>842</v>
      </c>
      <c r="G229" s="39" t="s">
        <v>332</v>
      </c>
      <c r="H229" s="513">
        <v>240000000</v>
      </c>
      <c r="I229" s="41" t="s">
        <v>860</v>
      </c>
      <c r="J229" s="276" t="str">
        <f>VLOOKUP($I229,'Price List, Weapons &amp; Items'!A:B,2,0)</f>
        <v>Military equipment</v>
      </c>
      <c r="K229" s="276" t="str">
        <f>IF(I229=".",I229,VLOOKUP($I229,'Price List, Weapons &amp; Items'!A:C,3,0))</f>
        <v>radar and imagery systems</v>
      </c>
      <c r="L229" s="514">
        <f>VLOOKUP(I229,'Price List, Weapons &amp; Items'!A:D,4,0)</f>
        <v>0</v>
      </c>
      <c r="M229" s="515" t="s">
        <v>264</v>
      </c>
      <c r="N229" s="515" t="str">
        <f t="shared" si="58"/>
        <v>undisclosed</v>
      </c>
      <c r="O229" s="516">
        <f>VLOOKUP($I229,'Price List, Weapons &amp; Items'!A:F,6,0)</f>
        <v>5000</v>
      </c>
      <c r="P229" s="513" t="str">
        <f t="shared" si="59"/>
        <v>.</v>
      </c>
      <c r="Q229" s="513" t="str">
        <f t="shared" si="60"/>
        <v>.</v>
      </c>
      <c r="R229" s="513" t="str">
        <f t="shared" si="42"/>
        <v/>
      </c>
      <c r="S229" s="513" t="str">
        <f>IF(AND(AD229=1,R229&lt;&gt;".")=TRUE,R229/VLOOKUP(G229,'Exchange rates'!B:C,2,0),IF(R229=".",".",""))</f>
        <v/>
      </c>
      <c r="T229" s="513" t="str">
        <f>IF(AD229=1,IF(AF229="Value is not given at all",".",IF(AF229="Value is given by the source",S229,IF(AF229="Value is calculated with prices",(IF(SUMIFS(Q:Q,A:A,A229)&gt;0,SUMIFS(Q:Q,A:A,A229),"."))/VLOOKUP("USD",'Exchange rates'!B:C,2,0),"Error with coding"))),"")</f>
        <v/>
      </c>
      <c r="U229" s="39" t="s">
        <v>233</v>
      </c>
      <c r="V229" s="376" t="s">
        <v>844</v>
      </c>
      <c r="W229" s="376" t="s">
        <v>845</v>
      </c>
      <c r="X229" s="376" t="s">
        <v>846</v>
      </c>
      <c r="Y229" s="376" t="s">
        <v>847</v>
      </c>
      <c r="Z229" s="39">
        <v>0</v>
      </c>
      <c r="AA229" s="518">
        <v>0</v>
      </c>
      <c r="AB229" s="395" t="s">
        <v>848</v>
      </c>
      <c r="AC229" s="519" t="str">
        <f>""</f>
        <v/>
      </c>
      <c r="AD229" s="520">
        <v>0</v>
      </c>
      <c r="AE229" s="520" t="s">
        <v>236</v>
      </c>
      <c r="AF229" s="520" t="s">
        <v>236</v>
      </c>
      <c r="AG229" s="520">
        <v>1</v>
      </c>
      <c r="AH229" s="520">
        <v>5</v>
      </c>
      <c r="AI229" s="520">
        <v>0</v>
      </c>
      <c r="AJ229" s="520">
        <f>VLOOKUP($I229,'Price List, Weapons &amp; Items'!A:E,5,0)</f>
        <v>0</v>
      </c>
      <c r="AK229" s="520">
        <f t="shared" si="44"/>
        <v>0</v>
      </c>
      <c r="AL229" s="520">
        <f t="shared" si="45"/>
        <v>0</v>
      </c>
      <c r="AM229" s="520">
        <f t="shared" si="46"/>
        <v>0</v>
      </c>
      <c r="AN229" s="521" t="str">
        <f>VLOOKUP($I229,'Price List, Weapons &amp; Items'!A:K,COLUMN('Price List, Weapons &amp; Items'!$I$1),0)</f>
        <v>Miscellaneous</v>
      </c>
      <c r="AO229" s="521" t="str">
        <f>IF(I229=".",".",VLOOKUP($I229,'Price List, Weapons &amp; Items'!A:I,3,0))</f>
        <v>radar and imagery systems</v>
      </c>
      <c r="AP229" s="517" t="str">
        <f t="shared" ca="1" si="43"/>
        <v/>
      </c>
      <c r="AQ229" s="521" t="str">
        <f>VLOOKUP($I229,'Price List, Weapons &amp; Items'!A:K,COLUMN('Price List, Weapons &amp; Items'!$K$1),0)</f>
        <v>no price, 0 count</v>
      </c>
      <c r="AS229" s="521">
        <f t="shared" si="47"/>
        <v>1</v>
      </c>
      <c r="AT229" s="521">
        <f t="shared" si="48"/>
        <v>1</v>
      </c>
      <c r="AU229" s="521" t="str">
        <f t="shared" si="49"/>
        <v>Value is not in date format</v>
      </c>
      <c r="AV229" s="521" t="str">
        <f t="shared" si="50"/>
        <v>.</v>
      </c>
    </row>
    <row r="230" spans="1:48" ht="15" customHeight="1">
      <c r="A230" s="18" t="s">
        <v>839</v>
      </c>
      <c r="B230" s="18" t="s">
        <v>840</v>
      </c>
      <c r="C230" s="511" t="s">
        <v>841</v>
      </c>
      <c r="D230" s="18" t="s">
        <v>252</v>
      </c>
      <c r="E230" s="18" t="s">
        <v>253</v>
      </c>
      <c r="F230" s="512" t="s">
        <v>842</v>
      </c>
      <c r="G230" s="39" t="s">
        <v>332</v>
      </c>
      <c r="H230" s="513">
        <v>240000000</v>
      </c>
      <c r="I230" s="41" t="s">
        <v>861</v>
      </c>
      <c r="J230" s="276" t="str">
        <f>VLOOKUP($I230,'Price List, Weapons &amp; Items'!A:B,2,0)</f>
        <v>Military equipment</v>
      </c>
      <c r="K230" s="276" t="str">
        <f>IF(I230=".",I230,VLOOKUP($I230,'Price List, Weapons &amp; Items'!A:C,3,0))</f>
        <v>.</v>
      </c>
      <c r="L230" s="514">
        <f>VLOOKUP(I230,'Price List, Weapons &amp; Items'!A:D,4,0)</f>
        <v>0</v>
      </c>
      <c r="M230" s="515" t="s">
        <v>264</v>
      </c>
      <c r="N230" s="515" t="str">
        <f t="shared" si="58"/>
        <v>undisclosed</v>
      </c>
      <c r="O230" s="516">
        <f>VLOOKUP($I230,'Price List, Weapons &amp; Items'!A:F,6,0)</f>
        <v>51404</v>
      </c>
      <c r="P230" s="513" t="str">
        <f t="shared" si="59"/>
        <v>.</v>
      </c>
      <c r="Q230" s="513" t="str">
        <f t="shared" si="60"/>
        <v>.</v>
      </c>
      <c r="R230" s="513" t="str">
        <f t="shared" si="42"/>
        <v/>
      </c>
      <c r="S230" s="513" t="str">
        <f>IF(AND(AD230=1,R230&lt;&gt;".")=TRUE,R230/VLOOKUP(G230,'Exchange rates'!B:C,2,0),IF(R230=".",".",""))</f>
        <v/>
      </c>
      <c r="T230" s="513" t="str">
        <f>IF(AD230=1,IF(AF230="Value is not given at all",".",IF(AF230="Value is given by the source",S230,IF(AF230="Value is calculated with prices",(IF(SUMIFS(Q:Q,A:A,A230)&gt;0,SUMIFS(Q:Q,A:A,A230),"."))/VLOOKUP("USD",'Exchange rates'!B:C,2,0),"Error with coding"))),"")</f>
        <v/>
      </c>
      <c r="U230" s="39" t="s">
        <v>233</v>
      </c>
      <c r="V230" s="376" t="s">
        <v>844</v>
      </c>
      <c r="W230" s="376" t="s">
        <v>845</v>
      </c>
      <c r="X230" s="376" t="s">
        <v>846</v>
      </c>
      <c r="Y230" s="376" t="s">
        <v>847</v>
      </c>
      <c r="Z230" s="39">
        <v>0</v>
      </c>
      <c r="AA230" s="518">
        <v>0</v>
      </c>
      <c r="AB230" s="395" t="s">
        <v>848</v>
      </c>
      <c r="AC230" s="519" t="str">
        <f>""</f>
        <v/>
      </c>
      <c r="AD230" s="520">
        <v>0</v>
      </c>
      <c r="AE230" s="520" t="s">
        <v>236</v>
      </c>
      <c r="AF230" s="520" t="s">
        <v>236</v>
      </c>
      <c r="AG230" s="520">
        <v>1</v>
      </c>
      <c r="AH230" s="520">
        <v>5</v>
      </c>
      <c r="AI230" s="520">
        <v>0</v>
      </c>
      <c r="AJ230" s="520">
        <f>VLOOKUP($I230,'Price List, Weapons &amp; Items'!A:E,5,0)</f>
        <v>0</v>
      </c>
      <c r="AK230" s="520">
        <f t="shared" si="44"/>
        <v>0</v>
      </c>
      <c r="AL230" s="520">
        <f t="shared" si="45"/>
        <v>0</v>
      </c>
      <c r="AM230" s="520">
        <f t="shared" si="46"/>
        <v>0</v>
      </c>
      <c r="AN230" s="521" t="str">
        <f>VLOOKUP($I230,'Price List, Weapons &amp; Items'!A:K,COLUMN('Price List, Weapons &amp; Items'!$I$1),0)</f>
        <v>Contracts</v>
      </c>
      <c r="AO230" s="521" t="str">
        <f>IF(I230=".",".",VLOOKUP($I230,'Price List, Weapons &amp; Items'!A:I,3,0))</f>
        <v>.</v>
      </c>
      <c r="AP230" s="517" t="str">
        <f t="shared" ca="1" si="43"/>
        <v/>
      </c>
      <c r="AQ230" s="521">
        <f>VLOOKUP($I230,'Price List, Weapons &amp; Items'!A:K,COLUMN('Price List, Weapons &amp; Items'!$K$1),0)</f>
        <v>2</v>
      </c>
      <c r="AS230" s="521">
        <f t="shared" si="47"/>
        <v>1</v>
      </c>
      <c r="AT230" s="521">
        <f t="shared" si="48"/>
        <v>1</v>
      </c>
      <c r="AU230" s="521" t="str">
        <f t="shared" si="49"/>
        <v>Value is not in date format</v>
      </c>
      <c r="AV230" s="521" t="str">
        <f t="shared" si="50"/>
        <v>.</v>
      </c>
    </row>
    <row r="231" spans="1:48" ht="15" customHeight="1">
      <c r="A231" s="18" t="s">
        <v>839</v>
      </c>
      <c r="B231" s="18" t="s">
        <v>840</v>
      </c>
      <c r="C231" s="511" t="s">
        <v>841</v>
      </c>
      <c r="D231" s="18" t="s">
        <v>252</v>
      </c>
      <c r="E231" s="18" t="s">
        <v>253</v>
      </c>
      <c r="F231" s="512" t="s">
        <v>842</v>
      </c>
      <c r="G231" s="39" t="s">
        <v>332</v>
      </c>
      <c r="H231" s="513">
        <v>240000000</v>
      </c>
      <c r="I231" s="41" t="s">
        <v>862</v>
      </c>
      <c r="J231" s="276" t="str">
        <f>VLOOKUP($I231,'Price List, Weapons &amp; Items'!A:B,2,0)</f>
        <v>Military equipment</v>
      </c>
      <c r="K231" s="276" t="str">
        <f>IF(I231=".",I231,VLOOKUP($I231,'Price List, Weapons &amp; Items'!A:C,3,0))</f>
        <v>Protected Patrol Vehicle (PPV)</v>
      </c>
      <c r="L231" s="514">
        <f>VLOOKUP(I231,'Price List, Weapons &amp; Items'!A:D,4,0)</f>
        <v>0</v>
      </c>
      <c r="M231" s="515">
        <v>7</v>
      </c>
      <c r="N231" s="515">
        <v>7</v>
      </c>
      <c r="O231" s="516">
        <f>VLOOKUP($I231,'Price List, Weapons &amp; Items'!A:F,6,0)</f>
        <v>94462</v>
      </c>
      <c r="P231" s="513">
        <f t="shared" si="59"/>
        <v>661234</v>
      </c>
      <c r="Q231" s="513">
        <f t="shared" si="60"/>
        <v>661234</v>
      </c>
      <c r="R231" s="513" t="str">
        <f t="shared" si="42"/>
        <v/>
      </c>
      <c r="S231" s="513" t="str">
        <f>IF(AND(AD231=1,R231&lt;&gt;".")=TRUE,R231/VLOOKUP(G231,'Exchange rates'!B:C,2,0),IF(R231=".",".",""))</f>
        <v/>
      </c>
      <c r="T231" s="513" t="str">
        <f>IF(AD231=1,IF(AF231="Value is not given at all",".",IF(AF231="Value is given by the source",S231,IF(AF231="Value is calculated with prices",(IF(SUMIFS(Q:Q,A:A,A231)&gt;0,SUMIFS(Q:Q,A:A,A231),"."))/VLOOKUP("USD",'Exchange rates'!B:C,2,0),"Error with coding"))),"")</f>
        <v/>
      </c>
      <c r="U231" s="39" t="s">
        <v>233</v>
      </c>
      <c r="V231" s="42" t="s">
        <v>863</v>
      </c>
      <c r="W231" s="376" t="s">
        <v>845</v>
      </c>
      <c r="X231" s="376" t="s">
        <v>846</v>
      </c>
      <c r="Y231" s="42" t="s">
        <v>864</v>
      </c>
      <c r="Z231" s="39">
        <v>0</v>
      </c>
      <c r="AA231" s="518">
        <v>0</v>
      </c>
      <c r="AB231" s="395" t="s">
        <v>848</v>
      </c>
      <c r="AC231" s="519" t="str">
        <f>""</f>
        <v/>
      </c>
      <c r="AD231" s="520">
        <v>0</v>
      </c>
      <c r="AE231" s="520" t="s">
        <v>236</v>
      </c>
      <c r="AF231" s="520" t="s">
        <v>236</v>
      </c>
      <c r="AG231" s="520">
        <v>1</v>
      </c>
      <c r="AH231" s="520">
        <v>5</v>
      </c>
      <c r="AI231" s="520">
        <v>0</v>
      </c>
      <c r="AJ231" s="520">
        <f>VLOOKUP($I231,'Price List, Weapons &amp; Items'!A:E,5,0)</f>
        <v>1</v>
      </c>
      <c r="AK231" s="520">
        <f t="shared" si="44"/>
        <v>0</v>
      </c>
      <c r="AL231" s="520">
        <f t="shared" si="45"/>
        <v>0</v>
      </c>
      <c r="AM231" s="520">
        <f t="shared" si="46"/>
        <v>0</v>
      </c>
      <c r="AN231" s="521" t="str">
        <f>VLOOKUP($I231,'Price List, Weapons &amp; Items'!A:K,COLUMN('Price List, Weapons &amp; Items'!$I$1),0)</f>
        <v>Military media (incl. websites)</v>
      </c>
      <c r="AO231" s="521" t="str">
        <f>IF(I231=".",".",VLOOKUP($I231,'Price List, Weapons &amp; Items'!A:I,3,0))</f>
        <v>Protected Patrol Vehicle (PPV)</v>
      </c>
      <c r="AP231" s="517" t="str">
        <f t="shared" ca="1" si="43"/>
        <v/>
      </c>
      <c r="AQ231" s="521">
        <f>VLOOKUP($I231,'Price List, Weapons &amp; Items'!A:K,COLUMN('Price List, Weapons &amp; Items'!$K$1),0)</f>
        <v>1</v>
      </c>
      <c r="AS231" s="521">
        <f t="shared" si="47"/>
        <v>1</v>
      </c>
      <c r="AT231" s="521">
        <f t="shared" si="48"/>
        <v>1</v>
      </c>
      <c r="AU231" s="521" t="str">
        <f t="shared" si="49"/>
        <v>Value is not in date format</v>
      </c>
      <c r="AV231" s="521" t="str">
        <f t="shared" si="50"/>
        <v>.</v>
      </c>
    </row>
    <row r="232" spans="1:48" ht="15" customHeight="1">
      <c r="A232" s="41" t="s">
        <v>865</v>
      </c>
      <c r="B232" s="41" t="s">
        <v>840</v>
      </c>
      <c r="C232" s="511">
        <v>44657</v>
      </c>
      <c r="D232" s="18" t="s">
        <v>252</v>
      </c>
      <c r="E232" s="18" t="s">
        <v>261</v>
      </c>
      <c r="F232" s="512" t="s">
        <v>866</v>
      </c>
      <c r="G232" s="39" t="s">
        <v>332</v>
      </c>
      <c r="H232" s="513">
        <v>5000000</v>
      </c>
      <c r="I232" s="41" t="s">
        <v>867</v>
      </c>
      <c r="J232" s="276" t="str">
        <f>VLOOKUP($I232,'Price List, Weapons &amp; Items'!A:B,2,0)</f>
        <v>Military equipment</v>
      </c>
      <c r="K232" s="276" t="str">
        <f>IF(I232=".",I232,VLOOKUP($I232,'Price List, Weapons &amp; Items'!A:C,3,0))</f>
        <v>.</v>
      </c>
      <c r="L232" s="514">
        <f>VLOOKUP(I232,'Price List, Weapons &amp; Items'!A:D,4,0)</f>
        <v>0</v>
      </c>
      <c r="M232" s="515" t="s">
        <v>264</v>
      </c>
      <c r="N232" s="515" t="str">
        <f>M232</f>
        <v>undisclosed</v>
      </c>
      <c r="O232" s="516">
        <f>VLOOKUP($I232,'Price List, Weapons &amp; Items'!A:F,6,0)</f>
        <v>1.29</v>
      </c>
      <c r="P232" s="513" t="str">
        <f t="shared" si="59"/>
        <v>.</v>
      </c>
      <c r="Q232" s="513" t="str">
        <f t="shared" si="60"/>
        <v>.</v>
      </c>
      <c r="R232" s="513">
        <f t="shared" si="42"/>
        <v>5000000</v>
      </c>
      <c r="S232" s="513">
        <f>IF(AND(AD232=1,R232&lt;&gt;".")=TRUE,R232/VLOOKUP(G232,'Exchange rates'!B:C,2,0),IF(R232=".",".",""))</f>
        <v>5000000</v>
      </c>
      <c r="T232" s="513" t="str">
        <f>IF(AD232=1,IF(AF232="Value is not given at all",".",IF(AF232="Value is given by the source",S232,IF(AF232="Value is calculated with prices",(IF(SUMIFS(Q:Q,A:A,A232)&gt;0,SUMIFS(Q:Q,A:A,A232),"."))/VLOOKUP("USD",'Exchange rates'!B:C,2,0),"Error with coding"))),"")</f>
        <v>.</v>
      </c>
      <c r="U232" s="39" t="s">
        <v>372</v>
      </c>
      <c r="V232" s="42" t="s">
        <v>847</v>
      </c>
      <c r="W232" s="825" t="s">
        <v>868</v>
      </c>
      <c r="X232" s="512" t="s">
        <v>232</v>
      </c>
      <c r="Y232" s="512" t="s">
        <v>232</v>
      </c>
      <c r="Z232" s="39">
        <v>0</v>
      </c>
      <c r="AA232" s="518">
        <v>0</v>
      </c>
      <c r="AB232" s="38" t="s">
        <v>232</v>
      </c>
      <c r="AC232" s="519" t="str">
        <f>""</f>
        <v/>
      </c>
      <c r="AD232" s="520">
        <v>1</v>
      </c>
      <c r="AE232" s="520" t="s">
        <v>236</v>
      </c>
      <c r="AF232" s="520" t="s">
        <v>237</v>
      </c>
      <c r="AG232" s="520">
        <v>1</v>
      </c>
      <c r="AH232" s="520">
        <v>4</v>
      </c>
      <c r="AI232" s="520">
        <v>0</v>
      </c>
      <c r="AJ232" s="520">
        <f>VLOOKUP($I232,'Price List, Weapons &amp; Items'!A:E,5,0)</f>
        <v>0</v>
      </c>
      <c r="AK232" s="520">
        <f t="shared" si="44"/>
        <v>0</v>
      </c>
      <c r="AL232" s="520">
        <f t="shared" si="45"/>
        <v>0</v>
      </c>
      <c r="AM232" s="520">
        <f t="shared" si="46"/>
        <v>0</v>
      </c>
      <c r="AN232" s="521" t="str">
        <f>VLOOKUP($I232,'Price List, Weapons &amp; Items'!A:K,COLUMN('Price List, Weapons &amp; Items'!$I$1),0)</f>
        <v>Miscellaneous</v>
      </c>
      <c r="AO232" s="521" t="str">
        <f>IF(I232=".",".",VLOOKUP($I232,'Price List, Weapons &amp; Items'!A:I,3,0))</f>
        <v>.</v>
      </c>
      <c r="AP232" s="517" t="str">
        <f t="shared" ca="1" si="43"/>
        <v>liter of fuel M</v>
      </c>
      <c r="AQ232" s="521" t="str">
        <f>VLOOKUP($I232,'Price List, Weapons &amp; Items'!A:K,COLUMN('Price List, Weapons &amp; Items'!$K$1),0)</f>
        <v>no price, 0 count</v>
      </c>
      <c r="AS232" s="521">
        <f t="shared" si="47"/>
        <v>0</v>
      </c>
      <c r="AT232" s="521">
        <f t="shared" si="48"/>
        <v>1</v>
      </c>
      <c r="AU232" s="521">
        <f t="shared" si="49"/>
        <v>1</v>
      </c>
      <c r="AV232" s="521" t="str">
        <f t="shared" si="50"/>
        <v>.</v>
      </c>
    </row>
    <row r="233" spans="1:48" ht="15" customHeight="1">
      <c r="A233" s="41" t="s">
        <v>869</v>
      </c>
      <c r="B233" s="41" t="s">
        <v>840</v>
      </c>
      <c r="C233" s="511">
        <v>44601</v>
      </c>
      <c r="D233" s="18" t="s">
        <v>252</v>
      </c>
      <c r="E233" s="18" t="s">
        <v>261</v>
      </c>
      <c r="F233" s="512" t="s">
        <v>870</v>
      </c>
      <c r="G233" s="39" t="s">
        <v>332</v>
      </c>
      <c r="H233" s="513">
        <v>5300000</v>
      </c>
      <c r="I233" s="1" t="s">
        <v>871</v>
      </c>
      <c r="J233" s="276" t="str">
        <f>VLOOKUP($I233,'Price List, Weapons &amp; Items'!A:B,2,0)</f>
        <v>Military equipment</v>
      </c>
      <c r="K233" s="276" t="str">
        <f>IF(I233=".",I233,VLOOKUP($I233,'Price List, Weapons &amp; Items'!A:C,3,0))</f>
        <v>.</v>
      </c>
      <c r="L233" s="514">
        <f>VLOOKUP(I233,'Price List, Weapons &amp; Items'!A:D,4,0)</f>
        <v>0</v>
      </c>
      <c r="M233" s="515">
        <v>1</v>
      </c>
      <c r="N233" s="515">
        <v>1</v>
      </c>
      <c r="O233" s="516">
        <f>VLOOKUP($I233,'Price List, Weapons &amp; Items'!A:F,6,0)</f>
        <v>6060550</v>
      </c>
      <c r="P233" s="513">
        <f t="shared" si="59"/>
        <v>6060550</v>
      </c>
      <c r="Q233" s="513">
        <f t="shared" si="60"/>
        <v>6060550</v>
      </c>
      <c r="R233" s="513">
        <f t="shared" si="42"/>
        <v>5300000</v>
      </c>
      <c r="S233" s="513">
        <f>IF(AND(AD233=1,R233&lt;&gt;".")=TRUE,R233/VLOOKUP(G233,'Exchange rates'!B:C,2,0),IF(R233=".",".",""))</f>
        <v>5300000</v>
      </c>
      <c r="T233" s="513">
        <f>IF(AD233=1,IF(AF233="Value is not given at all",".",IF(AF233="Value is given by the source",S233,IF(AF233="Value is calculated with prices",(IF(SUMIFS(Q:Q,A:A,A233)&gt;0,SUMIFS(Q:Q,A:A,A233),"."))/VLOOKUP("USD",'Exchange rates'!B:C,2,0),"Error with coding"))),"")</f>
        <v>5300000</v>
      </c>
      <c r="U233" s="39" t="s">
        <v>233</v>
      </c>
      <c r="V233" s="42" t="s">
        <v>872</v>
      </c>
      <c r="W233" s="825" t="s">
        <v>873</v>
      </c>
      <c r="X233" s="512" t="s">
        <v>232</v>
      </c>
      <c r="Y233" s="517" t="s">
        <v>232</v>
      </c>
      <c r="Z233" s="39">
        <v>0</v>
      </c>
      <c r="AA233" s="518">
        <v>0</v>
      </c>
      <c r="AB233" s="832" t="s">
        <v>873</v>
      </c>
      <c r="AC233" s="519" t="str">
        <f>""</f>
        <v/>
      </c>
      <c r="AD233" s="520">
        <v>1</v>
      </c>
      <c r="AE233" s="520" t="s">
        <v>236</v>
      </c>
      <c r="AF233" s="520" t="s">
        <v>236</v>
      </c>
      <c r="AG233" s="520">
        <v>1</v>
      </c>
      <c r="AH233" s="520">
        <v>2</v>
      </c>
      <c r="AI233" s="520">
        <v>1</v>
      </c>
      <c r="AJ233" s="520">
        <f>VLOOKUP($I233,'Price List, Weapons &amp; Items'!A:E,5,0)</f>
        <v>0</v>
      </c>
      <c r="AK233" s="520">
        <f t="shared" si="44"/>
        <v>0</v>
      </c>
      <c r="AL233" s="520">
        <f t="shared" si="45"/>
        <v>0</v>
      </c>
      <c r="AM233" s="520">
        <f t="shared" si="46"/>
        <v>0</v>
      </c>
      <c r="AN233" s="521" t="str">
        <f>VLOOKUP($I233,'Price List, Weapons &amp; Items'!A:K,COLUMN('Price List, Weapons &amp; Items'!$I$1),0)</f>
        <v>Media reports (incl. social media)</v>
      </c>
      <c r="AO233" s="521" t="str">
        <f>IF(I233=".",".",VLOOKUP($I233,'Price List, Weapons &amp; Items'!A:I,3,0))</f>
        <v>.</v>
      </c>
      <c r="AP233" s="517" t="str">
        <f t="shared" ca="1" si="43"/>
        <v>Field hospital</v>
      </c>
      <c r="AQ233" s="521">
        <f>VLOOKUP($I233,'Price List, Weapons &amp; Items'!A:K,COLUMN('Price List, Weapons &amp; Items'!$K$1),0)</f>
        <v>2</v>
      </c>
      <c r="AS233" s="521">
        <f t="shared" si="47"/>
        <v>1</v>
      </c>
      <c r="AT233" s="521">
        <f t="shared" si="48"/>
        <v>1</v>
      </c>
      <c r="AU233" s="521">
        <f t="shared" si="49"/>
        <v>1</v>
      </c>
      <c r="AV233" s="521" t="str">
        <f t="shared" si="50"/>
        <v>.</v>
      </c>
    </row>
    <row r="234" spans="1:48" ht="15" customHeight="1">
      <c r="A234" s="41" t="s">
        <v>874</v>
      </c>
      <c r="B234" s="41" t="s">
        <v>840</v>
      </c>
      <c r="C234" s="511">
        <v>44791</v>
      </c>
      <c r="D234" s="18" t="s">
        <v>252</v>
      </c>
      <c r="E234" s="18" t="s">
        <v>261</v>
      </c>
      <c r="F234" s="512" t="s">
        <v>875</v>
      </c>
      <c r="G234" s="39" t="s">
        <v>332</v>
      </c>
      <c r="H234" s="513">
        <v>7820000</v>
      </c>
      <c r="I234" s="1" t="s">
        <v>871</v>
      </c>
      <c r="J234" s="276" t="str">
        <f>VLOOKUP($I234,'Price List, Weapons &amp; Items'!A:B,2,0)</f>
        <v>Military equipment</v>
      </c>
      <c r="K234" s="276" t="str">
        <f>IF(I234=".",I234,VLOOKUP($I234,'Price List, Weapons &amp; Items'!A:C,3,0))</f>
        <v>.</v>
      </c>
      <c r="L234" s="514">
        <f>VLOOKUP(I234,'Price List, Weapons &amp; Items'!A:D,4,0)</f>
        <v>0</v>
      </c>
      <c r="M234" s="515">
        <v>1</v>
      </c>
      <c r="N234" s="515">
        <v>1</v>
      </c>
      <c r="O234" s="516">
        <f>VLOOKUP($I234,'Price List, Weapons &amp; Items'!A:F,6,0)</f>
        <v>6060550</v>
      </c>
      <c r="P234" s="513">
        <f t="shared" si="59"/>
        <v>6060550</v>
      </c>
      <c r="Q234" s="513">
        <f t="shared" si="60"/>
        <v>6060550</v>
      </c>
      <c r="R234" s="513">
        <f t="shared" si="42"/>
        <v>7820000</v>
      </c>
      <c r="S234" s="513">
        <f>IF(AND(AD234=1,R234&lt;&gt;".")=TRUE,R234/VLOOKUP(G234,'Exchange rates'!B:C,2,0),IF(R234=".",".",""))</f>
        <v>7820000</v>
      </c>
      <c r="T234" s="513">
        <f>IF(AD234=1,IF(AF234="Value is not given at all",".",IF(AF234="Value is given by the source",S234,IF(AF234="Value is calculated with prices",(IF(SUMIFS(Q:Q,A:A,A234)&gt;0,SUMIFS(Q:Q,A:A,A234),"."))/VLOOKUP("USD",'Exchange rates'!B:C,2,0),"Error with coding"))),"")</f>
        <v>7820000</v>
      </c>
      <c r="U234" s="39" t="s">
        <v>233</v>
      </c>
      <c r="V234" s="825" t="s">
        <v>876</v>
      </c>
      <c r="W234" s="42" t="s">
        <v>877</v>
      </c>
      <c r="X234" s="825" t="s">
        <v>878</v>
      </c>
      <c r="Y234" s="830" t="s">
        <v>879</v>
      </c>
      <c r="Z234" s="39">
        <v>0</v>
      </c>
      <c r="AA234" s="518">
        <v>0</v>
      </c>
      <c r="AB234" s="832" t="s">
        <v>878</v>
      </c>
      <c r="AC234" s="519" t="str">
        <f>""</f>
        <v/>
      </c>
      <c r="AD234" s="520">
        <v>1</v>
      </c>
      <c r="AE234" s="520" t="s">
        <v>236</v>
      </c>
      <c r="AF234" s="520" t="s">
        <v>236</v>
      </c>
      <c r="AG234" s="520">
        <v>1</v>
      </c>
      <c r="AH234" s="520">
        <v>8</v>
      </c>
      <c r="AI234" s="520">
        <v>0</v>
      </c>
      <c r="AJ234" s="520">
        <f>VLOOKUP($I234,'Price List, Weapons &amp; Items'!A:E,5,0)</f>
        <v>0</v>
      </c>
      <c r="AK234" s="520">
        <f t="shared" si="44"/>
        <v>0</v>
      </c>
      <c r="AL234" s="520">
        <f t="shared" si="45"/>
        <v>0</v>
      </c>
      <c r="AM234" s="520">
        <f t="shared" si="46"/>
        <v>0</v>
      </c>
      <c r="AN234" s="521" t="str">
        <f>VLOOKUP($I234,'Price List, Weapons &amp; Items'!A:K,COLUMN('Price List, Weapons &amp; Items'!$I$1),0)</f>
        <v>Media reports (incl. social media)</v>
      </c>
      <c r="AO234" s="521" t="str">
        <f>IF(I234=".",".",VLOOKUP($I234,'Price List, Weapons &amp; Items'!A:I,3,0))</f>
        <v>.</v>
      </c>
      <c r="AP234" s="517" t="str">
        <f t="shared" ca="1" si="43"/>
        <v>Field hospital; medical supplies</v>
      </c>
      <c r="AQ234" s="521">
        <f>VLOOKUP($I234,'Price List, Weapons &amp; Items'!A:K,COLUMN('Price List, Weapons &amp; Items'!$K$1),0)</f>
        <v>2</v>
      </c>
      <c r="AS234" s="521">
        <f t="shared" si="47"/>
        <v>1</v>
      </c>
      <c r="AT234" s="521">
        <f t="shared" si="48"/>
        <v>1</v>
      </c>
      <c r="AU234" s="521">
        <f t="shared" si="49"/>
        <v>1</v>
      </c>
      <c r="AV234" s="521" t="str">
        <f t="shared" si="50"/>
        <v>.</v>
      </c>
    </row>
    <row r="235" spans="1:48" ht="15" customHeight="1">
      <c r="A235" s="41" t="s">
        <v>874</v>
      </c>
      <c r="B235" s="41" t="s">
        <v>840</v>
      </c>
      <c r="C235" s="511">
        <v>44791</v>
      </c>
      <c r="D235" s="18" t="s">
        <v>252</v>
      </c>
      <c r="E235" s="18" t="s">
        <v>261</v>
      </c>
      <c r="F235" s="512" t="s">
        <v>875</v>
      </c>
      <c r="G235" s="39" t="s">
        <v>332</v>
      </c>
      <c r="H235" s="513">
        <v>7820000</v>
      </c>
      <c r="I235" s="1" t="s">
        <v>271</v>
      </c>
      <c r="J235" s="276" t="str">
        <f>VLOOKUP($I235,'Price List, Weapons &amp; Items'!A:B,2,0)</f>
        <v>Humanitarian</v>
      </c>
      <c r="K235" s="276" t="str">
        <f>IF(I235=".",I235,VLOOKUP($I235,'Price List, Weapons &amp; Items'!A:C,3,0))</f>
        <v>.</v>
      </c>
      <c r="L235" s="514">
        <f>VLOOKUP(I235,'Price List, Weapons &amp; Items'!A:D,4,0)</f>
        <v>0</v>
      </c>
      <c r="M235" s="515" t="s">
        <v>232</v>
      </c>
      <c r="N235" s="515" t="s">
        <v>264</v>
      </c>
      <c r="O235" s="516" t="str">
        <f>VLOOKUP($I235,'Price List, Weapons &amp; Items'!A:F,6,0)</f>
        <v>.</v>
      </c>
      <c r="P235" s="513" t="str">
        <f t="shared" si="59"/>
        <v>.</v>
      </c>
      <c r="Q235" s="513" t="str">
        <f t="shared" si="60"/>
        <v>.</v>
      </c>
      <c r="R235" s="513" t="str">
        <f t="shared" si="42"/>
        <v/>
      </c>
      <c r="S235" s="513" t="str">
        <f>IF(AND(AD235=1,R235&lt;&gt;".")=TRUE,R235/VLOOKUP(G235,'Exchange rates'!B:C,2,0),IF(R235=".",".",""))</f>
        <v/>
      </c>
      <c r="T235" s="513" t="str">
        <f>IF(AD235=1,IF(AF235="Value is not given at all",".",IF(AF235="Value is given by the source",S235,IF(AF235="Value is calculated with prices",(IF(SUMIFS(Q:Q,A:A,A235)&gt;0,SUMIFS(Q:Q,A:A,A235),"."))/VLOOKUP("USD",'Exchange rates'!B:C,2,0),"Error with coding"))),"")</f>
        <v/>
      </c>
      <c r="U235" s="39" t="s">
        <v>233</v>
      </c>
      <c r="V235" s="825" t="s">
        <v>876</v>
      </c>
      <c r="W235" s="42" t="s">
        <v>877</v>
      </c>
      <c r="X235" s="825" t="s">
        <v>878</v>
      </c>
      <c r="Y235" s="830" t="s">
        <v>879</v>
      </c>
      <c r="Z235" s="39">
        <v>0</v>
      </c>
      <c r="AA235" s="518">
        <v>0</v>
      </c>
      <c r="AB235" s="832" t="s">
        <v>878</v>
      </c>
      <c r="AC235" s="519" t="str">
        <f>""</f>
        <v/>
      </c>
      <c r="AD235" s="520">
        <v>0</v>
      </c>
      <c r="AE235" s="520" t="s">
        <v>236</v>
      </c>
      <c r="AF235" s="520" t="s">
        <v>236</v>
      </c>
      <c r="AG235" s="520">
        <v>1</v>
      </c>
      <c r="AH235" s="520">
        <v>8</v>
      </c>
      <c r="AI235" s="520">
        <v>0</v>
      </c>
      <c r="AJ235" s="520">
        <f>VLOOKUP($I235,'Price List, Weapons &amp; Items'!A:E,5,0)</f>
        <v>0</v>
      </c>
      <c r="AK235" s="520">
        <f t="shared" si="44"/>
        <v>0</v>
      </c>
      <c r="AL235" s="520">
        <f t="shared" si="45"/>
        <v>0</v>
      </c>
      <c r="AM235" s="520">
        <f t="shared" si="46"/>
        <v>0</v>
      </c>
      <c r="AN235" s="521" t="str">
        <f>VLOOKUP($I235,'Price List, Weapons &amp; Items'!A:K,COLUMN('Price List, Weapons &amp; Items'!$I$1),0)</f>
        <v>.</v>
      </c>
      <c r="AO235" s="521" t="str">
        <f>IF(I235=".",".",VLOOKUP($I235,'Price List, Weapons &amp; Items'!A:I,3,0))</f>
        <v>.</v>
      </c>
      <c r="AP235" s="517" t="str">
        <f t="shared" ca="1" si="43"/>
        <v/>
      </c>
      <c r="AQ235" s="521">
        <f>VLOOKUP($I235,'Price List, Weapons &amp; Items'!A:K,COLUMN('Price List, Weapons &amp; Items'!$K$1),0)</f>
        <v>0</v>
      </c>
      <c r="AS235" s="521">
        <f t="shared" si="47"/>
        <v>1</v>
      </c>
      <c r="AT235" s="521">
        <f t="shared" si="48"/>
        <v>1</v>
      </c>
      <c r="AU235" s="521">
        <f t="shared" si="49"/>
        <v>1</v>
      </c>
      <c r="AV235" s="521" t="str">
        <f t="shared" si="50"/>
        <v>.</v>
      </c>
    </row>
    <row r="236" spans="1:48" ht="15" customHeight="1">
      <c r="A236" s="41" t="s">
        <v>880</v>
      </c>
      <c r="B236" s="41" t="s">
        <v>840</v>
      </c>
      <c r="C236" s="511">
        <v>44791</v>
      </c>
      <c r="D236" s="18" t="s">
        <v>252</v>
      </c>
      <c r="E236" s="18" t="s">
        <v>253</v>
      </c>
      <c r="F236" s="512" t="s">
        <v>881</v>
      </c>
      <c r="G236" s="39" t="s">
        <v>332</v>
      </c>
      <c r="H236" s="513">
        <v>10000000</v>
      </c>
      <c r="I236" s="1" t="s">
        <v>882</v>
      </c>
      <c r="J236" s="276" t="str">
        <f>VLOOKUP($I236,'Price List, Weapons &amp; Items'!A:B,2,0)</f>
        <v>Heavy weapon</v>
      </c>
      <c r="K236" s="276" t="str">
        <f>IF(I236=".",I236,VLOOKUP($I236,'Price List, Weapons &amp; Items'!A:C,3,0))</f>
        <v>Mortar</v>
      </c>
      <c r="L236" s="514">
        <f>VLOOKUP(I236,'Price List, Weapons &amp; Items'!A:D,4,0)</f>
        <v>0</v>
      </c>
      <c r="M236" s="515" t="s">
        <v>264</v>
      </c>
      <c r="N236" s="515" t="s">
        <v>232</v>
      </c>
      <c r="O236" s="516" t="str">
        <f>VLOOKUP($I236,'Price List, Weapons &amp; Items'!A:F,6,0)</f>
        <v>.</v>
      </c>
      <c r="P236" s="513" t="str">
        <f t="shared" si="59"/>
        <v>.</v>
      </c>
      <c r="Q236" s="513" t="str">
        <f t="shared" si="60"/>
        <v>.</v>
      </c>
      <c r="R236" s="513">
        <f t="shared" si="42"/>
        <v>10000000</v>
      </c>
      <c r="S236" s="513">
        <f>IF(AND(AD236=1,R236&lt;&gt;".")=TRUE,R236/VLOOKUP(G236,'Exchange rates'!B:C,2,0),IF(R236=".",".",""))</f>
        <v>10000000</v>
      </c>
      <c r="T236" s="513" t="str">
        <f>IF(AD236=1,IF(AF236="Value is not given at all",".",IF(AF236="Value is given by the source",S236,IF(AF236="Value is calculated with prices",(IF(SUMIFS(Q:Q,A:A,A236)&gt;0,SUMIFS(Q:Q,A:A,A236),"."))/VLOOKUP("USD",'Exchange rates'!B:C,2,0),"Error with coding"))),"")</f>
        <v>.</v>
      </c>
      <c r="U236" s="39" t="s">
        <v>722</v>
      </c>
      <c r="V236" s="833" t="s">
        <v>876</v>
      </c>
      <c r="W236" s="828" t="s">
        <v>883</v>
      </c>
      <c r="X236" s="833" t="s">
        <v>884</v>
      </c>
      <c r="Y236" s="517" t="s">
        <v>232</v>
      </c>
      <c r="Z236" s="39">
        <v>0</v>
      </c>
      <c r="AA236" s="518">
        <v>1</v>
      </c>
      <c r="AB236" s="834" t="s">
        <v>232</v>
      </c>
      <c r="AC236" s="519" t="str">
        <f>""</f>
        <v/>
      </c>
      <c r="AD236" s="520">
        <v>1</v>
      </c>
      <c r="AE236" s="520" t="s">
        <v>885</v>
      </c>
      <c r="AF236" s="520" t="s">
        <v>237</v>
      </c>
      <c r="AG236" s="520">
        <v>1</v>
      </c>
      <c r="AH236" s="520">
        <v>8</v>
      </c>
      <c r="AI236" s="520">
        <v>0</v>
      </c>
      <c r="AJ236" s="520">
        <f>VLOOKUP($I236,'Price List, Weapons &amp; Items'!A:E,5,0)</f>
        <v>0</v>
      </c>
      <c r="AK236" s="520">
        <f t="shared" si="44"/>
        <v>0</v>
      </c>
      <c r="AL236" s="520">
        <f t="shared" si="45"/>
        <v>0</v>
      </c>
      <c r="AM236" s="520">
        <f t="shared" si="46"/>
        <v>0</v>
      </c>
      <c r="AN236" s="521" t="str">
        <f>VLOOKUP($I236,'Price List, Weapons &amp; Items'!A:K,COLUMN('Price List, Weapons &amp; Items'!$I$1),0)</f>
        <v>.</v>
      </c>
      <c r="AO236" s="521" t="str">
        <f>IF(I236=".",".",VLOOKUP($I236,'Price List, Weapons &amp; Items'!A:I,3,0))</f>
        <v>Mortar</v>
      </c>
      <c r="AP236" s="517" t="str">
        <f t="shared" ca="1" si="43"/>
        <v>mortar (Estonia); anti-tank weapon</v>
      </c>
      <c r="AQ236" s="521" t="str">
        <f>VLOOKUP($I236,'Price List, Weapons &amp; Items'!A:K,COLUMN('Price List, Weapons &amp; Items'!$K$1),0)</f>
        <v>no price, 0 count</v>
      </c>
      <c r="AS236" s="521">
        <f t="shared" si="47"/>
        <v>0</v>
      </c>
      <c r="AT236" s="521">
        <f t="shared" si="48"/>
        <v>1</v>
      </c>
      <c r="AU236" s="521">
        <f t="shared" si="49"/>
        <v>1</v>
      </c>
      <c r="AV236" s="521" t="str">
        <f t="shared" si="50"/>
        <v>.</v>
      </c>
    </row>
    <row r="237" spans="1:48" ht="15" customHeight="1">
      <c r="A237" s="41" t="s">
        <v>880</v>
      </c>
      <c r="B237" s="41" t="s">
        <v>840</v>
      </c>
      <c r="C237" s="511">
        <v>44791</v>
      </c>
      <c r="D237" s="18" t="s">
        <v>252</v>
      </c>
      <c r="E237" s="18" t="s">
        <v>253</v>
      </c>
      <c r="F237" s="512" t="s">
        <v>881</v>
      </c>
      <c r="G237" s="39" t="s">
        <v>332</v>
      </c>
      <c r="H237" s="513">
        <v>10000000</v>
      </c>
      <c r="I237" s="1" t="s">
        <v>886</v>
      </c>
      <c r="J237" s="276" t="str">
        <f>VLOOKUP($I237,'Price List, Weapons &amp; Items'!A:B,2,0)</f>
        <v>Portable defence system</v>
      </c>
      <c r="K237" s="276" t="str">
        <f>IF(I237=".",I237,VLOOKUP($I237,'Price List, Weapons &amp; Items'!A:C,3,0))</f>
        <v>Light Anti-armor Weapon (LAW)</v>
      </c>
      <c r="L237" s="514">
        <f>VLOOKUP(I237,'Price List, Weapons &amp; Items'!A:D,4,0)</f>
        <v>0</v>
      </c>
      <c r="M237" s="515" t="s">
        <v>264</v>
      </c>
      <c r="N237" s="515" t="s">
        <v>232</v>
      </c>
      <c r="O237" s="516">
        <f>VLOOKUP($I237,'Price List, Weapons &amp; Items'!A:F,6,0)</f>
        <v>40000</v>
      </c>
      <c r="P237" s="513" t="str">
        <f t="shared" si="59"/>
        <v>.</v>
      </c>
      <c r="Q237" s="513" t="str">
        <f t="shared" si="60"/>
        <v>.</v>
      </c>
      <c r="R237" s="513" t="str">
        <f t="shared" si="42"/>
        <v/>
      </c>
      <c r="S237" s="513" t="str">
        <f>IF(AND(AD237=1,R237&lt;&gt;".")=TRUE,R237/VLOOKUP(G237,'Exchange rates'!B:C,2,0),IF(R237=".",".",""))</f>
        <v/>
      </c>
      <c r="T237" s="513" t="str">
        <f>IF(AD237=1,IF(AF237="Value is not given at all",".",IF(AF237="Value is given by the source",S237,IF(AF237="Value is calculated with prices",(IF(SUMIFS(Q:Q,A:A,A237)&gt;0,SUMIFS(Q:Q,A:A,A237),"."))/VLOOKUP("USD",'Exchange rates'!B:C,2,0),"Error with coding"))),"")</f>
        <v/>
      </c>
      <c r="U237" s="39" t="s">
        <v>722</v>
      </c>
      <c r="V237" s="833" t="s">
        <v>876</v>
      </c>
      <c r="W237" s="828" t="s">
        <v>883</v>
      </c>
      <c r="X237" s="833" t="s">
        <v>884</v>
      </c>
      <c r="Y237" s="517" t="s">
        <v>232</v>
      </c>
      <c r="Z237" s="39">
        <v>0</v>
      </c>
      <c r="AA237" s="518">
        <v>1</v>
      </c>
      <c r="AB237" s="834" t="s">
        <v>232</v>
      </c>
      <c r="AC237" s="519" t="str">
        <f>""</f>
        <v/>
      </c>
      <c r="AD237" s="520">
        <v>0</v>
      </c>
      <c r="AE237" s="520" t="s">
        <v>885</v>
      </c>
      <c r="AF237" s="520" t="s">
        <v>237</v>
      </c>
      <c r="AG237" s="520">
        <v>1</v>
      </c>
      <c r="AH237" s="520">
        <v>8</v>
      </c>
      <c r="AI237" s="520">
        <v>0</v>
      </c>
      <c r="AJ237" s="520">
        <f>VLOOKUP($I237,'Price List, Weapons &amp; Items'!A:E,5,0)</f>
        <v>0</v>
      </c>
      <c r="AK237" s="520">
        <f t="shared" si="44"/>
        <v>0</v>
      </c>
      <c r="AL237" s="520">
        <f t="shared" si="45"/>
        <v>0</v>
      </c>
      <c r="AM237" s="520">
        <f t="shared" si="46"/>
        <v>0</v>
      </c>
      <c r="AN237" s="521" t="str">
        <f>VLOOKUP($I237,'Price List, Weapons &amp; Items'!A:K,COLUMN('Price List, Weapons &amp; Items'!$I$1),0)</f>
        <v>Media reports (incl. social media)</v>
      </c>
      <c r="AO237" s="521" t="str">
        <f>IF(I237=".",".",VLOOKUP($I237,'Price List, Weapons &amp; Items'!A:I,3,0))</f>
        <v>Light Anti-armor Weapon (LAW)</v>
      </c>
      <c r="AP237" s="517" t="str">
        <f t="shared" ca="1" si="43"/>
        <v/>
      </c>
      <c r="AQ237" s="521">
        <f>VLOOKUP($I237,'Price List, Weapons &amp; Items'!A:K,COLUMN('Price List, Weapons &amp; Items'!$K$1),0)</f>
        <v>2</v>
      </c>
      <c r="AS237" s="521">
        <f t="shared" si="47"/>
        <v>0</v>
      </c>
      <c r="AT237" s="521">
        <f t="shared" si="48"/>
        <v>1</v>
      </c>
      <c r="AU237" s="521">
        <f t="shared" si="49"/>
        <v>1</v>
      </c>
      <c r="AV237" s="521" t="str">
        <f t="shared" si="50"/>
        <v>.</v>
      </c>
    </row>
    <row r="238" spans="1:48" ht="15" customHeight="1">
      <c r="A238" s="41" t="s">
        <v>887</v>
      </c>
      <c r="B238" s="41" t="s">
        <v>840</v>
      </c>
      <c r="C238" s="511">
        <v>44841</v>
      </c>
      <c r="D238" s="18" t="s">
        <v>252</v>
      </c>
      <c r="E238" s="18" t="s">
        <v>253</v>
      </c>
      <c r="F238" s="512" t="s">
        <v>888</v>
      </c>
      <c r="G238" s="39" t="s">
        <v>332</v>
      </c>
      <c r="H238" s="513">
        <v>61880000</v>
      </c>
      <c r="I238" s="46" t="s">
        <v>889</v>
      </c>
      <c r="J238" s="276" t="str">
        <f>VLOOKUP($I238,'Price List, Weapons &amp; Items'!A:B,2,0)</f>
        <v>Ammunition for heavy weapon</v>
      </c>
      <c r="K238" s="276" t="str">
        <f>IF(I238=".",I238,VLOOKUP($I238,'Price List, Weapons &amp; Items'!A:C,3,0))</f>
        <v>howitzer ammunition</v>
      </c>
      <c r="L238" s="514">
        <f>VLOOKUP(I238,'Price List, Weapons &amp; Items'!A:D,4,0)</f>
        <v>0</v>
      </c>
      <c r="M238" s="515" t="s">
        <v>264</v>
      </c>
      <c r="N238" s="515" t="s">
        <v>232</v>
      </c>
      <c r="O238" s="516">
        <f>VLOOKUP($I238,'Price List, Weapons &amp; Items'!A:F,6,0)</f>
        <v>2000</v>
      </c>
      <c r="P238" s="513" t="str">
        <f t="shared" si="59"/>
        <v>.</v>
      </c>
      <c r="Q238" s="513" t="str">
        <f t="shared" si="60"/>
        <v>.</v>
      </c>
      <c r="R238" s="513">
        <f t="shared" si="42"/>
        <v>61880000</v>
      </c>
      <c r="S238" s="513">
        <f>IF(AND(AD238=1,R238&lt;&gt;".")=TRUE,R238/VLOOKUP(G238,'Exchange rates'!B:C,2,0),IF(R238=".",".",""))</f>
        <v>61880000</v>
      </c>
      <c r="T238" s="513" t="str">
        <f>IF(AD238=1,IF(AF238="Value is not given at all",".",IF(AF238="Value is given by the source",S238,IF(AF238="Value is calculated with prices",(IF(SUMIFS(Q:Q,A:A,A238)&gt;0,SUMIFS(Q:Q,A:A,A238),"."))/VLOOKUP("USD",'Exchange rates'!B:C,2,0),"Error with coding"))),"")</f>
        <v>.</v>
      </c>
      <c r="U238" s="39" t="s">
        <v>722</v>
      </c>
      <c r="V238" s="833" t="s">
        <v>884</v>
      </c>
      <c r="W238" s="829" t="s">
        <v>890</v>
      </c>
      <c r="X238" s="829" t="s">
        <v>891</v>
      </c>
      <c r="Y238" s="829" t="s">
        <v>892</v>
      </c>
      <c r="Z238" s="39">
        <v>0</v>
      </c>
      <c r="AA238" s="518">
        <v>1</v>
      </c>
      <c r="AB238" s="834" t="s">
        <v>232</v>
      </c>
      <c r="AC238" s="519" t="str">
        <f>""</f>
        <v/>
      </c>
      <c r="AD238" s="520">
        <v>1</v>
      </c>
      <c r="AE238" s="520" t="s">
        <v>885</v>
      </c>
      <c r="AF238" s="520" t="s">
        <v>237</v>
      </c>
      <c r="AG238" s="520">
        <v>1</v>
      </c>
      <c r="AH238" s="520">
        <v>10</v>
      </c>
      <c r="AI238" s="520">
        <v>0</v>
      </c>
      <c r="AJ238" s="520">
        <f>VLOOKUP($I238,'Price List, Weapons &amp; Items'!A:E,5,0)</f>
        <v>0</v>
      </c>
      <c r="AK238" s="520">
        <f t="shared" si="44"/>
        <v>0</v>
      </c>
      <c r="AL238" s="520">
        <f t="shared" si="45"/>
        <v>0</v>
      </c>
      <c r="AM238" s="520">
        <f t="shared" si="46"/>
        <v>1</v>
      </c>
      <c r="AN238" s="521" t="str">
        <f>VLOOKUP($I238,'Price List, Weapons &amp; Items'!A:K,COLUMN('Price List, Weapons &amp; Items'!$I$1),0)</f>
        <v>Media reports (incl. social media)</v>
      </c>
      <c r="AO238" s="521" t="str">
        <f>IF(I238=".",".",VLOOKUP($I238,'Price List, Weapons &amp; Items'!A:I,3,0))</f>
        <v>howitzer ammunition</v>
      </c>
      <c r="AP238" s="517" t="str">
        <f t="shared" ca="1" si="43"/>
        <v>Artillery ammunition; Anti-tank missile and anti-tank rocket; winter clothing (general); Ballistic vest</v>
      </c>
      <c r="AQ238" s="521" t="str">
        <f>VLOOKUP($I238,'Price List, Weapons &amp; Items'!A:K,COLUMN('Price List, Weapons &amp; Items'!$K$1),0)</f>
        <v>no price, 0 count</v>
      </c>
      <c r="AS238" s="521">
        <f t="shared" si="47"/>
        <v>0</v>
      </c>
      <c r="AT238" s="521">
        <f t="shared" si="48"/>
        <v>1</v>
      </c>
      <c r="AU238" s="521">
        <f t="shared" si="49"/>
        <v>1</v>
      </c>
      <c r="AV238" s="521" t="str">
        <f t="shared" si="50"/>
        <v>.</v>
      </c>
    </row>
    <row r="239" spans="1:48" ht="15" customHeight="1">
      <c r="A239" s="41" t="s">
        <v>887</v>
      </c>
      <c r="B239" s="41" t="s">
        <v>840</v>
      </c>
      <c r="C239" s="511">
        <v>44841</v>
      </c>
      <c r="D239" s="18" t="s">
        <v>252</v>
      </c>
      <c r="E239" s="18" t="s">
        <v>253</v>
      </c>
      <c r="F239" s="512" t="s">
        <v>888</v>
      </c>
      <c r="G239" s="39" t="s">
        <v>332</v>
      </c>
      <c r="H239" s="513">
        <v>61880000</v>
      </c>
      <c r="I239" s="427" t="s">
        <v>893</v>
      </c>
      <c r="J239" s="276" t="str">
        <f>VLOOKUP($I239,'Price List, Weapons &amp; Items'!A:B,2,0)</f>
        <v>Portable defence system</v>
      </c>
      <c r="K239" s="276" t="str">
        <f>IF(I239=".",I239,VLOOKUP($I239,'Price List, Weapons &amp; Items'!A:C,3,0))</f>
        <v>Light Anti-armor Weapon (LAW)</v>
      </c>
      <c r="L239" s="514">
        <f>VLOOKUP(I239,'Price List, Weapons &amp; Items'!A:D,4,0)</f>
        <v>0</v>
      </c>
      <c r="M239" s="515" t="s">
        <v>264</v>
      </c>
      <c r="N239" s="515" t="s">
        <v>232</v>
      </c>
      <c r="O239" s="516">
        <f>VLOOKUP($I239,'Price List, Weapons &amp; Items'!A:F,6,0)</f>
        <v>78000</v>
      </c>
      <c r="P239" s="513" t="str">
        <f t="shared" si="59"/>
        <v>.</v>
      </c>
      <c r="Q239" s="513" t="str">
        <f t="shared" si="60"/>
        <v>.</v>
      </c>
      <c r="R239" s="513" t="str">
        <f t="shared" si="42"/>
        <v/>
      </c>
      <c r="S239" s="513" t="str">
        <f>IF(AND(AD239=1,R239&lt;&gt;".")=TRUE,R239/VLOOKUP(G239,'Exchange rates'!B:C,2,0),IF(R239=".",".",""))</f>
        <v/>
      </c>
      <c r="T239" s="513" t="str">
        <f>IF(AD239=1,IF(AF239="Value is not given at all",".",IF(AF239="Value is given by the source",S239,IF(AF239="Value is calculated with prices",(IF(SUMIFS(Q:Q,A:A,A239)&gt;0,SUMIFS(Q:Q,A:A,A239),"."))/VLOOKUP("USD",'Exchange rates'!B:C,2,0),"Error with coding"))),"")</f>
        <v/>
      </c>
      <c r="U239" s="39" t="s">
        <v>722</v>
      </c>
      <c r="V239" s="833" t="s">
        <v>884</v>
      </c>
      <c r="W239" s="829" t="s">
        <v>890</v>
      </c>
      <c r="X239" s="829" t="s">
        <v>891</v>
      </c>
      <c r="Y239" s="829" t="s">
        <v>892</v>
      </c>
      <c r="Z239" s="39">
        <v>0</v>
      </c>
      <c r="AA239" s="518">
        <v>1</v>
      </c>
      <c r="AB239" s="834" t="s">
        <v>232</v>
      </c>
      <c r="AC239" s="519" t="str">
        <f>""</f>
        <v/>
      </c>
      <c r="AD239" s="520">
        <v>0</v>
      </c>
      <c r="AE239" s="520" t="s">
        <v>885</v>
      </c>
      <c r="AF239" s="520" t="s">
        <v>237</v>
      </c>
      <c r="AG239" s="520">
        <v>1</v>
      </c>
      <c r="AH239" s="520">
        <v>10</v>
      </c>
      <c r="AI239" s="520">
        <v>0</v>
      </c>
      <c r="AJ239" s="520">
        <f>VLOOKUP($I239,'Price List, Weapons &amp; Items'!A:E,5,0)</f>
        <v>0</v>
      </c>
      <c r="AK239" s="520">
        <f t="shared" si="44"/>
        <v>0</v>
      </c>
      <c r="AL239" s="520">
        <f t="shared" si="45"/>
        <v>0</v>
      </c>
      <c r="AM239" s="520">
        <f t="shared" si="46"/>
        <v>0</v>
      </c>
      <c r="AN239" s="521" t="str">
        <f>VLOOKUP($I239,'Price List, Weapons &amp; Items'!A:K,COLUMN('Price List, Weapons &amp; Items'!$I$1),0)</f>
        <v>Military media (incl. websites)</v>
      </c>
      <c r="AO239" s="521" t="str">
        <f>IF(I239=".",".",VLOOKUP($I239,'Price List, Weapons &amp; Items'!A:I,3,0))</f>
        <v>Light Anti-armor Weapon (LAW)</v>
      </c>
      <c r="AP239" s="517" t="str">
        <f t="shared" ca="1" si="43"/>
        <v/>
      </c>
      <c r="AQ239" s="521">
        <f>VLOOKUP($I239,'Price List, Weapons &amp; Items'!A:K,COLUMN('Price List, Weapons &amp; Items'!$K$1),0)</f>
        <v>2</v>
      </c>
      <c r="AS239" s="521">
        <f t="shared" si="47"/>
        <v>0</v>
      </c>
      <c r="AT239" s="521">
        <f t="shared" si="48"/>
        <v>1</v>
      </c>
      <c r="AU239" s="521">
        <f t="shared" si="49"/>
        <v>1</v>
      </c>
      <c r="AV239" s="521" t="str">
        <f t="shared" si="50"/>
        <v>.</v>
      </c>
    </row>
    <row r="240" spans="1:48" ht="15" customHeight="1">
      <c r="A240" s="41" t="s">
        <v>887</v>
      </c>
      <c r="B240" s="41" t="s">
        <v>840</v>
      </c>
      <c r="C240" s="511">
        <v>44841</v>
      </c>
      <c r="D240" s="18" t="s">
        <v>252</v>
      </c>
      <c r="E240" s="18" t="s">
        <v>253</v>
      </c>
      <c r="F240" s="512" t="s">
        <v>888</v>
      </c>
      <c r="G240" s="39" t="s">
        <v>332</v>
      </c>
      <c r="H240" s="513">
        <v>61880000</v>
      </c>
      <c r="I240" s="46" t="s">
        <v>409</v>
      </c>
      <c r="J240" s="276" t="str">
        <f>VLOOKUP($I240,'Price List, Weapons &amp; Items'!A:B,2,0)</f>
        <v>Military equipment</v>
      </c>
      <c r="K240" s="276" t="str">
        <f>IF(I240=".",I240,VLOOKUP($I240,'Price List, Weapons &amp; Items'!A:C,3,0))</f>
        <v>.</v>
      </c>
      <c r="L240" s="514">
        <f>VLOOKUP(I240,'Price List, Weapons &amp; Items'!A:D,4,0)</f>
        <v>0</v>
      </c>
      <c r="M240" s="515" t="s">
        <v>264</v>
      </c>
      <c r="N240" s="515" t="s">
        <v>232</v>
      </c>
      <c r="O240" s="516">
        <f>VLOOKUP($I240,'Price List, Weapons &amp; Items'!A:F,6,0)</f>
        <v>59.234999999999999</v>
      </c>
      <c r="P240" s="513" t="str">
        <f t="shared" si="59"/>
        <v>.</v>
      </c>
      <c r="Q240" s="513" t="str">
        <f t="shared" si="60"/>
        <v>.</v>
      </c>
      <c r="R240" s="513" t="str">
        <f t="shared" si="42"/>
        <v/>
      </c>
      <c r="S240" s="513" t="str">
        <f>IF(AND(AD240=1,R240&lt;&gt;".")=TRUE,R240/VLOOKUP(G240,'Exchange rates'!B:C,2,0),IF(R240=".",".",""))</f>
        <v/>
      </c>
      <c r="T240" s="513" t="str">
        <f>IF(AD240=1,IF(AF240="Value is not given at all",".",IF(AF240="Value is given by the source",S240,IF(AF240="Value is calculated with prices",(IF(SUMIFS(Q:Q,A:A,A240)&gt;0,SUMIFS(Q:Q,A:A,A240),"."))/VLOOKUP("USD",'Exchange rates'!B:C,2,0),"Error with coding"))),"")</f>
        <v/>
      </c>
      <c r="U240" s="39" t="s">
        <v>722</v>
      </c>
      <c r="V240" s="833" t="s">
        <v>884</v>
      </c>
      <c r="W240" s="829" t="s">
        <v>890</v>
      </c>
      <c r="X240" s="829" t="s">
        <v>891</v>
      </c>
      <c r="Y240" s="829" t="s">
        <v>892</v>
      </c>
      <c r="Z240" s="39">
        <v>0</v>
      </c>
      <c r="AA240" s="518">
        <v>1</v>
      </c>
      <c r="AB240" s="834" t="s">
        <v>232</v>
      </c>
      <c r="AC240" s="519" t="str">
        <f>""</f>
        <v/>
      </c>
      <c r="AD240" s="520">
        <v>0</v>
      </c>
      <c r="AE240" s="520" t="s">
        <v>885</v>
      </c>
      <c r="AF240" s="520" t="s">
        <v>237</v>
      </c>
      <c r="AG240" s="520">
        <v>1</v>
      </c>
      <c r="AH240" s="520">
        <v>10</v>
      </c>
      <c r="AI240" s="520">
        <v>0</v>
      </c>
      <c r="AJ240" s="520">
        <f>VLOOKUP($I240,'Price List, Weapons &amp; Items'!A:E,5,0)</f>
        <v>0</v>
      </c>
      <c r="AK240" s="520">
        <f t="shared" si="44"/>
        <v>0</v>
      </c>
      <c r="AL240" s="520">
        <f t="shared" si="45"/>
        <v>0</v>
      </c>
      <c r="AM240" s="520">
        <f t="shared" si="46"/>
        <v>0</v>
      </c>
      <c r="AN240" s="521" t="str">
        <f>VLOOKUP($I240,'Price List, Weapons &amp; Items'!A:K,COLUMN('Price List, Weapons &amp; Items'!$I$1),0)</f>
        <v>Government information</v>
      </c>
      <c r="AO240" s="521" t="str">
        <f>IF(I240=".",".",VLOOKUP($I240,'Price List, Weapons &amp; Items'!A:I,3,0))</f>
        <v>.</v>
      </c>
      <c r="AP240" s="517" t="str">
        <f t="shared" ca="1" si="43"/>
        <v/>
      </c>
      <c r="AQ240" s="521">
        <f>VLOOKUP($I240,'Price List, Weapons &amp; Items'!A:K,COLUMN('Price List, Weapons &amp; Items'!$K$1),0)</f>
        <v>2</v>
      </c>
      <c r="AS240" s="521">
        <f t="shared" si="47"/>
        <v>0</v>
      </c>
      <c r="AT240" s="521">
        <f t="shared" si="48"/>
        <v>1</v>
      </c>
      <c r="AU240" s="521">
        <f t="shared" si="49"/>
        <v>1</v>
      </c>
      <c r="AV240" s="521" t="str">
        <f t="shared" si="50"/>
        <v>.</v>
      </c>
    </row>
    <row r="241" spans="1:48" ht="15" customHeight="1">
      <c r="A241" s="41" t="s">
        <v>887</v>
      </c>
      <c r="B241" s="41" t="s">
        <v>840</v>
      </c>
      <c r="C241" s="511">
        <v>44841</v>
      </c>
      <c r="D241" s="18" t="s">
        <v>252</v>
      </c>
      <c r="E241" s="18" t="s">
        <v>253</v>
      </c>
      <c r="F241" s="512" t="s">
        <v>888</v>
      </c>
      <c r="G241" s="39" t="s">
        <v>332</v>
      </c>
      <c r="H241" s="513">
        <v>61880000</v>
      </c>
      <c r="I241" s="46" t="s">
        <v>894</v>
      </c>
      <c r="J241" s="276" t="str">
        <f>VLOOKUP($I241,'Price List, Weapons &amp; Items'!A:B,2,0)</f>
        <v>Military equipment</v>
      </c>
      <c r="K241" s="276" t="str">
        <f>IF(I241=".",I241,VLOOKUP($I241,'Price List, Weapons &amp; Items'!A:C,3,0))</f>
        <v>.</v>
      </c>
      <c r="L241" s="514">
        <f>VLOOKUP(I241,'Price List, Weapons &amp; Items'!A:D,4,0)</f>
        <v>0</v>
      </c>
      <c r="M241" s="515" t="s">
        <v>264</v>
      </c>
      <c r="N241" s="515" t="s">
        <v>232</v>
      </c>
      <c r="O241" s="516">
        <f>VLOOKUP($I241,'Price List, Weapons &amp; Items'!A:F,6,0)</f>
        <v>500</v>
      </c>
      <c r="P241" s="513" t="str">
        <f t="shared" si="59"/>
        <v>.</v>
      </c>
      <c r="Q241" s="513" t="str">
        <f t="shared" si="60"/>
        <v>.</v>
      </c>
      <c r="R241" s="513" t="str">
        <f t="shared" si="42"/>
        <v/>
      </c>
      <c r="S241" s="513" t="str">
        <f>IF(AND(AD241=1,R241&lt;&gt;".")=TRUE,R241/VLOOKUP(G241,'Exchange rates'!B:C,2,0),IF(R241=".",".",""))</f>
        <v/>
      </c>
      <c r="T241" s="513" t="str">
        <f>IF(AD241=1,IF(AF241="Value is not given at all",".",IF(AF241="Value is given by the source",S241,IF(AF241="Value is calculated with prices",(IF(SUMIFS(Q:Q,A:A,A241)&gt;0,SUMIFS(Q:Q,A:A,A241),"."))/VLOOKUP("USD",'Exchange rates'!B:C,2,0),"Error with coding"))),"")</f>
        <v/>
      </c>
      <c r="U241" s="39" t="s">
        <v>722</v>
      </c>
      <c r="V241" s="833" t="s">
        <v>884</v>
      </c>
      <c r="W241" s="829" t="s">
        <v>890</v>
      </c>
      <c r="X241" s="829" t="s">
        <v>891</v>
      </c>
      <c r="Y241" s="829" t="s">
        <v>892</v>
      </c>
      <c r="Z241" s="39">
        <v>0</v>
      </c>
      <c r="AA241" s="518">
        <v>1</v>
      </c>
      <c r="AB241" s="834" t="s">
        <v>232</v>
      </c>
      <c r="AC241" s="519" t="str">
        <f>""</f>
        <v/>
      </c>
      <c r="AD241" s="520">
        <v>0</v>
      </c>
      <c r="AE241" s="520" t="s">
        <v>885</v>
      </c>
      <c r="AF241" s="520" t="s">
        <v>237</v>
      </c>
      <c r="AG241" s="520">
        <v>1</v>
      </c>
      <c r="AH241" s="520">
        <v>10</v>
      </c>
      <c r="AI241" s="520">
        <v>0</v>
      </c>
      <c r="AJ241" s="520">
        <f>VLOOKUP($I241,'Price List, Weapons &amp; Items'!A:E,5,0)</f>
        <v>0</v>
      </c>
      <c r="AK241" s="520">
        <f t="shared" si="44"/>
        <v>0</v>
      </c>
      <c r="AL241" s="520">
        <f t="shared" si="45"/>
        <v>0</v>
      </c>
      <c r="AM241" s="520">
        <f t="shared" si="46"/>
        <v>0</v>
      </c>
      <c r="AN241" s="521" t="str">
        <f>VLOOKUP($I241,'Price List, Weapons &amp; Items'!A:K,COLUMN('Price List, Weapons &amp; Items'!$I$1),0)</f>
        <v>Military media (incl. websites)</v>
      </c>
      <c r="AO241" s="521" t="str">
        <f>IF(I241=".",".",VLOOKUP($I241,'Price List, Weapons &amp; Items'!A:I,3,0))</f>
        <v>.</v>
      </c>
      <c r="AP241" s="517" t="str">
        <f t="shared" ca="1" si="43"/>
        <v/>
      </c>
      <c r="AQ241" s="521">
        <f>VLOOKUP($I241,'Price List, Weapons &amp; Items'!A:K,COLUMN('Price List, Weapons &amp; Items'!$K$1),0)</f>
        <v>2</v>
      </c>
      <c r="AS241" s="521">
        <f t="shared" si="47"/>
        <v>0</v>
      </c>
      <c r="AT241" s="521">
        <f t="shared" si="48"/>
        <v>1</v>
      </c>
      <c r="AU241" s="521">
        <f t="shared" si="49"/>
        <v>1</v>
      </c>
      <c r="AV241" s="521" t="str">
        <f t="shared" si="50"/>
        <v>.</v>
      </c>
    </row>
    <row r="242" spans="1:48" s="533" customFormat="1" ht="15" customHeight="1">
      <c r="A242" s="41" t="s">
        <v>895</v>
      </c>
      <c r="B242" s="41" t="s">
        <v>840</v>
      </c>
      <c r="C242" s="511" t="s">
        <v>896</v>
      </c>
      <c r="D242" s="18" t="s">
        <v>228</v>
      </c>
      <c r="E242" s="18" t="s">
        <v>239</v>
      </c>
      <c r="F242" s="512" t="s">
        <v>897</v>
      </c>
      <c r="G242" s="39" t="s">
        <v>332</v>
      </c>
      <c r="H242" s="513">
        <v>2070228</v>
      </c>
      <c r="I242" s="524" t="s">
        <v>232</v>
      </c>
      <c r="J242" s="276" t="str">
        <f>VLOOKUP($I242,'Price List, Weapons &amp; Items'!A:B,2,0)</f>
        <v>.</v>
      </c>
      <c r="K242" s="276" t="str">
        <f>IF(I242=".",I242,VLOOKUP($I242,'Price List, Weapons &amp; Items'!A:C,3,0))</f>
        <v>.</v>
      </c>
      <c r="L242" s="514">
        <f>VLOOKUP(I242,'Price List, Weapons &amp; Items'!A:D,4,0)</f>
        <v>0</v>
      </c>
      <c r="M242" s="515" t="s">
        <v>232</v>
      </c>
      <c r="N242" s="515" t="s">
        <v>232</v>
      </c>
      <c r="O242" s="516" t="str">
        <f>VLOOKUP($I242,'Price List, Weapons &amp; Items'!A:F,6,0)</f>
        <v>.</v>
      </c>
      <c r="P242" s="513" t="str">
        <f t="shared" si="59"/>
        <v>.</v>
      </c>
      <c r="Q242" s="513" t="str">
        <f t="shared" si="60"/>
        <v>.</v>
      </c>
      <c r="R242" s="513">
        <f t="shared" si="42"/>
        <v>2070228</v>
      </c>
      <c r="S242" s="513">
        <f>IF(AND(AD242=1,R242&lt;&gt;".")=TRUE,R242/VLOOKUP(G242,'Exchange rates'!B:C,2,0),IF(R242=".",".",""))</f>
        <v>2070228</v>
      </c>
      <c r="T242" s="513" t="str">
        <f>IF(AD242=1,IF(AF242="Value is not given at all",".",IF(AF242="Value is given by the source",S242,IF(AF242="Value is calculated with prices",(IF(SUMIFS(Q:Q,A:A,A242)&gt;0,SUMIFS(Q:Q,A:A,A242),"."))/VLOOKUP("USD",'Exchange rates'!B:C,2,0),"Error with coding"))),"")</f>
        <v>.</v>
      </c>
      <c r="U242" s="39" t="s">
        <v>233</v>
      </c>
      <c r="V242" s="42" t="s">
        <v>844</v>
      </c>
      <c r="W242" s="512" t="s">
        <v>232</v>
      </c>
      <c r="X242" s="512" t="s">
        <v>232</v>
      </c>
      <c r="Y242" s="512" t="s">
        <v>232</v>
      </c>
      <c r="Z242" s="39">
        <v>0</v>
      </c>
      <c r="AA242" s="518">
        <v>0</v>
      </c>
      <c r="AB242" s="533" t="s">
        <v>232</v>
      </c>
      <c r="AC242" s="519" t="str">
        <f>""</f>
        <v/>
      </c>
      <c r="AD242" s="522">
        <v>1</v>
      </c>
      <c r="AE242" s="522" t="s">
        <v>236</v>
      </c>
      <c r="AF242" s="522" t="s">
        <v>237</v>
      </c>
      <c r="AG242" s="522">
        <v>0</v>
      </c>
      <c r="AH242" s="520">
        <v>0</v>
      </c>
      <c r="AI242" s="520">
        <v>0</v>
      </c>
      <c r="AJ242" s="520">
        <f>VLOOKUP($I242,'Price List, Weapons &amp; Items'!A:E,5,0)</f>
        <v>0</v>
      </c>
      <c r="AK242" s="520">
        <f t="shared" si="44"/>
        <v>0</v>
      </c>
      <c r="AL242" s="520">
        <f t="shared" si="45"/>
        <v>0</v>
      </c>
      <c r="AM242" s="520">
        <f t="shared" si="46"/>
        <v>0</v>
      </c>
      <c r="AN242" s="521" t="str">
        <f>VLOOKUP($I242,'Price List, Weapons &amp; Items'!A:K,COLUMN('Price List, Weapons &amp; Items'!$I$1),0)</f>
        <v>.</v>
      </c>
      <c r="AO242" s="521" t="str">
        <f>IF(I242=".",".",VLOOKUP($I242,'Price List, Weapons &amp; Items'!A:I,3,0))</f>
        <v>.</v>
      </c>
      <c r="AP242" s="517" t="str">
        <f t="shared" ca="1" si="43"/>
        <v>.</v>
      </c>
      <c r="AQ242" s="521" t="str">
        <f>VLOOKUP($I242,'Price List, Weapons &amp; Items'!A:K,COLUMN('Price List, Weapons &amp; Items'!$K$1),0)</f>
        <v>no price, 0 count</v>
      </c>
      <c r="AS242" s="521">
        <f t="shared" si="47"/>
        <v>1</v>
      </c>
      <c r="AT242" s="521">
        <f t="shared" si="48"/>
        <v>0</v>
      </c>
      <c r="AU242" s="521" t="str">
        <f t="shared" si="49"/>
        <v>Value is not in date format</v>
      </c>
      <c r="AV242" s="521" t="str">
        <f t="shared" si="50"/>
        <v>.</v>
      </c>
    </row>
    <row r="243" spans="1:48" s="533" customFormat="1" ht="15" customHeight="1">
      <c r="A243" s="41" t="s">
        <v>898</v>
      </c>
      <c r="B243" s="41" t="s">
        <v>840</v>
      </c>
      <c r="C243" s="511">
        <v>44686</v>
      </c>
      <c r="D243" s="18" t="s">
        <v>228</v>
      </c>
      <c r="E243" s="18" t="s">
        <v>789</v>
      </c>
      <c r="F243" s="512" t="s">
        <v>899</v>
      </c>
      <c r="G243" s="39" t="s">
        <v>332</v>
      </c>
      <c r="H243" s="513">
        <v>2900000</v>
      </c>
      <c r="I243" s="41" t="s">
        <v>232</v>
      </c>
      <c r="J243" s="276" t="str">
        <f>VLOOKUP($I243,'Price List, Weapons &amp; Items'!A:B,2,0)</f>
        <v>.</v>
      </c>
      <c r="K243" s="276" t="str">
        <f>IF(I243=".",I243,VLOOKUP($I243,'Price List, Weapons &amp; Items'!A:C,3,0))</f>
        <v>.</v>
      </c>
      <c r="L243" s="514">
        <f>VLOOKUP(I243,'Price List, Weapons &amp; Items'!A:D,4,0)</f>
        <v>0</v>
      </c>
      <c r="M243" s="515" t="s">
        <v>232</v>
      </c>
      <c r="N243" s="515" t="s">
        <v>232</v>
      </c>
      <c r="O243" s="516" t="str">
        <f>VLOOKUP($I243,'Price List, Weapons &amp; Items'!A:F,6,0)</f>
        <v>.</v>
      </c>
      <c r="P243" s="513" t="str">
        <f t="shared" si="59"/>
        <v>.</v>
      </c>
      <c r="Q243" s="513" t="str">
        <f t="shared" si="60"/>
        <v>.</v>
      </c>
      <c r="R243" s="513">
        <f t="shared" si="42"/>
        <v>2900000</v>
      </c>
      <c r="S243" s="513">
        <f>IF(AND(AD243=1,R243&lt;&gt;".")=TRUE,R243/VLOOKUP(G243,'Exchange rates'!B:C,2,0),IF(R243=".",".",""))</f>
        <v>2900000</v>
      </c>
      <c r="T243" s="513" t="str">
        <f>IF(AD243=1,IF(AF243="Value is not given at all",".",IF(AF243="Value is given by the source",S243,IF(AF243="Value is calculated with prices",(IF(SUMIFS(Q:Q,A:A,A243)&gt;0,SUMIFS(Q:Q,A:A,A243),"."))/VLOOKUP("USD",'Exchange rates'!B:C,2,0),"Error with coding"))),"")</f>
        <v>.</v>
      </c>
      <c r="U243" s="39" t="s">
        <v>233</v>
      </c>
      <c r="V243" s="42" t="s">
        <v>900</v>
      </c>
      <c r="W243" s="512" t="s">
        <v>232</v>
      </c>
      <c r="X243" s="512" t="s">
        <v>232</v>
      </c>
      <c r="Y243" s="512" t="s">
        <v>232</v>
      </c>
      <c r="Z243" s="39">
        <v>0</v>
      </c>
      <c r="AA243" s="518">
        <v>0</v>
      </c>
      <c r="AB243" s="38" t="s">
        <v>232</v>
      </c>
      <c r="AC243" s="519" t="str">
        <f>""</f>
        <v/>
      </c>
      <c r="AD243" s="520">
        <v>1</v>
      </c>
      <c r="AE243" s="520" t="s">
        <v>236</v>
      </c>
      <c r="AF243" s="520" t="s">
        <v>237</v>
      </c>
      <c r="AG243" s="520">
        <v>1</v>
      </c>
      <c r="AH243" s="520">
        <v>5</v>
      </c>
      <c r="AI243" s="520">
        <v>0</v>
      </c>
      <c r="AJ243" s="520">
        <f>VLOOKUP($I243,'Price List, Weapons &amp; Items'!A:E,5,0)</f>
        <v>0</v>
      </c>
      <c r="AK243" s="520">
        <f t="shared" si="44"/>
        <v>0</v>
      </c>
      <c r="AL243" s="520">
        <f t="shared" si="45"/>
        <v>0</v>
      </c>
      <c r="AM243" s="520">
        <f t="shared" si="46"/>
        <v>0</v>
      </c>
      <c r="AN243" s="521" t="str">
        <f>VLOOKUP($I243,'Price List, Weapons &amp; Items'!A:K,COLUMN('Price List, Weapons &amp; Items'!$I$1),0)</f>
        <v>.</v>
      </c>
      <c r="AO243" s="521" t="str">
        <f>IF(I243=".",".",VLOOKUP($I243,'Price List, Weapons &amp; Items'!A:I,3,0))</f>
        <v>.</v>
      </c>
      <c r="AP243" s="517" t="str">
        <f t="shared" ca="1" si="43"/>
        <v>.; IVECO Irisbus Crossway; school; IVECO Irisbus Crossway; construction of a bridge</v>
      </c>
      <c r="AQ243" s="521" t="str">
        <f>VLOOKUP($I243,'Price List, Weapons &amp; Items'!A:K,COLUMN('Price List, Weapons &amp; Items'!$K$1),0)</f>
        <v>no price, 0 count</v>
      </c>
      <c r="AS243" s="521">
        <f t="shared" si="47"/>
        <v>1</v>
      </c>
      <c r="AT243" s="521">
        <f t="shared" si="48"/>
        <v>0</v>
      </c>
      <c r="AU243" s="521">
        <f t="shared" si="49"/>
        <v>1</v>
      </c>
      <c r="AV243" s="521" t="str">
        <f t="shared" si="50"/>
        <v>.</v>
      </c>
    </row>
    <row r="244" spans="1:48" s="533" customFormat="1" ht="15" customHeight="1">
      <c r="A244" s="41" t="s">
        <v>898</v>
      </c>
      <c r="B244" s="41" t="s">
        <v>840</v>
      </c>
      <c r="C244" s="511">
        <v>44728</v>
      </c>
      <c r="D244" s="18" t="s">
        <v>228</v>
      </c>
      <c r="E244" s="18" t="s">
        <v>789</v>
      </c>
      <c r="F244" s="512" t="s">
        <v>901</v>
      </c>
      <c r="G244" s="39" t="s">
        <v>332</v>
      </c>
      <c r="H244" s="513">
        <v>2900000</v>
      </c>
      <c r="I244" s="41" t="s">
        <v>902</v>
      </c>
      <c r="J244" s="276" t="str">
        <f>VLOOKUP($I244,'Price List, Weapons &amp; Items'!A:B,2,0)</f>
        <v>Humanitarian</v>
      </c>
      <c r="K244" s="276" t="str">
        <f>IF(I244=".",I244,VLOOKUP($I244,'Price List, Weapons &amp; Items'!A:C,3,0))</f>
        <v>.</v>
      </c>
      <c r="L244" s="514">
        <f>VLOOKUP(I244,'Price List, Weapons &amp; Items'!A:D,4,0)</f>
        <v>0</v>
      </c>
      <c r="M244" s="515">
        <v>5</v>
      </c>
      <c r="N244" s="515">
        <v>5</v>
      </c>
      <c r="O244" s="516">
        <f>VLOOKUP($I244,'Price List, Weapons &amp; Items'!A:F,6,0)</f>
        <v>83142</v>
      </c>
      <c r="P244" s="513">
        <f t="shared" si="59"/>
        <v>415710</v>
      </c>
      <c r="Q244" s="513">
        <f t="shared" si="60"/>
        <v>415710</v>
      </c>
      <c r="R244" s="513" t="str">
        <f t="shared" si="42"/>
        <v/>
      </c>
      <c r="S244" s="513" t="str">
        <f>IF(AND(AD244=1,R244&lt;&gt;".")=TRUE,R244/VLOOKUP(G244,'Exchange rates'!B:C,2,0),IF(R244=".",".",""))</f>
        <v/>
      </c>
      <c r="T244" s="513" t="str">
        <f>IF(AD244=1,IF(AF244="Value is not given at all",".",IF(AF244="Value is given by the source",S244,IF(AF244="Value is calculated with prices",(IF(SUMIFS(Q:Q,A:A,A244)&gt;0,SUMIFS(Q:Q,A:A,A244),"."))/VLOOKUP("USD",'Exchange rates'!B:C,2,0),"Error with coding"))),"")</f>
        <v/>
      </c>
      <c r="U244" s="39" t="s">
        <v>233</v>
      </c>
      <c r="V244" s="42" t="s">
        <v>903</v>
      </c>
      <c r="W244" s="825" t="s">
        <v>904</v>
      </c>
      <c r="X244" s="512" t="s">
        <v>232</v>
      </c>
      <c r="Y244" s="512" t="s">
        <v>232</v>
      </c>
      <c r="Z244" s="39">
        <v>0</v>
      </c>
      <c r="AA244" s="518">
        <v>0</v>
      </c>
      <c r="AB244" s="38" t="s">
        <v>232</v>
      </c>
      <c r="AC244" s="519" t="str">
        <f>""</f>
        <v/>
      </c>
      <c r="AD244" s="520">
        <v>0</v>
      </c>
      <c r="AE244" s="520" t="s">
        <v>300</v>
      </c>
      <c r="AF244" s="520" t="s">
        <v>300</v>
      </c>
      <c r="AG244" s="520">
        <v>1</v>
      </c>
      <c r="AH244" s="520">
        <v>6</v>
      </c>
      <c r="AI244" s="520">
        <v>0</v>
      </c>
      <c r="AJ244" s="520">
        <f>VLOOKUP($I244,'Price List, Weapons &amp; Items'!A:E,5,0)</f>
        <v>0</v>
      </c>
      <c r="AK244" s="520">
        <f t="shared" si="44"/>
        <v>0</v>
      </c>
      <c r="AL244" s="520">
        <f t="shared" si="45"/>
        <v>0</v>
      </c>
      <c r="AM244" s="520">
        <f t="shared" si="46"/>
        <v>0</v>
      </c>
      <c r="AN244" s="521" t="str">
        <f>VLOOKUP($I244,'Price List, Weapons &amp; Items'!A:K,COLUMN('Price List, Weapons &amp; Items'!$I$1),0)</f>
        <v>Online marketplace and stores</v>
      </c>
      <c r="AO244" s="521" t="str">
        <f>IF(I244=".",".",VLOOKUP($I244,'Price List, Weapons &amp; Items'!A:I,3,0))</f>
        <v>.</v>
      </c>
      <c r="AP244" s="517" t="str">
        <f t="shared" ca="1" si="43"/>
        <v/>
      </c>
      <c r="AQ244" s="521">
        <f>VLOOKUP($I244,'Price List, Weapons &amp; Items'!A:K,COLUMN('Price List, Weapons &amp; Items'!$K$1),0)</f>
        <v>0</v>
      </c>
      <c r="AS244" s="521">
        <f t="shared" si="47"/>
        <v>1</v>
      </c>
      <c r="AT244" s="521">
        <f t="shared" si="48"/>
        <v>0</v>
      </c>
      <c r="AU244" s="521">
        <f t="shared" si="49"/>
        <v>1</v>
      </c>
      <c r="AV244" s="521" t="str">
        <f t="shared" si="50"/>
        <v>.</v>
      </c>
    </row>
    <row r="245" spans="1:48" s="533" customFormat="1" ht="15" customHeight="1">
      <c r="A245" s="41" t="s">
        <v>898</v>
      </c>
      <c r="B245" s="41" t="s">
        <v>840</v>
      </c>
      <c r="C245" s="511">
        <v>44775</v>
      </c>
      <c r="D245" s="18" t="s">
        <v>228</v>
      </c>
      <c r="E245" s="18" t="s">
        <v>789</v>
      </c>
      <c r="F245" s="512" t="s">
        <v>905</v>
      </c>
      <c r="G245" s="39" t="s">
        <v>332</v>
      </c>
      <c r="H245" s="513">
        <v>2900000</v>
      </c>
      <c r="I245" s="41" t="s">
        <v>906</v>
      </c>
      <c r="J245" s="276" t="str">
        <f>VLOOKUP($I245,'Price List, Weapons &amp; Items'!A:B,2,0)</f>
        <v>Humanitarian</v>
      </c>
      <c r="K245" s="276" t="str">
        <f>IF(I245=".",I245,VLOOKUP($I245,'Price List, Weapons &amp; Items'!A:C,3,0))</f>
        <v>.</v>
      </c>
      <c r="L245" s="514">
        <f>VLOOKUP(I245,'Price List, Weapons &amp; Items'!A:D,4,0)</f>
        <v>0</v>
      </c>
      <c r="M245" s="515">
        <v>1</v>
      </c>
      <c r="N245" s="515" t="s">
        <v>232</v>
      </c>
      <c r="O245" s="516" t="str">
        <f>VLOOKUP($I245,'Price List, Weapons &amp; Items'!A:F,6,0)</f>
        <v>.</v>
      </c>
      <c r="P245" s="513" t="str">
        <f t="shared" si="59"/>
        <v>No price</v>
      </c>
      <c r="Q245" s="513" t="str">
        <f t="shared" si="60"/>
        <v>.</v>
      </c>
      <c r="R245" s="513" t="str">
        <f t="shared" si="42"/>
        <v/>
      </c>
      <c r="S245" s="513" t="str">
        <f>IF(AND(AD245=1,R245&lt;&gt;".")=TRUE,R245/VLOOKUP(G245,'Exchange rates'!B:C,2,0),IF(R245=".",".",""))</f>
        <v/>
      </c>
      <c r="T245" s="513" t="str">
        <f>IF(AD245=1,IF(AF245="Value is not given at all",".",IF(AF245="Value is given by the source",S245,IF(AF245="Value is calculated with prices",(IF(SUMIFS(Q:Q,A:A,A245)&gt;0,SUMIFS(Q:Q,A:A,A245),"."))/VLOOKUP("USD",'Exchange rates'!B:C,2,0),"Error with coding"))),"")</f>
        <v/>
      </c>
      <c r="U245" s="39" t="s">
        <v>233</v>
      </c>
      <c r="V245" s="42" t="s">
        <v>907</v>
      </c>
      <c r="W245" s="825" t="s">
        <v>908</v>
      </c>
      <c r="X245" s="512" t="s">
        <v>232</v>
      </c>
      <c r="Y245" s="512" t="s">
        <v>232</v>
      </c>
      <c r="Z245" s="39">
        <v>0</v>
      </c>
      <c r="AA245" s="518">
        <v>0</v>
      </c>
      <c r="AB245" s="38" t="s">
        <v>232</v>
      </c>
      <c r="AC245" s="519" t="str">
        <f>""</f>
        <v/>
      </c>
      <c r="AD245" s="520">
        <v>0</v>
      </c>
      <c r="AE245" s="520" t="s">
        <v>237</v>
      </c>
      <c r="AF245" s="520" t="s">
        <v>237</v>
      </c>
      <c r="AG245" s="520">
        <v>1</v>
      </c>
      <c r="AH245" s="520">
        <v>8</v>
      </c>
      <c r="AI245" s="520">
        <v>0</v>
      </c>
      <c r="AJ245" s="520">
        <f>VLOOKUP($I245,'Price List, Weapons &amp; Items'!A:E,5,0)</f>
        <v>0</v>
      </c>
      <c r="AK245" s="520">
        <f t="shared" si="44"/>
        <v>0</v>
      </c>
      <c r="AL245" s="520">
        <f t="shared" si="45"/>
        <v>0</v>
      </c>
      <c r="AM245" s="520">
        <f t="shared" si="46"/>
        <v>0</v>
      </c>
      <c r="AN245" s="521" t="str">
        <f>VLOOKUP($I245,'Price List, Weapons &amp; Items'!A:K,COLUMN('Price List, Weapons &amp; Items'!$I$1),0)</f>
        <v>.</v>
      </c>
      <c r="AO245" s="521" t="str">
        <f>IF(I245=".",".",VLOOKUP($I245,'Price List, Weapons &amp; Items'!A:I,3,0))</f>
        <v>.</v>
      </c>
      <c r="AP245" s="517" t="str">
        <f t="shared" ca="1" si="43"/>
        <v/>
      </c>
      <c r="AQ245" s="521">
        <f>VLOOKUP($I245,'Price List, Weapons &amp; Items'!A:K,COLUMN('Price List, Weapons &amp; Items'!$K$1),0)</f>
        <v>0</v>
      </c>
      <c r="AS245" s="521">
        <f t="shared" si="47"/>
        <v>1</v>
      </c>
      <c r="AT245" s="521">
        <f t="shared" si="48"/>
        <v>0</v>
      </c>
      <c r="AU245" s="521">
        <f t="shared" si="49"/>
        <v>1</v>
      </c>
      <c r="AV245" s="521" t="str">
        <f t="shared" si="50"/>
        <v>.</v>
      </c>
    </row>
    <row r="246" spans="1:48" s="533" customFormat="1" ht="15" customHeight="1">
      <c r="A246" s="41" t="s">
        <v>898</v>
      </c>
      <c r="B246" s="41" t="s">
        <v>840</v>
      </c>
      <c r="C246" s="511">
        <v>44828</v>
      </c>
      <c r="D246" s="18" t="s">
        <v>228</v>
      </c>
      <c r="E246" s="18" t="s">
        <v>789</v>
      </c>
      <c r="F246" s="512" t="s">
        <v>909</v>
      </c>
      <c r="G246" s="39" t="s">
        <v>332</v>
      </c>
      <c r="H246" s="513">
        <v>2900000</v>
      </c>
      <c r="I246" s="41" t="s">
        <v>902</v>
      </c>
      <c r="J246" s="276" t="str">
        <f>VLOOKUP($I246,'Price List, Weapons &amp; Items'!A:B,2,0)</f>
        <v>Humanitarian</v>
      </c>
      <c r="K246" s="276" t="str">
        <f>IF(I246=".",I246,VLOOKUP($I246,'Price List, Weapons &amp; Items'!A:C,3,0))</f>
        <v>.</v>
      </c>
      <c r="L246" s="514">
        <f>VLOOKUP(I246,'Price List, Weapons &amp; Items'!A:D,4,0)</f>
        <v>0</v>
      </c>
      <c r="M246" s="515">
        <v>12</v>
      </c>
      <c r="N246" s="515">
        <v>12</v>
      </c>
      <c r="O246" s="516">
        <f>VLOOKUP($I246,'Price List, Weapons &amp; Items'!A:F,6,0)</f>
        <v>83142</v>
      </c>
      <c r="P246" s="513">
        <f t="shared" si="59"/>
        <v>997704</v>
      </c>
      <c r="Q246" s="513">
        <f t="shared" si="60"/>
        <v>997704</v>
      </c>
      <c r="R246" s="513" t="str">
        <f t="shared" si="42"/>
        <v/>
      </c>
      <c r="S246" s="513" t="str">
        <f>IF(AND(AD246=1,R246&lt;&gt;".")=TRUE,R246/VLOOKUP(G246,'Exchange rates'!B:C,2,0),IF(R246=".",".",""))</f>
        <v/>
      </c>
      <c r="T246" s="513" t="str">
        <f>IF(AD246=1,IF(AF246="Value is not given at all",".",IF(AF246="Value is given by the source",S246,IF(AF246="Value is calculated with prices",(IF(SUMIFS(Q:Q,A:A,A246)&gt;0,SUMIFS(Q:Q,A:A,A246),"."))/VLOOKUP("USD",'Exchange rates'!B:C,2,0),"Error with coding"))),"")</f>
        <v/>
      </c>
      <c r="U246" s="39" t="s">
        <v>233</v>
      </c>
      <c r="V246" s="42" t="s">
        <v>904</v>
      </c>
      <c r="W246" s="825" t="s">
        <v>910</v>
      </c>
      <c r="X246" s="825" t="s">
        <v>911</v>
      </c>
      <c r="Y246" s="512" t="s">
        <v>232</v>
      </c>
      <c r="Z246" s="39">
        <v>0</v>
      </c>
      <c r="AA246" s="518">
        <v>0</v>
      </c>
      <c r="AB246" s="38" t="s">
        <v>232</v>
      </c>
      <c r="AC246" s="519" t="str">
        <f>""</f>
        <v/>
      </c>
      <c r="AD246" s="520">
        <v>0</v>
      </c>
      <c r="AE246" s="520" t="s">
        <v>300</v>
      </c>
      <c r="AF246" s="520" t="s">
        <v>300</v>
      </c>
      <c r="AG246" s="520">
        <v>1</v>
      </c>
      <c r="AH246" s="520">
        <v>9</v>
      </c>
      <c r="AI246" s="520">
        <v>0</v>
      </c>
      <c r="AJ246" s="520">
        <f>VLOOKUP($I246,'Price List, Weapons &amp; Items'!A:E,5,0)</f>
        <v>0</v>
      </c>
      <c r="AK246" s="520">
        <f t="shared" si="44"/>
        <v>0</v>
      </c>
      <c r="AL246" s="520">
        <f t="shared" si="45"/>
        <v>0</v>
      </c>
      <c r="AM246" s="520">
        <f t="shared" si="46"/>
        <v>0</v>
      </c>
      <c r="AN246" s="521" t="str">
        <f>VLOOKUP($I246,'Price List, Weapons &amp; Items'!A:K,COLUMN('Price List, Weapons &amp; Items'!$I$1),0)</f>
        <v>Online marketplace and stores</v>
      </c>
      <c r="AO246" s="521" t="str">
        <f>IF(I246=".",".",VLOOKUP($I246,'Price List, Weapons &amp; Items'!A:I,3,0))</f>
        <v>.</v>
      </c>
      <c r="AP246" s="517" t="str">
        <f t="shared" ca="1" si="43"/>
        <v/>
      </c>
      <c r="AQ246" s="521">
        <f>VLOOKUP($I246,'Price List, Weapons &amp; Items'!A:K,COLUMN('Price List, Weapons &amp; Items'!$K$1),0)</f>
        <v>0</v>
      </c>
      <c r="AS246" s="521">
        <f t="shared" si="47"/>
        <v>1</v>
      </c>
      <c r="AT246" s="521">
        <f t="shared" si="48"/>
        <v>0</v>
      </c>
      <c r="AU246" s="521">
        <f t="shared" si="49"/>
        <v>1</v>
      </c>
      <c r="AV246" s="521" t="str">
        <f t="shared" si="50"/>
        <v>.</v>
      </c>
    </row>
    <row r="247" spans="1:48" s="533" customFormat="1" ht="15" customHeight="1">
      <c r="A247" s="41" t="s">
        <v>898</v>
      </c>
      <c r="B247" s="41" t="s">
        <v>840</v>
      </c>
      <c r="C247" s="511">
        <v>44833</v>
      </c>
      <c r="D247" s="18" t="s">
        <v>228</v>
      </c>
      <c r="E247" s="18" t="s">
        <v>789</v>
      </c>
      <c r="F247" s="512" t="s">
        <v>912</v>
      </c>
      <c r="G247" s="39" t="s">
        <v>332</v>
      </c>
      <c r="H247" s="513">
        <v>2900000</v>
      </c>
      <c r="I247" s="424" t="s">
        <v>913</v>
      </c>
      <c r="J247" s="276" t="str">
        <f>VLOOKUP($I247,'Price List, Weapons &amp; Items'!A:B,2,0)</f>
        <v>Humanitarian</v>
      </c>
      <c r="K247" s="276" t="str">
        <f>IF(I247=".",I247,VLOOKUP($I247,'Price List, Weapons &amp; Items'!A:C,3,0))</f>
        <v>.</v>
      </c>
      <c r="L247" s="514">
        <f>VLOOKUP(I247,'Price List, Weapons &amp; Items'!A:D,4,0)</f>
        <v>0</v>
      </c>
      <c r="M247" s="515" t="s">
        <v>232</v>
      </c>
      <c r="N247" s="515"/>
      <c r="O247" s="516" t="str">
        <f>VLOOKUP($I247,'Price List, Weapons &amp; Items'!A:F,6,0)</f>
        <v>.</v>
      </c>
      <c r="P247" s="513" t="str">
        <f t="shared" si="59"/>
        <v>.</v>
      </c>
      <c r="Q247" s="513" t="str">
        <f t="shared" si="60"/>
        <v>No price</v>
      </c>
      <c r="R247" s="513" t="str">
        <f t="shared" si="42"/>
        <v/>
      </c>
      <c r="S247" s="513" t="str">
        <f>IF(AND(AD247=1,R247&lt;&gt;".")=TRUE,R247/VLOOKUP(G247,'Exchange rates'!B:C,2,0),IF(R247=".",".",""))</f>
        <v/>
      </c>
      <c r="T247" s="513" t="str">
        <f>IF(AD247=1,IF(AF247="Value is not given at all",".",IF(AF247="Value is given by the source",S247,IF(AF247="Value is calculated with prices",(IF(SUMIFS(Q:Q,A:A,A247)&gt;0,SUMIFS(Q:Q,A:A,A247),"."))/VLOOKUP("USD",'Exchange rates'!B:C,2,0),"Error with coding"))),"")</f>
        <v/>
      </c>
      <c r="U247" s="39" t="s">
        <v>233</v>
      </c>
      <c r="V247" s="42" t="s">
        <v>914</v>
      </c>
      <c r="W247" s="825" t="s">
        <v>915</v>
      </c>
      <c r="X247" s="825" t="s">
        <v>232</v>
      </c>
      <c r="Y247" s="512" t="s">
        <v>232</v>
      </c>
      <c r="Z247" s="39">
        <v>0</v>
      </c>
      <c r="AA247" s="518">
        <v>0</v>
      </c>
      <c r="AB247" s="38" t="s">
        <v>232</v>
      </c>
      <c r="AC247" s="519" t="str">
        <f>""</f>
        <v/>
      </c>
      <c r="AD247" s="520">
        <v>0</v>
      </c>
      <c r="AE247" s="520" t="s">
        <v>237</v>
      </c>
      <c r="AF247" s="520" t="s">
        <v>237</v>
      </c>
      <c r="AG247" s="520">
        <v>1</v>
      </c>
      <c r="AH247" s="520">
        <v>9</v>
      </c>
      <c r="AI247" s="520">
        <v>0</v>
      </c>
      <c r="AJ247" s="520">
        <f>VLOOKUP($I247,'Price List, Weapons &amp; Items'!A:E,5,0)</f>
        <v>0</v>
      </c>
      <c r="AK247" s="520">
        <f t="shared" si="44"/>
        <v>0</v>
      </c>
      <c r="AL247" s="520">
        <f t="shared" si="45"/>
        <v>0</v>
      </c>
      <c r="AM247" s="520">
        <f t="shared" si="46"/>
        <v>0</v>
      </c>
      <c r="AN247" s="521" t="str">
        <f>VLOOKUP($I247,'Price List, Weapons &amp; Items'!A:K,COLUMN('Price List, Weapons &amp; Items'!$I$1),0)</f>
        <v>.</v>
      </c>
      <c r="AO247" s="521" t="str">
        <f>IF(I247=".",".",VLOOKUP($I247,'Price List, Weapons &amp; Items'!A:I,3,0))</f>
        <v>.</v>
      </c>
      <c r="AP247" s="517" t="str">
        <f t="shared" ca="1" si="43"/>
        <v/>
      </c>
      <c r="AQ247" s="521">
        <f>VLOOKUP($I247,'Price List, Weapons &amp; Items'!A:K,COLUMN('Price List, Weapons &amp; Items'!$K$1),0)</f>
        <v>0</v>
      </c>
      <c r="AS247" s="521">
        <f t="shared" si="47"/>
        <v>1</v>
      </c>
      <c r="AT247" s="521">
        <f t="shared" si="48"/>
        <v>0</v>
      </c>
      <c r="AU247" s="521">
        <f t="shared" si="49"/>
        <v>1</v>
      </c>
      <c r="AV247" s="521" t="str">
        <f t="shared" si="50"/>
        <v>.</v>
      </c>
    </row>
    <row r="248" spans="1:48" ht="15" customHeight="1">
      <c r="A248" s="41" t="s">
        <v>916</v>
      </c>
      <c r="B248" s="41" t="s">
        <v>917</v>
      </c>
      <c r="C248" s="511">
        <v>44609</v>
      </c>
      <c r="D248" s="18" t="s">
        <v>228</v>
      </c>
      <c r="E248" s="18" t="s">
        <v>229</v>
      </c>
      <c r="F248" s="512" t="s">
        <v>918</v>
      </c>
      <c r="G248" s="39" t="s">
        <v>332</v>
      </c>
      <c r="H248" s="513">
        <v>2000000</v>
      </c>
      <c r="I248" s="41" t="s">
        <v>232</v>
      </c>
      <c r="J248" s="276" t="str">
        <f>VLOOKUP($I248,'Price List, Weapons &amp; Items'!A:B,2,0)</f>
        <v>.</v>
      </c>
      <c r="K248" s="276" t="str">
        <f>IF(I248=".",I248,VLOOKUP($I248,'Price List, Weapons &amp; Items'!A:C,3,0))</f>
        <v>.</v>
      </c>
      <c r="L248" s="514">
        <f>VLOOKUP(I248,'Price List, Weapons &amp; Items'!A:D,4,0)</f>
        <v>0</v>
      </c>
      <c r="M248" s="515" t="s">
        <v>232</v>
      </c>
      <c r="N248" s="515" t="s">
        <v>232</v>
      </c>
      <c r="O248" s="516" t="str">
        <f>VLOOKUP($I248,'Price List, Weapons &amp; Items'!A:F,6,0)</f>
        <v>.</v>
      </c>
      <c r="P248" s="513" t="str">
        <f t="shared" si="59"/>
        <v>.</v>
      </c>
      <c r="Q248" s="513" t="str">
        <f t="shared" si="60"/>
        <v>.</v>
      </c>
      <c r="R248" s="513">
        <f t="shared" si="42"/>
        <v>2000000</v>
      </c>
      <c r="S248" s="513">
        <f>IF(AND(AD248=1,R248&lt;&gt;".")=TRUE,R248/VLOOKUP(G248,'Exchange rates'!B:C,2,0),IF(R248=".",".",""))</f>
        <v>2000000</v>
      </c>
      <c r="T248" s="513" t="str">
        <f>IF(AD248=1,IF(AF248="Value is not given at all",".",IF(AF248="Value is given by the source",S248,IF(AF248="Value is calculated with prices",(IF(SUMIFS(Q:Q,A:A,A248)&gt;0,SUMIFS(Q:Q,A:A,A248),"."))/VLOOKUP("USD",'Exchange rates'!B:C,2,0),"Error with coding"))),"")</f>
        <v>.</v>
      </c>
      <c r="U248" s="39" t="s">
        <v>233</v>
      </c>
      <c r="V248" s="42" t="s">
        <v>919</v>
      </c>
      <c r="W248" s="512" t="s">
        <v>232</v>
      </c>
      <c r="X248" s="512" t="s">
        <v>232</v>
      </c>
      <c r="Y248" s="512" t="s">
        <v>232</v>
      </c>
      <c r="Z248" s="39">
        <v>0</v>
      </c>
      <c r="AA248" s="518">
        <v>0</v>
      </c>
      <c r="AB248" s="521" t="s">
        <v>232</v>
      </c>
      <c r="AC248" s="519" t="str">
        <f>""</f>
        <v/>
      </c>
      <c r="AD248" s="520">
        <v>1</v>
      </c>
      <c r="AE248" s="520" t="s">
        <v>236</v>
      </c>
      <c r="AF248" s="520" t="s">
        <v>237</v>
      </c>
      <c r="AG248" s="520">
        <v>1</v>
      </c>
      <c r="AH248" s="520">
        <v>2</v>
      </c>
      <c r="AI248" s="520">
        <v>1</v>
      </c>
      <c r="AJ248" s="520">
        <f>VLOOKUP($I248,'Price List, Weapons &amp; Items'!A:E,5,0)</f>
        <v>0</v>
      </c>
      <c r="AK248" s="520">
        <f t="shared" si="44"/>
        <v>0</v>
      </c>
      <c r="AL248" s="520">
        <f t="shared" si="45"/>
        <v>0</v>
      </c>
      <c r="AM248" s="520">
        <f t="shared" si="46"/>
        <v>0</v>
      </c>
      <c r="AN248" s="521" t="str">
        <f>VLOOKUP($I248,'Price List, Weapons &amp; Items'!A:K,COLUMN('Price List, Weapons &amp; Items'!$I$1),0)</f>
        <v>.</v>
      </c>
      <c r="AO248" s="521" t="str">
        <f>IF(I248=".",".",VLOOKUP($I248,'Price List, Weapons &amp; Items'!A:I,3,0))</f>
        <v>.</v>
      </c>
      <c r="AP248" s="517" t="str">
        <f t="shared" ca="1" si="43"/>
        <v>.</v>
      </c>
      <c r="AQ248" s="521" t="str">
        <f>VLOOKUP($I248,'Price List, Weapons &amp; Items'!A:K,COLUMN('Price List, Weapons &amp; Items'!$K$1),0)</f>
        <v>no price, 0 count</v>
      </c>
      <c r="AS248" s="521">
        <f t="shared" si="47"/>
        <v>1</v>
      </c>
      <c r="AT248" s="521">
        <f t="shared" si="48"/>
        <v>0</v>
      </c>
      <c r="AU248" s="521">
        <f t="shared" si="49"/>
        <v>1</v>
      </c>
      <c r="AV248" s="521" t="str">
        <f t="shared" si="50"/>
        <v>.</v>
      </c>
    </row>
    <row r="249" spans="1:48" ht="15" customHeight="1">
      <c r="A249" s="41" t="s">
        <v>920</v>
      </c>
      <c r="B249" s="41" t="s">
        <v>917</v>
      </c>
      <c r="C249" s="511">
        <v>44623</v>
      </c>
      <c r="D249" s="18" t="s">
        <v>228</v>
      </c>
      <c r="E249" s="18" t="s">
        <v>239</v>
      </c>
      <c r="F249" s="512" t="s">
        <v>921</v>
      </c>
      <c r="G249" s="39" t="s">
        <v>332</v>
      </c>
      <c r="H249" s="513">
        <f>(9200000+2000000-SUM(S248,S250,S254,S255,S256,S257,S260,S261,S262))/6</f>
        <v>711595.2499584785</v>
      </c>
      <c r="I249" s="41" t="s">
        <v>232</v>
      </c>
      <c r="J249" s="276" t="str">
        <f>VLOOKUP($I249,'Price List, Weapons &amp; Items'!A:B,2,0)</f>
        <v>.</v>
      </c>
      <c r="K249" s="276" t="str">
        <f>IF(I249=".",I249,VLOOKUP($I249,'Price List, Weapons &amp; Items'!A:C,3,0))</f>
        <v>.</v>
      </c>
      <c r="L249" s="514">
        <f>VLOOKUP(I249,'Price List, Weapons &amp; Items'!A:D,4,0)</f>
        <v>0</v>
      </c>
      <c r="M249" s="515" t="s">
        <v>232</v>
      </c>
      <c r="N249" s="515" t="s">
        <v>232</v>
      </c>
      <c r="O249" s="516" t="str">
        <f>VLOOKUP($I249,'Price List, Weapons &amp; Items'!A:F,6,0)</f>
        <v>.</v>
      </c>
      <c r="P249" s="513" t="str">
        <f t="shared" si="59"/>
        <v>.</v>
      </c>
      <c r="Q249" s="513" t="str">
        <f t="shared" si="60"/>
        <v>.</v>
      </c>
      <c r="R249" s="513">
        <f t="shared" si="42"/>
        <v>711595.2499584785</v>
      </c>
      <c r="S249" s="513">
        <f>IF(AND(AD249=1,R249&lt;&gt;".")=TRUE,R249/VLOOKUP(G249,'Exchange rates'!B:C,2,0),IF(R249=".",".",""))</f>
        <v>711595.2499584785</v>
      </c>
      <c r="T249" s="513" t="str">
        <f>IF(AD249=1,IF(AF249="Value is not given at all",".",IF(AF249="Value is given by the source",S249,IF(AF249="Value is calculated with prices",(IF(SUMIFS(Q:Q,A:A,A249)&gt;0,SUMIFS(Q:Q,A:A,A249),"."))/VLOOKUP("USD",'Exchange rates'!B:C,2,0),"Error with coding"))),"")</f>
        <v>.</v>
      </c>
      <c r="U249" s="39" t="s">
        <v>233</v>
      </c>
      <c r="V249" s="42" t="s">
        <v>922</v>
      </c>
      <c r="W249" s="512" t="s">
        <v>232</v>
      </c>
      <c r="X249" s="512" t="s">
        <v>232</v>
      </c>
      <c r="Y249" s="512" t="s">
        <v>232</v>
      </c>
      <c r="Z249" s="39">
        <v>0</v>
      </c>
      <c r="AA249" s="518">
        <v>0</v>
      </c>
      <c r="AB249" s="521" t="s">
        <v>232</v>
      </c>
      <c r="AC249" s="519" t="str">
        <f>""</f>
        <v/>
      </c>
      <c r="AD249" s="520">
        <v>1</v>
      </c>
      <c r="AE249" s="520" t="s">
        <v>237</v>
      </c>
      <c r="AF249" s="520" t="s">
        <v>237</v>
      </c>
      <c r="AG249" s="520">
        <v>1</v>
      </c>
      <c r="AH249" s="520">
        <v>3</v>
      </c>
      <c r="AI249" s="520">
        <v>0</v>
      </c>
      <c r="AJ249" s="520">
        <f>VLOOKUP($I249,'Price List, Weapons &amp; Items'!A:E,5,0)</f>
        <v>0</v>
      </c>
      <c r="AK249" s="520">
        <f t="shared" si="44"/>
        <v>0</v>
      </c>
      <c r="AL249" s="520">
        <f t="shared" si="45"/>
        <v>0</v>
      </c>
      <c r="AM249" s="520">
        <f t="shared" si="46"/>
        <v>0</v>
      </c>
      <c r="AN249" s="521" t="str">
        <f>VLOOKUP($I249,'Price List, Weapons &amp; Items'!A:K,COLUMN('Price List, Weapons &amp; Items'!$I$1),0)</f>
        <v>.</v>
      </c>
      <c r="AO249" s="521" t="str">
        <f>IF(I249=".",".",VLOOKUP($I249,'Price List, Weapons &amp; Items'!A:I,3,0))</f>
        <v>.</v>
      </c>
      <c r="AP249" s="517" t="str">
        <f t="shared" ca="1" si="43"/>
        <v>.</v>
      </c>
      <c r="AQ249" s="521" t="str">
        <f>VLOOKUP($I249,'Price List, Weapons &amp; Items'!A:K,COLUMN('Price List, Weapons &amp; Items'!$K$1),0)</f>
        <v>no price, 0 count</v>
      </c>
      <c r="AS249" s="521">
        <f t="shared" si="47"/>
        <v>1</v>
      </c>
      <c r="AT249" s="521">
        <f t="shared" si="48"/>
        <v>0</v>
      </c>
      <c r="AU249" s="521">
        <f t="shared" si="49"/>
        <v>1</v>
      </c>
      <c r="AV249" s="521" t="str">
        <f t="shared" si="50"/>
        <v>.</v>
      </c>
    </row>
    <row r="250" spans="1:48" ht="15" customHeight="1">
      <c r="A250" s="18" t="s">
        <v>923</v>
      </c>
      <c r="B250" s="18" t="s">
        <v>917</v>
      </c>
      <c r="C250" s="511">
        <v>44623</v>
      </c>
      <c r="D250" s="18" t="s">
        <v>228</v>
      </c>
      <c r="E250" s="18" t="s">
        <v>239</v>
      </c>
      <c r="F250" s="512" t="s">
        <v>924</v>
      </c>
      <c r="G250" s="39" t="s">
        <v>314</v>
      </c>
      <c r="H250" s="513" t="s">
        <v>309</v>
      </c>
      <c r="I250" s="41" t="s">
        <v>925</v>
      </c>
      <c r="J250" s="276" t="str">
        <f>VLOOKUP($I250,'Price List, Weapons &amp; Items'!A:B,2,0)</f>
        <v>Humanitarian</v>
      </c>
      <c r="K250" s="276" t="str">
        <f>IF(I250=".",I250,VLOOKUP($I250,'Price List, Weapons &amp; Items'!A:C,3,0))</f>
        <v>.</v>
      </c>
      <c r="L250" s="514">
        <f>VLOOKUP(I250,'Price List, Weapons &amp; Items'!A:D,4,0)</f>
        <v>0</v>
      </c>
      <c r="M250" s="515">
        <v>1</v>
      </c>
      <c r="N250" s="515" t="s">
        <v>232</v>
      </c>
      <c r="O250" s="516">
        <f>VLOOKUP($I250,'Price List, Weapons &amp; Items'!A:F,6,0)</f>
        <v>4995</v>
      </c>
      <c r="P250" s="513">
        <f t="shared" si="59"/>
        <v>4995</v>
      </c>
      <c r="Q250" s="513" t="str">
        <f t="shared" si="60"/>
        <v>.</v>
      </c>
      <c r="R250" s="513">
        <f t="shared" si="42"/>
        <v>20185</v>
      </c>
      <c r="S250" s="513">
        <f>IF(AND(AD250=1,R250&lt;&gt;".")=TRUE,R250/VLOOKUP(G250,'Exchange rates'!B:C,2,0),IF(R250=".",".",""))</f>
        <v>20114.59890383657</v>
      </c>
      <c r="T250" s="513" t="str">
        <f>IF(AD250=1,IF(AF250="Value is not given at all",".",IF(AF250="Value is given by the source",S250,IF(AF250="Value is calculated with prices",(IF(SUMIFS(Q:Q,A:A,A250)&gt;0,SUMIFS(Q:Q,A:A,A250),"."))/VLOOKUP("USD",'Exchange rates'!B:C,2,0),"Error with coding"))),"")</f>
        <v>.</v>
      </c>
      <c r="U250" s="39" t="s">
        <v>233</v>
      </c>
      <c r="V250" s="376" t="s">
        <v>922</v>
      </c>
      <c r="W250" s="528" t="s">
        <v>232</v>
      </c>
      <c r="X250" s="528" t="s">
        <v>232</v>
      </c>
      <c r="Y250" s="528" t="s">
        <v>232</v>
      </c>
      <c r="Z250" s="39">
        <v>0</v>
      </c>
      <c r="AA250" s="518">
        <v>0</v>
      </c>
      <c r="AB250" s="521" t="s">
        <v>232</v>
      </c>
      <c r="AC250" s="519" t="str">
        <f>""</f>
        <v/>
      </c>
      <c r="AD250" s="520">
        <v>1</v>
      </c>
      <c r="AE250" s="520" t="s">
        <v>300</v>
      </c>
      <c r="AF250" s="520" t="s">
        <v>237</v>
      </c>
      <c r="AG250" s="520">
        <v>1</v>
      </c>
      <c r="AH250" s="520">
        <v>3</v>
      </c>
      <c r="AI250" s="520">
        <v>0</v>
      </c>
      <c r="AJ250" s="520">
        <f>VLOOKUP($I250,'Price List, Weapons &amp; Items'!A:E,5,0)</f>
        <v>0</v>
      </c>
      <c r="AK250" s="520">
        <f t="shared" si="44"/>
        <v>0</v>
      </c>
      <c r="AL250" s="520">
        <f t="shared" si="45"/>
        <v>0</v>
      </c>
      <c r="AM250" s="520">
        <f t="shared" si="46"/>
        <v>0</v>
      </c>
      <c r="AN250" s="521" t="str">
        <f>VLOOKUP($I250,'Price List, Weapons &amp; Items'!A:K,COLUMN('Price List, Weapons &amp; Items'!$I$1),0)</f>
        <v>Online marketplaces and stores</v>
      </c>
      <c r="AO250" s="521" t="str">
        <f>IF(I250=".",".",VLOOKUP($I250,'Price List, Weapons &amp; Items'!A:I,3,0))</f>
        <v>.</v>
      </c>
      <c r="AP250" s="517" t="str">
        <f t="shared" ca="1" si="43"/>
        <v>field kitchen; shower tent; general purpose tent</v>
      </c>
      <c r="AQ250" s="521">
        <f>VLOOKUP($I250,'Price List, Weapons &amp; Items'!A:K,COLUMN('Price List, Weapons &amp; Items'!$K$1),0)</f>
        <v>0</v>
      </c>
      <c r="AS250" s="521">
        <f t="shared" si="47"/>
        <v>1</v>
      </c>
      <c r="AT250" s="521">
        <f t="shared" si="48"/>
        <v>0</v>
      </c>
      <c r="AU250" s="521">
        <f t="shared" si="49"/>
        <v>1</v>
      </c>
      <c r="AV250" s="521" t="str">
        <f t="shared" si="50"/>
        <v>.</v>
      </c>
    </row>
    <row r="251" spans="1:48" ht="15" customHeight="1">
      <c r="A251" s="18" t="s">
        <v>923</v>
      </c>
      <c r="B251" s="18" t="s">
        <v>917</v>
      </c>
      <c r="C251" s="511">
        <v>44623</v>
      </c>
      <c r="D251" s="18" t="s">
        <v>228</v>
      </c>
      <c r="E251" s="18" t="s">
        <v>239</v>
      </c>
      <c r="F251" s="512" t="s">
        <v>924</v>
      </c>
      <c r="G251" s="39" t="s">
        <v>314</v>
      </c>
      <c r="H251" s="513" t="s">
        <v>309</v>
      </c>
      <c r="I251" s="41" t="s">
        <v>926</v>
      </c>
      <c r="J251" s="276" t="str">
        <f>VLOOKUP($I251,'Price List, Weapons &amp; Items'!A:B,2,0)</f>
        <v>Humanitarian</v>
      </c>
      <c r="K251" s="276" t="str">
        <f>IF(I251=".",I251,VLOOKUP($I251,'Price List, Weapons &amp; Items'!A:C,3,0))</f>
        <v>.</v>
      </c>
      <c r="L251" s="514">
        <f>VLOOKUP(I251,'Price List, Weapons &amp; Items'!A:D,4,0)</f>
        <v>0</v>
      </c>
      <c r="M251" s="515">
        <v>2</v>
      </c>
      <c r="N251" s="515" t="s">
        <v>232</v>
      </c>
      <c r="O251" s="516">
        <f>VLOOKUP($I251,'Price List, Weapons &amp; Items'!A:F,6,0)</f>
        <v>95</v>
      </c>
      <c r="P251" s="513">
        <f t="shared" si="59"/>
        <v>190</v>
      </c>
      <c r="Q251" s="513" t="str">
        <f t="shared" si="60"/>
        <v>.</v>
      </c>
      <c r="R251" s="513" t="str">
        <f t="shared" si="42"/>
        <v/>
      </c>
      <c r="S251" s="513" t="str">
        <f>IF(AND(AD251=1,R251&lt;&gt;".")=TRUE,R251/VLOOKUP(G251,'Exchange rates'!B:C,2,0),IF(R251=".",".",""))</f>
        <v/>
      </c>
      <c r="T251" s="513" t="str">
        <f>IF(AD251=1,IF(AF251="Value is not given at all",".",IF(AF251="Value is given by the source",S251,IF(AF251="Value is calculated with prices",(IF(SUMIFS(Q:Q,A:A,A251)&gt;0,SUMIFS(Q:Q,A:A,A251),"."))/VLOOKUP("USD",'Exchange rates'!B:C,2,0),"Error with coding"))),"")</f>
        <v/>
      </c>
      <c r="U251" s="39" t="s">
        <v>233</v>
      </c>
      <c r="V251" s="376" t="s">
        <v>922</v>
      </c>
      <c r="W251" s="528" t="s">
        <v>232</v>
      </c>
      <c r="X251" s="528" t="s">
        <v>232</v>
      </c>
      <c r="Y251" s="528" t="s">
        <v>232</v>
      </c>
      <c r="Z251" s="39">
        <v>0</v>
      </c>
      <c r="AA251" s="518">
        <v>0</v>
      </c>
      <c r="AB251" s="521" t="s">
        <v>232</v>
      </c>
      <c r="AC251" s="519" t="str">
        <f>""</f>
        <v/>
      </c>
      <c r="AD251" s="520">
        <v>0</v>
      </c>
      <c r="AE251" s="520" t="s">
        <v>300</v>
      </c>
      <c r="AF251" s="520" t="s">
        <v>237</v>
      </c>
      <c r="AG251" s="520">
        <v>1</v>
      </c>
      <c r="AH251" s="520">
        <v>3</v>
      </c>
      <c r="AI251" s="520">
        <v>0</v>
      </c>
      <c r="AJ251" s="520">
        <f>VLOOKUP($I251,'Price List, Weapons &amp; Items'!A:E,5,0)</f>
        <v>0</v>
      </c>
      <c r="AK251" s="520">
        <f t="shared" si="44"/>
        <v>0</v>
      </c>
      <c r="AL251" s="520">
        <f t="shared" si="45"/>
        <v>0</v>
      </c>
      <c r="AM251" s="520">
        <f t="shared" si="46"/>
        <v>0</v>
      </c>
      <c r="AN251" s="521" t="str">
        <f>VLOOKUP($I251,'Price List, Weapons &amp; Items'!A:K,COLUMN('Price List, Weapons &amp; Items'!$I$1),0)</f>
        <v>Online marketplaces and stores</v>
      </c>
      <c r="AO251" s="521" t="str">
        <f>IF(I251=".",".",VLOOKUP($I251,'Price List, Weapons &amp; Items'!A:I,3,0))</f>
        <v>.</v>
      </c>
      <c r="AP251" s="517" t="str">
        <f t="shared" ca="1" si="43"/>
        <v/>
      </c>
      <c r="AQ251" s="521">
        <f>VLOOKUP($I251,'Price List, Weapons &amp; Items'!A:K,COLUMN('Price List, Weapons &amp; Items'!$K$1),0)</f>
        <v>0</v>
      </c>
      <c r="AS251" s="521">
        <f t="shared" si="47"/>
        <v>1</v>
      </c>
      <c r="AT251" s="521">
        <f t="shared" si="48"/>
        <v>0</v>
      </c>
      <c r="AU251" s="521">
        <f t="shared" si="49"/>
        <v>1</v>
      </c>
      <c r="AV251" s="521" t="str">
        <f t="shared" si="50"/>
        <v>.</v>
      </c>
    </row>
    <row r="252" spans="1:48" ht="15" customHeight="1">
      <c r="A252" s="18" t="s">
        <v>923</v>
      </c>
      <c r="B252" s="18" t="s">
        <v>917</v>
      </c>
      <c r="C252" s="511">
        <v>44623</v>
      </c>
      <c r="D252" s="18" t="s">
        <v>228</v>
      </c>
      <c r="E252" s="18" t="s">
        <v>239</v>
      </c>
      <c r="F252" s="512" t="s">
        <v>924</v>
      </c>
      <c r="G252" s="39" t="s">
        <v>314</v>
      </c>
      <c r="H252" s="513" t="s">
        <v>309</v>
      </c>
      <c r="I252" s="41" t="s">
        <v>927</v>
      </c>
      <c r="J252" s="276" t="str">
        <f>VLOOKUP($I252,'Price List, Weapons &amp; Items'!A:B,2,0)</f>
        <v>Humanitarian</v>
      </c>
      <c r="K252" s="276" t="str">
        <f>IF(I252=".",I252,VLOOKUP($I252,'Price List, Weapons &amp; Items'!A:C,3,0))</f>
        <v>.</v>
      </c>
      <c r="L252" s="514">
        <f>VLOOKUP(I252,'Price List, Weapons &amp; Items'!A:D,4,0)</f>
        <v>0</v>
      </c>
      <c r="M252" s="515">
        <v>5</v>
      </c>
      <c r="N252" s="515" t="s">
        <v>232</v>
      </c>
      <c r="O252" s="516">
        <f>VLOOKUP($I252,'Price List, Weapons &amp; Items'!A:F,6,0)</f>
        <v>3000</v>
      </c>
      <c r="P252" s="513">
        <f t="shared" si="59"/>
        <v>15000</v>
      </c>
      <c r="Q252" s="513" t="str">
        <f t="shared" si="60"/>
        <v>.</v>
      </c>
      <c r="R252" s="513" t="str">
        <f t="shared" si="42"/>
        <v/>
      </c>
      <c r="S252" s="513" t="str">
        <f>IF(AND(AD252=1,R252&lt;&gt;".")=TRUE,R252/VLOOKUP(G252,'Exchange rates'!B:C,2,0),IF(R252=".",".",""))</f>
        <v/>
      </c>
      <c r="T252" s="513" t="str">
        <f>IF(AD252=1,IF(AF252="Value is not given at all",".",IF(AF252="Value is given by the source",S252,IF(AF252="Value is calculated with prices",(IF(SUMIFS(Q:Q,A:A,A252)&gt;0,SUMIFS(Q:Q,A:A,A252),"."))/VLOOKUP("USD",'Exchange rates'!B:C,2,0),"Error with coding"))),"")</f>
        <v/>
      </c>
      <c r="U252" s="39" t="s">
        <v>233</v>
      </c>
      <c r="V252" s="376" t="s">
        <v>922</v>
      </c>
      <c r="W252" s="528" t="s">
        <v>232</v>
      </c>
      <c r="X252" s="528" t="s">
        <v>232</v>
      </c>
      <c r="Y252" s="528" t="s">
        <v>232</v>
      </c>
      <c r="Z252" s="39">
        <v>0</v>
      </c>
      <c r="AA252" s="518">
        <v>0</v>
      </c>
      <c r="AB252" s="521" t="s">
        <v>232</v>
      </c>
      <c r="AC252" s="519" t="str">
        <f>""</f>
        <v/>
      </c>
      <c r="AD252" s="520">
        <v>0</v>
      </c>
      <c r="AE252" s="520" t="s">
        <v>300</v>
      </c>
      <c r="AF252" s="520" t="s">
        <v>237</v>
      </c>
      <c r="AG252" s="520">
        <v>1</v>
      </c>
      <c r="AH252" s="520">
        <v>3</v>
      </c>
      <c r="AI252" s="520">
        <v>0</v>
      </c>
      <c r="AJ252" s="520">
        <f>VLOOKUP($I252,'Price List, Weapons &amp; Items'!A:E,5,0)</f>
        <v>0</v>
      </c>
      <c r="AK252" s="520">
        <f t="shared" si="44"/>
        <v>0</v>
      </c>
      <c r="AL252" s="520">
        <f t="shared" si="45"/>
        <v>0</v>
      </c>
      <c r="AM252" s="520">
        <f t="shared" si="46"/>
        <v>0</v>
      </c>
      <c r="AN252" s="521" t="str">
        <f>VLOOKUP($I252,'Price List, Weapons &amp; Items'!A:K,COLUMN('Price List, Weapons &amp; Items'!$I$1),0)</f>
        <v>Online marketplaces and stores</v>
      </c>
      <c r="AO252" s="521" t="str">
        <f>IF(I252=".",".",VLOOKUP($I252,'Price List, Weapons &amp; Items'!A:I,3,0))</f>
        <v>.</v>
      </c>
      <c r="AP252" s="517" t="str">
        <f t="shared" ca="1" si="43"/>
        <v/>
      </c>
      <c r="AQ252" s="521">
        <f>VLOOKUP($I252,'Price List, Weapons &amp; Items'!A:K,COLUMN('Price List, Weapons &amp; Items'!$K$1),0)</f>
        <v>0</v>
      </c>
      <c r="AS252" s="521">
        <f t="shared" si="47"/>
        <v>1</v>
      </c>
      <c r="AT252" s="521">
        <f t="shared" si="48"/>
        <v>0</v>
      </c>
      <c r="AU252" s="521">
        <f t="shared" si="49"/>
        <v>1</v>
      </c>
      <c r="AV252" s="521" t="str">
        <f t="shared" si="50"/>
        <v>.</v>
      </c>
    </row>
    <row r="253" spans="1:48" ht="15" customHeight="1">
      <c r="A253" s="41" t="s">
        <v>928</v>
      </c>
      <c r="B253" s="41" t="s">
        <v>917</v>
      </c>
      <c r="C253" s="511" t="s">
        <v>929</v>
      </c>
      <c r="D253" s="18" t="s">
        <v>228</v>
      </c>
      <c r="E253" s="18" t="s">
        <v>239</v>
      </c>
      <c r="F253" s="512" t="s">
        <v>930</v>
      </c>
      <c r="G253" s="39" t="s">
        <v>332</v>
      </c>
      <c r="H253" s="513">
        <f>(9200000+2000000-SUM(S248,S250,S254,S255,S256,S257,S260,S261,S262))/6</f>
        <v>711595.2499584785</v>
      </c>
      <c r="I253" s="41" t="s">
        <v>232</v>
      </c>
      <c r="J253" s="276" t="str">
        <f>VLOOKUP($I253,'Price List, Weapons &amp; Items'!A:B,2,0)</f>
        <v>.</v>
      </c>
      <c r="K253" s="276" t="str">
        <f>IF(I253=".",I253,VLOOKUP($I253,'Price List, Weapons &amp; Items'!A:C,3,0))</f>
        <v>.</v>
      </c>
      <c r="L253" s="514">
        <f>VLOOKUP(I253,'Price List, Weapons &amp; Items'!A:D,4,0)</f>
        <v>0</v>
      </c>
      <c r="M253" s="515" t="s">
        <v>232</v>
      </c>
      <c r="N253" s="515" t="s">
        <v>232</v>
      </c>
      <c r="O253" s="516" t="str">
        <f>VLOOKUP($I253,'Price List, Weapons &amp; Items'!A:F,6,0)</f>
        <v>.</v>
      </c>
      <c r="P253" s="513" t="str">
        <f t="shared" si="59"/>
        <v>.</v>
      </c>
      <c r="Q253" s="513" t="str">
        <f t="shared" si="60"/>
        <v>.</v>
      </c>
      <c r="R253" s="513">
        <f t="shared" si="42"/>
        <v>711595.2499584785</v>
      </c>
      <c r="S253" s="513">
        <f>IF(AND(AD253=1,R253&lt;&gt;".")=TRUE,R253/VLOOKUP(G253,'Exchange rates'!B:C,2,0),IF(R253=".",".",""))</f>
        <v>711595.2499584785</v>
      </c>
      <c r="T253" s="513" t="str">
        <f>IF(AD253=1,IF(AF253="Value is not given at all",".",IF(AF253="Value is given by the source",S253,IF(AF253="Value is calculated with prices",(IF(SUMIFS(Q:Q,A:A,A253)&gt;0,SUMIFS(Q:Q,A:A,A253),"."))/VLOOKUP("USD",'Exchange rates'!B:C,2,0),"Error with coding"))),"")</f>
        <v>.</v>
      </c>
      <c r="U253" s="39" t="s">
        <v>233</v>
      </c>
      <c r="V253" s="42" t="s">
        <v>922</v>
      </c>
      <c r="W253" s="512" t="s">
        <v>232</v>
      </c>
      <c r="X253" s="512" t="s">
        <v>232</v>
      </c>
      <c r="Y253" s="512" t="s">
        <v>232</v>
      </c>
      <c r="Z253" s="39">
        <v>0</v>
      </c>
      <c r="AA253" s="518">
        <v>0</v>
      </c>
      <c r="AB253" s="521" t="s">
        <v>232</v>
      </c>
      <c r="AC253" s="519" t="str">
        <f>""</f>
        <v/>
      </c>
      <c r="AD253" s="520">
        <v>1</v>
      </c>
      <c r="AE253" s="520" t="s">
        <v>237</v>
      </c>
      <c r="AF253" s="520" t="s">
        <v>237</v>
      </c>
      <c r="AG253" s="520">
        <v>1</v>
      </c>
      <c r="AH253" s="520">
        <v>3</v>
      </c>
      <c r="AI253" s="520">
        <v>0</v>
      </c>
      <c r="AJ253" s="520">
        <f>VLOOKUP($I253,'Price List, Weapons &amp; Items'!A:E,5,0)</f>
        <v>0</v>
      </c>
      <c r="AK253" s="520">
        <f t="shared" si="44"/>
        <v>0</v>
      </c>
      <c r="AL253" s="520">
        <f t="shared" si="45"/>
        <v>0</v>
      </c>
      <c r="AM253" s="520">
        <f t="shared" si="46"/>
        <v>0</v>
      </c>
      <c r="AN253" s="521" t="str">
        <f>VLOOKUP($I253,'Price List, Weapons &amp; Items'!A:K,COLUMN('Price List, Weapons &amp; Items'!$I$1),0)</f>
        <v>.</v>
      </c>
      <c r="AO253" s="521" t="str">
        <f>IF(I253=".",".",VLOOKUP($I253,'Price List, Weapons &amp; Items'!A:I,3,0))</f>
        <v>.</v>
      </c>
      <c r="AP253" s="517" t="str">
        <f t="shared" ca="1" si="43"/>
        <v>.</v>
      </c>
      <c r="AQ253" s="521" t="str">
        <f>VLOOKUP($I253,'Price List, Weapons &amp; Items'!A:K,COLUMN('Price List, Weapons &amp; Items'!$K$1),0)</f>
        <v>no price, 0 count</v>
      </c>
      <c r="AS253" s="521">
        <f t="shared" si="47"/>
        <v>1</v>
      </c>
      <c r="AT253" s="521">
        <f t="shared" si="48"/>
        <v>0</v>
      </c>
      <c r="AU253" s="521" t="str">
        <f t="shared" si="49"/>
        <v>Value is not in date format</v>
      </c>
      <c r="AV253" s="521" t="str">
        <f t="shared" si="50"/>
        <v>.</v>
      </c>
    </row>
    <row r="254" spans="1:48" ht="15" customHeight="1">
      <c r="A254" s="41" t="s">
        <v>931</v>
      </c>
      <c r="B254" s="41" t="s">
        <v>917</v>
      </c>
      <c r="C254" s="511">
        <v>44635</v>
      </c>
      <c r="D254" s="18" t="s">
        <v>228</v>
      </c>
      <c r="E254" s="18" t="s">
        <v>239</v>
      </c>
      <c r="F254" s="512" t="s">
        <v>932</v>
      </c>
      <c r="G254" s="39" t="s">
        <v>314</v>
      </c>
      <c r="H254" s="513" t="s">
        <v>309</v>
      </c>
      <c r="I254" s="41" t="s">
        <v>687</v>
      </c>
      <c r="J254" s="276" t="str">
        <f>VLOOKUP($I254,'Price List, Weapons &amp; Items'!A:B,2,0)</f>
        <v>Humanitarian</v>
      </c>
      <c r="K254" s="276" t="str">
        <f>IF(I254=".",I254,VLOOKUP($I254,'Price List, Weapons &amp; Items'!A:C,3,0))</f>
        <v>.</v>
      </c>
      <c r="L254" s="514">
        <f>VLOOKUP(I254,'Price List, Weapons &amp; Items'!A:D,4,0)</f>
        <v>0</v>
      </c>
      <c r="M254" s="515">
        <v>2</v>
      </c>
      <c r="N254" s="515" t="s">
        <v>232</v>
      </c>
      <c r="O254" s="516">
        <f>VLOOKUP($I254,'Price List, Weapons &amp; Items'!A:F,6,0)</f>
        <v>400000</v>
      </c>
      <c r="P254" s="513">
        <f t="shared" si="59"/>
        <v>800000</v>
      </c>
      <c r="Q254" s="513" t="str">
        <f t="shared" si="60"/>
        <v>.</v>
      </c>
      <c r="R254" s="513">
        <f t="shared" si="42"/>
        <v>800000</v>
      </c>
      <c r="S254" s="513">
        <f>IF(AND(AD254=1,R254&lt;&gt;".")=TRUE,R254/VLOOKUP(G254,'Exchange rates'!B:C,2,0),IF(R254=".",".",""))</f>
        <v>797209.76581963128</v>
      </c>
      <c r="T254" s="513" t="str">
        <f>IF(AD254=1,IF(AF254="Value is not given at all",".",IF(AF254="Value is given by the source",S254,IF(AF254="Value is calculated with prices",(IF(SUMIFS(Q:Q,A:A,A254)&gt;0,SUMIFS(Q:Q,A:A,A254),"."))/VLOOKUP("USD",'Exchange rates'!B:C,2,0),"Error with coding"))),"")</f>
        <v>.</v>
      </c>
      <c r="U254" s="39" t="s">
        <v>233</v>
      </c>
      <c r="V254" s="42" t="s">
        <v>922</v>
      </c>
      <c r="W254" s="512" t="s">
        <v>232</v>
      </c>
      <c r="X254" s="512" t="s">
        <v>232</v>
      </c>
      <c r="Y254" s="512" t="s">
        <v>232</v>
      </c>
      <c r="Z254" s="39">
        <v>0</v>
      </c>
      <c r="AA254" s="518">
        <v>0</v>
      </c>
      <c r="AB254" s="521" t="s">
        <v>232</v>
      </c>
      <c r="AC254" s="519" t="str">
        <f>""</f>
        <v/>
      </c>
      <c r="AD254" s="520">
        <v>1</v>
      </c>
      <c r="AE254" s="520" t="s">
        <v>300</v>
      </c>
      <c r="AF254" s="520" t="s">
        <v>237</v>
      </c>
      <c r="AG254" s="520">
        <v>1</v>
      </c>
      <c r="AH254" s="520">
        <v>3</v>
      </c>
      <c r="AI254" s="520">
        <v>0</v>
      </c>
      <c r="AJ254" s="520">
        <f>VLOOKUP($I254,'Price List, Weapons &amp; Items'!A:E,5,0)</f>
        <v>0</v>
      </c>
      <c r="AK254" s="520">
        <f t="shared" si="44"/>
        <v>0</v>
      </c>
      <c r="AL254" s="520">
        <f t="shared" si="45"/>
        <v>0</v>
      </c>
      <c r="AM254" s="520">
        <f t="shared" si="46"/>
        <v>0</v>
      </c>
      <c r="AN254" s="521" t="str">
        <f>VLOOKUP($I254,'Price List, Weapons &amp; Items'!A:K,COLUMN('Price List, Weapons &amp; Items'!$I$1),0)</f>
        <v>Media reports (incl. social media)</v>
      </c>
      <c r="AO254" s="521" t="str">
        <f>IF(I254=".",".",VLOOKUP($I254,'Price List, Weapons &amp; Items'!A:I,3,0))</f>
        <v>.</v>
      </c>
      <c r="AP254" s="517" t="str">
        <f t="shared" ca="1" si="43"/>
        <v>fire-engine</v>
      </c>
      <c r="AQ254" s="521">
        <f>VLOOKUP($I254,'Price List, Weapons &amp; Items'!A:K,COLUMN('Price List, Weapons &amp; Items'!$K$1),0)</f>
        <v>0</v>
      </c>
      <c r="AS254" s="521">
        <f t="shared" si="47"/>
        <v>1</v>
      </c>
      <c r="AT254" s="521">
        <f t="shared" si="48"/>
        <v>0</v>
      </c>
      <c r="AU254" s="521">
        <f t="shared" si="49"/>
        <v>1</v>
      </c>
      <c r="AV254" s="521" t="str">
        <f t="shared" si="50"/>
        <v>.</v>
      </c>
    </row>
    <row r="255" spans="1:48" ht="15" customHeight="1">
      <c r="A255" s="41" t="s">
        <v>933</v>
      </c>
      <c r="B255" s="41" t="s">
        <v>917</v>
      </c>
      <c r="C255" s="511">
        <v>44638</v>
      </c>
      <c r="D255" s="18" t="s">
        <v>228</v>
      </c>
      <c r="E255" s="18" t="s">
        <v>239</v>
      </c>
      <c r="F255" s="512" t="s">
        <v>934</v>
      </c>
      <c r="G255" s="39" t="s">
        <v>314</v>
      </c>
      <c r="H255" s="513" t="s">
        <v>309</v>
      </c>
      <c r="I255" s="41" t="s">
        <v>326</v>
      </c>
      <c r="J255" s="276" t="str">
        <f>VLOOKUP($I255,'Price List, Weapons &amp; Items'!A:B,2,0)</f>
        <v>Humanitarian</v>
      </c>
      <c r="K255" s="276" t="str">
        <f>IF(I255=".",I255,VLOOKUP($I255,'Price List, Weapons &amp; Items'!A:C,3,0))</f>
        <v>.</v>
      </c>
      <c r="L255" s="514">
        <f>VLOOKUP(I255,'Price List, Weapons &amp; Items'!A:D,4,0)</f>
        <v>0</v>
      </c>
      <c r="M255" s="515">
        <v>4</v>
      </c>
      <c r="N255" s="515" t="s">
        <v>232</v>
      </c>
      <c r="O255" s="516">
        <f>VLOOKUP($I255,'Price List, Weapons &amp; Items'!A:F,6,0)</f>
        <v>317500</v>
      </c>
      <c r="P255" s="513">
        <f t="shared" si="59"/>
        <v>1270000</v>
      </c>
      <c r="Q255" s="513" t="str">
        <f t="shared" si="60"/>
        <v>.</v>
      </c>
      <c r="R255" s="513">
        <f t="shared" si="42"/>
        <v>1270000</v>
      </c>
      <c r="S255" s="513">
        <f>IF(AND(AD255=1,R255&lt;&gt;".")=TRUE,R255/VLOOKUP(G255,'Exchange rates'!B:C,2,0),IF(R255=".",".",""))</f>
        <v>1265570.5032386647</v>
      </c>
      <c r="T255" s="513" t="str">
        <f>IF(AD255=1,IF(AF255="Value is not given at all",".",IF(AF255="Value is given by the source",S255,IF(AF255="Value is calculated with prices",(IF(SUMIFS(Q:Q,A:A,A255)&gt;0,SUMIFS(Q:Q,A:A,A255),"."))/VLOOKUP("USD",'Exchange rates'!B:C,2,0),"Error with coding"))),"")</f>
        <v>.</v>
      </c>
      <c r="U255" s="39" t="s">
        <v>233</v>
      </c>
      <c r="V255" s="42" t="s">
        <v>922</v>
      </c>
      <c r="W255" s="512" t="s">
        <v>232</v>
      </c>
      <c r="X255" s="512" t="s">
        <v>232</v>
      </c>
      <c r="Y255" s="512" t="s">
        <v>232</v>
      </c>
      <c r="Z255" s="39">
        <v>0</v>
      </c>
      <c r="AA255" s="518">
        <v>0</v>
      </c>
      <c r="AB255" s="521" t="s">
        <v>232</v>
      </c>
      <c r="AC255" s="519" t="str">
        <f>""</f>
        <v/>
      </c>
      <c r="AD255" s="520">
        <v>1</v>
      </c>
      <c r="AE255" s="520" t="s">
        <v>300</v>
      </c>
      <c r="AF255" s="520" t="s">
        <v>237</v>
      </c>
      <c r="AG255" s="520">
        <v>1</v>
      </c>
      <c r="AH255" s="520">
        <v>3</v>
      </c>
      <c r="AI255" s="520">
        <v>0</v>
      </c>
      <c r="AJ255" s="520">
        <f>VLOOKUP($I255,'Price List, Weapons &amp; Items'!A:E,5,0)</f>
        <v>0</v>
      </c>
      <c r="AK255" s="520">
        <f t="shared" si="44"/>
        <v>0</v>
      </c>
      <c r="AL255" s="520">
        <f t="shared" si="45"/>
        <v>0</v>
      </c>
      <c r="AM255" s="520">
        <f t="shared" si="46"/>
        <v>0</v>
      </c>
      <c r="AN255" s="521" t="str">
        <f>VLOOKUP($I255,'Price List, Weapons &amp; Items'!A:K,COLUMN('Price List, Weapons &amp; Items'!$I$1),0)</f>
        <v>Media reports (incl. social media)</v>
      </c>
      <c r="AO255" s="521" t="str">
        <f>IF(I255=".",".",VLOOKUP($I255,'Price List, Weapons &amp; Items'!A:I,3,0))</f>
        <v>.</v>
      </c>
      <c r="AP255" s="517" t="str">
        <f t="shared" ca="1" si="43"/>
        <v>ambulance H</v>
      </c>
      <c r="AQ255" s="521">
        <f>VLOOKUP($I255,'Price List, Weapons &amp; Items'!A:K,COLUMN('Price List, Weapons &amp; Items'!$K$1),0)</f>
        <v>0</v>
      </c>
      <c r="AS255" s="521">
        <f t="shared" si="47"/>
        <v>1</v>
      </c>
      <c r="AT255" s="521">
        <f t="shared" si="48"/>
        <v>0</v>
      </c>
      <c r="AU255" s="521">
        <f t="shared" si="49"/>
        <v>1</v>
      </c>
      <c r="AV255" s="521" t="str">
        <f t="shared" si="50"/>
        <v>.</v>
      </c>
    </row>
    <row r="256" spans="1:48" ht="15" customHeight="1">
      <c r="A256" s="41" t="s">
        <v>935</v>
      </c>
      <c r="B256" s="41" t="s">
        <v>917</v>
      </c>
      <c r="C256" s="511">
        <v>44639</v>
      </c>
      <c r="D256" s="18" t="s">
        <v>228</v>
      </c>
      <c r="E256" s="18" t="s">
        <v>239</v>
      </c>
      <c r="F256" s="512" t="s">
        <v>936</v>
      </c>
      <c r="G256" s="39" t="s">
        <v>314</v>
      </c>
      <c r="H256" s="513" t="s">
        <v>309</v>
      </c>
      <c r="I256" s="41" t="s">
        <v>326</v>
      </c>
      <c r="J256" s="276" t="str">
        <f>VLOOKUP($I256,'Price List, Weapons &amp; Items'!A:B,2,0)</f>
        <v>Humanitarian</v>
      </c>
      <c r="K256" s="276" t="str">
        <f>IF(I256=".",I256,VLOOKUP($I256,'Price List, Weapons &amp; Items'!A:C,3,0))</f>
        <v>.</v>
      </c>
      <c r="L256" s="514">
        <f>VLOOKUP(I256,'Price List, Weapons &amp; Items'!A:D,4,0)</f>
        <v>0</v>
      </c>
      <c r="M256" s="515">
        <v>2</v>
      </c>
      <c r="N256" s="515" t="s">
        <v>232</v>
      </c>
      <c r="O256" s="516">
        <f>VLOOKUP($I256,'Price List, Weapons &amp; Items'!A:F,6,0)</f>
        <v>317500</v>
      </c>
      <c r="P256" s="513">
        <f t="shared" si="59"/>
        <v>635000</v>
      </c>
      <c r="Q256" s="513" t="str">
        <f t="shared" si="60"/>
        <v>.</v>
      </c>
      <c r="R256" s="513">
        <f t="shared" si="42"/>
        <v>635000</v>
      </c>
      <c r="S256" s="513">
        <f>IF(AND(AD256=1,R256&lt;&gt;".")=TRUE,R256/VLOOKUP(G256,'Exchange rates'!B:C,2,0),IF(R256=".",".",""))</f>
        <v>632785.25161933235</v>
      </c>
      <c r="T256" s="513" t="str">
        <f>IF(AD256=1,IF(AF256="Value is not given at all",".",IF(AF256="Value is given by the source",S256,IF(AF256="Value is calculated with prices",(IF(SUMIFS(Q:Q,A:A,A256)&gt;0,SUMIFS(Q:Q,A:A,A256),"."))/VLOOKUP("USD",'Exchange rates'!B:C,2,0),"Error with coding"))),"")</f>
        <v>.</v>
      </c>
      <c r="U256" s="39" t="s">
        <v>233</v>
      </c>
      <c r="V256" s="42" t="s">
        <v>922</v>
      </c>
      <c r="W256" s="512" t="s">
        <v>232</v>
      </c>
      <c r="X256" s="512" t="s">
        <v>232</v>
      </c>
      <c r="Y256" s="512" t="s">
        <v>232</v>
      </c>
      <c r="Z256" s="39">
        <v>0</v>
      </c>
      <c r="AA256" s="518">
        <v>0</v>
      </c>
      <c r="AB256" s="521" t="s">
        <v>232</v>
      </c>
      <c r="AC256" s="519" t="str">
        <f>""</f>
        <v/>
      </c>
      <c r="AD256" s="520">
        <v>1</v>
      </c>
      <c r="AE256" s="520" t="s">
        <v>300</v>
      </c>
      <c r="AF256" s="520" t="s">
        <v>237</v>
      </c>
      <c r="AG256" s="520">
        <v>1</v>
      </c>
      <c r="AH256" s="520">
        <v>3</v>
      </c>
      <c r="AI256" s="520">
        <v>0</v>
      </c>
      <c r="AJ256" s="520">
        <f>VLOOKUP($I256,'Price List, Weapons &amp; Items'!A:E,5,0)</f>
        <v>0</v>
      </c>
      <c r="AK256" s="520">
        <f t="shared" si="44"/>
        <v>0</v>
      </c>
      <c r="AL256" s="520">
        <f t="shared" si="45"/>
        <v>0</v>
      </c>
      <c r="AM256" s="520">
        <f t="shared" si="46"/>
        <v>0</v>
      </c>
      <c r="AN256" s="521" t="str">
        <f>VLOOKUP($I256,'Price List, Weapons &amp; Items'!A:K,COLUMN('Price List, Weapons &amp; Items'!$I$1),0)</f>
        <v>Media reports (incl. social media)</v>
      </c>
      <c r="AO256" s="521" t="str">
        <f>IF(I256=".",".",VLOOKUP($I256,'Price List, Weapons &amp; Items'!A:I,3,0))</f>
        <v>.</v>
      </c>
      <c r="AP256" s="517" t="str">
        <f t="shared" ca="1" si="43"/>
        <v>ambulance H</v>
      </c>
      <c r="AQ256" s="521">
        <f>VLOOKUP($I256,'Price List, Weapons &amp; Items'!A:K,COLUMN('Price List, Weapons &amp; Items'!$K$1),0)</f>
        <v>0</v>
      </c>
      <c r="AS256" s="521">
        <f t="shared" si="47"/>
        <v>1</v>
      </c>
      <c r="AT256" s="521">
        <f t="shared" si="48"/>
        <v>0</v>
      </c>
      <c r="AU256" s="521">
        <f t="shared" si="49"/>
        <v>1</v>
      </c>
      <c r="AV256" s="521" t="str">
        <f t="shared" si="50"/>
        <v>.</v>
      </c>
    </row>
    <row r="257" spans="1:48" ht="15" customHeight="1">
      <c r="A257" s="41" t="s">
        <v>937</v>
      </c>
      <c r="B257" s="41" t="s">
        <v>917</v>
      </c>
      <c r="C257" s="511">
        <v>44643</v>
      </c>
      <c r="D257" s="18" t="s">
        <v>228</v>
      </c>
      <c r="E257" s="18" t="s">
        <v>239</v>
      </c>
      <c r="F257" s="512" t="s">
        <v>936</v>
      </c>
      <c r="G257" s="39" t="s">
        <v>314</v>
      </c>
      <c r="H257" s="513" t="s">
        <v>309</v>
      </c>
      <c r="I257" s="41" t="s">
        <v>326</v>
      </c>
      <c r="J257" s="276" t="str">
        <f>VLOOKUP($I257,'Price List, Weapons &amp; Items'!A:B,2,0)</f>
        <v>Humanitarian</v>
      </c>
      <c r="K257" s="276" t="str">
        <f>IF(I257=".",I257,VLOOKUP($I257,'Price List, Weapons &amp; Items'!A:C,3,0))</f>
        <v>.</v>
      </c>
      <c r="L257" s="514">
        <f>VLOOKUP(I257,'Price List, Weapons &amp; Items'!A:D,4,0)</f>
        <v>0</v>
      </c>
      <c r="M257" s="515">
        <v>2</v>
      </c>
      <c r="N257" s="515" t="s">
        <v>232</v>
      </c>
      <c r="O257" s="516">
        <f>VLOOKUP($I257,'Price List, Weapons &amp; Items'!A:F,6,0)</f>
        <v>317500</v>
      </c>
      <c r="P257" s="513">
        <f t="shared" si="59"/>
        <v>635000</v>
      </c>
      <c r="Q257" s="513" t="str">
        <f t="shared" si="60"/>
        <v>.</v>
      </c>
      <c r="R257" s="513">
        <f t="shared" si="42"/>
        <v>635000</v>
      </c>
      <c r="S257" s="513">
        <f>IF(AND(AD257=1,R257&lt;&gt;".")=TRUE,R257/VLOOKUP(G257,'Exchange rates'!B:C,2,0),IF(R257=".",".",""))</f>
        <v>632785.25161933235</v>
      </c>
      <c r="T257" s="513" t="str">
        <f>IF(AD257=1,IF(AF257="Value is not given at all",".",IF(AF257="Value is given by the source",S257,IF(AF257="Value is calculated with prices",(IF(SUMIFS(Q:Q,A:A,A257)&gt;0,SUMIFS(Q:Q,A:A,A257),"."))/VLOOKUP("USD",'Exchange rates'!B:C,2,0),"Error with coding"))),"")</f>
        <v>.</v>
      </c>
      <c r="U257" s="39" t="s">
        <v>233</v>
      </c>
      <c r="V257" s="42" t="s">
        <v>922</v>
      </c>
      <c r="W257" s="512" t="s">
        <v>232</v>
      </c>
      <c r="X257" s="512" t="s">
        <v>232</v>
      </c>
      <c r="Y257" s="512" t="s">
        <v>232</v>
      </c>
      <c r="Z257" s="39">
        <v>0</v>
      </c>
      <c r="AA257" s="518">
        <v>0</v>
      </c>
      <c r="AB257" s="521" t="s">
        <v>232</v>
      </c>
      <c r="AC257" s="519" t="str">
        <f>""</f>
        <v/>
      </c>
      <c r="AD257" s="520">
        <v>1</v>
      </c>
      <c r="AE257" s="520" t="s">
        <v>300</v>
      </c>
      <c r="AF257" s="520" t="s">
        <v>237</v>
      </c>
      <c r="AG257" s="520">
        <v>1</v>
      </c>
      <c r="AH257" s="520">
        <v>3</v>
      </c>
      <c r="AI257" s="520">
        <v>0</v>
      </c>
      <c r="AJ257" s="520">
        <f>VLOOKUP($I257,'Price List, Weapons &amp; Items'!A:E,5,0)</f>
        <v>0</v>
      </c>
      <c r="AK257" s="520">
        <f t="shared" si="44"/>
        <v>0</v>
      </c>
      <c r="AL257" s="520">
        <f t="shared" si="45"/>
        <v>0</v>
      </c>
      <c r="AM257" s="520">
        <f t="shared" si="46"/>
        <v>0</v>
      </c>
      <c r="AN257" s="521" t="str">
        <f>VLOOKUP($I257,'Price List, Weapons &amp; Items'!A:K,COLUMN('Price List, Weapons &amp; Items'!$I$1),0)</f>
        <v>Media reports (incl. social media)</v>
      </c>
      <c r="AO257" s="521" t="str">
        <f>IF(I257=".",".",VLOOKUP($I257,'Price List, Weapons &amp; Items'!A:I,3,0))</f>
        <v>.</v>
      </c>
      <c r="AP257" s="517" t="str">
        <f t="shared" ca="1" si="43"/>
        <v>ambulance H</v>
      </c>
      <c r="AQ257" s="521">
        <f>VLOOKUP($I257,'Price List, Weapons &amp; Items'!A:K,COLUMN('Price List, Weapons &amp; Items'!$K$1),0)</f>
        <v>0</v>
      </c>
      <c r="AS257" s="521">
        <f t="shared" si="47"/>
        <v>1</v>
      </c>
      <c r="AT257" s="521">
        <f t="shared" si="48"/>
        <v>0</v>
      </c>
      <c r="AU257" s="521">
        <f t="shared" si="49"/>
        <v>1</v>
      </c>
      <c r="AV257" s="521" t="str">
        <f t="shared" si="50"/>
        <v>.</v>
      </c>
    </row>
    <row r="258" spans="1:48" ht="15" customHeight="1">
      <c r="A258" s="41" t="s">
        <v>938</v>
      </c>
      <c r="B258" s="41" t="s">
        <v>917</v>
      </c>
      <c r="C258" s="511">
        <v>44644</v>
      </c>
      <c r="D258" s="18" t="s">
        <v>228</v>
      </c>
      <c r="E258" s="18" t="s">
        <v>239</v>
      </c>
      <c r="F258" s="512" t="s">
        <v>939</v>
      </c>
      <c r="G258" s="39" t="s">
        <v>332</v>
      </c>
      <c r="H258" s="513">
        <f>(9200000+2000000-SUM(S248,S250,S254,S255,S256,S257,S260,S261,S262))/6</f>
        <v>711595.2499584785</v>
      </c>
      <c r="I258" s="41" t="s">
        <v>232</v>
      </c>
      <c r="J258" s="276" t="str">
        <f>VLOOKUP($I258,'Price List, Weapons &amp; Items'!A:B,2,0)</f>
        <v>.</v>
      </c>
      <c r="K258" s="276" t="str">
        <f>IF(I258=".",I258,VLOOKUP($I258,'Price List, Weapons &amp; Items'!A:C,3,0))</f>
        <v>.</v>
      </c>
      <c r="L258" s="514">
        <f>VLOOKUP(I258,'Price List, Weapons &amp; Items'!A:D,4,0)</f>
        <v>0</v>
      </c>
      <c r="M258" s="515" t="s">
        <v>232</v>
      </c>
      <c r="N258" s="515" t="s">
        <v>232</v>
      </c>
      <c r="O258" s="516" t="str">
        <f>VLOOKUP($I258,'Price List, Weapons &amp; Items'!A:F,6,0)</f>
        <v>.</v>
      </c>
      <c r="P258" s="513" t="str">
        <f t="shared" si="59"/>
        <v>.</v>
      </c>
      <c r="Q258" s="513" t="str">
        <f t="shared" si="60"/>
        <v>.</v>
      </c>
      <c r="R258" s="513">
        <f t="shared" ref="R258:R321" si="61">IF(AD258=1,IF(H258&lt;&gt;"Not given",H258,IF(TYPE(H258)=2,IF(SUMIFS(P:P,A:A,A258)&gt;0,SUMIFS(P:P,A:A,A258),"."),"Format error")),"")</f>
        <v>711595.2499584785</v>
      </c>
      <c r="S258" s="513">
        <f>IF(AND(AD258=1,R258&lt;&gt;".")=TRUE,R258/VLOOKUP(G258,'Exchange rates'!B:C,2,0),IF(R258=".",".",""))</f>
        <v>711595.2499584785</v>
      </c>
      <c r="T258" s="513" t="str">
        <f>IF(AD258=1,IF(AF258="Value is not given at all",".",IF(AF258="Value is given by the source",S258,IF(AF258="Value is calculated with prices",(IF(SUMIFS(Q:Q,A:A,A258)&gt;0,SUMIFS(Q:Q,A:A,A258),"."))/VLOOKUP("USD",'Exchange rates'!B:C,2,0),"Error with coding"))),"")</f>
        <v>.</v>
      </c>
      <c r="U258" s="39" t="s">
        <v>233</v>
      </c>
      <c r="V258" s="42" t="s">
        <v>922</v>
      </c>
      <c r="W258" s="512" t="s">
        <v>232</v>
      </c>
      <c r="X258" s="512" t="s">
        <v>232</v>
      </c>
      <c r="Y258" s="512" t="s">
        <v>232</v>
      </c>
      <c r="Z258" s="39">
        <v>0</v>
      </c>
      <c r="AA258" s="518">
        <v>0</v>
      </c>
      <c r="AB258" s="521" t="s">
        <v>232</v>
      </c>
      <c r="AC258" s="519" t="str">
        <f>""</f>
        <v/>
      </c>
      <c r="AD258" s="520">
        <v>1</v>
      </c>
      <c r="AE258" s="520" t="s">
        <v>237</v>
      </c>
      <c r="AF258" s="520" t="s">
        <v>237</v>
      </c>
      <c r="AG258" s="520">
        <v>1</v>
      </c>
      <c r="AH258" s="520">
        <v>3</v>
      </c>
      <c r="AI258" s="520">
        <v>0</v>
      </c>
      <c r="AJ258" s="520">
        <f>VLOOKUP($I258,'Price List, Weapons &amp; Items'!A:E,5,0)</f>
        <v>0</v>
      </c>
      <c r="AK258" s="520">
        <f t="shared" si="44"/>
        <v>0</v>
      </c>
      <c r="AL258" s="520">
        <f t="shared" si="45"/>
        <v>0</v>
      </c>
      <c r="AM258" s="520">
        <f t="shared" si="46"/>
        <v>0</v>
      </c>
      <c r="AN258" s="521" t="str">
        <f>VLOOKUP($I258,'Price List, Weapons &amp; Items'!A:K,COLUMN('Price List, Weapons &amp; Items'!$I$1),0)</f>
        <v>.</v>
      </c>
      <c r="AO258" s="521" t="str">
        <f>IF(I258=".",".",VLOOKUP($I258,'Price List, Weapons &amp; Items'!A:I,3,0))</f>
        <v>.</v>
      </c>
      <c r="AP258" s="517" t="str">
        <f t="shared" ref="AP258:AP278" ca="1" si="62">IF(AD258=1,_xlfn.ARRAYTOTEXT(OFFSET(I258,0,0,COUNTIF(A:A,A258),1)),"")</f>
        <v>.</v>
      </c>
      <c r="AQ258" s="521" t="str">
        <f>VLOOKUP($I258,'Price List, Weapons &amp; Items'!A:K,COLUMN('Price List, Weapons &amp; Items'!$K$1),0)</f>
        <v>no price, 0 count</v>
      </c>
      <c r="AS258" s="521">
        <f t="shared" si="47"/>
        <v>1</v>
      </c>
      <c r="AT258" s="521">
        <f t="shared" si="48"/>
        <v>0</v>
      </c>
      <c r="AU258" s="521">
        <f t="shared" si="49"/>
        <v>1</v>
      </c>
      <c r="AV258" s="521" t="str">
        <f t="shared" si="50"/>
        <v>.</v>
      </c>
    </row>
    <row r="259" spans="1:48" ht="15" customHeight="1">
      <c r="A259" s="41" t="s">
        <v>940</v>
      </c>
      <c r="B259" s="41" t="s">
        <v>917</v>
      </c>
      <c r="C259" s="511">
        <v>44645</v>
      </c>
      <c r="D259" s="18" t="s">
        <v>228</v>
      </c>
      <c r="E259" s="18" t="s">
        <v>239</v>
      </c>
      <c r="F259" s="512" t="s">
        <v>941</v>
      </c>
      <c r="G259" s="39" t="s">
        <v>332</v>
      </c>
      <c r="H259" s="513">
        <f>(9200000+2000000-SUM(S248,S250,S254,S255,S256,S257,S260,S261,S262))/6</f>
        <v>711595.2499584785</v>
      </c>
      <c r="I259" s="41" t="s">
        <v>232</v>
      </c>
      <c r="J259" s="276" t="str">
        <f>VLOOKUP($I259,'Price List, Weapons &amp; Items'!A:B,2,0)</f>
        <v>.</v>
      </c>
      <c r="K259" s="276" t="str">
        <f>IF(I259=".",I259,VLOOKUP($I259,'Price List, Weapons &amp; Items'!A:C,3,0))</f>
        <v>.</v>
      </c>
      <c r="L259" s="514">
        <f>VLOOKUP(I259,'Price List, Weapons &amp; Items'!A:D,4,0)</f>
        <v>0</v>
      </c>
      <c r="M259" s="515" t="s">
        <v>232</v>
      </c>
      <c r="N259" s="515" t="s">
        <v>232</v>
      </c>
      <c r="O259" s="516" t="str">
        <f>VLOOKUP($I259,'Price List, Weapons &amp; Items'!A:F,6,0)</f>
        <v>.</v>
      </c>
      <c r="P259" s="513" t="str">
        <f t="shared" si="59"/>
        <v>.</v>
      </c>
      <c r="Q259" s="513" t="str">
        <f t="shared" si="60"/>
        <v>.</v>
      </c>
      <c r="R259" s="513">
        <f t="shared" si="61"/>
        <v>711595.2499584785</v>
      </c>
      <c r="S259" s="513">
        <f>IF(AND(AD259=1,R259&lt;&gt;".")=TRUE,R259/VLOOKUP(G259,'Exchange rates'!B:C,2,0),IF(R259=".",".",""))</f>
        <v>711595.2499584785</v>
      </c>
      <c r="T259" s="513" t="str">
        <f>IF(AD259=1,IF(AF259="Value is not given at all",".",IF(AF259="Value is given by the source",S259,IF(AF259="Value is calculated with prices",(IF(SUMIFS(Q:Q,A:A,A259)&gt;0,SUMIFS(Q:Q,A:A,A259),"."))/VLOOKUP("USD",'Exchange rates'!B:C,2,0),"Error with coding"))),"")</f>
        <v>.</v>
      </c>
      <c r="U259" s="39" t="s">
        <v>233</v>
      </c>
      <c r="V259" s="42" t="s">
        <v>922</v>
      </c>
      <c r="W259" s="512" t="s">
        <v>232</v>
      </c>
      <c r="X259" s="512" t="s">
        <v>232</v>
      </c>
      <c r="Y259" s="512" t="s">
        <v>232</v>
      </c>
      <c r="Z259" s="39">
        <v>0</v>
      </c>
      <c r="AA259" s="518">
        <v>0</v>
      </c>
      <c r="AB259" s="521" t="s">
        <v>232</v>
      </c>
      <c r="AC259" s="519" t="str">
        <f>""</f>
        <v/>
      </c>
      <c r="AD259" s="520">
        <v>1</v>
      </c>
      <c r="AE259" s="520" t="s">
        <v>237</v>
      </c>
      <c r="AF259" s="520" t="s">
        <v>237</v>
      </c>
      <c r="AG259" s="520">
        <v>1</v>
      </c>
      <c r="AH259" s="520">
        <v>3</v>
      </c>
      <c r="AI259" s="520">
        <v>0</v>
      </c>
      <c r="AJ259" s="520">
        <f>VLOOKUP($I259,'Price List, Weapons &amp; Items'!A:E,5,0)</f>
        <v>0</v>
      </c>
      <c r="AK259" s="520">
        <f t="shared" ref="AK259:AK322" si="63">IF(AND(AJ259=1,M259="undisclosed")=TRUE,1,0)</f>
        <v>0</v>
      </c>
      <c r="AL259" s="520">
        <f t="shared" ref="AL259:AL322" si="64">IF(AND(AJ259=1,N259="undisclosed")=TRUE,1,0)</f>
        <v>0</v>
      </c>
      <c r="AM259" s="520">
        <f t="shared" ref="AM259:AM322" si="65">IFERROR(IF(SEARCH("ammuni",I259,1)&gt;0,1,0),0)</f>
        <v>0</v>
      </c>
      <c r="AN259" s="521" t="str">
        <f>VLOOKUP($I259,'Price List, Weapons &amp; Items'!A:K,COLUMN('Price List, Weapons &amp; Items'!$I$1),0)</f>
        <v>.</v>
      </c>
      <c r="AO259" s="521" t="str">
        <f>IF(I259=".",".",VLOOKUP($I259,'Price List, Weapons &amp; Items'!A:I,3,0))</f>
        <v>.</v>
      </c>
      <c r="AP259" s="517" t="str">
        <f t="shared" ca="1" si="62"/>
        <v>.</v>
      </c>
      <c r="AQ259" s="521" t="str">
        <f>VLOOKUP($I259,'Price List, Weapons &amp; Items'!A:K,COLUMN('Price List, Weapons &amp; Items'!$K$1),0)</f>
        <v>no price, 0 count</v>
      </c>
      <c r="AS259" s="521">
        <f t="shared" ref="AS259:AS322" si="66">IF(U259="Yes",1,0)</f>
        <v>1</v>
      </c>
      <c r="AT259" s="521">
        <f t="shared" ref="AT259:AT322" si="67">IF(OR((E259="Weapons"),(E259="Weapons and equipment"),(E259="Weapons and training"),(E259="Weapons and Assistance"),(E259="Military Equipment"))=FALSE,0,1)</f>
        <v>0</v>
      </c>
      <c r="AU259" s="521">
        <f t="shared" ref="AU259:AU322" si="68">IFERROR(IF(VALUE(TEXT(C259,"mm"))=AH259,".",1),"Value is not in date format")</f>
        <v>1</v>
      </c>
      <c r="AV259" s="521" t="str">
        <f t="shared" ref="AV259:AV323" si="69">IF(AND(A259=A258,C259=C258)=TRUE,IF(F259=F258,".","1"),".")</f>
        <v>.</v>
      </c>
    </row>
    <row r="260" spans="1:48" ht="15" customHeight="1">
      <c r="A260" s="41" t="s">
        <v>942</v>
      </c>
      <c r="B260" s="41" t="s">
        <v>917</v>
      </c>
      <c r="C260" s="511">
        <v>44646</v>
      </c>
      <c r="D260" s="18" t="s">
        <v>228</v>
      </c>
      <c r="E260" s="18" t="s">
        <v>239</v>
      </c>
      <c r="F260" s="512" t="s">
        <v>943</v>
      </c>
      <c r="G260" s="39" t="s">
        <v>314</v>
      </c>
      <c r="H260" s="513" t="s">
        <v>309</v>
      </c>
      <c r="I260" s="41" t="s">
        <v>326</v>
      </c>
      <c r="J260" s="276" t="str">
        <f>VLOOKUP($I260,'Price List, Weapons &amp; Items'!A:B,2,0)</f>
        <v>Humanitarian</v>
      </c>
      <c r="K260" s="276" t="str">
        <f>IF(I260=".",I260,VLOOKUP($I260,'Price List, Weapons &amp; Items'!A:C,3,0))</f>
        <v>.</v>
      </c>
      <c r="L260" s="514">
        <f>VLOOKUP(I260,'Price List, Weapons &amp; Items'!A:D,4,0)</f>
        <v>0</v>
      </c>
      <c r="M260" s="515">
        <v>1</v>
      </c>
      <c r="N260" s="515" t="s">
        <v>232</v>
      </c>
      <c r="O260" s="516">
        <f>VLOOKUP($I260,'Price List, Weapons &amp; Items'!A:F,6,0)</f>
        <v>317500</v>
      </c>
      <c r="P260" s="513">
        <f t="shared" si="59"/>
        <v>317500</v>
      </c>
      <c r="Q260" s="513" t="str">
        <f t="shared" si="60"/>
        <v>.</v>
      </c>
      <c r="R260" s="513">
        <f t="shared" si="61"/>
        <v>317500</v>
      </c>
      <c r="S260" s="513">
        <f>IF(AND(AD260=1,R260&lt;&gt;".")=TRUE,R260/VLOOKUP(G260,'Exchange rates'!B:C,2,0),IF(R260=".",".",""))</f>
        <v>316392.62580966618</v>
      </c>
      <c r="T260" s="513" t="str">
        <f>IF(AD260=1,IF(AF260="Value is not given at all",".",IF(AF260="Value is given by the source",S260,IF(AF260="Value is calculated with prices",(IF(SUMIFS(Q:Q,A:A,A260)&gt;0,SUMIFS(Q:Q,A:A,A260),"."))/VLOOKUP("USD",'Exchange rates'!B:C,2,0),"Error with coding"))),"")</f>
        <v>.</v>
      </c>
      <c r="U260" s="39" t="s">
        <v>233</v>
      </c>
      <c r="V260" s="42" t="s">
        <v>922</v>
      </c>
      <c r="W260" s="512" t="s">
        <v>232</v>
      </c>
      <c r="X260" s="512" t="s">
        <v>232</v>
      </c>
      <c r="Y260" s="512" t="s">
        <v>232</v>
      </c>
      <c r="Z260" s="39">
        <v>0</v>
      </c>
      <c r="AA260" s="518">
        <v>0</v>
      </c>
      <c r="AB260" s="521" t="s">
        <v>232</v>
      </c>
      <c r="AC260" s="519" t="str">
        <f>""</f>
        <v/>
      </c>
      <c r="AD260" s="520">
        <v>1</v>
      </c>
      <c r="AE260" s="520" t="s">
        <v>300</v>
      </c>
      <c r="AF260" s="520" t="s">
        <v>237</v>
      </c>
      <c r="AG260" s="520">
        <v>1</v>
      </c>
      <c r="AH260" s="520">
        <v>3</v>
      </c>
      <c r="AI260" s="520">
        <v>0</v>
      </c>
      <c r="AJ260" s="520">
        <f>VLOOKUP($I260,'Price List, Weapons &amp; Items'!A:E,5,0)</f>
        <v>0</v>
      </c>
      <c r="AK260" s="520">
        <f t="shared" si="63"/>
        <v>0</v>
      </c>
      <c r="AL260" s="520">
        <f t="shared" si="64"/>
        <v>0</v>
      </c>
      <c r="AM260" s="520">
        <f t="shared" si="65"/>
        <v>0</v>
      </c>
      <c r="AN260" s="521" t="str">
        <f>VLOOKUP($I260,'Price List, Weapons &amp; Items'!A:K,COLUMN('Price List, Weapons &amp; Items'!$I$1),0)</f>
        <v>Media reports (incl. social media)</v>
      </c>
      <c r="AO260" s="521" t="str">
        <f>IF(I260=".",".",VLOOKUP($I260,'Price List, Weapons &amp; Items'!A:I,3,0))</f>
        <v>.</v>
      </c>
      <c r="AP260" s="517" t="str">
        <f t="shared" ca="1" si="62"/>
        <v>ambulance H</v>
      </c>
      <c r="AQ260" s="521">
        <f>VLOOKUP($I260,'Price List, Weapons &amp; Items'!A:K,COLUMN('Price List, Weapons &amp; Items'!$K$1),0)</f>
        <v>0</v>
      </c>
      <c r="AS260" s="521">
        <f t="shared" si="66"/>
        <v>1</v>
      </c>
      <c r="AT260" s="521">
        <f t="shared" si="67"/>
        <v>0</v>
      </c>
      <c r="AU260" s="521">
        <f t="shared" si="68"/>
        <v>1</v>
      </c>
      <c r="AV260" s="521" t="str">
        <f t="shared" si="69"/>
        <v>.</v>
      </c>
    </row>
    <row r="261" spans="1:48" ht="15" customHeight="1">
      <c r="A261" s="41" t="s">
        <v>944</v>
      </c>
      <c r="B261" s="41" t="s">
        <v>917</v>
      </c>
      <c r="C261" s="511">
        <v>44656</v>
      </c>
      <c r="D261" s="18" t="s">
        <v>228</v>
      </c>
      <c r="E261" s="18" t="s">
        <v>239</v>
      </c>
      <c r="F261" s="512" t="s">
        <v>945</v>
      </c>
      <c r="G261" s="39" t="s">
        <v>314</v>
      </c>
      <c r="H261" s="513" t="s">
        <v>309</v>
      </c>
      <c r="I261" s="41" t="s">
        <v>326</v>
      </c>
      <c r="J261" s="276" t="str">
        <f>VLOOKUP($I261,'Price List, Weapons &amp; Items'!A:B,2,0)</f>
        <v>Humanitarian</v>
      </c>
      <c r="K261" s="276" t="str">
        <f>IF(I261=".",I261,VLOOKUP($I261,'Price List, Weapons &amp; Items'!A:C,3,0))</f>
        <v>.</v>
      </c>
      <c r="L261" s="514">
        <f>VLOOKUP(I261,'Price List, Weapons &amp; Items'!A:D,4,0)</f>
        <v>0</v>
      </c>
      <c r="M261" s="515">
        <v>2</v>
      </c>
      <c r="N261" s="515" t="s">
        <v>232</v>
      </c>
      <c r="O261" s="516">
        <f>VLOOKUP($I261,'Price List, Weapons &amp; Items'!A:F,6,0)</f>
        <v>317500</v>
      </c>
      <c r="P261" s="513">
        <f t="shared" si="59"/>
        <v>635000</v>
      </c>
      <c r="Q261" s="513" t="str">
        <f t="shared" si="60"/>
        <v>.</v>
      </c>
      <c r="R261" s="513">
        <f t="shared" si="61"/>
        <v>635000</v>
      </c>
      <c r="S261" s="513">
        <f>IF(AND(AD261=1,R261&lt;&gt;".")=TRUE,R261/VLOOKUP(G261,'Exchange rates'!B:C,2,0),IF(R261=".",".",""))</f>
        <v>632785.25161933235</v>
      </c>
      <c r="T261" s="513" t="str">
        <f>IF(AD261=1,IF(AF261="Value is not given at all",".",IF(AF261="Value is given by the source",S261,IF(AF261="Value is calculated with prices",(IF(SUMIFS(Q:Q,A:A,A261)&gt;0,SUMIFS(Q:Q,A:A,A261),"."))/VLOOKUP("USD",'Exchange rates'!B:C,2,0),"Error with coding"))),"")</f>
        <v>.</v>
      </c>
      <c r="U261" s="39" t="s">
        <v>233</v>
      </c>
      <c r="V261" s="42" t="s">
        <v>922</v>
      </c>
      <c r="W261" s="512" t="s">
        <v>232</v>
      </c>
      <c r="X261" s="512" t="s">
        <v>232</v>
      </c>
      <c r="Y261" s="512" t="s">
        <v>232</v>
      </c>
      <c r="Z261" s="39">
        <v>0</v>
      </c>
      <c r="AA261" s="518">
        <v>0</v>
      </c>
      <c r="AB261" s="521" t="s">
        <v>232</v>
      </c>
      <c r="AC261" s="519" t="str">
        <f>""</f>
        <v/>
      </c>
      <c r="AD261" s="520">
        <v>1</v>
      </c>
      <c r="AE261" s="520" t="s">
        <v>300</v>
      </c>
      <c r="AF261" s="520" t="s">
        <v>237</v>
      </c>
      <c r="AG261" s="520">
        <v>1</v>
      </c>
      <c r="AH261" s="520">
        <v>4</v>
      </c>
      <c r="AI261" s="520">
        <v>0</v>
      </c>
      <c r="AJ261" s="520">
        <f>VLOOKUP($I261,'Price List, Weapons &amp; Items'!A:E,5,0)</f>
        <v>0</v>
      </c>
      <c r="AK261" s="520">
        <f t="shared" si="63"/>
        <v>0</v>
      </c>
      <c r="AL261" s="520">
        <f t="shared" si="64"/>
        <v>0</v>
      </c>
      <c r="AM261" s="520">
        <f t="shared" si="65"/>
        <v>0</v>
      </c>
      <c r="AN261" s="521" t="str">
        <f>VLOOKUP($I261,'Price List, Weapons &amp; Items'!A:K,COLUMN('Price List, Weapons &amp; Items'!$I$1),0)</f>
        <v>Media reports (incl. social media)</v>
      </c>
      <c r="AO261" s="521" t="str">
        <f>IF(I261=".",".",VLOOKUP($I261,'Price List, Weapons &amp; Items'!A:I,3,0))</f>
        <v>.</v>
      </c>
      <c r="AP261" s="517" t="str">
        <f t="shared" ca="1" si="62"/>
        <v>ambulance H</v>
      </c>
      <c r="AQ261" s="521">
        <f>VLOOKUP($I261,'Price List, Weapons &amp; Items'!A:K,COLUMN('Price List, Weapons &amp; Items'!$K$1),0)</f>
        <v>0</v>
      </c>
      <c r="AS261" s="521">
        <f t="shared" si="66"/>
        <v>1</v>
      </c>
      <c r="AT261" s="521">
        <f t="shared" si="67"/>
        <v>0</v>
      </c>
      <c r="AU261" s="521">
        <f t="shared" si="68"/>
        <v>1</v>
      </c>
      <c r="AV261" s="521" t="str">
        <f t="shared" si="69"/>
        <v>.</v>
      </c>
    </row>
    <row r="262" spans="1:48" ht="15" customHeight="1">
      <c r="A262" s="41" t="s">
        <v>946</v>
      </c>
      <c r="B262" s="41" t="s">
        <v>917</v>
      </c>
      <c r="C262" s="511">
        <v>44665</v>
      </c>
      <c r="D262" s="18" t="s">
        <v>228</v>
      </c>
      <c r="E262" s="18" t="s">
        <v>239</v>
      </c>
      <c r="F262" s="512" t="s">
        <v>947</v>
      </c>
      <c r="G262" s="39" t="s">
        <v>314</v>
      </c>
      <c r="H262" s="513" t="s">
        <v>309</v>
      </c>
      <c r="I262" s="41" t="s">
        <v>326</v>
      </c>
      <c r="J262" s="276" t="str">
        <f>VLOOKUP($I262,'Price List, Weapons &amp; Items'!A:B,2,0)</f>
        <v>Humanitarian</v>
      </c>
      <c r="K262" s="276" t="str">
        <f>IF(I262=".",I262,VLOOKUP($I262,'Price List, Weapons &amp; Items'!A:C,3,0))</f>
        <v>.</v>
      </c>
      <c r="L262" s="514">
        <f>VLOOKUP(I262,'Price List, Weapons &amp; Items'!A:D,4,0)</f>
        <v>0</v>
      </c>
      <c r="M262" s="515">
        <v>2</v>
      </c>
      <c r="N262" s="515" t="s">
        <v>232</v>
      </c>
      <c r="O262" s="516">
        <f>VLOOKUP($I262,'Price List, Weapons &amp; Items'!A:F,6,0)</f>
        <v>317500</v>
      </c>
      <c r="P262" s="513">
        <f t="shared" si="59"/>
        <v>635000</v>
      </c>
      <c r="Q262" s="513" t="str">
        <f t="shared" si="60"/>
        <v>.</v>
      </c>
      <c r="R262" s="513">
        <f t="shared" si="61"/>
        <v>635000</v>
      </c>
      <c r="S262" s="513">
        <f>IF(AND(AD262=1,R262&lt;&gt;".")=TRUE,R262/VLOOKUP(G262,'Exchange rates'!B:C,2,0),IF(R262=".",".",""))</f>
        <v>632785.25161933235</v>
      </c>
      <c r="T262" s="513" t="str">
        <f>IF(AD262=1,IF(AF262="Value is not given at all",".",IF(AF262="Value is given by the source",S262,IF(AF262="Value is calculated with prices",(IF(SUMIFS(Q:Q,A:A,A262)&gt;0,SUMIFS(Q:Q,A:A,A262),"."))/VLOOKUP("USD",'Exchange rates'!B:C,2,0),"Error with coding"))),"")</f>
        <v>.</v>
      </c>
      <c r="U262" s="39" t="s">
        <v>233</v>
      </c>
      <c r="V262" s="42" t="s">
        <v>948</v>
      </c>
      <c r="W262" s="517" t="s">
        <v>232</v>
      </c>
      <c r="X262" s="517" t="s">
        <v>232</v>
      </c>
      <c r="Y262" s="517" t="s">
        <v>232</v>
      </c>
      <c r="Z262" s="39">
        <v>0</v>
      </c>
      <c r="AA262" s="518">
        <v>0</v>
      </c>
      <c r="AB262" s="38" t="s">
        <v>232</v>
      </c>
      <c r="AC262" s="519" t="str">
        <f>""</f>
        <v/>
      </c>
      <c r="AD262" s="520">
        <v>1</v>
      </c>
      <c r="AE262" s="520" t="s">
        <v>300</v>
      </c>
      <c r="AF262" s="520" t="s">
        <v>237</v>
      </c>
      <c r="AG262" s="520">
        <v>1</v>
      </c>
      <c r="AH262" s="520">
        <v>4</v>
      </c>
      <c r="AI262" s="520">
        <v>0</v>
      </c>
      <c r="AJ262" s="520">
        <f>VLOOKUP($I262,'Price List, Weapons &amp; Items'!A:E,5,0)</f>
        <v>0</v>
      </c>
      <c r="AK262" s="520">
        <f t="shared" si="63"/>
        <v>0</v>
      </c>
      <c r="AL262" s="520">
        <f t="shared" si="64"/>
        <v>0</v>
      </c>
      <c r="AM262" s="520">
        <f t="shared" si="65"/>
        <v>0</v>
      </c>
      <c r="AN262" s="521" t="str">
        <f>VLOOKUP($I262,'Price List, Weapons &amp; Items'!A:K,COLUMN('Price List, Weapons &amp; Items'!$I$1),0)</f>
        <v>Media reports (incl. social media)</v>
      </c>
      <c r="AO262" s="521" t="str">
        <f>IF(I262=".",".",VLOOKUP($I262,'Price List, Weapons &amp; Items'!A:I,3,0))</f>
        <v>.</v>
      </c>
      <c r="AP262" s="517" t="str">
        <f t="shared" ca="1" si="62"/>
        <v>ambulance H</v>
      </c>
      <c r="AQ262" s="521">
        <f>VLOOKUP($I262,'Price List, Weapons &amp; Items'!A:K,COLUMN('Price List, Weapons &amp; Items'!$K$1),0)</f>
        <v>0</v>
      </c>
      <c r="AS262" s="521">
        <f t="shared" si="66"/>
        <v>1</v>
      </c>
      <c r="AT262" s="521">
        <f t="shared" si="67"/>
        <v>0</v>
      </c>
      <c r="AU262" s="521">
        <f t="shared" si="68"/>
        <v>1</v>
      </c>
      <c r="AV262" s="521" t="str">
        <f t="shared" si="69"/>
        <v>.</v>
      </c>
    </row>
    <row r="263" spans="1:48" ht="15" customHeight="1">
      <c r="A263" s="41" t="s">
        <v>949</v>
      </c>
      <c r="B263" s="41" t="s">
        <v>917</v>
      </c>
      <c r="C263" s="511">
        <v>44750</v>
      </c>
      <c r="D263" s="18" t="s">
        <v>228</v>
      </c>
      <c r="E263" s="18" t="s">
        <v>239</v>
      </c>
      <c r="F263" s="512" t="s">
        <v>950</v>
      </c>
      <c r="G263" s="39" t="s">
        <v>332</v>
      </c>
      <c r="H263" s="513">
        <f>(9200000+2000000-SUM(S248,S250,S254,S255,S256,S257,S260,S261,S262))/6</f>
        <v>711595.2499584785</v>
      </c>
      <c r="I263" s="41" t="s">
        <v>232</v>
      </c>
      <c r="J263" s="276" t="str">
        <f>VLOOKUP($I263,'Price List, Weapons &amp; Items'!A:B,2,0)</f>
        <v>.</v>
      </c>
      <c r="K263" s="276" t="str">
        <f>IF(I263=".",I263,VLOOKUP($I263,'Price List, Weapons &amp; Items'!A:C,3,0))</f>
        <v>.</v>
      </c>
      <c r="L263" s="514">
        <f>VLOOKUP(I263,'Price List, Weapons &amp; Items'!A:D,4,0)</f>
        <v>0</v>
      </c>
      <c r="M263" s="515" t="s">
        <v>232</v>
      </c>
      <c r="N263" s="515" t="s">
        <v>232</v>
      </c>
      <c r="O263" s="516" t="str">
        <f>VLOOKUP($I263,'Price List, Weapons &amp; Items'!A:F,6,0)</f>
        <v>.</v>
      </c>
      <c r="P263" s="513" t="str">
        <f t="shared" si="59"/>
        <v>.</v>
      </c>
      <c r="Q263" s="513" t="str">
        <f t="shared" si="60"/>
        <v>.</v>
      </c>
      <c r="R263" s="513">
        <f t="shared" si="61"/>
        <v>711595.2499584785</v>
      </c>
      <c r="S263" s="513">
        <f>IF(AND(AD263=1,R263&lt;&gt;".")=TRUE,R263/VLOOKUP(G263,'Exchange rates'!B:C,2,0),IF(R263=".",".",""))</f>
        <v>711595.2499584785</v>
      </c>
      <c r="T263" s="513" t="str">
        <f>IF(AD263=1,IF(AF263="Value is not given at all",".",IF(AF263="Value is given by the source",S263,IF(AF263="Value is calculated with prices",(IF(SUMIFS(Q:Q,A:A,A263)&gt;0,SUMIFS(Q:Q,A:A,A263),"."))/VLOOKUP("USD",'Exchange rates'!B:C,2,0),"Error with coding"))),"")</f>
        <v>.</v>
      </c>
      <c r="U263" s="39" t="s">
        <v>233</v>
      </c>
      <c r="V263" s="42" t="s">
        <v>951</v>
      </c>
      <c r="W263" s="517" t="s">
        <v>232</v>
      </c>
      <c r="X263" s="517" t="s">
        <v>232</v>
      </c>
      <c r="Y263" s="517" t="s">
        <v>232</v>
      </c>
      <c r="Z263" s="39">
        <v>0</v>
      </c>
      <c r="AA263" s="518">
        <v>0</v>
      </c>
      <c r="AB263" s="38" t="s">
        <v>232</v>
      </c>
      <c r="AC263" s="519" t="str">
        <f>""</f>
        <v/>
      </c>
      <c r="AD263" s="520">
        <v>1</v>
      </c>
      <c r="AE263" s="520" t="s">
        <v>236</v>
      </c>
      <c r="AF263" s="520" t="s">
        <v>237</v>
      </c>
      <c r="AG263" s="520">
        <v>1</v>
      </c>
      <c r="AH263" s="520">
        <v>7</v>
      </c>
      <c r="AI263" s="520">
        <v>0</v>
      </c>
      <c r="AJ263" s="520">
        <f>VLOOKUP($I263,'Price List, Weapons &amp; Items'!A:E,5,0)</f>
        <v>0</v>
      </c>
      <c r="AK263" s="520">
        <f t="shared" si="63"/>
        <v>0</v>
      </c>
      <c r="AL263" s="520">
        <f t="shared" si="64"/>
        <v>0</v>
      </c>
      <c r="AM263" s="520">
        <f t="shared" si="65"/>
        <v>0</v>
      </c>
      <c r="AN263" s="521" t="str">
        <f>VLOOKUP($I263,'Price List, Weapons &amp; Items'!A:K,COLUMN('Price List, Weapons &amp; Items'!$I$1),0)</f>
        <v>.</v>
      </c>
      <c r="AO263" s="521" t="str">
        <f>IF(I263=".",".",VLOOKUP($I263,'Price List, Weapons &amp; Items'!A:I,3,0))</f>
        <v>.</v>
      </c>
      <c r="AP263" s="517" t="str">
        <f t="shared" ca="1" si="62"/>
        <v>.</v>
      </c>
      <c r="AQ263" s="521" t="str">
        <f>VLOOKUP($I263,'Price List, Weapons &amp; Items'!A:K,COLUMN('Price List, Weapons &amp; Items'!$K$1),0)</f>
        <v>no price, 0 count</v>
      </c>
      <c r="AS263" s="521">
        <f t="shared" si="66"/>
        <v>1</v>
      </c>
      <c r="AT263" s="521">
        <f t="shared" si="67"/>
        <v>0</v>
      </c>
      <c r="AU263" s="521">
        <f t="shared" si="68"/>
        <v>1</v>
      </c>
      <c r="AV263" s="521" t="str">
        <f t="shared" si="69"/>
        <v>.</v>
      </c>
    </row>
    <row r="264" spans="1:48" ht="15" customHeight="1">
      <c r="A264" s="41" t="s">
        <v>952</v>
      </c>
      <c r="B264" s="41" t="s">
        <v>917</v>
      </c>
      <c r="C264" s="511">
        <v>44775</v>
      </c>
      <c r="D264" s="18" t="s">
        <v>228</v>
      </c>
      <c r="E264" s="18" t="s">
        <v>239</v>
      </c>
      <c r="F264" s="512" t="s">
        <v>950</v>
      </c>
      <c r="G264" s="39" t="s">
        <v>332</v>
      </c>
      <c r="H264" s="513">
        <f>(9200000+2000000-SUM(S248,S250,S254,S255,S256,S257,S260,S261,S262))/6</f>
        <v>711595.2499584785</v>
      </c>
      <c r="I264" s="41" t="s">
        <v>232</v>
      </c>
      <c r="J264" s="276" t="str">
        <f>VLOOKUP($I264,'Price List, Weapons &amp; Items'!A:B,2,0)</f>
        <v>.</v>
      </c>
      <c r="K264" s="276" t="str">
        <f>IF(I264=".",I264,VLOOKUP($I264,'Price List, Weapons &amp; Items'!A:C,3,0))</f>
        <v>.</v>
      </c>
      <c r="L264" s="514">
        <f>VLOOKUP(I264,'Price List, Weapons &amp; Items'!A:D,4,0)</f>
        <v>0</v>
      </c>
      <c r="M264" s="515" t="s">
        <v>232</v>
      </c>
      <c r="N264" s="515" t="s">
        <v>232</v>
      </c>
      <c r="O264" s="516" t="str">
        <f>VLOOKUP($I264,'Price List, Weapons &amp; Items'!A:F,6,0)</f>
        <v>.</v>
      </c>
      <c r="P264" s="513" t="str">
        <f t="shared" si="59"/>
        <v>.</v>
      </c>
      <c r="Q264" s="513" t="str">
        <f t="shared" si="60"/>
        <v>.</v>
      </c>
      <c r="R264" s="513">
        <f t="shared" si="61"/>
        <v>711595.2499584785</v>
      </c>
      <c r="S264" s="513">
        <f>IF(AND(AD264=1,R264&lt;&gt;".")=TRUE,R264/VLOOKUP(G264,'Exchange rates'!B:C,2,0),IF(R264=".",".",""))</f>
        <v>711595.2499584785</v>
      </c>
      <c r="T264" s="513" t="str">
        <f>IF(AD264=1,IF(AF264="Value is not given at all",".",IF(AF264="Value is given by the source",S264,IF(AF264="Value is calculated with prices",(IF(SUMIFS(Q:Q,A:A,A264)&gt;0,SUMIFS(Q:Q,A:A,A264),"."))/VLOOKUP("USD",'Exchange rates'!B:C,2,0),"Error with coding"))),"")</f>
        <v>.</v>
      </c>
      <c r="U264" s="39" t="s">
        <v>233</v>
      </c>
      <c r="V264" s="42" t="s">
        <v>951</v>
      </c>
      <c r="W264" s="517" t="s">
        <v>232</v>
      </c>
      <c r="X264" s="517" t="s">
        <v>232</v>
      </c>
      <c r="Y264" s="517" t="s">
        <v>232</v>
      </c>
      <c r="Z264" s="39">
        <v>0</v>
      </c>
      <c r="AA264" s="518">
        <v>0</v>
      </c>
      <c r="AB264" s="38" t="s">
        <v>232</v>
      </c>
      <c r="AC264" s="519" t="str">
        <f>""</f>
        <v/>
      </c>
      <c r="AD264" s="520">
        <v>1</v>
      </c>
      <c r="AE264" s="520" t="s">
        <v>236</v>
      </c>
      <c r="AF264" s="520" t="s">
        <v>237</v>
      </c>
      <c r="AG264" s="520">
        <v>1</v>
      </c>
      <c r="AH264" s="520">
        <v>8</v>
      </c>
      <c r="AI264" s="520">
        <v>0</v>
      </c>
      <c r="AJ264" s="520">
        <f>VLOOKUP($I264,'Price List, Weapons &amp; Items'!A:E,5,0)</f>
        <v>0</v>
      </c>
      <c r="AK264" s="520">
        <f t="shared" si="63"/>
        <v>0</v>
      </c>
      <c r="AL264" s="520">
        <f t="shared" si="64"/>
        <v>0</v>
      </c>
      <c r="AM264" s="520">
        <f t="shared" si="65"/>
        <v>0</v>
      </c>
      <c r="AN264" s="521" t="str">
        <f>VLOOKUP($I264,'Price List, Weapons &amp; Items'!A:K,COLUMN('Price List, Weapons &amp; Items'!$I$1),0)</f>
        <v>.</v>
      </c>
      <c r="AO264" s="521" t="str">
        <f>IF(I264=".",".",VLOOKUP($I264,'Price List, Weapons &amp; Items'!A:I,3,0))</f>
        <v>.</v>
      </c>
      <c r="AP264" s="517" t="str">
        <f t="shared" ca="1" si="62"/>
        <v>.</v>
      </c>
      <c r="AQ264" s="521" t="str">
        <f>VLOOKUP($I264,'Price List, Weapons &amp; Items'!A:K,COLUMN('Price List, Weapons &amp; Items'!$K$1),0)</f>
        <v>no price, 0 count</v>
      </c>
      <c r="AS264" s="521">
        <f t="shared" si="66"/>
        <v>1</v>
      </c>
      <c r="AT264" s="521">
        <f t="shared" si="67"/>
        <v>0</v>
      </c>
      <c r="AU264" s="521">
        <f t="shared" si="68"/>
        <v>1</v>
      </c>
      <c r="AV264" s="521" t="str">
        <f t="shared" si="69"/>
        <v>.</v>
      </c>
    </row>
    <row r="265" spans="1:48" ht="15" customHeight="1">
      <c r="A265" s="41" t="s">
        <v>953</v>
      </c>
      <c r="B265" s="41" t="s">
        <v>917</v>
      </c>
      <c r="C265" s="511">
        <v>44806</v>
      </c>
      <c r="D265" s="18" t="s">
        <v>228</v>
      </c>
      <c r="E265" s="18" t="s">
        <v>229</v>
      </c>
      <c r="F265" s="512" t="s">
        <v>954</v>
      </c>
      <c r="G265" s="39" t="s">
        <v>332</v>
      </c>
      <c r="H265" s="513">
        <v>35000000</v>
      </c>
      <c r="I265" s="41" t="s">
        <v>232</v>
      </c>
      <c r="J265" s="276" t="str">
        <f>VLOOKUP($I265,'Price List, Weapons &amp; Items'!A:B,2,0)</f>
        <v>.</v>
      </c>
      <c r="K265" s="276" t="str">
        <f>IF(I265=".",I265,VLOOKUP($I265,'Price List, Weapons &amp; Items'!A:C,3,0))</f>
        <v>.</v>
      </c>
      <c r="L265" s="514">
        <f>VLOOKUP(I265,'Price List, Weapons &amp; Items'!A:D,4,0)</f>
        <v>0</v>
      </c>
      <c r="M265" s="515" t="s">
        <v>232</v>
      </c>
      <c r="N265" s="515" t="s">
        <v>232</v>
      </c>
      <c r="O265" s="516" t="str">
        <f>VLOOKUP($I265,'Price List, Weapons &amp; Items'!A:F,6,0)</f>
        <v>.</v>
      </c>
      <c r="P265" s="513" t="str">
        <f t="shared" si="59"/>
        <v>.</v>
      </c>
      <c r="Q265" s="513" t="str">
        <f t="shared" si="60"/>
        <v>.</v>
      </c>
      <c r="R265" s="513">
        <f t="shared" si="61"/>
        <v>35000000</v>
      </c>
      <c r="S265" s="513">
        <f>IF(AND(AD265=1,R265&lt;&gt;".")=TRUE,R265/VLOOKUP(G265,'Exchange rates'!B:C,2,0),IF(R265=".",".",""))</f>
        <v>35000000</v>
      </c>
      <c r="T265" s="513" t="str">
        <f>IF(AD265=1,IF(AF265="Value is not given at all",".",IF(AF265="Value is given by the source",S265,IF(AF265="Value is calculated with prices",(IF(SUMIFS(Q:Q,A:A,A265)&gt;0,SUMIFS(Q:Q,A:A,A265),"."))/VLOOKUP("USD",'Exchange rates'!B:C,2,0),"Error with coding"))),"")</f>
        <v>.</v>
      </c>
      <c r="U265" s="39" t="s">
        <v>233</v>
      </c>
      <c r="V265" s="42" t="s">
        <v>955</v>
      </c>
      <c r="W265" s="517" t="s">
        <v>232</v>
      </c>
      <c r="X265" s="517" t="s">
        <v>232</v>
      </c>
      <c r="Y265" s="517" t="s">
        <v>232</v>
      </c>
      <c r="Z265" s="39">
        <v>0</v>
      </c>
      <c r="AA265" s="518">
        <v>0</v>
      </c>
      <c r="AB265" s="38" t="s">
        <v>232</v>
      </c>
      <c r="AC265" s="519" t="str">
        <f>""</f>
        <v/>
      </c>
      <c r="AD265" s="520">
        <v>1</v>
      </c>
      <c r="AE265" s="520" t="s">
        <v>236</v>
      </c>
      <c r="AF265" s="520" t="s">
        <v>237</v>
      </c>
      <c r="AG265" s="520">
        <v>1</v>
      </c>
      <c r="AH265" s="520">
        <v>9</v>
      </c>
      <c r="AI265" s="520">
        <v>0</v>
      </c>
      <c r="AJ265" s="520">
        <f>VLOOKUP($I265,'Price List, Weapons &amp; Items'!A:E,5,0)</f>
        <v>0</v>
      </c>
      <c r="AK265" s="520">
        <f t="shared" si="63"/>
        <v>0</v>
      </c>
      <c r="AL265" s="520">
        <f t="shared" si="64"/>
        <v>0</v>
      </c>
      <c r="AM265" s="520">
        <f t="shared" si="65"/>
        <v>0</v>
      </c>
      <c r="AN265" s="521" t="str">
        <f>VLOOKUP($I265,'Price List, Weapons &amp; Items'!A:K,COLUMN('Price List, Weapons &amp; Items'!$I$1),0)</f>
        <v>.</v>
      </c>
      <c r="AO265" s="521" t="str">
        <f>IF(I265=".",".",VLOOKUP($I265,'Price List, Weapons &amp; Items'!A:I,3,0))</f>
        <v>.</v>
      </c>
      <c r="AP265" s="517" t="str">
        <f t="shared" ca="1" si="62"/>
        <v>.</v>
      </c>
      <c r="AQ265" s="521" t="str">
        <f>VLOOKUP($I265,'Price List, Weapons &amp; Items'!A:K,COLUMN('Price List, Weapons &amp; Items'!$K$1),0)</f>
        <v>no price, 0 count</v>
      </c>
      <c r="AS265" s="521">
        <f t="shared" si="66"/>
        <v>1</v>
      </c>
      <c r="AT265" s="521">
        <f t="shared" si="67"/>
        <v>0</v>
      </c>
      <c r="AU265" s="521">
        <f t="shared" si="68"/>
        <v>1</v>
      </c>
      <c r="AV265" s="521" t="str">
        <f t="shared" si="69"/>
        <v>.</v>
      </c>
    </row>
    <row r="266" spans="1:48" ht="15" customHeight="1">
      <c r="A266" s="41" t="s">
        <v>956</v>
      </c>
      <c r="B266" s="41" t="s">
        <v>917</v>
      </c>
      <c r="C266" s="511" t="s">
        <v>957</v>
      </c>
      <c r="D266" s="18" t="s">
        <v>228</v>
      </c>
      <c r="E266" s="18" t="s">
        <v>239</v>
      </c>
      <c r="F266" s="512" t="s">
        <v>958</v>
      </c>
      <c r="G266" s="39" t="s">
        <v>332</v>
      </c>
      <c r="H266" s="513" t="s">
        <v>309</v>
      </c>
      <c r="I266" s="41" t="s">
        <v>626</v>
      </c>
      <c r="J266" s="276" t="str">
        <f>VLOOKUP($I266,'Price List, Weapons &amp; Items'!A:B,2,0)</f>
        <v>Humanitarian</v>
      </c>
      <c r="K266" s="276" t="str">
        <f>IF(I266=".",I266,VLOOKUP($I266,'Price List, Weapons &amp; Items'!A:C,3,0))</f>
        <v>.</v>
      </c>
      <c r="L266" s="514">
        <f>VLOOKUP(I266,'Price List, Weapons &amp; Items'!A:D,4,0)</f>
        <v>0</v>
      </c>
      <c r="M266" s="515" t="s">
        <v>264</v>
      </c>
      <c r="N266" s="515" t="s">
        <v>232</v>
      </c>
      <c r="O266" s="516" t="str">
        <f>VLOOKUP($I266,'Price List, Weapons &amp; Items'!A:F,6,0)</f>
        <v>.</v>
      </c>
      <c r="P266" s="513" t="str">
        <f t="shared" si="59"/>
        <v>.</v>
      </c>
      <c r="Q266" s="513" t="str">
        <f t="shared" si="60"/>
        <v>.</v>
      </c>
      <c r="R266" s="513" t="str">
        <f t="shared" si="61"/>
        <v>.</v>
      </c>
      <c r="S266" s="513" t="str">
        <f>IF(AND(AD266=1,R266&lt;&gt;".")=TRUE,R266/VLOOKUP(G266,'Exchange rates'!B:C,2,0),IF(R266=".",".",""))</f>
        <v>.</v>
      </c>
      <c r="T266" s="513" t="str">
        <f>IF(AD266=1,IF(AF266="Value is not given at all",".",IF(AF266="Value is given by the source",S266,IF(AF266="Value is calculated with prices",(IF(SUMIFS(Q:Q,A:A,A266)&gt;0,SUMIFS(Q:Q,A:A,A266),"."))/VLOOKUP("USD",'Exchange rates'!B:C,2,0),"Error with coding"))),"")</f>
        <v>.</v>
      </c>
      <c r="U266" s="39" t="s">
        <v>233</v>
      </c>
      <c r="V266" s="827" t="s">
        <v>959</v>
      </c>
      <c r="W266" s="42" t="s">
        <v>232</v>
      </c>
      <c r="X266" s="42" t="s">
        <v>232</v>
      </c>
      <c r="Y266" s="825" t="s">
        <v>232</v>
      </c>
      <c r="Z266" s="39">
        <v>0</v>
      </c>
      <c r="AA266" s="518">
        <v>1</v>
      </c>
      <c r="AB266" s="395" t="s">
        <v>232</v>
      </c>
      <c r="AC266" s="519" t="str">
        <f>""</f>
        <v/>
      </c>
      <c r="AD266" s="520">
        <v>1</v>
      </c>
      <c r="AE266" s="520" t="s">
        <v>237</v>
      </c>
      <c r="AF266" s="520" t="s">
        <v>237</v>
      </c>
      <c r="AG266" s="520">
        <v>1</v>
      </c>
      <c r="AH266" s="520">
        <v>10</v>
      </c>
      <c r="AI266" s="520">
        <v>0</v>
      </c>
      <c r="AJ266" s="520">
        <f>VLOOKUP($I266,'Price List, Weapons &amp; Items'!A:E,5,0)</f>
        <v>0</v>
      </c>
      <c r="AK266" s="520">
        <f t="shared" si="63"/>
        <v>0</v>
      </c>
      <c r="AL266" s="520">
        <f t="shared" si="64"/>
        <v>0</v>
      </c>
      <c r="AM266" s="520">
        <f t="shared" si="65"/>
        <v>0</v>
      </c>
      <c r="AN266" s="521" t="str">
        <f>VLOOKUP($I266,'Price List, Weapons &amp; Items'!A:K,COLUMN('Price List, Weapons &amp; Items'!$I$1),0)</f>
        <v>Media reports (incl. social media)</v>
      </c>
      <c r="AO266" s="521" t="str">
        <f>IF(I266=".",".",VLOOKUP($I266,'Price List, Weapons &amp; Items'!A:I,3,0))</f>
        <v>.</v>
      </c>
      <c r="AP266" s="517" t="str">
        <f t="shared" ca="1" si="62"/>
        <v>Power generator; protective gear and equipment (including first aid)</v>
      </c>
      <c r="AQ266" s="521">
        <f>VLOOKUP($I266,'Price List, Weapons &amp; Items'!A:K,COLUMN('Price List, Weapons &amp; Items'!$K$1),0)</f>
        <v>0</v>
      </c>
      <c r="AS266" s="521">
        <f t="shared" si="66"/>
        <v>1</v>
      </c>
      <c r="AT266" s="521">
        <f t="shared" si="67"/>
        <v>0</v>
      </c>
      <c r="AU266" s="521" t="str">
        <f t="shared" si="68"/>
        <v>Value is not in date format</v>
      </c>
      <c r="AV266" s="521" t="str">
        <f t="shared" si="69"/>
        <v>.</v>
      </c>
    </row>
    <row r="267" spans="1:48" ht="15" customHeight="1">
      <c r="A267" s="41" t="s">
        <v>956</v>
      </c>
      <c r="B267" s="41" t="s">
        <v>917</v>
      </c>
      <c r="C267" s="511" t="s">
        <v>957</v>
      </c>
      <c r="D267" s="18" t="s">
        <v>228</v>
      </c>
      <c r="E267" s="18" t="s">
        <v>239</v>
      </c>
      <c r="F267" s="512" t="s">
        <v>958</v>
      </c>
      <c r="G267" s="39" t="s">
        <v>332</v>
      </c>
      <c r="H267" s="513" t="s">
        <v>309</v>
      </c>
      <c r="I267" s="41" t="s">
        <v>960</v>
      </c>
      <c r="J267" s="276" t="str">
        <f>VLOOKUP($I267,'Price List, Weapons &amp; Items'!A:B,2,0)</f>
        <v>Military equipment</v>
      </c>
      <c r="K267" s="276" t="str">
        <f>IF(I267=".",I267,VLOOKUP($I267,'Price List, Weapons &amp; Items'!A:C,3,0))</f>
        <v>.</v>
      </c>
      <c r="L267" s="514">
        <f>VLOOKUP(I267,'Price List, Weapons &amp; Items'!A:D,4,0)</f>
        <v>0</v>
      </c>
      <c r="M267" s="515" t="s">
        <v>264</v>
      </c>
      <c r="N267" s="515" t="s">
        <v>232</v>
      </c>
      <c r="O267" s="516" t="str">
        <f>VLOOKUP($I267,'Price List, Weapons &amp; Items'!A:F,6,0)</f>
        <v>.</v>
      </c>
      <c r="P267" s="513" t="str">
        <f t="shared" si="59"/>
        <v>.</v>
      </c>
      <c r="Q267" s="513" t="str">
        <f t="shared" si="60"/>
        <v>.</v>
      </c>
      <c r="R267" s="513" t="str">
        <f t="shared" si="61"/>
        <v/>
      </c>
      <c r="S267" s="513" t="str">
        <f>IF(AND(AD267=1,R267&lt;&gt;".")=TRUE,R267/VLOOKUP(G267,'Exchange rates'!B:C,2,0),IF(R267=".",".",""))</f>
        <v/>
      </c>
      <c r="T267" s="513" t="str">
        <f>IF(AD267=1,IF(AF267="Value is not given at all",".",IF(AF267="Value is given by the source",S267,IF(AF267="Value is calculated with prices",(IF(SUMIFS(Q:Q,A:A,A267)&gt;0,SUMIFS(Q:Q,A:A,A267),"."))/VLOOKUP("USD",'Exchange rates'!B:C,2,0),"Error with coding"))),"")</f>
        <v/>
      </c>
      <c r="U267" s="39" t="s">
        <v>233</v>
      </c>
      <c r="V267" s="827" t="s">
        <v>959</v>
      </c>
      <c r="W267" s="42" t="s">
        <v>232</v>
      </c>
      <c r="X267" s="42" t="s">
        <v>232</v>
      </c>
      <c r="Y267" s="825" t="s">
        <v>232</v>
      </c>
      <c r="Z267" s="39">
        <v>0</v>
      </c>
      <c r="AA267" s="518">
        <v>1</v>
      </c>
      <c r="AB267" s="395" t="s">
        <v>232</v>
      </c>
      <c r="AC267" s="519" t="str">
        <f>""</f>
        <v/>
      </c>
      <c r="AD267" s="520">
        <v>0</v>
      </c>
      <c r="AE267" s="520" t="s">
        <v>237</v>
      </c>
      <c r="AF267" s="520" t="s">
        <v>237</v>
      </c>
      <c r="AG267" s="520">
        <v>1</v>
      </c>
      <c r="AH267" s="520">
        <v>10</v>
      </c>
      <c r="AI267" s="520">
        <v>0</v>
      </c>
      <c r="AJ267" s="520">
        <f>VLOOKUP($I267,'Price List, Weapons &amp; Items'!A:E,5,0)</f>
        <v>0</v>
      </c>
      <c r="AK267" s="520">
        <f t="shared" si="63"/>
        <v>0</v>
      </c>
      <c r="AL267" s="520">
        <f t="shared" si="64"/>
        <v>0</v>
      </c>
      <c r="AM267" s="520">
        <f t="shared" si="65"/>
        <v>0</v>
      </c>
      <c r="AN267" s="521" t="str">
        <f>VLOOKUP($I267,'Price List, Weapons &amp; Items'!A:K,COLUMN('Price List, Weapons &amp; Items'!$I$1),0)</f>
        <v>.</v>
      </c>
      <c r="AO267" s="521" t="str">
        <f>IF(I267=".",".",VLOOKUP($I267,'Price List, Weapons &amp; Items'!A:I,3,0))</f>
        <v>.</v>
      </c>
      <c r="AP267" s="517" t="str">
        <f t="shared" ca="1" si="62"/>
        <v/>
      </c>
      <c r="AQ267" s="521" t="str">
        <f>VLOOKUP($I267,'Price List, Weapons &amp; Items'!A:K,COLUMN('Price List, Weapons &amp; Items'!$K$1),0)</f>
        <v>no price, 0 count</v>
      </c>
      <c r="AS267" s="521">
        <f t="shared" si="66"/>
        <v>1</v>
      </c>
      <c r="AT267" s="521">
        <f t="shared" si="67"/>
        <v>0</v>
      </c>
      <c r="AU267" s="521" t="str">
        <f t="shared" si="68"/>
        <v>Value is not in date format</v>
      </c>
      <c r="AV267" s="521" t="str">
        <f t="shared" si="69"/>
        <v>.</v>
      </c>
    </row>
    <row r="268" spans="1:48" ht="15" customHeight="1">
      <c r="A268" s="18" t="s">
        <v>961</v>
      </c>
      <c r="B268" s="18" t="s">
        <v>917</v>
      </c>
      <c r="C268" s="511">
        <v>44619</v>
      </c>
      <c r="D268" s="18" t="s">
        <v>252</v>
      </c>
      <c r="E268" s="18" t="s">
        <v>253</v>
      </c>
      <c r="F268" s="512" t="s">
        <v>962</v>
      </c>
      <c r="G268" s="39" t="s">
        <v>332</v>
      </c>
      <c r="H268" s="513">
        <v>29300000</v>
      </c>
      <c r="I268" s="41" t="s">
        <v>446</v>
      </c>
      <c r="J268" s="276" t="str">
        <f>VLOOKUP($I268,'Price List, Weapons &amp; Items'!A:B,2,0)</f>
        <v>Military equipment</v>
      </c>
      <c r="K268" s="276" t="str">
        <f>IF(I268=".",I268,VLOOKUP($I268,'Price List, Weapons &amp; Items'!A:C,3,0))</f>
        <v>.</v>
      </c>
      <c r="L268" s="514">
        <f>VLOOKUP(I268,'Price List, Weapons &amp; Items'!A:D,4,0)</f>
        <v>0</v>
      </c>
      <c r="M268" s="515">
        <v>2000</v>
      </c>
      <c r="N268" s="515">
        <v>2000</v>
      </c>
      <c r="O268" s="516">
        <f>VLOOKUP($I268,'Price List, Weapons &amp; Items'!A:F,6,0)</f>
        <v>500</v>
      </c>
      <c r="P268" s="513">
        <f t="shared" si="59"/>
        <v>1000000</v>
      </c>
      <c r="Q268" s="513">
        <f t="shared" si="60"/>
        <v>1000000</v>
      </c>
      <c r="R268" s="513">
        <f t="shared" si="61"/>
        <v>29300000</v>
      </c>
      <c r="S268" s="513">
        <f>IF(AND(AD268=1,R268&lt;&gt;".")=TRUE,R268/VLOOKUP(G268,'Exchange rates'!B:C,2,0),IF(R268=".",".",""))</f>
        <v>29300000</v>
      </c>
      <c r="T268" s="513">
        <f>IF(AD268=1,IF(AF268="Value is not given at all",".",IF(AF268="Value is given by the source",S268,IF(AF268="Value is calculated with prices",(IF(SUMIFS(Q:Q,A:A,A268)&gt;0,SUMIFS(Q:Q,A:A,A268),"."))/VLOOKUP("USD",'Exchange rates'!B:C,2,0),"Error with coding"))),"")</f>
        <v>29300000</v>
      </c>
      <c r="U268" s="39" t="s">
        <v>233</v>
      </c>
      <c r="V268" s="376" t="s">
        <v>963</v>
      </c>
      <c r="W268" s="376" t="s">
        <v>964</v>
      </c>
      <c r="X268" s="376" t="s">
        <v>965</v>
      </c>
      <c r="Y268" s="530" t="s">
        <v>232</v>
      </c>
      <c r="Z268" s="39">
        <v>0</v>
      </c>
      <c r="AA268" s="518">
        <v>1</v>
      </c>
      <c r="AB268" s="394" t="s">
        <v>966</v>
      </c>
      <c r="AC268" s="519" t="str">
        <f>""</f>
        <v/>
      </c>
      <c r="AD268" s="520">
        <v>1</v>
      </c>
      <c r="AE268" s="520" t="s">
        <v>236</v>
      </c>
      <c r="AF268" s="520" t="s">
        <v>236</v>
      </c>
      <c r="AG268" s="520">
        <v>1</v>
      </c>
      <c r="AH268" s="520">
        <v>2</v>
      </c>
      <c r="AI268" s="520">
        <v>0</v>
      </c>
      <c r="AJ268" s="520">
        <f>VLOOKUP($I268,'Price List, Weapons &amp; Items'!A:E,5,0)</f>
        <v>0</v>
      </c>
      <c r="AK268" s="520">
        <f t="shared" si="63"/>
        <v>0</v>
      </c>
      <c r="AL268" s="520">
        <f t="shared" si="64"/>
        <v>0</v>
      </c>
      <c r="AM268" s="520">
        <f t="shared" si="65"/>
        <v>0</v>
      </c>
      <c r="AN268" s="521" t="str">
        <f>VLOOKUP($I268,'Price List, Weapons &amp; Items'!A:K,COLUMN('Price List, Weapons &amp; Items'!$I$1),0)</f>
        <v>Military media (incl. websites)</v>
      </c>
      <c r="AO268" s="521" t="str">
        <f>IF(I268=".",".",VLOOKUP($I268,'Price List, Weapons &amp; Items'!A:I,3,0))</f>
        <v>.</v>
      </c>
      <c r="AP268" s="517" t="str">
        <f t="shared" ca="1" si="62"/>
        <v>ballistic vest; helmet; stretcher; RK 62; cartridge for RK 62; single-shot anti-tank weapon; combat ration package</v>
      </c>
      <c r="AQ268" s="521">
        <f>VLOOKUP($I268,'Price List, Weapons &amp; Items'!A:K,COLUMN('Price List, Weapons &amp; Items'!$K$1),0)</f>
        <v>2</v>
      </c>
      <c r="AS268" s="521">
        <f t="shared" si="66"/>
        <v>1</v>
      </c>
      <c r="AT268" s="521">
        <f t="shared" si="67"/>
        <v>1</v>
      </c>
      <c r="AU268" s="521">
        <f t="shared" si="68"/>
        <v>1</v>
      </c>
      <c r="AV268" s="521" t="str">
        <f t="shared" si="69"/>
        <v>.</v>
      </c>
    </row>
    <row r="269" spans="1:48" ht="15" customHeight="1">
      <c r="A269" s="18" t="s">
        <v>961</v>
      </c>
      <c r="B269" s="18" t="s">
        <v>917</v>
      </c>
      <c r="C269" s="511">
        <v>44619</v>
      </c>
      <c r="D269" s="18" t="s">
        <v>252</v>
      </c>
      <c r="E269" s="18" t="s">
        <v>253</v>
      </c>
      <c r="F269" s="512" t="s">
        <v>962</v>
      </c>
      <c r="G269" s="39" t="s">
        <v>332</v>
      </c>
      <c r="H269" s="513">
        <v>29300000</v>
      </c>
      <c r="I269" s="41" t="s">
        <v>419</v>
      </c>
      <c r="J269" s="276" t="str">
        <f>VLOOKUP($I269,'Price List, Weapons &amp; Items'!A:B,2,0)</f>
        <v>Military equipment</v>
      </c>
      <c r="K269" s="276" t="str">
        <f>IF(I269=".",I269,VLOOKUP($I269,'Price List, Weapons &amp; Items'!A:C,3,0))</f>
        <v>.</v>
      </c>
      <c r="L269" s="514">
        <f>VLOOKUP(I269,'Price List, Weapons &amp; Items'!A:D,4,0)</f>
        <v>0</v>
      </c>
      <c r="M269" s="515">
        <v>2000</v>
      </c>
      <c r="N269" s="515">
        <v>2000</v>
      </c>
      <c r="O269" s="516">
        <f>VLOOKUP($I269,'Price List, Weapons &amp; Items'!A:F,6,0)</f>
        <v>1400</v>
      </c>
      <c r="P269" s="513">
        <f t="shared" si="59"/>
        <v>2800000</v>
      </c>
      <c r="Q269" s="513">
        <f t="shared" si="60"/>
        <v>2800000</v>
      </c>
      <c r="R269" s="513" t="str">
        <f t="shared" si="61"/>
        <v/>
      </c>
      <c r="S269" s="513" t="str">
        <f>IF(AND(AD269=1,R269&lt;&gt;".")=TRUE,R269/VLOOKUP(G269,'Exchange rates'!B:C,2,0),IF(R269=".",".",""))</f>
        <v/>
      </c>
      <c r="T269" s="513" t="str">
        <f>IF(AD269=1,IF(AF269="Value is not given at all",".",IF(AF269="Value is given by the source",S269,IF(AF269="Value is calculated with prices",(IF(SUMIFS(Q:Q,A:A,A269)&gt;0,SUMIFS(Q:Q,A:A,A269),"."))/VLOOKUP("USD",'Exchange rates'!B:C,2,0),"Error with coding"))),"")</f>
        <v/>
      </c>
      <c r="U269" s="39" t="s">
        <v>233</v>
      </c>
      <c r="V269" s="376" t="s">
        <v>963</v>
      </c>
      <c r="W269" s="376" t="s">
        <v>964</v>
      </c>
      <c r="X269" s="376" t="s">
        <v>965</v>
      </c>
      <c r="Y269" s="530" t="s">
        <v>232</v>
      </c>
      <c r="Z269" s="39">
        <v>0</v>
      </c>
      <c r="AA269" s="518">
        <v>0</v>
      </c>
      <c r="AB269" s="394" t="s">
        <v>966</v>
      </c>
      <c r="AC269" s="519" t="str">
        <f>""</f>
        <v/>
      </c>
      <c r="AD269" s="520">
        <v>0</v>
      </c>
      <c r="AE269" s="520" t="s">
        <v>236</v>
      </c>
      <c r="AF269" s="520" t="s">
        <v>236</v>
      </c>
      <c r="AG269" s="520">
        <v>1</v>
      </c>
      <c r="AH269" s="520">
        <v>2</v>
      </c>
      <c r="AI269" s="520">
        <v>0</v>
      </c>
      <c r="AJ269" s="520">
        <f>VLOOKUP($I269,'Price List, Weapons &amp; Items'!A:E,5,0)</f>
        <v>0</v>
      </c>
      <c r="AK269" s="520">
        <f t="shared" si="63"/>
        <v>0</v>
      </c>
      <c r="AL269" s="520">
        <f t="shared" si="64"/>
        <v>0</v>
      </c>
      <c r="AM269" s="520">
        <f t="shared" si="65"/>
        <v>0</v>
      </c>
      <c r="AN269" s="521" t="str">
        <f>VLOOKUP($I269,'Price List, Weapons &amp; Items'!A:K,COLUMN('Price List, Weapons &amp; Items'!$I$1),0)</f>
        <v>Military media (incl. websites)</v>
      </c>
      <c r="AO269" s="521" t="str">
        <f>IF(I269=".",".",VLOOKUP($I269,'Price List, Weapons &amp; Items'!A:I,3,0))</f>
        <v>.</v>
      </c>
      <c r="AP269" s="517" t="str">
        <f t="shared" ca="1" si="62"/>
        <v/>
      </c>
      <c r="AQ269" s="521">
        <f>VLOOKUP($I269,'Price List, Weapons &amp; Items'!A:K,COLUMN('Price List, Weapons &amp; Items'!$K$1),0)</f>
        <v>2</v>
      </c>
      <c r="AS269" s="521">
        <f t="shared" si="66"/>
        <v>1</v>
      </c>
      <c r="AT269" s="521">
        <f t="shared" si="67"/>
        <v>1</v>
      </c>
      <c r="AU269" s="521">
        <f t="shared" si="68"/>
        <v>1</v>
      </c>
      <c r="AV269" s="521" t="str">
        <f t="shared" si="69"/>
        <v>.</v>
      </c>
    </row>
    <row r="270" spans="1:48" ht="15" customHeight="1">
      <c r="A270" s="18" t="s">
        <v>961</v>
      </c>
      <c r="B270" s="18" t="s">
        <v>917</v>
      </c>
      <c r="C270" s="511">
        <v>44619</v>
      </c>
      <c r="D270" s="18" t="s">
        <v>252</v>
      </c>
      <c r="E270" s="18" t="s">
        <v>253</v>
      </c>
      <c r="F270" s="512" t="s">
        <v>962</v>
      </c>
      <c r="G270" s="39" t="s">
        <v>332</v>
      </c>
      <c r="H270" s="513">
        <v>29300000</v>
      </c>
      <c r="I270" s="41" t="s">
        <v>967</v>
      </c>
      <c r="J270" s="276" t="str">
        <f>VLOOKUP($I270,'Price List, Weapons &amp; Items'!A:B,2,0)</f>
        <v>Military equipment</v>
      </c>
      <c r="K270" s="276" t="str">
        <f>IF(I270=".",I270,VLOOKUP($I270,'Price List, Weapons &amp; Items'!A:C,3,0))</f>
        <v>.</v>
      </c>
      <c r="L270" s="514">
        <f>VLOOKUP(I270,'Price List, Weapons &amp; Items'!A:D,4,0)</f>
        <v>0</v>
      </c>
      <c r="M270" s="515">
        <v>100</v>
      </c>
      <c r="N270" s="515">
        <v>100</v>
      </c>
      <c r="O270" s="516">
        <f>VLOOKUP($I270,'Price List, Weapons &amp; Items'!A:F,6,0)</f>
        <v>50</v>
      </c>
      <c r="P270" s="513">
        <f t="shared" si="59"/>
        <v>5000</v>
      </c>
      <c r="Q270" s="513">
        <f t="shared" si="60"/>
        <v>5000</v>
      </c>
      <c r="R270" s="513" t="str">
        <f t="shared" si="61"/>
        <v/>
      </c>
      <c r="S270" s="513" t="str">
        <f>IF(AND(AD270=1,R270&lt;&gt;".")=TRUE,R270/VLOOKUP(G270,'Exchange rates'!B:C,2,0),IF(R270=".",".",""))</f>
        <v/>
      </c>
      <c r="T270" s="513" t="str">
        <f>IF(AD270=1,IF(AF270="Value is not given at all",".",IF(AF270="Value is given by the source",S270,IF(AF270="Value is calculated with prices",(IF(SUMIFS(Q:Q,A:A,A270)&gt;0,SUMIFS(Q:Q,A:A,A270),"."))/VLOOKUP("USD",'Exchange rates'!B:C,2,0),"Error with coding"))),"")</f>
        <v/>
      </c>
      <c r="U270" s="39" t="s">
        <v>233</v>
      </c>
      <c r="V270" s="376" t="s">
        <v>963</v>
      </c>
      <c r="W270" s="376" t="s">
        <v>964</v>
      </c>
      <c r="X270" s="376" t="s">
        <v>965</v>
      </c>
      <c r="Y270" s="530" t="s">
        <v>232</v>
      </c>
      <c r="Z270" s="39">
        <v>0</v>
      </c>
      <c r="AA270" s="518">
        <v>0</v>
      </c>
      <c r="AB270" s="394" t="s">
        <v>966</v>
      </c>
      <c r="AC270" s="519" t="str">
        <f>""</f>
        <v/>
      </c>
      <c r="AD270" s="520">
        <v>0</v>
      </c>
      <c r="AE270" s="520" t="s">
        <v>236</v>
      </c>
      <c r="AF270" s="520" t="s">
        <v>236</v>
      </c>
      <c r="AG270" s="520">
        <v>1</v>
      </c>
      <c r="AH270" s="520">
        <v>2</v>
      </c>
      <c r="AI270" s="520">
        <v>0</v>
      </c>
      <c r="AJ270" s="520">
        <f>VLOOKUP($I270,'Price List, Weapons &amp; Items'!A:E,5,0)</f>
        <v>0</v>
      </c>
      <c r="AK270" s="520">
        <f t="shared" si="63"/>
        <v>0</v>
      </c>
      <c r="AL270" s="520">
        <f t="shared" si="64"/>
        <v>0</v>
      </c>
      <c r="AM270" s="520">
        <f t="shared" si="65"/>
        <v>0</v>
      </c>
      <c r="AN270" s="521" t="str">
        <f>VLOOKUP($I270,'Price List, Weapons &amp; Items'!A:K,COLUMN('Price List, Weapons &amp; Items'!$I$1),0)</f>
        <v>Online marketplaces and stores</v>
      </c>
      <c r="AO270" s="521" t="str">
        <f>IF(I270=".",".",VLOOKUP($I270,'Price List, Weapons &amp; Items'!A:I,3,0))</f>
        <v>.</v>
      </c>
      <c r="AP270" s="517" t="str">
        <f t="shared" ca="1" si="62"/>
        <v/>
      </c>
      <c r="AQ270" s="521">
        <f>VLOOKUP($I270,'Price List, Weapons &amp; Items'!A:K,COLUMN('Price List, Weapons &amp; Items'!$K$1),0)</f>
        <v>1</v>
      </c>
      <c r="AS270" s="521">
        <f t="shared" si="66"/>
        <v>1</v>
      </c>
      <c r="AT270" s="521">
        <f t="shared" si="67"/>
        <v>1</v>
      </c>
      <c r="AU270" s="521">
        <f t="shared" si="68"/>
        <v>1</v>
      </c>
      <c r="AV270" s="521" t="str">
        <f t="shared" si="69"/>
        <v>.</v>
      </c>
    </row>
    <row r="271" spans="1:48" ht="15" customHeight="1">
      <c r="A271" s="18" t="s">
        <v>961</v>
      </c>
      <c r="B271" s="18" t="s">
        <v>917</v>
      </c>
      <c r="C271" s="511">
        <v>44620</v>
      </c>
      <c r="D271" s="18" t="s">
        <v>252</v>
      </c>
      <c r="E271" s="18" t="s">
        <v>253</v>
      </c>
      <c r="F271" s="512" t="s">
        <v>962</v>
      </c>
      <c r="G271" s="39" t="s">
        <v>332</v>
      </c>
      <c r="H271" s="513">
        <v>29300000</v>
      </c>
      <c r="I271" s="41" t="s">
        <v>968</v>
      </c>
      <c r="J271" s="276" t="str">
        <f>VLOOKUP($I271,'Price List, Weapons &amp; Items'!A:B,2,0)</f>
        <v>Light armaments &amp; infantry</v>
      </c>
      <c r="K271" s="276" t="str">
        <f>IF(I271=".",I271,VLOOKUP($I271,'Price List, Weapons &amp; Items'!A:C,3,0))</f>
        <v>Small Arms and Light Weapons (SALW)</v>
      </c>
      <c r="L271" s="514">
        <f>VLOOKUP(I271,'Price List, Weapons &amp; Items'!A:D,4,0)</f>
        <v>0</v>
      </c>
      <c r="M271" s="515">
        <v>2500</v>
      </c>
      <c r="N271" s="515">
        <v>2500</v>
      </c>
      <c r="O271" s="516">
        <f>VLOOKUP($I271,'Price List, Weapons &amp; Items'!A:F,6,0)</f>
        <v>1500</v>
      </c>
      <c r="P271" s="513">
        <f t="shared" si="59"/>
        <v>3750000</v>
      </c>
      <c r="Q271" s="513">
        <f t="shared" si="60"/>
        <v>3750000</v>
      </c>
      <c r="R271" s="513" t="str">
        <f t="shared" si="61"/>
        <v/>
      </c>
      <c r="S271" s="513" t="str">
        <f>IF(AND(AD271=1,R271&lt;&gt;".")=TRUE,R271/VLOOKUP(G271,'Exchange rates'!B:C,2,0),IF(R271=".",".",""))</f>
        <v/>
      </c>
      <c r="T271" s="513" t="str">
        <f>IF(AD271=1,IF(AF271="Value is not given at all",".",IF(AF271="Value is given by the source",S271,IF(AF271="Value is calculated with prices",(IF(SUMIFS(Q:Q,A:A,A271)&gt;0,SUMIFS(Q:Q,A:A,A271),"."))/VLOOKUP("USD",'Exchange rates'!B:C,2,0),"Error with coding"))),"")</f>
        <v/>
      </c>
      <c r="U271" s="39" t="s">
        <v>233</v>
      </c>
      <c r="V271" s="376" t="s">
        <v>963</v>
      </c>
      <c r="W271" s="376" t="s">
        <v>969</v>
      </c>
      <c r="X271" s="376" t="s">
        <v>970</v>
      </c>
      <c r="Y271" s="530" t="s">
        <v>232</v>
      </c>
      <c r="Z271" s="39">
        <v>0</v>
      </c>
      <c r="AA271" s="518">
        <v>0</v>
      </c>
      <c r="AB271" s="394" t="s">
        <v>971</v>
      </c>
      <c r="AC271" s="519" t="str">
        <f>""</f>
        <v/>
      </c>
      <c r="AD271" s="520">
        <v>0</v>
      </c>
      <c r="AE271" s="520" t="s">
        <v>236</v>
      </c>
      <c r="AF271" s="520" t="s">
        <v>236</v>
      </c>
      <c r="AG271" s="520">
        <v>1</v>
      </c>
      <c r="AH271" s="520">
        <v>2</v>
      </c>
      <c r="AI271" s="520">
        <v>0</v>
      </c>
      <c r="AJ271" s="520">
        <f>VLOOKUP($I271,'Price List, Weapons &amp; Items'!A:E,5,0)</f>
        <v>0</v>
      </c>
      <c r="AK271" s="520">
        <f t="shared" si="63"/>
        <v>0</v>
      </c>
      <c r="AL271" s="520">
        <f t="shared" si="64"/>
        <v>0</v>
      </c>
      <c r="AM271" s="520">
        <f t="shared" si="65"/>
        <v>0</v>
      </c>
      <c r="AN271" s="521" t="str">
        <f>VLOOKUP($I271,'Price List, Weapons &amp; Items'!A:K,COLUMN('Price List, Weapons &amp; Items'!$I$1),0)</f>
        <v>Miscellaneous</v>
      </c>
      <c r="AO271" s="521" t="str">
        <f>IF(I271=".",".",VLOOKUP($I271,'Price List, Weapons &amp; Items'!A:I,3,0))</f>
        <v>Small Arms and Light Weapons (SALW)</v>
      </c>
      <c r="AP271" s="517" t="str">
        <f t="shared" ca="1" si="62"/>
        <v/>
      </c>
      <c r="AQ271" s="521">
        <f>VLOOKUP($I271,'Price List, Weapons &amp; Items'!A:K,COLUMN('Price List, Weapons &amp; Items'!$K$1),0)</f>
        <v>2</v>
      </c>
      <c r="AS271" s="521">
        <f t="shared" si="66"/>
        <v>1</v>
      </c>
      <c r="AT271" s="521">
        <f t="shared" si="67"/>
        <v>1</v>
      </c>
      <c r="AU271" s="521">
        <f t="shared" si="68"/>
        <v>1</v>
      </c>
      <c r="AV271" s="521" t="str">
        <f t="shared" si="69"/>
        <v>.</v>
      </c>
    </row>
    <row r="272" spans="1:48" ht="15" customHeight="1">
      <c r="A272" s="18" t="s">
        <v>961</v>
      </c>
      <c r="B272" s="18" t="s">
        <v>917</v>
      </c>
      <c r="C272" s="511">
        <v>44620</v>
      </c>
      <c r="D272" s="18" t="s">
        <v>252</v>
      </c>
      <c r="E272" s="18" t="s">
        <v>253</v>
      </c>
      <c r="F272" s="512" t="s">
        <v>962</v>
      </c>
      <c r="G272" s="39" t="s">
        <v>332</v>
      </c>
      <c r="H272" s="513">
        <v>29300000</v>
      </c>
      <c r="I272" s="41" t="s">
        <v>972</v>
      </c>
      <c r="J272" s="276" t="str">
        <f>VLOOKUP($I272,'Price List, Weapons &amp; Items'!A:B,2,0)</f>
        <v>Ammunition for light infantry</v>
      </c>
      <c r="K272" s="276" t="str">
        <f>IF(I272=".",I272,VLOOKUP($I272,'Price List, Weapons &amp; Items'!A:C,3,0))</f>
        <v>Light Anti-armor Weapon (LAW) ammunition</v>
      </c>
      <c r="L272" s="514">
        <f>VLOOKUP(I272,'Price List, Weapons &amp; Items'!A:D,4,0)</f>
        <v>0</v>
      </c>
      <c r="M272" s="515">
        <v>150000</v>
      </c>
      <c r="N272" s="515">
        <v>150000</v>
      </c>
      <c r="O272" s="516">
        <f>VLOOKUP($I272,'Price List, Weapons &amp; Items'!A:F,6,0)</f>
        <v>0.4</v>
      </c>
      <c r="P272" s="513">
        <f t="shared" si="59"/>
        <v>60000</v>
      </c>
      <c r="Q272" s="513">
        <f t="shared" si="60"/>
        <v>60000</v>
      </c>
      <c r="R272" s="513" t="str">
        <f t="shared" si="61"/>
        <v/>
      </c>
      <c r="S272" s="513" t="str">
        <f>IF(AND(AD272=1,R272&lt;&gt;".")=TRUE,R272/VLOOKUP(G272,'Exchange rates'!B:C,2,0),IF(R272=".",".",""))</f>
        <v/>
      </c>
      <c r="T272" s="513" t="str">
        <f>IF(AD272=1,IF(AF272="Value is not given at all",".",IF(AF272="Value is given by the source",S272,IF(AF272="Value is calculated with prices",(IF(SUMIFS(Q:Q,A:A,A272)&gt;0,SUMIFS(Q:Q,A:A,A272),"."))/VLOOKUP("USD",'Exchange rates'!B:C,2,0),"Error with coding"))),"")</f>
        <v/>
      </c>
      <c r="U272" s="39" t="s">
        <v>233</v>
      </c>
      <c r="V272" s="376" t="s">
        <v>963</v>
      </c>
      <c r="W272" s="376" t="s">
        <v>969</v>
      </c>
      <c r="X272" s="376" t="s">
        <v>970</v>
      </c>
      <c r="Y272" s="530" t="s">
        <v>232</v>
      </c>
      <c r="Z272" s="39">
        <v>0</v>
      </c>
      <c r="AA272" s="518">
        <v>0</v>
      </c>
      <c r="AB272" s="394" t="s">
        <v>971</v>
      </c>
      <c r="AC272" s="519" t="str">
        <f>""</f>
        <v/>
      </c>
      <c r="AD272" s="520">
        <v>0</v>
      </c>
      <c r="AE272" s="520" t="s">
        <v>236</v>
      </c>
      <c r="AF272" s="520" t="s">
        <v>236</v>
      </c>
      <c r="AG272" s="520">
        <v>1</v>
      </c>
      <c r="AH272" s="520">
        <v>2</v>
      </c>
      <c r="AI272" s="520">
        <v>0</v>
      </c>
      <c r="AJ272" s="520">
        <f>VLOOKUP($I272,'Price List, Weapons &amp; Items'!A:E,5,0)</f>
        <v>0</v>
      </c>
      <c r="AK272" s="520">
        <f t="shared" si="63"/>
        <v>0</v>
      </c>
      <c r="AL272" s="520">
        <f t="shared" si="64"/>
        <v>0</v>
      </c>
      <c r="AM272" s="520">
        <f t="shared" si="65"/>
        <v>0</v>
      </c>
      <c r="AN272" s="521" t="str">
        <f>VLOOKUP($I272,'Price List, Weapons &amp; Items'!A:K,COLUMN('Price List, Weapons &amp; Items'!$I$1),0)</f>
        <v>Online marketplaces and stores</v>
      </c>
      <c r="AO272" s="521" t="str">
        <f>IF(I272=".",".",VLOOKUP($I272,'Price List, Weapons &amp; Items'!A:I,3,0))</f>
        <v>Light Anti-armor Weapon (LAW) ammunition</v>
      </c>
      <c r="AP272" s="517" t="str">
        <f t="shared" ca="1" si="62"/>
        <v/>
      </c>
      <c r="AQ272" s="521">
        <f>VLOOKUP($I272,'Price List, Weapons &amp; Items'!A:K,COLUMN('Price List, Weapons &amp; Items'!$K$1),0)</f>
        <v>1</v>
      </c>
      <c r="AS272" s="521">
        <f t="shared" si="66"/>
        <v>1</v>
      </c>
      <c r="AT272" s="521">
        <f t="shared" si="67"/>
        <v>1</v>
      </c>
      <c r="AU272" s="521">
        <f t="shared" si="68"/>
        <v>1</v>
      </c>
      <c r="AV272" s="521" t="str">
        <f t="shared" si="69"/>
        <v>.</v>
      </c>
    </row>
    <row r="273" spans="1:48" ht="15" customHeight="1">
      <c r="A273" s="18" t="s">
        <v>961</v>
      </c>
      <c r="B273" s="18" t="s">
        <v>917</v>
      </c>
      <c r="C273" s="511">
        <v>44620</v>
      </c>
      <c r="D273" s="18" t="s">
        <v>252</v>
      </c>
      <c r="E273" s="18" t="s">
        <v>253</v>
      </c>
      <c r="F273" s="512" t="s">
        <v>962</v>
      </c>
      <c r="G273" s="39" t="s">
        <v>332</v>
      </c>
      <c r="H273" s="513">
        <v>29300000</v>
      </c>
      <c r="I273" s="41" t="s">
        <v>973</v>
      </c>
      <c r="J273" s="276" t="str">
        <f>VLOOKUP($I273,'Price List, Weapons &amp; Items'!A:B,2,0)</f>
        <v>Portable defence system</v>
      </c>
      <c r="K273" s="276" t="str">
        <f>IF(I273=".",I273,VLOOKUP($I273,'Price List, Weapons &amp; Items'!A:C,3,0))</f>
        <v>Light Anti-armor Weapon (LAW)</v>
      </c>
      <c r="L273" s="514">
        <f>VLOOKUP(I273,'Price List, Weapons &amp; Items'!A:D,4,0)</f>
        <v>0</v>
      </c>
      <c r="M273" s="515">
        <v>1500</v>
      </c>
      <c r="N273" s="515">
        <v>1500</v>
      </c>
      <c r="O273" s="516">
        <f>VLOOKUP($I273,'Price List, Weapons &amp; Items'!A:F,6,0)</f>
        <v>1475</v>
      </c>
      <c r="P273" s="513">
        <f t="shared" si="59"/>
        <v>2212500</v>
      </c>
      <c r="Q273" s="513">
        <f t="shared" si="60"/>
        <v>2212500</v>
      </c>
      <c r="R273" s="513" t="str">
        <f t="shared" si="61"/>
        <v/>
      </c>
      <c r="S273" s="513" t="str">
        <f>IF(AND(AD273=1,R273&lt;&gt;".")=TRUE,R273/VLOOKUP(G273,'Exchange rates'!B:C,2,0),IF(R273=".",".",""))</f>
        <v/>
      </c>
      <c r="T273" s="513" t="str">
        <f>IF(AD273=1,IF(AF273="Value is not given at all",".",IF(AF273="Value is given by the source",S273,IF(AF273="Value is calculated with prices",(IF(SUMIFS(Q:Q,A:A,A273)&gt;0,SUMIFS(Q:Q,A:A,A273),"."))/VLOOKUP("USD",'Exchange rates'!B:C,2,0),"Error with coding"))),"")</f>
        <v/>
      </c>
      <c r="U273" s="39" t="s">
        <v>233</v>
      </c>
      <c r="V273" s="376" t="s">
        <v>963</v>
      </c>
      <c r="W273" s="376" t="s">
        <v>969</v>
      </c>
      <c r="X273" s="376" t="s">
        <v>970</v>
      </c>
      <c r="Y273" s="530" t="s">
        <v>232</v>
      </c>
      <c r="Z273" s="39">
        <v>0</v>
      </c>
      <c r="AA273" s="518">
        <v>0</v>
      </c>
      <c r="AB273" s="394" t="s">
        <v>971</v>
      </c>
      <c r="AC273" s="519" t="str">
        <f>""</f>
        <v/>
      </c>
      <c r="AD273" s="520">
        <v>0</v>
      </c>
      <c r="AE273" s="520" t="s">
        <v>236</v>
      </c>
      <c r="AF273" s="520" t="s">
        <v>236</v>
      </c>
      <c r="AG273" s="520">
        <v>1</v>
      </c>
      <c r="AH273" s="520">
        <v>2</v>
      </c>
      <c r="AI273" s="520">
        <v>0</v>
      </c>
      <c r="AJ273" s="520">
        <f>VLOOKUP($I273,'Price List, Weapons &amp; Items'!A:E,5,0)</f>
        <v>0</v>
      </c>
      <c r="AK273" s="520">
        <f t="shared" si="63"/>
        <v>0</v>
      </c>
      <c r="AL273" s="520">
        <f t="shared" si="64"/>
        <v>0</v>
      </c>
      <c r="AM273" s="520">
        <f t="shared" si="65"/>
        <v>0</v>
      </c>
      <c r="AN273" s="521" t="str">
        <f>VLOOKUP($I273,'Price List, Weapons &amp; Items'!A:K,COLUMN('Price List, Weapons &amp; Items'!$I$1),0)</f>
        <v>Military media (incl. websites)</v>
      </c>
      <c r="AO273" s="521" t="str">
        <f>IF(I273=".",".",VLOOKUP($I273,'Price List, Weapons &amp; Items'!A:I,3,0))</f>
        <v>Light Anti-armor Weapon (LAW)</v>
      </c>
      <c r="AP273" s="517" t="str">
        <f t="shared" ca="1" si="62"/>
        <v/>
      </c>
      <c r="AQ273" s="521">
        <f>VLOOKUP($I273,'Price List, Weapons &amp; Items'!A:K,COLUMN('Price List, Weapons &amp; Items'!$K$1),0)</f>
        <v>2</v>
      </c>
      <c r="AS273" s="521">
        <f t="shared" si="66"/>
        <v>1</v>
      </c>
      <c r="AT273" s="521">
        <f t="shared" si="67"/>
        <v>1</v>
      </c>
      <c r="AU273" s="521">
        <f t="shared" si="68"/>
        <v>1</v>
      </c>
      <c r="AV273" s="521" t="str">
        <f t="shared" si="69"/>
        <v>.</v>
      </c>
    </row>
    <row r="274" spans="1:48" ht="15" customHeight="1">
      <c r="A274" s="18" t="s">
        <v>961</v>
      </c>
      <c r="B274" s="18" t="s">
        <v>917</v>
      </c>
      <c r="C274" s="511">
        <v>44620</v>
      </c>
      <c r="D274" s="18" t="s">
        <v>252</v>
      </c>
      <c r="E274" s="18" t="s">
        <v>253</v>
      </c>
      <c r="F274" s="512" t="s">
        <v>962</v>
      </c>
      <c r="G274" s="39" t="s">
        <v>332</v>
      </c>
      <c r="H274" s="513">
        <v>29300000</v>
      </c>
      <c r="I274" s="41" t="s">
        <v>974</v>
      </c>
      <c r="J274" s="276" t="str">
        <f>VLOOKUP($I274,'Price List, Weapons &amp; Items'!A:B,2,0)</f>
        <v>Military equipment</v>
      </c>
      <c r="K274" s="276" t="str">
        <f>IF(I274=".",I274,VLOOKUP($I274,'Price List, Weapons &amp; Items'!A:C,3,0))</f>
        <v>.</v>
      </c>
      <c r="L274" s="514">
        <f>VLOOKUP(I274,'Price List, Weapons &amp; Items'!A:D,4,0)</f>
        <v>0</v>
      </c>
      <c r="M274" s="515">
        <v>70000</v>
      </c>
      <c r="N274" s="515">
        <v>70000</v>
      </c>
      <c r="O274" s="516">
        <f>VLOOKUP($I274,'Price List, Weapons &amp; Items'!A:F,6,0)</f>
        <v>22</v>
      </c>
      <c r="P274" s="513">
        <f t="shared" si="59"/>
        <v>1540000</v>
      </c>
      <c r="Q274" s="513">
        <f t="shared" si="60"/>
        <v>1540000</v>
      </c>
      <c r="R274" s="513" t="str">
        <f t="shared" si="61"/>
        <v/>
      </c>
      <c r="S274" s="513" t="str">
        <f>IF(AND(AD274=1,R274&lt;&gt;".")=TRUE,R274/VLOOKUP(G274,'Exchange rates'!B:C,2,0),IF(R274=".",".",""))</f>
        <v/>
      </c>
      <c r="T274" s="513" t="str">
        <f>IF(AD274=1,IF(AF274="Value is not given at all",".",IF(AF274="Value is given by the source",S274,IF(AF274="Value is calculated with prices",(IF(SUMIFS(Q:Q,A:A,A274)&gt;0,SUMIFS(Q:Q,A:A,A274),"."))/VLOOKUP("USD",'Exchange rates'!B:C,2,0),"Error with coding"))),"")</f>
        <v/>
      </c>
      <c r="U274" s="39" t="s">
        <v>233</v>
      </c>
      <c r="V274" s="376" t="s">
        <v>963</v>
      </c>
      <c r="W274" s="376" t="s">
        <v>969</v>
      </c>
      <c r="X274" s="376" t="s">
        <v>970</v>
      </c>
      <c r="Y274" s="530" t="s">
        <v>232</v>
      </c>
      <c r="Z274" s="39">
        <v>0</v>
      </c>
      <c r="AA274" s="518">
        <v>0</v>
      </c>
      <c r="AB274" s="394" t="s">
        <v>971</v>
      </c>
      <c r="AC274" s="519" t="str">
        <f>""</f>
        <v/>
      </c>
      <c r="AD274" s="520">
        <v>0</v>
      </c>
      <c r="AE274" s="520" t="s">
        <v>236</v>
      </c>
      <c r="AF274" s="520" t="s">
        <v>236</v>
      </c>
      <c r="AG274" s="520">
        <v>1</v>
      </c>
      <c r="AH274" s="520">
        <v>2</v>
      </c>
      <c r="AI274" s="520">
        <v>0</v>
      </c>
      <c r="AJ274" s="520">
        <f>VLOOKUP($I274,'Price List, Weapons &amp; Items'!A:E,5,0)</f>
        <v>0</v>
      </c>
      <c r="AK274" s="520">
        <f t="shared" si="63"/>
        <v>0</v>
      </c>
      <c r="AL274" s="520">
        <f t="shared" si="64"/>
        <v>0</v>
      </c>
      <c r="AM274" s="520">
        <f t="shared" si="65"/>
        <v>0</v>
      </c>
      <c r="AN274" s="521" t="str">
        <f>VLOOKUP($I274,'Price List, Weapons &amp; Items'!A:K,COLUMN('Price List, Weapons &amp; Items'!$I$1),0)</f>
        <v>Online marketplaces and stores</v>
      </c>
      <c r="AO274" s="521" t="str">
        <f>IF(I274=".",".",VLOOKUP($I274,'Price List, Weapons &amp; Items'!A:I,3,0))</f>
        <v>.</v>
      </c>
      <c r="AP274" s="517" t="str">
        <f t="shared" ca="1" si="62"/>
        <v/>
      </c>
      <c r="AQ274" s="521">
        <f>VLOOKUP($I274,'Price List, Weapons &amp; Items'!A:K,COLUMN('Price List, Weapons &amp; Items'!$K$1),0)</f>
        <v>2</v>
      </c>
      <c r="AS274" s="521">
        <f t="shared" si="66"/>
        <v>1</v>
      </c>
      <c r="AT274" s="521">
        <f t="shared" si="67"/>
        <v>1</v>
      </c>
      <c r="AU274" s="521">
        <f t="shared" si="68"/>
        <v>1</v>
      </c>
      <c r="AV274" s="521" t="str">
        <f t="shared" si="69"/>
        <v>.</v>
      </c>
    </row>
    <row r="275" spans="1:48" s="533" customFormat="1" ht="15" customHeight="1">
      <c r="A275" s="41" t="s">
        <v>975</v>
      </c>
      <c r="B275" s="41" t="s">
        <v>917</v>
      </c>
      <c r="C275" s="511">
        <v>44686</v>
      </c>
      <c r="D275" s="18" t="s">
        <v>252</v>
      </c>
      <c r="E275" s="18" t="s">
        <v>253</v>
      </c>
      <c r="F275" s="512" t="s">
        <v>976</v>
      </c>
      <c r="G275" s="39" t="s">
        <v>232</v>
      </c>
      <c r="H275" s="513" t="s">
        <v>309</v>
      </c>
      <c r="I275" s="41" t="s">
        <v>232</v>
      </c>
      <c r="J275" s="276" t="str">
        <f>VLOOKUP($I275,'Price List, Weapons &amp; Items'!A:B,2,0)</f>
        <v>.</v>
      </c>
      <c r="K275" s="276" t="str">
        <f>IF(I275=".",I275,VLOOKUP($I275,'Price List, Weapons &amp; Items'!A:C,3,0))</f>
        <v>.</v>
      </c>
      <c r="L275" s="514">
        <f>VLOOKUP(I275,'Price List, Weapons &amp; Items'!A:D,4,0)</f>
        <v>0</v>
      </c>
      <c r="M275" s="515" t="s">
        <v>232</v>
      </c>
      <c r="N275" s="515" t="s">
        <v>232</v>
      </c>
      <c r="O275" s="516" t="str">
        <f>VLOOKUP($I275,'Price List, Weapons &amp; Items'!A:F,6,0)</f>
        <v>.</v>
      </c>
      <c r="P275" s="513" t="str">
        <f t="shared" si="59"/>
        <v>.</v>
      </c>
      <c r="Q275" s="513" t="str">
        <f t="shared" si="60"/>
        <v>.</v>
      </c>
      <c r="R275" s="513" t="str">
        <f t="shared" si="61"/>
        <v>.</v>
      </c>
      <c r="S275" s="513" t="str">
        <f>IF(AND(AD275=1,R275&lt;&gt;".")=TRUE,R275/VLOOKUP(G275,'Exchange rates'!B:C,2,0),IF(R275=".",".",""))</f>
        <v>.</v>
      </c>
      <c r="T275" s="513" t="str">
        <f>IF(AD275=1,IF(AF275="Value is not given at all",".",IF(AF275="Value is given by the source",S275,IF(AF275="Value is calculated with prices",(IF(SUMIFS(Q:Q,A:A,A275)&gt;0,SUMIFS(Q:Q,A:A,A275),"."))/VLOOKUP("USD",'Exchange rates'!B:C,2,0),"Error with coding"))),"")</f>
        <v>.</v>
      </c>
      <c r="U275" s="39" t="s">
        <v>233</v>
      </c>
      <c r="V275" s="42" t="s">
        <v>385</v>
      </c>
      <c r="W275" s="42" t="s">
        <v>977</v>
      </c>
      <c r="X275" s="42" t="s">
        <v>978</v>
      </c>
      <c r="Y275" s="517" t="s">
        <v>232</v>
      </c>
      <c r="Z275" s="39">
        <v>0</v>
      </c>
      <c r="AA275" s="518">
        <v>0</v>
      </c>
      <c r="AB275" s="38" t="s">
        <v>232</v>
      </c>
      <c r="AC275" s="519" t="str">
        <f>""</f>
        <v/>
      </c>
      <c r="AD275" s="520">
        <v>1</v>
      </c>
      <c r="AE275" s="520" t="s">
        <v>237</v>
      </c>
      <c r="AF275" s="520" t="s">
        <v>237</v>
      </c>
      <c r="AG275" s="520">
        <v>1</v>
      </c>
      <c r="AH275" s="520">
        <v>5</v>
      </c>
      <c r="AI275" s="520">
        <v>0</v>
      </c>
      <c r="AJ275" s="520">
        <f>VLOOKUP($I275,'Price List, Weapons &amp; Items'!A:E,5,0)</f>
        <v>0</v>
      </c>
      <c r="AK275" s="520">
        <f t="shared" si="63"/>
        <v>0</v>
      </c>
      <c r="AL275" s="520">
        <f t="shared" si="64"/>
        <v>0</v>
      </c>
      <c r="AM275" s="520">
        <f t="shared" si="65"/>
        <v>0</v>
      </c>
      <c r="AN275" s="521" t="str">
        <f>VLOOKUP($I275,'Price List, Weapons &amp; Items'!A:K,COLUMN('Price List, Weapons &amp; Items'!$I$1),0)</f>
        <v>.</v>
      </c>
      <c r="AO275" s="521" t="str">
        <f>IF(I275=".",".",VLOOKUP($I275,'Price List, Weapons &amp; Items'!A:I,3,0))</f>
        <v>.</v>
      </c>
      <c r="AP275" s="517" t="str">
        <f t="shared" ca="1" si="62"/>
        <v>.</v>
      </c>
      <c r="AQ275" s="521" t="str">
        <f>VLOOKUP($I275,'Price List, Weapons &amp; Items'!A:K,COLUMN('Price List, Weapons &amp; Items'!$K$1),0)</f>
        <v>no price, 0 count</v>
      </c>
      <c r="AS275" s="521">
        <f t="shared" si="66"/>
        <v>1</v>
      </c>
      <c r="AT275" s="521">
        <f t="shared" si="67"/>
        <v>1</v>
      </c>
      <c r="AU275" s="521">
        <f t="shared" si="68"/>
        <v>1</v>
      </c>
      <c r="AV275" s="521" t="str">
        <f t="shared" si="69"/>
        <v>.</v>
      </c>
    </row>
    <row r="276" spans="1:48" s="533" customFormat="1" ht="15" customHeight="1">
      <c r="A276" s="41" t="s">
        <v>979</v>
      </c>
      <c r="B276" s="41" t="s">
        <v>917</v>
      </c>
      <c r="C276" s="511">
        <v>44722</v>
      </c>
      <c r="D276" s="18" t="s">
        <v>252</v>
      </c>
      <c r="E276" s="18" t="s">
        <v>253</v>
      </c>
      <c r="F276" s="512" t="s">
        <v>980</v>
      </c>
      <c r="G276" s="39" t="s">
        <v>332</v>
      </c>
      <c r="H276" s="513">
        <v>54750000</v>
      </c>
      <c r="I276" s="41" t="s">
        <v>232</v>
      </c>
      <c r="J276" s="276" t="str">
        <f>VLOOKUP($I276,'Price List, Weapons &amp; Items'!A:B,2,0)</f>
        <v>.</v>
      </c>
      <c r="K276" s="276" t="str">
        <f>IF(I276=".",I276,VLOOKUP($I276,'Price List, Weapons &amp; Items'!A:C,3,0))</f>
        <v>.</v>
      </c>
      <c r="L276" s="514">
        <f>VLOOKUP(I276,'Price List, Weapons &amp; Items'!A:D,4,0)</f>
        <v>0</v>
      </c>
      <c r="M276" s="515" t="s">
        <v>232</v>
      </c>
      <c r="N276" s="515" t="s">
        <v>232</v>
      </c>
      <c r="O276" s="516" t="str">
        <f>VLOOKUP($I276,'Price List, Weapons &amp; Items'!A:F,6,0)</f>
        <v>.</v>
      </c>
      <c r="P276" s="513" t="str">
        <f t="shared" si="59"/>
        <v>.</v>
      </c>
      <c r="Q276" s="513" t="str">
        <f t="shared" si="60"/>
        <v>.</v>
      </c>
      <c r="R276" s="513">
        <f t="shared" si="61"/>
        <v>54750000</v>
      </c>
      <c r="S276" s="513">
        <f>IF(AND(AD276=1,R276&lt;&gt;".")=TRUE,R276/VLOOKUP(G276,'Exchange rates'!B:C,2,0),IF(R276=".",".",""))</f>
        <v>54750000</v>
      </c>
      <c r="T276" s="513">
        <f>IF(AD276=1,IF(AF276="Value is not given at all",".",IF(AF276="Value is given by the source",S276,IF(AF276="Value is calculated with prices",(IF(SUMIFS(Q:Q,A:A,A276)&gt;0,SUMIFS(Q:Q,A:A,A276),"."))/VLOOKUP("USD",'Exchange rates'!B:C,2,0),"Error with coding"))),"")</f>
        <v>54750000</v>
      </c>
      <c r="U276" s="39" t="s">
        <v>233</v>
      </c>
      <c r="V276" s="42" t="s">
        <v>981</v>
      </c>
      <c r="W276" s="42" t="s">
        <v>982</v>
      </c>
      <c r="X276" s="42" t="s">
        <v>983</v>
      </c>
      <c r="Y276" s="517" t="s">
        <v>232</v>
      </c>
      <c r="Z276" s="39">
        <v>0</v>
      </c>
      <c r="AA276" s="518">
        <v>1</v>
      </c>
      <c r="AB276" s="832" t="s">
        <v>984</v>
      </c>
      <c r="AC276" s="519" t="str">
        <f>""</f>
        <v/>
      </c>
      <c r="AD276" s="520">
        <v>1</v>
      </c>
      <c r="AE276" s="520" t="s">
        <v>236</v>
      </c>
      <c r="AF276" s="520" t="s">
        <v>236</v>
      </c>
      <c r="AG276" s="520">
        <v>1</v>
      </c>
      <c r="AH276" s="520">
        <v>6</v>
      </c>
      <c r="AI276" s="520">
        <v>0</v>
      </c>
      <c r="AJ276" s="520">
        <f>VLOOKUP($I276,'Price List, Weapons &amp; Items'!A:E,5,0)</f>
        <v>0</v>
      </c>
      <c r="AK276" s="520">
        <f t="shared" si="63"/>
        <v>0</v>
      </c>
      <c r="AL276" s="520">
        <f t="shared" si="64"/>
        <v>0</v>
      </c>
      <c r="AM276" s="520">
        <f t="shared" si="65"/>
        <v>0</v>
      </c>
      <c r="AN276" s="521" t="str">
        <f>VLOOKUP($I276,'Price List, Weapons &amp; Items'!A:K,COLUMN('Price List, Weapons &amp; Items'!$I$1),0)</f>
        <v>.</v>
      </c>
      <c r="AO276" s="521" t="str">
        <f>IF(I276=".",".",VLOOKUP($I276,'Price List, Weapons &amp; Items'!A:I,3,0))</f>
        <v>.</v>
      </c>
      <c r="AP276" s="517" t="str">
        <f t="shared" ca="1" si="62"/>
        <v>.</v>
      </c>
      <c r="AQ276" s="521" t="str">
        <f>VLOOKUP($I276,'Price List, Weapons &amp; Items'!A:K,COLUMN('Price List, Weapons &amp; Items'!$K$1),0)</f>
        <v>no price, 0 count</v>
      </c>
      <c r="AS276" s="521">
        <f t="shared" si="66"/>
        <v>1</v>
      </c>
      <c r="AT276" s="521">
        <f t="shared" si="67"/>
        <v>1</v>
      </c>
      <c r="AU276" s="521">
        <f t="shared" si="68"/>
        <v>1</v>
      </c>
      <c r="AV276" s="521" t="str">
        <f t="shared" si="69"/>
        <v>.</v>
      </c>
    </row>
    <row r="277" spans="1:48" s="533" customFormat="1" ht="15" customHeight="1">
      <c r="A277" s="41" t="s">
        <v>985</v>
      </c>
      <c r="B277" s="41" t="s">
        <v>917</v>
      </c>
      <c r="C277" s="511">
        <v>44805</v>
      </c>
      <c r="D277" s="18" t="s">
        <v>252</v>
      </c>
      <c r="E277" s="18" t="s">
        <v>253</v>
      </c>
      <c r="F277" s="512" t="s">
        <v>986</v>
      </c>
      <c r="G277" s="39" t="s">
        <v>332</v>
      </c>
      <c r="H277" s="513">
        <v>8250000</v>
      </c>
      <c r="I277" s="41" t="s">
        <v>232</v>
      </c>
      <c r="J277" s="276" t="str">
        <f>VLOOKUP($I277,'Price List, Weapons &amp; Items'!A:B,2,0)</f>
        <v>.</v>
      </c>
      <c r="K277" s="276" t="str">
        <f>IF(I277=".",I277,VLOOKUP($I277,'Price List, Weapons &amp; Items'!A:C,3,0))</f>
        <v>.</v>
      </c>
      <c r="L277" s="514">
        <f>VLOOKUP(I277,'Price List, Weapons &amp; Items'!A:D,4,0)</f>
        <v>0</v>
      </c>
      <c r="M277" s="515" t="s">
        <v>232</v>
      </c>
      <c r="N277" s="515" t="s">
        <v>232</v>
      </c>
      <c r="O277" s="516" t="str">
        <f>VLOOKUP($I277,'Price List, Weapons &amp; Items'!A:F,6,0)</f>
        <v>.</v>
      </c>
      <c r="P277" s="513" t="str">
        <f t="shared" si="59"/>
        <v>.</v>
      </c>
      <c r="Q277" s="513" t="str">
        <f t="shared" si="60"/>
        <v>.</v>
      </c>
      <c r="R277" s="513">
        <f t="shared" si="61"/>
        <v>8250000</v>
      </c>
      <c r="S277" s="513">
        <f>IF(AND(AD277=1,R277&lt;&gt;".")=TRUE,R277/VLOOKUP(G277,'Exchange rates'!B:C,2,0),IF(R277=".",".",""))</f>
        <v>8250000</v>
      </c>
      <c r="T277" s="513">
        <f>IF(AD277=1,IF(AF277="Value is not given at all",".",IF(AF277="Value is given by the source",S277,IF(AF277="Value is calculated with prices",(IF(SUMIFS(Q:Q,A:A,A277)&gt;0,SUMIFS(Q:Q,A:A,A277),"."))/VLOOKUP("USD",'Exchange rates'!B:C,2,0),"Error with coding"))),"")</f>
        <v>8250000</v>
      </c>
      <c r="U277" s="39" t="s">
        <v>233</v>
      </c>
      <c r="V277" s="42" t="s">
        <v>987</v>
      </c>
      <c r="W277" s="42" t="s">
        <v>988</v>
      </c>
      <c r="X277" s="42" t="s">
        <v>989</v>
      </c>
      <c r="Y277" s="517" t="s">
        <v>232</v>
      </c>
      <c r="Z277" s="39">
        <v>0</v>
      </c>
      <c r="AA277" s="518">
        <v>1</v>
      </c>
      <c r="AB277" s="832" t="s">
        <v>984</v>
      </c>
      <c r="AC277" s="519" t="str">
        <f>""</f>
        <v/>
      </c>
      <c r="AD277" s="520">
        <v>1</v>
      </c>
      <c r="AE277" s="520" t="s">
        <v>236</v>
      </c>
      <c r="AF277" s="520" t="s">
        <v>236</v>
      </c>
      <c r="AG277" s="520">
        <v>1</v>
      </c>
      <c r="AH277" s="520">
        <v>9</v>
      </c>
      <c r="AI277" s="520">
        <v>0</v>
      </c>
      <c r="AJ277" s="520">
        <f>VLOOKUP($I277,'Price List, Weapons &amp; Items'!A:E,5,0)</f>
        <v>0</v>
      </c>
      <c r="AK277" s="520">
        <f t="shared" si="63"/>
        <v>0</v>
      </c>
      <c r="AL277" s="520">
        <f t="shared" si="64"/>
        <v>0</v>
      </c>
      <c r="AM277" s="520">
        <f t="shared" si="65"/>
        <v>0</v>
      </c>
      <c r="AN277" s="521" t="str">
        <f>VLOOKUP($I277,'Price List, Weapons &amp; Items'!A:K,COLUMN('Price List, Weapons &amp; Items'!$I$1),0)</f>
        <v>.</v>
      </c>
      <c r="AO277" s="521" t="str">
        <f>IF(I277=".",".",VLOOKUP($I277,'Price List, Weapons &amp; Items'!A:I,3,0))</f>
        <v>.</v>
      </c>
      <c r="AP277" s="517" t="str">
        <f t="shared" ca="1" si="62"/>
        <v>.</v>
      </c>
      <c r="AQ277" s="521" t="str">
        <f>VLOOKUP($I277,'Price List, Weapons &amp; Items'!A:K,COLUMN('Price List, Weapons &amp; Items'!$K$1),0)</f>
        <v>no price, 0 count</v>
      </c>
      <c r="AS277" s="521">
        <f t="shared" si="66"/>
        <v>1</v>
      </c>
      <c r="AT277" s="521">
        <f t="shared" si="67"/>
        <v>1</v>
      </c>
      <c r="AU277" s="521">
        <f t="shared" si="68"/>
        <v>1</v>
      </c>
      <c r="AV277" s="521" t="str">
        <f t="shared" si="69"/>
        <v>.</v>
      </c>
    </row>
    <row r="278" spans="1:48" s="533" customFormat="1" ht="15" customHeight="1">
      <c r="A278" s="41" t="s">
        <v>990</v>
      </c>
      <c r="B278" s="41" t="s">
        <v>917</v>
      </c>
      <c r="C278" s="511">
        <v>44840</v>
      </c>
      <c r="D278" s="18" t="s">
        <v>252</v>
      </c>
      <c r="E278" s="18" t="s">
        <v>253</v>
      </c>
      <c r="F278" s="512" t="s">
        <v>991</v>
      </c>
      <c r="G278" s="39" t="s">
        <v>232</v>
      </c>
      <c r="H278" s="513" t="s">
        <v>309</v>
      </c>
      <c r="I278" s="41" t="s">
        <v>232</v>
      </c>
      <c r="J278" s="276" t="str">
        <f>VLOOKUP($I278,'Price List, Weapons &amp; Items'!A:B,2,0)</f>
        <v>.</v>
      </c>
      <c r="K278" s="276" t="str">
        <f>IF(I278=".",I278,VLOOKUP($I278,'Price List, Weapons &amp; Items'!A:C,3,0))</f>
        <v>.</v>
      </c>
      <c r="L278" s="514">
        <f>VLOOKUP(I278,'Price List, Weapons &amp; Items'!A:D,4,0)</f>
        <v>0</v>
      </c>
      <c r="M278" s="515" t="s">
        <v>232</v>
      </c>
      <c r="N278" s="515" t="s">
        <v>232</v>
      </c>
      <c r="O278" s="516" t="str">
        <f>VLOOKUP($I278,'Price List, Weapons &amp; Items'!A:F,6,0)</f>
        <v>.</v>
      </c>
      <c r="P278" s="513" t="str">
        <f t="shared" si="59"/>
        <v>.</v>
      </c>
      <c r="Q278" s="513" t="str">
        <f t="shared" si="60"/>
        <v>.</v>
      </c>
      <c r="R278" s="513" t="str">
        <f t="shared" si="61"/>
        <v>.</v>
      </c>
      <c r="S278" s="513" t="str">
        <f>IF(AND(AD278=1,R278&lt;&gt;".")=TRUE,R278/VLOOKUP(G278,'Exchange rates'!B:C,2,0),IF(R278=".",".",""))</f>
        <v>.</v>
      </c>
      <c r="T278" s="513" t="str">
        <f>IF(AD278=1,IF(AF278="Value is not given at all",".",IF(AF278="Value is given by the source",S278,IF(AF278="Value is calculated with prices",(IF(SUMIFS(Q:Q,A:A,A278)&gt;0,SUMIFS(Q:Q,A:A,A278),"."))/VLOOKUP("USD",'Exchange rates'!B:C,2,0),"Error with coding"))),"")</f>
        <v>.</v>
      </c>
      <c r="U278" s="39" t="s">
        <v>372</v>
      </c>
      <c r="V278" s="827" t="s">
        <v>992</v>
      </c>
      <c r="W278" s="42" t="s">
        <v>993</v>
      </c>
      <c r="X278" s="42" t="s">
        <v>232</v>
      </c>
      <c r="Y278" s="825" t="s">
        <v>232</v>
      </c>
      <c r="Z278" s="39">
        <v>0</v>
      </c>
      <c r="AA278" s="518">
        <v>1</v>
      </c>
      <c r="AB278" s="395" t="s">
        <v>232</v>
      </c>
      <c r="AC278" s="519" t="str">
        <f>""</f>
        <v/>
      </c>
      <c r="AD278" s="520">
        <v>1</v>
      </c>
      <c r="AE278" s="520" t="s">
        <v>237</v>
      </c>
      <c r="AF278" s="520" t="s">
        <v>237</v>
      </c>
      <c r="AG278" s="520">
        <v>1</v>
      </c>
      <c r="AH278" s="520">
        <v>10</v>
      </c>
      <c r="AI278" s="520">
        <v>0</v>
      </c>
      <c r="AJ278" s="520">
        <f>VLOOKUP($I278,'Price List, Weapons &amp; Items'!A:E,5,0)</f>
        <v>0</v>
      </c>
      <c r="AK278" s="520">
        <f t="shared" si="63"/>
        <v>0</v>
      </c>
      <c r="AL278" s="520">
        <f t="shared" si="64"/>
        <v>0</v>
      </c>
      <c r="AM278" s="520">
        <f t="shared" si="65"/>
        <v>0</v>
      </c>
      <c r="AN278" s="521" t="str">
        <f>VLOOKUP($I278,'Price List, Weapons &amp; Items'!A:K,COLUMN('Price List, Weapons &amp; Items'!$I$1),0)</f>
        <v>.</v>
      </c>
      <c r="AO278" s="521" t="str">
        <f>IF(I278=".",".",VLOOKUP($I278,'Price List, Weapons &amp; Items'!A:I,3,0))</f>
        <v>.</v>
      </c>
      <c r="AP278" s="517" t="str">
        <f t="shared" ca="1" si="62"/>
        <v>.</v>
      </c>
      <c r="AQ278" s="521" t="str">
        <f>VLOOKUP($I278,'Price List, Weapons &amp; Items'!A:K,COLUMN('Price List, Weapons &amp; Items'!$K$1),0)</f>
        <v>no price, 0 count</v>
      </c>
      <c r="AS278" s="521">
        <f t="shared" si="66"/>
        <v>0</v>
      </c>
      <c r="AT278" s="521">
        <f t="shared" si="67"/>
        <v>1</v>
      </c>
      <c r="AU278" s="521">
        <f t="shared" si="68"/>
        <v>1</v>
      </c>
      <c r="AV278" s="521" t="str">
        <f t="shared" si="69"/>
        <v>.</v>
      </c>
    </row>
    <row r="279" spans="1:48" s="533" customFormat="1" ht="15" customHeight="1">
      <c r="A279" s="41" t="s">
        <v>994</v>
      </c>
      <c r="B279" s="41" t="s">
        <v>917</v>
      </c>
      <c r="C279" s="511">
        <v>44861</v>
      </c>
      <c r="D279" s="18" t="s">
        <v>252</v>
      </c>
      <c r="E279" s="18" t="s">
        <v>229</v>
      </c>
      <c r="F279" s="512" t="s">
        <v>995</v>
      </c>
      <c r="G279" s="39" t="s">
        <v>332</v>
      </c>
      <c r="H279" s="513">
        <v>30000000</v>
      </c>
      <c r="I279" s="41" t="s">
        <v>232</v>
      </c>
      <c r="J279" s="276" t="str">
        <f>VLOOKUP($I279,'Price List, Weapons &amp; Items'!A:B,2,0)</f>
        <v>.</v>
      </c>
      <c r="K279" s="276" t="str">
        <f>IF(I279=".",I279,VLOOKUP($I279,'Price List, Weapons &amp; Items'!A:C,3,0))</f>
        <v>.</v>
      </c>
      <c r="L279" s="514">
        <f>VLOOKUP(I279,'Price List, Weapons &amp; Items'!A:D,4,0)</f>
        <v>0</v>
      </c>
      <c r="M279" s="515" t="s">
        <v>232</v>
      </c>
      <c r="N279" s="515" t="s">
        <v>232</v>
      </c>
      <c r="O279" s="516" t="str">
        <f>VLOOKUP($I279,'Price List, Weapons &amp; Items'!A:F,6,0)</f>
        <v>.</v>
      </c>
      <c r="P279" s="513" t="str">
        <f t="shared" si="59"/>
        <v>.</v>
      </c>
      <c r="Q279" s="513" t="str">
        <f t="shared" si="60"/>
        <v>.</v>
      </c>
      <c r="R279" s="513">
        <f t="shared" si="61"/>
        <v>30000000</v>
      </c>
      <c r="S279" s="513">
        <f>IF(AND(AD279=1,R279&lt;&gt;".")=TRUE,R279/VLOOKUP(G279,'Exchange rates'!B:C,2,0),IF(R279=".",".",""))</f>
        <v>30000000</v>
      </c>
      <c r="T279" s="513"/>
      <c r="U279" s="39" t="s">
        <v>233</v>
      </c>
      <c r="V279" s="827" t="s">
        <v>996</v>
      </c>
      <c r="W279" s="42"/>
      <c r="X279" s="42"/>
      <c r="Y279" s="825"/>
      <c r="Z279" s="39">
        <v>0</v>
      </c>
      <c r="AA279" s="518">
        <v>1</v>
      </c>
      <c r="AB279" s="395"/>
      <c r="AC279" s="519"/>
      <c r="AD279" s="520">
        <v>1</v>
      </c>
      <c r="AE279" s="520" t="s">
        <v>236</v>
      </c>
      <c r="AF279" s="520" t="s">
        <v>237</v>
      </c>
      <c r="AG279" s="520">
        <v>1</v>
      </c>
      <c r="AH279" s="520">
        <v>10</v>
      </c>
      <c r="AI279" s="520">
        <v>0</v>
      </c>
      <c r="AJ279" s="520">
        <v>0</v>
      </c>
      <c r="AK279" s="520"/>
      <c r="AL279" s="520"/>
      <c r="AM279" s="520"/>
      <c r="AN279" s="521"/>
      <c r="AO279" s="521"/>
      <c r="AP279" s="517"/>
      <c r="AQ279" s="521"/>
      <c r="AS279" s="521"/>
      <c r="AT279" s="521"/>
      <c r="AU279" s="521"/>
      <c r="AV279" s="521"/>
    </row>
    <row r="280" spans="1:48" s="533" customFormat="1" ht="15" customHeight="1">
      <c r="A280" s="41" t="s">
        <v>997</v>
      </c>
      <c r="B280" s="41" t="s">
        <v>917</v>
      </c>
      <c r="C280" s="511">
        <v>44882</v>
      </c>
      <c r="D280" s="18" t="s">
        <v>252</v>
      </c>
      <c r="E280" s="18" t="s">
        <v>253</v>
      </c>
      <c r="F280" s="512" t="s">
        <v>998</v>
      </c>
      <c r="G280" s="39" t="s">
        <v>332</v>
      </c>
      <c r="H280" s="513">
        <v>55600000</v>
      </c>
      <c r="I280" s="41" t="s">
        <v>232</v>
      </c>
      <c r="J280" s="276" t="str">
        <f>VLOOKUP($I280,'Price List, Weapons &amp; Items'!A:B,2,0)</f>
        <v>.</v>
      </c>
      <c r="K280" s="276" t="str">
        <f>IF(I280=".",I280,VLOOKUP($I280,'Price List, Weapons &amp; Items'!A:C,3,0))</f>
        <v>.</v>
      </c>
      <c r="L280" s="514">
        <f>VLOOKUP(I280,'Price List, Weapons &amp; Items'!A:D,4,0)</f>
        <v>0</v>
      </c>
      <c r="M280" s="515" t="s">
        <v>232</v>
      </c>
      <c r="N280" s="515" t="s">
        <v>232</v>
      </c>
      <c r="O280" s="516" t="str">
        <f>VLOOKUP($I280,'Price List, Weapons &amp; Items'!A:F,6,0)</f>
        <v>.</v>
      </c>
      <c r="P280" s="513" t="str">
        <f t="shared" si="59"/>
        <v>.</v>
      </c>
      <c r="Q280" s="513" t="str">
        <f t="shared" si="60"/>
        <v>.</v>
      </c>
      <c r="R280" s="513">
        <f t="shared" si="61"/>
        <v>55600000</v>
      </c>
      <c r="S280" s="513">
        <f>IF(AND(AD280=1,R280&lt;&gt;".")=TRUE,R280/VLOOKUP(G280,'Exchange rates'!B:C,2,0),IF(R280=".",".",""))</f>
        <v>55600000</v>
      </c>
      <c r="T280" s="513">
        <f>IF(AD280=1,IF(AF280="Value is not given at all",".",IF(AF280="Value is given by the source",S280,IF(AF280="Value is calculated with prices",(IF(SUMIFS(Q:Q,A:A,A280)&gt;0,SUMIFS(Q:Q,A:A,A280),"."))/VLOOKUP("USD",'Exchange rates'!B:C,2,0),"Error with coding"))),"")</f>
        <v>55600000</v>
      </c>
      <c r="U280" s="39" t="s">
        <v>233</v>
      </c>
      <c r="V280" s="827" t="s">
        <v>999</v>
      </c>
      <c r="W280" s="827" t="s">
        <v>1000</v>
      </c>
      <c r="X280" s="827" t="s">
        <v>1001</v>
      </c>
      <c r="Y280" s="825" t="s">
        <v>232</v>
      </c>
      <c r="Z280" s="39">
        <v>0</v>
      </c>
      <c r="AA280" s="518">
        <v>1</v>
      </c>
      <c r="AB280" s="395" t="s">
        <v>984</v>
      </c>
      <c r="AC280" s="519" t="str">
        <f>""</f>
        <v/>
      </c>
      <c r="AD280" s="520">
        <v>1</v>
      </c>
      <c r="AE280" s="520" t="s">
        <v>236</v>
      </c>
      <c r="AF280" s="520" t="s">
        <v>236</v>
      </c>
      <c r="AG280" s="520">
        <v>1</v>
      </c>
      <c r="AH280" s="520">
        <v>11</v>
      </c>
      <c r="AI280" s="520">
        <v>0</v>
      </c>
      <c r="AJ280" s="520">
        <f>VLOOKUP($I280,'Price List, Weapons &amp; Items'!A:E,5,0)</f>
        <v>0</v>
      </c>
      <c r="AK280" s="520">
        <f t="shared" si="63"/>
        <v>0</v>
      </c>
      <c r="AL280" s="520">
        <f t="shared" si="64"/>
        <v>0</v>
      </c>
      <c r="AM280" s="520">
        <f t="shared" si="65"/>
        <v>0</v>
      </c>
      <c r="AN280" s="521" t="str">
        <f>VLOOKUP($I280,'Price List, Weapons &amp; Items'!A:K,COLUMN('Price List, Weapons &amp; Items'!$I$1),0)</f>
        <v>.</v>
      </c>
      <c r="AO280" s="521" t="str">
        <f>IF(I280=".",".",VLOOKUP($I280,'Price List, Weapons &amp; Items'!A:I,3,0))</f>
        <v>.</v>
      </c>
      <c r="AP280" s="517" t="str">
        <f t="shared" ref="AP280:AP343" ca="1" si="70">IF(AD280=1,_xlfn.ARRAYTOTEXT(OFFSET(I280,0,0,COUNTIF(A:A,A280),1)),"")</f>
        <v>.</v>
      </c>
      <c r="AQ280" s="521" t="str">
        <f>VLOOKUP($I280,'Price List, Weapons &amp; Items'!A:K,COLUMN('Price List, Weapons &amp; Items'!$K$1),0)</f>
        <v>no price, 0 count</v>
      </c>
      <c r="AS280" s="521">
        <f t="shared" si="66"/>
        <v>1</v>
      </c>
      <c r="AT280" s="521">
        <f t="shared" si="67"/>
        <v>1</v>
      </c>
      <c r="AU280" s="521">
        <f t="shared" si="68"/>
        <v>1</v>
      </c>
      <c r="AV280" s="521" t="str">
        <f>IF(AND(A280=A278,C280=C278)=TRUE,IF(F280=F278,".","1"),".")</f>
        <v>.</v>
      </c>
    </row>
    <row r="281" spans="1:48" s="533" customFormat="1" ht="15" customHeight="1">
      <c r="A281" s="41" t="s">
        <v>1002</v>
      </c>
      <c r="B281" s="41" t="s">
        <v>917</v>
      </c>
      <c r="C281" s="511">
        <v>44679</v>
      </c>
      <c r="D281" s="18" t="s">
        <v>366</v>
      </c>
      <c r="E281" s="18" t="s">
        <v>330</v>
      </c>
      <c r="F281" s="512" t="s">
        <v>1003</v>
      </c>
      <c r="G281" s="39" t="s">
        <v>332</v>
      </c>
      <c r="H281" s="513">
        <v>46500000</v>
      </c>
      <c r="I281" s="41" t="s">
        <v>232</v>
      </c>
      <c r="J281" s="276" t="str">
        <f>VLOOKUP($I281,'Price List, Weapons &amp; Items'!A:B,2,0)</f>
        <v>.</v>
      </c>
      <c r="K281" s="276" t="str">
        <f>IF(I281=".",I281,VLOOKUP($I281,'Price List, Weapons &amp; Items'!A:C,3,0))</f>
        <v>.</v>
      </c>
      <c r="L281" s="514">
        <f>VLOOKUP(I281,'Price List, Weapons &amp; Items'!A:D,4,0)</f>
        <v>0</v>
      </c>
      <c r="M281" s="515" t="s">
        <v>232</v>
      </c>
      <c r="N281" s="515" t="s">
        <v>232</v>
      </c>
      <c r="O281" s="516" t="str">
        <f>VLOOKUP($I281,'Price List, Weapons &amp; Items'!A:F,6,0)</f>
        <v>.</v>
      </c>
      <c r="P281" s="513" t="str">
        <f t="shared" si="59"/>
        <v>.</v>
      </c>
      <c r="Q281" s="513" t="str">
        <f t="shared" si="60"/>
        <v>.</v>
      </c>
      <c r="R281" s="513">
        <f t="shared" si="61"/>
        <v>46500000</v>
      </c>
      <c r="S281" s="513">
        <f>IF(AND(AD281=1,R281&lt;&gt;".")=TRUE,R281/VLOOKUP(G281,'Exchange rates'!B:C,2,0),IF(R281=".",".",""))</f>
        <v>46500000</v>
      </c>
      <c r="T281" s="513" t="str">
        <f>IF(AD281=1,IF(AF281="Value is not given at all",".",IF(AF281="Value is given by the source",S281,IF(AF281="Value is calculated with prices",(IF(SUMIFS(Q:Q,A:A,A281)&gt;0,SUMIFS(Q:Q,A:A,A281),"."))/VLOOKUP("USD",'Exchange rates'!B:C,2,0),"Error with coding"))),"")</f>
        <v>.</v>
      </c>
      <c r="U281" s="39" t="s">
        <v>233</v>
      </c>
      <c r="V281" s="42" t="s">
        <v>1004</v>
      </c>
      <c r="W281" s="42" t="s">
        <v>1005</v>
      </c>
      <c r="X281" s="42" t="s">
        <v>1006</v>
      </c>
      <c r="Y281" s="517" t="s">
        <v>1007</v>
      </c>
      <c r="Z281" s="39">
        <v>0</v>
      </c>
      <c r="AA281" s="518">
        <v>0</v>
      </c>
      <c r="AB281" s="38" t="s">
        <v>232</v>
      </c>
      <c r="AC281" s="519" t="str">
        <f>""</f>
        <v/>
      </c>
      <c r="AD281" s="520">
        <v>1</v>
      </c>
      <c r="AE281" s="520" t="s">
        <v>236</v>
      </c>
      <c r="AF281" s="520" t="s">
        <v>237</v>
      </c>
      <c r="AG281" s="520">
        <v>1</v>
      </c>
      <c r="AH281" s="520">
        <v>4</v>
      </c>
      <c r="AI281" s="520">
        <v>0</v>
      </c>
      <c r="AJ281" s="520">
        <f>VLOOKUP($I281,'Price List, Weapons &amp; Items'!A:E,5,0)</f>
        <v>0</v>
      </c>
      <c r="AK281" s="520">
        <f t="shared" si="63"/>
        <v>0</v>
      </c>
      <c r="AL281" s="520">
        <f t="shared" si="64"/>
        <v>0</v>
      </c>
      <c r="AM281" s="520">
        <f t="shared" si="65"/>
        <v>0</v>
      </c>
      <c r="AN281" s="521" t="str">
        <f>VLOOKUP($I281,'Price List, Weapons &amp; Items'!A:K,COLUMN('Price List, Weapons &amp; Items'!$I$1),0)</f>
        <v>.</v>
      </c>
      <c r="AO281" s="521" t="str">
        <f>IF(I281=".",".",VLOOKUP($I281,'Price List, Weapons &amp; Items'!A:I,3,0))</f>
        <v>.</v>
      </c>
      <c r="AP281" s="517" t="str">
        <f t="shared" ca="1" si="70"/>
        <v>.</v>
      </c>
      <c r="AQ281" s="521" t="str">
        <f>VLOOKUP($I281,'Price List, Weapons &amp; Items'!A:K,COLUMN('Price List, Weapons &amp; Items'!$K$1),0)</f>
        <v>no price, 0 count</v>
      </c>
      <c r="AS281" s="521">
        <f t="shared" si="66"/>
        <v>1</v>
      </c>
      <c r="AT281" s="521">
        <f t="shared" si="67"/>
        <v>0</v>
      </c>
      <c r="AU281" s="521">
        <f t="shared" si="68"/>
        <v>1</v>
      </c>
      <c r="AV281" s="521" t="str">
        <f t="shared" si="69"/>
        <v>.</v>
      </c>
    </row>
    <row r="282" spans="1:48" s="533" customFormat="1" ht="15" customHeight="1">
      <c r="A282" s="41" t="s">
        <v>1008</v>
      </c>
      <c r="B282" s="41" t="s">
        <v>917</v>
      </c>
      <c r="C282" s="511">
        <v>44806</v>
      </c>
      <c r="D282" s="18" t="s">
        <v>366</v>
      </c>
      <c r="E282" s="18" t="s">
        <v>330</v>
      </c>
      <c r="F282" s="512" t="s">
        <v>1009</v>
      </c>
      <c r="G282" s="39" t="s">
        <v>332</v>
      </c>
      <c r="H282" s="513">
        <v>35000000</v>
      </c>
      <c r="I282" s="41" t="s">
        <v>232</v>
      </c>
      <c r="J282" s="276" t="str">
        <f>VLOOKUP($I282,'Price List, Weapons &amp; Items'!A:B,2,0)</f>
        <v>.</v>
      </c>
      <c r="K282" s="276" t="str">
        <f>IF(I282=".",I282,VLOOKUP($I282,'Price List, Weapons &amp; Items'!A:C,3,0))</f>
        <v>.</v>
      </c>
      <c r="L282" s="514">
        <f>VLOOKUP(I282,'Price List, Weapons &amp; Items'!A:D,4,0)</f>
        <v>0</v>
      </c>
      <c r="M282" s="515" t="s">
        <v>232</v>
      </c>
      <c r="N282" s="515" t="s">
        <v>232</v>
      </c>
      <c r="O282" s="516" t="str">
        <f>VLOOKUP($I282,'Price List, Weapons &amp; Items'!A:F,6,0)</f>
        <v>.</v>
      </c>
      <c r="P282" s="513" t="str">
        <f t="shared" si="59"/>
        <v>.</v>
      </c>
      <c r="Q282" s="513" t="str">
        <f t="shared" si="60"/>
        <v>.</v>
      </c>
      <c r="R282" s="513">
        <f t="shared" si="61"/>
        <v>35000000</v>
      </c>
      <c r="S282" s="513">
        <f>IF(AND(AD282=1,R282&lt;&gt;".")=TRUE,R282/VLOOKUP(G282,'Exchange rates'!B:C,2,0),IF(R282=".",".",""))</f>
        <v>35000000</v>
      </c>
      <c r="T282" s="513" t="str">
        <f>IF(AD282=1,IF(AF282="Value is not given at all",".",IF(AF282="Value is given by the source",S282,IF(AF282="Value is calculated with prices",(IF(SUMIFS(Q:Q,A:A,A282)&gt;0,SUMIFS(Q:Q,A:A,A282),"."))/VLOOKUP("USD",'Exchange rates'!B:C,2,0),"Error with coding"))),"")</f>
        <v>.</v>
      </c>
      <c r="U282" s="39" t="s">
        <v>233</v>
      </c>
      <c r="V282" s="42" t="s">
        <v>1010</v>
      </c>
      <c r="W282" s="42" t="s">
        <v>232</v>
      </c>
      <c r="X282" s="42" t="s">
        <v>232</v>
      </c>
      <c r="Y282" s="517" t="s">
        <v>232</v>
      </c>
      <c r="Z282" s="39">
        <v>0</v>
      </c>
      <c r="AA282" s="518">
        <v>0</v>
      </c>
      <c r="AB282" s="38" t="s">
        <v>232</v>
      </c>
      <c r="AC282" s="519" t="str">
        <f>""</f>
        <v/>
      </c>
      <c r="AD282" s="520">
        <v>1</v>
      </c>
      <c r="AE282" s="520" t="s">
        <v>236</v>
      </c>
      <c r="AF282" s="520" t="s">
        <v>237</v>
      </c>
      <c r="AG282" s="520">
        <v>1</v>
      </c>
      <c r="AH282" s="520">
        <v>9</v>
      </c>
      <c r="AI282" s="520">
        <v>0</v>
      </c>
      <c r="AJ282" s="520">
        <f>VLOOKUP($I282,'Price List, Weapons &amp; Items'!A:E,5,0)</f>
        <v>0</v>
      </c>
      <c r="AK282" s="520">
        <f t="shared" si="63"/>
        <v>0</v>
      </c>
      <c r="AL282" s="520">
        <f t="shared" si="64"/>
        <v>0</v>
      </c>
      <c r="AM282" s="520">
        <f t="shared" si="65"/>
        <v>0</v>
      </c>
      <c r="AN282" s="521" t="str">
        <f>VLOOKUP($I282,'Price List, Weapons &amp; Items'!A:K,COLUMN('Price List, Weapons &amp; Items'!$I$1),0)</f>
        <v>.</v>
      </c>
      <c r="AO282" s="521" t="str">
        <f>IF(I282=".",".",VLOOKUP($I282,'Price List, Weapons &amp; Items'!A:I,3,0))</f>
        <v>.</v>
      </c>
      <c r="AP282" s="517" t="str">
        <f t="shared" ca="1" si="70"/>
        <v>.</v>
      </c>
      <c r="AQ282" s="521" t="str">
        <f>VLOOKUP($I282,'Price List, Weapons &amp; Items'!A:K,COLUMN('Price List, Weapons &amp; Items'!$K$1),0)</f>
        <v>no price, 0 count</v>
      </c>
      <c r="AS282" s="521">
        <f t="shared" si="66"/>
        <v>1</v>
      </c>
      <c r="AT282" s="521">
        <f t="shared" si="67"/>
        <v>0</v>
      </c>
      <c r="AU282" s="521">
        <f t="shared" si="68"/>
        <v>1</v>
      </c>
      <c r="AV282" s="521" t="str">
        <f t="shared" si="69"/>
        <v>.</v>
      </c>
    </row>
    <row r="283" spans="1:48" ht="15" customHeight="1">
      <c r="A283" s="18" t="s">
        <v>1011</v>
      </c>
      <c r="B283" s="18" t="s">
        <v>1012</v>
      </c>
      <c r="C283" s="511">
        <v>44621</v>
      </c>
      <c r="D283" s="18" t="s">
        <v>228</v>
      </c>
      <c r="E283" s="18" t="s">
        <v>489</v>
      </c>
      <c r="F283" s="512" t="s">
        <v>1013</v>
      </c>
      <c r="G283" s="39" t="s">
        <v>332</v>
      </c>
      <c r="H283" s="513">
        <v>100000000</v>
      </c>
      <c r="I283" s="41" t="s">
        <v>1014</v>
      </c>
      <c r="J283" s="276" t="str">
        <f>VLOOKUP($I283,'Price List, Weapons &amp; Items'!A:B,2,0)</f>
        <v>Humanitarian</v>
      </c>
      <c r="K283" s="276" t="str">
        <f>IF(I283=".",I283,VLOOKUP($I283,'Price List, Weapons &amp; Items'!A:C,3,0))</f>
        <v>.</v>
      </c>
      <c r="L283" s="514">
        <f>VLOOKUP(I283,'Price List, Weapons &amp; Items'!A:D,4,0)</f>
        <v>0</v>
      </c>
      <c r="M283" s="515">
        <v>500</v>
      </c>
      <c r="N283" s="515" t="s">
        <v>232</v>
      </c>
      <c r="O283" s="516">
        <f>VLOOKUP($I283,'Price List, Weapons &amp; Items'!A:F,6,0)</f>
        <v>200</v>
      </c>
      <c r="P283" s="513">
        <f t="shared" si="59"/>
        <v>100000</v>
      </c>
      <c r="Q283" s="513" t="str">
        <f t="shared" si="60"/>
        <v>.</v>
      </c>
      <c r="R283" s="513">
        <f t="shared" si="61"/>
        <v>100000000</v>
      </c>
      <c r="S283" s="513">
        <f>IF(AND(AD283=1,R283&lt;&gt;".")=TRUE,R283/VLOOKUP(G283,'Exchange rates'!B:C,2,0),IF(R283=".",".",""))</f>
        <v>100000000</v>
      </c>
      <c r="T283" s="513" t="str">
        <f>IF(AD283=1,IF(AF283="Value is not given at all",".",IF(AF283="Value is given by the source",S283,IF(AF283="Value is calculated with prices",(IF(SUMIFS(Q:Q,A:A,A283)&gt;0,SUMIFS(Q:Q,A:A,A283),"."))/VLOOKUP("USD",'Exchange rates'!B:C,2,0),"Error with coding"))),"")</f>
        <v>.</v>
      </c>
      <c r="U283" s="39" t="s">
        <v>233</v>
      </c>
      <c r="V283" s="376" t="s">
        <v>1015</v>
      </c>
      <c r="W283" s="376" t="s">
        <v>1016</v>
      </c>
      <c r="X283" s="376" t="s">
        <v>1017</v>
      </c>
      <c r="Y283" s="530" t="s">
        <v>232</v>
      </c>
      <c r="Z283" s="39">
        <v>0</v>
      </c>
      <c r="AA283" s="518">
        <v>0</v>
      </c>
      <c r="AB283" s="38" t="s">
        <v>232</v>
      </c>
      <c r="AC283" s="519" t="str">
        <f>""</f>
        <v/>
      </c>
      <c r="AD283" s="520">
        <v>1</v>
      </c>
      <c r="AE283" s="520" t="s">
        <v>236</v>
      </c>
      <c r="AF283" s="520" t="s">
        <v>237</v>
      </c>
      <c r="AG283" s="520">
        <v>1</v>
      </c>
      <c r="AH283" s="520">
        <v>3</v>
      </c>
      <c r="AI283" s="520">
        <v>0</v>
      </c>
      <c r="AJ283" s="520">
        <f>VLOOKUP($I283,'Price List, Weapons &amp; Items'!A:E,5,0)</f>
        <v>0</v>
      </c>
      <c r="AK283" s="520">
        <f t="shared" si="63"/>
        <v>0</v>
      </c>
      <c r="AL283" s="520">
        <f t="shared" si="64"/>
        <v>0</v>
      </c>
      <c r="AM283" s="520">
        <f t="shared" si="65"/>
        <v>0</v>
      </c>
      <c r="AN283" s="521" t="str">
        <f>VLOOKUP($I283,'Price List, Weapons &amp; Items'!A:K,COLUMN('Price List, Weapons &amp; Items'!$I$1),0)</f>
        <v>Media reports (incl. social media)</v>
      </c>
      <c r="AO283" s="521" t="str">
        <f>IF(I283=".",".",VLOOKUP($I283,'Price List, Weapons &amp; Items'!A:I,3,0))</f>
        <v>.</v>
      </c>
      <c r="AP283" s="517" t="str">
        <f t="shared" ca="1" si="70"/>
        <v>family tent; blanket; hygiene kit; floor mat; sleeping bag; ton of medical equipment</v>
      </c>
      <c r="AQ283" s="521">
        <f>VLOOKUP($I283,'Price List, Weapons &amp; Items'!A:K,COLUMN('Price List, Weapons &amp; Items'!$K$1),0)</f>
        <v>0</v>
      </c>
      <c r="AS283" s="521">
        <f t="shared" si="66"/>
        <v>1</v>
      </c>
      <c r="AT283" s="521">
        <f t="shared" si="67"/>
        <v>0</v>
      </c>
      <c r="AU283" s="521">
        <f t="shared" si="68"/>
        <v>1</v>
      </c>
      <c r="AV283" s="521" t="str">
        <f t="shared" si="69"/>
        <v>.</v>
      </c>
    </row>
    <row r="284" spans="1:48" ht="15" customHeight="1">
      <c r="A284" s="18" t="s">
        <v>1011</v>
      </c>
      <c r="B284" s="18" t="s">
        <v>1012</v>
      </c>
      <c r="C284" s="511">
        <v>44621</v>
      </c>
      <c r="D284" s="18" t="s">
        <v>228</v>
      </c>
      <c r="E284" s="18" t="s">
        <v>489</v>
      </c>
      <c r="F284" s="512" t="s">
        <v>1013</v>
      </c>
      <c r="G284" s="39" t="s">
        <v>332</v>
      </c>
      <c r="H284" s="513">
        <v>100000000</v>
      </c>
      <c r="I284" s="41" t="s">
        <v>1018</v>
      </c>
      <c r="J284" s="276" t="str">
        <f>VLOOKUP($I284,'Price List, Weapons &amp; Items'!A:B,2,0)</f>
        <v>Humanitarian</v>
      </c>
      <c r="K284" s="276" t="str">
        <f>IF(I284=".",I284,VLOOKUP($I284,'Price List, Weapons &amp; Items'!A:C,3,0))</f>
        <v>.</v>
      </c>
      <c r="L284" s="514">
        <f>VLOOKUP(I284,'Price List, Weapons &amp; Items'!A:D,4,0)</f>
        <v>0</v>
      </c>
      <c r="M284" s="515">
        <v>2300</v>
      </c>
      <c r="N284" s="515" t="s">
        <v>232</v>
      </c>
      <c r="O284" s="516">
        <f>VLOOKUP($I284,'Price List, Weapons &amp; Items'!A:F,6,0)</f>
        <v>43</v>
      </c>
      <c r="P284" s="513">
        <f t="shared" si="59"/>
        <v>98900</v>
      </c>
      <c r="Q284" s="513" t="str">
        <f t="shared" si="60"/>
        <v>.</v>
      </c>
      <c r="R284" s="513" t="str">
        <f t="shared" si="61"/>
        <v/>
      </c>
      <c r="S284" s="513" t="str">
        <f>IF(AND(AD284=1,R284&lt;&gt;".")=TRUE,R284/VLOOKUP(G284,'Exchange rates'!B:C,2,0),IF(R284=".",".",""))</f>
        <v/>
      </c>
      <c r="T284" s="513" t="str">
        <f>IF(AD284=1,IF(AF284="Value is not given at all",".",IF(AF284="Value is given by the source",S284,IF(AF284="Value is calculated with prices",(IF(SUMIFS(Q:Q,A:A,A284)&gt;0,SUMIFS(Q:Q,A:A,A284),"."))/VLOOKUP("USD",'Exchange rates'!B:C,2,0),"Error with coding"))),"")</f>
        <v/>
      </c>
      <c r="U284" s="39" t="s">
        <v>233</v>
      </c>
      <c r="V284" s="376" t="s">
        <v>1015</v>
      </c>
      <c r="W284" s="376" t="s">
        <v>1016</v>
      </c>
      <c r="X284" s="376" t="s">
        <v>1017</v>
      </c>
      <c r="Y284" s="530" t="s">
        <v>232</v>
      </c>
      <c r="Z284" s="39">
        <v>0</v>
      </c>
      <c r="AA284" s="518">
        <v>0</v>
      </c>
      <c r="AB284" s="38" t="s">
        <v>232</v>
      </c>
      <c r="AC284" s="519" t="str">
        <f>""</f>
        <v/>
      </c>
      <c r="AD284" s="520">
        <v>0</v>
      </c>
      <c r="AE284" s="520" t="s">
        <v>236</v>
      </c>
      <c r="AF284" s="520" t="s">
        <v>237</v>
      </c>
      <c r="AG284" s="520">
        <v>1</v>
      </c>
      <c r="AH284" s="520">
        <v>3</v>
      </c>
      <c r="AI284" s="520">
        <v>0</v>
      </c>
      <c r="AJ284" s="520">
        <f>VLOOKUP($I284,'Price List, Weapons &amp; Items'!A:E,5,0)</f>
        <v>0</v>
      </c>
      <c r="AK284" s="520">
        <f t="shared" si="63"/>
        <v>0</v>
      </c>
      <c r="AL284" s="520">
        <f t="shared" si="64"/>
        <v>0</v>
      </c>
      <c r="AM284" s="520">
        <f t="shared" si="65"/>
        <v>0</v>
      </c>
      <c r="AN284" s="521" t="str">
        <f>VLOOKUP($I284,'Price List, Weapons &amp; Items'!A:K,COLUMN('Price List, Weapons &amp; Items'!$I$1),0)</f>
        <v>Media reports (incl. social media)</v>
      </c>
      <c r="AO284" s="521" t="str">
        <f>IF(I284=".",".",VLOOKUP($I284,'Price List, Weapons &amp; Items'!A:I,3,0))</f>
        <v>.</v>
      </c>
      <c r="AP284" s="517" t="str">
        <f t="shared" ca="1" si="70"/>
        <v/>
      </c>
      <c r="AQ284" s="521">
        <f>VLOOKUP($I284,'Price List, Weapons &amp; Items'!A:K,COLUMN('Price List, Weapons &amp; Items'!$K$1),0)</f>
        <v>0</v>
      </c>
      <c r="AS284" s="521">
        <f t="shared" si="66"/>
        <v>1</v>
      </c>
      <c r="AT284" s="521">
        <f t="shared" si="67"/>
        <v>0</v>
      </c>
      <c r="AU284" s="521">
        <f t="shared" si="68"/>
        <v>1</v>
      </c>
      <c r="AV284" s="521" t="str">
        <f t="shared" si="69"/>
        <v>.</v>
      </c>
    </row>
    <row r="285" spans="1:48" ht="15" customHeight="1">
      <c r="A285" s="18" t="s">
        <v>1011</v>
      </c>
      <c r="B285" s="18" t="s">
        <v>1012</v>
      </c>
      <c r="C285" s="511">
        <v>44621</v>
      </c>
      <c r="D285" s="18" t="s">
        <v>228</v>
      </c>
      <c r="E285" s="18" t="s">
        <v>489</v>
      </c>
      <c r="F285" s="512" t="s">
        <v>1013</v>
      </c>
      <c r="G285" s="39" t="s">
        <v>332</v>
      </c>
      <c r="H285" s="513">
        <v>100000000</v>
      </c>
      <c r="I285" s="41" t="s">
        <v>807</v>
      </c>
      <c r="J285" s="276" t="str">
        <f>VLOOKUP($I285,'Price List, Weapons &amp; Items'!A:B,2,0)</f>
        <v>Military equipment</v>
      </c>
      <c r="K285" s="276" t="str">
        <f>IF(I285=".",I285,VLOOKUP($I285,'Price List, Weapons &amp; Items'!A:C,3,0))</f>
        <v>.</v>
      </c>
      <c r="L285" s="514">
        <f>VLOOKUP(I285,'Price List, Weapons &amp; Items'!A:D,4,0)</f>
        <v>0</v>
      </c>
      <c r="M285" s="515">
        <v>1000</v>
      </c>
      <c r="N285" s="515" t="s">
        <v>232</v>
      </c>
      <c r="O285" s="516">
        <f>VLOOKUP($I285,'Price List, Weapons &amp; Items'!A:F,6,0)</f>
        <v>2.5</v>
      </c>
      <c r="P285" s="513">
        <f t="shared" ref="P285:P345" si="71">IF(TYPE(M285)=1,IF(TYPE(O285)=1,M285*O285,"No price"),".")</f>
        <v>2500</v>
      </c>
      <c r="Q285" s="513" t="str">
        <f t="shared" ref="Q285:Q345" si="72">IF(TYPE(N285)=1,IF(TYPE(O285)=1,N285*O285,"No price"),".")</f>
        <v>.</v>
      </c>
      <c r="R285" s="513" t="str">
        <f t="shared" si="61"/>
        <v/>
      </c>
      <c r="S285" s="513" t="str">
        <f>IF(AND(AD285=1,R285&lt;&gt;".")=TRUE,R285/VLOOKUP(G285,'Exchange rates'!B:C,2,0),IF(R285=".",".",""))</f>
        <v/>
      </c>
      <c r="T285" s="513" t="str">
        <f>IF(AD285=1,IF(AF285="Value is not given at all",".",IF(AF285="Value is given by the source",S285,IF(AF285="Value is calculated with prices",(IF(SUMIFS(Q:Q,A:A,A285)&gt;0,SUMIFS(Q:Q,A:A,A285),"."))/VLOOKUP("USD",'Exchange rates'!B:C,2,0),"Error with coding"))),"")</f>
        <v/>
      </c>
      <c r="U285" s="39" t="s">
        <v>233</v>
      </c>
      <c r="V285" s="376" t="s">
        <v>1015</v>
      </c>
      <c r="W285" s="376" t="s">
        <v>1016</v>
      </c>
      <c r="X285" s="376" t="s">
        <v>1017</v>
      </c>
      <c r="Y285" s="530" t="s">
        <v>232</v>
      </c>
      <c r="Z285" s="39">
        <v>0</v>
      </c>
      <c r="AA285" s="518">
        <v>0</v>
      </c>
      <c r="AB285" s="38" t="s">
        <v>232</v>
      </c>
      <c r="AC285" s="519" t="str">
        <f>""</f>
        <v/>
      </c>
      <c r="AD285" s="520">
        <v>0</v>
      </c>
      <c r="AE285" s="520" t="s">
        <v>236</v>
      </c>
      <c r="AF285" s="520" t="s">
        <v>237</v>
      </c>
      <c r="AG285" s="520">
        <v>1</v>
      </c>
      <c r="AH285" s="520">
        <v>3</v>
      </c>
      <c r="AI285" s="520">
        <v>0</v>
      </c>
      <c r="AJ285" s="520">
        <f>VLOOKUP($I285,'Price List, Weapons &amp; Items'!A:E,5,0)</f>
        <v>0</v>
      </c>
      <c r="AK285" s="520">
        <f t="shared" si="63"/>
        <v>0</v>
      </c>
      <c r="AL285" s="520">
        <f t="shared" si="64"/>
        <v>0</v>
      </c>
      <c r="AM285" s="520">
        <f t="shared" si="65"/>
        <v>0</v>
      </c>
      <c r="AN285" s="521" t="str">
        <f>VLOOKUP($I285,'Price List, Weapons &amp; Items'!A:K,COLUMN('Price List, Weapons &amp; Items'!$I$1),0)</f>
        <v>Online marketplaces and stores</v>
      </c>
      <c r="AO285" s="521" t="str">
        <f>IF(I285=".",".",VLOOKUP($I285,'Price List, Weapons &amp; Items'!A:I,3,0))</f>
        <v>.</v>
      </c>
      <c r="AP285" s="517" t="str">
        <f t="shared" ca="1" si="70"/>
        <v/>
      </c>
      <c r="AQ285" s="521">
        <f>VLOOKUP($I285,'Price List, Weapons &amp; Items'!A:K,COLUMN('Price List, Weapons &amp; Items'!$K$1),0)</f>
        <v>1</v>
      </c>
      <c r="AS285" s="521">
        <f t="shared" si="66"/>
        <v>1</v>
      </c>
      <c r="AT285" s="521">
        <f t="shared" si="67"/>
        <v>0</v>
      </c>
      <c r="AU285" s="521">
        <f t="shared" si="68"/>
        <v>1</v>
      </c>
      <c r="AV285" s="521" t="str">
        <f t="shared" si="69"/>
        <v>.</v>
      </c>
    </row>
    <row r="286" spans="1:48" ht="15" customHeight="1">
      <c r="A286" s="18" t="s">
        <v>1011</v>
      </c>
      <c r="B286" s="18" t="s">
        <v>1012</v>
      </c>
      <c r="C286" s="511">
        <v>44621</v>
      </c>
      <c r="D286" s="18" t="s">
        <v>228</v>
      </c>
      <c r="E286" s="18" t="s">
        <v>489</v>
      </c>
      <c r="F286" s="512" t="s">
        <v>1013</v>
      </c>
      <c r="G286" s="39" t="s">
        <v>332</v>
      </c>
      <c r="H286" s="513">
        <v>100000000</v>
      </c>
      <c r="I286" s="41" t="s">
        <v>1019</v>
      </c>
      <c r="J286" s="276" t="str">
        <f>VLOOKUP($I286,'Price List, Weapons &amp; Items'!A:B,2,0)</f>
        <v>Humanitarian</v>
      </c>
      <c r="K286" s="276" t="str">
        <f>IF(I286=".",I286,VLOOKUP($I286,'Price List, Weapons &amp; Items'!A:C,3,0))</f>
        <v>.</v>
      </c>
      <c r="L286" s="514">
        <f>VLOOKUP(I286,'Price List, Weapons &amp; Items'!A:D,4,0)</f>
        <v>0</v>
      </c>
      <c r="M286" s="515">
        <v>2000</v>
      </c>
      <c r="N286" s="515" t="s">
        <v>232</v>
      </c>
      <c r="O286" s="516">
        <f>VLOOKUP($I286,'Price List, Weapons &amp; Items'!A:F,6,0)</f>
        <v>183</v>
      </c>
      <c r="P286" s="513">
        <f t="shared" si="71"/>
        <v>366000</v>
      </c>
      <c r="Q286" s="513" t="str">
        <f t="shared" si="72"/>
        <v>.</v>
      </c>
      <c r="R286" s="513" t="str">
        <f t="shared" si="61"/>
        <v/>
      </c>
      <c r="S286" s="513" t="str">
        <f>IF(AND(AD286=1,R286&lt;&gt;".")=TRUE,R286/VLOOKUP(G286,'Exchange rates'!B:C,2,0),IF(R286=".",".",""))</f>
        <v/>
      </c>
      <c r="T286" s="513" t="str">
        <f>IF(AD286=1,IF(AF286="Value is not given at all",".",IF(AF286="Value is given by the source",S286,IF(AF286="Value is calculated with prices",(IF(SUMIFS(Q:Q,A:A,A286)&gt;0,SUMIFS(Q:Q,A:A,A286),"."))/VLOOKUP("USD",'Exchange rates'!B:C,2,0),"Error with coding"))),"")</f>
        <v/>
      </c>
      <c r="U286" s="39" t="s">
        <v>233</v>
      </c>
      <c r="V286" s="376" t="s">
        <v>1015</v>
      </c>
      <c r="W286" s="376" t="s">
        <v>1016</v>
      </c>
      <c r="X286" s="376" t="s">
        <v>1017</v>
      </c>
      <c r="Y286" s="530" t="s">
        <v>232</v>
      </c>
      <c r="Z286" s="39">
        <v>0</v>
      </c>
      <c r="AA286" s="518">
        <v>0</v>
      </c>
      <c r="AB286" s="38" t="s">
        <v>232</v>
      </c>
      <c r="AC286" s="519" t="str">
        <f>""</f>
        <v/>
      </c>
      <c r="AD286" s="520">
        <v>0</v>
      </c>
      <c r="AE286" s="520" t="s">
        <v>236</v>
      </c>
      <c r="AF286" s="520" t="s">
        <v>237</v>
      </c>
      <c r="AG286" s="520">
        <v>1</v>
      </c>
      <c r="AH286" s="520">
        <v>3</v>
      </c>
      <c r="AI286" s="520">
        <v>0</v>
      </c>
      <c r="AJ286" s="520">
        <f>VLOOKUP($I286,'Price List, Weapons &amp; Items'!A:E,5,0)</f>
        <v>0</v>
      </c>
      <c r="AK286" s="520">
        <f t="shared" si="63"/>
        <v>0</v>
      </c>
      <c r="AL286" s="520">
        <f t="shared" si="64"/>
        <v>0</v>
      </c>
      <c r="AM286" s="520">
        <f t="shared" si="65"/>
        <v>0</v>
      </c>
      <c r="AN286" s="521" t="str">
        <f>VLOOKUP($I286,'Price List, Weapons &amp; Items'!A:K,COLUMN('Price List, Weapons &amp; Items'!$I$1),0)</f>
        <v>Miscellaneous</v>
      </c>
      <c r="AO286" s="521" t="str">
        <f>IF(I286=".",".",VLOOKUP($I286,'Price List, Weapons &amp; Items'!A:I,3,0))</f>
        <v>.</v>
      </c>
      <c r="AP286" s="517" t="str">
        <f t="shared" ca="1" si="70"/>
        <v/>
      </c>
      <c r="AQ286" s="521">
        <f>VLOOKUP($I286,'Price List, Weapons &amp; Items'!A:K,COLUMN('Price List, Weapons &amp; Items'!$K$1),0)</f>
        <v>0</v>
      </c>
      <c r="AS286" s="521">
        <f t="shared" si="66"/>
        <v>1</v>
      </c>
      <c r="AT286" s="521">
        <f t="shared" si="67"/>
        <v>0</v>
      </c>
      <c r="AU286" s="521">
        <f t="shared" si="68"/>
        <v>1</v>
      </c>
      <c r="AV286" s="521" t="str">
        <f t="shared" si="69"/>
        <v>.</v>
      </c>
    </row>
    <row r="287" spans="1:48" ht="15" customHeight="1">
      <c r="A287" s="18" t="s">
        <v>1011</v>
      </c>
      <c r="B287" s="18" t="s">
        <v>1012</v>
      </c>
      <c r="C287" s="511">
        <v>44621</v>
      </c>
      <c r="D287" s="18" t="s">
        <v>228</v>
      </c>
      <c r="E287" s="18" t="s">
        <v>489</v>
      </c>
      <c r="F287" s="512" t="s">
        <v>1013</v>
      </c>
      <c r="G287" s="39" t="s">
        <v>332</v>
      </c>
      <c r="H287" s="513">
        <v>100000000</v>
      </c>
      <c r="I287" s="41" t="s">
        <v>322</v>
      </c>
      <c r="J287" s="276" t="str">
        <f>VLOOKUP($I287,'Price List, Weapons &amp; Items'!A:B,2,0)</f>
        <v>Humanitarian</v>
      </c>
      <c r="K287" s="276" t="str">
        <f>IF(I287=".",I287,VLOOKUP($I287,'Price List, Weapons &amp; Items'!A:C,3,0))</f>
        <v>.</v>
      </c>
      <c r="L287" s="514">
        <f>VLOOKUP(I287,'Price List, Weapons &amp; Items'!A:D,4,0)</f>
        <v>0</v>
      </c>
      <c r="M287" s="515">
        <v>300</v>
      </c>
      <c r="N287" s="515" t="s">
        <v>232</v>
      </c>
      <c r="O287" s="516">
        <f>VLOOKUP($I287,'Price List, Weapons &amp; Items'!A:F,6,0)</f>
        <v>150</v>
      </c>
      <c r="P287" s="513">
        <f t="shared" si="71"/>
        <v>45000</v>
      </c>
      <c r="Q287" s="513" t="str">
        <f t="shared" si="72"/>
        <v>.</v>
      </c>
      <c r="R287" s="513" t="str">
        <f t="shared" si="61"/>
        <v/>
      </c>
      <c r="S287" s="513" t="str">
        <f>IF(AND(AD287=1,R287&lt;&gt;".")=TRUE,R287/VLOOKUP(G287,'Exchange rates'!B:C,2,0),IF(R287=".",".",""))</f>
        <v/>
      </c>
      <c r="T287" s="513" t="str">
        <f>IF(AD287=1,IF(AF287="Value is not given at all",".",IF(AF287="Value is given by the source",S287,IF(AF287="Value is calculated with prices",(IF(SUMIFS(Q:Q,A:A,A287)&gt;0,SUMIFS(Q:Q,A:A,A287),"."))/VLOOKUP("USD",'Exchange rates'!B:C,2,0),"Error with coding"))),"")</f>
        <v/>
      </c>
      <c r="U287" s="39" t="s">
        <v>233</v>
      </c>
      <c r="V287" s="376" t="s">
        <v>1015</v>
      </c>
      <c r="W287" s="376" t="s">
        <v>1016</v>
      </c>
      <c r="X287" s="376" t="s">
        <v>1017</v>
      </c>
      <c r="Y287" s="530" t="s">
        <v>232</v>
      </c>
      <c r="Z287" s="39">
        <v>0</v>
      </c>
      <c r="AA287" s="518">
        <v>0</v>
      </c>
      <c r="AB287" s="38" t="s">
        <v>232</v>
      </c>
      <c r="AC287" s="519" t="str">
        <f>""</f>
        <v/>
      </c>
      <c r="AD287" s="520">
        <v>0</v>
      </c>
      <c r="AE287" s="520" t="s">
        <v>236</v>
      </c>
      <c r="AF287" s="520" t="s">
        <v>237</v>
      </c>
      <c r="AG287" s="520">
        <v>1</v>
      </c>
      <c r="AH287" s="520">
        <v>3</v>
      </c>
      <c r="AI287" s="520">
        <v>0</v>
      </c>
      <c r="AJ287" s="520">
        <f>VLOOKUP($I287,'Price List, Weapons &amp; Items'!A:E,5,0)</f>
        <v>0</v>
      </c>
      <c r="AK287" s="520">
        <f t="shared" si="63"/>
        <v>0</v>
      </c>
      <c r="AL287" s="520">
        <f t="shared" si="64"/>
        <v>0</v>
      </c>
      <c r="AM287" s="520">
        <f t="shared" si="65"/>
        <v>0</v>
      </c>
      <c r="AN287" s="521" t="str">
        <f>VLOOKUP($I287,'Price List, Weapons &amp; Items'!A:K,COLUMN('Price List, Weapons &amp; Items'!$I$1),0)</f>
        <v>Miscellaneous</v>
      </c>
      <c r="AO287" s="521" t="str">
        <f>IF(I287=".",".",VLOOKUP($I287,'Price List, Weapons &amp; Items'!A:I,3,0))</f>
        <v>.</v>
      </c>
      <c r="AP287" s="517" t="str">
        <f t="shared" ca="1" si="70"/>
        <v/>
      </c>
      <c r="AQ287" s="521">
        <f>VLOOKUP($I287,'Price List, Weapons &amp; Items'!A:K,COLUMN('Price List, Weapons &amp; Items'!$K$1),0)</f>
        <v>0</v>
      </c>
      <c r="AS287" s="521">
        <f t="shared" si="66"/>
        <v>1</v>
      </c>
      <c r="AT287" s="521">
        <f t="shared" si="67"/>
        <v>0</v>
      </c>
      <c r="AU287" s="521">
        <f t="shared" si="68"/>
        <v>1</v>
      </c>
      <c r="AV287" s="521" t="str">
        <f t="shared" si="69"/>
        <v>.</v>
      </c>
    </row>
    <row r="288" spans="1:48" ht="15" customHeight="1">
      <c r="A288" s="18" t="s">
        <v>1011</v>
      </c>
      <c r="B288" s="18" t="s">
        <v>1012</v>
      </c>
      <c r="C288" s="511">
        <v>44621</v>
      </c>
      <c r="D288" s="18" t="s">
        <v>228</v>
      </c>
      <c r="E288" s="18" t="s">
        <v>489</v>
      </c>
      <c r="F288" s="512" t="s">
        <v>1013</v>
      </c>
      <c r="G288" s="39" t="s">
        <v>332</v>
      </c>
      <c r="H288" s="513">
        <v>100000000</v>
      </c>
      <c r="I288" s="41" t="s">
        <v>623</v>
      </c>
      <c r="J288" s="276" t="str">
        <f>VLOOKUP($I288,'Price List, Weapons &amp; Items'!A:B,2,0)</f>
        <v>Humanitarian</v>
      </c>
      <c r="K288" s="276" t="str">
        <f>IF(I288=".",I288,VLOOKUP($I288,'Price List, Weapons &amp; Items'!A:C,3,0))</f>
        <v>.</v>
      </c>
      <c r="L288" s="514">
        <f>VLOOKUP(I288,'Price List, Weapons &amp; Items'!A:D,4,0)</f>
        <v>0</v>
      </c>
      <c r="M288" s="515">
        <v>8</v>
      </c>
      <c r="N288" s="515" t="s">
        <v>232</v>
      </c>
      <c r="O288" s="516">
        <f>VLOOKUP($I288,'Price List, Weapons &amp; Items'!A:F,6,0)</f>
        <v>10000</v>
      </c>
      <c r="P288" s="513">
        <f t="shared" si="71"/>
        <v>80000</v>
      </c>
      <c r="Q288" s="513" t="str">
        <f t="shared" si="72"/>
        <v>.</v>
      </c>
      <c r="R288" s="513" t="str">
        <f t="shared" si="61"/>
        <v/>
      </c>
      <c r="S288" s="513" t="str">
        <f>IF(AND(AD288=1,R288&lt;&gt;".")=TRUE,R288/VLOOKUP(G288,'Exchange rates'!B:C,2,0),IF(R288=".",".",""))</f>
        <v/>
      </c>
      <c r="T288" s="513" t="str">
        <f>IF(AD288=1,IF(AF288="Value is not given at all",".",IF(AF288="Value is given by the source",S288,IF(AF288="Value is calculated with prices",(IF(SUMIFS(Q:Q,A:A,A288)&gt;0,SUMIFS(Q:Q,A:A,A288),"."))/VLOOKUP("USD",'Exchange rates'!B:C,2,0),"Error with coding"))),"")</f>
        <v/>
      </c>
      <c r="U288" s="39" t="s">
        <v>233</v>
      </c>
      <c r="V288" s="376" t="s">
        <v>1015</v>
      </c>
      <c r="W288" s="376" t="s">
        <v>1016</v>
      </c>
      <c r="X288" s="376" t="s">
        <v>1017</v>
      </c>
      <c r="Y288" s="530" t="s">
        <v>232</v>
      </c>
      <c r="Z288" s="39">
        <v>0</v>
      </c>
      <c r="AA288" s="518">
        <v>0</v>
      </c>
      <c r="AB288" s="38" t="s">
        <v>232</v>
      </c>
      <c r="AC288" s="519" t="str">
        <f>""</f>
        <v/>
      </c>
      <c r="AD288" s="520">
        <v>0</v>
      </c>
      <c r="AE288" s="520" t="s">
        <v>236</v>
      </c>
      <c r="AF288" s="520" t="s">
        <v>237</v>
      </c>
      <c r="AG288" s="520">
        <v>1</v>
      </c>
      <c r="AH288" s="520">
        <v>3</v>
      </c>
      <c r="AI288" s="520">
        <v>0</v>
      </c>
      <c r="AJ288" s="520">
        <f>VLOOKUP($I288,'Price List, Weapons &amp; Items'!A:E,5,0)</f>
        <v>0</v>
      </c>
      <c r="AK288" s="520">
        <f t="shared" si="63"/>
        <v>0</v>
      </c>
      <c r="AL288" s="520">
        <f t="shared" si="64"/>
        <v>0</v>
      </c>
      <c r="AM288" s="520">
        <f t="shared" si="65"/>
        <v>0</v>
      </c>
      <c r="AN288" s="521" t="str">
        <f>VLOOKUP($I288,'Price List, Weapons &amp; Items'!A:K,COLUMN('Price List, Weapons &amp; Items'!$I$1),0)</f>
        <v>Miscellaneous</v>
      </c>
      <c r="AO288" s="521" t="str">
        <f>IF(I288=".",".",VLOOKUP($I288,'Price List, Weapons &amp; Items'!A:I,3,0))</f>
        <v>.</v>
      </c>
      <c r="AP288" s="517" t="str">
        <f t="shared" ca="1" si="70"/>
        <v/>
      </c>
      <c r="AQ288" s="521">
        <f>VLOOKUP($I288,'Price List, Weapons &amp; Items'!A:K,COLUMN('Price List, Weapons &amp; Items'!$K$1),0)</f>
        <v>0</v>
      </c>
      <c r="AS288" s="521">
        <f t="shared" si="66"/>
        <v>1</v>
      </c>
      <c r="AT288" s="521">
        <f t="shared" si="67"/>
        <v>0</v>
      </c>
      <c r="AU288" s="521">
        <f t="shared" si="68"/>
        <v>1</v>
      </c>
      <c r="AV288" s="521" t="str">
        <f t="shared" si="69"/>
        <v>.</v>
      </c>
    </row>
    <row r="289" spans="1:48" ht="15" customHeight="1">
      <c r="A289" s="41" t="s">
        <v>1020</v>
      </c>
      <c r="B289" s="41" t="s">
        <v>1012</v>
      </c>
      <c r="C289" s="511" t="s">
        <v>682</v>
      </c>
      <c r="D289" s="18" t="s">
        <v>228</v>
      </c>
      <c r="E289" s="18" t="s">
        <v>489</v>
      </c>
      <c r="F289" s="512" t="s">
        <v>1021</v>
      </c>
      <c r="G289" s="39" t="s">
        <v>332</v>
      </c>
      <c r="H289" s="513">
        <v>1600000</v>
      </c>
      <c r="I289" s="41" t="s">
        <v>232</v>
      </c>
      <c r="J289" s="276" t="str">
        <f>VLOOKUP($I289,'Price List, Weapons &amp; Items'!A:B,2,0)</f>
        <v>.</v>
      </c>
      <c r="K289" s="276" t="str">
        <f>IF(I289=".",I289,VLOOKUP($I289,'Price List, Weapons &amp; Items'!A:C,3,0))</f>
        <v>.</v>
      </c>
      <c r="L289" s="514">
        <f>VLOOKUP(I289,'Price List, Weapons &amp; Items'!A:D,4,0)</f>
        <v>0</v>
      </c>
      <c r="M289" s="515" t="s">
        <v>232</v>
      </c>
      <c r="N289" s="515" t="s">
        <v>232</v>
      </c>
      <c r="O289" s="516" t="str">
        <f>VLOOKUP($I289,'Price List, Weapons &amp; Items'!A:F,6,0)</f>
        <v>.</v>
      </c>
      <c r="P289" s="513" t="str">
        <f t="shared" si="71"/>
        <v>.</v>
      </c>
      <c r="Q289" s="513" t="str">
        <f t="shared" si="72"/>
        <v>.</v>
      </c>
      <c r="R289" s="513">
        <f t="shared" si="61"/>
        <v>1600000</v>
      </c>
      <c r="S289" s="513">
        <f>IF(AND(AD289=1,R289&lt;&gt;".")=TRUE,R289/VLOOKUP(G289,'Exchange rates'!B:C,2,0),IF(R289=".",".",""))</f>
        <v>1600000</v>
      </c>
      <c r="T289" s="513" t="str">
        <f>IF(AD289=1,IF(AF289="Value is not given at all",".",IF(AF289="Value is given by the source",S289,IF(AF289="Value is calculated with prices",(IF(SUMIFS(Q:Q,A:A,A289)&gt;0,SUMIFS(Q:Q,A:A,A289),"."))/VLOOKUP("USD",'Exchange rates'!B:C,2,0),"Error with coding"))),"")</f>
        <v>.</v>
      </c>
      <c r="U289" s="39" t="s">
        <v>233</v>
      </c>
      <c r="V289" s="42" t="s">
        <v>1022</v>
      </c>
      <c r="W289" s="517" t="s">
        <v>232</v>
      </c>
      <c r="X289" s="517" t="s">
        <v>232</v>
      </c>
      <c r="Y289" s="517" t="s">
        <v>232</v>
      </c>
      <c r="Z289" s="39">
        <v>0</v>
      </c>
      <c r="AA289" s="518">
        <v>0</v>
      </c>
      <c r="AB289" s="38" t="s">
        <v>232</v>
      </c>
      <c r="AC289" s="519" t="str">
        <f>""</f>
        <v/>
      </c>
      <c r="AD289" s="520">
        <v>1</v>
      </c>
      <c r="AE289" s="520" t="s">
        <v>236</v>
      </c>
      <c r="AF289" s="520" t="s">
        <v>237</v>
      </c>
      <c r="AG289" s="520">
        <v>1</v>
      </c>
      <c r="AH289" s="520">
        <v>3</v>
      </c>
      <c r="AI289" s="520">
        <v>0</v>
      </c>
      <c r="AJ289" s="520">
        <f>VLOOKUP($I289,'Price List, Weapons &amp; Items'!A:E,5,0)</f>
        <v>0</v>
      </c>
      <c r="AK289" s="520">
        <f t="shared" si="63"/>
        <v>0</v>
      </c>
      <c r="AL289" s="520">
        <f t="shared" si="64"/>
        <v>0</v>
      </c>
      <c r="AM289" s="520">
        <f t="shared" si="65"/>
        <v>0</v>
      </c>
      <c r="AN289" s="521" t="str">
        <f>VLOOKUP($I289,'Price List, Weapons &amp; Items'!A:K,COLUMN('Price List, Weapons &amp; Items'!$I$1),0)</f>
        <v>.</v>
      </c>
      <c r="AO289" s="521" t="str">
        <f>IF(I289=".",".",VLOOKUP($I289,'Price List, Weapons &amp; Items'!A:I,3,0))</f>
        <v>.</v>
      </c>
      <c r="AP289" s="517" t="str">
        <f t="shared" ca="1" si="70"/>
        <v>.</v>
      </c>
      <c r="AQ289" s="521" t="str">
        <f>VLOOKUP($I289,'Price List, Weapons &amp; Items'!A:K,COLUMN('Price List, Weapons &amp; Items'!$K$1),0)</f>
        <v>no price, 0 count</v>
      </c>
      <c r="AS289" s="521">
        <f t="shared" si="66"/>
        <v>1</v>
      </c>
      <c r="AT289" s="521">
        <f t="shared" si="67"/>
        <v>0</v>
      </c>
      <c r="AU289" s="521" t="str">
        <f t="shared" si="68"/>
        <v>Value is not in date format</v>
      </c>
      <c r="AV289" s="521" t="str">
        <f t="shared" si="69"/>
        <v>.</v>
      </c>
    </row>
    <row r="290" spans="1:48" ht="15" customHeight="1">
      <c r="A290" s="18" t="s">
        <v>1023</v>
      </c>
      <c r="B290" s="18" t="s">
        <v>1012</v>
      </c>
      <c r="C290" s="511">
        <v>44645</v>
      </c>
      <c r="D290" s="18" t="s">
        <v>228</v>
      </c>
      <c r="E290" s="18" t="s">
        <v>239</v>
      </c>
      <c r="F290" s="512" t="s">
        <v>1024</v>
      </c>
      <c r="G290" s="39" t="s">
        <v>314</v>
      </c>
      <c r="H290" s="513" t="s">
        <v>309</v>
      </c>
      <c r="I290" s="41" t="s">
        <v>326</v>
      </c>
      <c r="J290" s="276" t="str">
        <f>VLOOKUP($I290,'Price List, Weapons &amp; Items'!A:B,2,0)</f>
        <v>Humanitarian</v>
      </c>
      <c r="K290" s="276" t="str">
        <f>IF(I290=".",I290,VLOOKUP($I290,'Price List, Weapons &amp; Items'!A:C,3,0))</f>
        <v>.</v>
      </c>
      <c r="L290" s="514">
        <f>VLOOKUP(I290,'Price List, Weapons &amp; Items'!A:D,4,0)</f>
        <v>0</v>
      </c>
      <c r="M290" s="515">
        <v>21</v>
      </c>
      <c r="N290" s="515" t="s">
        <v>232</v>
      </c>
      <c r="O290" s="516">
        <f>VLOOKUP($I290,'Price List, Weapons &amp; Items'!A:F,6,0)</f>
        <v>317500</v>
      </c>
      <c r="P290" s="513">
        <f t="shared" si="71"/>
        <v>6667500</v>
      </c>
      <c r="Q290" s="513" t="str">
        <f t="shared" si="72"/>
        <v>.</v>
      </c>
      <c r="R290" s="513">
        <f t="shared" si="61"/>
        <v>17957500</v>
      </c>
      <c r="S290" s="513">
        <f>IF(AND(AD290=1,R290&lt;&gt;".")=TRUE,R290/VLOOKUP(G290,'Exchange rates'!B:C,2,0),IF(R290=".",".",""))</f>
        <v>17894867.962132536</v>
      </c>
      <c r="T290" s="513" t="str">
        <f>IF(AD290=1,IF(AF290="Value is not given at all",".",IF(AF290="Value is given by the source",S290,IF(AF290="Value is calculated with prices",(IF(SUMIFS(Q:Q,A:A,A290)&gt;0,SUMIFS(Q:Q,A:A,A290),"."))/VLOOKUP("USD",'Exchange rates'!B:C,2,0),"Error with coding"))),"")</f>
        <v>.</v>
      </c>
      <c r="U290" s="39" t="s">
        <v>233</v>
      </c>
      <c r="V290" s="376" t="s">
        <v>1025</v>
      </c>
      <c r="W290" s="376" t="s">
        <v>1026</v>
      </c>
      <c r="X290" s="530" t="s">
        <v>232</v>
      </c>
      <c r="Y290" s="530" t="s">
        <v>232</v>
      </c>
      <c r="Z290" s="39">
        <v>0</v>
      </c>
      <c r="AA290" s="518">
        <v>0</v>
      </c>
      <c r="AB290" s="38" t="s">
        <v>232</v>
      </c>
      <c r="AC290" s="519" t="str">
        <f>""</f>
        <v/>
      </c>
      <c r="AD290" s="520">
        <v>1</v>
      </c>
      <c r="AE290" s="520" t="s">
        <v>300</v>
      </c>
      <c r="AF290" s="520" t="s">
        <v>237</v>
      </c>
      <c r="AG290" s="520">
        <v>1</v>
      </c>
      <c r="AH290" s="520">
        <v>3</v>
      </c>
      <c r="AI290" s="520">
        <v>0</v>
      </c>
      <c r="AJ290" s="520">
        <f>VLOOKUP($I290,'Price List, Weapons &amp; Items'!A:E,5,0)</f>
        <v>0</v>
      </c>
      <c r="AK290" s="520">
        <f t="shared" si="63"/>
        <v>0</v>
      </c>
      <c r="AL290" s="520">
        <f t="shared" si="64"/>
        <v>0</v>
      </c>
      <c r="AM290" s="520">
        <f t="shared" si="65"/>
        <v>0</v>
      </c>
      <c r="AN290" s="521" t="str">
        <f>VLOOKUP($I290,'Price List, Weapons &amp; Items'!A:K,COLUMN('Price List, Weapons &amp; Items'!$I$1),0)</f>
        <v>Media reports (incl. social media)</v>
      </c>
      <c r="AO290" s="521" t="str">
        <f>IF(I290=".",".",VLOOKUP($I290,'Price List, Weapons &amp; Items'!A:I,3,0))</f>
        <v>.</v>
      </c>
      <c r="AP290" s="517" t="str">
        <f t="shared" ca="1" si="70"/>
        <v>ambulance H; fire-engine; rescue vehicle; Lorry; ton of health and emergency equipment</v>
      </c>
      <c r="AQ290" s="521">
        <f>VLOOKUP($I290,'Price List, Weapons &amp; Items'!A:K,COLUMN('Price List, Weapons &amp; Items'!$K$1),0)</f>
        <v>0</v>
      </c>
      <c r="AS290" s="521">
        <f t="shared" si="66"/>
        <v>1</v>
      </c>
      <c r="AT290" s="521">
        <f t="shared" si="67"/>
        <v>0</v>
      </c>
      <c r="AU290" s="521">
        <f t="shared" si="68"/>
        <v>1</v>
      </c>
      <c r="AV290" s="521" t="str">
        <f t="shared" si="69"/>
        <v>.</v>
      </c>
    </row>
    <row r="291" spans="1:48" ht="15" customHeight="1">
      <c r="A291" s="18" t="s">
        <v>1023</v>
      </c>
      <c r="B291" s="18" t="s">
        <v>1012</v>
      </c>
      <c r="C291" s="511">
        <v>44645</v>
      </c>
      <c r="D291" s="18" t="s">
        <v>228</v>
      </c>
      <c r="E291" s="18" t="s">
        <v>239</v>
      </c>
      <c r="F291" s="512" t="s">
        <v>1024</v>
      </c>
      <c r="G291" s="39" t="s">
        <v>314</v>
      </c>
      <c r="H291" s="513" t="s">
        <v>309</v>
      </c>
      <c r="I291" s="41" t="s">
        <v>687</v>
      </c>
      <c r="J291" s="276" t="str">
        <f>VLOOKUP($I291,'Price List, Weapons &amp; Items'!A:B,2,0)</f>
        <v>Humanitarian</v>
      </c>
      <c r="K291" s="276" t="str">
        <f>IF(I291=".",I291,VLOOKUP($I291,'Price List, Weapons &amp; Items'!A:C,3,0))</f>
        <v>.</v>
      </c>
      <c r="L291" s="514">
        <f>VLOOKUP(I291,'Price List, Weapons &amp; Items'!A:D,4,0)</f>
        <v>0</v>
      </c>
      <c r="M291" s="515">
        <v>11</v>
      </c>
      <c r="N291" s="515" t="s">
        <v>232</v>
      </c>
      <c r="O291" s="516">
        <f>VLOOKUP($I291,'Price List, Weapons &amp; Items'!A:F,6,0)</f>
        <v>400000</v>
      </c>
      <c r="P291" s="513">
        <f t="shared" si="71"/>
        <v>4400000</v>
      </c>
      <c r="Q291" s="513" t="str">
        <f t="shared" si="72"/>
        <v>.</v>
      </c>
      <c r="R291" s="513" t="str">
        <f t="shared" si="61"/>
        <v/>
      </c>
      <c r="S291" s="513" t="str">
        <f>IF(AND(AD291=1,R291&lt;&gt;".")=TRUE,R291/VLOOKUP(G291,'Exchange rates'!B:C,2,0),IF(R291=".",".",""))</f>
        <v/>
      </c>
      <c r="T291" s="513" t="str">
        <f>IF(AD291=1,IF(AF291="Value is not given at all",".",IF(AF291="Value is given by the source",S291,IF(AF291="Value is calculated with prices",(IF(SUMIFS(Q:Q,A:A,A291)&gt;0,SUMIFS(Q:Q,A:A,A291),"."))/VLOOKUP("USD",'Exchange rates'!B:C,2,0),"Error with coding"))),"")</f>
        <v/>
      </c>
      <c r="U291" s="39" t="s">
        <v>233</v>
      </c>
      <c r="V291" s="376" t="s">
        <v>1025</v>
      </c>
      <c r="W291" s="376" t="s">
        <v>1026</v>
      </c>
      <c r="X291" s="530" t="s">
        <v>232</v>
      </c>
      <c r="Y291" s="530" t="s">
        <v>232</v>
      </c>
      <c r="Z291" s="39">
        <v>0</v>
      </c>
      <c r="AA291" s="518">
        <v>0</v>
      </c>
      <c r="AB291" s="38" t="s">
        <v>232</v>
      </c>
      <c r="AC291" s="519" t="str">
        <f>""</f>
        <v/>
      </c>
      <c r="AD291" s="520">
        <v>0</v>
      </c>
      <c r="AE291" s="520" t="s">
        <v>300</v>
      </c>
      <c r="AF291" s="520" t="s">
        <v>237</v>
      </c>
      <c r="AG291" s="520">
        <v>1</v>
      </c>
      <c r="AH291" s="520">
        <v>3</v>
      </c>
      <c r="AI291" s="520">
        <v>0</v>
      </c>
      <c r="AJ291" s="520">
        <f>VLOOKUP($I291,'Price List, Weapons &amp; Items'!A:E,5,0)</f>
        <v>0</v>
      </c>
      <c r="AK291" s="520">
        <f t="shared" si="63"/>
        <v>0</v>
      </c>
      <c r="AL291" s="520">
        <f t="shared" si="64"/>
        <v>0</v>
      </c>
      <c r="AM291" s="520">
        <f t="shared" si="65"/>
        <v>0</v>
      </c>
      <c r="AN291" s="521" t="str">
        <f>VLOOKUP($I291,'Price List, Weapons &amp; Items'!A:K,COLUMN('Price List, Weapons &amp; Items'!$I$1),0)</f>
        <v>Media reports (incl. social media)</v>
      </c>
      <c r="AO291" s="521" t="str">
        <f>IF(I291=".",".",VLOOKUP($I291,'Price List, Weapons &amp; Items'!A:I,3,0))</f>
        <v>.</v>
      </c>
      <c r="AP291" s="517" t="str">
        <f t="shared" ca="1" si="70"/>
        <v/>
      </c>
      <c r="AQ291" s="521">
        <f>VLOOKUP($I291,'Price List, Weapons &amp; Items'!A:K,COLUMN('Price List, Weapons &amp; Items'!$K$1),0)</f>
        <v>0</v>
      </c>
      <c r="AS291" s="521">
        <f t="shared" si="66"/>
        <v>1</v>
      </c>
      <c r="AT291" s="521">
        <f t="shared" si="67"/>
        <v>0</v>
      </c>
      <c r="AU291" s="521">
        <f t="shared" si="68"/>
        <v>1</v>
      </c>
      <c r="AV291" s="521" t="str">
        <f t="shared" si="69"/>
        <v>.</v>
      </c>
    </row>
    <row r="292" spans="1:48" ht="15" customHeight="1">
      <c r="A292" s="18" t="s">
        <v>1023</v>
      </c>
      <c r="B292" s="18" t="s">
        <v>1012</v>
      </c>
      <c r="C292" s="511">
        <v>44645</v>
      </c>
      <c r="D292" s="18" t="s">
        <v>228</v>
      </c>
      <c r="E292" s="18" t="s">
        <v>239</v>
      </c>
      <c r="F292" s="512" t="s">
        <v>1024</v>
      </c>
      <c r="G292" s="39" t="s">
        <v>314</v>
      </c>
      <c r="H292" s="513" t="s">
        <v>309</v>
      </c>
      <c r="I292" s="41" t="s">
        <v>1027</v>
      </c>
      <c r="J292" s="276" t="str">
        <f>VLOOKUP($I292,'Price List, Weapons &amp; Items'!A:B,2,0)</f>
        <v>Humanitarian</v>
      </c>
      <c r="K292" s="276" t="str">
        <f>IF(I292=".",I292,VLOOKUP($I292,'Price List, Weapons &amp; Items'!A:C,3,0))</f>
        <v>.</v>
      </c>
      <c r="L292" s="514">
        <f>VLOOKUP(I292,'Price List, Weapons &amp; Items'!A:D,4,0)</f>
        <v>0</v>
      </c>
      <c r="M292" s="515">
        <v>16</v>
      </c>
      <c r="N292" s="515" t="s">
        <v>232</v>
      </c>
      <c r="O292" s="516">
        <f>VLOOKUP($I292,'Price List, Weapons &amp; Items'!A:F,6,0)</f>
        <v>400000</v>
      </c>
      <c r="P292" s="513">
        <f t="shared" si="71"/>
        <v>6400000</v>
      </c>
      <c r="Q292" s="513" t="str">
        <f t="shared" si="72"/>
        <v>.</v>
      </c>
      <c r="R292" s="513" t="str">
        <f t="shared" si="61"/>
        <v/>
      </c>
      <c r="S292" s="513" t="str">
        <f>IF(AND(AD292=1,R292&lt;&gt;".")=TRUE,R292/VLOOKUP(G292,'Exchange rates'!B:C,2,0),IF(R292=".",".",""))</f>
        <v/>
      </c>
      <c r="T292" s="513" t="str">
        <f>IF(AD292=1,IF(AF292="Value is not given at all",".",IF(AF292="Value is given by the source",S292,IF(AF292="Value is calculated with prices",(IF(SUMIFS(Q:Q,A:A,A292)&gt;0,SUMIFS(Q:Q,A:A,A292),"."))/VLOOKUP("USD",'Exchange rates'!B:C,2,0),"Error with coding"))),"")</f>
        <v/>
      </c>
      <c r="U292" s="39" t="s">
        <v>233</v>
      </c>
      <c r="V292" s="376" t="s">
        <v>1025</v>
      </c>
      <c r="W292" s="376" t="s">
        <v>1026</v>
      </c>
      <c r="X292" s="530" t="s">
        <v>232</v>
      </c>
      <c r="Y292" s="530" t="s">
        <v>232</v>
      </c>
      <c r="Z292" s="39">
        <v>0</v>
      </c>
      <c r="AA292" s="518">
        <v>0</v>
      </c>
      <c r="AB292" s="38" t="s">
        <v>232</v>
      </c>
      <c r="AC292" s="519" t="str">
        <f>""</f>
        <v/>
      </c>
      <c r="AD292" s="520">
        <v>0</v>
      </c>
      <c r="AE292" s="520" t="s">
        <v>300</v>
      </c>
      <c r="AF292" s="520" t="s">
        <v>237</v>
      </c>
      <c r="AG292" s="520">
        <v>1</v>
      </c>
      <c r="AH292" s="520">
        <v>3</v>
      </c>
      <c r="AI292" s="520">
        <v>0</v>
      </c>
      <c r="AJ292" s="520">
        <f>VLOOKUP($I292,'Price List, Weapons &amp; Items'!A:E,5,0)</f>
        <v>0</v>
      </c>
      <c r="AK292" s="520">
        <f t="shared" si="63"/>
        <v>0</v>
      </c>
      <c r="AL292" s="520">
        <f t="shared" si="64"/>
        <v>0</v>
      </c>
      <c r="AM292" s="520">
        <f t="shared" si="65"/>
        <v>0</v>
      </c>
      <c r="AN292" s="521" t="str">
        <f>VLOOKUP($I292,'Price List, Weapons &amp; Items'!A:K,COLUMN('Price List, Weapons &amp; Items'!$I$1),0)</f>
        <v>Miscellaneous</v>
      </c>
      <c r="AO292" s="521" t="str">
        <f>IF(I292=".",".",VLOOKUP($I292,'Price List, Weapons &amp; Items'!A:I,3,0))</f>
        <v>.</v>
      </c>
      <c r="AP292" s="517" t="str">
        <f t="shared" ca="1" si="70"/>
        <v/>
      </c>
      <c r="AQ292" s="521">
        <f>VLOOKUP($I292,'Price List, Weapons &amp; Items'!A:K,COLUMN('Price List, Weapons &amp; Items'!$K$1),0)</f>
        <v>0</v>
      </c>
      <c r="AS292" s="521">
        <f t="shared" si="66"/>
        <v>1</v>
      </c>
      <c r="AT292" s="521">
        <f t="shared" si="67"/>
        <v>0</v>
      </c>
      <c r="AU292" s="521">
        <f t="shared" si="68"/>
        <v>1</v>
      </c>
      <c r="AV292" s="521" t="str">
        <f t="shared" si="69"/>
        <v>.</v>
      </c>
    </row>
    <row r="293" spans="1:48" ht="15" customHeight="1">
      <c r="A293" s="18" t="s">
        <v>1023</v>
      </c>
      <c r="B293" s="18" t="s">
        <v>1012</v>
      </c>
      <c r="C293" s="511">
        <v>44645</v>
      </c>
      <c r="D293" s="18" t="s">
        <v>228</v>
      </c>
      <c r="E293" s="18" t="s">
        <v>239</v>
      </c>
      <c r="F293" s="512" t="s">
        <v>1024</v>
      </c>
      <c r="G293" s="39" t="s">
        <v>314</v>
      </c>
      <c r="H293" s="513" t="s">
        <v>309</v>
      </c>
      <c r="I293" s="41" t="s">
        <v>1028</v>
      </c>
      <c r="J293" s="276" t="str">
        <f>VLOOKUP($I293,'Price List, Weapons &amp; Items'!A:B,2,0)</f>
        <v>Military equipment</v>
      </c>
      <c r="K293" s="276" t="str">
        <f>IF(I293=".",I293,VLOOKUP($I293,'Price List, Weapons &amp; Items'!A:C,3,0))</f>
        <v>.</v>
      </c>
      <c r="L293" s="514">
        <f>VLOOKUP(I293,'Price List, Weapons &amp; Items'!A:D,4,0)</f>
        <v>0</v>
      </c>
      <c r="M293" s="515">
        <v>23</v>
      </c>
      <c r="N293" s="515" t="s">
        <v>232</v>
      </c>
      <c r="O293" s="516" t="str">
        <f>VLOOKUP($I293,'Price List, Weapons &amp; Items'!A:F,6,0)</f>
        <v>.</v>
      </c>
      <c r="P293" s="513" t="str">
        <f t="shared" si="71"/>
        <v>No price</v>
      </c>
      <c r="Q293" s="513" t="str">
        <f t="shared" si="72"/>
        <v>.</v>
      </c>
      <c r="R293" s="513" t="str">
        <f t="shared" si="61"/>
        <v/>
      </c>
      <c r="S293" s="513" t="str">
        <f>IF(AND(AD293=1,R293&lt;&gt;".")=TRUE,R293/VLOOKUP(G293,'Exchange rates'!B:C,2,0),IF(R293=".",".",""))</f>
        <v/>
      </c>
      <c r="T293" s="513" t="str">
        <f>IF(AD293=1,IF(AF293="Value is not given at all",".",IF(AF293="Value is given by the source",S293,IF(AF293="Value is calculated with prices",(IF(SUMIFS(Q:Q,A:A,A293)&gt;0,SUMIFS(Q:Q,A:A,A293),"."))/VLOOKUP("USD",'Exchange rates'!B:C,2,0),"Error with coding"))),"")</f>
        <v/>
      </c>
      <c r="U293" s="39" t="s">
        <v>233</v>
      </c>
      <c r="V293" s="376" t="s">
        <v>1025</v>
      </c>
      <c r="W293" s="376" t="s">
        <v>1026</v>
      </c>
      <c r="X293" s="530" t="s">
        <v>232</v>
      </c>
      <c r="Y293" s="530" t="s">
        <v>232</v>
      </c>
      <c r="Z293" s="39">
        <v>0</v>
      </c>
      <c r="AA293" s="518">
        <v>0</v>
      </c>
      <c r="AB293" s="38" t="s">
        <v>232</v>
      </c>
      <c r="AC293" s="519" t="str">
        <f>""</f>
        <v/>
      </c>
      <c r="AD293" s="520">
        <v>0</v>
      </c>
      <c r="AE293" s="520" t="s">
        <v>300</v>
      </c>
      <c r="AF293" s="520" t="s">
        <v>237</v>
      </c>
      <c r="AG293" s="520">
        <v>1</v>
      </c>
      <c r="AH293" s="520">
        <v>3</v>
      </c>
      <c r="AI293" s="520">
        <v>0</v>
      </c>
      <c r="AJ293" s="520">
        <f>VLOOKUP($I293,'Price List, Weapons &amp; Items'!A:E,5,0)</f>
        <v>0</v>
      </c>
      <c r="AK293" s="520">
        <f t="shared" si="63"/>
        <v>0</v>
      </c>
      <c r="AL293" s="520">
        <f t="shared" si="64"/>
        <v>0</v>
      </c>
      <c r="AM293" s="520">
        <f t="shared" si="65"/>
        <v>0</v>
      </c>
      <c r="AN293" s="521" t="str">
        <f>VLOOKUP($I293,'Price List, Weapons &amp; Items'!A:K,COLUMN('Price List, Weapons &amp; Items'!$I$1),0)</f>
        <v>.</v>
      </c>
      <c r="AO293" s="521" t="str">
        <f>IF(I293=".",".",VLOOKUP($I293,'Price List, Weapons &amp; Items'!A:I,3,0))</f>
        <v>.</v>
      </c>
      <c r="AP293" s="517" t="str">
        <f t="shared" ca="1" si="70"/>
        <v/>
      </c>
      <c r="AQ293" s="521">
        <f>VLOOKUP($I293,'Price List, Weapons &amp; Items'!A:K,COLUMN('Price List, Weapons &amp; Items'!$K$1),0)</f>
        <v>0</v>
      </c>
      <c r="AS293" s="521">
        <f t="shared" si="66"/>
        <v>1</v>
      </c>
      <c r="AT293" s="521">
        <f t="shared" si="67"/>
        <v>0</v>
      </c>
      <c r="AU293" s="521">
        <f t="shared" si="68"/>
        <v>1</v>
      </c>
      <c r="AV293" s="521" t="str">
        <f t="shared" si="69"/>
        <v>.</v>
      </c>
    </row>
    <row r="294" spans="1:48" ht="15" customHeight="1">
      <c r="A294" s="18" t="s">
        <v>1023</v>
      </c>
      <c r="B294" s="18" t="s">
        <v>1012</v>
      </c>
      <c r="C294" s="511">
        <v>44645</v>
      </c>
      <c r="D294" s="18" t="s">
        <v>228</v>
      </c>
      <c r="E294" s="18" t="s">
        <v>239</v>
      </c>
      <c r="F294" s="512" t="s">
        <v>1024</v>
      </c>
      <c r="G294" s="39" t="s">
        <v>314</v>
      </c>
      <c r="H294" s="513" t="s">
        <v>309</v>
      </c>
      <c r="I294" s="41" t="s">
        <v>1029</v>
      </c>
      <c r="J294" s="276" t="str">
        <f>VLOOKUP($I294,'Price List, Weapons &amp; Items'!A:B,2,0)</f>
        <v>Humanitarian</v>
      </c>
      <c r="K294" s="276" t="str">
        <f>IF(I294=".",I294,VLOOKUP($I294,'Price List, Weapons &amp; Items'!A:C,3,0))</f>
        <v>.</v>
      </c>
      <c r="L294" s="514">
        <f>VLOOKUP(I294,'Price List, Weapons &amp; Items'!A:D,4,0)</f>
        <v>0</v>
      </c>
      <c r="M294" s="515">
        <v>49</v>
      </c>
      <c r="N294" s="515" t="s">
        <v>232</v>
      </c>
      <c r="O294" s="516">
        <f>VLOOKUP($I294,'Price List, Weapons &amp; Items'!A:F,6,0)</f>
        <v>10000</v>
      </c>
      <c r="P294" s="513">
        <f t="shared" si="71"/>
        <v>490000</v>
      </c>
      <c r="Q294" s="513" t="str">
        <f t="shared" si="72"/>
        <v>.</v>
      </c>
      <c r="R294" s="513" t="str">
        <f t="shared" si="61"/>
        <v/>
      </c>
      <c r="S294" s="513" t="str">
        <f>IF(AND(AD294=1,R294&lt;&gt;".")=TRUE,R294/VLOOKUP(G294,'Exchange rates'!B:C,2,0),IF(R294=".",".",""))</f>
        <v/>
      </c>
      <c r="T294" s="513" t="str">
        <f>IF(AD294=1,IF(AF294="Value is not given at all",".",IF(AF294="Value is given by the source",S294,IF(AF294="Value is calculated with prices",(IF(SUMIFS(Q:Q,A:A,A294)&gt;0,SUMIFS(Q:Q,A:A,A294),"."))/VLOOKUP("USD",'Exchange rates'!B:C,2,0),"Error with coding"))),"")</f>
        <v/>
      </c>
      <c r="U294" s="39" t="s">
        <v>233</v>
      </c>
      <c r="V294" s="376" t="s">
        <v>1025</v>
      </c>
      <c r="W294" s="376" t="s">
        <v>1026</v>
      </c>
      <c r="X294" s="530" t="s">
        <v>232</v>
      </c>
      <c r="Y294" s="530" t="s">
        <v>232</v>
      </c>
      <c r="Z294" s="39">
        <v>0</v>
      </c>
      <c r="AA294" s="518">
        <v>0</v>
      </c>
      <c r="AB294" s="38" t="s">
        <v>232</v>
      </c>
      <c r="AC294" s="519" t="str">
        <f>""</f>
        <v/>
      </c>
      <c r="AD294" s="520">
        <v>0</v>
      </c>
      <c r="AE294" s="520" t="s">
        <v>300</v>
      </c>
      <c r="AF294" s="520" t="s">
        <v>237</v>
      </c>
      <c r="AG294" s="520">
        <v>1</v>
      </c>
      <c r="AH294" s="520">
        <v>3</v>
      </c>
      <c r="AI294" s="520">
        <v>0</v>
      </c>
      <c r="AJ294" s="520">
        <f>VLOOKUP($I294,'Price List, Weapons &amp; Items'!A:E,5,0)</f>
        <v>0</v>
      </c>
      <c r="AK294" s="520">
        <f t="shared" si="63"/>
        <v>0</v>
      </c>
      <c r="AL294" s="520">
        <f t="shared" si="64"/>
        <v>0</v>
      </c>
      <c r="AM294" s="520">
        <f t="shared" si="65"/>
        <v>0</v>
      </c>
      <c r="AN294" s="521" t="str">
        <f>VLOOKUP($I294,'Price List, Weapons &amp; Items'!A:K,COLUMN('Price List, Weapons &amp; Items'!$I$1),0)</f>
        <v>Miscellaneous</v>
      </c>
      <c r="AO294" s="521" t="str">
        <f>IF(I294=".",".",VLOOKUP($I294,'Price List, Weapons &amp; Items'!A:I,3,0))</f>
        <v>.</v>
      </c>
      <c r="AP294" s="517" t="str">
        <f t="shared" ca="1" si="70"/>
        <v/>
      </c>
      <c r="AQ294" s="521">
        <f>VLOOKUP($I294,'Price List, Weapons &amp; Items'!A:K,COLUMN('Price List, Weapons &amp; Items'!$K$1),0)</f>
        <v>0</v>
      </c>
      <c r="AS294" s="521">
        <f t="shared" si="66"/>
        <v>1</v>
      </c>
      <c r="AT294" s="521">
        <f t="shared" si="67"/>
        <v>0</v>
      </c>
      <c r="AU294" s="521">
        <f t="shared" si="68"/>
        <v>1</v>
      </c>
      <c r="AV294" s="521" t="str">
        <f t="shared" si="69"/>
        <v>.</v>
      </c>
    </row>
    <row r="295" spans="1:48" ht="15" customHeight="1">
      <c r="A295" s="18" t="s">
        <v>1030</v>
      </c>
      <c r="B295" s="18" t="s">
        <v>1012</v>
      </c>
      <c r="C295" s="511">
        <v>44665</v>
      </c>
      <c r="D295" s="18" t="s">
        <v>228</v>
      </c>
      <c r="E295" s="18" t="s">
        <v>1031</v>
      </c>
      <c r="F295" s="512" t="s">
        <v>1032</v>
      </c>
      <c r="G295" s="39" t="s">
        <v>314</v>
      </c>
      <c r="H295" s="513" t="s">
        <v>309</v>
      </c>
      <c r="I295" s="41" t="s">
        <v>687</v>
      </c>
      <c r="J295" s="276" t="str">
        <f>VLOOKUP($I295,'Price List, Weapons &amp; Items'!A:B,2,0)</f>
        <v>Humanitarian</v>
      </c>
      <c r="K295" s="276" t="str">
        <f>IF(I295=".",I295,VLOOKUP($I295,'Price List, Weapons &amp; Items'!A:C,3,0))</f>
        <v>.</v>
      </c>
      <c r="L295" s="514">
        <f>VLOOKUP(I295,'Price List, Weapons &amp; Items'!A:D,4,0)</f>
        <v>0</v>
      </c>
      <c r="M295" s="515">
        <v>12</v>
      </c>
      <c r="N295" s="515">
        <v>12</v>
      </c>
      <c r="O295" s="516">
        <f>VLOOKUP($I295,'Price List, Weapons &amp; Items'!A:F,6,0)</f>
        <v>400000</v>
      </c>
      <c r="P295" s="513">
        <f t="shared" si="71"/>
        <v>4800000</v>
      </c>
      <c r="Q295" s="513">
        <f t="shared" si="72"/>
        <v>4800000</v>
      </c>
      <c r="R295" s="513">
        <f t="shared" si="61"/>
        <v>11000000</v>
      </c>
      <c r="S295" s="513">
        <f>IF(AND(AD295=1,R295&lt;&gt;".")=TRUE,R295/VLOOKUP(G295,'Exchange rates'!B:C,2,0),IF(R295=".",".",""))</f>
        <v>10961634.28001993</v>
      </c>
      <c r="T295" s="513" t="str">
        <f>IF(AD295=1,IF(AF295="Value is not given at all",".",IF(AF295="Value is given by the source",S295,IF(AF295="Value is calculated with prices",(IF(SUMIFS(Q:Q,A:A,A295)&gt;0,SUMIFS(Q:Q,A:A,A295),"."))/VLOOKUP("USD",'Exchange rates'!B:C,2,0),"Error with coding"))),"")</f>
        <v>.</v>
      </c>
      <c r="U295" s="39" t="s">
        <v>233</v>
      </c>
      <c r="V295" s="387" t="s">
        <v>1033</v>
      </c>
      <c r="W295" s="554" t="s">
        <v>232</v>
      </c>
      <c r="X295" s="530" t="s">
        <v>232</v>
      </c>
      <c r="Y295" s="530" t="s">
        <v>232</v>
      </c>
      <c r="Z295" s="39">
        <v>0</v>
      </c>
      <c r="AA295" s="518">
        <v>1</v>
      </c>
      <c r="AB295" s="38" t="s">
        <v>232</v>
      </c>
      <c r="AC295" s="519" t="str">
        <f>""</f>
        <v/>
      </c>
      <c r="AD295" s="520">
        <v>1</v>
      </c>
      <c r="AE295" s="520" t="s">
        <v>300</v>
      </c>
      <c r="AF295" s="520" t="s">
        <v>237</v>
      </c>
      <c r="AG295" s="520">
        <v>1</v>
      </c>
      <c r="AH295" s="520">
        <v>4</v>
      </c>
      <c r="AI295" s="520"/>
      <c r="AJ295" s="520">
        <f>VLOOKUP($I295,'Price List, Weapons &amp; Items'!A:E,5,0)</f>
        <v>0</v>
      </c>
      <c r="AK295" s="520">
        <f t="shared" si="63"/>
        <v>0</v>
      </c>
      <c r="AL295" s="520">
        <f t="shared" si="64"/>
        <v>0</v>
      </c>
      <c r="AM295" s="520">
        <f t="shared" si="65"/>
        <v>0</v>
      </c>
      <c r="AN295" s="521" t="str">
        <f>VLOOKUP($I295,'Price List, Weapons &amp; Items'!A:K,COLUMN('Price List, Weapons &amp; Items'!$I$1),0)</f>
        <v>Media reports (incl. social media)</v>
      </c>
      <c r="AO295" s="521" t="str">
        <f>IF(I295=".",".",VLOOKUP($I295,'Price List, Weapons &amp; Items'!A:I,3,0))</f>
        <v>.</v>
      </c>
      <c r="AP295" s="517" t="str">
        <f t="shared" ca="1" si="70"/>
        <v>fire-engine; Rescue vehicle; truck; rescue and clearing equipment; Ton of fire-fighting equipment</v>
      </c>
      <c r="AQ295" s="521">
        <f>VLOOKUP($I295,'Price List, Weapons &amp; Items'!A:K,COLUMN('Price List, Weapons &amp; Items'!$K$1),0)</f>
        <v>0</v>
      </c>
      <c r="AS295" s="521">
        <f t="shared" si="66"/>
        <v>1</v>
      </c>
      <c r="AT295" s="521">
        <f t="shared" si="67"/>
        <v>0</v>
      </c>
      <c r="AU295" s="521">
        <f t="shared" si="68"/>
        <v>1</v>
      </c>
      <c r="AV295" s="521" t="str">
        <f t="shared" si="69"/>
        <v>.</v>
      </c>
    </row>
    <row r="296" spans="1:48" ht="15" customHeight="1">
      <c r="A296" s="18" t="s">
        <v>1030</v>
      </c>
      <c r="B296" s="18" t="s">
        <v>1012</v>
      </c>
      <c r="C296" s="511">
        <v>44665</v>
      </c>
      <c r="D296" s="18" t="s">
        <v>228</v>
      </c>
      <c r="E296" s="18" t="s">
        <v>239</v>
      </c>
      <c r="F296" s="512" t="s">
        <v>1032</v>
      </c>
      <c r="G296" s="39" t="s">
        <v>314</v>
      </c>
      <c r="H296" s="513" t="s">
        <v>309</v>
      </c>
      <c r="I296" s="41" t="s">
        <v>1034</v>
      </c>
      <c r="J296" s="276" t="str">
        <f>VLOOKUP($I296,'Price List, Weapons &amp; Items'!A:B,2,0)</f>
        <v>Humanitarian</v>
      </c>
      <c r="K296" s="276" t="str">
        <f>IF(I296=".",I296,VLOOKUP($I296,'Price List, Weapons &amp; Items'!A:C,3,0))</f>
        <v>.</v>
      </c>
      <c r="L296" s="514">
        <f>VLOOKUP(I296,'Price List, Weapons &amp; Items'!A:D,4,0)</f>
        <v>0</v>
      </c>
      <c r="M296" s="515">
        <v>12</v>
      </c>
      <c r="N296" s="515">
        <v>12</v>
      </c>
      <c r="O296" s="516">
        <f>VLOOKUP($I296,'Price List, Weapons &amp; Items'!A:F,6,0)</f>
        <v>400000</v>
      </c>
      <c r="P296" s="513">
        <f t="shared" si="71"/>
        <v>4800000</v>
      </c>
      <c r="Q296" s="513">
        <f t="shared" si="72"/>
        <v>4800000</v>
      </c>
      <c r="R296" s="513" t="str">
        <f t="shared" si="61"/>
        <v/>
      </c>
      <c r="S296" s="513" t="str">
        <f>IF(AND(AD296=1,R296&lt;&gt;".")=TRUE,R296/VLOOKUP(G296,'Exchange rates'!B:C,2,0),IF(R296=".",".",""))</f>
        <v/>
      </c>
      <c r="T296" s="513" t="str">
        <f>IF(AD296=1,IF(AF296="Value is not given at all",".",IF(AF296="Value is given by the source",S296,IF(AF296="Value is calculated with prices",(IF(SUMIFS(Q:Q,A:A,A296)&gt;0,SUMIFS(Q:Q,A:A,A296),"."))/VLOOKUP("USD",'Exchange rates'!B:C,2,0),"Error with coding"))),"")</f>
        <v/>
      </c>
      <c r="U296" s="39" t="s">
        <v>233</v>
      </c>
      <c r="V296" s="387" t="s">
        <v>1033</v>
      </c>
      <c r="W296" s="554" t="s">
        <v>232</v>
      </c>
      <c r="X296" s="530" t="s">
        <v>232</v>
      </c>
      <c r="Y296" s="530" t="s">
        <v>232</v>
      </c>
      <c r="Z296" s="39">
        <v>0</v>
      </c>
      <c r="AA296" s="518">
        <v>1</v>
      </c>
      <c r="AB296" s="38" t="s">
        <v>232</v>
      </c>
      <c r="AC296" s="519" t="str">
        <f>""</f>
        <v/>
      </c>
      <c r="AD296" s="520">
        <v>0</v>
      </c>
      <c r="AE296" s="520" t="s">
        <v>300</v>
      </c>
      <c r="AF296" s="520" t="s">
        <v>300</v>
      </c>
      <c r="AG296" s="520">
        <v>1</v>
      </c>
      <c r="AH296" s="520">
        <v>4</v>
      </c>
      <c r="AI296" s="520"/>
      <c r="AJ296" s="520">
        <f>VLOOKUP($I296,'Price List, Weapons &amp; Items'!A:E,5,0)</f>
        <v>0</v>
      </c>
      <c r="AK296" s="520">
        <f t="shared" si="63"/>
        <v>0</v>
      </c>
      <c r="AL296" s="520">
        <f t="shared" si="64"/>
        <v>0</v>
      </c>
      <c r="AM296" s="520">
        <f t="shared" si="65"/>
        <v>0</v>
      </c>
      <c r="AN296" s="521" t="str">
        <f>VLOOKUP($I296,'Price List, Weapons &amp; Items'!A:K,COLUMN('Price List, Weapons &amp; Items'!$I$1),0)</f>
        <v>Miscellaneous</v>
      </c>
      <c r="AO296" s="521" t="str">
        <f>IF(I296=".",".",VLOOKUP($I296,'Price List, Weapons &amp; Items'!A:I,3,0))</f>
        <v>.</v>
      </c>
      <c r="AP296" s="517" t="str">
        <f t="shared" ca="1" si="70"/>
        <v/>
      </c>
      <c r="AQ296" s="521">
        <f>VLOOKUP($I296,'Price List, Weapons &amp; Items'!A:K,COLUMN('Price List, Weapons &amp; Items'!$K$1),0)</f>
        <v>0</v>
      </c>
      <c r="AS296" s="521">
        <f t="shared" si="66"/>
        <v>1</v>
      </c>
      <c r="AT296" s="521">
        <f t="shared" si="67"/>
        <v>0</v>
      </c>
      <c r="AU296" s="521">
        <f t="shared" si="68"/>
        <v>1</v>
      </c>
      <c r="AV296" s="521" t="str">
        <f t="shared" si="69"/>
        <v>.</v>
      </c>
    </row>
    <row r="297" spans="1:48" ht="15" customHeight="1">
      <c r="A297" s="18" t="s">
        <v>1030</v>
      </c>
      <c r="B297" s="18" t="s">
        <v>1012</v>
      </c>
      <c r="C297" s="511">
        <v>44665</v>
      </c>
      <c r="D297" s="18" t="s">
        <v>228</v>
      </c>
      <c r="E297" s="18" t="s">
        <v>239</v>
      </c>
      <c r="F297" s="512" t="s">
        <v>1032</v>
      </c>
      <c r="G297" s="39" t="s">
        <v>314</v>
      </c>
      <c r="H297" s="513" t="s">
        <v>309</v>
      </c>
      <c r="I297" s="41" t="s">
        <v>1035</v>
      </c>
      <c r="J297" s="276" t="str">
        <f>VLOOKUP($I297,'Price List, Weapons &amp; Items'!A:B,2,0)</f>
        <v>Military equipment</v>
      </c>
      <c r="K297" s="276" t="str">
        <f>IF(I297=".",I297,VLOOKUP($I297,'Price List, Weapons &amp; Items'!A:C,3,0))</f>
        <v>.</v>
      </c>
      <c r="L297" s="514">
        <f>VLOOKUP(I297,'Price List, Weapons &amp; Items'!A:D,4,0)</f>
        <v>0</v>
      </c>
      <c r="M297" s="515">
        <v>4</v>
      </c>
      <c r="N297" s="515">
        <v>4</v>
      </c>
      <c r="O297" s="516">
        <f>VLOOKUP($I297,'Price List, Weapons &amp; Items'!A:F,6,0)</f>
        <v>350000</v>
      </c>
      <c r="P297" s="513">
        <f t="shared" si="71"/>
        <v>1400000</v>
      </c>
      <c r="Q297" s="513">
        <f t="shared" si="72"/>
        <v>1400000</v>
      </c>
      <c r="R297" s="513" t="str">
        <f t="shared" si="61"/>
        <v/>
      </c>
      <c r="S297" s="513" t="str">
        <f>IF(AND(AD297=1,R297&lt;&gt;".")=TRUE,R297/VLOOKUP(G297,'Exchange rates'!B:C,2,0),IF(R297=".",".",""))</f>
        <v/>
      </c>
      <c r="T297" s="513" t="str">
        <f>IF(AD297=1,IF(AF297="Value is not given at all",".",IF(AF297="Value is given by the source",S297,IF(AF297="Value is calculated with prices",(IF(SUMIFS(Q:Q,A:A,A297)&gt;0,SUMIFS(Q:Q,A:A,A297),"."))/VLOOKUP("USD",'Exchange rates'!B:C,2,0),"Error with coding"))),"")</f>
        <v/>
      </c>
      <c r="U297" s="39" t="s">
        <v>233</v>
      </c>
      <c r="V297" s="387" t="s">
        <v>1033</v>
      </c>
      <c r="W297" s="554" t="s">
        <v>232</v>
      </c>
      <c r="X297" s="530" t="s">
        <v>232</v>
      </c>
      <c r="Y297" s="530" t="s">
        <v>232</v>
      </c>
      <c r="Z297" s="39">
        <v>0</v>
      </c>
      <c r="AA297" s="518">
        <v>1</v>
      </c>
      <c r="AB297" s="38" t="s">
        <v>232</v>
      </c>
      <c r="AC297" s="519" t="str">
        <f>""</f>
        <v/>
      </c>
      <c r="AD297" s="520">
        <v>0</v>
      </c>
      <c r="AE297" s="520" t="s">
        <v>300</v>
      </c>
      <c r="AF297" s="520" t="s">
        <v>300</v>
      </c>
      <c r="AG297" s="520">
        <v>1</v>
      </c>
      <c r="AH297" s="520">
        <v>4</v>
      </c>
      <c r="AI297" s="520"/>
      <c r="AJ297" s="520">
        <f>VLOOKUP($I297,'Price List, Weapons &amp; Items'!A:E,5,0)</f>
        <v>0</v>
      </c>
      <c r="AK297" s="520">
        <f t="shared" si="63"/>
        <v>0</v>
      </c>
      <c r="AL297" s="520">
        <f t="shared" si="64"/>
        <v>0</v>
      </c>
      <c r="AM297" s="520">
        <f t="shared" si="65"/>
        <v>0</v>
      </c>
      <c r="AN297" s="521" t="str">
        <f>VLOOKUP($I297,'Price List, Weapons &amp; Items'!A:K,COLUMN('Price List, Weapons &amp; Items'!$I$1),0)</f>
        <v>Media reports (incl. social media)</v>
      </c>
      <c r="AO297" s="521" t="str">
        <f>IF(I297=".",".",VLOOKUP($I297,'Price List, Weapons &amp; Items'!A:I,3,0))</f>
        <v>.</v>
      </c>
      <c r="AP297" s="517" t="str">
        <f t="shared" ca="1" si="70"/>
        <v/>
      </c>
      <c r="AQ297" s="521">
        <f>VLOOKUP($I297,'Price List, Weapons &amp; Items'!A:K,COLUMN('Price List, Weapons &amp; Items'!$K$1),0)</f>
        <v>2</v>
      </c>
      <c r="AS297" s="521">
        <f t="shared" si="66"/>
        <v>1</v>
      </c>
      <c r="AT297" s="521">
        <f t="shared" si="67"/>
        <v>0</v>
      </c>
      <c r="AU297" s="521">
        <f t="shared" si="68"/>
        <v>1</v>
      </c>
      <c r="AV297" s="521" t="str">
        <f t="shared" si="69"/>
        <v>.</v>
      </c>
    </row>
    <row r="298" spans="1:48" ht="15" customHeight="1">
      <c r="A298" s="18" t="s">
        <v>1030</v>
      </c>
      <c r="B298" s="18" t="s">
        <v>1012</v>
      </c>
      <c r="C298" s="511">
        <v>44665</v>
      </c>
      <c r="D298" s="18" t="s">
        <v>228</v>
      </c>
      <c r="E298" s="18" t="s">
        <v>239</v>
      </c>
      <c r="F298" s="512" t="s">
        <v>1032</v>
      </c>
      <c r="G298" s="39" t="s">
        <v>314</v>
      </c>
      <c r="H298" s="513" t="s">
        <v>309</v>
      </c>
      <c r="I298" s="41" t="s">
        <v>1036</v>
      </c>
      <c r="J298" s="276" t="str">
        <f>VLOOKUP($I298,'Price List, Weapons &amp; Items'!A:B,2,0)</f>
        <v>Humanitarian</v>
      </c>
      <c r="K298" s="276" t="str">
        <f>IF(I298=".",I298,VLOOKUP($I298,'Price List, Weapons &amp; Items'!A:C,3,0))</f>
        <v>.</v>
      </c>
      <c r="L298" s="514">
        <f>VLOOKUP(I298,'Price List, Weapons &amp; Items'!A:D,4,0)</f>
        <v>0</v>
      </c>
      <c r="M298" s="515" t="s">
        <v>264</v>
      </c>
      <c r="N298" s="515" t="s">
        <v>264</v>
      </c>
      <c r="O298" s="516" t="str">
        <f>VLOOKUP($I298,'Price List, Weapons &amp; Items'!A:F,6,0)</f>
        <v>.</v>
      </c>
      <c r="P298" s="513" t="str">
        <f t="shared" si="71"/>
        <v>.</v>
      </c>
      <c r="Q298" s="513" t="str">
        <f t="shared" si="72"/>
        <v>.</v>
      </c>
      <c r="R298" s="513" t="str">
        <f t="shared" si="61"/>
        <v/>
      </c>
      <c r="S298" s="513" t="str">
        <f>IF(AND(AD298=1,R298&lt;&gt;".")=TRUE,R298/VLOOKUP(G298,'Exchange rates'!B:C,2,0),IF(R298=".",".",""))</f>
        <v/>
      </c>
      <c r="T298" s="513" t="str">
        <f>IF(AD298=1,IF(AF298="Value is not given at all",".",IF(AF298="Value is given by the source",S298,IF(AF298="Value is calculated with prices",(IF(SUMIFS(Q:Q,A:A,A298)&gt;0,SUMIFS(Q:Q,A:A,A298),"."))/VLOOKUP("USD",'Exchange rates'!B:C,2,0),"Error with coding"))),"")</f>
        <v/>
      </c>
      <c r="U298" s="39" t="s">
        <v>233</v>
      </c>
      <c r="V298" s="387" t="s">
        <v>1033</v>
      </c>
      <c r="W298" s="554" t="s">
        <v>232</v>
      </c>
      <c r="X298" s="530" t="s">
        <v>232</v>
      </c>
      <c r="Y298" s="530" t="s">
        <v>232</v>
      </c>
      <c r="Z298" s="39">
        <v>0</v>
      </c>
      <c r="AA298" s="518">
        <v>1</v>
      </c>
      <c r="AB298" s="38" t="s">
        <v>232</v>
      </c>
      <c r="AC298" s="519" t="str">
        <f>""</f>
        <v/>
      </c>
      <c r="AD298" s="520">
        <v>0</v>
      </c>
      <c r="AE298" s="520" t="s">
        <v>300</v>
      </c>
      <c r="AF298" s="520" t="s">
        <v>300</v>
      </c>
      <c r="AG298" s="520">
        <v>1</v>
      </c>
      <c r="AH298" s="520">
        <v>4</v>
      </c>
      <c r="AI298" s="520"/>
      <c r="AJ298" s="520">
        <f>VLOOKUP($I298,'Price List, Weapons &amp; Items'!A:E,5,0)</f>
        <v>0</v>
      </c>
      <c r="AK298" s="520">
        <f t="shared" si="63"/>
        <v>0</v>
      </c>
      <c r="AL298" s="520">
        <f t="shared" si="64"/>
        <v>0</v>
      </c>
      <c r="AM298" s="520">
        <f t="shared" si="65"/>
        <v>0</v>
      </c>
      <c r="AN298" s="521" t="str">
        <f>VLOOKUP($I298,'Price List, Weapons &amp; Items'!A:K,COLUMN('Price List, Weapons &amp; Items'!$I$1),0)</f>
        <v>.</v>
      </c>
      <c r="AO298" s="521" t="str">
        <f>IF(I298=".",".",VLOOKUP($I298,'Price List, Weapons &amp; Items'!A:I,3,0))</f>
        <v>.</v>
      </c>
      <c r="AP298" s="517" t="str">
        <f t="shared" ca="1" si="70"/>
        <v/>
      </c>
      <c r="AQ298" s="521">
        <f>VLOOKUP($I298,'Price List, Weapons &amp; Items'!A:K,COLUMN('Price List, Weapons &amp; Items'!$K$1),0)</f>
        <v>0</v>
      </c>
      <c r="AS298" s="521">
        <f t="shared" si="66"/>
        <v>1</v>
      </c>
      <c r="AT298" s="521">
        <f t="shared" si="67"/>
        <v>0</v>
      </c>
      <c r="AU298" s="521">
        <f t="shared" si="68"/>
        <v>1</v>
      </c>
      <c r="AV298" s="521" t="str">
        <f t="shared" si="69"/>
        <v>.</v>
      </c>
    </row>
    <row r="299" spans="1:48" ht="15" customHeight="1">
      <c r="A299" s="18" t="s">
        <v>1030</v>
      </c>
      <c r="B299" s="18" t="s">
        <v>1012</v>
      </c>
      <c r="C299" s="511">
        <v>44665</v>
      </c>
      <c r="D299" s="18" t="s">
        <v>228</v>
      </c>
      <c r="E299" s="18" t="s">
        <v>239</v>
      </c>
      <c r="F299" s="512" t="s">
        <v>1032</v>
      </c>
      <c r="G299" s="39" t="s">
        <v>314</v>
      </c>
      <c r="H299" s="513" t="s">
        <v>309</v>
      </c>
      <c r="I299" s="425" t="s">
        <v>1037</v>
      </c>
      <c r="J299" s="276" t="str">
        <f>VLOOKUP($I299,'Price List, Weapons &amp; Items'!A:B,2,0)</f>
        <v>Humanitarian</v>
      </c>
      <c r="K299" s="276" t="str">
        <f>IF(I299=".",I299,VLOOKUP($I299,'Price List, Weapons &amp; Items'!A:C,3,0))</f>
        <v>.</v>
      </c>
      <c r="L299" s="514">
        <f>VLOOKUP(I299,'Price List, Weapons &amp; Items'!A:D,4,0)</f>
        <v>0</v>
      </c>
      <c r="M299" s="515" t="s">
        <v>232</v>
      </c>
      <c r="N299" s="515" t="s">
        <v>264</v>
      </c>
      <c r="O299" s="516" t="str">
        <f>VLOOKUP($I299,'Price List, Weapons &amp; Items'!A:F,6,0)</f>
        <v>.</v>
      </c>
      <c r="P299" s="513" t="str">
        <f t="shared" si="71"/>
        <v>.</v>
      </c>
      <c r="Q299" s="513" t="str">
        <f t="shared" si="72"/>
        <v>.</v>
      </c>
      <c r="R299" s="513" t="str">
        <f t="shared" si="61"/>
        <v/>
      </c>
      <c r="S299" s="513" t="str">
        <f>IF(AND(AD299=1,R299&lt;&gt;".")=TRUE,R299/VLOOKUP(G299,'Exchange rates'!B:C,2,0),IF(R299=".",".",""))</f>
        <v/>
      </c>
      <c r="T299" s="513" t="str">
        <f>IF(AD299=1,IF(AF299="Value is not given at all",".",IF(AF299="Value is given by the source",S299,IF(AF299="Value is calculated with prices",(IF(SUMIFS(Q:Q,A:A,A299)&gt;0,SUMIFS(Q:Q,A:A,A299),"."))/VLOOKUP("USD",'Exchange rates'!B:C,2,0),"Error with coding"))),"")</f>
        <v/>
      </c>
      <c r="U299" s="39" t="s">
        <v>233</v>
      </c>
      <c r="V299" s="387" t="s">
        <v>1033</v>
      </c>
      <c r="W299" s="554" t="s">
        <v>232</v>
      </c>
      <c r="X299" s="530" t="s">
        <v>232</v>
      </c>
      <c r="Y299" s="530" t="s">
        <v>232</v>
      </c>
      <c r="Z299" s="39">
        <v>0</v>
      </c>
      <c r="AA299" s="518">
        <v>1</v>
      </c>
      <c r="AB299" s="38" t="s">
        <v>232</v>
      </c>
      <c r="AC299" s="519" t="str">
        <f>""</f>
        <v/>
      </c>
      <c r="AD299" s="520">
        <v>0</v>
      </c>
      <c r="AE299" s="520" t="s">
        <v>300</v>
      </c>
      <c r="AF299" s="520" t="s">
        <v>300</v>
      </c>
      <c r="AG299" s="520">
        <v>1</v>
      </c>
      <c r="AH299" s="520">
        <v>4</v>
      </c>
      <c r="AI299" s="520"/>
      <c r="AJ299" s="520">
        <f>VLOOKUP($I299,'Price List, Weapons &amp; Items'!A:E,5,0)</f>
        <v>0</v>
      </c>
      <c r="AK299" s="520">
        <f t="shared" si="63"/>
        <v>0</v>
      </c>
      <c r="AL299" s="520">
        <f t="shared" si="64"/>
        <v>0</v>
      </c>
      <c r="AM299" s="520">
        <f t="shared" si="65"/>
        <v>0</v>
      </c>
      <c r="AN299" s="521" t="str">
        <f>VLOOKUP($I299,'Price List, Weapons &amp; Items'!A:K,COLUMN('Price List, Weapons &amp; Items'!$I$1),0)</f>
        <v>.</v>
      </c>
      <c r="AO299" s="521" t="str">
        <f>IF(I299=".",".",VLOOKUP($I299,'Price List, Weapons &amp; Items'!A:I,3,0))</f>
        <v>.</v>
      </c>
      <c r="AP299" s="517" t="str">
        <f t="shared" ca="1" si="70"/>
        <v/>
      </c>
      <c r="AQ299" s="521">
        <f>VLOOKUP($I299,'Price List, Weapons &amp; Items'!A:K,COLUMN('Price List, Weapons &amp; Items'!$K$1),0)</f>
        <v>0</v>
      </c>
      <c r="AS299" s="521">
        <f t="shared" si="66"/>
        <v>1</v>
      </c>
      <c r="AT299" s="521">
        <f t="shared" si="67"/>
        <v>0</v>
      </c>
      <c r="AU299" s="521">
        <f t="shared" si="68"/>
        <v>1</v>
      </c>
      <c r="AV299" s="521" t="str">
        <f t="shared" si="69"/>
        <v>.</v>
      </c>
    </row>
    <row r="300" spans="1:48" ht="15" customHeight="1">
      <c r="A300" s="41" t="s">
        <v>1038</v>
      </c>
      <c r="B300" s="41" t="s">
        <v>1012</v>
      </c>
      <c r="C300" s="511">
        <v>44672</v>
      </c>
      <c r="D300" s="18" t="s">
        <v>228</v>
      </c>
      <c r="E300" s="18" t="s">
        <v>239</v>
      </c>
      <c r="F300" s="512" t="s">
        <v>1039</v>
      </c>
      <c r="G300" s="39" t="s">
        <v>314</v>
      </c>
      <c r="H300" s="513" t="s">
        <v>309</v>
      </c>
      <c r="I300" s="41" t="s">
        <v>623</v>
      </c>
      <c r="J300" s="276" t="str">
        <f>VLOOKUP($I300,'Price List, Weapons &amp; Items'!A:B,2,0)</f>
        <v>Humanitarian</v>
      </c>
      <c r="K300" s="276" t="str">
        <f>IF(I300=".",I300,VLOOKUP($I300,'Price List, Weapons &amp; Items'!A:C,3,0))</f>
        <v>.</v>
      </c>
      <c r="L300" s="514">
        <f>VLOOKUP(I300,'Price List, Weapons &amp; Items'!A:D,4,0)</f>
        <v>0</v>
      </c>
      <c r="M300" s="515">
        <v>28</v>
      </c>
      <c r="N300" s="515" t="s">
        <v>232</v>
      </c>
      <c r="O300" s="516">
        <f>VLOOKUP($I300,'Price List, Weapons &amp; Items'!A:F,6,0)</f>
        <v>10000</v>
      </c>
      <c r="P300" s="513">
        <f t="shared" si="71"/>
        <v>280000</v>
      </c>
      <c r="Q300" s="513" t="str">
        <f t="shared" si="72"/>
        <v>.</v>
      </c>
      <c r="R300" s="513">
        <f t="shared" si="61"/>
        <v>280000</v>
      </c>
      <c r="S300" s="513">
        <f>IF(AND(AD300=1,R300&lt;&gt;".")=TRUE,R300/VLOOKUP(G300,'Exchange rates'!B:C,2,0),IF(R300=".",".",""))</f>
        <v>279023.41803687095</v>
      </c>
      <c r="T300" s="513" t="str">
        <f>IF(AD300=1,IF(AF300="Value is not given at all",".",IF(AF300="Value is given by the source",S300,IF(AF300="Value is calculated with prices",(IF(SUMIFS(Q:Q,A:A,A300)&gt;0,SUMIFS(Q:Q,A:A,A300),"."))/VLOOKUP("USD",'Exchange rates'!B:C,2,0),"Error with coding"))),"")</f>
        <v>.</v>
      </c>
      <c r="U300" s="39" t="s">
        <v>233</v>
      </c>
      <c r="V300" s="42" t="s">
        <v>1040</v>
      </c>
      <c r="W300" s="42" t="s">
        <v>1041</v>
      </c>
      <c r="X300" s="42" t="s">
        <v>1042</v>
      </c>
      <c r="Y300" s="517" t="s">
        <v>232</v>
      </c>
      <c r="Z300" s="39">
        <v>0</v>
      </c>
      <c r="AA300" s="518">
        <v>0</v>
      </c>
      <c r="AB300" s="38" t="s">
        <v>232</v>
      </c>
      <c r="AC300" s="519" t="str">
        <f>""</f>
        <v/>
      </c>
      <c r="AD300" s="520">
        <v>1</v>
      </c>
      <c r="AE300" s="520" t="s">
        <v>300</v>
      </c>
      <c r="AF300" s="520" t="s">
        <v>237</v>
      </c>
      <c r="AG300" s="520">
        <v>1</v>
      </c>
      <c r="AH300" s="520">
        <v>4</v>
      </c>
      <c r="AI300" s="520">
        <v>0</v>
      </c>
      <c r="AJ300" s="520">
        <f>VLOOKUP($I300,'Price List, Weapons &amp; Items'!A:E,5,0)</f>
        <v>0</v>
      </c>
      <c r="AK300" s="520">
        <f t="shared" si="63"/>
        <v>0</v>
      </c>
      <c r="AL300" s="520">
        <f t="shared" si="64"/>
        <v>0</v>
      </c>
      <c r="AM300" s="520">
        <f t="shared" si="65"/>
        <v>0</v>
      </c>
      <c r="AN300" s="521" t="str">
        <f>VLOOKUP($I300,'Price List, Weapons &amp; Items'!A:K,COLUMN('Price List, Weapons &amp; Items'!$I$1),0)</f>
        <v>Miscellaneous</v>
      </c>
      <c r="AO300" s="521" t="str">
        <f>IF(I300=".",".",VLOOKUP($I300,'Price List, Weapons &amp; Items'!A:I,3,0))</f>
        <v>.</v>
      </c>
      <c r="AP300" s="517" t="str">
        <f t="shared" ca="1" si="70"/>
        <v>ton of medical equipment</v>
      </c>
      <c r="AQ300" s="521">
        <f>VLOOKUP($I300,'Price List, Weapons &amp; Items'!A:K,COLUMN('Price List, Weapons &amp; Items'!$K$1),0)</f>
        <v>0</v>
      </c>
      <c r="AS300" s="521">
        <f t="shared" si="66"/>
        <v>1</v>
      </c>
      <c r="AT300" s="521">
        <f t="shared" si="67"/>
        <v>0</v>
      </c>
      <c r="AU300" s="521">
        <f t="shared" si="68"/>
        <v>1</v>
      </c>
      <c r="AV300" s="521" t="str">
        <f t="shared" si="69"/>
        <v>.</v>
      </c>
    </row>
    <row r="301" spans="1:48" ht="15" customHeight="1">
      <c r="A301" s="41" t="s">
        <v>1043</v>
      </c>
      <c r="B301" s="41" t="s">
        <v>1012</v>
      </c>
      <c r="C301" s="511">
        <v>44697</v>
      </c>
      <c r="D301" s="18" t="s">
        <v>228</v>
      </c>
      <c r="E301" s="18" t="s">
        <v>489</v>
      </c>
      <c r="F301" s="512" t="s">
        <v>1044</v>
      </c>
      <c r="G301" s="39" t="s">
        <v>314</v>
      </c>
      <c r="H301" s="513" t="s">
        <v>309</v>
      </c>
      <c r="I301" s="41" t="s">
        <v>1045</v>
      </c>
      <c r="J301" s="276" t="str">
        <f>VLOOKUP($I301,'Price List, Weapons &amp; Items'!A:B,2,0)</f>
        <v>Humanitarian</v>
      </c>
      <c r="K301" s="276" t="str">
        <f>IF(I301=".",I301,VLOOKUP($I301,'Price List, Weapons &amp; Items'!A:C,3,0))</f>
        <v>.</v>
      </c>
      <c r="L301" s="514">
        <f>VLOOKUP(I301,'Price List, Weapons &amp; Items'!A:D,4,0)</f>
        <v>0</v>
      </c>
      <c r="M301" s="515">
        <v>115</v>
      </c>
      <c r="N301" s="515">
        <v>115</v>
      </c>
      <c r="O301" s="516">
        <f>VLOOKUP($I301,'Price List, Weapons &amp; Items'!A:F,6,0)</f>
        <v>10000</v>
      </c>
      <c r="P301" s="513">
        <f t="shared" si="71"/>
        <v>1150000</v>
      </c>
      <c r="Q301" s="513">
        <f t="shared" si="72"/>
        <v>1150000</v>
      </c>
      <c r="R301" s="513">
        <f t="shared" si="61"/>
        <v>6830728.9000000004</v>
      </c>
      <c r="S301" s="513">
        <f>IF(AND(AD301=1,R301&lt;&gt;".")=TRUE,R301/VLOOKUP(G301,'Exchange rates'!B:C,2,0),IF(R301=".",".",""))</f>
        <v>6806904.7334329849</v>
      </c>
      <c r="T301" s="513" t="str">
        <f>IF(AD301=1,IF(AF301="Value is not given at all",".",IF(AF301="Value is given by the source",S301,IF(AF301="Value is calculated with prices",(IF(SUMIFS(Q:Q,A:A,A301)&gt;0,SUMIFS(Q:Q,A:A,A301),"."))/VLOOKUP("USD",'Exchange rates'!B:C,2,0),"Error with coding"))),"")</f>
        <v>.</v>
      </c>
      <c r="U301" s="39" t="s">
        <v>233</v>
      </c>
      <c r="V301" s="828" t="s">
        <v>1046</v>
      </c>
      <c r="W301" s="42" t="s">
        <v>232</v>
      </c>
      <c r="X301" s="42" t="s">
        <v>232</v>
      </c>
      <c r="Y301" s="825" t="s">
        <v>232</v>
      </c>
      <c r="Z301" s="39">
        <v>0</v>
      </c>
      <c r="AA301" s="518">
        <v>1</v>
      </c>
      <c r="AB301" s="834" t="s">
        <v>1046</v>
      </c>
      <c r="AC301" s="519" t="str">
        <f>""</f>
        <v/>
      </c>
      <c r="AD301" s="520">
        <v>1</v>
      </c>
      <c r="AE301" s="520" t="s">
        <v>300</v>
      </c>
      <c r="AF301" s="520" t="s">
        <v>237</v>
      </c>
      <c r="AG301" s="520">
        <v>1</v>
      </c>
      <c r="AH301" s="520">
        <v>5</v>
      </c>
      <c r="AI301" s="520"/>
      <c r="AJ301" s="520">
        <f>VLOOKUP($I301,'Price List, Weapons &amp; Items'!A:E,5,0)</f>
        <v>0</v>
      </c>
      <c r="AK301" s="520">
        <f t="shared" si="63"/>
        <v>0</v>
      </c>
      <c r="AL301" s="520">
        <f t="shared" si="64"/>
        <v>0</v>
      </c>
      <c r="AM301" s="520">
        <f t="shared" si="65"/>
        <v>0</v>
      </c>
      <c r="AN301" s="521" t="str">
        <f>VLOOKUP($I301,'Price List, Weapons &amp; Items'!A:K,COLUMN('Price List, Weapons &amp; Items'!$I$1),0)</f>
        <v>Miscellaneous</v>
      </c>
      <c r="AO301" s="521" t="str">
        <f>IF(I301=".",".",VLOOKUP($I301,'Price List, Weapons &amp; Items'!A:I,3,0))</f>
        <v>.</v>
      </c>
      <c r="AP301" s="517" t="str">
        <f t="shared" ca="1" si="70"/>
        <v>Ton of medical equipment; fire-engine; ambulance H; vehicle equipped with a mobile radiology device; km of fire hose; liter of foam concentrate (against hydrocarbon fires); food ration H</v>
      </c>
      <c r="AQ301" s="521">
        <f>VLOOKUP($I301,'Price List, Weapons &amp; Items'!A:K,COLUMN('Price List, Weapons &amp; Items'!$K$1),0)</f>
        <v>0</v>
      </c>
      <c r="AS301" s="521">
        <f t="shared" si="66"/>
        <v>1</v>
      </c>
      <c r="AT301" s="521">
        <f t="shared" si="67"/>
        <v>0</v>
      </c>
      <c r="AU301" s="521">
        <f t="shared" si="68"/>
        <v>1</v>
      </c>
      <c r="AV301" s="521" t="str">
        <f t="shared" si="69"/>
        <v>.</v>
      </c>
    </row>
    <row r="302" spans="1:48" ht="15" customHeight="1">
      <c r="A302" s="41" t="s">
        <v>1043</v>
      </c>
      <c r="B302" s="41" t="s">
        <v>1012</v>
      </c>
      <c r="C302" s="511">
        <v>44697</v>
      </c>
      <c r="D302" s="18" t="s">
        <v>228</v>
      </c>
      <c r="E302" s="18" t="s">
        <v>489</v>
      </c>
      <c r="F302" s="512" t="s">
        <v>1044</v>
      </c>
      <c r="G302" s="39" t="s">
        <v>314</v>
      </c>
      <c r="H302" s="513" t="s">
        <v>309</v>
      </c>
      <c r="I302" s="41" t="s">
        <v>687</v>
      </c>
      <c r="J302" s="276" t="str">
        <f>VLOOKUP($I302,'Price List, Weapons &amp; Items'!A:B,2,0)</f>
        <v>Humanitarian</v>
      </c>
      <c r="K302" s="276" t="str">
        <f>IF(I302=".",I302,VLOOKUP($I302,'Price List, Weapons &amp; Items'!A:C,3,0))</f>
        <v>.</v>
      </c>
      <c r="L302" s="514">
        <f>VLOOKUP(I302,'Price List, Weapons &amp; Items'!A:D,4,0)</f>
        <v>0</v>
      </c>
      <c r="M302" s="515">
        <v>6</v>
      </c>
      <c r="N302" s="515">
        <v>6</v>
      </c>
      <c r="O302" s="516">
        <f>VLOOKUP($I302,'Price List, Weapons &amp; Items'!A:F,6,0)</f>
        <v>400000</v>
      </c>
      <c r="P302" s="513">
        <f t="shared" si="71"/>
        <v>2400000</v>
      </c>
      <c r="Q302" s="513">
        <f t="shared" si="72"/>
        <v>2400000</v>
      </c>
      <c r="R302" s="513" t="str">
        <f t="shared" si="61"/>
        <v/>
      </c>
      <c r="S302" s="513" t="str">
        <f>IF(AND(AD302=1,R302&lt;&gt;".")=TRUE,R302/VLOOKUP(G302,'Exchange rates'!B:C,2,0),IF(R302=".",".",""))</f>
        <v/>
      </c>
      <c r="T302" s="513" t="str">
        <f>IF(AD302=1,IF(AF302="Value is not given at all",".",IF(AF302="Value is given by the source",S302,IF(AF302="Value is calculated with prices",(IF(SUMIFS(Q:Q,A:A,A302)&gt;0,SUMIFS(Q:Q,A:A,A302),"."))/VLOOKUP("USD",'Exchange rates'!B:C,2,0),"Error with coding"))),"")</f>
        <v/>
      </c>
      <c r="U302" s="39" t="s">
        <v>233</v>
      </c>
      <c r="V302" s="828" t="s">
        <v>1046</v>
      </c>
      <c r="W302" s="42" t="s">
        <v>232</v>
      </c>
      <c r="X302" s="42" t="s">
        <v>232</v>
      </c>
      <c r="Y302" s="825" t="s">
        <v>232</v>
      </c>
      <c r="Z302" s="39">
        <v>0</v>
      </c>
      <c r="AA302" s="518">
        <v>1</v>
      </c>
      <c r="AB302" s="834" t="s">
        <v>1046</v>
      </c>
      <c r="AC302" s="519" t="str">
        <f>""</f>
        <v/>
      </c>
      <c r="AD302" s="520">
        <v>0</v>
      </c>
      <c r="AE302" s="520" t="s">
        <v>300</v>
      </c>
      <c r="AF302" s="520" t="s">
        <v>300</v>
      </c>
      <c r="AG302" s="520">
        <v>1</v>
      </c>
      <c r="AH302" s="520">
        <v>5</v>
      </c>
      <c r="AI302" s="520"/>
      <c r="AJ302" s="520">
        <f>VLOOKUP($I302,'Price List, Weapons &amp; Items'!A:E,5,0)</f>
        <v>0</v>
      </c>
      <c r="AK302" s="520">
        <f t="shared" si="63"/>
        <v>0</v>
      </c>
      <c r="AL302" s="520">
        <f t="shared" si="64"/>
        <v>0</v>
      </c>
      <c r="AM302" s="520">
        <f t="shared" si="65"/>
        <v>0</v>
      </c>
      <c r="AN302" s="521" t="str">
        <f>VLOOKUP($I302,'Price List, Weapons &amp; Items'!A:K,COLUMN('Price List, Weapons &amp; Items'!$I$1),0)</f>
        <v>Media reports (incl. social media)</v>
      </c>
      <c r="AO302" s="521" t="str">
        <f>IF(I302=".",".",VLOOKUP($I302,'Price List, Weapons &amp; Items'!A:I,3,0))</f>
        <v>.</v>
      </c>
      <c r="AP302" s="517" t="str">
        <f t="shared" ca="1" si="70"/>
        <v/>
      </c>
      <c r="AQ302" s="521">
        <f>VLOOKUP($I302,'Price List, Weapons &amp; Items'!A:K,COLUMN('Price List, Weapons &amp; Items'!$K$1),0)</f>
        <v>0</v>
      </c>
      <c r="AS302" s="521">
        <f t="shared" si="66"/>
        <v>1</v>
      </c>
      <c r="AT302" s="521">
        <f t="shared" si="67"/>
        <v>0</v>
      </c>
      <c r="AU302" s="521">
        <f t="shared" si="68"/>
        <v>1</v>
      </c>
      <c r="AV302" s="521" t="str">
        <f t="shared" si="69"/>
        <v>.</v>
      </c>
    </row>
    <row r="303" spans="1:48" ht="15" customHeight="1">
      <c r="A303" s="41" t="s">
        <v>1043</v>
      </c>
      <c r="B303" s="41" t="s">
        <v>1012</v>
      </c>
      <c r="C303" s="511">
        <v>44697</v>
      </c>
      <c r="D303" s="18" t="s">
        <v>228</v>
      </c>
      <c r="E303" s="18" t="s">
        <v>489</v>
      </c>
      <c r="F303" s="512" t="s">
        <v>1044</v>
      </c>
      <c r="G303" s="39" t="s">
        <v>314</v>
      </c>
      <c r="H303" s="513" t="s">
        <v>309</v>
      </c>
      <c r="I303" s="41" t="s">
        <v>326</v>
      </c>
      <c r="J303" s="276" t="str">
        <f>VLOOKUP($I303,'Price List, Weapons &amp; Items'!A:B,2,0)</f>
        <v>Humanitarian</v>
      </c>
      <c r="K303" s="276" t="str">
        <f>IF(I303=".",I303,VLOOKUP($I303,'Price List, Weapons &amp; Items'!A:C,3,0))</f>
        <v>.</v>
      </c>
      <c r="L303" s="514">
        <f>VLOOKUP(I303,'Price List, Weapons &amp; Items'!A:D,4,0)</f>
        <v>0</v>
      </c>
      <c r="M303" s="515">
        <v>6</v>
      </c>
      <c r="N303" s="515">
        <v>6</v>
      </c>
      <c r="O303" s="516">
        <f>VLOOKUP($I303,'Price List, Weapons &amp; Items'!A:F,6,0)</f>
        <v>317500</v>
      </c>
      <c r="P303" s="513">
        <f t="shared" si="71"/>
        <v>1905000</v>
      </c>
      <c r="Q303" s="513">
        <f t="shared" si="72"/>
        <v>1905000</v>
      </c>
      <c r="R303" s="513" t="str">
        <f t="shared" si="61"/>
        <v/>
      </c>
      <c r="S303" s="513" t="str">
        <f>IF(AND(AD303=1,R303&lt;&gt;".")=TRUE,R303/VLOOKUP(G303,'Exchange rates'!B:C,2,0),IF(R303=".",".",""))</f>
        <v/>
      </c>
      <c r="T303" s="513" t="str">
        <f>IF(AD303=1,IF(AF303="Value is not given at all",".",IF(AF303="Value is given by the source",S303,IF(AF303="Value is calculated with prices",(IF(SUMIFS(Q:Q,A:A,A303)&gt;0,SUMIFS(Q:Q,A:A,A303),"."))/VLOOKUP("USD",'Exchange rates'!B:C,2,0),"Error with coding"))),"")</f>
        <v/>
      </c>
      <c r="U303" s="39" t="s">
        <v>233</v>
      </c>
      <c r="V303" s="828" t="s">
        <v>1046</v>
      </c>
      <c r="W303" s="42" t="s">
        <v>232</v>
      </c>
      <c r="X303" s="42" t="s">
        <v>232</v>
      </c>
      <c r="Y303" s="825" t="s">
        <v>232</v>
      </c>
      <c r="Z303" s="39">
        <v>0</v>
      </c>
      <c r="AA303" s="518">
        <v>1</v>
      </c>
      <c r="AB303" s="834" t="s">
        <v>1046</v>
      </c>
      <c r="AC303" s="519" t="str">
        <f>""</f>
        <v/>
      </c>
      <c r="AD303" s="520">
        <v>0</v>
      </c>
      <c r="AE303" s="520" t="s">
        <v>300</v>
      </c>
      <c r="AF303" s="520" t="s">
        <v>300</v>
      </c>
      <c r="AG303" s="520">
        <v>1</v>
      </c>
      <c r="AH303" s="520">
        <v>5</v>
      </c>
      <c r="AI303" s="520"/>
      <c r="AJ303" s="520">
        <f>VLOOKUP($I303,'Price List, Weapons &amp; Items'!A:E,5,0)</f>
        <v>0</v>
      </c>
      <c r="AK303" s="520">
        <f t="shared" si="63"/>
        <v>0</v>
      </c>
      <c r="AL303" s="520">
        <f t="shared" si="64"/>
        <v>0</v>
      </c>
      <c r="AM303" s="520">
        <f t="shared" si="65"/>
        <v>0</v>
      </c>
      <c r="AN303" s="521" t="str">
        <f>VLOOKUP($I303,'Price List, Weapons &amp; Items'!A:K,COLUMN('Price List, Weapons &amp; Items'!$I$1),0)</f>
        <v>Media reports (incl. social media)</v>
      </c>
      <c r="AO303" s="521" t="str">
        <f>IF(I303=".",".",VLOOKUP($I303,'Price List, Weapons &amp; Items'!A:I,3,0))</f>
        <v>.</v>
      </c>
      <c r="AP303" s="517" t="str">
        <f t="shared" ca="1" si="70"/>
        <v/>
      </c>
      <c r="AQ303" s="521">
        <f>VLOOKUP($I303,'Price List, Weapons &amp; Items'!A:K,COLUMN('Price List, Weapons &amp; Items'!$K$1),0)</f>
        <v>0</v>
      </c>
      <c r="AS303" s="521">
        <f t="shared" si="66"/>
        <v>1</v>
      </c>
      <c r="AT303" s="521">
        <f t="shared" si="67"/>
        <v>0</v>
      </c>
      <c r="AU303" s="521">
        <f t="shared" si="68"/>
        <v>1</v>
      </c>
      <c r="AV303" s="521" t="str">
        <f t="shared" si="69"/>
        <v>.</v>
      </c>
    </row>
    <row r="304" spans="1:48" ht="15" customHeight="1">
      <c r="A304" s="41" t="s">
        <v>1043</v>
      </c>
      <c r="B304" s="41" t="s">
        <v>1012</v>
      </c>
      <c r="C304" s="511">
        <v>44697</v>
      </c>
      <c r="D304" s="18" t="s">
        <v>228</v>
      </c>
      <c r="E304" s="18" t="s">
        <v>489</v>
      </c>
      <c r="F304" s="512" t="s">
        <v>1044</v>
      </c>
      <c r="G304" s="39" t="s">
        <v>314</v>
      </c>
      <c r="H304" s="513" t="s">
        <v>309</v>
      </c>
      <c r="I304" s="41" t="s">
        <v>1047</v>
      </c>
      <c r="J304" s="276" t="str">
        <f>VLOOKUP($I304,'Price List, Weapons &amp; Items'!A:B,2,0)</f>
        <v>Humanitarian</v>
      </c>
      <c r="K304" s="276" t="str">
        <f>IF(I304=".",I304,VLOOKUP($I304,'Price List, Weapons &amp; Items'!A:C,3,0))</f>
        <v>.</v>
      </c>
      <c r="L304" s="514">
        <f>VLOOKUP(I304,'Price List, Weapons &amp; Items'!A:D,4,0)</f>
        <v>0</v>
      </c>
      <c r="M304" s="515">
        <v>1</v>
      </c>
      <c r="N304" s="515">
        <v>1</v>
      </c>
      <c r="O304" s="516">
        <f>VLOOKUP($I304,'Price List, Weapons &amp; Items'!A:F,6,0)</f>
        <v>317500</v>
      </c>
      <c r="P304" s="513">
        <f t="shared" si="71"/>
        <v>317500</v>
      </c>
      <c r="Q304" s="513">
        <f t="shared" si="72"/>
        <v>317500</v>
      </c>
      <c r="R304" s="513" t="str">
        <f t="shared" si="61"/>
        <v/>
      </c>
      <c r="S304" s="513" t="str">
        <f>IF(AND(AD304=1,R304&lt;&gt;".")=TRUE,R304/VLOOKUP(G304,'Exchange rates'!B:C,2,0),IF(R304=".",".",""))</f>
        <v/>
      </c>
      <c r="T304" s="513" t="str">
        <f>IF(AD304=1,IF(AF304="Value is not given at all",".",IF(AF304="Value is given by the source",S304,IF(AF304="Value is calculated with prices",(IF(SUMIFS(Q:Q,A:A,A304)&gt;0,SUMIFS(Q:Q,A:A,A304),"."))/VLOOKUP("USD",'Exchange rates'!B:C,2,0),"Error with coding"))),"")</f>
        <v/>
      </c>
      <c r="U304" s="39" t="s">
        <v>233</v>
      </c>
      <c r="V304" s="828" t="s">
        <v>1046</v>
      </c>
      <c r="W304" s="42" t="s">
        <v>232</v>
      </c>
      <c r="X304" s="42" t="s">
        <v>232</v>
      </c>
      <c r="Y304" s="825" t="s">
        <v>232</v>
      </c>
      <c r="Z304" s="39">
        <v>0</v>
      </c>
      <c r="AA304" s="518">
        <v>1</v>
      </c>
      <c r="AB304" s="834" t="s">
        <v>1046</v>
      </c>
      <c r="AC304" s="519" t="str">
        <f>""</f>
        <v/>
      </c>
      <c r="AD304" s="520">
        <v>0</v>
      </c>
      <c r="AE304" s="520" t="s">
        <v>300</v>
      </c>
      <c r="AF304" s="520" t="s">
        <v>300</v>
      </c>
      <c r="AG304" s="520">
        <v>1</v>
      </c>
      <c r="AH304" s="520">
        <v>5</v>
      </c>
      <c r="AI304" s="520"/>
      <c r="AJ304" s="520">
        <f>VLOOKUP($I304,'Price List, Weapons &amp; Items'!A:E,5,0)</f>
        <v>0</v>
      </c>
      <c r="AK304" s="520">
        <f t="shared" si="63"/>
        <v>0</v>
      </c>
      <c r="AL304" s="520">
        <f t="shared" si="64"/>
        <v>0</v>
      </c>
      <c r="AM304" s="520">
        <f t="shared" si="65"/>
        <v>0</v>
      </c>
      <c r="AN304" s="521" t="str">
        <f>VLOOKUP($I304,'Price List, Weapons &amp; Items'!A:K,COLUMN('Price List, Weapons &amp; Items'!$I$1),0)</f>
        <v>Media reports (incl. social media)</v>
      </c>
      <c r="AO304" s="521" t="str">
        <f>IF(I304=".",".",VLOOKUP($I304,'Price List, Weapons &amp; Items'!A:I,3,0))</f>
        <v>.</v>
      </c>
      <c r="AP304" s="517" t="str">
        <f t="shared" ca="1" si="70"/>
        <v/>
      </c>
      <c r="AQ304" s="521">
        <f>VLOOKUP($I304,'Price List, Weapons &amp; Items'!A:K,COLUMN('Price List, Weapons &amp; Items'!$K$1),0)</f>
        <v>0</v>
      </c>
      <c r="AS304" s="521">
        <f t="shared" si="66"/>
        <v>1</v>
      </c>
      <c r="AT304" s="521">
        <f t="shared" si="67"/>
        <v>0</v>
      </c>
      <c r="AU304" s="521">
        <f t="shared" si="68"/>
        <v>1</v>
      </c>
      <c r="AV304" s="521" t="str">
        <f t="shared" si="69"/>
        <v>.</v>
      </c>
    </row>
    <row r="305" spans="1:48" ht="15" customHeight="1">
      <c r="A305" s="41" t="s">
        <v>1043</v>
      </c>
      <c r="B305" s="41" t="s">
        <v>1012</v>
      </c>
      <c r="C305" s="511">
        <v>44697</v>
      </c>
      <c r="D305" s="18" t="s">
        <v>228</v>
      </c>
      <c r="E305" s="18" t="s">
        <v>489</v>
      </c>
      <c r="F305" s="512" t="s">
        <v>1044</v>
      </c>
      <c r="G305" s="39" t="s">
        <v>314</v>
      </c>
      <c r="H305" s="513" t="s">
        <v>309</v>
      </c>
      <c r="I305" s="41" t="s">
        <v>1048</v>
      </c>
      <c r="J305" s="276" t="str">
        <f>VLOOKUP($I305,'Price List, Weapons &amp; Items'!A:B,2,0)</f>
        <v>Humanitarian</v>
      </c>
      <c r="K305" s="276" t="str">
        <f>IF(I305=".",I305,VLOOKUP($I305,'Price List, Weapons &amp; Items'!A:C,3,0))</f>
        <v>.</v>
      </c>
      <c r="L305" s="514">
        <f>VLOOKUP(I305,'Price List, Weapons &amp; Items'!A:D,4,0)</f>
        <v>0</v>
      </c>
      <c r="M305" s="515">
        <v>36</v>
      </c>
      <c r="N305" s="515">
        <v>36</v>
      </c>
      <c r="O305" s="516">
        <f>VLOOKUP($I305,'Price List, Weapons &amp; Items'!A:F,6,0)</f>
        <v>1407.6250000000002</v>
      </c>
      <c r="P305" s="513">
        <f t="shared" si="71"/>
        <v>50674.500000000007</v>
      </c>
      <c r="Q305" s="513">
        <f t="shared" si="72"/>
        <v>50674.500000000007</v>
      </c>
      <c r="R305" s="513" t="str">
        <f t="shared" si="61"/>
        <v/>
      </c>
      <c r="S305" s="513" t="str">
        <f>IF(AND(AD305=1,R305&lt;&gt;".")=TRUE,R305/VLOOKUP(G305,'Exchange rates'!B:C,2,0),IF(R305=".",".",""))</f>
        <v/>
      </c>
      <c r="T305" s="513" t="str">
        <f>IF(AD305=1,IF(AF305="Value is not given at all",".",IF(AF305="Value is given by the source",S305,IF(AF305="Value is calculated with prices",(IF(SUMIFS(Q:Q,A:A,A305)&gt;0,SUMIFS(Q:Q,A:A,A305),"."))/VLOOKUP("USD",'Exchange rates'!B:C,2,0),"Error with coding"))),"")</f>
        <v/>
      </c>
      <c r="U305" s="39" t="s">
        <v>233</v>
      </c>
      <c r="V305" s="828" t="s">
        <v>1046</v>
      </c>
      <c r="W305" s="42" t="s">
        <v>232</v>
      </c>
      <c r="X305" s="42" t="s">
        <v>232</v>
      </c>
      <c r="Y305" s="825" t="s">
        <v>232</v>
      </c>
      <c r="Z305" s="39">
        <v>0</v>
      </c>
      <c r="AA305" s="518">
        <v>1</v>
      </c>
      <c r="AB305" s="834" t="s">
        <v>1046</v>
      </c>
      <c r="AC305" s="519" t="str">
        <f>""</f>
        <v/>
      </c>
      <c r="AD305" s="520">
        <v>0</v>
      </c>
      <c r="AE305" s="520" t="s">
        <v>300</v>
      </c>
      <c r="AF305" s="520" t="s">
        <v>300</v>
      </c>
      <c r="AG305" s="520">
        <v>1</v>
      </c>
      <c r="AH305" s="520">
        <v>5</v>
      </c>
      <c r="AI305" s="520"/>
      <c r="AJ305" s="520">
        <f>VLOOKUP($I305,'Price List, Weapons &amp; Items'!A:E,5,0)</f>
        <v>0</v>
      </c>
      <c r="AK305" s="520">
        <f t="shared" si="63"/>
        <v>0</v>
      </c>
      <c r="AL305" s="520">
        <f t="shared" si="64"/>
        <v>0</v>
      </c>
      <c r="AM305" s="520">
        <f t="shared" si="65"/>
        <v>0</v>
      </c>
      <c r="AN305" s="521" t="str">
        <f>VLOOKUP($I305,'Price List, Weapons &amp; Items'!A:K,COLUMN('Price List, Weapons &amp; Items'!$I$1),0)</f>
        <v>Online marketplaces and stores</v>
      </c>
      <c r="AO305" s="521" t="str">
        <f>IF(I305=".",".",VLOOKUP($I305,'Price List, Weapons &amp; Items'!A:I,3,0))</f>
        <v>.</v>
      </c>
      <c r="AP305" s="517" t="str">
        <f t="shared" ca="1" si="70"/>
        <v/>
      </c>
      <c r="AQ305" s="521">
        <f>VLOOKUP($I305,'Price List, Weapons &amp; Items'!A:K,COLUMN('Price List, Weapons &amp; Items'!$K$1),0)</f>
        <v>0</v>
      </c>
      <c r="AS305" s="521">
        <f t="shared" si="66"/>
        <v>1</v>
      </c>
      <c r="AT305" s="521">
        <f t="shared" si="67"/>
        <v>0</v>
      </c>
      <c r="AU305" s="521">
        <f t="shared" si="68"/>
        <v>1</v>
      </c>
      <c r="AV305" s="521" t="str">
        <f t="shared" si="69"/>
        <v>.</v>
      </c>
    </row>
    <row r="306" spans="1:48" ht="15" customHeight="1">
      <c r="A306" s="41" t="s">
        <v>1043</v>
      </c>
      <c r="B306" s="41" t="s">
        <v>1012</v>
      </c>
      <c r="C306" s="511">
        <v>44697</v>
      </c>
      <c r="D306" s="18" t="s">
        <v>228</v>
      </c>
      <c r="E306" s="18" t="s">
        <v>489</v>
      </c>
      <c r="F306" s="512" t="s">
        <v>1044</v>
      </c>
      <c r="G306" s="39" t="s">
        <v>314</v>
      </c>
      <c r="H306" s="513" t="s">
        <v>309</v>
      </c>
      <c r="I306" s="41" t="s">
        <v>1049</v>
      </c>
      <c r="J306" s="276" t="str">
        <f>VLOOKUP($I306,'Price List, Weapons &amp; Items'!A:B,2,0)</f>
        <v>Humanitarian</v>
      </c>
      <c r="K306" s="276" t="str">
        <f>IF(I306=".",I306,VLOOKUP($I306,'Price List, Weapons &amp; Items'!A:C,3,0))</f>
        <v>.</v>
      </c>
      <c r="L306" s="514">
        <f>VLOOKUP(I306,'Price List, Weapons &amp; Items'!A:D,4,0)</f>
        <v>0</v>
      </c>
      <c r="M306" s="515">
        <v>56000</v>
      </c>
      <c r="N306" s="515">
        <v>56000</v>
      </c>
      <c r="O306" s="516">
        <f>VLOOKUP($I306,'Price List, Weapons &amp; Items'!A:F,6,0)</f>
        <v>10.134900000000002</v>
      </c>
      <c r="P306" s="513">
        <f t="shared" si="71"/>
        <v>567554.40000000014</v>
      </c>
      <c r="Q306" s="513">
        <f t="shared" si="72"/>
        <v>567554.40000000014</v>
      </c>
      <c r="R306" s="513" t="str">
        <f t="shared" si="61"/>
        <v/>
      </c>
      <c r="S306" s="513" t="str">
        <f>IF(AND(AD306=1,R306&lt;&gt;".")=TRUE,R306/VLOOKUP(G306,'Exchange rates'!B:C,2,0),IF(R306=".",".",""))</f>
        <v/>
      </c>
      <c r="T306" s="513" t="str">
        <f>IF(AD306=1,IF(AF306="Value is not given at all",".",IF(AF306="Value is given by the source",S306,IF(AF306="Value is calculated with prices",(IF(SUMIFS(Q:Q,A:A,A306)&gt;0,SUMIFS(Q:Q,A:A,A306),"."))/VLOOKUP("USD",'Exchange rates'!B:C,2,0),"Error with coding"))),"")</f>
        <v/>
      </c>
      <c r="U306" s="39" t="s">
        <v>233</v>
      </c>
      <c r="V306" s="828" t="s">
        <v>1046</v>
      </c>
      <c r="W306" s="42" t="s">
        <v>232</v>
      </c>
      <c r="X306" s="42" t="s">
        <v>232</v>
      </c>
      <c r="Y306" s="825" t="s">
        <v>232</v>
      </c>
      <c r="Z306" s="39">
        <v>0</v>
      </c>
      <c r="AA306" s="518">
        <v>1</v>
      </c>
      <c r="AB306" s="834" t="s">
        <v>1046</v>
      </c>
      <c r="AC306" s="519" t="str">
        <f>""</f>
        <v/>
      </c>
      <c r="AD306" s="520">
        <v>0</v>
      </c>
      <c r="AE306" s="520" t="s">
        <v>300</v>
      </c>
      <c r="AF306" s="520" t="s">
        <v>300</v>
      </c>
      <c r="AG306" s="520">
        <v>1</v>
      </c>
      <c r="AH306" s="520">
        <v>5</v>
      </c>
      <c r="AI306" s="520"/>
      <c r="AJ306" s="520">
        <f>VLOOKUP($I306,'Price List, Weapons &amp; Items'!A:E,5,0)</f>
        <v>0</v>
      </c>
      <c r="AK306" s="520">
        <f t="shared" si="63"/>
        <v>0</v>
      </c>
      <c r="AL306" s="520">
        <f t="shared" si="64"/>
        <v>0</v>
      </c>
      <c r="AM306" s="520">
        <f t="shared" si="65"/>
        <v>0</v>
      </c>
      <c r="AN306" s="521" t="str">
        <f>VLOOKUP($I306,'Price List, Weapons &amp; Items'!A:K,COLUMN('Price List, Weapons &amp; Items'!$I$1),0)</f>
        <v>Online marketplaces and stores</v>
      </c>
      <c r="AO306" s="521" t="str">
        <f>IF(I306=".",".",VLOOKUP($I306,'Price List, Weapons &amp; Items'!A:I,3,0))</f>
        <v>.</v>
      </c>
      <c r="AP306" s="517" t="str">
        <f t="shared" ca="1" si="70"/>
        <v/>
      </c>
      <c r="AQ306" s="521">
        <f>VLOOKUP($I306,'Price List, Weapons &amp; Items'!A:K,COLUMN('Price List, Weapons &amp; Items'!$K$1),0)</f>
        <v>0</v>
      </c>
      <c r="AS306" s="521">
        <f t="shared" si="66"/>
        <v>1</v>
      </c>
      <c r="AT306" s="521">
        <f t="shared" si="67"/>
        <v>0</v>
      </c>
      <c r="AU306" s="521">
        <f t="shared" si="68"/>
        <v>1</v>
      </c>
      <c r="AV306" s="521" t="str">
        <f t="shared" si="69"/>
        <v>.</v>
      </c>
    </row>
    <row r="307" spans="1:48" ht="15" customHeight="1">
      <c r="A307" s="41" t="s">
        <v>1043</v>
      </c>
      <c r="B307" s="41" t="s">
        <v>1012</v>
      </c>
      <c r="C307" s="511">
        <v>44697</v>
      </c>
      <c r="D307" s="18" t="s">
        <v>228</v>
      </c>
      <c r="E307" s="18" t="s">
        <v>489</v>
      </c>
      <c r="F307" s="512" t="s">
        <v>1044</v>
      </c>
      <c r="G307" s="39" t="s">
        <v>314</v>
      </c>
      <c r="H307" s="513" t="s">
        <v>309</v>
      </c>
      <c r="I307" s="41" t="s">
        <v>1050</v>
      </c>
      <c r="J307" s="276" t="str">
        <f>VLOOKUP($I307,'Price List, Weapons &amp; Items'!A:B,2,0)</f>
        <v>Humanitarian</v>
      </c>
      <c r="K307" s="276" t="str">
        <f>IF(I307=".",I307,VLOOKUP($I307,'Price List, Weapons &amp; Items'!A:C,3,0))</f>
        <v>.</v>
      </c>
      <c r="L307" s="514">
        <f>VLOOKUP(I307,'Price List, Weapons &amp; Items'!A:D,4,0)</f>
        <v>0</v>
      </c>
      <c r="M307" s="515">
        <v>20000</v>
      </c>
      <c r="N307" s="515">
        <v>20000</v>
      </c>
      <c r="O307" s="516">
        <f>VLOOKUP($I307,'Price List, Weapons &amp; Items'!A:F,6,0)</f>
        <v>22</v>
      </c>
      <c r="P307" s="513">
        <f t="shared" si="71"/>
        <v>440000</v>
      </c>
      <c r="Q307" s="513">
        <f t="shared" si="72"/>
        <v>440000</v>
      </c>
      <c r="R307" s="513" t="str">
        <f t="shared" si="61"/>
        <v/>
      </c>
      <c r="S307" s="513" t="str">
        <f>IF(AND(AD307=1,R307&lt;&gt;".")=TRUE,R307/VLOOKUP(G307,'Exchange rates'!B:C,2,0),IF(R307=".",".",""))</f>
        <v/>
      </c>
      <c r="T307" s="513" t="str">
        <f>IF(AD307=1,IF(AF307="Value is not given at all",".",IF(AF307="Value is given by the source",S307,IF(AF307="Value is calculated with prices",(IF(SUMIFS(Q:Q,A:A,A307)&gt;0,SUMIFS(Q:Q,A:A,A307),"."))/VLOOKUP("USD",'Exchange rates'!B:C,2,0),"Error with coding"))),"")</f>
        <v/>
      </c>
      <c r="U307" s="39" t="s">
        <v>233</v>
      </c>
      <c r="V307" s="828" t="s">
        <v>1046</v>
      </c>
      <c r="W307" s="42" t="s">
        <v>232</v>
      </c>
      <c r="X307" s="42" t="s">
        <v>232</v>
      </c>
      <c r="Y307" s="825" t="s">
        <v>232</v>
      </c>
      <c r="Z307" s="39">
        <v>0</v>
      </c>
      <c r="AA307" s="518">
        <v>1</v>
      </c>
      <c r="AB307" s="834" t="s">
        <v>1046</v>
      </c>
      <c r="AC307" s="519" t="str">
        <f>""</f>
        <v/>
      </c>
      <c r="AD307" s="520">
        <v>0</v>
      </c>
      <c r="AE307" s="520" t="s">
        <v>300</v>
      </c>
      <c r="AF307" s="520" t="s">
        <v>300</v>
      </c>
      <c r="AG307" s="520">
        <v>1</v>
      </c>
      <c r="AH307" s="520">
        <v>5</v>
      </c>
      <c r="AI307" s="520"/>
      <c r="AJ307" s="520">
        <f>VLOOKUP($I307,'Price List, Weapons &amp; Items'!A:E,5,0)</f>
        <v>0</v>
      </c>
      <c r="AK307" s="520">
        <f t="shared" si="63"/>
        <v>0</v>
      </c>
      <c r="AL307" s="520">
        <f t="shared" si="64"/>
        <v>0</v>
      </c>
      <c r="AM307" s="520">
        <f t="shared" si="65"/>
        <v>0</v>
      </c>
      <c r="AN307" s="521" t="str">
        <f>VLOOKUP($I307,'Price List, Weapons &amp; Items'!A:K,COLUMN('Price List, Weapons &amp; Items'!$I$1),0)</f>
        <v>Online marketplaces and stores</v>
      </c>
      <c r="AO307" s="521" t="str">
        <f>IF(I307=".",".",VLOOKUP($I307,'Price List, Weapons &amp; Items'!A:I,3,0))</f>
        <v>.</v>
      </c>
      <c r="AP307" s="517" t="str">
        <f t="shared" ca="1" si="70"/>
        <v/>
      </c>
      <c r="AQ307" s="521">
        <f>VLOOKUP($I307,'Price List, Weapons &amp; Items'!A:K,COLUMN('Price List, Weapons &amp; Items'!$K$1),0)</f>
        <v>0</v>
      </c>
      <c r="AS307" s="521">
        <f t="shared" si="66"/>
        <v>1</v>
      </c>
      <c r="AT307" s="521">
        <f t="shared" si="67"/>
        <v>0</v>
      </c>
      <c r="AU307" s="521">
        <f t="shared" si="68"/>
        <v>1</v>
      </c>
      <c r="AV307" s="521" t="str">
        <f t="shared" si="69"/>
        <v>.</v>
      </c>
    </row>
    <row r="308" spans="1:48" ht="15" customHeight="1">
      <c r="A308" s="41" t="s">
        <v>1051</v>
      </c>
      <c r="B308" s="41" t="s">
        <v>1012</v>
      </c>
      <c r="C308" s="511">
        <v>44701</v>
      </c>
      <c r="D308" s="18" t="s">
        <v>228</v>
      </c>
      <c r="E308" s="18" t="s">
        <v>229</v>
      </c>
      <c r="F308" s="512" t="s">
        <v>1052</v>
      </c>
      <c r="G308" s="39" t="s">
        <v>232</v>
      </c>
      <c r="H308" s="513" t="s">
        <v>309</v>
      </c>
      <c r="I308" s="41" t="s">
        <v>232</v>
      </c>
      <c r="J308" s="276" t="str">
        <f>VLOOKUP($I308,'Price List, Weapons &amp; Items'!A:B,2,0)</f>
        <v>.</v>
      </c>
      <c r="K308" s="276" t="str">
        <f>IF(I308=".",I308,VLOOKUP($I308,'Price List, Weapons &amp; Items'!A:C,3,0))</f>
        <v>.</v>
      </c>
      <c r="L308" s="514">
        <f>VLOOKUP(I308,'Price List, Weapons &amp; Items'!A:D,4,0)</f>
        <v>0</v>
      </c>
      <c r="M308" s="515" t="s">
        <v>232</v>
      </c>
      <c r="N308" s="515" t="s">
        <v>232</v>
      </c>
      <c r="O308" s="516" t="str">
        <f>VLOOKUP($I308,'Price List, Weapons &amp; Items'!A:F,6,0)</f>
        <v>.</v>
      </c>
      <c r="P308" s="513" t="str">
        <f t="shared" si="71"/>
        <v>.</v>
      </c>
      <c r="Q308" s="513" t="str">
        <f t="shared" si="72"/>
        <v>.</v>
      </c>
      <c r="R308" s="513" t="str">
        <f t="shared" si="61"/>
        <v>.</v>
      </c>
      <c r="S308" s="513" t="str">
        <f>IF(AND(AD308=1,R308&lt;&gt;".")=TRUE,R308/VLOOKUP(G308,'Exchange rates'!B:C,2,0),IF(R308=".",".",""))</f>
        <v>.</v>
      </c>
      <c r="T308" s="513" t="str">
        <f>IF(AD308=1,IF(AF308="Value is not given at all",".",IF(AF308="Value is given by the source",S308,IF(AF308="Value is calculated with prices",(IF(SUMIFS(Q:Q,A:A,A308)&gt;0,SUMIFS(Q:Q,A:A,A308),"."))/VLOOKUP("USD",'Exchange rates'!B:C,2,0),"Error with coding"))),"")</f>
        <v>.</v>
      </c>
      <c r="U308" s="39" t="s">
        <v>233</v>
      </c>
      <c r="V308" s="42" t="s">
        <v>1053</v>
      </c>
      <c r="W308" s="531" t="s">
        <v>232</v>
      </c>
      <c r="X308" s="531" t="s">
        <v>232</v>
      </c>
      <c r="Y308" s="517" t="s">
        <v>232</v>
      </c>
      <c r="Z308" s="39">
        <v>0</v>
      </c>
      <c r="AA308" s="39">
        <v>0</v>
      </c>
      <c r="AB308" s="41" t="s">
        <v>232</v>
      </c>
      <c r="AC308" s="519" t="str">
        <f>""</f>
        <v/>
      </c>
      <c r="AD308" s="522">
        <v>1</v>
      </c>
      <c r="AE308" s="522" t="s">
        <v>237</v>
      </c>
      <c r="AF308" s="522" t="s">
        <v>237</v>
      </c>
      <c r="AG308" s="522">
        <v>1</v>
      </c>
      <c r="AH308" s="520">
        <v>5</v>
      </c>
      <c r="AI308" s="520">
        <v>0</v>
      </c>
      <c r="AJ308" s="520">
        <f>VLOOKUP($I308,'Price List, Weapons &amp; Items'!A:E,5,0)</f>
        <v>0</v>
      </c>
      <c r="AK308" s="520">
        <f t="shared" si="63"/>
        <v>0</v>
      </c>
      <c r="AL308" s="520">
        <f t="shared" si="64"/>
        <v>0</v>
      </c>
      <c r="AM308" s="520">
        <f t="shared" si="65"/>
        <v>0</v>
      </c>
      <c r="AN308" s="521" t="str">
        <f>VLOOKUP($I308,'Price List, Weapons &amp; Items'!A:K,COLUMN('Price List, Weapons &amp; Items'!$I$1),0)</f>
        <v>.</v>
      </c>
      <c r="AO308" s="521" t="str">
        <f>IF(I308=".",".",VLOOKUP($I308,'Price List, Weapons &amp; Items'!A:I,3,0))</f>
        <v>.</v>
      </c>
      <c r="AP308" s="517" t="str">
        <f t="shared" ca="1" si="70"/>
        <v>.</v>
      </c>
      <c r="AQ308" s="521" t="str">
        <f>VLOOKUP($I308,'Price List, Weapons &amp; Items'!A:K,COLUMN('Price List, Weapons &amp; Items'!$K$1),0)</f>
        <v>no price, 0 count</v>
      </c>
      <c r="AS308" s="521">
        <f t="shared" si="66"/>
        <v>1</v>
      </c>
      <c r="AT308" s="521">
        <f t="shared" si="67"/>
        <v>0</v>
      </c>
      <c r="AU308" s="521">
        <f t="shared" si="68"/>
        <v>1</v>
      </c>
      <c r="AV308" s="521" t="str">
        <f t="shared" si="69"/>
        <v>.</v>
      </c>
    </row>
    <row r="309" spans="1:48" ht="15" customHeight="1">
      <c r="A309" s="41" t="s">
        <v>1054</v>
      </c>
      <c r="B309" s="41" t="s">
        <v>1012</v>
      </c>
      <c r="C309" s="511">
        <v>44711</v>
      </c>
      <c r="D309" s="18" t="s">
        <v>228</v>
      </c>
      <c r="E309" s="18" t="s">
        <v>239</v>
      </c>
      <c r="F309" s="512" t="s">
        <v>1055</v>
      </c>
      <c r="G309" s="39" t="s">
        <v>314</v>
      </c>
      <c r="H309" s="513" t="s">
        <v>309</v>
      </c>
      <c r="I309" s="41" t="s">
        <v>326</v>
      </c>
      <c r="J309" s="276" t="str">
        <f>VLOOKUP($I309,'Price List, Weapons &amp; Items'!A:B,2,0)</f>
        <v>Humanitarian</v>
      </c>
      <c r="K309" s="276" t="str">
        <f>IF(I309=".",I309,VLOOKUP($I309,'Price List, Weapons &amp; Items'!A:C,3,0))</f>
        <v>.</v>
      </c>
      <c r="L309" s="514">
        <f>VLOOKUP(I309,'Price List, Weapons &amp; Items'!A:D,4,0)</f>
        <v>0</v>
      </c>
      <c r="M309" s="515">
        <v>12</v>
      </c>
      <c r="N309" s="515" t="s">
        <v>232</v>
      </c>
      <c r="O309" s="516">
        <f>VLOOKUP($I309,'Price List, Weapons &amp; Items'!A:F,6,0)</f>
        <v>317500</v>
      </c>
      <c r="P309" s="513">
        <f t="shared" si="71"/>
        <v>3810000</v>
      </c>
      <c r="Q309" s="513" t="str">
        <f t="shared" si="72"/>
        <v>.</v>
      </c>
      <c r="R309" s="513">
        <f t="shared" si="61"/>
        <v>3810000</v>
      </c>
      <c r="S309" s="513">
        <f>IF(AND(AD309=1,R309&lt;&gt;".")=TRUE,R309/VLOOKUP(G309,'Exchange rates'!B:C,2,0),IF(R309=".",".",""))</f>
        <v>3796711.5097159939</v>
      </c>
      <c r="T309" s="513" t="str">
        <f>IF(AD309=1,IF(AF309="Value is not given at all",".",IF(AF309="Value is given by the source",S309,IF(AF309="Value is calculated with prices",(IF(SUMIFS(Q:Q,A:A,A309)&gt;0,SUMIFS(Q:Q,A:A,A309),"."))/VLOOKUP("USD",'Exchange rates'!B:C,2,0),"Error with coding"))),"")</f>
        <v>.</v>
      </c>
      <c r="U309" s="39" t="s">
        <v>233</v>
      </c>
      <c r="V309" s="42" t="s">
        <v>1056</v>
      </c>
      <c r="W309" s="517" t="s">
        <v>232</v>
      </c>
      <c r="X309" s="517" t="s">
        <v>232</v>
      </c>
      <c r="Y309" s="517" t="s">
        <v>232</v>
      </c>
      <c r="Z309" s="39">
        <v>0</v>
      </c>
      <c r="AA309" s="518">
        <v>0</v>
      </c>
      <c r="AB309" s="521" t="s">
        <v>232</v>
      </c>
      <c r="AC309" s="519" t="str">
        <f>""</f>
        <v/>
      </c>
      <c r="AD309" s="520">
        <v>1</v>
      </c>
      <c r="AE309" s="520" t="s">
        <v>300</v>
      </c>
      <c r="AF309" s="520" t="s">
        <v>237</v>
      </c>
      <c r="AG309" s="520">
        <v>1</v>
      </c>
      <c r="AH309" s="520">
        <v>5</v>
      </c>
      <c r="AI309" s="520">
        <v>0</v>
      </c>
      <c r="AJ309" s="520">
        <f>VLOOKUP($I309,'Price List, Weapons &amp; Items'!A:E,5,0)</f>
        <v>0</v>
      </c>
      <c r="AK309" s="520">
        <f t="shared" si="63"/>
        <v>0</v>
      </c>
      <c r="AL309" s="520">
        <f t="shared" si="64"/>
        <v>0</v>
      </c>
      <c r="AM309" s="520">
        <f t="shared" si="65"/>
        <v>0</v>
      </c>
      <c r="AN309" s="521" t="str">
        <f>VLOOKUP($I309,'Price List, Weapons &amp; Items'!A:K,COLUMN('Price List, Weapons &amp; Items'!$I$1),0)</f>
        <v>Media reports (incl. social media)</v>
      </c>
      <c r="AO309" s="521" t="str">
        <f>IF(I309=".",".",VLOOKUP($I309,'Price List, Weapons &amp; Items'!A:I,3,0))</f>
        <v>.</v>
      </c>
      <c r="AP309" s="517" t="str">
        <f t="shared" ca="1" si="70"/>
        <v>ambulance H</v>
      </c>
      <c r="AQ309" s="521">
        <f>VLOOKUP($I309,'Price List, Weapons &amp; Items'!A:K,COLUMN('Price List, Weapons &amp; Items'!$K$1),0)</f>
        <v>0</v>
      </c>
      <c r="AS309" s="521">
        <f t="shared" si="66"/>
        <v>1</v>
      </c>
      <c r="AT309" s="521">
        <f t="shared" si="67"/>
        <v>0</v>
      </c>
      <c r="AU309" s="521">
        <f t="shared" si="68"/>
        <v>1</v>
      </c>
      <c r="AV309" s="521" t="str">
        <f t="shared" si="69"/>
        <v>.</v>
      </c>
    </row>
    <row r="310" spans="1:48" ht="15" customHeight="1">
      <c r="A310" s="41" t="s">
        <v>1057</v>
      </c>
      <c r="B310" s="41" t="s">
        <v>1012</v>
      </c>
      <c r="C310" s="511">
        <v>44729</v>
      </c>
      <c r="D310" s="18" t="s">
        <v>228</v>
      </c>
      <c r="E310" s="18" t="s">
        <v>229</v>
      </c>
      <c r="F310" s="512" t="s">
        <v>1058</v>
      </c>
      <c r="G310" s="39" t="s">
        <v>314</v>
      </c>
      <c r="H310" s="513" t="s">
        <v>309</v>
      </c>
      <c r="I310" s="525" t="s">
        <v>1059</v>
      </c>
      <c r="J310" s="276" t="str">
        <f>VLOOKUP($I310,'Price List, Weapons &amp; Items'!A:B,2,0)</f>
        <v>Humanitarian</v>
      </c>
      <c r="K310" s="276" t="str">
        <f>IF(I310=".",I310,VLOOKUP($I310,'Price List, Weapons &amp; Items'!A:C,3,0))</f>
        <v>.</v>
      </c>
      <c r="L310" s="514">
        <f>VLOOKUP(I310,'Price List, Weapons &amp; Items'!A:D,4,0)</f>
        <v>0</v>
      </c>
      <c r="M310" s="515">
        <v>31</v>
      </c>
      <c r="N310" s="515" t="s">
        <v>232</v>
      </c>
      <c r="O310" s="516">
        <f>VLOOKUP($I310,'Price List, Weapons &amp; Items'!A:F,6,0)</f>
        <v>37609.264000000003</v>
      </c>
      <c r="P310" s="513">
        <f t="shared" si="71"/>
        <v>1165887.1840000001</v>
      </c>
      <c r="Q310" s="513" t="str">
        <f t="shared" si="72"/>
        <v>.</v>
      </c>
      <c r="R310" s="513">
        <f t="shared" si="61"/>
        <v>1165887.1840000001</v>
      </c>
      <c r="S310" s="513">
        <f>IF(AND(AD310=1,R310&lt;&gt;".")=TRUE,R310/VLOOKUP(G310,'Exchange rates'!B:C,2,0),IF(R310=".",".",""))</f>
        <v>1161820.8111609367</v>
      </c>
      <c r="T310" s="513" t="str">
        <f>IF(AD310=1,IF(AF310="Value is not given at all",".",IF(AF310="Value is given by the source",S310,IF(AF310="Value is calculated with prices",(IF(SUMIFS(Q:Q,A:A,A310)&gt;0,SUMIFS(Q:Q,A:A,A310),"."))/VLOOKUP("USD",'Exchange rates'!B:C,2,0),"Error with coding"))),"")</f>
        <v>.</v>
      </c>
      <c r="U310" s="39" t="s">
        <v>233</v>
      </c>
      <c r="V310" s="42" t="s">
        <v>1060</v>
      </c>
      <c r="W310" s="512" t="s">
        <v>232</v>
      </c>
      <c r="X310" s="512" t="s">
        <v>232</v>
      </c>
      <c r="Y310" s="512" t="s">
        <v>232</v>
      </c>
      <c r="Z310" s="39">
        <v>0</v>
      </c>
      <c r="AA310" s="39">
        <v>0</v>
      </c>
      <c r="AB310" s="41" t="s">
        <v>232</v>
      </c>
      <c r="AC310" s="519" t="str">
        <f>""</f>
        <v/>
      </c>
      <c r="AD310" s="522">
        <v>1</v>
      </c>
      <c r="AE310" s="522" t="s">
        <v>237</v>
      </c>
      <c r="AF310" s="522" t="s">
        <v>237</v>
      </c>
      <c r="AG310" s="522">
        <v>1</v>
      </c>
      <c r="AH310" s="520">
        <v>6</v>
      </c>
      <c r="AI310" s="520">
        <v>0</v>
      </c>
      <c r="AJ310" s="520">
        <f>VLOOKUP($I310,'Price List, Weapons &amp; Items'!A:E,5,0)</f>
        <v>0</v>
      </c>
      <c r="AK310" s="520">
        <f t="shared" si="63"/>
        <v>0</v>
      </c>
      <c r="AL310" s="520">
        <f t="shared" si="64"/>
        <v>0</v>
      </c>
      <c r="AM310" s="520">
        <f t="shared" si="65"/>
        <v>0</v>
      </c>
      <c r="AN310" s="521" t="str">
        <f>VLOOKUP($I310,'Price List, Weapons &amp; Items'!A:K,COLUMN('Price List, Weapons &amp; Items'!$I$1),0)</f>
        <v>Miscellaneous</v>
      </c>
      <c r="AO310" s="521" t="str">
        <f>IF(I310=".",".",VLOOKUP($I310,'Price List, Weapons &amp; Items'!A:I,3,0))</f>
        <v>.</v>
      </c>
      <c r="AP310" s="517" t="str">
        <f t="shared" ca="1" si="70"/>
        <v>Field crop seed (per Ton)</v>
      </c>
      <c r="AQ310" s="521">
        <f>VLOOKUP($I310,'Price List, Weapons &amp; Items'!A:K,COLUMN('Price List, Weapons &amp; Items'!$K$1),0)</f>
        <v>0</v>
      </c>
      <c r="AS310" s="521">
        <f t="shared" si="66"/>
        <v>1</v>
      </c>
      <c r="AT310" s="521">
        <f t="shared" si="67"/>
        <v>0</v>
      </c>
      <c r="AU310" s="521">
        <f t="shared" si="68"/>
        <v>1</v>
      </c>
      <c r="AV310" s="521" t="str">
        <f t="shared" si="69"/>
        <v>.</v>
      </c>
    </row>
    <row r="311" spans="1:48" ht="15" customHeight="1">
      <c r="A311" s="41" t="s">
        <v>1061</v>
      </c>
      <c r="B311" s="41" t="s">
        <v>1012</v>
      </c>
      <c r="C311" s="511">
        <v>44729</v>
      </c>
      <c r="D311" s="18" t="s">
        <v>228</v>
      </c>
      <c r="E311" s="18" t="s">
        <v>229</v>
      </c>
      <c r="F311" s="512" t="s">
        <v>1062</v>
      </c>
      <c r="G311" s="39" t="s">
        <v>232</v>
      </c>
      <c r="H311" s="513" t="s">
        <v>309</v>
      </c>
      <c r="I311" s="41" t="s">
        <v>232</v>
      </c>
      <c r="J311" s="276" t="str">
        <f>VLOOKUP($I311,'Price List, Weapons &amp; Items'!A:B,2,0)</f>
        <v>.</v>
      </c>
      <c r="K311" s="276" t="str">
        <f>IF(I311=".",I311,VLOOKUP($I311,'Price List, Weapons &amp; Items'!A:C,3,0))</f>
        <v>.</v>
      </c>
      <c r="L311" s="514">
        <f>VLOOKUP(I311,'Price List, Weapons &amp; Items'!A:D,4,0)</f>
        <v>0</v>
      </c>
      <c r="M311" s="515" t="s">
        <v>232</v>
      </c>
      <c r="N311" s="515" t="s">
        <v>232</v>
      </c>
      <c r="O311" s="516" t="str">
        <f>VLOOKUP($I311,'Price List, Weapons &amp; Items'!A:F,6,0)</f>
        <v>.</v>
      </c>
      <c r="P311" s="513" t="str">
        <f t="shared" si="71"/>
        <v>.</v>
      </c>
      <c r="Q311" s="513" t="str">
        <f t="shared" si="72"/>
        <v>.</v>
      </c>
      <c r="R311" s="513" t="str">
        <f t="shared" si="61"/>
        <v>.</v>
      </c>
      <c r="S311" s="513" t="str">
        <f>IF(AND(AD311=1,R311&lt;&gt;".")=TRUE,R311/VLOOKUP(G311,'Exchange rates'!B:C,2,0),IF(R311=".",".",""))</f>
        <v>.</v>
      </c>
      <c r="T311" s="513" t="str">
        <f>IF(AD311=1,IF(AF311="Value is not given at all",".",IF(AF311="Value is given by the source",S311,IF(AF311="Value is calculated with prices",(IF(SUMIFS(Q:Q,A:A,A311)&gt;0,SUMIFS(Q:Q,A:A,A311),"."))/VLOOKUP("USD",'Exchange rates'!B:C,2,0),"Error with coding"))),"")</f>
        <v>.</v>
      </c>
      <c r="U311" s="39" t="s">
        <v>233</v>
      </c>
      <c r="V311" s="42" t="s">
        <v>1053</v>
      </c>
      <c r="W311" s="512" t="s">
        <v>232</v>
      </c>
      <c r="X311" s="512" t="s">
        <v>232</v>
      </c>
      <c r="Y311" s="512" t="s">
        <v>232</v>
      </c>
      <c r="Z311" s="39">
        <v>0</v>
      </c>
      <c r="AA311" s="39">
        <v>0</v>
      </c>
      <c r="AB311" s="41" t="s">
        <v>232</v>
      </c>
      <c r="AC311" s="519" t="str">
        <f>""</f>
        <v/>
      </c>
      <c r="AD311" s="522">
        <v>1</v>
      </c>
      <c r="AE311" s="522" t="s">
        <v>237</v>
      </c>
      <c r="AF311" s="522" t="s">
        <v>237</v>
      </c>
      <c r="AG311" s="522">
        <v>1</v>
      </c>
      <c r="AH311" s="520">
        <v>6</v>
      </c>
      <c r="AI311" s="520">
        <v>0</v>
      </c>
      <c r="AJ311" s="520">
        <f>VLOOKUP($I311,'Price List, Weapons &amp; Items'!A:E,5,0)</f>
        <v>0</v>
      </c>
      <c r="AK311" s="520">
        <f t="shared" si="63"/>
        <v>0</v>
      </c>
      <c r="AL311" s="520">
        <f t="shared" si="64"/>
        <v>0</v>
      </c>
      <c r="AM311" s="520">
        <f t="shared" si="65"/>
        <v>0</v>
      </c>
      <c r="AN311" s="521" t="str">
        <f>VLOOKUP($I311,'Price List, Weapons &amp; Items'!A:K,COLUMN('Price List, Weapons &amp; Items'!$I$1),0)</f>
        <v>.</v>
      </c>
      <c r="AO311" s="521" t="str">
        <f>IF(I311=".",".",VLOOKUP($I311,'Price List, Weapons &amp; Items'!A:I,3,0))</f>
        <v>.</v>
      </c>
      <c r="AP311" s="517" t="str">
        <f t="shared" ca="1" si="70"/>
        <v>.</v>
      </c>
      <c r="AQ311" s="521" t="str">
        <f>VLOOKUP($I311,'Price List, Weapons &amp; Items'!A:K,COLUMN('Price List, Weapons &amp; Items'!$K$1),0)</f>
        <v>no price, 0 count</v>
      </c>
      <c r="AS311" s="521">
        <f t="shared" si="66"/>
        <v>1</v>
      </c>
      <c r="AT311" s="521">
        <f t="shared" si="67"/>
        <v>0</v>
      </c>
      <c r="AU311" s="521">
        <f t="shared" si="68"/>
        <v>1</v>
      </c>
      <c r="AV311" s="521" t="str">
        <f t="shared" si="69"/>
        <v>.</v>
      </c>
    </row>
    <row r="312" spans="1:48" ht="15" customHeight="1">
      <c r="A312" s="41" t="s">
        <v>1063</v>
      </c>
      <c r="B312" s="41" t="s">
        <v>1012</v>
      </c>
      <c r="C312" s="511">
        <v>44740</v>
      </c>
      <c r="D312" s="18" t="s">
        <v>228</v>
      </c>
      <c r="E312" s="18" t="s">
        <v>239</v>
      </c>
      <c r="F312" s="512" t="s">
        <v>1064</v>
      </c>
      <c r="G312" s="39" t="s">
        <v>232</v>
      </c>
      <c r="H312" s="513" t="s">
        <v>309</v>
      </c>
      <c r="I312" s="41" t="s">
        <v>232</v>
      </c>
      <c r="J312" s="276" t="str">
        <f>VLOOKUP($I312,'Price List, Weapons &amp; Items'!A:B,2,0)</f>
        <v>.</v>
      </c>
      <c r="K312" s="276" t="str">
        <f>IF(I312=".",I312,VLOOKUP($I312,'Price List, Weapons &amp; Items'!A:C,3,0))</f>
        <v>.</v>
      </c>
      <c r="L312" s="514">
        <f>VLOOKUP(I312,'Price List, Weapons &amp; Items'!A:D,4,0)</f>
        <v>0</v>
      </c>
      <c r="M312" s="515" t="s">
        <v>232</v>
      </c>
      <c r="N312" s="515" t="s">
        <v>232</v>
      </c>
      <c r="O312" s="516" t="str">
        <f>VLOOKUP($I312,'Price List, Weapons &amp; Items'!A:F,6,0)</f>
        <v>.</v>
      </c>
      <c r="P312" s="513" t="str">
        <f t="shared" si="71"/>
        <v>.</v>
      </c>
      <c r="Q312" s="513" t="str">
        <f t="shared" si="72"/>
        <v>.</v>
      </c>
      <c r="R312" s="513" t="str">
        <f t="shared" si="61"/>
        <v>.</v>
      </c>
      <c r="S312" s="513" t="str">
        <f>IF(AND(AD312=1,R312&lt;&gt;".")=TRUE,R312/VLOOKUP(G312,'Exchange rates'!B:C,2,0),IF(R312=".",".",""))</f>
        <v>.</v>
      </c>
      <c r="T312" s="513" t="str">
        <f>IF(AD312=1,IF(AF312="Value is not given at all",".",IF(AF312="Value is given by the source",S312,IF(AF312="Value is calculated with prices",(IF(SUMIFS(Q:Q,A:A,A312)&gt;0,SUMIFS(Q:Q,A:A,A312),"."))/VLOOKUP("USD",'Exchange rates'!B:C,2,0),"Error with coding"))),"")</f>
        <v>.</v>
      </c>
      <c r="U312" s="39" t="s">
        <v>233</v>
      </c>
      <c r="V312" s="42" t="s">
        <v>1065</v>
      </c>
      <c r="W312" s="512" t="s">
        <v>232</v>
      </c>
      <c r="X312" s="512" t="s">
        <v>232</v>
      </c>
      <c r="Y312" s="512" t="s">
        <v>232</v>
      </c>
      <c r="Z312" s="39">
        <v>0</v>
      </c>
      <c r="AA312" s="39">
        <v>0</v>
      </c>
      <c r="AB312" s="523" t="s">
        <v>232</v>
      </c>
      <c r="AC312" s="519" t="str">
        <f>""</f>
        <v/>
      </c>
      <c r="AD312" s="522">
        <v>1</v>
      </c>
      <c r="AE312" s="522" t="s">
        <v>237</v>
      </c>
      <c r="AF312" s="522" t="s">
        <v>237</v>
      </c>
      <c r="AG312" s="522">
        <v>1</v>
      </c>
      <c r="AH312" s="520">
        <v>6</v>
      </c>
      <c r="AI312" s="520">
        <v>0</v>
      </c>
      <c r="AJ312" s="520">
        <f>VLOOKUP($I312,'Price List, Weapons &amp; Items'!A:E,5,0)</f>
        <v>0</v>
      </c>
      <c r="AK312" s="520">
        <f t="shared" si="63"/>
        <v>0</v>
      </c>
      <c r="AL312" s="520">
        <f t="shared" si="64"/>
        <v>0</v>
      </c>
      <c r="AM312" s="520">
        <f t="shared" si="65"/>
        <v>0</v>
      </c>
      <c r="AN312" s="521" t="str">
        <f>VLOOKUP($I312,'Price List, Weapons &amp; Items'!A:K,COLUMN('Price List, Weapons &amp; Items'!$I$1),0)</f>
        <v>.</v>
      </c>
      <c r="AO312" s="521" t="str">
        <f>IF(I312=".",".",VLOOKUP($I312,'Price List, Weapons &amp; Items'!A:I,3,0))</f>
        <v>.</v>
      </c>
      <c r="AP312" s="517" t="str">
        <f t="shared" ca="1" si="70"/>
        <v>.</v>
      </c>
      <c r="AQ312" s="521" t="str">
        <f>VLOOKUP($I312,'Price List, Weapons &amp; Items'!A:K,COLUMN('Price List, Weapons &amp; Items'!$K$1),0)</f>
        <v>no price, 0 count</v>
      </c>
      <c r="AS312" s="521">
        <f t="shared" si="66"/>
        <v>1</v>
      </c>
      <c r="AT312" s="521">
        <f t="shared" si="67"/>
        <v>0</v>
      </c>
      <c r="AU312" s="521">
        <f t="shared" si="68"/>
        <v>1</v>
      </c>
      <c r="AV312" s="521" t="str">
        <f t="shared" si="69"/>
        <v>.</v>
      </c>
    </row>
    <row r="313" spans="1:48" s="518" customFormat="1" ht="15" customHeight="1">
      <c r="A313" s="41" t="s">
        <v>1066</v>
      </c>
      <c r="B313" s="41" t="s">
        <v>1012</v>
      </c>
      <c r="C313" s="511">
        <v>44757</v>
      </c>
      <c r="D313" s="18" t="s">
        <v>228</v>
      </c>
      <c r="E313" s="18" t="s">
        <v>1067</v>
      </c>
      <c r="F313" s="512" t="s">
        <v>1068</v>
      </c>
      <c r="G313" s="39" t="s">
        <v>332</v>
      </c>
      <c r="H313" s="527" t="s">
        <v>309</v>
      </c>
      <c r="I313" s="41" t="s">
        <v>1069</v>
      </c>
      <c r="J313" s="276" t="str">
        <f>VLOOKUP($I313,'Price List, Weapons &amp; Items'!A:B,2,0)</f>
        <v>Humanitarian</v>
      </c>
      <c r="K313" s="276" t="str">
        <f>IF(I313=".",I313,VLOOKUP($I313,'Price List, Weapons &amp; Items'!A:C,3,0))</f>
        <v>.</v>
      </c>
      <c r="L313" s="514">
        <f>VLOOKUP(I313,'Price List, Weapons &amp; Items'!A:D,4,0)</f>
        <v>0</v>
      </c>
      <c r="M313" s="527">
        <v>1</v>
      </c>
      <c r="N313" s="527" t="s">
        <v>232</v>
      </c>
      <c r="O313" s="516" t="str">
        <f>VLOOKUP($I313,'Price List, Weapons &amp; Items'!A:F,6,0)</f>
        <v>.</v>
      </c>
      <c r="P313" s="513" t="str">
        <f t="shared" si="71"/>
        <v>No price</v>
      </c>
      <c r="Q313" s="513" t="str">
        <f t="shared" si="72"/>
        <v>.</v>
      </c>
      <c r="R313" s="513" t="str">
        <f t="shared" si="61"/>
        <v>.</v>
      </c>
      <c r="S313" s="513" t="str">
        <f>IF(AND(AD313=1,R313&lt;&gt;".")=TRUE,R313/VLOOKUP(G313,'Exchange rates'!B:C,2,0),IF(R313=".",".",""))</f>
        <v>.</v>
      </c>
      <c r="T313" s="513" t="str">
        <f>IF(AD313=1,IF(AF313="Value is not given at all",".",IF(AF313="Value is given by the source",S313,IF(AF313="Value is calculated with prices",(IF(SUMIFS(Q:Q,A:A,A313)&gt;0,SUMIFS(Q:Q,A:A,A313),"."))/VLOOKUP("USD",'Exchange rates'!B:C,2,0),"Error with coding"))),"")</f>
        <v>.</v>
      </c>
      <c r="U313" s="39" t="s">
        <v>233</v>
      </c>
      <c r="V313" s="42" t="s">
        <v>1070</v>
      </c>
      <c r="W313" s="512" t="s">
        <v>232</v>
      </c>
      <c r="X313" s="512" t="s">
        <v>232</v>
      </c>
      <c r="Y313" s="512" t="s">
        <v>232</v>
      </c>
      <c r="Z313" s="39">
        <v>0</v>
      </c>
      <c r="AA313" s="518">
        <v>0</v>
      </c>
      <c r="AB313" s="523" t="s">
        <v>232</v>
      </c>
      <c r="AC313" s="519" t="str">
        <f>""</f>
        <v/>
      </c>
      <c r="AD313" s="522">
        <v>1</v>
      </c>
      <c r="AE313" s="522" t="s">
        <v>237</v>
      </c>
      <c r="AF313" s="522" t="s">
        <v>237</v>
      </c>
      <c r="AG313" s="522">
        <v>1</v>
      </c>
      <c r="AH313" s="520">
        <v>7</v>
      </c>
      <c r="AI313" s="520">
        <v>0</v>
      </c>
      <c r="AJ313" s="520">
        <f>VLOOKUP($I313,'Price List, Weapons &amp; Items'!A:E,5,0)</f>
        <v>0</v>
      </c>
      <c r="AK313" s="520">
        <f t="shared" si="63"/>
        <v>0</v>
      </c>
      <c r="AL313" s="520">
        <f t="shared" si="64"/>
        <v>0</v>
      </c>
      <c r="AM313" s="520">
        <f t="shared" si="65"/>
        <v>0</v>
      </c>
      <c r="AN313" s="521" t="str">
        <f>VLOOKUP($I313,'Price List, Weapons &amp; Items'!A:K,COLUMN('Price List, Weapons &amp; Items'!$I$1),0)</f>
        <v>.</v>
      </c>
      <c r="AO313" s="521" t="str">
        <f>IF(I313=".",".",VLOOKUP($I313,'Price List, Weapons &amp; Items'!A:I,3,0))</f>
        <v>.</v>
      </c>
      <c r="AP313" s="517" t="str">
        <f t="shared" ca="1" si="70"/>
        <v>mobile DNA-analysis laboratory</v>
      </c>
      <c r="AQ313" s="521">
        <f>VLOOKUP($I313,'Price List, Weapons &amp; Items'!A:K,COLUMN('Price List, Weapons &amp; Items'!$K$1),0)</f>
        <v>0</v>
      </c>
      <c r="AS313" s="521">
        <f t="shared" si="66"/>
        <v>1</v>
      </c>
      <c r="AT313" s="521">
        <f t="shared" si="67"/>
        <v>0</v>
      </c>
      <c r="AU313" s="521">
        <f t="shared" si="68"/>
        <v>1</v>
      </c>
      <c r="AV313" s="521" t="str">
        <f t="shared" si="69"/>
        <v>.</v>
      </c>
    </row>
    <row r="314" spans="1:48" s="518" customFormat="1" ht="15" customHeight="1">
      <c r="A314" s="41" t="s">
        <v>1071</v>
      </c>
      <c r="B314" s="41" t="s">
        <v>1012</v>
      </c>
      <c r="C314" s="511">
        <v>44832</v>
      </c>
      <c r="D314" s="18" t="s">
        <v>228</v>
      </c>
      <c r="E314" s="18" t="s">
        <v>489</v>
      </c>
      <c r="F314" s="512" t="s">
        <v>1072</v>
      </c>
      <c r="G314" s="39" t="s">
        <v>332</v>
      </c>
      <c r="H314" s="513">
        <v>9000000</v>
      </c>
      <c r="I314" s="46" t="s">
        <v>1036</v>
      </c>
      <c r="J314" s="276" t="str">
        <f>VLOOKUP($I314,'Price List, Weapons &amp; Items'!A:B,2,0)</f>
        <v>Humanitarian</v>
      </c>
      <c r="K314" s="276" t="str">
        <f>IF(I314=".",I314,VLOOKUP($I314,'Price List, Weapons &amp; Items'!A:C,3,0))</f>
        <v>.</v>
      </c>
      <c r="L314" s="514">
        <f>VLOOKUP(I314,'Price List, Weapons &amp; Items'!A:D,4,0)</f>
        <v>0</v>
      </c>
      <c r="M314" s="46" t="s">
        <v>264</v>
      </c>
      <c r="N314" s="527" t="s">
        <v>232</v>
      </c>
      <c r="O314" s="516" t="str">
        <f>VLOOKUP($I314,'Price List, Weapons &amp; Items'!A:F,6,0)</f>
        <v>.</v>
      </c>
      <c r="P314" s="513" t="str">
        <f t="shared" si="71"/>
        <v>.</v>
      </c>
      <c r="Q314" s="513" t="str">
        <f t="shared" si="72"/>
        <v>.</v>
      </c>
      <c r="R314" s="513" t="str">
        <f t="shared" si="61"/>
        <v/>
      </c>
      <c r="S314" s="513" t="str">
        <f>IF(AND(AD314=1,R314&lt;&gt;".")=TRUE,R314/VLOOKUP(G314,'Exchange rates'!B:C,2,0),IF(R314=".",".",""))</f>
        <v/>
      </c>
      <c r="T314" s="513" t="str">
        <f>IF(AD314=1,IF(AF314="Value is not given at all",".",IF(AF314="Value is given by the source",S314,IF(AF314="Value is calculated with prices",(IF(SUMIFS(Q:Q,A:A,A314)&gt;0,SUMIFS(Q:Q,A:A,A314),"."))/VLOOKUP("USD",'Exchange rates'!B:C,2,0),"Error with coding"))),"")</f>
        <v/>
      </c>
      <c r="U314" s="39" t="s">
        <v>233</v>
      </c>
      <c r="V314" s="826" t="s">
        <v>1073</v>
      </c>
      <c r="W314" s="826" t="s">
        <v>1074</v>
      </c>
      <c r="X314" s="825" t="s">
        <v>1075</v>
      </c>
      <c r="Y314" s="825" t="s">
        <v>1076</v>
      </c>
      <c r="Z314" s="39">
        <v>0</v>
      </c>
      <c r="AA314" s="518">
        <v>0</v>
      </c>
      <c r="AB314" s="395" t="s">
        <v>232</v>
      </c>
      <c r="AC314" s="519" t="str">
        <f>""</f>
        <v/>
      </c>
      <c r="AD314" s="522">
        <v>0</v>
      </c>
      <c r="AE314" s="522" t="s">
        <v>236</v>
      </c>
      <c r="AF314" s="522" t="s">
        <v>237</v>
      </c>
      <c r="AG314" s="522">
        <v>1</v>
      </c>
      <c r="AH314" s="520">
        <v>9</v>
      </c>
      <c r="AI314" s="520">
        <v>0</v>
      </c>
      <c r="AJ314" s="520">
        <f>VLOOKUP($I314,'Price List, Weapons &amp; Items'!A:E,5,0)</f>
        <v>0</v>
      </c>
      <c r="AK314" s="520">
        <f t="shared" si="63"/>
        <v>0</v>
      </c>
      <c r="AL314" s="520">
        <f t="shared" si="64"/>
        <v>0</v>
      </c>
      <c r="AM314" s="520">
        <f t="shared" si="65"/>
        <v>0</v>
      </c>
      <c r="AN314" s="521" t="str">
        <f>VLOOKUP($I314,'Price List, Weapons &amp; Items'!A:K,COLUMN('Price List, Weapons &amp; Items'!$I$1),0)</f>
        <v>.</v>
      </c>
      <c r="AO314" s="521" t="str">
        <f>IF(I314=".",".",VLOOKUP($I314,'Price List, Weapons &amp; Items'!A:I,3,0))</f>
        <v>.</v>
      </c>
      <c r="AP314" s="517" t="str">
        <f t="shared" ca="1" si="70"/>
        <v/>
      </c>
      <c r="AQ314" s="521">
        <f>VLOOKUP($I314,'Price List, Weapons &amp; Items'!A:K,COLUMN('Price List, Weapons &amp; Items'!$K$1),0)</f>
        <v>0</v>
      </c>
      <c r="AS314" s="521">
        <f t="shared" si="66"/>
        <v>1</v>
      </c>
      <c r="AT314" s="521">
        <f t="shared" si="67"/>
        <v>0</v>
      </c>
      <c r="AU314" s="521">
        <f t="shared" si="68"/>
        <v>1</v>
      </c>
      <c r="AV314" s="521" t="str">
        <f t="shared" si="69"/>
        <v>.</v>
      </c>
    </row>
    <row r="315" spans="1:48" s="518" customFormat="1" ht="15" customHeight="1">
      <c r="A315" s="41" t="s">
        <v>1071</v>
      </c>
      <c r="B315" s="41" t="s">
        <v>1012</v>
      </c>
      <c r="C315" s="511">
        <v>44832</v>
      </c>
      <c r="D315" s="18" t="s">
        <v>228</v>
      </c>
      <c r="E315" s="18" t="s">
        <v>489</v>
      </c>
      <c r="F315" s="512" t="s">
        <v>1072</v>
      </c>
      <c r="G315" s="39" t="s">
        <v>332</v>
      </c>
      <c r="H315" s="513">
        <v>9000000</v>
      </c>
      <c r="I315" s="46" t="s">
        <v>1077</v>
      </c>
      <c r="J315" s="276" t="str">
        <f>VLOOKUP($I315,'Price List, Weapons &amp; Items'!A:B,2,0)</f>
        <v>Humanitarian</v>
      </c>
      <c r="K315" s="276" t="str">
        <f>IF(I315=".",I315,VLOOKUP($I315,'Price List, Weapons &amp; Items'!A:C,3,0))</f>
        <v>.</v>
      </c>
      <c r="L315" s="514">
        <f>VLOOKUP(I315,'Price List, Weapons &amp; Items'!A:D,4,0)</f>
        <v>0</v>
      </c>
      <c r="M315" s="46">
        <v>200</v>
      </c>
      <c r="N315" s="527" t="s">
        <v>232</v>
      </c>
      <c r="O315" s="516" t="str">
        <f>VLOOKUP($I315,'Price List, Weapons &amp; Items'!A:F,6,0)</f>
        <v>.</v>
      </c>
      <c r="P315" s="513" t="str">
        <f t="shared" si="71"/>
        <v>No price</v>
      </c>
      <c r="Q315" s="513" t="str">
        <f t="shared" si="72"/>
        <v>.</v>
      </c>
      <c r="R315" s="513" t="str">
        <f t="shared" si="61"/>
        <v/>
      </c>
      <c r="S315" s="513" t="str">
        <f>IF(AND(AD315=1,R315&lt;&gt;".")=TRUE,R315/VLOOKUP(G315,'Exchange rates'!B:C,2,0),IF(R315=".",".",""))</f>
        <v/>
      </c>
      <c r="T315" s="513" t="str">
        <f>IF(AD315=1,IF(AF315="Value is not given at all",".",IF(AF315="Value is given by the source",S315,IF(AF315="Value is calculated with prices",(IF(SUMIFS(Q:Q,A:A,A315)&gt;0,SUMIFS(Q:Q,A:A,A315),"."))/VLOOKUP("USD",'Exchange rates'!B:C,2,0),"Error with coding"))),"")</f>
        <v/>
      </c>
      <c r="U315" s="39" t="s">
        <v>233</v>
      </c>
      <c r="V315" s="826" t="s">
        <v>1073</v>
      </c>
      <c r="W315" s="826" t="s">
        <v>1074</v>
      </c>
      <c r="X315" s="825" t="s">
        <v>1075</v>
      </c>
      <c r="Y315" s="825" t="s">
        <v>1076</v>
      </c>
      <c r="Z315" s="39">
        <v>0</v>
      </c>
      <c r="AA315" s="518">
        <v>0</v>
      </c>
      <c r="AB315" s="395" t="s">
        <v>232</v>
      </c>
      <c r="AC315" s="519" t="str">
        <f>""</f>
        <v/>
      </c>
      <c r="AD315" s="522">
        <v>0</v>
      </c>
      <c r="AE315" s="522" t="s">
        <v>236</v>
      </c>
      <c r="AF315" s="522" t="s">
        <v>237</v>
      </c>
      <c r="AG315" s="522">
        <v>1</v>
      </c>
      <c r="AH315" s="520">
        <v>9</v>
      </c>
      <c r="AI315" s="520">
        <v>0</v>
      </c>
      <c r="AJ315" s="520">
        <f>VLOOKUP($I315,'Price List, Weapons &amp; Items'!A:E,5,0)</f>
        <v>0</v>
      </c>
      <c r="AK315" s="520">
        <f t="shared" si="63"/>
        <v>0</v>
      </c>
      <c r="AL315" s="520">
        <f t="shared" si="64"/>
        <v>0</v>
      </c>
      <c r="AM315" s="520">
        <f t="shared" si="65"/>
        <v>0</v>
      </c>
      <c r="AN315" s="521" t="str">
        <f>VLOOKUP($I315,'Price List, Weapons &amp; Items'!A:K,COLUMN('Price List, Weapons &amp; Items'!$I$1),0)</f>
        <v>.</v>
      </c>
      <c r="AO315" s="521" t="str">
        <f>IF(I315=".",".",VLOOKUP($I315,'Price List, Weapons &amp; Items'!A:I,3,0))</f>
        <v>.</v>
      </c>
      <c r="AP315" s="517" t="str">
        <f t="shared" ca="1" si="70"/>
        <v/>
      </c>
      <c r="AQ315" s="521">
        <f>VLOOKUP($I315,'Price List, Weapons &amp; Items'!A:K,COLUMN('Price List, Weapons &amp; Items'!$K$1),0)</f>
        <v>0</v>
      </c>
      <c r="AS315" s="521">
        <f t="shared" si="66"/>
        <v>1</v>
      </c>
      <c r="AT315" s="521">
        <f t="shared" si="67"/>
        <v>0</v>
      </c>
      <c r="AU315" s="521">
        <f t="shared" si="68"/>
        <v>1</v>
      </c>
      <c r="AV315" s="521" t="str">
        <f t="shared" si="69"/>
        <v>.</v>
      </c>
    </row>
    <row r="316" spans="1:48" s="518" customFormat="1" ht="15" customHeight="1">
      <c r="A316" s="41" t="s">
        <v>1071</v>
      </c>
      <c r="B316" s="41" t="s">
        <v>1012</v>
      </c>
      <c r="C316" s="511">
        <v>44832</v>
      </c>
      <c r="D316" s="18" t="s">
        <v>228</v>
      </c>
      <c r="E316" s="18" t="s">
        <v>489</v>
      </c>
      <c r="F316" s="512" t="s">
        <v>1072</v>
      </c>
      <c r="G316" s="39" t="s">
        <v>332</v>
      </c>
      <c r="H316" s="513">
        <v>9000000</v>
      </c>
      <c r="I316" s="46" t="s">
        <v>1078</v>
      </c>
      <c r="J316" s="276" t="str">
        <f>VLOOKUP($I316,'Price List, Weapons &amp; Items'!A:B,2,0)</f>
        <v>Humanitarian</v>
      </c>
      <c r="K316" s="276" t="str">
        <f>IF(I316=".",I316,VLOOKUP($I316,'Price List, Weapons &amp; Items'!A:C,3,0))</f>
        <v xml:space="preserve">. </v>
      </c>
      <c r="L316" s="514">
        <f>VLOOKUP(I316,'Price List, Weapons &amp; Items'!A:D,4,0)</f>
        <v>0</v>
      </c>
      <c r="M316" s="46">
        <v>6</v>
      </c>
      <c r="N316" s="527" t="s">
        <v>232</v>
      </c>
      <c r="O316" s="516" t="str">
        <f>VLOOKUP($I316,'Price List, Weapons &amp; Items'!A:F,6,0)</f>
        <v>.</v>
      </c>
      <c r="P316" s="513" t="str">
        <f t="shared" si="71"/>
        <v>No price</v>
      </c>
      <c r="Q316" s="513" t="str">
        <f t="shared" si="72"/>
        <v>.</v>
      </c>
      <c r="R316" s="513" t="str">
        <f t="shared" si="61"/>
        <v/>
      </c>
      <c r="S316" s="513" t="str">
        <f>IF(AND(AD316=1,R316&lt;&gt;".")=TRUE,R316/VLOOKUP(G316,'Exchange rates'!B:C,2,0),IF(R316=".",".",""))</f>
        <v/>
      </c>
      <c r="T316" s="513" t="str">
        <f>IF(AD316=1,IF(AF316="Value is not given at all",".",IF(AF316="Value is given by the source",S316,IF(AF316="Value is calculated with prices",(IF(SUMIFS(Q:Q,A:A,A316)&gt;0,SUMIFS(Q:Q,A:A,A316),"."))/VLOOKUP("USD",'Exchange rates'!B:C,2,0),"Error with coding"))),"")</f>
        <v/>
      </c>
      <c r="U316" s="39" t="s">
        <v>233</v>
      </c>
      <c r="V316" s="826" t="s">
        <v>1073</v>
      </c>
      <c r="W316" s="826" t="s">
        <v>1074</v>
      </c>
      <c r="X316" s="825" t="s">
        <v>1075</v>
      </c>
      <c r="Y316" s="825" t="s">
        <v>1076</v>
      </c>
      <c r="Z316" s="39">
        <v>0</v>
      </c>
      <c r="AA316" s="518">
        <v>0</v>
      </c>
      <c r="AB316" s="395" t="s">
        <v>232</v>
      </c>
      <c r="AC316" s="519" t="str">
        <f>""</f>
        <v/>
      </c>
      <c r="AD316" s="522">
        <v>0</v>
      </c>
      <c r="AE316" s="522" t="s">
        <v>236</v>
      </c>
      <c r="AF316" s="522" t="s">
        <v>237</v>
      </c>
      <c r="AG316" s="522">
        <v>1</v>
      </c>
      <c r="AH316" s="520">
        <v>9</v>
      </c>
      <c r="AI316" s="520">
        <v>0</v>
      </c>
      <c r="AJ316" s="520">
        <f>VLOOKUP($I316,'Price List, Weapons &amp; Items'!A:E,5,0)</f>
        <v>0</v>
      </c>
      <c r="AK316" s="520">
        <f t="shared" si="63"/>
        <v>0</v>
      </c>
      <c r="AL316" s="520">
        <f t="shared" si="64"/>
        <v>0</v>
      </c>
      <c r="AM316" s="520">
        <f t="shared" si="65"/>
        <v>0</v>
      </c>
      <c r="AN316" s="521" t="str">
        <f>VLOOKUP($I316,'Price List, Weapons &amp; Items'!A:K,COLUMN('Price List, Weapons &amp; Items'!$I$1),0)</f>
        <v>.</v>
      </c>
      <c r="AO316" s="521" t="str">
        <f>IF(I316=".",".",VLOOKUP($I316,'Price List, Weapons &amp; Items'!A:I,3,0))</f>
        <v xml:space="preserve">. </v>
      </c>
      <c r="AP316" s="517" t="str">
        <f t="shared" ca="1" si="70"/>
        <v/>
      </c>
      <c r="AQ316" s="521">
        <f>VLOOKUP($I316,'Price List, Weapons &amp; Items'!A:K,COLUMN('Price List, Weapons &amp; Items'!$K$1),0)</f>
        <v>0</v>
      </c>
      <c r="AS316" s="521">
        <f t="shared" si="66"/>
        <v>1</v>
      </c>
      <c r="AT316" s="521">
        <f t="shared" si="67"/>
        <v>0</v>
      </c>
      <c r="AU316" s="521">
        <f t="shared" si="68"/>
        <v>1</v>
      </c>
      <c r="AV316" s="521" t="str">
        <f t="shared" si="69"/>
        <v>.</v>
      </c>
    </row>
    <row r="317" spans="1:48" s="518" customFormat="1" ht="15" customHeight="1">
      <c r="A317" s="41" t="s">
        <v>1071</v>
      </c>
      <c r="B317" s="41" t="s">
        <v>1012</v>
      </c>
      <c r="C317" s="511">
        <v>44832</v>
      </c>
      <c r="D317" s="18" t="s">
        <v>228</v>
      </c>
      <c r="E317" s="18" t="s">
        <v>489</v>
      </c>
      <c r="F317" s="512" t="s">
        <v>1072</v>
      </c>
      <c r="G317" s="39" t="s">
        <v>332</v>
      </c>
      <c r="H317" s="513">
        <v>9000000</v>
      </c>
      <c r="I317" s="46" t="s">
        <v>302</v>
      </c>
      <c r="J317" s="276" t="str">
        <f>VLOOKUP($I317,'Price List, Weapons &amp; Items'!A:B,2,0)</f>
        <v>Military equipment</v>
      </c>
      <c r="K317" s="276" t="str">
        <f>IF(I317=".",I317,VLOOKUP($I317,'Price List, Weapons &amp; Items'!A:C,3,0))</f>
        <v>.</v>
      </c>
      <c r="L317" s="514">
        <f>VLOOKUP(I317,'Price List, Weapons &amp; Items'!A:D,4,0)</f>
        <v>0</v>
      </c>
      <c r="M317" s="46" t="s">
        <v>232</v>
      </c>
      <c r="N317" s="527" t="s">
        <v>232</v>
      </c>
      <c r="O317" s="516" t="str">
        <f>VLOOKUP($I317,'Price List, Weapons &amp; Items'!A:F,6,0)</f>
        <v>.</v>
      </c>
      <c r="P317" s="513" t="str">
        <f t="shared" si="71"/>
        <v>.</v>
      </c>
      <c r="Q317" s="513" t="str">
        <f t="shared" si="72"/>
        <v>.</v>
      </c>
      <c r="R317" s="513" t="str">
        <f t="shared" si="61"/>
        <v/>
      </c>
      <c r="S317" s="513" t="str">
        <f>IF(AND(AD317=1,R317&lt;&gt;".")=TRUE,R317/VLOOKUP(G317,'Exchange rates'!B:C,2,0),IF(R317=".",".",""))</f>
        <v/>
      </c>
      <c r="T317" s="513" t="str">
        <f>IF(AD317=1,IF(AF317="Value is not given at all",".",IF(AF317="Value is given by the source",S317,IF(AF317="Value is calculated with prices",(IF(SUMIFS(Q:Q,A:A,A317)&gt;0,SUMIFS(Q:Q,A:A,A317),"."))/VLOOKUP("USD",'Exchange rates'!B:C,2,0),"Error with coding"))),"")</f>
        <v/>
      </c>
      <c r="U317" s="39" t="s">
        <v>233</v>
      </c>
      <c r="V317" s="826" t="s">
        <v>1073</v>
      </c>
      <c r="W317" s="826" t="s">
        <v>1074</v>
      </c>
      <c r="X317" s="825" t="s">
        <v>1075</v>
      </c>
      <c r="Y317" s="825" t="s">
        <v>1076</v>
      </c>
      <c r="Z317" s="39">
        <v>0</v>
      </c>
      <c r="AA317" s="518">
        <v>0</v>
      </c>
      <c r="AB317" s="395" t="s">
        <v>232</v>
      </c>
      <c r="AC317" s="519" t="str">
        <f>""</f>
        <v/>
      </c>
      <c r="AD317" s="522">
        <v>0</v>
      </c>
      <c r="AE317" s="522" t="s">
        <v>236</v>
      </c>
      <c r="AF317" s="522" t="s">
        <v>237</v>
      </c>
      <c r="AG317" s="522">
        <v>1</v>
      </c>
      <c r="AH317" s="520">
        <v>9</v>
      </c>
      <c r="AI317" s="520">
        <v>0</v>
      </c>
      <c r="AJ317" s="520">
        <f>VLOOKUP($I317,'Price List, Weapons &amp; Items'!A:E,5,0)</f>
        <v>0</v>
      </c>
      <c r="AK317" s="520">
        <f t="shared" si="63"/>
        <v>0</v>
      </c>
      <c r="AL317" s="520">
        <f t="shared" si="64"/>
        <v>0</v>
      </c>
      <c r="AM317" s="520">
        <f t="shared" si="65"/>
        <v>0</v>
      </c>
      <c r="AN317" s="521" t="str">
        <f>VLOOKUP($I317,'Price List, Weapons &amp; Items'!A:K,COLUMN('Price List, Weapons &amp; Items'!$I$1),0)</f>
        <v>.</v>
      </c>
      <c r="AO317" s="521" t="str">
        <f>IF(I317=".",".",VLOOKUP($I317,'Price List, Weapons &amp; Items'!A:I,3,0))</f>
        <v>.</v>
      </c>
      <c r="AP317" s="517" t="str">
        <f t="shared" ca="1" si="70"/>
        <v/>
      </c>
      <c r="AQ317" s="521" t="str">
        <f>VLOOKUP($I317,'Price List, Weapons &amp; Items'!A:K,COLUMN('Price List, Weapons &amp; Items'!$K$1),0)</f>
        <v>no price, 0 count</v>
      </c>
      <c r="AS317" s="521">
        <f t="shared" si="66"/>
        <v>1</v>
      </c>
      <c r="AT317" s="521">
        <f t="shared" si="67"/>
        <v>0</v>
      </c>
      <c r="AU317" s="521">
        <f t="shared" si="68"/>
        <v>1</v>
      </c>
      <c r="AV317" s="521" t="str">
        <f t="shared" si="69"/>
        <v>.</v>
      </c>
    </row>
    <row r="318" spans="1:48" s="518" customFormat="1" ht="15" customHeight="1">
      <c r="A318" s="41" t="s">
        <v>1071</v>
      </c>
      <c r="B318" s="41" t="s">
        <v>1012</v>
      </c>
      <c r="C318" s="511">
        <v>44832</v>
      </c>
      <c r="D318" s="18" t="s">
        <v>228</v>
      </c>
      <c r="E318" s="18" t="s">
        <v>489</v>
      </c>
      <c r="F318" s="512" t="s">
        <v>1072</v>
      </c>
      <c r="G318" s="39" t="s">
        <v>332</v>
      </c>
      <c r="H318" s="513">
        <v>9000000</v>
      </c>
      <c r="I318" s="46" t="s">
        <v>626</v>
      </c>
      <c r="J318" s="276" t="str">
        <f>VLOOKUP($I318,'Price List, Weapons &amp; Items'!A:B,2,0)</f>
        <v>Humanitarian</v>
      </c>
      <c r="K318" s="276" t="str">
        <f>IF(I318=".",I318,VLOOKUP($I318,'Price List, Weapons &amp; Items'!A:C,3,0))</f>
        <v>.</v>
      </c>
      <c r="L318" s="514">
        <f>VLOOKUP(I318,'Price List, Weapons &amp; Items'!A:D,4,0)</f>
        <v>0</v>
      </c>
      <c r="M318" s="46">
        <v>5</v>
      </c>
      <c r="N318" s="527"/>
      <c r="O318" s="516" t="str">
        <f>VLOOKUP($I318,'Price List, Weapons &amp; Items'!A:F,6,0)</f>
        <v>.</v>
      </c>
      <c r="P318" s="513" t="str">
        <f t="shared" si="71"/>
        <v>No price</v>
      </c>
      <c r="Q318" s="513" t="str">
        <f t="shared" si="72"/>
        <v>No price</v>
      </c>
      <c r="R318" s="513" t="str">
        <f t="shared" si="61"/>
        <v/>
      </c>
      <c r="S318" s="513" t="str">
        <f>IF(AND(AD318=1,R318&lt;&gt;".")=TRUE,R318/VLOOKUP(G318,'Exchange rates'!B:C,2,0),IF(R318=".",".",""))</f>
        <v/>
      </c>
      <c r="T318" s="513" t="str">
        <f>IF(AD318=1,IF(AF318="Value is not given at all",".",IF(AF318="Value is given by the source",S318,IF(AF318="Value is calculated with prices",(IF(SUMIFS(Q:Q,A:A,A318)&gt;0,SUMIFS(Q:Q,A:A,A318),"."))/VLOOKUP("USD",'Exchange rates'!B:C,2,0),"Error with coding"))),"")</f>
        <v/>
      </c>
      <c r="U318" s="39" t="s">
        <v>233</v>
      </c>
      <c r="V318" s="826" t="s">
        <v>1073</v>
      </c>
      <c r="W318" s="826" t="s">
        <v>1074</v>
      </c>
      <c r="X318" s="825" t="s">
        <v>1075</v>
      </c>
      <c r="Y318" s="825" t="s">
        <v>1076</v>
      </c>
      <c r="Z318" s="39">
        <v>0</v>
      </c>
      <c r="AA318" s="518">
        <v>0</v>
      </c>
      <c r="AB318" s="395" t="s">
        <v>232</v>
      </c>
      <c r="AC318" s="519" t="str">
        <f>""</f>
        <v/>
      </c>
      <c r="AD318" s="522">
        <v>0</v>
      </c>
      <c r="AE318" s="522" t="s">
        <v>236</v>
      </c>
      <c r="AF318" s="522" t="s">
        <v>237</v>
      </c>
      <c r="AG318" s="522">
        <v>1</v>
      </c>
      <c r="AH318" s="520">
        <v>9</v>
      </c>
      <c r="AI318" s="520">
        <v>0</v>
      </c>
      <c r="AJ318" s="520">
        <f>VLOOKUP($I318,'Price List, Weapons &amp; Items'!A:E,5,0)</f>
        <v>0</v>
      </c>
      <c r="AK318" s="520">
        <f t="shared" si="63"/>
        <v>0</v>
      </c>
      <c r="AL318" s="520">
        <f t="shared" si="64"/>
        <v>0</v>
      </c>
      <c r="AM318" s="520">
        <f t="shared" si="65"/>
        <v>0</v>
      </c>
      <c r="AN318" s="521" t="str">
        <f>VLOOKUP($I318,'Price List, Weapons &amp; Items'!A:K,COLUMN('Price List, Weapons &amp; Items'!$I$1),0)</f>
        <v>Media reports (incl. social media)</v>
      </c>
      <c r="AO318" s="521" t="str">
        <f>IF(I318=".",".",VLOOKUP($I318,'Price List, Weapons &amp; Items'!A:I,3,0))</f>
        <v>.</v>
      </c>
      <c r="AP318" s="517" t="str">
        <f t="shared" ca="1" si="70"/>
        <v/>
      </c>
      <c r="AQ318" s="521">
        <f>VLOOKUP($I318,'Price List, Weapons &amp; Items'!A:K,COLUMN('Price List, Weapons &amp; Items'!$K$1),0)</f>
        <v>0</v>
      </c>
      <c r="AS318" s="521">
        <f t="shared" si="66"/>
        <v>1</v>
      </c>
      <c r="AT318" s="521">
        <f t="shared" si="67"/>
        <v>0</v>
      </c>
      <c r="AU318" s="521">
        <f t="shared" si="68"/>
        <v>1</v>
      </c>
      <c r="AV318" s="521" t="str">
        <f t="shared" si="69"/>
        <v>.</v>
      </c>
    </row>
    <row r="319" spans="1:48" s="518" customFormat="1" ht="15" customHeight="1">
      <c r="A319" s="41" t="s">
        <v>1071</v>
      </c>
      <c r="B319" s="41" t="s">
        <v>1012</v>
      </c>
      <c r="C319" s="511">
        <v>44832</v>
      </c>
      <c r="D319" s="18" t="s">
        <v>228</v>
      </c>
      <c r="E319" s="18" t="s">
        <v>489</v>
      </c>
      <c r="F319" s="512" t="s">
        <v>1072</v>
      </c>
      <c r="G319" s="39" t="s">
        <v>332</v>
      </c>
      <c r="H319" s="513">
        <v>9000000</v>
      </c>
      <c r="I319" s="46" t="s">
        <v>1079</v>
      </c>
      <c r="J319" s="276" t="str">
        <f>VLOOKUP($I319,'Price List, Weapons &amp; Items'!A:B,2,0)</f>
        <v>Humanitarian</v>
      </c>
      <c r="K319" s="276" t="str">
        <f>IF(I319=".",I319,VLOOKUP($I319,'Price List, Weapons &amp; Items'!A:C,3,0))</f>
        <v>.</v>
      </c>
      <c r="L319" s="514">
        <f>VLOOKUP(I319,'Price List, Weapons &amp; Items'!A:D,4,0)</f>
        <v>0</v>
      </c>
      <c r="M319" s="46" t="s">
        <v>232</v>
      </c>
      <c r="N319" s="527"/>
      <c r="O319" s="516" t="str">
        <f>VLOOKUP($I319,'Price List, Weapons &amp; Items'!A:F,6,0)</f>
        <v>.</v>
      </c>
      <c r="P319" s="513" t="str">
        <f t="shared" si="71"/>
        <v>.</v>
      </c>
      <c r="Q319" s="513" t="str">
        <f t="shared" si="72"/>
        <v>No price</v>
      </c>
      <c r="R319" s="513" t="str">
        <f t="shared" si="61"/>
        <v/>
      </c>
      <c r="S319" s="513" t="str">
        <f>IF(AND(AD319=1,R319&lt;&gt;".")=TRUE,R319/VLOOKUP(G319,'Exchange rates'!B:C,2,0),IF(R319=".",".",""))</f>
        <v/>
      </c>
      <c r="T319" s="513" t="str">
        <f>IF(AD319=1,IF(AF319="Value is not given at all",".",IF(AF319="Value is given by the source",S319,IF(AF319="Value is calculated with prices",(IF(SUMIFS(Q:Q,A:A,A319)&gt;0,SUMIFS(Q:Q,A:A,A319),"."))/VLOOKUP("USD",'Exchange rates'!B:C,2,0),"Error with coding"))),"")</f>
        <v/>
      </c>
      <c r="U319" s="39" t="s">
        <v>233</v>
      </c>
      <c r="V319" s="826" t="s">
        <v>1073</v>
      </c>
      <c r="W319" s="826" t="s">
        <v>1074</v>
      </c>
      <c r="X319" s="825" t="s">
        <v>1075</v>
      </c>
      <c r="Y319" s="825" t="s">
        <v>1076</v>
      </c>
      <c r="Z319" s="39">
        <v>0</v>
      </c>
      <c r="AA319" s="518">
        <v>0</v>
      </c>
      <c r="AB319" s="395" t="s">
        <v>232</v>
      </c>
      <c r="AC319" s="519" t="str">
        <f>""</f>
        <v/>
      </c>
      <c r="AD319" s="522">
        <v>0</v>
      </c>
      <c r="AE319" s="522" t="s">
        <v>236</v>
      </c>
      <c r="AF319" s="522" t="s">
        <v>237</v>
      </c>
      <c r="AG319" s="522">
        <v>1</v>
      </c>
      <c r="AH319" s="520">
        <v>9</v>
      </c>
      <c r="AI319" s="520">
        <v>0</v>
      </c>
      <c r="AJ319" s="520">
        <f>VLOOKUP($I319,'Price List, Weapons &amp; Items'!A:E,5,0)</f>
        <v>0</v>
      </c>
      <c r="AK319" s="520">
        <f t="shared" si="63"/>
        <v>0</v>
      </c>
      <c r="AL319" s="520">
        <f t="shared" si="64"/>
        <v>0</v>
      </c>
      <c r="AM319" s="520">
        <f t="shared" si="65"/>
        <v>0</v>
      </c>
      <c r="AN319" s="521" t="str">
        <f>VLOOKUP($I319,'Price List, Weapons &amp; Items'!A:K,COLUMN('Price List, Weapons &amp; Items'!$I$1),0)</f>
        <v>.</v>
      </c>
      <c r="AO319" s="521" t="str">
        <f>IF(I319=".",".",VLOOKUP($I319,'Price List, Weapons &amp; Items'!A:I,3,0))</f>
        <v>.</v>
      </c>
      <c r="AP319" s="517" t="str">
        <f t="shared" ca="1" si="70"/>
        <v/>
      </c>
      <c r="AQ319" s="521">
        <f>VLOOKUP($I319,'Price List, Weapons &amp; Items'!A:K,COLUMN('Price List, Weapons &amp; Items'!$K$1),0)</f>
        <v>0</v>
      </c>
      <c r="AS319" s="521">
        <f t="shared" si="66"/>
        <v>1</v>
      </c>
      <c r="AT319" s="521">
        <f t="shared" si="67"/>
        <v>0</v>
      </c>
      <c r="AU319" s="521">
        <f t="shared" si="68"/>
        <v>1</v>
      </c>
      <c r="AV319" s="521" t="str">
        <f t="shared" si="69"/>
        <v>.</v>
      </c>
    </row>
    <row r="320" spans="1:48" s="518" customFormat="1" ht="15" customHeight="1">
      <c r="A320" s="41" t="s">
        <v>1071</v>
      </c>
      <c r="B320" s="41" t="s">
        <v>1012</v>
      </c>
      <c r="C320" s="511">
        <v>44832</v>
      </c>
      <c r="D320" s="18" t="s">
        <v>228</v>
      </c>
      <c r="E320" s="18" t="s">
        <v>489</v>
      </c>
      <c r="F320" s="512" t="s">
        <v>1072</v>
      </c>
      <c r="G320" s="39" t="s">
        <v>332</v>
      </c>
      <c r="H320" s="513">
        <v>9000000</v>
      </c>
      <c r="I320" s="46" t="s">
        <v>1080</v>
      </c>
      <c r="J320" s="276" t="str">
        <f>VLOOKUP($I320,'Price List, Weapons &amp; Items'!A:B,2,0)</f>
        <v>Humanitarian</v>
      </c>
      <c r="K320" s="276" t="str">
        <f>IF(I320=".",I320,VLOOKUP($I320,'Price List, Weapons &amp; Items'!A:C,3,0))</f>
        <v xml:space="preserve">. </v>
      </c>
      <c r="L320" s="514">
        <f>VLOOKUP(I320,'Price List, Weapons &amp; Items'!A:D,4,0)</f>
        <v>0</v>
      </c>
      <c r="M320" s="46" t="s">
        <v>232</v>
      </c>
      <c r="N320" s="527"/>
      <c r="O320" s="516">
        <f>VLOOKUP($I320,'Price List, Weapons &amp; Items'!A:F,6,0)</f>
        <v>25</v>
      </c>
      <c r="P320" s="513" t="str">
        <f t="shared" si="71"/>
        <v>.</v>
      </c>
      <c r="Q320" s="513">
        <f t="shared" si="72"/>
        <v>0</v>
      </c>
      <c r="R320" s="513" t="str">
        <f t="shared" si="61"/>
        <v/>
      </c>
      <c r="S320" s="513" t="str">
        <f>IF(AND(AD320=1,R320&lt;&gt;".")=TRUE,R320/VLOOKUP(G320,'Exchange rates'!B:C,2,0),IF(R320=".",".",""))</f>
        <v/>
      </c>
      <c r="T320" s="513" t="str">
        <f>IF(AD320=1,IF(AF320="Value is not given at all",".",IF(AF320="Value is given by the source",S320,IF(AF320="Value is calculated with prices",(IF(SUMIFS(Q:Q,A:A,A320)&gt;0,SUMIFS(Q:Q,A:A,A320),"."))/VLOOKUP("USD",'Exchange rates'!B:C,2,0),"Error with coding"))),"")</f>
        <v/>
      </c>
      <c r="U320" s="39" t="s">
        <v>233</v>
      </c>
      <c r="V320" s="826" t="s">
        <v>1073</v>
      </c>
      <c r="W320" s="826" t="s">
        <v>1074</v>
      </c>
      <c r="X320" s="825" t="s">
        <v>1075</v>
      </c>
      <c r="Y320" s="825" t="s">
        <v>1076</v>
      </c>
      <c r="Z320" s="39">
        <v>0</v>
      </c>
      <c r="AA320" s="518">
        <v>0</v>
      </c>
      <c r="AB320" s="395" t="s">
        <v>232</v>
      </c>
      <c r="AC320" s="519" t="str">
        <f>""</f>
        <v/>
      </c>
      <c r="AD320" s="522">
        <v>0</v>
      </c>
      <c r="AE320" s="522" t="s">
        <v>236</v>
      </c>
      <c r="AF320" s="522" t="s">
        <v>237</v>
      </c>
      <c r="AG320" s="522">
        <v>1</v>
      </c>
      <c r="AH320" s="520">
        <v>9</v>
      </c>
      <c r="AI320" s="520">
        <v>0</v>
      </c>
      <c r="AJ320" s="520">
        <f>VLOOKUP($I320,'Price List, Weapons &amp; Items'!A:E,5,0)</f>
        <v>0</v>
      </c>
      <c r="AK320" s="520">
        <f t="shared" si="63"/>
        <v>0</v>
      </c>
      <c r="AL320" s="520">
        <f t="shared" si="64"/>
        <v>0</v>
      </c>
      <c r="AM320" s="520">
        <f t="shared" si="65"/>
        <v>0</v>
      </c>
      <c r="AN320" s="521" t="str">
        <f>VLOOKUP($I320,'Price List, Weapons &amp; Items'!A:K,COLUMN('Price List, Weapons &amp; Items'!$I$1),0)</f>
        <v>Online marketplace and stores</v>
      </c>
      <c r="AO320" s="521" t="str">
        <f>IF(I320=".",".",VLOOKUP($I320,'Price List, Weapons &amp; Items'!A:I,3,0))</f>
        <v xml:space="preserve">. </v>
      </c>
      <c r="AP320" s="517" t="str">
        <f t="shared" ca="1" si="70"/>
        <v/>
      </c>
      <c r="AQ320" s="521">
        <f>VLOOKUP($I320,'Price List, Weapons &amp; Items'!A:K,COLUMN('Price List, Weapons &amp; Items'!$K$1),0)</f>
        <v>0</v>
      </c>
      <c r="AS320" s="521">
        <f t="shared" si="66"/>
        <v>1</v>
      </c>
      <c r="AT320" s="521">
        <f t="shared" si="67"/>
        <v>0</v>
      </c>
      <c r="AU320" s="521">
        <f t="shared" si="68"/>
        <v>1</v>
      </c>
      <c r="AV320" s="521" t="str">
        <f t="shared" si="69"/>
        <v>.</v>
      </c>
    </row>
    <row r="321" spans="1:48" s="518" customFormat="1" ht="15" customHeight="1">
      <c r="A321" s="41" t="s">
        <v>1071</v>
      </c>
      <c r="B321" s="41" t="s">
        <v>1012</v>
      </c>
      <c r="C321" s="511">
        <v>44832</v>
      </c>
      <c r="D321" s="18" t="s">
        <v>228</v>
      </c>
      <c r="E321" s="18" t="s">
        <v>489</v>
      </c>
      <c r="F321" s="512" t="s">
        <v>1072</v>
      </c>
      <c r="G321" s="39" t="s">
        <v>332</v>
      </c>
      <c r="H321" s="513">
        <v>9000000</v>
      </c>
      <c r="I321" s="46" t="s">
        <v>423</v>
      </c>
      <c r="J321" s="276" t="str">
        <f>VLOOKUP($I321,'Price List, Weapons &amp; Items'!A:B,2,0)</f>
        <v>Humanitarian</v>
      </c>
      <c r="K321" s="276" t="str">
        <f>IF(I321=".",I321,VLOOKUP($I321,'Price List, Weapons &amp; Items'!A:C,3,0))</f>
        <v>.</v>
      </c>
      <c r="L321" s="514">
        <f>VLOOKUP(I321,'Price List, Weapons &amp; Items'!A:D,4,0)</f>
        <v>0</v>
      </c>
      <c r="M321" s="46">
        <v>1</v>
      </c>
      <c r="N321" s="527"/>
      <c r="O321" s="516" t="str">
        <f>VLOOKUP($I321,'Price List, Weapons &amp; Items'!A:F,6,0)</f>
        <v>.</v>
      </c>
      <c r="P321" s="513" t="str">
        <f t="shared" si="71"/>
        <v>No price</v>
      </c>
      <c r="Q321" s="513" t="str">
        <f t="shared" si="72"/>
        <v>No price</v>
      </c>
      <c r="R321" s="513" t="str">
        <f t="shared" si="61"/>
        <v/>
      </c>
      <c r="S321" s="513" t="str">
        <f>IF(AND(AD321=1,R321&lt;&gt;".")=TRUE,R321/VLOOKUP(G321,'Exchange rates'!B:C,2,0),IF(R321=".",".",""))</f>
        <v/>
      </c>
      <c r="T321" s="513" t="str">
        <f>IF(AD321=1,IF(AF321="Value is not given at all",".",IF(AF321="Value is given by the source",S321,IF(AF321="Value is calculated with prices",(IF(SUMIFS(Q:Q,A:A,A321)&gt;0,SUMIFS(Q:Q,A:A,A321),"."))/VLOOKUP("USD",'Exchange rates'!B:C,2,0),"Error with coding"))),"")</f>
        <v/>
      </c>
      <c r="U321" s="39" t="s">
        <v>233</v>
      </c>
      <c r="V321" s="826" t="s">
        <v>1073</v>
      </c>
      <c r="W321" s="826" t="s">
        <v>1074</v>
      </c>
      <c r="X321" s="825" t="s">
        <v>1075</v>
      </c>
      <c r="Y321" s="825" t="s">
        <v>1076</v>
      </c>
      <c r="Z321" s="39">
        <v>0</v>
      </c>
      <c r="AA321" s="518">
        <v>0</v>
      </c>
      <c r="AB321" s="395" t="s">
        <v>232</v>
      </c>
      <c r="AC321" s="519" t="str">
        <f>""</f>
        <v/>
      </c>
      <c r="AD321" s="522">
        <v>0</v>
      </c>
      <c r="AE321" s="522" t="s">
        <v>236</v>
      </c>
      <c r="AF321" s="522" t="s">
        <v>237</v>
      </c>
      <c r="AG321" s="522">
        <v>1</v>
      </c>
      <c r="AH321" s="520">
        <v>9</v>
      </c>
      <c r="AI321" s="520">
        <v>0</v>
      </c>
      <c r="AJ321" s="520">
        <f>VLOOKUP($I321,'Price List, Weapons &amp; Items'!A:E,5,0)</f>
        <v>0</v>
      </c>
      <c r="AK321" s="520">
        <f t="shared" si="63"/>
        <v>0</v>
      </c>
      <c r="AL321" s="520">
        <f t="shared" si="64"/>
        <v>0</v>
      </c>
      <c r="AM321" s="520">
        <f t="shared" si="65"/>
        <v>0</v>
      </c>
      <c r="AN321" s="521" t="str">
        <f>VLOOKUP($I321,'Price List, Weapons &amp; Items'!A:K,COLUMN('Price List, Weapons &amp; Items'!$I$1),0)</f>
        <v>.</v>
      </c>
      <c r="AO321" s="521" t="str">
        <f>IF(I321=".",".",VLOOKUP($I321,'Price List, Weapons &amp; Items'!A:I,3,0))</f>
        <v>.</v>
      </c>
      <c r="AP321" s="517" t="str">
        <f t="shared" ca="1" si="70"/>
        <v/>
      </c>
      <c r="AQ321" s="521">
        <f>VLOOKUP($I321,'Price List, Weapons &amp; Items'!A:K,COLUMN('Price List, Weapons &amp; Items'!$K$1),0)</f>
        <v>0</v>
      </c>
      <c r="AS321" s="521">
        <f t="shared" si="66"/>
        <v>1</v>
      </c>
      <c r="AT321" s="521">
        <f t="shared" si="67"/>
        <v>0</v>
      </c>
      <c r="AU321" s="521">
        <f t="shared" si="68"/>
        <v>1</v>
      </c>
      <c r="AV321" s="521" t="str">
        <f t="shared" si="69"/>
        <v>.</v>
      </c>
    </row>
    <row r="322" spans="1:48" s="518" customFormat="1" ht="15" customHeight="1">
      <c r="A322" s="41" t="s">
        <v>1071</v>
      </c>
      <c r="B322" s="41" t="s">
        <v>1012</v>
      </c>
      <c r="C322" s="511">
        <v>44832</v>
      </c>
      <c r="D322" s="18" t="s">
        <v>228</v>
      </c>
      <c r="E322" s="18" t="s">
        <v>489</v>
      </c>
      <c r="F322" s="512" t="s">
        <v>1072</v>
      </c>
      <c r="G322" s="39" t="s">
        <v>332</v>
      </c>
      <c r="H322" s="513">
        <v>9000000</v>
      </c>
      <c r="I322" s="46" t="s">
        <v>1081</v>
      </c>
      <c r="J322" s="276" t="str">
        <f>VLOOKUP($I322,'Price List, Weapons &amp; Items'!A:B,2,0)</f>
        <v>Humanitarian</v>
      </c>
      <c r="K322" s="276" t="str">
        <f>IF(I322=".",I322,VLOOKUP($I322,'Price List, Weapons &amp; Items'!A:C,3,0))</f>
        <v>.</v>
      </c>
      <c r="L322" s="514">
        <f>VLOOKUP(I322,'Price List, Weapons &amp; Items'!A:D,4,0)</f>
        <v>0</v>
      </c>
      <c r="M322" s="46">
        <v>25</v>
      </c>
      <c r="N322" s="527" t="s">
        <v>232</v>
      </c>
      <c r="O322" s="516" t="str">
        <f>VLOOKUP($I322,'Price List, Weapons &amp; Items'!A:F,6,0)</f>
        <v>.</v>
      </c>
      <c r="P322" s="513" t="str">
        <f t="shared" si="71"/>
        <v>No price</v>
      </c>
      <c r="Q322" s="513" t="str">
        <f t="shared" si="72"/>
        <v>.</v>
      </c>
      <c r="R322" s="513" t="str">
        <f t="shared" ref="R322:R385" si="73">IF(AD322=1,IF(H322&lt;&gt;"Not given",H322,IF(TYPE(H322)=2,IF(SUMIFS(P:P,A:A,A322)&gt;0,SUMIFS(P:P,A:A,A322),"."),"Format error")),"")</f>
        <v/>
      </c>
      <c r="S322" s="513" t="str">
        <f>IF(AND(AD322=1,R322&lt;&gt;".")=TRUE,R322/VLOOKUP(G322,'Exchange rates'!B:C,2,0),IF(R322=".",".",""))</f>
        <v/>
      </c>
      <c r="T322" s="513" t="str">
        <f>IF(AD322=1,IF(AF322="Value is not given at all",".",IF(AF322="Value is given by the source",S322,IF(AF322="Value is calculated with prices",(IF(SUMIFS(Q:Q,A:A,A322)&gt;0,SUMIFS(Q:Q,A:A,A322),"."))/VLOOKUP("USD",'Exchange rates'!B:C,2,0),"Error with coding"))),"")</f>
        <v/>
      </c>
      <c r="U322" s="39" t="s">
        <v>233</v>
      </c>
      <c r="V322" s="826" t="s">
        <v>1073</v>
      </c>
      <c r="W322" s="826" t="s">
        <v>1074</v>
      </c>
      <c r="X322" s="825" t="s">
        <v>1075</v>
      </c>
      <c r="Y322" s="825" t="s">
        <v>1076</v>
      </c>
      <c r="Z322" s="39">
        <v>0</v>
      </c>
      <c r="AA322" s="518">
        <v>0</v>
      </c>
      <c r="AB322" s="395" t="s">
        <v>232</v>
      </c>
      <c r="AC322" s="519" t="str">
        <f>""</f>
        <v/>
      </c>
      <c r="AD322" s="522">
        <v>0</v>
      </c>
      <c r="AE322" s="522" t="s">
        <v>236</v>
      </c>
      <c r="AF322" s="522" t="s">
        <v>237</v>
      </c>
      <c r="AG322" s="522">
        <v>1</v>
      </c>
      <c r="AH322" s="520">
        <v>9</v>
      </c>
      <c r="AI322" s="520">
        <v>0</v>
      </c>
      <c r="AJ322" s="520">
        <f>VLOOKUP($I322,'Price List, Weapons &amp; Items'!A:E,5,0)</f>
        <v>0</v>
      </c>
      <c r="AK322" s="520">
        <f t="shared" si="63"/>
        <v>0</v>
      </c>
      <c r="AL322" s="520">
        <f t="shared" si="64"/>
        <v>0</v>
      </c>
      <c r="AM322" s="520">
        <f t="shared" si="65"/>
        <v>0</v>
      </c>
      <c r="AN322" s="521" t="str">
        <f>VLOOKUP($I322,'Price List, Weapons &amp; Items'!A:K,COLUMN('Price List, Weapons &amp; Items'!$I$1),0)</f>
        <v>.</v>
      </c>
      <c r="AO322" s="521" t="str">
        <f>IF(I322=".",".",VLOOKUP($I322,'Price List, Weapons &amp; Items'!A:I,3,0))</f>
        <v>.</v>
      </c>
      <c r="AP322" s="517" t="str">
        <f t="shared" ca="1" si="70"/>
        <v/>
      </c>
      <c r="AQ322" s="521">
        <f>VLOOKUP($I322,'Price List, Weapons &amp; Items'!A:K,COLUMN('Price List, Weapons &amp; Items'!$K$1),0)</f>
        <v>0</v>
      </c>
      <c r="AS322" s="521">
        <f t="shared" si="66"/>
        <v>1</v>
      </c>
      <c r="AT322" s="521">
        <f t="shared" si="67"/>
        <v>0</v>
      </c>
      <c r="AU322" s="521">
        <f t="shared" si="68"/>
        <v>1</v>
      </c>
      <c r="AV322" s="521" t="str">
        <f t="shared" si="69"/>
        <v>.</v>
      </c>
    </row>
    <row r="323" spans="1:48" s="518" customFormat="1" ht="15" customHeight="1">
      <c r="A323" s="41" t="s">
        <v>1071</v>
      </c>
      <c r="B323" s="41" t="s">
        <v>1012</v>
      </c>
      <c r="C323" s="511">
        <v>44832</v>
      </c>
      <c r="D323" s="18" t="s">
        <v>228</v>
      </c>
      <c r="E323" s="18" t="s">
        <v>489</v>
      </c>
      <c r="F323" s="512" t="s">
        <v>1072</v>
      </c>
      <c r="G323" s="39" t="s">
        <v>332</v>
      </c>
      <c r="H323" s="513">
        <v>9000000</v>
      </c>
      <c r="I323" s="46" t="s">
        <v>1050</v>
      </c>
      <c r="J323" s="276" t="str">
        <f>VLOOKUP($I323,'Price List, Weapons &amp; Items'!A:B,2,0)</f>
        <v>Humanitarian</v>
      </c>
      <c r="K323" s="276" t="str">
        <f>IF(I323=".",I323,VLOOKUP($I323,'Price List, Weapons &amp; Items'!A:C,3,0))</f>
        <v>.</v>
      </c>
      <c r="L323" s="514">
        <f>VLOOKUP(I323,'Price List, Weapons &amp; Items'!A:D,4,0)</f>
        <v>0</v>
      </c>
      <c r="M323" s="46">
        <v>60000</v>
      </c>
      <c r="N323" s="527" t="s">
        <v>232</v>
      </c>
      <c r="O323" s="516">
        <f>VLOOKUP($I323,'Price List, Weapons &amp; Items'!A:F,6,0)</f>
        <v>22</v>
      </c>
      <c r="P323" s="513">
        <f t="shared" si="71"/>
        <v>1320000</v>
      </c>
      <c r="Q323" s="513" t="str">
        <f t="shared" si="72"/>
        <v>.</v>
      </c>
      <c r="R323" s="513" t="str">
        <f t="shared" si="73"/>
        <v/>
      </c>
      <c r="S323" s="513" t="str">
        <f>IF(AND(AD323=1,R323&lt;&gt;".")=TRUE,R323/VLOOKUP(G323,'Exchange rates'!B:C,2,0),IF(R323=".",".",""))</f>
        <v/>
      </c>
      <c r="T323" s="513" t="str">
        <f>IF(AD323=1,IF(AF323="Value is not given at all",".",IF(AF323="Value is given by the source",S323,IF(AF323="Value is calculated with prices",(IF(SUMIFS(Q:Q,A:A,A323)&gt;0,SUMIFS(Q:Q,A:A,A323),"."))/VLOOKUP("USD",'Exchange rates'!B:C,2,0),"Error with coding"))),"")</f>
        <v/>
      </c>
      <c r="U323" s="39" t="s">
        <v>233</v>
      </c>
      <c r="V323" s="826" t="s">
        <v>1073</v>
      </c>
      <c r="W323" s="826" t="s">
        <v>1074</v>
      </c>
      <c r="X323" s="825" t="s">
        <v>1075</v>
      </c>
      <c r="Y323" s="825" t="s">
        <v>1076</v>
      </c>
      <c r="Z323" s="39">
        <v>0</v>
      </c>
      <c r="AA323" s="518">
        <v>0</v>
      </c>
      <c r="AB323" s="395" t="s">
        <v>232</v>
      </c>
      <c r="AC323" s="519" t="str">
        <f>""</f>
        <v/>
      </c>
      <c r="AD323" s="522">
        <v>0</v>
      </c>
      <c r="AE323" s="522" t="s">
        <v>236</v>
      </c>
      <c r="AF323" s="522" t="s">
        <v>237</v>
      </c>
      <c r="AG323" s="522">
        <v>1</v>
      </c>
      <c r="AH323" s="520">
        <v>9</v>
      </c>
      <c r="AI323" s="520">
        <v>0</v>
      </c>
      <c r="AJ323" s="520">
        <f>VLOOKUP($I323,'Price List, Weapons &amp; Items'!A:E,5,0)</f>
        <v>0</v>
      </c>
      <c r="AK323" s="520">
        <f t="shared" ref="AK323:AK386" si="74">IF(AND(AJ323=1,M323="undisclosed")=TRUE,1,0)</f>
        <v>0</v>
      </c>
      <c r="AL323" s="520">
        <f t="shared" ref="AL323:AL386" si="75">IF(AND(AJ323=1,N323="undisclosed")=TRUE,1,0)</f>
        <v>0</v>
      </c>
      <c r="AM323" s="520">
        <f t="shared" ref="AM323:AM386" si="76">IFERROR(IF(SEARCH("ammuni",I323,1)&gt;0,1,0),0)</f>
        <v>0</v>
      </c>
      <c r="AN323" s="521" t="str">
        <f>VLOOKUP($I323,'Price List, Weapons &amp; Items'!A:K,COLUMN('Price List, Weapons &amp; Items'!$I$1),0)</f>
        <v>Online marketplaces and stores</v>
      </c>
      <c r="AO323" s="521" t="str">
        <f>IF(I323=".",".",VLOOKUP($I323,'Price List, Weapons &amp; Items'!A:I,3,0))</f>
        <v>.</v>
      </c>
      <c r="AP323" s="517" t="str">
        <f t="shared" ca="1" si="70"/>
        <v/>
      </c>
      <c r="AQ323" s="521">
        <f>VLOOKUP($I323,'Price List, Weapons &amp; Items'!A:K,COLUMN('Price List, Weapons &amp; Items'!$K$1),0)</f>
        <v>0</v>
      </c>
      <c r="AS323" s="521">
        <f t="shared" ref="AS323:AS386" si="77">IF(U323="Yes",1,0)</f>
        <v>1</v>
      </c>
      <c r="AT323" s="521">
        <f t="shared" ref="AT323:AT386" si="78">IF(OR((E323="Weapons"),(E323="Weapons and equipment"),(E323="Weapons and training"),(E323="Weapons and Assistance"),(E323="Military Equipment"))=FALSE,0,1)</f>
        <v>0</v>
      </c>
      <c r="AU323" s="521">
        <f t="shared" ref="AU323:AU386" si="79">IFERROR(IF(VALUE(TEXT(C323,"mm"))=AH323,".",1),"Value is not in date format")</f>
        <v>1</v>
      </c>
      <c r="AV323" s="521" t="str">
        <f t="shared" si="69"/>
        <v>.</v>
      </c>
    </row>
    <row r="324" spans="1:48" s="518" customFormat="1" ht="15" customHeight="1">
      <c r="A324" s="46" t="s">
        <v>1071</v>
      </c>
      <c r="B324" s="46" t="s">
        <v>1012</v>
      </c>
      <c r="C324" s="511">
        <v>44833</v>
      </c>
      <c r="D324" s="46" t="s">
        <v>228</v>
      </c>
      <c r="E324" s="46" t="s">
        <v>489</v>
      </c>
      <c r="F324" s="512" t="s">
        <v>1072</v>
      </c>
      <c r="G324" s="39" t="s">
        <v>332</v>
      </c>
      <c r="H324" s="513">
        <v>9000000</v>
      </c>
      <c r="I324" s="46" t="s">
        <v>1082</v>
      </c>
      <c r="J324" s="276" t="str">
        <f>VLOOKUP($I324,'Price List, Weapons &amp; Items'!A:B,2,0)</f>
        <v>Humanitarian</v>
      </c>
      <c r="K324" s="276" t="str">
        <f>IF(I324=".",I324,VLOOKUP($I324,'Price List, Weapons &amp; Items'!A:C,3,0))</f>
        <v>.</v>
      </c>
      <c r="L324" s="514">
        <f>VLOOKUP(I324,'Price List, Weapons &amp; Items'!A:D,4,0)</f>
        <v>0</v>
      </c>
      <c r="M324" s="46">
        <v>8</v>
      </c>
      <c r="N324" s="46" t="s">
        <v>232</v>
      </c>
      <c r="O324" s="516" t="str">
        <f>VLOOKUP($I324,'Price List, Weapons &amp; Items'!A:F,6,0)</f>
        <v>.</v>
      </c>
      <c r="P324" s="513" t="str">
        <f t="shared" si="71"/>
        <v>No price</v>
      </c>
      <c r="Q324" s="513" t="str">
        <f t="shared" si="72"/>
        <v>.</v>
      </c>
      <c r="R324" s="513" t="str">
        <f t="shared" si="73"/>
        <v/>
      </c>
      <c r="S324" s="513" t="str">
        <f>IF(AND(AD324=1,R324&lt;&gt;".")=TRUE,R324/VLOOKUP(G324,'Exchange rates'!B:C,2,0),IF(R324=".",".",""))</f>
        <v/>
      </c>
      <c r="T324" s="513" t="str">
        <f>IF(AD324=1,IF(AF324="Value is not given at all",".",IF(AF324="Value is given by the source",S324,IF(AF324="Value is calculated with prices",(IF(SUMIFS(Q:Q,A:A,A324)&gt;0,SUMIFS(Q:Q,A:A,A324),"."))/VLOOKUP("USD",'Exchange rates'!B:C,2,0),"Error with coding"))),"")</f>
        <v/>
      </c>
      <c r="U324" s="39" t="s">
        <v>233</v>
      </c>
      <c r="V324" s="826" t="s">
        <v>1073</v>
      </c>
      <c r="W324" s="826" t="s">
        <v>1074</v>
      </c>
      <c r="X324" s="826" t="s">
        <v>1075</v>
      </c>
      <c r="Y324" s="826" t="s">
        <v>1076</v>
      </c>
      <c r="Z324" s="39">
        <v>0</v>
      </c>
      <c r="AA324" s="518">
        <v>0</v>
      </c>
      <c r="AB324" s="551" t="s">
        <v>232</v>
      </c>
      <c r="AC324" s="519" t="str">
        <f>""</f>
        <v/>
      </c>
      <c r="AD324" s="522">
        <v>0</v>
      </c>
      <c r="AE324" s="522" t="s">
        <v>236</v>
      </c>
      <c r="AF324" s="522" t="s">
        <v>237</v>
      </c>
      <c r="AG324" s="522">
        <v>1</v>
      </c>
      <c r="AH324" s="520">
        <v>9</v>
      </c>
      <c r="AI324" s="520">
        <v>0</v>
      </c>
      <c r="AJ324" s="520">
        <f>VLOOKUP($I324,'Price List, Weapons &amp; Items'!A:E,5,0)</f>
        <v>0</v>
      </c>
      <c r="AK324" s="520">
        <f t="shared" si="74"/>
        <v>0</v>
      </c>
      <c r="AL324" s="520">
        <f t="shared" si="75"/>
        <v>0</v>
      </c>
      <c r="AM324" s="520">
        <f t="shared" si="76"/>
        <v>0</v>
      </c>
      <c r="AN324" s="521" t="str">
        <f>VLOOKUP($I324,'Price List, Weapons &amp; Items'!A:K,COLUMN('Price List, Weapons &amp; Items'!$I$1),0)</f>
        <v>.</v>
      </c>
      <c r="AO324" s="521" t="str">
        <f>IF(I324=".",".",VLOOKUP($I324,'Price List, Weapons &amp; Items'!A:I,3,0))</f>
        <v>.</v>
      </c>
      <c r="AP324" s="517" t="str">
        <f t="shared" ca="1" si="70"/>
        <v/>
      </c>
      <c r="AQ324" s="521">
        <f>VLOOKUP($I324,'Price List, Weapons &amp; Items'!A:K,COLUMN('Price List, Weapons &amp; Items'!$K$1),0)</f>
        <v>0</v>
      </c>
      <c r="AR324" s="46"/>
      <c r="AS324" s="521">
        <f t="shared" si="77"/>
        <v>1</v>
      </c>
      <c r="AT324" s="521">
        <f t="shared" si="78"/>
        <v>0</v>
      </c>
      <c r="AU324" s="521">
        <f t="shared" si="79"/>
        <v>1</v>
      </c>
      <c r="AV324" s="521" t="str">
        <f t="shared" ref="AV324:AV387" si="80">IF(AND(A324=A323,C324=C323)=TRUE,IF(F324=F323,".","1"),".")</f>
        <v>.</v>
      </c>
    </row>
    <row r="325" spans="1:48" s="518" customFormat="1" ht="15" customHeight="1">
      <c r="A325" s="46" t="s">
        <v>1083</v>
      </c>
      <c r="B325" s="46" t="s">
        <v>1012</v>
      </c>
      <c r="C325" s="511">
        <v>44867</v>
      </c>
      <c r="D325" s="46" t="s">
        <v>228</v>
      </c>
      <c r="E325" s="46" t="s">
        <v>229</v>
      </c>
      <c r="F325" s="512" t="s">
        <v>1084</v>
      </c>
      <c r="G325" s="39" t="s">
        <v>314</v>
      </c>
      <c r="H325" s="513" t="s">
        <v>309</v>
      </c>
      <c r="I325" s="46" t="s">
        <v>232</v>
      </c>
      <c r="J325" s="276" t="str">
        <f>VLOOKUP($I325,'Price List, Weapons &amp; Items'!A:B,2,0)</f>
        <v>.</v>
      </c>
      <c r="K325" s="276" t="str">
        <f>IF(I325=".",I325,VLOOKUP($I325,'Price List, Weapons &amp; Items'!A:C,3,0))</f>
        <v>.</v>
      </c>
      <c r="L325" s="514">
        <f>VLOOKUP(I325,'Price List, Weapons &amp; Items'!A:D,4,0)</f>
        <v>0</v>
      </c>
      <c r="M325" s="46" t="s">
        <v>232</v>
      </c>
      <c r="N325" s="46" t="s">
        <v>232</v>
      </c>
      <c r="O325" s="516" t="s">
        <v>232</v>
      </c>
      <c r="P325" s="513"/>
      <c r="Q325" s="513"/>
      <c r="R325" s="513" t="str">
        <f t="shared" si="73"/>
        <v>.</v>
      </c>
      <c r="S325" s="513" t="str">
        <f>IF(AND(AD325=1,R325&lt;&gt;".")=TRUE,R325/VLOOKUP(G325,'Exchange rates'!B:C,2,0),IF(R325=".",".",""))</f>
        <v>.</v>
      </c>
      <c r="T325" s="513" t="str">
        <f>IF(AD325=1,IF(AF325="Value is not given at all",".",IF(AF325="Value is given by the source",S325,IF(AF325="Value is calculated with prices",(IF(SUMIFS(Q:Q,A:A,A325)&gt;0,SUMIFS(Q:Q,A:A,A325),"."))/VLOOKUP("USD",'Exchange rates'!B:C,2,0),"Error with coding"))),"")</f>
        <v>.</v>
      </c>
      <c r="U325" s="39" t="s">
        <v>372</v>
      </c>
      <c r="V325" s="829" t="s">
        <v>1085</v>
      </c>
      <c r="W325" s="42" t="s">
        <v>232</v>
      </c>
      <c r="X325" s="42" t="s">
        <v>232</v>
      </c>
      <c r="Y325" s="825" t="s">
        <v>232</v>
      </c>
      <c r="Z325" s="39">
        <v>0</v>
      </c>
      <c r="AA325" s="518">
        <v>1</v>
      </c>
      <c r="AB325" s="395" t="s">
        <v>232</v>
      </c>
      <c r="AC325" s="519" t="str">
        <f>""</f>
        <v/>
      </c>
      <c r="AD325" s="522">
        <v>1</v>
      </c>
      <c r="AE325" s="522" t="s">
        <v>237</v>
      </c>
      <c r="AF325" s="522" t="s">
        <v>237</v>
      </c>
      <c r="AG325" s="39">
        <v>1</v>
      </c>
      <c r="AH325" s="39">
        <v>11</v>
      </c>
      <c r="AI325" s="39"/>
      <c r="AJ325" s="520">
        <f>VLOOKUP($I325,'Price List, Weapons &amp; Items'!A:E,5,0)</f>
        <v>0</v>
      </c>
      <c r="AK325" s="520">
        <f t="shared" si="74"/>
        <v>0</v>
      </c>
      <c r="AL325" s="520">
        <f t="shared" si="75"/>
        <v>0</v>
      </c>
      <c r="AM325" s="520">
        <f t="shared" si="76"/>
        <v>0</v>
      </c>
      <c r="AN325" s="521" t="str">
        <f>VLOOKUP($I325,'Price List, Weapons &amp; Items'!A:K,COLUMN('Price List, Weapons &amp; Items'!$I$1),0)</f>
        <v>.</v>
      </c>
      <c r="AO325" s="521" t="str">
        <f>IF(I325=".",".",VLOOKUP($I325,'Price List, Weapons &amp; Items'!A:I,3,0))</f>
        <v>.</v>
      </c>
      <c r="AP325" s="517" t="str">
        <f t="shared" ca="1" si="70"/>
        <v>.</v>
      </c>
      <c r="AQ325" s="521" t="str">
        <f>VLOOKUP($I325,'Price List, Weapons &amp; Items'!A:K,COLUMN('Price List, Weapons &amp; Items'!$K$1),0)</f>
        <v>no price, 0 count</v>
      </c>
      <c r="AR325" s="46"/>
      <c r="AS325" s="521">
        <f t="shared" si="77"/>
        <v>0</v>
      </c>
      <c r="AT325" s="521">
        <f t="shared" si="78"/>
        <v>0</v>
      </c>
      <c r="AU325" s="521">
        <f t="shared" si="79"/>
        <v>1</v>
      </c>
      <c r="AV325" s="521" t="str">
        <f t="shared" si="80"/>
        <v>.</v>
      </c>
    </row>
    <row r="326" spans="1:48" ht="15" customHeight="1">
      <c r="A326" s="41" t="s">
        <v>1086</v>
      </c>
      <c r="B326" s="41" t="s">
        <v>1012</v>
      </c>
      <c r="C326" s="511">
        <v>44600</v>
      </c>
      <c r="D326" s="18" t="s">
        <v>366</v>
      </c>
      <c r="E326" s="18" t="s">
        <v>453</v>
      </c>
      <c r="F326" s="512" t="s">
        <v>1087</v>
      </c>
      <c r="G326" s="39" t="s">
        <v>332</v>
      </c>
      <c r="H326" s="513">
        <v>200000000</v>
      </c>
      <c r="I326" s="41" t="s">
        <v>232</v>
      </c>
      <c r="J326" s="276" t="str">
        <f>VLOOKUP($I326,'Price List, Weapons &amp; Items'!A:B,2,0)</f>
        <v>.</v>
      </c>
      <c r="K326" s="276" t="str">
        <f>IF(I326=".",I326,VLOOKUP($I326,'Price List, Weapons &amp; Items'!A:C,3,0))</f>
        <v>.</v>
      </c>
      <c r="L326" s="514">
        <f>VLOOKUP(I326,'Price List, Weapons &amp; Items'!A:D,4,0)</f>
        <v>0</v>
      </c>
      <c r="M326" s="515" t="s">
        <v>232</v>
      </c>
      <c r="N326" s="515" t="s">
        <v>232</v>
      </c>
      <c r="O326" s="516" t="str">
        <f>VLOOKUP($I326,'Price List, Weapons &amp; Items'!A:F,6,0)</f>
        <v>.</v>
      </c>
      <c r="P326" s="513" t="str">
        <f t="shared" si="71"/>
        <v>.</v>
      </c>
      <c r="Q326" s="513" t="str">
        <f t="shared" si="72"/>
        <v>.</v>
      </c>
      <c r="R326" s="513">
        <f t="shared" si="73"/>
        <v>200000000</v>
      </c>
      <c r="S326" s="513">
        <f>IF(AND(AD326=1,R326&lt;&gt;".")=TRUE,R326/VLOOKUP(G326,'Exchange rates'!B:C,2,0),IF(R326=".",".",""))</f>
        <v>200000000</v>
      </c>
      <c r="T326" s="513" t="str">
        <f>IF(AD326=1,IF(AF326="Value is not given at all",".",IF(AF326="Value is given by the source",S326,IF(AF326="Value is calculated with prices",(IF(SUMIFS(Q:Q,A:A,A326)&gt;0,SUMIFS(Q:Q,A:A,A326),"."))/VLOOKUP("USD",'Exchange rates'!B:C,2,0),"Error with coding"))),"")</f>
        <v>.</v>
      </c>
      <c r="U326" s="39" t="s">
        <v>372</v>
      </c>
      <c r="V326" s="42" t="s">
        <v>1088</v>
      </c>
      <c r="W326" s="517" t="s">
        <v>232</v>
      </c>
      <c r="X326" s="517" t="s">
        <v>232</v>
      </c>
      <c r="Y326" s="517" t="s">
        <v>232</v>
      </c>
      <c r="Z326" s="39">
        <v>0</v>
      </c>
      <c r="AA326" s="518">
        <v>0</v>
      </c>
      <c r="AB326" s="38" t="s">
        <v>232</v>
      </c>
      <c r="AC326" s="519" t="str">
        <f>""</f>
        <v/>
      </c>
      <c r="AD326" s="520">
        <v>1</v>
      </c>
      <c r="AE326" s="522" t="s">
        <v>236</v>
      </c>
      <c r="AF326" s="522" t="s">
        <v>237</v>
      </c>
      <c r="AG326" s="520">
        <v>1</v>
      </c>
      <c r="AH326" s="520">
        <v>2</v>
      </c>
      <c r="AI326" s="520">
        <v>1</v>
      </c>
      <c r="AJ326" s="520">
        <f>VLOOKUP($I326,'Price List, Weapons &amp; Items'!A:E,5,0)</f>
        <v>0</v>
      </c>
      <c r="AK326" s="520">
        <f t="shared" si="74"/>
        <v>0</v>
      </c>
      <c r="AL326" s="520">
        <f t="shared" si="75"/>
        <v>0</v>
      </c>
      <c r="AM326" s="520">
        <f t="shared" si="76"/>
        <v>0</v>
      </c>
      <c r="AN326" s="521" t="str">
        <f>VLOOKUP($I326,'Price List, Weapons &amp; Items'!A:K,COLUMN('Price List, Weapons &amp; Items'!$I$1),0)</f>
        <v>.</v>
      </c>
      <c r="AO326" s="521" t="str">
        <f>IF(I326=".",".",VLOOKUP($I326,'Price List, Weapons &amp; Items'!A:I,3,0))</f>
        <v>.</v>
      </c>
      <c r="AP326" s="517" t="str">
        <f t="shared" ca="1" si="70"/>
        <v>.</v>
      </c>
      <c r="AQ326" s="521" t="str">
        <f>VLOOKUP($I326,'Price List, Weapons &amp; Items'!A:K,COLUMN('Price List, Weapons &amp; Items'!$K$1),0)</f>
        <v>no price, 0 count</v>
      </c>
      <c r="AS326" s="521">
        <f t="shared" si="77"/>
        <v>0</v>
      </c>
      <c r="AT326" s="521">
        <f t="shared" si="78"/>
        <v>0</v>
      </c>
      <c r="AU326" s="521">
        <f t="shared" si="79"/>
        <v>1</v>
      </c>
      <c r="AV326" s="521" t="str">
        <f t="shared" si="80"/>
        <v>.</v>
      </c>
    </row>
    <row r="327" spans="1:48" ht="15" customHeight="1">
      <c r="A327" s="41" t="s">
        <v>1089</v>
      </c>
      <c r="B327" s="41" t="s">
        <v>1012</v>
      </c>
      <c r="C327" s="511">
        <v>44617</v>
      </c>
      <c r="D327" s="18" t="s">
        <v>366</v>
      </c>
      <c r="E327" s="18" t="s">
        <v>453</v>
      </c>
      <c r="F327" s="512" t="s">
        <v>1090</v>
      </c>
      <c r="G327" s="39" t="s">
        <v>332</v>
      </c>
      <c r="H327" s="513">
        <v>300000000</v>
      </c>
      <c r="I327" s="41" t="s">
        <v>232</v>
      </c>
      <c r="J327" s="276" t="str">
        <f>VLOOKUP($I327,'Price List, Weapons &amp; Items'!A:B,2,0)</f>
        <v>.</v>
      </c>
      <c r="K327" s="276" t="str">
        <f>IF(I327=".",I327,VLOOKUP($I327,'Price List, Weapons &amp; Items'!A:C,3,0))</f>
        <v>.</v>
      </c>
      <c r="L327" s="514">
        <f>VLOOKUP(I327,'Price List, Weapons &amp; Items'!A:D,4,0)</f>
        <v>0</v>
      </c>
      <c r="M327" s="515" t="s">
        <v>232</v>
      </c>
      <c r="N327" s="515" t="s">
        <v>232</v>
      </c>
      <c r="O327" s="516" t="str">
        <f>VLOOKUP($I327,'Price List, Weapons &amp; Items'!A:F,6,0)</f>
        <v>.</v>
      </c>
      <c r="P327" s="513" t="str">
        <f t="shared" si="71"/>
        <v>.</v>
      </c>
      <c r="Q327" s="513" t="str">
        <f t="shared" si="72"/>
        <v>.</v>
      </c>
      <c r="R327" s="513">
        <f t="shared" si="73"/>
        <v>300000000</v>
      </c>
      <c r="S327" s="513">
        <f>IF(AND(AD327=1,R327&lt;&gt;".")=TRUE,R327/VLOOKUP(G327,'Exchange rates'!B:C,2,0),IF(R327=".",".",""))</f>
        <v>300000000</v>
      </c>
      <c r="T327" s="513" t="str">
        <f>IF(AD327=1,IF(AF327="Value is not given at all",".",IF(AF327="Value is given by the source",S327,IF(AF327="Value is calculated with prices",(IF(SUMIFS(Q:Q,A:A,A327)&gt;0,SUMIFS(Q:Q,A:A,A327),"."))/VLOOKUP("USD",'Exchange rates'!B:C,2,0),"Error with coding"))),"")</f>
        <v>.</v>
      </c>
      <c r="U327" s="39" t="s">
        <v>233</v>
      </c>
      <c r="V327" s="42" t="s">
        <v>1091</v>
      </c>
      <c r="W327" s="42" t="s">
        <v>1092</v>
      </c>
      <c r="X327" s="42" t="s">
        <v>1093</v>
      </c>
      <c r="Y327" s="517" t="s">
        <v>232</v>
      </c>
      <c r="Z327" s="39">
        <v>0</v>
      </c>
      <c r="AA327" s="518">
        <v>0</v>
      </c>
      <c r="AB327" s="38" t="s">
        <v>232</v>
      </c>
      <c r="AC327" s="519" t="str">
        <f>""</f>
        <v/>
      </c>
      <c r="AD327" s="520">
        <v>1</v>
      </c>
      <c r="AE327" s="520" t="s">
        <v>236</v>
      </c>
      <c r="AF327" s="520" t="s">
        <v>237</v>
      </c>
      <c r="AG327" s="520">
        <v>1</v>
      </c>
      <c r="AH327" s="520">
        <v>2</v>
      </c>
      <c r="AI327" s="520">
        <v>0</v>
      </c>
      <c r="AJ327" s="520">
        <f>VLOOKUP($I327,'Price List, Weapons &amp; Items'!A:E,5,0)</f>
        <v>0</v>
      </c>
      <c r="AK327" s="520">
        <f t="shared" si="74"/>
        <v>0</v>
      </c>
      <c r="AL327" s="520">
        <f t="shared" si="75"/>
        <v>0</v>
      </c>
      <c r="AM327" s="520">
        <f t="shared" si="76"/>
        <v>0</v>
      </c>
      <c r="AN327" s="521" t="str">
        <f>VLOOKUP($I327,'Price List, Weapons &amp; Items'!A:K,COLUMN('Price List, Weapons &amp; Items'!$I$1),0)</f>
        <v>.</v>
      </c>
      <c r="AO327" s="521" t="str">
        <f>IF(I327=".",".",VLOOKUP($I327,'Price List, Weapons &amp; Items'!A:I,3,0))</f>
        <v>.</v>
      </c>
      <c r="AP327" s="517" t="str">
        <f t="shared" ca="1" si="70"/>
        <v>.</v>
      </c>
      <c r="AQ327" s="521" t="str">
        <f>VLOOKUP($I327,'Price List, Weapons &amp; Items'!A:K,COLUMN('Price List, Weapons &amp; Items'!$K$1),0)</f>
        <v>no price, 0 count</v>
      </c>
      <c r="AS327" s="521">
        <f t="shared" si="77"/>
        <v>1</v>
      </c>
      <c r="AT327" s="521">
        <f t="shared" si="78"/>
        <v>0</v>
      </c>
      <c r="AU327" s="521">
        <f t="shared" si="79"/>
        <v>1</v>
      </c>
      <c r="AV327" s="521" t="str">
        <f t="shared" si="80"/>
        <v>.</v>
      </c>
    </row>
    <row r="328" spans="1:48" ht="15" customHeight="1">
      <c r="A328" s="41" t="s">
        <v>1094</v>
      </c>
      <c r="B328" s="41" t="s">
        <v>1012</v>
      </c>
      <c r="C328" s="511">
        <v>44686</v>
      </c>
      <c r="D328" s="18" t="s">
        <v>366</v>
      </c>
      <c r="E328" s="18" t="s">
        <v>453</v>
      </c>
      <c r="F328" s="512" t="s">
        <v>1095</v>
      </c>
      <c r="G328" s="39" t="s">
        <v>332</v>
      </c>
      <c r="H328" s="513">
        <v>300000000</v>
      </c>
      <c r="I328" s="41" t="s">
        <v>232</v>
      </c>
      <c r="J328" s="276" t="str">
        <f>VLOOKUP($I328,'Price List, Weapons &amp; Items'!A:B,2,0)</f>
        <v>.</v>
      </c>
      <c r="K328" s="276" t="str">
        <f>IF(I328=".",I328,VLOOKUP($I328,'Price List, Weapons &amp; Items'!A:C,3,0))</f>
        <v>.</v>
      </c>
      <c r="L328" s="514">
        <f>VLOOKUP(I328,'Price List, Weapons &amp; Items'!A:D,4,0)</f>
        <v>0</v>
      </c>
      <c r="M328" s="515" t="s">
        <v>232</v>
      </c>
      <c r="N328" s="515" t="s">
        <v>232</v>
      </c>
      <c r="O328" s="516" t="str">
        <f>VLOOKUP($I328,'Price List, Weapons &amp; Items'!A:F,6,0)</f>
        <v>.</v>
      </c>
      <c r="P328" s="513" t="str">
        <f t="shared" si="71"/>
        <v>.</v>
      </c>
      <c r="Q328" s="513" t="str">
        <f t="shared" si="72"/>
        <v>.</v>
      </c>
      <c r="R328" s="513">
        <f t="shared" si="73"/>
        <v>300000000</v>
      </c>
      <c r="S328" s="513">
        <f>IF(AND(AD328=1,R328&lt;&gt;".")=TRUE,R328/VLOOKUP(G328,'Exchange rates'!B:C,2,0),IF(R328=".",".",""))</f>
        <v>300000000</v>
      </c>
      <c r="T328" s="513" t="str">
        <f>IF(AD328=1,IF(AF328="Value is not given at all",".",IF(AF328="Value is given by the source",S328,IF(AF328="Value is calculated with prices",(IF(SUMIFS(Q:Q,A:A,A328)&gt;0,SUMIFS(Q:Q,A:A,A328),"."))/VLOOKUP("USD",'Exchange rates'!B:C,2,0),"Error with coding"))),"")</f>
        <v>.</v>
      </c>
      <c r="U328" s="39" t="s">
        <v>233</v>
      </c>
      <c r="V328" s="42" t="s">
        <v>1096</v>
      </c>
      <c r="W328" s="132" t="s">
        <v>1097</v>
      </c>
      <c r="X328" s="543" t="s">
        <v>232</v>
      </c>
      <c r="Y328" s="543" t="s">
        <v>232</v>
      </c>
      <c r="Z328" s="39">
        <v>0</v>
      </c>
      <c r="AA328" s="518">
        <v>0</v>
      </c>
      <c r="AB328" s="38" t="s">
        <v>232</v>
      </c>
      <c r="AC328" s="519" t="str">
        <f>""</f>
        <v/>
      </c>
      <c r="AD328" s="520">
        <v>1</v>
      </c>
      <c r="AE328" s="520" t="s">
        <v>236</v>
      </c>
      <c r="AF328" s="520" t="s">
        <v>237</v>
      </c>
      <c r="AG328" s="520">
        <v>1</v>
      </c>
      <c r="AH328" s="520">
        <v>5</v>
      </c>
      <c r="AI328" s="520">
        <v>0</v>
      </c>
      <c r="AJ328" s="520">
        <f>VLOOKUP($I328,'Price List, Weapons &amp; Items'!A:E,5,0)</f>
        <v>0</v>
      </c>
      <c r="AK328" s="520">
        <f t="shared" si="74"/>
        <v>0</v>
      </c>
      <c r="AL328" s="520">
        <f t="shared" si="75"/>
        <v>0</v>
      </c>
      <c r="AM328" s="520">
        <f t="shared" si="76"/>
        <v>0</v>
      </c>
      <c r="AN328" s="521" t="str">
        <f>VLOOKUP($I328,'Price List, Weapons &amp; Items'!A:K,COLUMN('Price List, Weapons &amp; Items'!$I$1),0)</f>
        <v>.</v>
      </c>
      <c r="AO328" s="521" t="str">
        <f>IF(I328=".",".",VLOOKUP($I328,'Price List, Weapons &amp; Items'!A:I,3,0))</f>
        <v>.</v>
      </c>
      <c r="AP328" s="517" t="str">
        <f t="shared" ca="1" si="70"/>
        <v>.</v>
      </c>
      <c r="AQ328" s="521" t="str">
        <f>VLOOKUP($I328,'Price List, Weapons &amp; Items'!A:K,COLUMN('Price List, Weapons &amp; Items'!$K$1),0)</f>
        <v>no price, 0 count</v>
      </c>
      <c r="AS328" s="521">
        <f t="shared" si="77"/>
        <v>1</v>
      </c>
      <c r="AT328" s="521">
        <f t="shared" si="78"/>
        <v>0</v>
      </c>
      <c r="AU328" s="521">
        <f t="shared" si="79"/>
        <v>1</v>
      </c>
      <c r="AV328" s="521" t="str">
        <f t="shared" si="80"/>
        <v>.</v>
      </c>
    </row>
    <row r="329" spans="1:48" s="533" customFormat="1" ht="15" customHeight="1">
      <c r="A329" s="41" t="s">
        <v>1098</v>
      </c>
      <c r="B329" s="41" t="s">
        <v>1012</v>
      </c>
      <c r="C329" s="511" t="s">
        <v>1099</v>
      </c>
      <c r="D329" s="18" t="s">
        <v>252</v>
      </c>
      <c r="E329" s="18" t="s">
        <v>253</v>
      </c>
      <c r="F329" s="512" t="s">
        <v>1100</v>
      </c>
      <c r="G329" s="39" t="s">
        <v>332</v>
      </c>
      <c r="H329" s="513">
        <v>100000000</v>
      </c>
      <c r="I329" s="41" t="s">
        <v>1101</v>
      </c>
      <c r="J329" s="276" t="str">
        <f>VLOOKUP($I329,'Price List, Weapons &amp; Items'!A:B,2,0)</f>
        <v>Ammunition for portable defence system</v>
      </c>
      <c r="K329" s="276" t="str">
        <f>IF(I329=".",I329,VLOOKUP($I329,'Price List, Weapons &amp; Items'!A:C,3,0))</f>
        <v>Light Anti-armor Weapon (LAW)</v>
      </c>
      <c r="L329" s="514">
        <f>VLOOKUP(I329,'Price List, Weapons &amp; Items'!A:D,4,0)</f>
        <v>0</v>
      </c>
      <c r="M329" s="515">
        <v>24</v>
      </c>
      <c r="N329" s="515">
        <v>24</v>
      </c>
      <c r="O329" s="516">
        <f>VLOOKUP($I329,'Price List, Weapons &amp; Items'!A:F,6,0)</f>
        <v>122527.7</v>
      </c>
      <c r="P329" s="513">
        <f t="shared" si="71"/>
        <v>2940664.8</v>
      </c>
      <c r="Q329" s="513">
        <f t="shared" si="72"/>
        <v>2940664.8</v>
      </c>
      <c r="R329" s="513">
        <f t="shared" si="73"/>
        <v>100000000</v>
      </c>
      <c r="S329" s="513">
        <f>IF(AND(AD329=1,R329&lt;&gt;".")=TRUE,R329/VLOOKUP(G329,'Exchange rates'!B:C,2,0),IF(R329=".",".",""))</f>
        <v>100000000</v>
      </c>
      <c r="T329" s="513">
        <f>IF(AD329=1,IF(AF329="Value is not given at all",".",IF(AF329="Value is given by the source",S329,IF(AF329="Value is calculated with prices",(IF(SUMIFS(Q:Q,A:A,A329)&gt;0,SUMIFS(Q:Q,A:A,A329),"."))/VLOOKUP("USD",'Exchange rates'!B:C,2,0),"Error with coding"))),"")</f>
        <v>100000000</v>
      </c>
      <c r="U329" s="39" t="s">
        <v>233</v>
      </c>
      <c r="V329" s="42" t="s">
        <v>1102</v>
      </c>
      <c r="W329" s="42" t="s">
        <v>1103</v>
      </c>
      <c r="X329" s="42" t="s">
        <v>1104</v>
      </c>
      <c r="Y329" s="543" t="s">
        <v>232</v>
      </c>
      <c r="Z329" s="39">
        <v>0</v>
      </c>
      <c r="AA329" s="518">
        <v>0</v>
      </c>
      <c r="AB329" s="394" t="s">
        <v>1105</v>
      </c>
      <c r="AC329" s="519" t="str">
        <f>""</f>
        <v/>
      </c>
      <c r="AD329" s="520">
        <v>1</v>
      </c>
      <c r="AE329" s="520" t="s">
        <v>236</v>
      </c>
      <c r="AF329" s="520" t="s">
        <v>236</v>
      </c>
      <c r="AG329" s="520">
        <v>1</v>
      </c>
      <c r="AH329" s="520">
        <v>4</v>
      </c>
      <c r="AI329" s="520">
        <v>0</v>
      </c>
      <c r="AJ329" s="520">
        <f>VLOOKUP($I329,'Price List, Weapons &amp; Items'!A:E,5,0)</f>
        <v>0</v>
      </c>
      <c r="AK329" s="520">
        <f t="shared" si="74"/>
        <v>0</v>
      </c>
      <c r="AL329" s="520">
        <f t="shared" si="75"/>
        <v>0</v>
      </c>
      <c r="AM329" s="520">
        <f t="shared" si="76"/>
        <v>0</v>
      </c>
      <c r="AN329" s="521" t="str">
        <f>VLOOKUP($I329,'Price List, Weapons &amp; Items'!A:K,COLUMN('Price List, Weapons &amp; Items'!$I$1),0)</f>
        <v>Contracts</v>
      </c>
      <c r="AO329" s="521" t="str">
        <f>IF(I329=".",".",VLOOKUP($I329,'Price List, Weapons &amp; Items'!A:I,3,0))</f>
        <v>Light Anti-armor Weapon (LAW)</v>
      </c>
      <c r="AP329" s="517" t="str">
        <f t="shared" ca="1" si="70"/>
        <v>Milan</v>
      </c>
      <c r="AQ329" s="521">
        <f>VLOOKUP($I329,'Price List, Weapons &amp; Items'!A:K,COLUMN('Price List, Weapons &amp; Items'!$K$1),0)</f>
        <v>2</v>
      </c>
      <c r="AS329" s="521">
        <f t="shared" si="77"/>
        <v>1</v>
      </c>
      <c r="AT329" s="521">
        <f t="shared" si="78"/>
        <v>1</v>
      </c>
      <c r="AU329" s="521" t="str">
        <f t="shared" si="79"/>
        <v>Value is not in date format</v>
      </c>
      <c r="AV329" s="521" t="str">
        <f t="shared" si="80"/>
        <v>.</v>
      </c>
    </row>
    <row r="330" spans="1:48" ht="15" customHeight="1">
      <c r="A330" s="41" t="s">
        <v>1106</v>
      </c>
      <c r="B330" s="41" t="s">
        <v>1012</v>
      </c>
      <c r="C330" s="511">
        <v>44674</v>
      </c>
      <c r="D330" s="18" t="s">
        <v>252</v>
      </c>
      <c r="E330" s="18" t="s">
        <v>307</v>
      </c>
      <c r="F330" s="512" t="s">
        <v>1107</v>
      </c>
      <c r="G330" s="39" t="s">
        <v>314</v>
      </c>
      <c r="H330" s="513" t="s">
        <v>309</v>
      </c>
      <c r="I330" s="41" t="s">
        <v>1108</v>
      </c>
      <c r="J330" s="276" t="str">
        <f>VLOOKUP($I330,'Price List, Weapons &amp; Items'!A:B,2,0)</f>
        <v>Heavy weapon</v>
      </c>
      <c r="K330" s="276" t="str">
        <f>IF(I330=".",I330,VLOOKUP($I330,'Price List, Weapons &amp; Items'!A:C,3,0))</f>
        <v>155mm howitzer</v>
      </c>
      <c r="L330" s="514">
        <f>VLOOKUP(I330,'Price List, Weapons &amp; Items'!A:D,4,0)</f>
        <v>0</v>
      </c>
      <c r="M330" s="515">
        <v>12</v>
      </c>
      <c r="N330" s="515">
        <v>12</v>
      </c>
      <c r="O330" s="516">
        <f>VLOOKUP($I330,'Price List, Weapons &amp; Items'!A:F,6,0)</f>
        <v>6345668.5229201708</v>
      </c>
      <c r="P330" s="513">
        <f t="shared" si="71"/>
        <v>76148022.275042057</v>
      </c>
      <c r="Q330" s="513">
        <f t="shared" si="72"/>
        <v>76148022.275042057</v>
      </c>
      <c r="R330" s="513">
        <f t="shared" si="73"/>
        <v>76148022.275042057</v>
      </c>
      <c r="S330" s="513">
        <f>IF(AND(AD330=1,R330&lt;&gt;".")=TRUE,R330/VLOOKUP(G330,'Exchange rates'!B:C,2,0),IF(R330=".",".",""))</f>
        <v>75882433.756892934</v>
      </c>
      <c r="T330" s="513">
        <f>IF(AD330=1,IF(AF330="Value is not given at all",".",IF(AF330="Value is given by the source",S330,IF(AF330="Value is calculated with prices",(IF(SUMIFS(Q:Q,A:A,A330)&gt;0,SUMIFS(Q:Q,A:A,A330),"."))/VLOOKUP("USD",'Exchange rates'!B:C,2,0),"Error with coding"))),"")</f>
        <v>75882433.756892934</v>
      </c>
      <c r="U330" s="39" t="s">
        <v>372</v>
      </c>
      <c r="V330" s="42" t="s">
        <v>1104</v>
      </c>
      <c r="W330" s="42" t="s">
        <v>1109</v>
      </c>
      <c r="X330" s="517" t="s">
        <v>232</v>
      </c>
      <c r="Y330" s="543" t="s">
        <v>232</v>
      </c>
      <c r="Z330" s="39">
        <v>0</v>
      </c>
      <c r="AA330" s="518">
        <v>0</v>
      </c>
      <c r="AB330" s="394" t="s">
        <v>1110</v>
      </c>
      <c r="AC330" s="519" t="str">
        <f>""</f>
        <v/>
      </c>
      <c r="AD330" s="520">
        <v>1</v>
      </c>
      <c r="AE330" s="520" t="s">
        <v>300</v>
      </c>
      <c r="AF330" s="520" t="s">
        <v>300</v>
      </c>
      <c r="AG330" s="520">
        <v>1</v>
      </c>
      <c r="AH330" s="520">
        <v>4</v>
      </c>
      <c r="AI330" s="520">
        <v>0</v>
      </c>
      <c r="AJ330" s="520">
        <f>VLOOKUP($I330,'Price List, Weapons &amp; Items'!A:E,5,0)</f>
        <v>1</v>
      </c>
      <c r="AK330" s="520">
        <f t="shared" si="74"/>
        <v>0</v>
      </c>
      <c r="AL330" s="520">
        <f t="shared" si="75"/>
        <v>0</v>
      </c>
      <c r="AM330" s="520">
        <f t="shared" si="76"/>
        <v>0</v>
      </c>
      <c r="AN330" s="521" t="str">
        <f>VLOOKUP($I330,'Price List, Weapons &amp; Items'!A:K,COLUMN('Price List, Weapons &amp; Items'!$I$1),0)</f>
        <v>Contracts</v>
      </c>
      <c r="AO330" s="521" t="str">
        <f>IF(I330=".",".",VLOOKUP($I330,'Price List, Weapons &amp; Items'!A:I,3,0))</f>
        <v>155mm howitzer</v>
      </c>
      <c r="AP330" s="517" t="str">
        <f t="shared" ca="1" si="70"/>
        <v>CAESAR artillery howitzer</v>
      </c>
      <c r="AQ330" s="521">
        <f>VLOOKUP($I330,'Price List, Weapons &amp; Items'!A:K,COLUMN('Price List, Weapons &amp; Items'!$K$1),0)</f>
        <v>2</v>
      </c>
      <c r="AS330" s="521">
        <f t="shared" si="77"/>
        <v>0</v>
      </c>
      <c r="AT330" s="521">
        <f t="shared" si="78"/>
        <v>1</v>
      </c>
      <c r="AU330" s="521">
        <f t="shared" si="79"/>
        <v>1</v>
      </c>
      <c r="AV330" s="521" t="str">
        <f t="shared" si="80"/>
        <v>.</v>
      </c>
    </row>
    <row r="331" spans="1:48" ht="15" customHeight="1">
      <c r="A331" s="41" t="s">
        <v>1111</v>
      </c>
      <c r="B331" s="41" t="s">
        <v>1012</v>
      </c>
      <c r="C331" s="511">
        <v>44681</v>
      </c>
      <c r="D331" s="18" t="s">
        <v>252</v>
      </c>
      <c r="E331" s="18" t="s">
        <v>253</v>
      </c>
      <c r="F331" s="512" t="s">
        <v>1112</v>
      </c>
      <c r="G331" s="39" t="s">
        <v>232</v>
      </c>
      <c r="H331" s="513" t="s">
        <v>309</v>
      </c>
      <c r="I331" s="41" t="s">
        <v>232</v>
      </c>
      <c r="J331" s="276" t="str">
        <f>VLOOKUP($I331,'Price List, Weapons &amp; Items'!A:B,2,0)</f>
        <v>.</v>
      </c>
      <c r="K331" s="276" t="str">
        <f>IF(I331=".",I331,VLOOKUP($I331,'Price List, Weapons &amp; Items'!A:C,3,0))</f>
        <v>.</v>
      </c>
      <c r="L331" s="514">
        <f>VLOOKUP(I331,'Price List, Weapons &amp; Items'!A:D,4,0)</f>
        <v>0</v>
      </c>
      <c r="M331" s="515" t="s">
        <v>232</v>
      </c>
      <c r="N331" s="515" t="s">
        <v>232</v>
      </c>
      <c r="O331" s="516" t="str">
        <f>VLOOKUP($I331,'Price List, Weapons &amp; Items'!A:F,6,0)</f>
        <v>.</v>
      </c>
      <c r="P331" s="513" t="str">
        <f t="shared" si="71"/>
        <v>.</v>
      </c>
      <c r="Q331" s="513" t="str">
        <f t="shared" si="72"/>
        <v>.</v>
      </c>
      <c r="R331" s="513" t="str">
        <f t="shared" si="73"/>
        <v>.</v>
      </c>
      <c r="S331" s="513" t="str">
        <f>IF(AND(AD331=1,R331&lt;&gt;".")=TRUE,R331/VLOOKUP(G331,'Exchange rates'!B:C,2,0),IF(R331=".",".",""))</f>
        <v>.</v>
      </c>
      <c r="T331" s="513" t="str">
        <f>IF(AD331=1,IF(AF331="Value is not given at all",".",IF(AF331="Value is given by the source",S331,IF(AF331="Value is calculated with prices",(IF(SUMIFS(Q:Q,A:A,A331)&gt;0,SUMIFS(Q:Q,A:A,A331),"."))/VLOOKUP("USD",'Exchange rates'!B:C,2,0),"Error with coding"))),"")</f>
        <v>.</v>
      </c>
      <c r="U331" s="39" t="s">
        <v>372</v>
      </c>
      <c r="V331" s="42" t="s">
        <v>1113</v>
      </c>
      <c r="W331" s="517" t="s">
        <v>232</v>
      </c>
      <c r="X331" s="517" t="s">
        <v>232</v>
      </c>
      <c r="Y331" s="543" t="s">
        <v>232</v>
      </c>
      <c r="Z331" s="39">
        <v>0</v>
      </c>
      <c r="AA331" s="518">
        <v>0</v>
      </c>
      <c r="AB331" s="38" t="s">
        <v>232</v>
      </c>
      <c r="AC331" s="519" t="str">
        <f>""</f>
        <v/>
      </c>
      <c r="AD331" s="520">
        <v>1</v>
      </c>
      <c r="AE331" s="520" t="s">
        <v>237</v>
      </c>
      <c r="AF331" s="520" t="s">
        <v>237</v>
      </c>
      <c r="AG331" s="520">
        <v>1</v>
      </c>
      <c r="AH331" s="520">
        <v>4</v>
      </c>
      <c r="AI331" s="520">
        <v>0</v>
      </c>
      <c r="AJ331" s="520">
        <f>VLOOKUP($I331,'Price List, Weapons &amp; Items'!A:E,5,0)</f>
        <v>0</v>
      </c>
      <c r="AK331" s="520">
        <f t="shared" si="74"/>
        <v>0</v>
      </c>
      <c r="AL331" s="520">
        <f t="shared" si="75"/>
        <v>0</v>
      </c>
      <c r="AM331" s="520">
        <f t="shared" si="76"/>
        <v>0</v>
      </c>
      <c r="AN331" s="521" t="str">
        <f>VLOOKUP($I331,'Price List, Weapons &amp; Items'!A:K,COLUMN('Price List, Weapons &amp; Items'!$I$1),0)</f>
        <v>.</v>
      </c>
      <c r="AO331" s="521" t="str">
        <f>IF(I331=".",".",VLOOKUP($I331,'Price List, Weapons &amp; Items'!A:I,3,0))</f>
        <v>.</v>
      </c>
      <c r="AP331" s="517" t="str">
        <f t="shared" ca="1" si="70"/>
        <v>.</v>
      </c>
      <c r="AQ331" s="521" t="str">
        <f>VLOOKUP($I331,'Price List, Weapons &amp; Items'!A:K,COLUMN('Price List, Weapons &amp; Items'!$K$1),0)</f>
        <v>no price, 0 count</v>
      </c>
      <c r="AS331" s="521">
        <f t="shared" si="77"/>
        <v>0</v>
      </c>
      <c r="AT331" s="521">
        <f t="shared" si="78"/>
        <v>1</v>
      </c>
      <c r="AU331" s="521">
        <f t="shared" si="79"/>
        <v>1</v>
      </c>
      <c r="AV331" s="521" t="str">
        <f t="shared" si="80"/>
        <v>.</v>
      </c>
    </row>
    <row r="332" spans="1:48" ht="15" customHeight="1">
      <c r="A332" s="41" t="s">
        <v>1114</v>
      </c>
      <c r="B332" s="41" t="s">
        <v>1012</v>
      </c>
      <c r="C332" s="511">
        <v>44712</v>
      </c>
      <c r="D332" s="18" t="s">
        <v>252</v>
      </c>
      <c r="E332" s="18" t="s">
        <v>253</v>
      </c>
      <c r="F332" s="512" t="s">
        <v>1115</v>
      </c>
      <c r="G332" s="39" t="s">
        <v>232</v>
      </c>
      <c r="H332" s="513" t="s">
        <v>309</v>
      </c>
      <c r="I332" s="41" t="s">
        <v>232</v>
      </c>
      <c r="J332" s="276" t="str">
        <f>VLOOKUP($I332,'Price List, Weapons &amp; Items'!A:B,2,0)</f>
        <v>.</v>
      </c>
      <c r="K332" s="276" t="str">
        <f>IF(I332=".",I332,VLOOKUP($I332,'Price List, Weapons &amp; Items'!A:C,3,0))</f>
        <v>.</v>
      </c>
      <c r="L332" s="514">
        <f>VLOOKUP(I332,'Price List, Weapons &amp; Items'!A:D,4,0)</f>
        <v>0</v>
      </c>
      <c r="M332" s="515" t="s">
        <v>232</v>
      </c>
      <c r="N332" s="515" t="s">
        <v>232</v>
      </c>
      <c r="O332" s="516" t="str">
        <f>VLOOKUP($I332,'Price List, Weapons &amp; Items'!A:F,6,0)</f>
        <v>.</v>
      </c>
      <c r="P332" s="513" t="str">
        <f t="shared" si="71"/>
        <v>.</v>
      </c>
      <c r="Q332" s="513" t="str">
        <f t="shared" si="72"/>
        <v>.</v>
      </c>
      <c r="R332" s="513" t="str">
        <f t="shared" si="73"/>
        <v>.</v>
      </c>
      <c r="S332" s="513" t="str">
        <f>IF(AND(AD332=1,R332&lt;&gt;".")=TRUE,R332/VLOOKUP(G332,'Exchange rates'!B:C,2,0),IF(R332=".",".",""))</f>
        <v>.</v>
      </c>
      <c r="T332" s="513" t="str">
        <f>IF(AD332=1,IF(AF332="Value is not given at all",".",IF(AF332="Value is given by the source",S332,IF(AF332="Value is calculated with prices",(IF(SUMIFS(Q:Q,A:A,A332)&gt;0,SUMIFS(Q:Q,A:A,A332),"."))/VLOOKUP("USD",'Exchange rates'!B:C,2,0),"Error with coding"))),"")</f>
        <v>.</v>
      </c>
      <c r="U332" s="39" t="s">
        <v>372</v>
      </c>
      <c r="V332" s="42" t="s">
        <v>1116</v>
      </c>
      <c r="W332" s="517" t="s">
        <v>232</v>
      </c>
      <c r="X332" s="517" t="s">
        <v>232</v>
      </c>
      <c r="Y332" s="517" t="s">
        <v>232</v>
      </c>
      <c r="Z332" s="39">
        <v>0</v>
      </c>
      <c r="AA332" s="39">
        <v>0</v>
      </c>
      <c r="AB332" s="38" t="s">
        <v>232</v>
      </c>
      <c r="AC332" s="519" t="str">
        <f>""</f>
        <v/>
      </c>
      <c r="AD332" s="520">
        <v>1</v>
      </c>
      <c r="AE332" s="520" t="s">
        <v>237</v>
      </c>
      <c r="AF332" s="520" t="s">
        <v>237</v>
      </c>
      <c r="AG332" s="520">
        <v>1</v>
      </c>
      <c r="AH332" s="520">
        <v>5</v>
      </c>
      <c r="AI332" s="520">
        <v>0</v>
      </c>
      <c r="AJ332" s="520">
        <f>VLOOKUP($I332,'Price List, Weapons &amp; Items'!A:E,5,0)</f>
        <v>0</v>
      </c>
      <c r="AK332" s="520">
        <f t="shared" si="74"/>
        <v>0</v>
      </c>
      <c r="AL332" s="520">
        <f t="shared" si="75"/>
        <v>0</v>
      </c>
      <c r="AM332" s="520">
        <f t="shared" si="76"/>
        <v>0</v>
      </c>
      <c r="AN332" s="521" t="str">
        <f>VLOOKUP($I332,'Price List, Weapons &amp; Items'!A:K,COLUMN('Price List, Weapons &amp; Items'!$I$1),0)</f>
        <v>.</v>
      </c>
      <c r="AO332" s="521" t="str">
        <f>IF(I332=".",".",VLOOKUP($I332,'Price List, Weapons &amp; Items'!A:I,3,0))</f>
        <v>.</v>
      </c>
      <c r="AP332" s="517" t="str">
        <f t="shared" ca="1" si="70"/>
        <v>.</v>
      </c>
      <c r="AQ332" s="521" t="str">
        <f>VLOOKUP($I332,'Price List, Weapons &amp; Items'!A:K,COLUMN('Price List, Weapons &amp; Items'!$K$1),0)</f>
        <v>no price, 0 count</v>
      </c>
      <c r="AS332" s="521">
        <f t="shared" si="77"/>
        <v>0</v>
      </c>
      <c r="AT332" s="521">
        <f t="shared" si="78"/>
        <v>1</v>
      </c>
      <c r="AU332" s="521">
        <f t="shared" si="79"/>
        <v>1</v>
      </c>
      <c r="AV332" s="521" t="str">
        <f t="shared" si="80"/>
        <v>.</v>
      </c>
    </row>
    <row r="333" spans="1:48" ht="15" customHeight="1">
      <c r="A333" s="18" t="s">
        <v>1117</v>
      </c>
      <c r="B333" s="18" t="s">
        <v>1012</v>
      </c>
      <c r="C333" s="511">
        <v>44742</v>
      </c>
      <c r="D333" s="18" t="s">
        <v>252</v>
      </c>
      <c r="E333" s="18" t="s">
        <v>307</v>
      </c>
      <c r="F333" s="512" t="s">
        <v>1118</v>
      </c>
      <c r="G333" s="39" t="s">
        <v>314</v>
      </c>
      <c r="H333" s="513" t="s">
        <v>309</v>
      </c>
      <c r="I333" s="41" t="s">
        <v>1108</v>
      </c>
      <c r="J333" s="276" t="str">
        <f>VLOOKUP($I333,'Price List, Weapons &amp; Items'!A:B,2,0)</f>
        <v>Heavy weapon</v>
      </c>
      <c r="K333" s="276" t="str">
        <f>IF(I333=".",I333,VLOOKUP($I333,'Price List, Weapons &amp; Items'!A:C,3,0))</f>
        <v>155mm howitzer</v>
      </c>
      <c r="L333" s="514">
        <f>VLOOKUP(I333,'Price List, Weapons &amp; Items'!A:D,4,0)</f>
        <v>0</v>
      </c>
      <c r="M333" s="515">
        <v>6</v>
      </c>
      <c r="N333" s="515">
        <v>6</v>
      </c>
      <c r="O333" s="516">
        <f>VLOOKUP($I333,'Price List, Weapons &amp; Items'!A:F,6,0)</f>
        <v>6345668.5229201708</v>
      </c>
      <c r="P333" s="513">
        <f t="shared" si="71"/>
        <v>38074011.137521029</v>
      </c>
      <c r="Q333" s="513">
        <f t="shared" si="72"/>
        <v>38074011.137521029</v>
      </c>
      <c r="R333" s="513">
        <f t="shared" si="73"/>
        <v>110484057.73752104</v>
      </c>
      <c r="S333" s="513">
        <f>IF(AND(AD333=1,R333&lt;&gt;".")=TRUE,R333/VLOOKUP(G333,'Exchange rates'!B:C,2,0),IF(R333=".",".",""))</f>
        <v>110098712.2446647</v>
      </c>
      <c r="T333" s="513">
        <f>IF(AD333=1,IF(AF333="Value is not given at all",".",IF(AF333="Value is given by the source",S333,IF(AF333="Value is calculated with prices",(IF(SUMIFS(Q:Q,A:A,A333)&gt;0,SUMIFS(Q:Q,A:A,A333),"."))/VLOOKUP("USD",'Exchange rates'!B:C,2,0),"Error with coding"))),"")</f>
        <v>110098712.2446647</v>
      </c>
      <c r="U333" s="39" t="s">
        <v>233</v>
      </c>
      <c r="V333" s="376" t="s">
        <v>1119</v>
      </c>
      <c r="W333" s="387" t="s">
        <v>1120</v>
      </c>
      <c r="X333" s="835" t="s">
        <v>1121</v>
      </c>
      <c r="Y333" s="530" t="s">
        <v>232</v>
      </c>
      <c r="Z333" s="39">
        <v>0</v>
      </c>
      <c r="AA333" s="39">
        <v>0</v>
      </c>
      <c r="AB333" s="394" t="s">
        <v>1122</v>
      </c>
      <c r="AC333" s="519" t="str">
        <f>""</f>
        <v/>
      </c>
      <c r="AD333" s="520">
        <v>1</v>
      </c>
      <c r="AE333" s="520" t="s">
        <v>300</v>
      </c>
      <c r="AF333" s="520" t="s">
        <v>300</v>
      </c>
      <c r="AG333" s="520">
        <v>1</v>
      </c>
      <c r="AH333" s="520">
        <v>6</v>
      </c>
      <c r="AI333" s="520">
        <v>0</v>
      </c>
      <c r="AJ333" s="520">
        <f>VLOOKUP($I333,'Price List, Weapons &amp; Items'!A:E,5,0)</f>
        <v>1</v>
      </c>
      <c r="AK333" s="520">
        <f t="shared" si="74"/>
        <v>0</v>
      </c>
      <c r="AL333" s="520">
        <f t="shared" si="75"/>
        <v>0</v>
      </c>
      <c r="AM333" s="520">
        <f t="shared" si="76"/>
        <v>0</v>
      </c>
      <c r="AN333" s="521" t="str">
        <f>VLOOKUP($I333,'Price List, Weapons &amp; Items'!A:K,COLUMN('Price List, Weapons &amp; Items'!$I$1),0)</f>
        <v>Contracts</v>
      </c>
      <c r="AO333" s="521" t="str">
        <f>IF(I333=".",".",VLOOKUP($I333,'Price List, Weapons &amp; Items'!A:I,3,0))</f>
        <v>155mm howitzer</v>
      </c>
      <c r="AP333" s="517" t="str">
        <f t="shared" ca="1" si="70"/>
        <v>CAESAR artillery howitzer; Round of ammunition for 155mm howitzer; VAB Armored Personnel Carrier</v>
      </c>
      <c r="AQ333" s="521">
        <f>VLOOKUP($I333,'Price List, Weapons &amp; Items'!A:K,COLUMN('Price List, Weapons &amp; Items'!$K$1),0)</f>
        <v>2</v>
      </c>
      <c r="AS333" s="521">
        <f t="shared" si="77"/>
        <v>1</v>
      </c>
      <c r="AT333" s="521">
        <f t="shared" si="78"/>
        <v>1</v>
      </c>
      <c r="AU333" s="521">
        <f t="shared" si="79"/>
        <v>1</v>
      </c>
      <c r="AV333" s="521" t="str">
        <f t="shared" si="80"/>
        <v>.</v>
      </c>
    </row>
    <row r="334" spans="1:48" ht="15" customHeight="1">
      <c r="A334" s="18" t="s">
        <v>1117</v>
      </c>
      <c r="B334" s="18" t="s">
        <v>1012</v>
      </c>
      <c r="C334" s="511">
        <v>44742</v>
      </c>
      <c r="D334" s="18" t="s">
        <v>252</v>
      </c>
      <c r="E334" s="18" t="s">
        <v>307</v>
      </c>
      <c r="F334" s="512" t="s">
        <v>1118</v>
      </c>
      <c r="G334" s="39" t="s">
        <v>314</v>
      </c>
      <c r="H334" s="513" t="s">
        <v>309</v>
      </c>
      <c r="I334" s="425" t="s">
        <v>1123</v>
      </c>
      <c r="J334" s="276" t="str">
        <f>VLOOKUP($I334,'Price List, Weapons &amp; Items'!A:B,2,0)</f>
        <v>Ammunition for heavy weapon</v>
      </c>
      <c r="K334" s="276" t="str">
        <f>IF(I334=".",I334,VLOOKUP($I334,'Price List, Weapons &amp; Items'!A:C,3,0))</f>
        <v>155mm howitzer ammunition</v>
      </c>
      <c r="L334" s="514">
        <f>VLOOKUP(I334,'Price List, Weapons &amp; Items'!A:D,4,0)</f>
        <v>0</v>
      </c>
      <c r="M334" s="515" t="s">
        <v>264</v>
      </c>
      <c r="N334" s="515" t="s">
        <v>264</v>
      </c>
      <c r="O334" s="516">
        <f>VLOOKUP($I334,'Price List, Weapons &amp; Items'!A:F,6,0)</f>
        <v>3800</v>
      </c>
      <c r="P334" s="513" t="str">
        <f t="shared" ref="P334:P340" si="81">IF(TYPE(M334)=1,IF(TYPE(O334)=1,M334*O334,"No price"),".")</f>
        <v>.</v>
      </c>
      <c r="Q334" s="513" t="str">
        <f t="shared" ref="Q334:Q340" si="82">IF(TYPE(N334)=1,IF(TYPE(O334)=1,N334*O334,"No price"),".")</f>
        <v>.</v>
      </c>
      <c r="R334" s="513" t="str">
        <f t="shared" si="73"/>
        <v/>
      </c>
      <c r="S334" s="513" t="str">
        <f>IF(AND(AD334=1,R334&lt;&gt;".")=TRUE,R334/VLOOKUP(G334,'Exchange rates'!B:C,2,0),IF(R334=".",".",""))</f>
        <v/>
      </c>
      <c r="T334" s="513" t="str">
        <f>IF(AD334=1,IF(AF334="Value is not given at all",".",IF(AF334="Value is given by the source",S334,IF(AF334="Value is calculated with prices",(IF(SUMIFS(Q:Q,A:A,A334)&gt;0,SUMIFS(Q:Q,A:A,A334),"."))/VLOOKUP("USD",'Exchange rates'!B:C,2,0),"Error with coding"))),"")</f>
        <v/>
      </c>
      <c r="U334" s="39" t="s">
        <v>233</v>
      </c>
      <c r="V334" s="376" t="s">
        <v>1119</v>
      </c>
      <c r="W334" s="387" t="s">
        <v>1120</v>
      </c>
      <c r="X334" s="835" t="s">
        <v>1121</v>
      </c>
      <c r="Y334" s="530" t="s">
        <v>232</v>
      </c>
      <c r="Z334" s="39">
        <v>0</v>
      </c>
      <c r="AA334" s="39">
        <v>1</v>
      </c>
      <c r="AB334" s="394" t="s">
        <v>1121</v>
      </c>
      <c r="AC334" s="519" t="str">
        <f>""</f>
        <v/>
      </c>
      <c r="AD334" s="520">
        <v>0</v>
      </c>
      <c r="AE334" s="520" t="s">
        <v>300</v>
      </c>
      <c r="AF334" s="520" t="s">
        <v>300</v>
      </c>
      <c r="AG334" s="520">
        <v>1</v>
      </c>
      <c r="AH334" s="520">
        <v>6</v>
      </c>
      <c r="AI334" s="520"/>
      <c r="AJ334" s="520">
        <f>VLOOKUP($I334,'Price List, Weapons &amp; Items'!A:E,5,0)</f>
        <v>1</v>
      </c>
      <c r="AK334" s="520">
        <f t="shared" si="74"/>
        <v>1</v>
      </c>
      <c r="AL334" s="520">
        <f t="shared" si="75"/>
        <v>1</v>
      </c>
      <c r="AM334" s="520">
        <f t="shared" si="76"/>
        <v>1</v>
      </c>
      <c r="AN334" s="521" t="str">
        <f>VLOOKUP($I334,'Price List, Weapons &amp; Items'!A:K,COLUMN('Price List, Weapons &amp; Items'!$I$1),0)</f>
        <v>Government information</v>
      </c>
      <c r="AO334" s="521" t="str">
        <f>IF(I334=".",".",VLOOKUP($I334,'Price List, Weapons &amp; Items'!A:I,3,0))</f>
        <v>155mm howitzer ammunition</v>
      </c>
      <c r="AP334" s="517" t="str">
        <f t="shared" ca="1" si="70"/>
        <v/>
      </c>
      <c r="AQ334" s="521">
        <f>VLOOKUP($I334,'Price List, Weapons &amp; Items'!A:K,COLUMN('Price List, Weapons &amp; Items'!$K$1),0)</f>
        <v>2</v>
      </c>
      <c r="AS334" s="521">
        <f t="shared" si="77"/>
        <v>1</v>
      </c>
      <c r="AT334" s="521">
        <f t="shared" si="78"/>
        <v>1</v>
      </c>
      <c r="AU334" s="521">
        <f t="shared" si="79"/>
        <v>1</v>
      </c>
      <c r="AV334" s="521" t="str">
        <f t="shared" si="80"/>
        <v>.</v>
      </c>
    </row>
    <row r="335" spans="1:48" ht="15" customHeight="1">
      <c r="A335" s="18" t="s">
        <v>1117</v>
      </c>
      <c r="B335" s="18" t="s">
        <v>1012</v>
      </c>
      <c r="C335" s="511">
        <v>44742</v>
      </c>
      <c r="D335" s="18" t="s">
        <v>252</v>
      </c>
      <c r="E335" s="18" t="s">
        <v>307</v>
      </c>
      <c r="F335" s="512" t="s">
        <v>1118</v>
      </c>
      <c r="G335" s="39" t="s">
        <v>314</v>
      </c>
      <c r="H335" s="513" t="s">
        <v>309</v>
      </c>
      <c r="I335" s="41" t="s">
        <v>1124</v>
      </c>
      <c r="J335" s="276" t="str">
        <f>VLOOKUP($I335,'Price List, Weapons &amp; Items'!A:B,2,0)</f>
        <v>Heavy weapon</v>
      </c>
      <c r="K335" s="276" t="str">
        <f>IF(I335=".",I335,VLOOKUP($I335,'Price List, Weapons &amp; Items'!A:C,3,0))</f>
        <v>Armoured Personnel Carrier (APC)</v>
      </c>
      <c r="L335" s="514">
        <f>VLOOKUP(I335,'Price List, Weapons &amp; Items'!A:D,4,0)</f>
        <v>0</v>
      </c>
      <c r="M335" s="515">
        <v>60</v>
      </c>
      <c r="N335" s="515">
        <v>60</v>
      </c>
      <c r="O335" s="516">
        <f>VLOOKUP($I335,'Price List, Weapons &amp; Items'!A:F,6,0)</f>
        <v>1206834.1100000001</v>
      </c>
      <c r="P335" s="513">
        <f t="shared" si="81"/>
        <v>72410046.600000009</v>
      </c>
      <c r="Q335" s="513">
        <f t="shared" si="82"/>
        <v>72410046.600000009</v>
      </c>
      <c r="R335" s="513" t="str">
        <f t="shared" si="73"/>
        <v/>
      </c>
      <c r="S335" s="513" t="str">
        <f>IF(AND(AD335=1,R335&lt;&gt;".")=TRUE,R335/VLOOKUP(G335,'Exchange rates'!B:C,2,0),IF(R335=".",".",""))</f>
        <v/>
      </c>
      <c r="T335" s="513" t="str">
        <f>IF(AD335=1,IF(AF335="Value is not given at all",".",IF(AF335="Value is given by the source",S335,IF(AF335="Value is calculated with prices",(IF(SUMIFS(Q:Q,A:A,A335)&gt;0,SUMIFS(Q:Q,A:A,A335),"."))/VLOOKUP("USD",'Exchange rates'!B:C,2,0),"Error with coding"))),"")</f>
        <v/>
      </c>
      <c r="U335" s="39" t="s">
        <v>233</v>
      </c>
      <c r="V335" s="376" t="s">
        <v>1119</v>
      </c>
      <c r="W335" s="387" t="s">
        <v>1120</v>
      </c>
      <c r="X335" s="835" t="s">
        <v>1121</v>
      </c>
      <c r="Y335" s="530" t="s">
        <v>232</v>
      </c>
      <c r="Z335" s="39">
        <v>0</v>
      </c>
      <c r="AA335" s="39">
        <v>0</v>
      </c>
      <c r="AB335" s="832" t="s">
        <v>1121</v>
      </c>
      <c r="AC335" s="519" t="str">
        <f>""</f>
        <v/>
      </c>
      <c r="AD335" s="520">
        <v>0</v>
      </c>
      <c r="AE335" s="520" t="s">
        <v>300</v>
      </c>
      <c r="AF335" s="520" t="s">
        <v>300</v>
      </c>
      <c r="AG335" s="520">
        <v>1</v>
      </c>
      <c r="AH335" s="520">
        <v>6</v>
      </c>
      <c r="AI335" s="520">
        <v>0</v>
      </c>
      <c r="AJ335" s="520">
        <f>VLOOKUP($I335,'Price List, Weapons &amp; Items'!A:E,5,0)</f>
        <v>1</v>
      </c>
      <c r="AK335" s="520">
        <f t="shared" si="74"/>
        <v>0</v>
      </c>
      <c r="AL335" s="520">
        <f t="shared" si="75"/>
        <v>0</v>
      </c>
      <c r="AM335" s="520">
        <f t="shared" si="76"/>
        <v>0</v>
      </c>
      <c r="AN335" s="521" t="str">
        <f>VLOOKUP($I335,'Price List, Weapons &amp; Items'!A:K,COLUMN('Price List, Weapons &amp; Items'!$I$1),0)</f>
        <v>Contracts</v>
      </c>
      <c r="AO335" s="521" t="str">
        <f>IF(I335=".",".",VLOOKUP($I335,'Price List, Weapons &amp; Items'!A:I,3,0))</f>
        <v>Armoured Personnel Carrier (APC)</v>
      </c>
      <c r="AP335" s="517" t="str">
        <f t="shared" ca="1" si="70"/>
        <v/>
      </c>
      <c r="AQ335" s="521">
        <f>VLOOKUP($I335,'Price List, Weapons &amp; Items'!A:K,COLUMN('Price List, Weapons &amp; Items'!$K$1),0)</f>
        <v>2</v>
      </c>
      <c r="AS335" s="521">
        <f t="shared" si="77"/>
        <v>1</v>
      </c>
      <c r="AT335" s="521">
        <f t="shared" si="78"/>
        <v>1</v>
      </c>
      <c r="AU335" s="521">
        <f t="shared" si="79"/>
        <v>1</v>
      </c>
      <c r="AV335" s="521" t="str">
        <f t="shared" si="80"/>
        <v>.</v>
      </c>
    </row>
    <row r="336" spans="1:48" ht="15" customHeight="1">
      <c r="A336" s="18" t="s">
        <v>1125</v>
      </c>
      <c r="B336" s="18" t="s">
        <v>1012</v>
      </c>
      <c r="C336" s="511">
        <v>44841</v>
      </c>
      <c r="D336" s="18" t="s">
        <v>252</v>
      </c>
      <c r="E336" s="18" t="s">
        <v>253</v>
      </c>
      <c r="F336" s="512" t="s">
        <v>1126</v>
      </c>
      <c r="G336" s="39" t="s">
        <v>332</v>
      </c>
      <c r="H336" s="513">
        <v>100000000</v>
      </c>
      <c r="I336" s="41" t="s">
        <v>232</v>
      </c>
      <c r="J336" s="276" t="str">
        <f>VLOOKUP($I336,'Price List, Weapons &amp; Items'!A:B,2,0)</f>
        <v>.</v>
      </c>
      <c r="K336" s="276" t="str">
        <f>IF(I336=".",I336,VLOOKUP($I336,'Price List, Weapons &amp; Items'!A:C,3,0))</f>
        <v>.</v>
      </c>
      <c r="L336" s="514">
        <f>VLOOKUP(I336,'Price List, Weapons &amp; Items'!A:D,4,0)</f>
        <v>0</v>
      </c>
      <c r="M336" s="515" t="s">
        <v>232</v>
      </c>
      <c r="N336" s="515" t="s">
        <v>232</v>
      </c>
      <c r="O336" s="516" t="str">
        <f>VLOOKUP($I336,'Price List, Weapons &amp; Items'!A:F,6,0)</f>
        <v>.</v>
      </c>
      <c r="P336" s="513" t="str">
        <f t="shared" si="81"/>
        <v>.</v>
      </c>
      <c r="Q336" s="513" t="str">
        <f t="shared" si="82"/>
        <v>.</v>
      </c>
      <c r="R336" s="513">
        <f t="shared" si="73"/>
        <v>100000000</v>
      </c>
      <c r="S336" s="513">
        <f>IF(AND(AD336=1,R336&lt;&gt;".")=TRUE,R336/VLOOKUP(G336,'Exchange rates'!B:C,2,0),IF(R336=".",".",""))</f>
        <v>100000000</v>
      </c>
      <c r="T336" s="513" t="str">
        <f>IF(AD336=1,IF(AF336="Value is not given at all",".",IF(AF336="Value is given by the source",S336,IF(AF336="Value is calculated with prices",(IF(SUMIFS(Q:Q,A:A,A336)&gt;0,SUMIFS(Q:Q,A:A,A336),"."))/VLOOKUP("USD",'Exchange rates'!B:C,2,0),"Error with coding"))),"")</f>
        <v>.</v>
      </c>
      <c r="U336" s="39" t="s">
        <v>372</v>
      </c>
      <c r="V336" s="387" t="s">
        <v>1127</v>
      </c>
      <c r="W336" s="827" t="s">
        <v>1128</v>
      </c>
      <c r="X336" s="829" t="s">
        <v>232</v>
      </c>
      <c r="Y336" s="530" t="s">
        <v>232</v>
      </c>
      <c r="Z336" s="39">
        <v>0</v>
      </c>
      <c r="AA336" s="39">
        <v>1</v>
      </c>
      <c r="AB336" s="38" t="s">
        <v>232</v>
      </c>
      <c r="AC336" s="519" t="str">
        <f>""</f>
        <v/>
      </c>
      <c r="AD336" s="520">
        <v>1</v>
      </c>
      <c r="AE336" s="520" t="s">
        <v>236</v>
      </c>
      <c r="AF336" s="520" t="s">
        <v>237</v>
      </c>
      <c r="AG336" s="520">
        <v>1</v>
      </c>
      <c r="AH336" s="520">
        <v>10</v>
      </c>
      <c r="AI336" s="520"/>
      <c r="AJ336" s="520">
        <f>VLOOKUP($I336,'Price List, Weapons &amp; Items'!A:E,5,0)</f>
        <v>0</v>
      </c>
      <c r="AK336" s="520">
        <f t="shared" si="74"/>
        <v>0</v>
      </c>
      <c r="AL336" s="520">
        <f t="shared" si="75"/>
        <v>0</v>
      </c>
      <c r="AM336" s="520">
        <f t="shared" si="76"/>
        <v>0</v>
      </c>
      <c r="AN336" s="521" t="str">
        <f>VLOOKUP($I336,'Price List, Weapons &amp; Items'!A:K,COLUMN('Price List, Weapons &amp; Items'!$I$1),0)</f>
        <v>.</v>
      </c>
      <c r="AO336" s="521" t="str">
        <f>IF(I336=".",".",VLOOKUP($I336,'Price List, Weapons &amp; Items'!A:I,3,0))</f>
        <v>.</v>
      </c>
      <c r="AP336" s="517" t="str">
        <f t="shared" ca="1" si="70"/>
        <v>.</v>
      </c>
      <c r="AQ336" s="521" t="str">
        <f>VLOOKUP($I336,'Price List, Weapons &amp; Items'!A:K,COLUMN('Price List, Weapons &amp; Items'!$K$1),0)</f>
        <v>no price, 0 count</v>
      </c>
      <c r="AS336" s="521">
        <f t="shared" si="77"/>
        <v>0</v>
      </c>
      <c r="AT336" s="521">
        <f t="shared" si="78"/>
        <v>1</v>
      </c>
      <c r="AU336" s="521">
        <f t="shared" si="79"/>
        <v>1</v>
      </c>
      <c r="AV336" s="521" t="str">
        <f t="shared" si="80"/>
        <v>.</v>
      </c>
    </row>
    <row r="337" spans="1:48" ht="15" customHeight="1">
      <c r="A337" s="18" t="s">
        <v>1129</v>
      </c>
      <c r="B337" s="18" t="s">
        <v>1012</v>
      </c>
      <c r="C337" s="511">
        <v>44871</v>
      </c>
      <c r="D337" s="18" t="s">
        <v>252</v>
      </c>
      <c r="E337" s="18" t="s">
        <v>253</v>
      </c>
      <c r="F337" s="816" t="s">
        <v>1130</v>
      </c>
      <c r="G337" s="39" t="s">
        <v>314</v>
      </c>
      <c r="H337" s="513" t="s">
        <v>309</v>
      </c>
      <c r="I337" s="41" t="s">
        <v>1108</v>
      </c>
      <c r="J337" s="276" t="str">
        <f>VLOOKUP($I337,'Price List, Weapons &amp; Items'!A:B,2,0)</f>
        <v>Heavy weapon</v>
      </c>
      <c r="K337" s="276" t="str">
        <f>IF(I337=".",I337,VLOOKUP($I337,'Price List, Weapons &amp; Items'!A:C,3,0))</f>
        <v>155mm howitzer</v>
      </c>
      <c r="L337" s="514">
        <f>VLOOKUP(I337,'Price List, Weapons &amp; Items'!A:D,4,0)</f>
        <v>0</v>
      </c>
      <c r="M337" s="515">
        <v>6</v>
      </c>
      <c r="N337" s="515" t="s">
        <v>232</v>
      </c>
      <c r="O337" s="516">
        <f>VLOOKUP($I337,'Price List, Weapons &amp; Items'!A:F,6,0)</f>
        <v>6345668.5229201708</v>
      </c>
      <c r="P337" s="513">
        <f t="shared" si="81"/>
        <v>38074011.137521029</v>
      </c>
      <c r="Q337" s="513" t="str">
        <f t="shared" si="82"/>
        <v>.</v>
      </c>
      <c r="R337" s="513">
        <f t="shared" si="73"/>
        <v>85976614.535283595</v>
      </c>
      <c r="S337" s="513">
        <f>IF(AND(AD337=1,R337&lt;&gt;".")=TRUE,R337/VLOOKUP(G337,'Exchange rates'!B:C,2,0),IF(R337=".",".",""))</f>
        <v>85676745.924547672</v>
      </c>
      <c r="T337" s="513" t="str">
        <f>IF(AD337=1,IF(AF337="Value is not given at all",".",IF(AF337="Value is given by the source",S337,IF(AF337="Value is calculated with prices",(IF(SUMIFS(Q:Q,A:A,A337)&gt;0,SUMIFS(Q:Q,A:A,A337),"."))/VLOOKUP("USD",'Exchange rates'!B:C,2,0),"Error with coding"))),"")</f>
        <v>.</v>
      </c>
      <c r="U337" s="39" t="s">
        <v>372</v>
      </c>
      <c r="V337" s="387" t="s">
        <v>1127</v>
      </c>
      <c r="W337" s="827" t="s">
        <v>1131</v>
      </c>
      <c r="X337" s="827" t="s">
        <v>1128</v>
      </c>
      <c r="Y337" s="835" t="s">
        <v>1121</v>
      </c>
      <c r="Z337" s="39">
        <v>0</v>
      </c>
      <c r="AA337" s="39">
        <v>1</v>
      </c>
      <c r="AB337" s="38" t="s">
        <v>232</v>
      </c>
      <c r="AC337" s="519" t="str">
        <f>""</f>
        <v/>
      </c>
      <c r="AD337" s="520">
        <v>1</v>
      </c>
      <c r="AE337" s="520" t="s">
        <v>300</v>
      </c>
      <c r="AF337" s="520" t="s">
        <v>237</v>
      </c>
      <c r="AG337" s="520">
        <v>1</v>
      </c>
      <c r="AH337" s="520">
        <v>11</v>
      </c>
      <c r="AI337" s="520">
        <v>0</v>
      </c>
      <c r="AJ337" s="520">
        <f>VLOOKUP($I337,'Price List, Weapons &amp; Items'!A:E,5,0)</f>
        <v>1</v>
      </c>
      <c r="AK337" s="520">
        <f t="shared" si="74"/>
        <v>0</v>
      </c>
      <c r="AL337" s="520">
        <f t="shared" si="75"/>
        <v>0</v>
      </c>
      <c r="AM337" s="520">
        <f t="shared" si="76"/>
        <v>0</v>
      </c>
      <c r="AN337" s="521" t="str">
        <f>VLOOKUP($I337,'Price List, Weapons &amp; Items'!A:K,COLUMN('Price List, Weapons &amp; Items'!$I$1),0)</f>
        <v>Contracts</v>
      </c>
      <c r="AO337" s="521" t="str">
        <f>IF(I337=".",".",VLOOKUP($I337,'Price List, Weapons &amp; Items'!A:I,3,0))</f>
        <v>155mm howitzer</v>
      </c>
      <c r="AP337" s="517" t="str">
        <f t="shared" ca="1" si="70"/>
        <v>CAESAR artillery howitzer; Cortale air-defense system; M270 weapon system; unkown radar (France)</v>
      </c>
      <c r="AQ337" s="521">
        <f>VLOOKUP($I337,'Price List, Weapons &amp; Items'!A:K,COLUMN('Price List, Weapons &amp; Items'!$K$1),0)</f>
        <v>2</v>
      </c>
      <c r="AS337" s="521">
        <f t="shared" si="77"/>
        <v>0</v>
      </c>
      <c r="AT337" s="521">
        <f t="shared" si="78"/>
        <v>1</v>
      </c>
      <c r="AU337" s="521">
        <f t="shared" si="79"/>
        <v>1</v>
      </c>
      <c r="AV337" s="521" t="str">
        <f t="shared" si="80"/>
        <v>.</v>
      </c>
    </row>
    <row r="338" spans="1:48" ht="15" customHeight="1">
      <c r="A338" s="18" t="s">
        <v>1129</v>
      </c>
      <c r="B338" s="18" t="s">
        <v>1012</v>
      </c>
      <c r="C338" s="511">
        <v>44883</v>
      </c>
      <c r="D338" s="18" t="s">
        <v>252</v>
      </c>
      <c r="E338" s="18" t="s">
        <v>253</v>
      </c>
      <c r="F338" s="816" t="s">
        <v>1130</v>
      </c>
      <c r="G338" s="39" t="s">
        <v>314</v>
      </c>
      <c r="H338" s="513" t="s">
        <v>309</v>
      </c>
      <c r="I338" s="41" t="s">
        <v>1132</v>
      </c>
      <c r="J338" s="276" t="str">
        <f>VLOOKUP($I338,'Price List, Weapons &amp; Items'!A:B,2,0)</f>
        <v>Military</v>
      </c>
      <c r="K338" s="276" t="str">
        <f>IF(I338=".",I338,VLOOKUP($I338,'Price List, Weapons &amp; Items'!A:C,3,0))</f>
        <v>Anti-aircraft surface-to-air missile (SAM) system (short-range)</v>
      </c>
      <c r="L338" s="514">
        <f>VLOOKUP(I338,'Price List, Weapons &amp; Items'!A:D,4,0)</f>
        <v>0</v>
      </c>
      <c r="M338" s="515">
        <v>2</v>
      </c>
      <c r="N338" s="515" t="s">
        <v>232</v>
      </c>
      <c r="O338" s="516">
        <f>VLOOKUP($I338,'Price List, Weapons &amp; Items'!A:F,6,0)</f>
        <v>10335642.57</v>
      </c>
      <c r="P338" s="513">
        <f t="shared" si="81"/>
        <v>20671285.140000001</v>
      </c>
      <c r="Q338" s="513" t="str">
        <f t="shared" si="82"/>
        <v>.</v>
      </c>
      <c r="R338" s="513" t="str">
        <f t="shared" si="73"/>
        <v/>
      </c>
      <c r="S338" s="513" t="str">
        <f>IF(AND(AD338=1,R338&lt;&gt;".")=TRUE,R338/VLOOKUP(G338,'Exchange rates'!B:C,2,0),IF(R338=".",".",""))</f>
        <v/>
      </c>
      <c r="T338" s="513" t="str">
        <f>IF(AD338=1,IF(AF338="Value is not given at all",".",IF(AF338="Value is given by the source",S338,IF(AF338="Value is calculated with prices",(IF(SUMIFS(Q:Q,A:A,A338)&gt;0,SUMIFS(Q:Q,A:A,A338),"."))/VLOOKUP("USD",'Exchange rates'!B:C,2,0),"Error with coding"))),"")</f>
        <v/>
      </c>
      <c r="U338" s="39" t="s">
        <v>372</v>
      </c>
      <c r="V338" s="387" t="s">
        <v>1127</v>
      </c>
      <c r="W338" s="827" t="s">
        <v>1131</v>
      </c>
      <c r="X338" s="827" t="s">
        <v>1128</v>
      </c>
      <c r="Y338" s="835" t="s">
        <v>1121</v>
      </c>
      <c r="Z338" s="39">
        <v>0</v>
      </c>
      <c r="AA338" s="39">
        <v>1</v>
      </c>
      <c r="AB338" s="834" t="s">
        <v>232</v>
      </c>
      <c r="AC338" s="519" t="str">
        <f>""</f>
        <v/>
      </c>
      <c r="AD338" s="520">
        <v>0</v>
      </c>
      <c r="AE338" s="520" t="s">
        <v>300</v>
      </c>
      <c r="AF338" s="520" t="s">
        <v>237</v>
      </c>
      <c r="AG338" s="520">
        <v>1</v>
      </c>
      <c r="AH338" s="520">
        <v>11</v>
      </c>
      <c r="AI338" s="520"/>
      <c r="AJ338" s="520">
        <f>VLOOKUP($I338,'Price List, Weapons &amp; Items'!A:E,5,0)</f>
        <v>0</v>
      </c>
      <c r="AK338" s="520">
        <f t="shared" si="74"/>
        <v>0</v>
      </c>
      <c r="AL338" s="520">
        <f t="shared" si="75"/>
        <v>0</v>
      </c>
      <c r="AM338" s="520">
        <f t="shared" si="76"/>
        <v>0</v>
      </c>
      <c r="AN338" s="521" t="str">
        <f>VLOOKUP($I338,'Price List, Weapons &amp; Items'!A:K,COLUMN('Price List, Weapons &amp; Items'!$I$1),0)</f>
        <v>.</v>
      </c>
      <c r="AO338" s="521" t="str">
        <f>IF(I338=".",".",VLOOKUP($I338,'Price List, Weapons &amp; Items'!A:I,3,0))</f>
        <v>Anti-aircraft surface-to-air missile (SAM) system (short-range)</v>
      </c>
      <c r="AP338" s="517" t="str">
        <f t="shared" ca="1" si="70"/>
        <v/>
      </c>
      <c r="AQ338" s="521">
        <f>VLOOKUP($I338,'Price List, Weapons &amp; Items'!A:K,COLUMN('Price List, Weapons &amp; Items'!$K$1),0)</f>
        <v>2</v>
      </c>
      <c r="AS338" s="521">
        <f t="shared" si="77"/>
        <v>0</v>
      </c>
      <c r="AT338" s="521">
        <f t="shared" si="78"/>
        <v>1</v>
      </c>
      <c r="AU338" s="521">
        <f t="shared" si="79"/>
        <v>1</v>
      </c>
      <c r="AV338" s="521" t="str">
        <f t="shared" si="80"/>
        <v>.</v>
      </c>
    </row>
    <row r="339" spans="1:48" ht="15" customHeight="1">
      <c r="A339" s="18" t="s">
        <v>1129</v>
      </c>
      <c r="B339" s="18" t="s">
        <v>1012</v>
      </c>
      <c r="C339" s="511">
        <v>44883</v>
      </c>
      <c r="D339" s="18" t="s">
        <v>252</v>
      </c>
      <c r="E339" s="18" t="s">
        <v>253</v>
      </c>
      <c r="F339" s="816" t="s">
        <v>1130</v>
      </c>
      <c r="G339" s="39" t="s">
        <v>314</v>
      </c>
      <c r="H339" s="513" t="s">
        <v>309</v>
      </c>
      <c r="I339" s="41" t="s">
        <v>1133</v>
      </c>
      <c r="J339" s="276" t="str">
        <f>VLOOKUP($I339,'Price List, Weapons &amp; Items'!A:B,2,0)</f>
        <v>Heavy weapon</v>
      </c>
      <c r="K339" s="276" t="str">
        <f>IF(I339=".",I339,VLOOKUP($I339,'Price List, Weapons &amp; Items'!A:C,3,0))</f>
        <v>227mm MLRS</v>
      </c>
      <c r="L339" s="514">
        <f>VLOOKUP(I339,'Price List, Weapons &amp; Items'!A:D,4,0)</f>
        <v>0</v>
      </c>
      <c r="M339" s="515">
        <v>2</v>
      </c>
      <c r="N339" s="515" t="s">
        <v>232</v>
      </c>
      <c r="O339" s="516">
        <f>VLOOKUP($I339,'Price List, Weapons &amp; Items'!A:F,6,0)</f>
        <v>13615659.128881287</v>
      </c>
      <c r="P339" s="513">
        <f t="shared" si="81"/>
        <v>27231318.257762574</v>
      </c>
      <c r="Q339" s="513" t="str">
        <f t="shared" si="82"/>
        <v>.</v>
      </c>
      <c r="R339" s="513" t="str">
        <f t="shared" si="73"/>
        <v/>
      </c>
      <c r="S339" s="513" t="str">
        <f>IF(AND(AD339=1,R339&lt;&gt;".")=TRUE,R339/VLOOKUP(G339,'Exchange rates'!B:C,2,0),IF(R339=".",".",""))</f>
        <v/>
      </c>
      <c r="T339" s="513" t="str">
        <f>IF(AD339=1,IF(AF339="Value is not given at all",".",IF(AF339="Value is given by the source",S339,IF(AF339="Value is calculated with prices",(IF(SUMIFS(Q:Q,A:A,A339)&gt;0,SUMIFS(Q:Q,A:A,A339),"."))/VLOOKUP("USD",'Exchange rates'!B:C,2,0),"Error with coding"))),"")</f>
        <v/>
      </c>
      <c r="U339" s="39" t="s">
        <v>372</v>
      </c>
      <c r="V339" s="387" t="s">
        <v>1127</v>
      </c>
      <c r="W339" s="827" t="s">
        <v>1131</v>
      </c>
      <c r="X339" s="827" t="s">
        <v>1128</v>
      </c>
      <c r="Y339" s="835" t="s">
        <v>1121</v>
      </c>
      <c r="Z339" s="39">
        <v>0</v>
      </c>
      <c r="AA339" s="39">
        <v>1</v>
      </c>
      <c r="AB339" s="834" t="s">
        <v>232</v>
      </c>
      <c r="AC339" s="519" t="str">
        <f>""</f>
        <v/>
      </c>
      <c r="AD339" s="520">
        <v>0</v>
      </c>
      <c r="AE339" s="520" t="s">
        <v>300</v>
      </c>
      <c r="AF339" s="520" t="s">
        <v>237</v>
      </c>
      <c r="AG339" s="520">
        <v>1</v>
      </c>
      <c r="AH339" s="520">
        <v>11</v>
      </c>
      <c r="AI339" s="520"/>
      <c r="AJ339" s="520">
        <f>VLOOKUP($I339,'Price List, Weapons &amp; Items'!A:E,5,0)</f>
        <v>1</v>
      </c>
      <c r="AK339" s="520">
        <f t="shared" si="74"/>
        <v>0</v>
      </c>
      <c r="AL339" s="520">
        <f t="shared" si="75"/>
        <v>0</v>
      </c>
      <c r="AM339" s="520">
        <f t="shared" si="76"/>
        <v>0</v>
      </c>
      <c r="AN339" s="521" t="str">
        <f>VLOOKUP($I339,'Price List, Weapons &amp; Items'!A:K,COLUMN('Price List, Weapons &amp; Items'!$I$1),0)</f>
        <v>Contracts</v>
      </c>
      <c r="AO339" s="521" t="str">
        <f>IF(I339=".",".",VLOOKUP($I339,'Price List, Weapons &amp; Items'!A:I,3,0))</f>
        <v>227mm MLRS</v>
      </c>
      <c r="AP339" s="517" t="str">
        <f t="shared" ca="1" si="70"/>
        <v/>
      </c>
      <c r="AQ339" s="521">
        <f>VLOOKUP($I339,'Price List, Weapons &amp; Items'!A:K,COLUMN('Price List, Weapons &amp; Items'!$K$1),0)</f>
        <v>2</v>
      </c>
      <c r="AS339" s="521">
        <f t="shared" si="77"/>
        <v>0</v>
      </c>
      <c r="AT339" s="521">
        <f t="shared" si="78"/>
        <v>1</v>
      </c>
      <c r="AU339" s="521">
        <f t="shared" si="79"/>
        <v>1</v>
      </c>
      <c r="AV339" s="521" t="str">
        <f t="shared" si="80"/>
        <v>.</v>
      </c>
    </row>
    <row r="340" spans="1:48" ht="15" customHeight="1">
      <c r="A340" s="18" t="s">
        <v>1129</v>
      </c>
      <c r="B340" s="18" t="s">
        <v>1012</v>
      </c>
      <c r="C340" s="511">
        <v>44883</v>
      </c>
      <c r="D340" s="18" t="s">
        <v>252</v>
      </c>
      <c r="E340" s="18" t="s">
        <v>253</v>
      </c>
      <c r="F340" s="816" t="s">
        <v>1130</v>
      </c>
      <c r="G340" s="39" t="s">
        <v>314</v>
      </c>
      <c r="H340" s="513" t="s">
        <v>309</v>
      </c>
      <c r="I340" s="41" t="s">
        <v>1134</v>
      </c>
      <c r="J340" s="276" t="str">
        <f>VLOOKUP($I340,'Price List, Weapons &amp; Items'!A:B,2,0)</f>
        <v>Military</v>
      </c>
      <c r="K340" s="276" t="str">
        <f>IF(I340=".",I340,VLOOKUP($I340,'Price List, Weapons &amp; Items'!A:C,3,0))</f>
        <v>radar or imagery systems</v>
      </c>
      <c r="L340" s="514">
        <f>VLOOKUP(I340,'Price List, Weapons &amp; Items'!A:D,4,0)</f>
        <v>0</v>
      </c>
      <c r="M340" s="515" t="s">
        <v>264</v>
      </c>
      <c r="N340" s="515" t="s">
        <v>232</v>
      </c>
      <c r="O340" s="516" t="str">
        <f>VLOOKUP($I340,'Price List, Weapons &amp; Items'!A:F,6,0)</f>
        <v>.</v>
      </c>
      <c r="P340" s="513" t="str">
        <f t="shared" si="81"/>
        <v>.</v>
      </c>
      <c r="Q340" s="513" t="str">
        <f t="shared" si="82"/>
        <v>.</v>
      </c>
      <c r="R340" s="513" t="str">
        <f t="shared" si="73"/>
        <v/>
      </c>
      <c r="S340" s="513" t="str">
        <f>IF(AND(AD340=1,R340&lt;&gt;".")=TRUE,R340/VLOOKUP(G340,'Exchange rates'!B:C,2,0),IF(R340=".",".",""))</f>
        <v/>
      </c>
      <c r="T340" s="513" t="str">
        <f>IF(AD340=1,IF(AF340="Value is not given at all",".",IF(AF340="Value is given by the source",S340,IF(AF340="Value is calculated with prices",(IF(SUMIFS(Q:Q,A:A,A340)&gt;0,SUMIFS(Q:Q,A:A,A340),"."))/VLOOKUP("USD",'Exchange rates'!B:C,2,0),"Error with coding"))),"")</f>
        <v/>
      </c>
      <c r="U340" s="39" t="s">
        <v>372</v>
      </c>
      <c r="V340" s="387" t="s">
        <v>1127</v>
      </c>
      <c r="W340" s="827" t="s">
        <v>1131</v>
      </c>
      <c r="X340" s="827" t="s">
        <v>1128</v>
      </c>
      <c r="Y340" s="835" t="s">
        <v>1121</v>
      </c>
      <c r="Z340" s="39">
        <v>0</v>
      </c>
      <c r="AA340" s="39">
        <v>1</v>
      </c>
      <c r="AB340" s="38" t="s">
        <v>232</v>
      </c>
      <c r="AC340" s="519" t="str">
        <f>""</f>
        <v/>
      </c>
      <c r="AD340" s="520">
        <v>0</v>
      </c>
      <c r="AE340" s="520" t="s">
        <v>300</v>
      </c>
      <c r="AF340" s="520" t="s">
        <v>237</v>
      </c>
      <c r="AG340" s="520">
        <v>1</v>
      </c>
      <c r="AH340" s="520">
        <v>11</v>
      </c>
      <c r="AI340" s="520"/>
      <c r="AJ340" s="520">
        <f>VLOOKUP($I340,'Price List, Weapons &amp; Items'!A:E,5,0)</f>
        <v>0</v>
      </c>
      <c r="AK340" s="520">
        <f t="shared" si="74"/>
        <v>0</v>
      </c>
      <c r="AL340" s="520">
        <f t="shared" si="75"/>
        <v>0</v>
      </c>
      <c r="AM340" s="520">
        <f t="shared" si="76"/>
        <v>0</v>
      </c>
      <c r="AN340" s="521" t="str">
        <f>VLOOKUP($I340,'Price List, Weapons &amp; Items'!A:K,COLUMN('Price List, Weapons &amp; Items'!$I$1),0)</f>
        <v>.</v>
      </c>
      <c r="AO340" s="521" t="str">
        <f>IF(I340=".",".",VLOOKUP($I340,'Price List, Weapons &amp; Items'!A:I,3,0))</f>
        <v>radar or imagery systems</v>
      </c>
      <c r="AP340" s="517" t="str">
        <f t="shared" ca="1" si="70"/>
        <v/>
      </c>
      <c r="AQ340" s="521" t="str">
        <f>VLOOKUP($I340,'Price List, Weapons &amp; Items'!A:K,COLUMN('Price List, Weapons &amp; Items'!$K$1),0)</f>
        <v>no price, 0 count</v>
      </c>
      <c r="AS340" s="521">
        <f t="shared" si="77"/>
        <v>0</v>
      </c>
      <c r="AT340" s="521">
        <f t="shared" si="78"/>
        <v>1</v>
      </c>
      <c r="AU340" s="521">
        <f t="shared" si="79"/>
        <v>1</v>
      </c>
      <c r="AV340" s="521" t="str">
        <f t="shared" si="80"/>
        <v>.</v>
      </c>
    </row>
    <row r="341" spans="1:48" ht="15" customHeight="1">
      <c r="A341" s="41" t="s">
        <v>1135</v>
      </c>
      <c r="B341" s="41" t="s">
        <v>1136</v>
      </c>
      <c r="C341" s="511" t="s">
        <v>1137</v>
      </c>
      <c r="D341" s="18" t="s">
        <v>228</v>
      </c>
      <c r="E341" s="18" t="s">
        <v>751</v>
      </c>
      <c r="F341" s="512" t="s">
        <v>1138</v>
      </c>
      <c r="G341" s="39" t="s">
        <v>332</v>
      </c>
      <c r="H341" s="513">
        <v>185000000</v>
      </c>
      <c r="I341" s="523" t="s">
        <v>232</v>
      </c>
      <c r="J341" s="276" t="str">
        <f>VLOOKUP($I341,'Price List, Weapons &amp; Items'!A:B,2,0)</f>
        <v>.</v>
      </c>
      <c r="K341" s="276" t="str">
        <f>IF(I341=".",I341,VLOOKUP($I341,'Price List, Weapons &amp; Items'!A:C,3,0))</f>
        <v>.</v>
      </c>
      <c r="L341" s="514">
        <f>VLOOKUP(I341,'Price List, Weapons &amp; Items'!A:D,4,0)</f>
        <v>0</v>
      </c>
      <c r="M341" s="515" t="s">
        <v>232</v>
      </c>
      <c r="N341" s="515" t="s">
        <v>232</v>
      </c>
      <c r="O341" s="516" t="str">
        <f>VLOOKUP($I341,'Price List, Weapons &amp; Items'!A:F,6,0)</f>
        <v>.</v>
      </c>
      <c r="P341" s="513" t="str">
        <f t="shared" si="71"/>
        <v>.</v>
      </c>
      <c r="Q341" s="513" t="str">
        <f t="shared" si="72"/>
        <v>.</v>
      </c>
      <c r="R341" s="513">
        <f t="shared" si="73"/>
        <v>185000000</v>
      </c>
      <c r="S341" s="513">
        <f>IF(AND(AD341=1,R341&lt;&gt;".")=TRUE,R341/VLOOKUP(G341,'Exchange rates'!B:C,2,0),IF(R341=".",".",""))</f>
        <v>185000000</v>
      </c>
      <c r="T341" s="513" t="str">
        <f>IF(AD341=1,IF(AF341="Value is not given at all",".",IF(AF341="Value is given by the source",S341,IF(AF341="Value is calculated with prices",(IF(SUMIFS(Q:Q,A:A,A341)&gt;0,SUMIFS(Q:Q,A:A,A341),"."))/VLOOKUP("USD",'Exchange rates'!B:C,2,0),"Error with coding"))),"")</f>
        <v>.</v>
      </c>
      <c r="U341" s="39" t="s">
        <v>233</v>
      </c>
      <c r="V341" s="42" t="s">
        <v>1139</v>
      </c>
      <c r="W341" s="42" t="s">
        <v>1140</v>
      </c>
      <c r="X341" s="512" t="s">
        <v>232</v>
      </c>
      <c r="Y341" s="512" t="s">
        <v>232</v>
      </c>
      <c r="Z341" s="39">
        <v>0</v>
      </c>
      <c r="AA341" s="39">
        <v>0</v>
      </c>
      <c r="AB341" s="38" t="s">
        <v>232</v>
      </c>
      <c r="AC341" s="519" t="str">
        <f>""</f>
        <v/>
      </c>
      <c r="AD341" s="520">
        <v>1</v>
      </c>
      <c r="AE341" s="520" t="s">
        <v>236</v>
      </c>
      <c r="AF341" s="520" t="s">
        <v>237</v>
      </c>
      <c r="AG341" s="520">
        <v>1</v>
      </c>
      <c r="AH341" s="520">
        <v>5</v>
      </c>
      <c r="AI341" s="520">
        <v>0</v>
      </c>
      <c r="AJ341" s="520">
        <f>VLOOKUP($I341,'Price List, Weapons &amp; Items'!A:E,5,0)</f>
        <v>0</v>
      </c>
      <c r="AK341" s="520">
        <f t="shared" si="74"/>
        <v>0</v>
      </c>
      <c r="AL341" s="520">
        <f t="shared" si="75"/>
        <v>0</v>
      </c>
      <c r="AM341" s="520">
        <f t="shared" si="76"/>
        <v>0</v>
      </c>
      <c r="AN341" s="521" t="str">
        <f>VLOOKUP($I341,'Price List, Weapons &amp; Items'!A:K,COLUMN('Price List, Weapons &amp; Items'!$I$1),0)</f>
        <v>.</v>
      </c>
      <c r="AO341" s="521" t="str">
        <f>IF(I341=".",".",VLOOKUP($I341,'Price List, Weapons &amp; Items'!A:I,3,0))</f>
        <v>.</v>
      </c>
      <c r="AP341" s="517" t="str">
        <f t="shared" ca="1" si="70"/>
        <v>.</v>
      </c>
      <c r="AQ341" s="521" t="str">
        <f>VLOOKUP($I341,'Price List, Weapons &amp; Items'!A:K,COLUMN('Price List, Weapons &amp; Items'!$K$1),0)</f>
        <v>no price, 0 count</v>
      </c>
      <c r="AS341" s="521">
        <f t="shared" si="77"/>
        <v>1</v>
      </c>
      <c r="AT341" s="521">
        <f t="shared" si="78"/>
        <v>0</v>
      </c>
      <c r="AU341" s="521" t="str">
        <f t="shared" si="79"/>
        <v>Value is not in date format</v>
      </c>
      <c r="AV341" s="521" t="str">
        <f t="shared" si="80"/>
        <v>.</v>
      </c>
    </row>
    <row r="342" spans="1:48" ht="15" customHeight="1">
      <c r="A342" s="41" t="s">
        <v>1141</v>
      </c>
      <c r="B342" s="41" t="s">
        <v>1136</v>
      </c>
      <c r="C342" s="511">
        <v>44660</v>
      </c>
      <c r="D342" s="18" t="s">
        <v>228</v>
      </c>
      <c r="E342" s="18" t="s">
        <v>229</v>
      </c>
      <c r="F342" s="512" t="s">
        <v>1142</v>
      </c>
      <c r="G342" s="39" t="s">
        <v>332</v>
      </c>
      <c r="H342" s="513">
        <v>370000000</v>
      </c>
      <c r="I342" s="523" t="s">
        <v>232</v>
      </c>
      <c r="J342" s="276" t="str">
        <f>VLOOKUP($I342,'Price List, Weapons &amp; Items'!A:B,2,0)</f>
        <v>.</v>
      </c>
      <c r="K342" s="276" t="str">
        <f>IF(I342=".",I342,VLOOKUP($I342,'Price List, Weapons &amp; Items'!A:C,3,0))</f>
        <v>.</v>
      </c>
      <c r="L342" s="514">
        <f>VLOOKUP(I342,'Price List, Weapons &amp; Items'!A:D,4,0)</f>
        <v>0</v>
      </c>
      <c r="M342" s="515" t="s">
        <v>232</v>
      </c>
      <c r="N342" s="515" t="s">
        <v>232</v>
      </c>
      <c r="O342" s="516" t="str">
        <f>VLOOKUP($I342,'Price List, Weapons &amp; Items'!A:F,6,0)</f>
        <v>.</v>
      </c>
      <c r="P342" s="513" t="str">
        <f t="shared" si="71"/>
        <v>.</v>
      </c>
      <c r="Q342" s="513" t="str">
        <f t="shared" si="72"/>
        <v>.</v>
      </c>
      <c r="R342" s="513">
        <f t="shared" si="73"/>
        <v>370000000</v>
      </c>
      <c r="S342" s="513">
        <f>IF(AND(AD342=1,R342&lt;&gt;".")=TRUE,R342/VLOOKUP(G342,'Exchange rates'!B:C,2,0),IF(R342=".",".",""))</f>
        <v>370000000</v>
      </c>
      <c r="T342" s="513" t="str">
        <f>IF(AD342=1,IF(AF342="Value is not given at all",".",IF(AF342="Value is given by the source",S342,IF(AF342="Value is calculated with prices",(IF(SUMIFS(Q:Q,A:A,A342)&gt;0,SUMIFS(Q:Q,A:A,A342),"."))/VLOOKUP("USD",'Exchange rates'!B:C,2,0),"Error with coding"))),"")</f>
        <v>.</v>
      </c>
      <c r="U342" s="39" t="s">
        <v>233</v>
      </c>
      <c r="V342" s="42" t="s">
        <v>1143</v>
      </c>
      <c r="W342" s="517" t="s">
        <v>232</v>
      </c>
      <c r="X342" s="512" t="s">
        <v>232</v>
      </c>
      <c r="Y342" s="512" t="s">
        <v>232</v>
      </c>
      <c r="Z342" s="39">
        <v>0</v>
      </c>
      <c r="AA342" s="39">
        <v>0</v>
      </c>
      <c r="AB342" s="38" t="s">
        <v>232</v>
      </c>
      <c r="AC342" s="519" t="str">
        <f>""</f>
        <v/>
      </c>
      <c r="AD342" s="522">
        <v>1</v>
      </c>
      <c r="AE342" s="522" t="s">
        <v>236</v>
      </c>
      <c r="AF342" s="522" t="s">
        <v>237</v>
      </c>
      <c r="AG342" s="522">
        <v>1</v>
      </c>
      <c r="AH342" s="520">
        <v>4</v>
      </c>
      <c r="AI342" s="520">
        <v>0</v>
      </c>
      <c r="AJ342" s="520">
        <f>VLOOKUP($I342,'Price List, Weapons &amp; Items'!A:E,5,0)</f>
        <v>0</v>
      </c>
      <c r="AK342" s="520">
        <f t="shared" si="74"/>
        <v>0</v>
      </c>
      <c r="AL342" s="520">
        <f t="shared" si="75"/>
        <v>0</v>
      </c>
      <c r="AM342" s="520">
        <f t="shared" si="76"/>
        <v>0</v>
      </c>
      <c r="AN342" s="521" t="str">
        <f>VLOOKUP($I342,'Price List, Weapons &amp; Items'!A:K,COLUMN('Price List, Weapons &amp; Items'!$I$1),0)</f>
        <v>.</v>
      </c>
      <c r="AO342" s="521" t="str">
        <f>IF(I342=".",".",VLOOKUP($I342,'Price List, Weapons &amp; Items'!A:I,3,0))</f>
        <v>.</v>
      </c>
      <c r="AP342" s="517" t="str">
        <f t="shared" ca="1" si="70"/>
        <v>.</v>
      </c>
      <c r="AQ342" s="521" t="str">
        <f>VLOOKUP($I342,'Price List, Weapons &amp; Items'!A:K,COLUMN('Price List, Weapons &amp; Items'!$K$1),0)</f>
        <v>no price, 0 count</v>
      </c>
      <c r="AS342" s="521">
        <f t="shared" si="77"/>
        <v>1</v>
      </c>
      <c r="AT342" s="521">
        <f t="shared" si="78"/>
        <v>0</v>
      </c>
      <c r="AU342" s="521">
        <f t="shared" si="79"/>
        <v>1</v>
      </c>
      <c r="AV342" s="521" t="str">
        <f t="shared" si="80"/>
        <v>.</v>
      </c>
    </row>
    <row r="343" spans="1:48" ht="15" customHeight="1">
      <c r="A343" s="41" t="s">
        <v>1144</v>
      </c>
      <c r="B343" s="41" t="s">
        <v>1136</v>
      </c>
      <c r="C343" s="511">
        <v>44660</v>
      </c>
      <c r="D343" s="18" t="s">
        <v>228</v>
      </c>
      <c r="E343" s="18" t="s">
        <v>229</v>
      </c>
      <c r="F343" s="512" t="s">
        <v>1145</v>
      </c>
      <c r="G343" s="39" t="s">
        <v>332</v>
      </c>
      <c r="H343" s="513">
        <v>70000000</v>
      </c>
      <c r="I343" s="41" t="s">
        <v>232</v>
      </c>
      <c r="J343" s="276" t="str">
        <f>VLOOKUP($I343,'Price List, Weapons &amp; Items'!A:B,2,0)</f>
        <v>.</v>
      </c>
      <c r="K343" s="276" t="str">
        <f>IF(I343=".",I343,VLOOKUP($I343,'Price List, Weapons &amp; Items'!A:C,3,0))</f>
        <v>.</v>
      </c>
      <c r="L343" s="514">
        <f>VLOOKUP(I343,'Price List, Weapons &amp; Items'!A:D,4,0)</f>
        <v>0</v>
      </c>
      <c r="M343" s="515" t="s">
        <v>232</v>
      </c>
      <c r="N343" s="515" t="s">
        <v>232</v>
      </c>
      <c r="O343" s="516" t="str">
        <f>VLOOKUP($I343,'Price List, Weapons &amp; Items'!A:F,6,0)</f>
        <v>.</v>
      </c>
      <c r="P343" s="513" t="str">
        <f t="shared" si="71"/>
        <v>.</v>
      </c>
      <c r="Q343" s="513" t="str">
        <f t="shared" si="72"/>
        <v>.</v>
      </c>
      <c r="R343" s="513">
        <f t="shared" si="73"/>
        <v>70000000</v>
      </c>
      <c r="S343" s="513">
        <f>IF(AND(AD343=1,R343&lt;&gt;".")=TRUE,R343/VLOOKUP(G343,'Exchange rates'!B:C,2,0),IF(R343=".",".",""))</f>
        <v>70000000</v>
      </c>
      <c r="T343" s="513" t="str">
        <f>IF(AD343=1,IF(AF343="Value is not given at all",".",IF(AF343="Value is given by the source",S343,IF(AF343="Value is calculated with prices",(IF(SUMIFS(Q:Q,A:A,A343)&gt;0,SUMIFS(Q:Q,A:A,A343),"."))/VLOOKUP("USD",'Exchange rates'!B:C,2,0),"Error with coding"))),"")</f>
        <v>.</v>
      </c>
      <c r="U343" s="39" t="s">
        <v>233</v>
      </c>
      <c r="V343" s="42" t="s">
        <v>1143</v>
      </c>
      <c r="W343" s="42" t="s">
        <v>382</v>
      </c>
      <c r="X343" s="512" t="s">
        <v>232</v>
      </c>
      <c r="Y343" s="512" t="s">
        <v>232</v>
      </c>
      <c r="Z343" s="39">
        <v>0</v>
      </c>
      <c r="AA343" s="39">
        <v>0</v>
      </c>
      <c r="AB343" s="38" t="s">
        <v>232</v>
      </c>
      <c r="AC343" s="519" t="str">
        <f>""</f>
        <v/>
      </c>
      <c r="AD343" s="522">
        <v>1</v>
      </c>
      <c r="AE343" s="522" t="s">
        <v>236</v>
      </c>
      <c r="AF343" s="522" t="s">
        <v>237</v>
      </c>
      <c r="AG343" s="522">
        <v>1</v>
      </c>
      <c r="AH343" s="520">
        <v>4</v>
      </c>
      <c r="AI343" s="520">
        <v>0</v>
      </c>
      <c r="AJ343" s="520">
        <f>VLOOKUP($I343,'Price List, Weapons &amp; Items'!A:E,5,0)</f>
        <v>0</v>
      </c>
      <c r="AK343" s="520">
        <f t="shared" si="74"/>
        <v>0</v>
      </c>
      <c r="AL343" s="520">
        <f t="shared" si="75"/>
        <v>0</v>
      </c>
      <c r="AM343" s="520">
        <f t="shared" si="76"/>
        <v>0</v>
      </c>
      <c r="AN343" s="521" t="str">
        <f>VLOOKUP($I343,'Price List, Weapons &amp; Items'!A:K,COLUMN('Price List, Weapons &amp; Items'!$I$1),0)</f>
        <v>.</v>
      </c>
      <c r="AO343" s="521" t="str">
        <f>IF(I343=".",".",VLOOKUP($I343,'Price List, Weapons &amp; Items'!A:I,3,0))</f>
        <v>.</v>
      </c>
      <c r="AP343" s="517" t="str">
        <f t="shared" ca="1" si="70"/>
        <v>.</v>
      </c>
      <c r="AQ343" s="521" t="str">
        <f>VLOOKUP($I343,'Price List, Weapons &amp; Items'!A:K,COLUMN('Price List, Weapons &amp; Items'!$K$1),0)</f>
        <v>no price, 0 count</v>
      </c>
      <c r="AS343" s="521">
        <f t="shared" si="77"/>
        <v>1</v>
      </c>
      <c r="AT343" s="521">
        <f t="shared" si="78"/>
        <v>0</v>
      </c>
      <c r="AU343" s="521">
        <f t="shared" si="79"/>
        <v>1</v>
      </c>
      <c r="AV343" s="521" t="str">
        <f t="shared" si="80"/>
        <v>.</v>
      </c>
    </row>
    <row r="344" spans="1:48" ht="15" customHeight="1">
      <c r="A344" s="41" t="s">
        <v>1146</v>
      </c>
      <c r="B344" s="41" t="s">
        <v>1136</v>
      </c>
      <c r="C344" s="511">
        <v>44686</v>
      </c>
      <c r="D344" s="18" t="s">
        <v>228</v>
      </c>
      <c r="E344" s="18" t="s">
        <v>229</v>
      </c>
      <c r="F344" s="512" t="s">
        <v>1147</v>
      </c>
      <c r="G344" s="39" t="s">
        <v>332</v>
      </c>
      <c r="H344" s="513">
        <v>125000000</v>
      </c>
      <c r="I344" s="41" t="s">
        <v>232</v>
      </c>
      <c r="J344" s="276" t="str">
        <f>VLOOKUP($I344,'Price List, Weapons &amp; Items'!A:B,2,0)</f>
        <v>.</v>
      </c>
      <c r="K344" s="276" t="str">
        <f>IF(I344=".",I344,VLOOKUP($I344,'Price List, Weapons &amp; Items'!A:C,3,0))</f>
        <v>.</v>
      </c>
      <c r="L344" s="514">
        <f>VLOOKUP(I344,'Price List, Weapons &amp; Items'!A:D,4,0)</f>
        <v>0</v>
      </c>
      <c r="M344" s="515" t="s">
        <v>232</v>
      </c>
      <c r="N344" s="515" t="s">
        <v>232</v>
      </c>
      <c r="O344" s="516" t="str">
        <f>VLOOKUP($I344,'Price List, Weapons &amp; Items'!A:F,6,0)</f>
        <v>.</v>
      </c>
      <c r="P344" s="513" t="str">
        <f t="shared" si="71"/>
        <v>.</v>
      </c>
      <c r="Q344" s="513" t="str">
        <f t="shared" si="72"/>
        <v>.</v>
      </c>
      <c r="R344" s="513">
        <f t="shared" si="73"/>
        <v>125000000</v>
      </c>
      <c r="S344" s="513">
        <f>IF(AND(AD344=1,R344&lt;&gt;".")=TRUE,R344/VLOOKUP(G344,'Exchange rates'!B:C,2,0),IF(R344=".",".",""))</f>
        <v>125000000</v>
      </c>
      <c r="T344" s="513" t="str">
        <f>IF(AD344=1,IF(AF344="Value is not given at all",".",IF(AF344="Value is given by the source",S344,IF(AF344="Value is calculated with prices",(IF(SUMIFS(Q:Q,A:A,A344)&gt;0,SUMIFS(Q:Q,A:A,A344),"."))/VLOOKUP("USD",'Exchange rates'!B:C,2,0),"Error with coding"))),"")</f>
        <v>.</v>
      </c>
      <c r="U344" s="39" t="s">
        <v>372</v>
      </c>
      <c r="V344" s="42" t="s">
        <v>1148</v>
      </c>
      <c r="W344" s="512" t="s">
        <v>232</v>
      </c>
      <c r="X344" s="512" t="s">
        <v>232</v>
      </c>
      <c r="Y344" s="512" t="s">
        <v>232</v>
      </c>
      <c r="Z344" s="39">
        <v>0</v>
      </c>
      <c r="AA344" s="39">
        <v>0</v>
      </c>
      <c r="AB344" s="38" t="s">
        <v>232</v>
      </c>
      <c r="AC344" s="519" t="str">
        <f>""</f>
        <v/>
      </c>
      <c r="AD344" s="522">
        <v>1</v>
      </c>
      <c r="AE344" s="522" t="s">
        <v>236</v>
      </c>
      <c r="AF344" s="522" t="s">
        <v>237</v>
      </c>
      <c r="AG344" s="522">
        <v>1</v>
      </c>
      <c r="AH344" s="520">
        <v>5</v>
      </c>
      <c r="AI344" s="520">
        <v>0</v>
      </c>
      <c r="AJ344" s="520">
        <f>VLOOKUP($I344,'Price List, Weapons &amp; Items'!A:E,5,0)</f>
        <v>0</v>
      </c>
      <c r="AK344" s="520">
        <f t="shared" si="74"/>
        <v>0</v>
      </c>
      <c r="AL344" s="520">
        <f t="shared" si="75"/>
        <v>0</v>
      </c>
      <c r="AM344" s="520">
        <f t="shared" si="76"/>
        <v>0</v>
      </c>
      <c r="AN344" s="521" t="str">
        <f>VLOOKUP($I344,'Price List, Weapons &amp; Items'!A:K,COLUMN('Price List, Weapons &amp; Items'!$I$1),0)</f>
        <v>.</v>
      </c>
      <c r="AO344" s="521" t="str">
        <f>IF(I344=".",".",VLOOKUP($I344,'Price List, Weapons &amp; Items'!A:I,3,0))</f>
        <v>.</v>
      </c>
      <c r="AP344" s="517" t="str">
        <f t="shared" ref="AP344:AP407" ca="1" si="83">IF(AD344=1,_xlfn.ARRAYTOTEXT(OFFSET(I344,0,0,COUNTIF(A:A,A344),1)),"")</f>
        <v>.</v>
      </c>
      <c r="AQ344" s="521" t="str">
        <f>VLOOKUP($I344,'Price List, Weapons &amp; Items'!A:K,COLUMN('Price List, Weapons &amp; Items'!$K$1),0)</f>
        <v>no price, 0 count</v>
      </c>
      <c r="AS344" s="521">
        <f t="shared" si="77"/>
        <v>0</v>
      </c>
      <c r="AT344" s="521">
        <f t="shared" si="78"/>
        <v>0</v>
      </c>
      <c r="AU344" s="521">
        <f t="shared" si="79"/>
        <v>1</v>
      </c>
      <c r="AV344" s="521" t="str">
        <f t="shared" si="80"/>
        <v>.</v>
      </c>
    </row>
    <row r="345" spans="1:48" ht="15" customHeight="1">
      <c r="A345" s="41" t="s">
        <v>1149</v>
      </c>
      <c r="B345" s="41" t="s">
        <v>1136</v>
      </c>
      <c r="C345" s="511">
        <v>44808</v>
      </c>
      <c r="D345" s="18" t="s">
        <v>228</v>
      </c>
      <c r="E345" s="18" t="s">
        <v>330</v>
      </c>
      <c r="F345" s="512" t="s">
        <v>1150</v>
      </c>
      <c r="G345" s="39" t="s">
        <v>332</v>
      </c>
      <c r="H345" s="513">
        <v>200000000</v>
      </c>
      <c r="I345" s="41" t="s">
        <v>232</v>
      </c>
      <c r="J345" s="276" t="str">
        <f>VLOOKUP($I345,'Price List, Weapons &amp; Items'!A:B,2,0)</f>
        <v>.</v>
      </c>
      <c r="K345" s="276" t="str">
        <f>IF(I345=".",I345,VLOOKUP($I345,'Price List, Weapons &amp; Items'!A:C,3,0))</f>
        <v>.</v>
      </c>
      <c r="L345" s="514">
        <f>VLOOKUP(I345,'Price List, Weapons &amp; Items'!A:D,4,0)</f>
        <v>0</v>
      </c>
      <c r="M345" s="515" t="s">
        <v>232</v>
      </c>
      <c r="N345" s="515" t="s">
        <v>232</v>
      </c>
      <c r="O345" s="516" t="str">
        <f>VLOOKUP($I345,'Price List, Weapons &amp; Items'!A:F,6,0)</f>
        <v>.</v>
      </c>
      <c r="P345" s="513" t="str">
        <f t="shared" si="71"/>
        <v>.</v>
      </c>
      <c r="Q345" s="513" t="str">
        <f t="shared" si="72"/>
        <v>.</v>
      </c>
      <c r="R345" s="513">
        <f t="shared" si="73"/>
        <v>200000000</v>
      </c>
      <c r="S345" s="513">
        <f>IF(AND(AD345=1,R345&lt;&gt;".")=TRUE,R345/VLOOKUP(G345,'Exchange rates'!B:C,2,0),IF(R345=".",".",""))</f>
        <v>200000000</v>
      </c>
      <c r="T345" s="513" t="str">
        <f>IF(AD345=1,IF(AF345="Value is not given at all",".",IF(AF345="Value is given by the source",S345,IF(AF345="Value is calculated with prices",(IF(SUMIFS(Q:Q,A:A,A345)&gt;0,SUMIFS(Q:Q,A:A,A345),"."))/VLOOKUP("USD",'Exchange rates'!B:C,2,0),"Error with coding"))),"")</f>
        <v>.</v>
      </c>
      <c r="U345" s="39" t="s">
        <v>233</v>
      </c>
      <c r="V345" s="825" t="s">
        <v>1151</v>
      </c>
      <c r="W345" s="42" t="s">
        <v>1152</v>
      </c>
      <c r="X345" s="825" t="s">
        <v>232</v>
      </c>
      <c r="Y345" s="512" t="s">
        <v>232</v>
      </c>
      <c r="Z345" s="39">
        <v>0</v>
      </c>
      <c r="AA345" s="39">
        <v>0</v>
      </c>
      <c r="AB345" s="38" t="s">
        <v>232</v>
      </c>
      <c r="AC345" s="519" t="str">
        <f>""</f>
        <v/>
      </c>
      <c r="AD345" s="522">
        <v>1</v>
      </c>
      <c r="AE345" s="522" t="s">
        <v>236</v>
      </c>
      <c r="AF345" s="522" t="s">
        <v>237</v>
      </c>
      <c r="AG345" s="522">
        <v>1</v>
      </c>
      <c r="AH345" s="520">
        <v>9</v>
      </c>
      <c r="AI345" s="520">
        <v>0</v>
      </c>
      <c r="AJ345" s="520">
        <f>VLOOKUP($I345,'Price List, Weapons &amp; Items'!A:E,5,0)</f>
        <v>0</v>
      </c>
      <c r="AK345" s="520">
        <f t="shared" si="74"/>
        <v>0</v>
      </c>
      <c r="AL345" s="520">
        <f t="shared" si="75"/>
        <v>0</v>
      </c>
      <c r="AM345" s="520">
        <f t="shared" si="76"/>
        <v>0</v>
      </c>
      <c r="AN345" s="521" t="str">
        <f>VLOOKUP($I345,'Price List, Weapons &amp; Items'!A:K,COLUMN('Price List, Weapons &amp; Items'!$I$1),0)</f>
        <v>.</v>
      </c>
      <c r="AO345" s="521" t="str">
        <f>IF(I345=".",".",VLOOKUP($I345,'Price List, Weapons &amp; Items'!A:I,3,0))</f>
        <v>.</v>
      </c>
      <c r="AP345" s="517" t="str">
        <f t="shared" ca="1" si="83"/>
        <v>.</v>
      </c>
      <c r="AQ345" s="521" t="str">
        <f>VLOOKUP($I345,'Price List, Weapons &amp; Items'!A:K,COLUMN('Price List, Weapons &amp; Items'!$K$1),0)</f>
        <v>no price, 0 count</v>
      </c>
      <c r="AS345" s="521">
        <f t="shared" si="77"/>
        <v>1</v>
      </c>
      <c r="AT345" s="521">
        <f t="shared" si="78"/>
        <v>0</v>
      </c>
      <c r="AU345" s="521">
        <f t="shared" si="79"/>
        <v>1</v>
      </c>
      <c r="AV345" s="521" t="str">
        <f t="shared" si="80"/>
        <v>.</v>
      </c>
    </row>
    <row r="346" spans="1:48" ht="15" customHeight="1">
      <c r="A346" s="41" t="s">
        <v>1153</v>
      </c>
      <c r="B346" s="41" t="s">
        <v>1136</v>
      </c>
      <c r="C346" s="511">
        <v>44876</v>
      </c>
      <c r="D346" s="18" t="s">
        <v>228</v>
      </c>
      <c r="E346" s="18" t="s">
        <v>229</v>
      </c>
      <c r="F346" s="512" t="s">
        <v>1154</v>
      </c>
      <c r="G346" s="39" t="s">
        <v>332</v>
      </c>
      <c r="H346" s="513">
        <v>1000000000</v>
      </c>
      <c r="I346" s="41" t="s">
        <v>232</v>
      </c>
      <c r="J346" s="276" t="str">
        <f>VLOOKUP($I346,'Price List, Weapons &amp; Items'!A:B,2,0)</f>
        <v>.</v>
      </c>
      <c r="K346" s="276" t="str">
        <f>IF(I346=".",I346,VLOOKUP($I346,'Price List, Weapons &amp; Items'!A:C,3,0))</f>
        <v>.</v>
      </c>
      <c r="L346" s="514">
        <f>VLOOKUP(I346,'Price List, Weapons &amp; Items'!A:D,4,0)</f>
        <v>0</v>
      </c>
      <c r="M346" s="515" t="s">
        <v>232</v>
      </c>
      <c r="N346" s="515" t="s">
        <v>232</v>
      </c>
      <c r="O346" s="516" t="s">
        <v>232</v>
      </c>
      <c r="P346" s="513" t="s">
        <v>232</v>
      </c>
      <c r="Q346" s="513" t="s">
        <v>232</v>
      </c>
      <c r="R346" s="513">
        <f t="shared" si="73"/>
        <v>1000000000</v>
      </c>
      <c r="S346" s="513">
        <f>IF(AND(AD346=1,R346&lt;&gt;".")=TRUE,R346/VLOOKUP(G346,'Exchange rates'!B:C,2,0),IF(R346=".",".",""))</f>
        <v>1000000000</v>
      </c>
      <c r="T346" s="513" t="str">
        <f>IF(AD346=1,IF(AF346="Value is not given at all",".",IF(AF346="Value is given by the source",S346,IF(AF346="Value is calculated with prices",(IF(SUMIFS(Q:Q,A:A,A346)&gt;0,SUMIFS(Q:Q,A:A,A346),"."))/VLOOKUP("USD",'Exchange rates'!B:C,2,0),"Error with coding"))),"")</f>
        <v>.</v>
      </c>
      <c r="U346" s="39" t="s">
        <v>233</v>
      </c>
      <c r="V346" s="833" t="s">
        <v>1155</v>
      </c>
      <c r="W346" s="42" t="s">
        <v>232</v>
      </c>
      <c r="X346" s="42" t="s">
        <v>232</v>
      </c>
      <c r="Y346" s="825" t="s">
        <v>232</v>
      </c>
      <c r="Z346" s="39">
        <v>0</v>
      </c>
      <c r="AA346" s="39">
        <v>1</v>
      </c>
      <c r="AB346" s="395" t="s">
        <v>232</v>
      </c>
      <c r="AC346" s="519" t="str">
        <f>""</f>
        <v/>
      </c>
      <c r="AD346" s="522">
        <v>1</v>
      </c>
      <c r="AE346" s="522" t="s">
        <v>236</v>
      </c>
      <c r="AF346" s="522" t="s">
        <v>237</v>
      </c>
      <c r="AG346" s="522">
        <v>1</v>
      </c>
      <c r="AH346" s="520">
        <v>11</v>
      </c>
      <c r="AI346" s="520"/>
      <c r="AJ346" s="520">
        <f>VLOOKUP($I346,'Price List, Weapons &amp; Items'!A:E,5,0)</f>
        <v>0</v>
      </c>
      <c r="AK346" s="520">
        <f t="shared" si="74"/>
        <v>0</v>
      </c>
      <c r="AL346" s="520">
        <f t="shared" si="75"/>
        <v>0</v>
      </c>
      <c r="AM346" s="520">
        <f t="shared" si="76"/>
        <v>0</v>
      </c>
      <c r="AN346" s="521" t="str">
        <f>VLOOKUP($I346,'Price List, Weapons &amp; Items'!A:K,COLUMN('Price List, Weapons &amp; Items'!$I$1),0)</f>
        <v>.</v>
      </c>
      <c r="AO346" s="521" t="str">
        <f>IF(I346=".",".",VLOOKUP($I346,'Price List, Weapons &amp; Items'!A:I,3,0))</f>
        <v>.</v>
      </c>
      <c r="AP346" s="517" t="str">
        <f t="shared" ca="1" si="83"/>
        <v>.</v>
      </c>
      <c r="AQ346" s="521" t="str">
        <f>VLOOKUP($I346,'Price List, Weapons &amp; Items'!A:K,COLUMN('Price List, Weapons &amp; Items'!$K$1),0)</f>
        <v>no price, 0 count</v>
      </c>
      <c r="AS346" s="521">
        <f t="shared" si="77"/>
        <v>1</v>
      </c>
      <c r="AT346" s="521">
        <f t="shared" si="78"/>
        <v>0</v>
      </c>
      <c r="AU346" s="521">
        <f t="shared" si="79"/>
        <v>1</v>
      </c>
      <c r="AV346" s="521" t="str">
        <f t="shared" si="80"/>
        <v>.</v>
      </c>
    </row>
    <row r="347" spans="1:48" ht="15" customHeight="1">
      <c r="A347" s="18" t="s">
        <v>1156</v>
      </c>
      <c r="B347" s="18" t="s">
        <v>1136</v>
      </c>
      <c r="C347" s="511">
        <v>44677</v>
      </c>
      <c r="D347" s="18" t="s">
        <v>252</v>
      </c>
      <c r="E347" s="18" t="s">
        <v>1157</v>
      </c>
      <c r="F347" s="816" t="s">
        <v>1158</v>
      </c>
      <c r="G347" s="39" t="s">
        <v>332</v>
      </c>
      <c r="H347" s="523" t="s">
        <v>309</v>
      </c>
      <c r="I347" s="524" t="s">
        <v>1159</v>
      </c>
      <c r="J347" s="276" t="str">
        <f>VLOOKUP($I347,'Price List, Weapons &amp; Items'!A:B,2,0)</f>
        <v>Ammunition for heavy weapon</v>
      </c>
      <c r="K347" s="276" t="str">
        <f>IF(I347=".",I347,VLOOKUP($I347,'Price List, Weapons &amp; Items'!A:C,3,0))</f>
        <v>127mm MLRS ammunition</v>
      </c>
      <c r="L347" s="514">
        <f>VLOOKUP(I347,'Price List, Weapons &amp; Items'!A:D,4,0)</f>
        <v>0</v>
      </c>
      <c r="M347" s="515" t="s">
        <v>264</v>
      </c>
      <c r="N347" s="515" t="s">
        <v>264</v>
      </c>
      <c r="O347" s="516">
        <f>VLOOKUP($I347,'Price List, Weapons &amp; Items'!A:F,6,0)</f>
        <v>625000</v>
      </c>
      <c r="P347" s="513" t="str">
        <f t="shared" ref="P347:P410" si="84">IF(TYPE(M347)=1,IF(TYPE(O347)=1,M347*O347,"No price"),".")</f>
        <v>.</v>
      </c>
      <c r="Q347" s="513" t="str">
        <f t="shared" ref="Q347:Q410" si="85">IF(TYPE(N347)=1,IF(TYPE(O347)=1,N347*O347,"No price"),".")</f>
        <v>.</v>
      </c>
      <c r="R347" s="513">
        <f t="shared" si="73"/>
        <v>2344887238.4566927</v>
      </c>
      <c r="S347" s="513">
        <f>IF(AND(AD347=1,R347&lt;&gt;".")=TRUE,R347/VLOOKUP(G347,'Exchange rates'!B:C,2,0),IF(R347=".",".",""))</f>
        <v>2344887238.4566927</v>
      </c>
      <c r="T347" s="513">
        <f>IF(AD347=1,IF(AF347="Value is not given at all",".",IF(AF347="Value is given by the source",S347,IF(AF347="Value is calculated with prices",(IF(SUMIFS(Q:Q,A:A,A347)&gt;0,SUMIFS(Q:Q,A:A,A347),"."))/VLOOKUP("USD",'Exchange rates'!B:C,2,0),"Error with coding"))),"")</f>
        <v>1374995835.4845843</v>
      </c>
      <c r="U347" s="39" t="s">
        <v>233</v>
      </c>
      <c r="V347" s="376" t="s">
        <v>1160</v>
      </c>
      <c r="W347" s="376" t="s">
        <v>1161</v>
      </c>
      <c r="X347" s="376" t="s">
        <v>1162</v>
      </c>
      <c r="Y347" s="376" t="s">
        <v>232</v>
      </c>
      <c r="Z347" s="39">
        <v>0</v>
      </c>
      <c r="AA347" s="518">
        <v>1</v>
      </c>
      <c r="AB347" s="395" t="s">
        <v>1161</v>
      </c>
      <c r="AC347" s="519" t="str">
        <f>""</f>
        <v/>
      </c>
      <c r="AD347" s="522">
        <v>1</v>
      </c>
      <c r="AE347" s="520" t="s">
        <v>300</v>
      </c>
      <c r="AF347" s="520" t="s">
        <v>300</v>
      </c>
      <c r="AG347" s="522">
        <v>1</v>
      </c>
      <c r="AH347" s="520">
        <v>4</v>
      </c>
      <c r="AI347" s="520">
        <v>0</v>
      </c>
      <c r="AJ347" s="520">
        <f>VLOOKUP($I347,'Price List, Weapons &amp; Items'!A:E,5,0)</f>
        <v>1</v>
      </c>
      <c r="AK347" s="520">
        <f t="shared" si="74"/>
        <v>1</v>
      </c>
      <c r="AL347" s="520">
        <f t="shared" si="75"/>
        <v>1</v>
      </c>
      <c r="AM347" s="520">
        <f t="shared" si="76"/>
        <v>1</v>
      </c>
      <c r="AN347" s="521" t="str">
        <f>VLOOKUP($I347,'Price List, Weapons &amp; Items'!A:K,COLUMN('Price List, Weapons &amp; Items'!$I$1),0)</f>
        <v>Government information</v>
      </c>
      <c r="AO347" s="521" t="str">
        <f>IF(I347=".",".",VLOOKUP($I347,'Price List, Weapons &amp; Items'!A:I,3,0))</f>
        <v>127mm MLRS ammunition</v>
      </c>
      <c r="AP347" s="517" t="str">
        <f t="shared" ca="1" si="83"/>
        <v>Ammunition for MARS II; AdBlue (in tons); ambulance; anti-drone cannon; anti-drone sensors; anti-tank mine; Pionierpanzer Dachs; Bergepanzer 2; auto-injector device; BIBER bridge-laying tank; binoculars; border protection vehicle; Bunker buster missile (Bunkerfaust); cable reels and carrying straps; combat helmet; communications electronic scanner/jammer system; counter battery radar system COBRA; decontamination material; detonating cord; detonator; Diesel and gasoline; electronic anti-drone device; explosive charge; field glasses; field hospital; field telephone; first aid kit; frequency range extensions for anti-drone devices; fridge for medical material; generator; hand grenade; heavy and medium bridge system; heavy duty trailer truck; high frequency unit with equipment; HMMWV; hospital bed; Iris-T SLM air defence system; Iris-T SLM missile; laser rangefinder; laser target designator; Forklift ; load-handling truck 8x8; M113's refitting (collab with Danemark); MG3; man-portable anti-tank weapon; Mars II; medical gauzes; medical material; MG3 for armoured recovery vehicle; MiG-29 spare parts; mine clearing tank; mobile and protected mine clearing system; mobile decontamination vehicle; mobile ground surveillance radar; mobile heating system; mobile reconnaissance system on vehicles; mobile, remote controlled and protected mine clearing system; MRAP vehicle DINGO; Night-vision goggles; palette material for explosive ordnance disposal; palette medical material; palette military clothing; Panzerfaust 3; Panzerhaubitze 2000; pick-up; pre-packaged military meals ready; proctected vehicle; protective clothing; radio frequency system; radio jammer; reconnaissance drone; RGW 90 Matador man-portable anti-tank weapon; rocket launcher 70mm on pick-up trucks; rocket for 70mm rocket launchers; 155mm artillery round; 40mm ammunition; round of ammunition for fire arms; Gepard ammunition round; GEPARD training ammunition round; safety glasses; Gepard rapid-fire armored vehicle; semi-trailer; sleeping bag; Spare barrels and breechblocks for MG3; spare parts for heavy machine gun M2; Stinger anti-aircraft system; STRELA man portable air defense system; surgical light; surgical mask; M1070 Oshkosh tank transporter tractor; military tent; thermal imaging camera; tractor; trailer; truck; truck tractor train; unmanned surface vessel; vehicle (trucks, minibuses, all-terrain vehicles); vehicle decontamination system; winter hat; winter jacket; winter trouser; Zusana-2 howitzer</v>
      </c>
      <c r="AQ347" s="521" t="str">
        <f>VLOOKUP($I347,'Price List, Weapons &amp; Items'!A:K,COLUMN('Price List, Weapons &amp; Items'!$K$1),0)</f>
        <v>no price, 0 count</v>
      </c>
      <c r="AS347" s="521">
        <f t="shared" si="77"/>
        <v>1</v>
      </c>
      <c r="AT347" s="521">
        <f t="shared" si="78"/>
        <v>1</v>
      </c>
      <c r="AU347" s="521">
        <f t="shared" si="79"/>
        <v>1</v>
      </c>
      <c r="AV347" s="521" t="str">
        <f t="shared" si="80"/>
        <v>.</v>
      </c>
    </row>
    <row r="348" spans="1:48" ht="15" customHeight="1">
      <c r="A348" s="18" t="s">
        <v>1156</v>
      </c>
      <c r="B348" s="18" t="s">
        <v>1136</v>
      </c>
      <c r="C348" s="511" t="s">
        <v>1163</v>
      </c>
      <c r="D348" s="18" t="s">
        <v>252</v>
      </c>
      <c r="E348" s="18" t="s">
        <v>1157</v>
      </c>
      <c r="F348" s="816" t="s">
        <v>1158</v>
      </c>
      <c r="G348" s="39" t="s">
        <v>332</v>
      </c>
      <c r="H348" s="523">
        <v>1540932933</v>
      </c>
      <c r="I348" s="524" t="s">
        <v>1164</v>
      </c>
      <c r="J348" s="276" t="str">
        <f>VLOOKUP($I348,'Price List, Weapons &amp; Items'!A:B,2,0)</f>
        <v>Military equipment</v>
      </c>
      <c r="K348" s="276" t="str">
        <f>IF(I348=".",I348,VLOOKUP($I348,'Price List, Weapons &amp; Items'!A:C,3,0))</f>
        <v>.</v>
      </c>
      <c r="L348" s="514">
        <f>VLOOKUP(I348,'Price List, Weapons &amp; Items'!A:D,4,0)</f>
        <v>0</v>
      </c>
      <c r="M348" s="515">
        <v>10</v>
      </c>
      <c r="N348" s="515">
        <v>10</v>
      </c>
      <c r="O348" s="516">
        <f>VLOOKUP($I348,'Price List, Weapons &amp; Items'!A:F,6,0)</f>
        <v>1334</v>
      </c>
      <c r="P348" s="513">
        <f t="shared" si="84"/>
        <v>13340</v>
      </c>
      <c r="Q348" s="513">
        <f t="shared" si="85"/>
        <v>13340</v>
      </c>
      <c r="R348" s="513" t="str">
        <f t="shared" si="73"/>
        <v/>
      </c>
      <c r="S348" s="513" t="str">
        <f>IF(AND(AD348=1,R348&lt;&gt;".")=TRUE,R348/VLOOKUP(G348,'Exchange rates'!B:C,2,0),IF(R348=".",".",""))</f>
        <v/>
      </c>
      <c r="T348" s="513" t="str">
        <f>IF(AD348=1,IF(AF348="Value is not given at all",".",IF(AF348="Value is given by the source",S348,IF(AF348="Value is calculated with prices",(IF(SUMIFS(Q:Q,A:A,A348)&gt;0,SUMIFS(Q:Q,A:A,A348),"."))/VLOOKUP("USD",'Exchange rates'!B:C,2,0),"Error with coding"))),"")</f>
        <v/>
      </c>
      <c r="U348" s="39" t="s">
        <v>233</v>
      </c>
      <c r="V348" s="376" t="s">
        <v>1160</v>
      </c>
      <c r="W348" s="376" t="s">
        <v>1161</v>
      </c>
      <c r="X348" s="376" t="s">
        <v>1162</v>
      </c>
      <c r="Y348" s="376" t="s">
        <v>232</v>
      </c>
      <c r="Z348" s="39">
        <v>0</v>
      </c>
      <c r="AA348" s="518">
        <v>1</v>
      </c>
      <c r="AB348" s="395" t="s">
        <v>1161</v>
      </c>
      <c r="AC348" s="519" t="str">
        <f>""</f>
        <v/>
      </c>
      <c r="AD348" s="522">
        <v>0</v>
      </c>
      <c r="AE348" s="522" t="s">
        <v>236</v>
      </c>
      <c r="AF348" s="522" t="s">
        <v>237</v>
      </c>
      <c r="AG348" s="522">
        <v>0</v>
      </c>
      <c r="AH348" s="522">
        <v>0</v>
      </c>
      <c r="AI348" s="522">
        <v>0</v>
      </c>
      <c r="AJ348" s="520">
        <f>VLOOKUP($I348,'Price List, Weapons &amp; Items'!A:E,5,0)</f>
        <v>0</v>
      </c>
      <c r="AK348" s="520">
        <f t="shared" si="74"/>
        <v>0</v>
      </c>
      <c r="AL348" s="520">
        <f t="shared" si="75"/>
        <v>0</v>
      </c>
      <c r="AM348" s="520">
        <f t="shared" si="76"/>
        <v>0</v>
      </c>
      <c r="AN348" s="521" t="str">
        <f>VLOOKUP($I348,'Price List, Weapons &amp; Items'!A:K,COLUMN('Price List, Weapons &amp; Items'!$I$1),0)</f>
        <v>Online marketplaces and stores</v>
      </c>
      <c r="AO348" s="521" t="str">
        <f>IF(I348=".",".",VLOOKUP($I348,'Price List, Weapons &amp; Items'!A:I,3,0))</f>
        <v>.</v>
      </c>
      <c r="AP348" s="517" t="str">
        <f t="shared" ca="1" si="83"/>
        <v/>
      </c>
      <c r="AQ348" s="521">
        <f>VLOOKUP($I348,'Price List, Weapons &amp; Items'!A:K,COLUMN('Price List, Weapons &amp; Items'!$K$1),0)</f>
        <v>1</v>
      </c>
      <c r="AS348" s="521">
        <f t="shared" si="77"/>
        <v>1</v>
      </c>
      <c r="AT348" s="521">
        <f t="shared" si="78"/>
        <v>1</v>
      </c>
      <c r="AU348" s="521" t="str">
        <f t="shared" si="79"/>
        <v>Value is not in date format</v>
      </c>
      <c r="AV348" s="521" t="str">
        <f t="shared" si="80"/>
        <v>.</v>
      </c>
    </row>
    <row r="349" spans="1:48" ht="15" customHeight="1">
      <c r="A349" s="18" t="s">
        <v>1156</v>
      </c>
      <c r="B349" s="18" t="s">
        <v>1136</v>
      </c>
      <c r="C349" s="511" t="s">
        <v>1163</v>
      </c>
      <c r="D349" s="18" t="s">
        <v>252</v>
      </c>
      <c r="E349" s="18" t="s">
        <v>1157</v>
      </c>
      <c r="F349" s="816" t="s">
        <v>1158</v>
      </c>
      <c r="G349" s="39" t="s">
        <v>332</v>
      </c>
      <c r="H349" s="523">
        <v>1540932941</v>
      </c>
      <c r="I349" s="524" t="s">
        <v>422</v>
      </c>
      <c r="J349" s="276" t="str">
        <f>VLOOKUP($I349,'Price List, Weapons &amp; Items'!A:B,2,0)</f>
        <v>Humanitarian</v>
      </c>
      <c r="K349" s="276" t="str">
        <f>IF(I349=".",I349,VLOOKUP($I349,'Price List, Weapons &amp; Items'!A:C,3,0))</f>
        <v>.</v>
      </c>
      <c r="L349" s="514">
        <f>VLOOKUP(I349,'Price List, Weapons &amp; Items'!A:D,4,0)</f>
        <v>0</v>
      </c>
      <c r="M349" s="515">
        <v>36</v>
      </c>
      <c r="N349" s="515">
        <v>0</v>
      </c>
      <c r="O349" s="516">
        <f>VLOOKUP($I349,'Price List, Weapons &amp; Items'!A:F,6,0)</f>
        <v>220000</v>
      </c>
      <c r="P349" s="513">
        <f t="shared" si="84"/>
        <v>7920000</v>
      </c>
      <c r="Q349" s="513">
        <f t="shared" si="85"/>
        <v>0</v>
      </c>
      <c r="R349" s="513" t="str">
        <f t="shared" si="73"/>
        <v/>
      </c>
      <c r="S349" s="513" t="str">
        <f>IF(AND(AD349=1,R349&lt;&gt;".")=TRUE,R349/VLOOKUP(G349,'Exchange rates'!B:C,2,0),IF(R349=".",".",""))</f>
        <v/>
      </c>
      <c r="T349" s="513" t="str">
        <f>IF(AD349=1,IF(AF349="Value is not given at all",".",IF(AF349="Value is given by the source",S349,IF(AF349="Value is calculated with prices",(IF(SUMIFS(Q:Q,A:A,A349)&gt;0,SUMIFS(Q:Q,A:A,A349),"."))/VLOOKUP("USD",'Exchange rates'!B:C,2,0),"Error with coding"))),"")</f>
        <v/>
      </c>
      <c r="U349" s="39" t="s">
        <v>233</v>
      </c>
      <c r="V349" s="376" t="s">
        <v>1160</v>
      </c>
      <c r="W349" s="376" t="s">
        <v>1165</v>
      </c>
      <c r="X349" s="376" t="s">
        <v>1162</v>
      </c>
      <c r="Y349" s="376" t="s">
        <v>232</v>
      </c>
      <c r="Z349" s="39">
        <v>0</v>
      </c>
      <c r="AA349" s="518">
        <v>1</v>
      </c>
      <c r="AB349" s="395" t="s">
        <v>1166</v>
      </c>
      <c r="AC349" s="519" t="str">
        <f>""</f>
        <v/>
      </c>
      <c r="AD349" s="522">
        <v>0</v>
      </c>
      <c r="AE349" s="522" t="s">
        <v>236</v>
      </c>
      <c r="AF349" s="522" t="s">
        <v>237</v>
      </c>
      <c r="AG349" s="522">
        <v>0</v>
      </c>
      <c r="AH349" s="522">
        <v>0</v>
      </c>
      <c r="AI349" s="522">
        <v>0</v>
      </c>
      <c r="AJ349" s="520">
        <f>VLOOKUP($I349,'Price List, Weapons &amp; Items'!A:E,5,0)</f>
        <v>0</v>
      </c>
      <c r="AK349" s="520">
        <f t="shared" si="74"/>
        <v>0</v>
      </c>
      <c r="AL349" s="520">
        <f t="shared" si="75"/>
        <v>0</v>
      </c>
      <c r="AM349" s="520">
        <f t="shared" si="76"/>
        <v>0</v>
      </c>
      <c r="AN349" s="521" t="str">
        <f>VLOOKUP($I349,'Price List, Weapons &amp; Items'!A:K,COLUMN('Price List, Weapons &amp; Items'!$I$1),0)</f>
        <v>Miscellaneous</v>
      </c>
      <c r="AO349" s="521" t="str">
        <f>IF(I349=".",".",VLOOKUP($I349,'Price List, Weapons &amp; Items'!A:I,3,0))</f>
        <v>.</v>
      </c>
      <c r="AP349" s="517" t="str">
        <f t="shared" ca="1" si="83"/>
        <v/>
      </c>
      <c r="AQ349" s="521">
        <f>VLOOKUP($I349,'Price List, Weapons &amp; Items'!A:K,COLUMN('Price List, Weapons &amp; Items'!$K$1),0)</f>
        <v>0</v>
      </c>
      <c r="AS349" s="521">
        <f t="shared" si="77"/>
        <v>1</v>
      </c>
      <c r="AT349" s="521">
        <f t="shared" si="78"/>
        <v>1</v>
      </c>
      <c r="AU349" s="521" t="str">
        <f t="shared" si="79"/>
        <v>Value is not in date format</v>
      </c>
      <c r="AV349" s="521" t="str">
        <f t="shared" si="80"/>
        <v>.</v>
      </c>
    </row>
    <row r="350" spans="1:48" ht="15" customHeight="1">
      <c r="A350" s="18" t="s">
        <v>1156</v>
      </c>
      <c r="B350" s="18" t="s">
        <v>1136</v>
      </c>
      <c r="C350" s="511" t="s">
        <v>1163</v>
      </c>
      <c r="D350" s="18" t="s">
        <v>252</v>
      </c>
      <c r="E350" s="18" t="s">
        <v>1157</v>
      </c>
      <c r="F350" s="816" t="s">
        <v>1158</v>
      </c>
      <c r="G350" s="39" t="s">
        <v>332</v>
      </c>
      <c r="H350" s="523">
        <v>1540932933</v>
      </c>
      <c r="I350" s="524" t="s">
        <v>1167</v>
      </c>
      <c r="J350" s="276" t="str">
        <f>VLOOKUP($I350,'Price List, Weapons &amp; Items'!A:B,2,0)</f>
        <v>Portable defence system</v>
      </c>
      <c r="K350" s="276" t="str">
        <f>IF(I350=".",I350,VLOOKUP($I350,'Price List, Weapons &amp; Items'!A:C,3,0))</f>
        <v>Anti-drone</v>
      </c>
      <c r="L350" s="514">
        <f>VLOOKUP(I350,'Price List, Weapons &amp; Items'!A:D,4,0)</f>
        <v>0</v>
      </c>
      <c r="M350" s="515">
        <v>10</v>
      </c>
      <c r="N350" s="515">
        <v>10</v>
      </c>
      <c r="O350" s="516">
        <f>VLOOKUP($I350,'Price List, Weapons &amp; Items'!A:F,6,0)</f>
        <v>12000</v>
      </c>
      <c r="P350" s="513">
        <f t="shared" si="84"/>
        <v>120000</v>
      </c>
      <c r="Q350" s="513">
        <f t="shared" si="85"/>
        <v>120000</v>
      </c>
      <c r="R350" s="513" t="str">
        <f t="shared" si="73"/>
        <v/>
      </c>
      <c r="S350" s="513" t="str">
        <f>IF(AND(AD350=1,R350&lt;&gt;".")=TRUE,R350/VLOOKUP(G350,'Exchange rates'!B:C,2,0),IF(R350=".",".",""))</f>
        <v/>
      </c>
      <c r="T350" s="513" t="str">
        <f>IF(AD350=1,IF(AF350="Value is not given at all",".",IF(AF350="Value is given by the source",S350,IF(AF350="Value is calculated with prices",(IF(SUMIFS(Q:Q,A:A,A350)&gt;0,SUMIFS(Q:Q,A:A,A350),"."))/VLOOKUP("USD",'Exchange rates'!B:C,2,0),"Error with coding"))),"")</f>
        <v/>
      </c>
      <c r="U350" s="39" t="s">
        <v>233</v>
      </c>
      <c r="V350" s="376" t="s">
        <v>1160</v>
      </c>
      <c r="W350" s="376" t="s">
        <v>1161</v>
      </c>
      <c r="X350" s="376" t="s">
        <v>1162</v>
      </c>
      <c r="Y350" s="376" t="s">
        <v>232</v>
      </c>
      <c r="Z350" s="39">
        <v>0</v>
      </c>
      <c r="AA350" s="518">
        <v>1</v>
      </c>
      <c r="AB350" s="395" t="s">
        <v>1161</v>
      </c>
      <c r="AC350" s="519" t="str">
        <f>""</f>
        <v/>
      </c>
      <c r="AD350" s="522">
        <v>0</v>
      </c>
      <c r="AE350" s="522" t="s">
        <v>236</v>
      </c>
      <c r="AF350" s="522" t="s">
        <v>237</v>
      </c>
      <c r="AG350" s="522">
        <v>0</v>
      </c>
      <c r="AH350" s="522">
        <v>0</v>
      </c>
      <c r="AI350" s="522">
        <v>0</v>
      </c>
      <c r="AJ350" s="520">
        <f>VLOOKUP($I350,'Price List, Weapons &amp; Items'!A:E,5,0)</f>
        <v>0</v>
      </c>
      <c r="AK350" s="520">
        <f t="shared" si="74"/>
        <v>0</v>
      </c>
      <c r="AL350" s="520">
        <f t="shared" si="75"/>
        <v>0</v>
      </c>
      <c r="AM350" s="520">
        <f t="shared" si="76"/>
        <v>0</v>
      </c>
      <c r="AN350" s="521" t="str">
        <f>VLOOKUP($I350,'Price List, Weapons &amp; Items'!A:K,COLUMN('Price List, Weapons &amp; Items'!$I$1),0)</f>
        <v>Media reports (incl. social media)</v>
      </c>
      <c r="AO350" s="521" t="str">
        <f>IF(I350=".",".",VLOOKUP($I350,'Price List, Weapons &amp; Items'!A:I,3,0))</f>
        <v>Anti-drone</v>
      </c>
      <c r="AP350" s="517" t="str">
        <f t="shared" ca="1" si="83"/>
        <v/>
      </c>
      <c r="AQ350" s="521">
        <f>VLOOKUP($I350,'Price List, Weapons &amp; Items'!A:K,COLUMN('Price List, Weapons &amp; Items'!$K$1),0)</f>
        <v>1</v>
      </c>
      <c r="AS350" s="521">
        <f t="shared" si="77"/>
        <v>1</v>
      </c>
      <c r="AT350" s="521">
        <f t="shared" si="78"/>
        <v>1</v>
      </c>
      <c r="AU350" s="521" t="str">
        <f t="shared" si="79"/>
        <v>Value is not in date format</v>
      </c>
      <c r="AV350" s="521" t="str">
        <f t="shared" si="80"/>
        <v>.</v>
      </c>
    </row>
    <row r="351" spans="1:48" ht="15" customHeight="1">
      <c r="A351" s="18" t="s">
        <v>1156</v>
      </c>
      <c r="B351" s="18" t="s">
        <v>1136</v>
      </c>
      <c r="C351" s="511" t="s">
        <v>1163</v>
      </c>
      <c r="D351" s="18" t="s">
        <v>252</v>
      </c>
      <c r="E351" s="18" t="s">
        <v>1157</v>
      </c>
      <c r="F351" s="816" t="s">
        <v>1158</v>
      </c>
      <c r="G351" s="39" t="s">
        <v>332</v>
      </c>
      <c r="H351" s="523">
        <v>1540932933</v>
      </c>
      <c r="I351" s="524" t="s">
        <v>1168</v>
      </c>
      <c r="J351" s="276" t="str">
        <f>VLOOKUP($I351,'Price List, Weapons &amp; Items'!A:B,2,0)</f>
        <v>Military equipment</v>
      </c>
      <c r="K351" s="276" t="str">
        <f>IF(I351=".",I351,VLOOKUP($I351,'Price List, Weapons &amp; Items'!A:C,3,0))</f>
        <v>Anti-drone</v>
      </c>
      <c r="L351" s="514">
        <f>VLOOKUP(I351,'Price List, Weapons &amp; Items'!A:D,4,0)</f>
        <v>0</v>
      </c>
      <c r="M351" s="515">
        <v>38</v>
      </c>
      <c r="N351" s="515">
        <v>28</v>
      </c>
      <c r="O351" s="516">
        <f>VLOOKUP($I351,'Price List, Weapons &amp; Items'!A:F,6,0)</f>
        <v>10794.5</v>
      </c>
      <c r="P351" s="513">
        <f t="shared" si="84"/>
        <v>410191</v>
      </c>
      <c r="Q351" s="513">
        <f t="shared" si="85"/>
        <v>302246</v>
      </c>
      <c r="R351" s="513" t="str">
        <f t="shared" si="73"/>
        <v/>
      </c>
      <c r="S351" s="513" t="str">
        <f>IF(AND(AD351=1,R351&lt;&gt;".")=TRUE,R351/VLOOKUP(G351,'Exchange rates'!B:C,2,0),IF(R351=".",".",""))</f>
        <v/>
      </c>
      <c r="T351" s="513" t="str">
        <f>IF(AD351=1,IF(AF351="Value is not given at all",".",IF(AF351="Value is given by the source",S351,IF(AF351="Value is calculated with prices",(IF(SUMIFS(Q:Q,A:A,A351)&gt;0,SUMIFS(Q:Q,A:A,A351),"."))/VLOOKUP("USD",'Exchange rates'!B:C,2,0),"Error with coding"))),"")</f>
        <v/>
      </c>
      <c r="U351" s="39" t="s">
        <v>233</v>
      </c>
      <c r="V351" s="376" t="s">
        <v>1160</v>
      </c>
      <c r="W351" s="376" t="s">
        <v>1161</v>
      </c>
      <c r="X351" s="376" t="s">
        <v>1162</v>
      </c>
      <c r="Y351" s="376" t="s">
        <v>232</v>
      </c>
      <c r="Z351" s="39">
        <v>0</v>
      </c>
      <c r="AA351" s="518">
        <v>1</v>
      </c>
      <c r="AB351" s="395" t="s">
        <v>1169</v>
      </c>
      <c r="AC351" s="519" t="str">
        <f>""</f>
        <v/>
      </c>
      <c r="AD351" s="522">
        <v>0</v>
      </c>
      <c r="AE351" s="522" t="s">
        <v>236</v>
      </c>
      <c r="AF351" s="522" t="s">
        <v>237</v>
      </c>
      <c r="AG351" s="522">
        <v>0</v>
      </c>
      <c r="AH351" s="522">
        <v>0</v>
      </c>
      <c r="AI351" s="522">
        <v>0</v>
      </c>
      <c r="AJ351" s="520">
        <f>VLOOKUP($I351,'Price List, Weapons &amp; Items'!A:E,5,0)</f>
        <v>0</v>
      </c>
      <c r="AK351" s="520">
        <f t="shared" si="74"/>
        <v>0</v>
      </c>
      <c r="AL351" s="520">
        <f t="shared" si="75"/>
        <v>0</v>
      </c>
      <c r="AM351" s="520">
        <f t="shared" si="76"/>
        <v>0</v>
      </c>
      <c r="AN351" s="521" t="str">
        <f>VLOOKUP($I351,'Price List, Weapons &amp; Items'!A:K,COLUMN('Price List, Weapons &amp; Items'!$I$1),0)</f>
        <v>Online marketplaces and stores</v>
      </c>
      <c r="AO351" s="521" t="str">
        <f>IF(I351=".",".",VLOOKUP($I351,'Price List, Weapons &amp; Items'!A:I,3,0))</f>
        <v>Anti-drone</v>
      </c>
      <c r="AP351" s="517" t="str">
        <f t="shared" ca="1" si="83"/>
        <v/>
      </c>
      <c r="AQ351" s="521">
        <f>VLOOKUP($I351,'Price List, Weapons &amp; Items'!A:K,COLUMN('Price List, Weapons &amp; Items'!$K$1),0)</f>
        <v>1</v>
      </c>
      <c r="AS351" s="521">
        <f t="shared" si="77"/>
        <v>1</v>
      </c>
      <c r="AT351" s="521">
        <f t="shared" si="78"/>
        <v>1</v>
      </c>
      <c r="AU351" s="521" t="str">
        <f t="shared" si="79"/>
        <v>Value is not in date format</v>
      </c>
      <c r="AV351" s="521" t="str">
        <f t="shared" si="80"/>
        <v>.</v>
      </c>
    </row>
    <row r="352" spans="1:48" ht="15" customHeight="1">
      <c r="A352" s="18" t="s">
        <v>1156</v>
      </c>
      <c r="B352" s="18" t="s">
        <v>1136</v>
      </c>
      <c r="C352" s="511" t="s">
        <v>1163</v>
      </c>
      <c r="D352" s="18" t="s">
        <v>252</v>
      </c>
      <c r="E352" s="18" t="s">
        <v>1157</v>
      </c>
      <c r="F352" s="816" t="s">
        <v>1158</v>
      </c>
      <c r="G352" s="39" t="s">
        <v>332</v>
      </c>
      <c r="H352" s="523">
        <v>1540932933</v>
      </c>
      <c r="I352" s="524" t="s">
        <v>1170</v>
      </c>
      <c r="J352" s="276" t="str">
        <f>VLOOKUP($I352,'Price List, Weapons &amp; Items'!A:B,2,0)</f>
        <v>Military equipment</v>
      </c>
      <c r="K352" s="276" t="str">
        <f>IF(I352=".",I352,VLOOKUP($I352,'Price List, Weapons &amp; Items'!A:C,3,0))</f>
        <v>mine</v>
      </c>
      <c r="L352" s="514">
        <f>VLOOKUP(I352,'Price List, Weapons &amp; Items'!A:D,4,0)</f>
        <v>0</v>
      </c>
      <c r="M352" s="515">
        <v>14900</v>
      </c>
      <c r="N352" s="515">
        <v>14900</v>
      </c>
      <c r="O352" s="516">
        <f>VLOOKUP($I352,'Price List, Weapons &amp; Items'!A:F,6,0)</f>
        <v>1300</v>
      </c>
      <c r="P352" s="513">
        <f t="shared" si="84"/>
        <v>19370000</v>
      </c>
      <c r="Q352" s="513">
        <f t="shared" si="85"/>
        <v>19370000</v>
      </c>
      <c r="R352" s="513" t="str">
        <f t="shared" si="73"/>
        <v/>
      </c>
      <c r="S352" s="513" t="str">
        <f>IF(AND(AD352=1,R352&lt;&gt;".")=TRUE,R352/VLOOKUP(G352,'Exchange rates'!B:C,2,0),IF(R352=".",".",""))</f>
        <v/>
      </c>
      <c r="T352" s="513" t="str">
        <f>IF(AD352=1,IF(AF352="Value is not given at all",".",IF(AF352="Value is given by the source",S352,IF(AF352="Value is calculated with prices",(IF(SUMIFS(Q:Q,A:A,A352)&gt;0,SUMIFS(Q:Q,A:A,A352),"."))/VLOOKUP("USD",'Exchange rates'!B:C,2,0),"Error with coding"))),"")</f>
        <v/>
      </c>
      <c r="U352" s="39" t="s">
        <v>233</v>
      </c>
      <c r="V352" s="376" t="s">
        <v>1160</v>
      </c>
      <c r="W352" s="376" t="s">
        <v>1161</v>
      </c>
      <c r="X352" s="376" t="s">
        <v>1162</v>
      </c>
      <c r="Y352" s="376" t="s">
        <v>232</v>
      </c>
      <c r="Z352" s="39">
        <v>0</v>
      </c>
      <c r="AA352" s="518">
        <v>0</v>
      </c>
      <c r="AB352" s="395" t="s">
        <v>1161</v>
      </c>
      <c r="AC352" s="519" t="str">
        <f>""</f>
        <v/>
      </c>
      <c r="AD352" s="522">
        <v>0</v>
      </c>
      <c r="AE352" s="522" t="s">
        <v>236</v>
      </c>
      <c r="AF352" s="522" t="s">
        <v>237</v>
      </c>
      <c r="AG352" s="522">
        <v>0</v>
      </c>
      <c r="AH352" s="522">
        <v>0</v>
      </c>
      <c r="AI352" s="522">
        <v>0</v>
      </c>
      <c r="AJ352" s="520">
        <f>VLOOKUP($I352,'Price List, Weapons &amp; Items'!A:E,5,0)</f>
        <v>0</v>
      </c>
      <c r="AK352" s="520">
        <f t="shared" si="74"/>
        <v>0</v>
      </c>
      <c r="AL352" s="520">
        <f t="shared" si="75"/>
        <v>0</v>
      </c>
      <c r="AM352" s="520">
        <f t="shared" si="76"/>
        <v>0</v>
      </c>
      <c r="AN352" s="521" t="str">
        <f>VLOOKUP($I352,'Price List, Weapons &amp; Items'!A:K,COLUMN('Price List, Weapons &amp; Items'!$I$1),0)</f>
        <v>Source mentions price between 1200 and 1400 USD per piece, we average at 1300.</v>
      </c>
      <c r="AO352" s="521" t="str">
        <f>IF(I352=".",".",VLOOKUP($I352,'Price List, Weapons &amp; Items'!A:I,3,0))</f>
        <v>mine</v>
      </c>
      <c r="AP352" s="517" t="str">
        <f t="shared" ca="1" si="83"/>
        <v/>
      </c>
      <c r="AQ352" s="521">
        <f>VLOOKUP($I352,'Price List, Weapons &amp; Items'!A:K,COLUMN('Price List, Weapons &amp; Items'!$K$1),0)</f>
        <v>2</v>
      </c>
      <c r="AS352" s="521">
        <f t="shared" si="77"/>
        <v>1</v>
      </c>
      <c r="AT352" s="521">
        <f t="shared" si="78"/>
        <v>1</v>
      </c>
      <c r="AU352" s="521" t="str">
        <f t="shared" si="79"/>
        <v>Value is not in date format</v>
      </c>
      <c r="AV352" s="521" t="str">
        <f t="shared" si="80"/>
        <v>.</v>
      </c>
    </row>
    <row r="353" spans="1:48" ht="15" customHeight="1">
      <c r="A353" s="18" t="s">
        <v>1156</v>
      </c>
      <c r="B353" s="18" t="s">
        <v>1136</v>
      </c>
      <c r="C353" s="511" t="s">
        <v>1163</v>
      </c>
      <c r="D353" s="18" t="s">
        <v>252</v>
      </c>
      <c r="E353" s="18" t="s">
        <v>1157</v>
      </c>
      <c r="F353" s="816" t="s">
        <v>1158</v>
      </c>
      <c r="G353" s="39" t="s">
        <v>332</v>
      </c>
      <c r="H353" s="523">
        <v>1540932936</v>
      </c>
      <c r="I353" s="524" t="s">
        <v>1171</v>
      </c>
      <c r="J353" s="276" t="str">
        <f>VLOOKUP($I353,'Price List, Weapons &amp; Items'!A:B,2,0)</f>
        <v>military equipment</v>
      </c>
      <c r="K353" s="276" t="str">
        <f>IF(I353=".",I353,VLOOKUP($I353,'Price List, Weapons &amp; Items'!A:C,3,0))</f>
        <v>Armoured Utility Vehicle (AUV)</v>
      </c>
      <c r="L353" s="514">
        <f>VLOOKUP(I353,'Price List, Weapons &amp; Items'!A:D,4,0)</f>
        <v>0</v>
      </c>
      <c r="M353" s="515">
        <v>5</v>
      </c>
      <c r="N353" s="515">
        <v>0</v>
      </c>
      <c r="O353" s="516">
        <f>VLOOKUP($I353,'Price List, Weapons &amp; Items'!A:F,6,0)</f>
        <v>1240159</v>
      </c>
      <c r="P353" s="513">
        <f t="shared" si="84"/>
        <v>6200795</v>
      </c>
      <c r="Q353" s="513">
        <f t="shared" si="85"/>
        <v>0</v>
      </c>
      <c r="R353" s="513" t="str">
        <f t="shared" si="73"/>
        <v/>
      </c>
      <c r="S353" s="513" t="str">
        <f>IF(AND(AD353=1,R353&lt;&gt;".")=TRUE,R353/VLOOKUP(G353,'Exchange rates'!B:C,2,0),IF(R353=".",".",""))</f>
        <v/>
      </c>
      <c r="T353" s="513" t="str">
        <f>IF(AD353=1,IF(AF353="Value is not given at all",".",IF(AF353="Value is given by the source",S353,IF(AF353="Value is calculated with prices",(IF(SUMIFS(Q:Q,A:A,A353)&gt;0,SUMIFS(Q:Q,A:A,A353),"."))/VLOOKUP("USD",'Exchange rates'!B:C,2,0),"Error with coding"))),"")</f>
        <v/>
      </c>
      <c r="U353" s="39" t="s">
        <v>233</v>
      </c>
      <c r="V353" s="376" t="s">
        <v>1160</v>
      </c>
      <c r="W353" s="376" t="s">
        <v>1172</v>
      </c>
      <c r="X353" s="376" t="s">
        <v>1162</v>
      </c>
      <c r="Y353" s="376" t="s">
        <v>232</v>
      </c>
      <c r="Z353" s="39">
        <v>0</v>
      </c>
      <c r="AA353" s="518">
        <v>1</v>
      </c>
      <c r="AB353" s="395" t="s">
        <v>1173</v>
      </c>
      <c r="AC353" s="519" t="str">
        <f>""</f>
        <v/>
      </c>
      <c r="AD353" s="522">
        <v>0</v>
      </c>
      <c r="AE353" s="522" t="s">
        <v>236</v>
      </c>
      <c r="AF353" s="522" t="s">
        <v>237</v>
      </c>
      <c r="AG353" s="522">
        <v>0</v>
      </c>
      <c r="AH353" s="522">
        <v>0</v>
      </c>
      <c r="AI353" s="522">
        <v>0</v>
      </c>
      <c r="AJ353" s="520">
        <f>VLOOKUP($I353,'Price List, Weapons &amp; Items'!A:E,5,0)</f>
        <v>1</v>
      </c>
      <c r="AK353" s="520">
        <f t="shared" si="74"/>
        <v>0</v>
      </c>
      <c r="AL353" s="520">
        <f t="shared" si="75"/>
        <v>0</v>
      </c>
      <c r="AM353" s="520">
        <f t="shared" si="76"/>
        <v>0</v>
      </c>
      <c r="AN353" s="521" t="str">
        <f>VLOOKUP($I353,'Price List, Weapons &amp; Items'!A:K,COLUMN('Price List, Weapons &amp; Items'!$I$1),0)</f>
        <v>Government information</v>
      </c>
      <c r="AO353" s="521" t="str">
        <f>IF(I353=".",".",VLOOKUP($I353,'Price List, Weapons &amp; Items'!A:I,3,0))</f>
        <v>Armoured Utility Vehicle (AUV)</v>
      </c>
      <c r="AP353" s="517" t="str">
        <f t="shared" ca="1" si="83"/>
        <v/>
      </c>
      <c r="AQ353" s="521">
        <f>VLOOKUP($I353,'Price List, Weapons &amp; Items'!A:K,COLUMN('Price List, Weapons &amp; Items'!$K$1),0)</f>
        <v>2</v>
      </c>
      <c r="AS353" s="521">
        <f t="shared" si="77"/>
        <v>1</v>
      </c>
      <c r="AT353" s="521">
        <f t="shared" si="78"/>
        <v>1</v>
      </c>
      <c r="AU353" s="521" t="str">
        <f t="shared" si="79"/>
        <v>Value is not in date format</v>
      </c>
      <c r="AV353" s="521" t="str">
        <f t="shared" si="80"/>
        <v>.</v>
      </c>
    </row>
    <row r="354" spans="1:48" ht="15" customHeight="1">
      <c r="A354" s="18" t="s">
        <v>1156</v>
      </c>
      <c r="B354" s="18" t="s">
        <v>1136</v>
      </c>
      <c r="C354" s="511" t="s">
        <v>1163</v>
      </c>
      <c r="D354" s="18" t="s">
        <v>252</v>
      </c>
      <c r="E354" s="18" t="s">
        <v>1157</v>
      </c>
      <c r="F354" s="816" t="s">
        <v>1158</v>
      </c>
      <c r="G354" s="39" t="s">
        <v>332</v>
      </c>
      <c r="H354" s="523">
        <v>1540932933</v>
      </c>
      <c r="I354" s="524" t="s">
        <v>1174</v>
      </c>
      <c r="J354" s="276" t="str">
        <f>VLOOKUP($I354,'Price List, Weapons &amp; Items'!A:B,2,0)</f>
        <v>Heavy weapon</v>
      </c>
      <c r="K354" s="276" t="str">
        <f>IF(I354=".",I354,VLOOKUP($I354,'Price List, Weapons &amp; Items'!A:C,3,0))</f>
        <v>Armoured Recovery Vehicle (ARV)</v>
      </c>
      <c r="L354" s="514">
        <f>VLOOKUP(I354,'Price List, Weapons &amp; Items'!A:D,4,0)</f>
        <v>0</v>
      </c>
      <c r="M354" s="515">
        <v>15</v>
      </c>
      <c r="N354" s="515">
        <v>10</v>
      </c>
      <c r="O354" s="516">
        <f>VLOOKUP($I354,'Price List, Weapons &amp; Items'!A:F,6,0)</f>
        <v>934237.75</v>
      </c>
      <c r="P354" s="513">
        <f t="shared" si="84"/>
        <v>14013566.25</v>
      </c>
      <c r="Q354" s="513">
        <f t="shared" si="85"/>
        <v>9342377.5</v>
      </c>
      <c r="R354" s="513" t="str">
        <f t="shared" si="73"/>
        <v/>
      </c>
      <c r="S354" s="513" t="str">
        <f>IF(AND(AD354=1,R354&lt;&gt;".")=TRUE,R354/VLOOKUP(G354,'Exchange rates'!B:C,2,0),IF(R354=".",".",""))</f>
        <v/>
      </c>
      <c r="T354" s="513" t="str">
        <f>IF(AD354=1,IF(AF354="Value is not given at all",".",IF(AF354="Value is given by the source",S354,IF(AF354="Value is calculated with prices",(IF(SUMIFS(Q:Q,A:A,A354)&gt;0,SUMIFS(Q:Q,A:A,A354),"."))/VLOOKUP("USD",'Exchange rates'!B:C,2,0),"Error with coding"))),"")</f>
        <v/>
      </c>
      <c r="U354" s="39" t="s">
        <v>233</v>
      </c>
      <c r="V354" s="376" t="s">
        <v>1160</v>
      </c>
      <c r="W354" s="376" t="s">
        <v>1161</v>
      </c>
      <c r="X354" s="376" t="s">
        <v>1162</v>
      </c>
      <c r="Y354" s="376" t="s">
        <v>232</v>
      </c>
      <c r="Z354" s="39">
        <v>0</v>
      </c>
      <c r="AA354" s="518">
        <v>1</v>
      </c>
      <c r="AB354" s="395" t="s">
        <v>1169</v>
      </c>
      <c r="AC354" s="519" t="str">
        <f>""</f>
        <v/>
      </c>
      <c r="AD354" s="522">
        <v>0</v>
      </c>
      <c r="AE354" s="522" t="s">
        <v>236</v>
      </c>
      <c r="AF354" s="522" t="s">
        <v>237</v>
      </c>
      <c r="AG354" s="522">
        <v>0</v>
      </c>
      <c r="AH354" s="522">
        <v>0</v>
      </c>
      <c r="AI354" s="522">
        <v>0</v>
      </c>
      <c r="AJ354" s="520">
        <f>VLOOKUP($I354,'Price List, Weapons &amp; Items'!A:E,5,0)</f>
        <v>1</v>
      </c>
      <c r="AK354" s="520">
        <f t="shared" si="74"/>
        <v>0</v>
      </c>
      <c r="AL354" s="520">
        <f t="shared" si="75"/>
        <v>0</v>
      </c>
      <c r="AM354" s="520">
        <f t="shared" si="76"/>
        <v>0</v>
      </c>
      <c r="AN354" s="521" t="str">
        <f>VLOOKUP($I354,'Price List, Weapons &amp; Items'!A:K,COLUMN('Price List, Weapons &amp; Items'!$I$1),0)</f>
        <v>Contracts</v>
      </c>
      <c r="AO354" s="521" t="str">
        <f>IF(I354=".",".",VLOOKUP($I354,'Price List, Weapons &amp; Items'!A:I,3,0))</f>
        <v>Armoured Recovery Vehicle (ARV)</v>
      </c>
      <c r="AP354" s="517" t="str">
        <f t="shared" ca="1" si="83"/>
        <v/>
      </c>
      <c r="AQ354" s="521">
        <f>VLOOKUP($I354,'Price List, Weapons &amp; Items'!A:K,COLUMN('Price List, Weapons &amp; Items'!$K$1),0)</f>
        <v>2</v>
      </c>
      <c r="AS354" s="521">
        <f t="shared" si="77"/>
        <v>1</v>
      </c>
      <c r="AT354" s="521">
        <f t="shared" si="78"/>
        <v>1</v>
      </c>
      <c r="AU354" s="521" t="str">
        <f t="shared" si="79"/>
        <v>Value is not in date format</v>
      </c>
      <c r="AV354" s="521" t="str">
        <f t="shared" si="80"/>
        <v>.</v>
      </c>
    </row>
    <row r="355" spans="1:48" ht="15" customHeight="1">
      <c r="A355" s="18" t="s">
        <v>1156</v>
      </c>
      <c r="B355" s="18" t="s">
        <v>1136</v>
      </c>
      <c r="C355" s="511" t="s">
        <v>1163</v>
      </c>
      <c r="D355" s="18" t="s">
        <v>252</v>
      </c>
      <c r="E355" s="18" t="s">
        <v>1157</v>
      </c>
      <c r="F355" s="816" t="s">
        <v>1158</v>
      </c>
      <c r="G355" s="39" t="s">
        <v>332</v>
      </c>
      <c r="H355" s="523">
        <v>1540932933</v>
      </c>
      <c r="I355" s="524" t="s">
        <v>1175</v>
      </c>
      <c r="J355" s="276" t="str">
        <f>VLOOKUP($I355,'Price List, Weapons &amp; Items'!A:B,2,0)</f>
        <v>Military equipment</v>
      </c>
      <c r="K355" s="276" t="str">
        <f>IF(I355=".",I355,VLOOKUP($I355,'Price List, Weapons &amp; Items'!A:C,3,0))</f>
        <v>.</v>
      </c>
      <c r="L355" s="514">
        <f>VLOOKUP(I355,'Price List, Weapons &amp; Items'!A:D,4,0)</f>
        <v>0</v>
      </c>
      <c r="M355" s="515">
        <v>100</v>
      </c>
      <c r="N355" s="515">
        <v>100</v>
      </c>
      <c r="O355" s="516">
        <f>VLOOKUP($I355,'Price List, Weapons &amp; Items'!A:F,6,0)</f>
        <v>9.93</v>
      </c>
      <c r="P355" s="513">
        <f t="shared" si="84"/>
        <v>993</v>
      </c>
      <c r="Q355" s="513">
        <f t="shared" si="85"/>
        <v>993</v>
      </c>
      <c r="R355" s="513" t="str">
        <f t="shared" si="73"/>
        <v/>
      </c>
      <c r="S355" s="513" t="str">
        <f>IF(AND(AD355=1,R355&lt;&gt;".")=TRUE,R355/VLOOKUP(G355,'Exchange rates'!B:C,2,0),IF(R355=".",".",""))</f>
        <v/>
      </c>
      <c r="T355" s="513" t="str">
        <f>IF(AD355=1,IF(AF355="Value is not given at all",".",IF(AF355="Value is given by the source",S355,IF(AF355="Value is calculated with prices",(IF(SUMIFS(Q:Q,A:A,A355)&gt;0,SUMIFS(Q:Q,A:A,A355),"."))/VLOOKUP("USD",'Exchange rates'!B:C,2,0),"Error with coding"))),"")</f>
        <v/>
      </c>
      <c r="U355" s="39" t="s">
        <v>233</v>
      </c>
      <c r="V355" s="376" t="s">
        <v>1160</v>
      </c>
      <c r="W355" s="376" t="s">
        <v>1161</v>
      </c>
      <c r="X355" s="376" t="s">
        <v>1162</v>
      </c>
      <c r="Y355" s="376" t="s">
        <v>232</v>
      </c>
      <c r="Z355" s="39">
        <v>0</v>
      </c>
      <c r="AA355" s="518">
        <v>1</v>
      </c>
      <c r="AB355" s="395" t="s">
        <v>1161</v>
      </c>
      <c r="AC355" s="519" t="str">
        <f>""</f>
        <v/>
      </c>
      <c r="AD355" s="522">
        <v>0</v>
      </c>
      <c r="AE355" s="522" t="s">
        <v>236</v>
      </c>
      <c r="AF355" s="522" t="s">
        <v>237</v>
      </c>
      <c r="AG355" s="522">
        <v>0</v>
      </c>
      <c r="AH355" s="522">
        <v>0</v>
      </c>
      <c r="AI355" s="522">
        <v>0</v>
      </c>
      <c r="AJ355" s="520">
        <f>VLOOKUP($I355,'Price List, Weapons &amp; Items'!A:E,5,0)</f>
        <v>0</v>
      </c>
      <c r="AK355" s="520">
        <f t="shared" si="74"/>
        <v>0</v>
      </c>
      <c r="AL355" s="520">
        <f t="shared" si="75"/>
        <v>0</v>
      </c>
      <c r="AM355" s="520">
        <f t="shared" si="76"/>
        <v>0</v>
      </c>
      <c r="AN355" s="521" t="str">
        <f>VLOOKUP($I355,'Price List, Weapons &amp; Items'!A:K,COLUMN('Price List, Weapons &amp; Items'!$I$1),0)</f>
        <v>Online marketplaces and stores</v>
      </c>
      <c r="AO355" s="521" t="str">
        <f>IF(I355=".",".",VLOOKUP($I355,'Price List, Weapons &amp; Items'!A:I,3,0))</f>
        <v>.</v>
      </c>
      <c r="AP355" s="517" t="str">
        <f t="shared" ca="1" si="83"/>
        <v/>
      </c>
      <c r="AQ355" s="521">
        <f>VLOOKUP($I355,'Price List, Weapons &amp; Items'!A:K,COLUMN('Price List, Weapons &amp; Items'!$K$1),0)</f>
        <v>1</v>
      </c>
      <c r="AS355" s="521">
        <f t="shared" si="77"/>
        <v>1</v>
      </c>
      <c r="AT355" s="521">
        <f t="shared" si="78"/>
        <v>1</v>
      </c>
      <c r="AU355" s="521" t="str">
        <f t="shared" si="79"/>
        <v>Value is not in date format</v>
      </c>
      <c r="AV355" s="521" t="str">
        <f t="shared" si="80"/>
        <v>.</v>
      </c>
    </row>
    <row r="356" spans="1:48" ht="15" customHeight="1">
      <c r="A356" s="18" t="s">
        <v>1156</v>
      </c>
      <c r="B356" s="18" t="s">
        <v>1136</v>
      </c>
      <c r="C356" s="511" t="s">
        <v>1163</v>
      </c>
      <c r="D356" s="18" t="s">
        <v>252</v>
      </c>
      <c r="E356" s="18" t="s">
        <v>1157</v>
      </c>
      <c r="F356" s="816" t="s">
        <v>1158</v>
      </c>
      <c r="G356" s="39" t="s">
        <v>332</v>
      </c>
      <c r="H356" s="523">
        <v>1540932933</v>
      </c>
      <c r="I356" s="524" t="s">
        <v>1176</v>
      </c>
      <c r="J356" s="276" t="str">
        <f>VLOOKUP($I356,'Price List, Weapons &amp; Items'!A:B,2,0)</f>
        <v>Heavy weapon</v>
      </c>
      <c r="K356" s="276" t="str">
        <f>IF(I356=".",I356,VLOOKUP($I356,'Price List, Weapons &amp; Items'!A:C,3,0))</f>
        <v>Vehicle Launched Bridge (VLB)</v>
      </c>
      <c r="L356" s="514">
        <f>VLOOKUP(I356,'Price List, Weapons &amp; Items'!A:D,4,0)</f>
        <v>0</v>
      </c>
      <c r="M356" s="515">
        <v>16</v>
      </c>
      <c r="N356" s="515">
        <v>0</v>
      </c>
      <c r="O356" s="516">
        <f>VLOOKUP($I356,'Price List, Weapons &amp; Items'!A:F,6,0)</f>
        <v>2528458.11</v>
      </c>
      <c r="P356" s="513">
        <f t="shared" si="84"/>
        <v>40455329.759999998</v>
      </c>
      <c r="Q356" s="513">
        <f t="shared" si="85"/>
        <v>0</v>
      </c>
      <c r="R356" s="513" t="str">
        <f t="shared" si="73"/>
        <v/>
      </c>
      <c r="S356" s="513" t="str">
        <f>IF(AND(AD356=1,R356&lt;&gt;".")=TRUE,R356/VLOOKUP(G356,'Exchange rates'!B:C,2,0),IF(R356=".",".",""))</f>
        <v/>
      </c>
      <c r="T356" s="513" t="str">
        <f>IF(AD356=1,IF(AF356="Value is not given at all",".",IF(AF356="Value is given by the source",S356,IF(AF356="Value is calculated with prices",(IF(SUMIFS(Q:Q,A:A,A356)&gt;0,SUMIFS(Q:Q,A:A,A356),"."))/VLOOKUP("USD",'Exchange rates'!B:C,2,0),"Error with coding"))),"")</f>
        <v/>
      </c>
      <c r="U356" s="39" t="s">
        <v>233</v>
      </c>
      <c r="V356" s="376" t="s">
        <v>1160</v>
      </c>
      <c r="W356" s="376" t="s">
        <v>1161</v>
      </c>
      <c r="X356" s="376" t="s">
        <v>1162</v>
      </c>
      <c r="Y356" s="376" t="s">
        <v>232</v>
      </c>
      <c r="Z356" s="39">
        <v>0</v>
      </c>
      <c r="AA356" s="518">
        <v>1</v>
      </c>
      <c r="AB356" s="395" t="s">
        <v>1177</v>
      </c>
      <c r="AC356" s="519" t="str">
        <f>""</f>
        <v/>
      </c>
      <c r="AD356" s="522">
        <v>0</v>
      </c>
      <c r="AE356" s="522" t="s">
        <v>236</v>
      </c>
      <c r="AF356" s="522" t="s">
        <v>237</v>
      </c>
      <c r="AG356" s="522">
        <v>0</v>
      </c>
      <c r="AH356" s="522">
        <v>0</v>
      </c>
      <c r="AI356" s="522">
        <v>0</v>
      </c>
      <c r="AJ356" s="520">
        <f>VLOOKUP($I356,'Price List, Weapons &amp; Items'!A:E,5,0)</f>
        <v>0</v>
      </c>
      <c r="AK356" s="520">
        <f t="shared" si="74"/>
        <v>0</v>
      </c>
      <c r="AL356" s="520">
        <f t="shared" si="75"/>
        <v>0</v>
      </c>
      <c r="AM356" s="520">
        <f t="shared" si="76"/>
        <v>0</v>
      </c>
      <c r="AN356" s="521" t="str">
        <f>VLOOKUP($I356,'Price List, Weapons &amp; Items'!A:K,COLUMN('Price List, Weapons &amp; Items'!$I$1),0)</f>
        <v>Contracts</v>
      </c>
      <c r="AO356" s="521" t="str">
        <f>IF(I356=".",".",VLOOKUP($I356,'Price List, Weapons &amp; Items'!A:I,3,0))</f>
        <v>Vehicle Launched Bridge (VLB)</v>
      </c>
      <c r="AP356" s="517" t="str">
        <f t="shared" ca="1" si="83"/>
        <v/>
      </c>
      <c r="AQ356" s="521">
        <f>VLOOKUP($I356,'Price List, Weapons &amp; Items'!A:K,COLUMN('Price List, Weapons &amp; Items'!$K$1),0)</f>
        <v>2</v>
      </c>
      <c r="AS356" s="521">
        <f t="shared" si="77"/>
        <v>1</v>
      </c>
      <c r="AT356" s="521">
        <f t="shared" si="78"/>
        <v>1</v>
      </c>
      <c r="AU356" s="521" t="str">
        <f t="shared" si="79"/>
        <v>Value is not in date format</v>
      </c>
      <c r="AV356" s="521" t="str">
        <f t="shared" si="80"/>
        <v>.</v>
      </c>
    </row>
    <row r="357" spans="1:48" ht="15" customHeight="1">
      <c r="A357" s="18" t="s">
        <v>1156</v>
      </c>
      <c r="B357" s="18" t="s">
        <v>1136</v>
      </c>
      <c r="C357" s="511" t="s">
        <v>1163</v>
      </c>
      <c r="D357" s="18" t="s">
        <v>252</v>
      </c>
      <c r="E357" s="18" t="s">
        <v>1157</v>
      </c>
      <c r="F357" s="816" t="s">
        <v>1158</v>
      </c>
      <c r="G357" s="39" t="s">
        <v>332</v>
      </c>
      <c r="H357" s="523">
        <v>1540932933</v>
      </c>
      <c r="I357" s="524" t="s">
        <v>1178</v>
      </c>
      <c r="J357" s="276" t="str">
        <f>VLOOKUP($I357,'Price List, Weapons &amp; Items'!A:B,2,0)</f>
        <v>Military equipment</v>
      </c>
      <c r="K357" s="276" t="str">
        <f>IF(I357=".",I357,VLOOKUP($I357,'Price List, Weapons &amp; Items'!A:C,3,0))</f>
        <v>.</v>
      </c>
      <c r="L357" s="514">
        <f>VLOOKUP(I357,'Price List, Weapons &amp; Items'!A:D,4,0)</f>
        <v>0</v>
      </c>
      <c r="M357" s="515">
        <v>125</v>
      </c>
      <c r="N357" s="515">
        <v>125</v>
      </c>
      <c r="O357" s="516">
        <f>VLOOKUP($I357,'Price List, Weapons &amp; Items'!A:F,6,0)</f>
        <v>45</v>
      </c>
      <c r="P357" s="513">
        <f t="shared" si="84"/>
        <v>5625</v>
      </c>
      <c r="Q357" s="513">
        <f t="shared" si="85"/>
        <v>5625</v>
      </c>
      <c r="R357" s="513" t="str">
        <f t="shared" si="73"/>
        <v/>
      </c>
      <c r="S357" s="513" t="str">
        <f>IF(AND(AD357=1,R357&lt;&gt;".")=TRUE,R357/VLOOKUP(G357,'Exchange rates'!B:C,2,0),IF(R357=".",".",""))</f>
        <v/>
      </c>
      <c r="T357" s="513" t="str">
        <f>IF(AD357=1,IF(AF357="Value is not given at all",".",IF(AF357="Value is given by the source",S357,IF(AF357="Value is calculated with prices",(IF(SUMIFS(Q:Q,A:A,A357)&gt;0,SUMIFS(Q:Q,A:A,A357),"."))/VLOOKUP("USD",'Exchange rates'!B:C,2,0),"Error with coding"))),"")</f>
        <v/>
      </c>
      <c r="U357" s="39" t="s">
        <v>233</v>
      </c>
      <c r="V357" s="376" t="s">
        <v>1160</v>
      </c>
      <c r="W357" s="376" t="s">
        <v>1161</v>
      </c>
      <c r="X357" s="376" t="s">
        <v>1162</v>
      </c>
      <c r="Y357" s="376" t="s">
        <v>232</v>
      </c>
      <c r="Z357" s="39">
        <v>0</v>
      </c>
      <c r="AA357" s="518">
        <v>0</v>
      </c>
      <c r="AB357" s="395" t="s">
        <v>1161</v>
      </c>
      <c r="AC357" s="519" t="str">
        <f>""</f>
        <v/>
      </c>
      <c r="AD357" s="522">
        <v>0</v>
      </c>
      <c r="AE357" s="522" t="s">
        <v>236</v>
      </c>
      <c r="AF357" s="522" t="s">
        <v>237</v>
      </c>
      <c r="AG357" s="522">
        <v>0</v>
      </c>
      <c r="AH357" s="522">
        <v>0</v>
      </c>
      <c r="AI357" s="522">
        <v>0</v>
      </c>
      <c r="AJ357" s="520">
        <f>VLOOKUP($I357,'Price List, Weapons &amp; Items'!A:E,5,0)</f>
        <v>0</v>
      </c>
      <c r="AK357" s="520">
        <f t="shared" si="74"/>
        <v>0</v>
      </c>
      <c r="AL357" s="520">
        <f t="shared" si="75"/>
        <v>0</v>
      </c>
      <c r="AM357" s="520">
        <f t="shared" si="76"/>
        <v>0</v>
      </c>
      <c r="AN357" s="521" t="str">
        <f>VLOOKUP($I357,'Price List, Weapons &amp; Items'!A:K,COLUMN('Price List, Weapons &amp; Items'!$I$1),0)</f>
        <v>Online marketplaces and stores</v>
      </c>
      <c r="AO357" s="521" t="str">
        <f>IF(I357=".",".",VLOOKUP($I357,'Price List, Weapons &amp; Items'!A:I,3,0))</f>
        <v>.</v>
      </c>
      <c r="AP357" s="517" t="str">
        <f t="shared" ca="1" si="83"/>
        <v/>
      </c>
      <c r="AQ357" s="521">
        <f>VLOOKUP($I357,'Price List, Weapons &amp; Items'!A:K,COLUMN('Price List, Weapons &amp; Items'!$K$1),0)</f>
        <v>1</v>
      </c>
      <c r="AS357" s="521">
        <f t="shared" si="77"/>
        <v>1</v>
      </c>
      <c r="AT357" s="521">
        <f t="shared" si="78"/>
        <v>1</v>
      </c>
      <c r="AU357" s="521" t="str">
        <f t="shared" si="79"/>
        <v>Value is not in date format</v>
      </c>
      <c r="AV357" s="521" t="str">
        <f t="shared" si="80"/>
        <v>.</v>
      </c>
    </row>
    <row r="358" spans="1:48" ht="15" customHeight="1">
      <c r="A358" s="18" t="s">
        <v>1156</v>
      </c>
      <c r="B358" s="18" t="s">
        <v>1136</v>
      </c>
      <c r="C358" s="511" t="s">
        <v>1163</v>
      </c>
      <c r="D358" s="18" t="s">
        <v>252</v>
      </c>
      <c r="E358" s="18" t="s">
        <v>1157</v>
      </c>
      <c r="F358" s="816" t="s">
        <v>1158</v>
      </c>
      <c r="G358" s="39" t="s">
        <v>332</v>
      </c>
      <c r="H358" s="523">
        <v>1540932933</v>
      </c>
      <c r="I358" s="524" t="s">
        <v>1179</v>
      </c>
      <c r="J358" s="276" t="str">
        <f>VLOOKUP($I358,'Price List, Weapons &amp; Items'!A:B,2,0)</f>
        <v>Military equipment</v>
      </c>
      <c r="K358" s="276" t="str">
        <f>IF(I358=".",I358,VLOOKUP($I358,'Price List, Weapons &amp; Items'!A:C,3,0))</f>
        <v>.</v>
      </c>
      <c r="L358" s="514">
        <f>VLOOKUP(I358,'Price List, Weapons &amp; Items'!A:D,4,0)</f>
        <v>0</v>
      </c>
      <c r="M358" s="515">
        <v>500</v>
      </c>
      <c r="N358" s="515">
        <v>53</v>
      </c>
      <c r="O358" s="516">
        <f>VLOOKUP($I358,'Price List, Weapons &amp; Items'!A:F,6,0)</f>
        <v>350000</v>
      </c>
      <c r="P358" s="513">
        <f t="shared" si="84"/>
        <v>175000000</v>
      </c>
      <c r="Q358" s="513">
        <f t="shared" si="85"/>
        <v>18550000</v>
      </c>
      <c r="R358" s="513" t="str">
        <f t="shared" si="73"/>
        <v/>
      </c>
      <c r="S358" s="513" t="str">
        <f>IF(AND(AD358=1,R358&lt;&gt;".")=TRUE,R358/VLOOKUP(G358,'Exchange rates'!B:C,2,0),IF(R358=".",".",""))</f>
        <v/>
      </c>
      <c r="T358" s="513" t="str">
        <f>IF(AD358=1,IF(AF358="Value is not given at all",".",IF(AF358="Value is given by the source",S358,IF(AF358="Value is calculated with prices",(IF(SUMIFS(Q:Q,A:A,A358)&gt;0,SUMIFS(Q:Q,A:A,A358),"."))/VLOOKUP("USD",'Exchange rates'!B:C,2,0),"Error with coding"))),"")</f>
        <v/>
      </c>
      <c r="U358" s="39" t="s">
        <v>233</v>
      </c>
      <c r="V358" s="376" t="s">
        <v>1160</v>
      </c>
      <c r="W358" s="376" t="s">
        <v>1161</v>
      </c>
      <c r="X358" s="376" t="s">
        <v>1162</v>
      </c>
      <c r="Y358" s="376" t="s">
        <v>232</v>
      </c>
      <c r="Z358" s="39">
        <v>0</v>
      </c>
      <c r="AA358" s="518">
        <v>1</v>
      </c>
      <c r="AB358" s="395" t="s">
        <v>1161</v>
      </c>
      <c r="AC358" s="519" t="str">
        <f>""</f>
        <v/>
      </c>
      <c r="AD358" s="522">
        <v>0</v>
      </c>
      <c r="AE358" s="522" t="s">
        <v>236</v>
      </c>
      <c r="AF358" s="522" t="s">
        <v>237</v>
      </c>
      <c r="AG358" s="522">
        <v>1</v>
      </c>
      <c r="AH358" s="520">
        <v>6</v>
      </c>
      <c r="AI358" s="520">
        <v>0</v>
      </c>
      <c r="AJ358" s="520">
        <f>VLOOKUP($I358,'Price List, Weapons &amp; Items'!A:E,5,0)</f>
        <v>0</v>
      </c>
      <c r="AK358" s="520">
        <f t="shared" si="74"/>
        <v>0</v>
      </c>
      <c r="AL358" s="520">
        <f t="shared" si="75"/>
        <v>0</v>
      </c>
      <c r="AM358" s="520">
        <f t="shared" si="76"/>
        <v>0</v>
      </c>
      <c r="AN358" s="521" t="str">
        <f>VLOOKUP($I358,'Price List, Weapons &amp; Items'!A:K,COLUMN('Price List, Weapons &amp; Items'!$I$1),0)</f>
        <v>Media reports (incl. social media)</v>
      </c>
      <c r="AO358" s="521" t="str">
        <f>IF(I358=".",".",VLOOKUP($I358,'Price List, Weapons &amp; Items'!A:I,3,0))</f>
        <v>.</v>
      </c>
      <c r="AP358" s="517" t="str">
        <f t="shared" ca="1" si="83"/>
        <v/>
      </c>
      <c r="AQ358" s="521">
        <f>VLOOKUP($I358,'Price List, Weapons &amp; Items'!A:K,COLUMN('Price List, Weapons &amp; Items'!$K$1),0)</f>
        <v>2</v>
      </c>
      <c r="AS358" s="521">
        <f t="shared" si="77"/>
        <v>1</v>
      </c>
      <c r="AT358" s="521">
        <f t="shared" si="78"/>
        <v>1</v>
      </c>
      <c r="AU358" s="521" t="str">
        <f t="shared" si="79"/>
        <v>Value is not in date format</v>
      </c>
      <c r="AV358" s="521" t="str">
        <f t="shared" si="80"/>
        <v>.</v>
      </c>
    </row>
    <row r="359" spans="1:48" ht="15" customHeight="1">
      <c r="A359" s="18" t="s">
        <v>1156</v>
      </c>
      <c r="B359" s="18" t="s">
        <v>1136</v>
      </c>
      <c r="C359" s="511" t="s">
        <v>1163</v>
      </c>
      <c r="D359" s="18" t="s">
        <v>252</v>
      </c>
      <c r="E359" s="18" t="s">
        <v>1157</v>
      </c>
      <c r="F359" s="816" t="s">
        <v>1158</v>
      </c>
      <c r="G359" s="39" t="s">
        <v>332</v>
      </c>
      <c r="H359" s="523">
        <v>1540932933</v>
      </c>
      <c r="I359" s="524" t="s">
        <v>1180</v>
      </c>
      <c r="J359" s="276" t="str">
        <f>VLOOKUP($I359,'Price List, Weapons &amp; Items'!A:B,2,0)</f>
        <v>Portable defence system</v>
      </c>
      <c r="K359" s="276" t="str">
        <f>IF(I359=".",I359,VLOOKUP($I359,'Price List, Weapons &amp; Items'!A:C,3,0))</f>
        <v>Light Anti-armor Weapon (LAW)</v>
      </c>
      <c r="L359" s="514">
        <f>VLOOKUP(I359,'Price List, Weapons &amp; Items'!A:D,4,0)</f>
        <v>0</v>
      </c>
      <c r="M359" s="515">
        <v>50</v>
      </c>
      <c r="N359" s="515">
        <v>50</v>
      </c>
      <c r="O359" s="516">
        <f>VLOOKUP($I359,'Price List, Weapons &amp; Items'!A:F,6,0)</f>
        <v>11108</v>
      </c>
      <c r="P359" s="513">
        <f t="shared" si="84"/>
        <v>555400</v>
      </c>
      <c r="Q359" s="513">
        <f t="shared" si="85"/>
        <v>555400</v>
      </c>
      <c r="R359" s="513" t="str">
        <f t="shared" si="73"/>
        <v/>
      </c>
      <c r="S359" s="513" t="str">
        <f>IF(AND(AD359=1,R359&lt;&gt;".")=TRUE,R359/VLOOKUP(G359,'Exchange rates'!B:C,2,0),IF(R359=".",".",""))</f>
        <v/>
      </c>
      <c r="T359" s="513" t="str">
        <f>IF(AD359=1,IF(AF359="Value is not given at all",".",IF(AF359="Value is given by the source",S359,IF(AF359="Value is calculated with prices",(IF(SUMIFS(Q:Q,A:A,A359)&gt;0,SUMIFS(Q:Q,A:A,A359),"."))/VLOOKUP("USD",'Exchange rates'!B:C,2,0),"Error with coding"))),"")</f>
        <v/>
      </c>
      <c r="U359" s="39" t="s">
        <v>233</v>
      </c>
      <c r="V359" s="376" t="s">
        <v>1160</v>
      </c>
      <c r="W359" s="376" t="s">
        <v>1161</v>
      </c>
      <c r="X359" s="376" t="s">
        <v>1162</v>
      </c>
      <c r="Y359" s="376" t="s">
        <v>232</v>
      </c>
      <c r="Z359" s="39">
        <v>0</v>
      </c>
      <c r="AA359" s="518">
        <v>0</v>
      </c>
      <c r="AB359" s="395" t="s">
        <v>1161</v>
      </c>
      <c r="AC359" s="519" t="str">
        <f>""</f>
        <v/>
      </c>
      <c r="AD359" s="522">
        <v>0</v>
      </c>
      <c r="AE359" s="522" t="s">
        <v>236</v>
      </c>
      <c r="AF359" s="522" t="s">
        <v>237</v>
      </c>
      <c r="AG359" s="522">
        <v>0</v>
      </c>
      <c r="AH359" s="522">
        <v>0</v>
      </c>
      <c r="AI359" s="522">
        <v>0</v>
      </c>
      <c r="AJ359" s="520">
        <f>VLOOKUP($I359,'Price List, Weapons &amp; Items'!A:E,5,0)</f>
        <v>0</v>
      </c>
      <c r="AK359" s="520">
        <f t="shared" si="74"/>
        <v>0</v>
      </c>
      <c r="AL359" s="520">
        <f t="shared" si="75"/>
        <v>0</v>
      </c>
      <c r="AM359" s="520">
        <f t="shared" si="76"/>
        <v>0</v>
      </c>
      <c r="AN359" s="521" t="str">
        <f>VLOOKUP($I359,'Price List, Weapons &amp; Items'!A:K,COLUMN('Price List, Weapons &amp; Items'!$I$1),0)</f>
        <v>Military media (incl. websites)</v>
      </c>
      <c r="AO359" s="521" t="str">
        <f>IF(I359=".",".",VLOOKUP($I359,'Price List, Weapons &amp; Items'!A:I,3,0))</f>
        <v>Light Anti-armor Weapon (LAW)</v>
      </c>
      <c r="AP359" s="517" t="str">
        <f t="shared" ca="1" si="83"/>
        <v/>
      </c>
      <c r="AQ359" s="521">
        <f>VLOOKUP($I359,'Price List, Weapons &amp; Items'!A:K,COLUMN('Price List, Weapons &amp; Items'!$K$1),0)</f>
        <v>1</v>
      </c>
      <c r="AS359" s="521">
        <f t="shared" si="77"/>
        <v>1</v>
      </c>
      <c r="AT359" s="521">
        <f t="shared" si="78"/>
        <v>1</v>
      </c>
      <c r="AU359" s="521" t="str">
        <f t="shared" si="79"/>
        <v>Value is not in date format</v>
      </c>
      <c r="AV359" s="521" t="str">
        <f t="shared" si="80"/>
        <v>.</v>
      </c>
    </row>
    <row r="360" spans="1:48" ht="15" customHeight="1">
      <c r="A360" s="18" t="s">
        <v>1156</v>
      </c>
      <c r="B360" s="18" t="s">
        <v>1136</v>
      </c>
      <c r="C360" s="511" t="s">
        <v>1163</v>
      </c>
      <c r="D360" s="18" t="s">
        <v>252</v>
      </c>
      <c r="E360" s="18" t="s">
        <v>1157</v>
      </c>
      <c r="F360" s="816" t="s">
        <v>1158</v>
      </c>
      <c r="G360" s="39" t="s">
        <v>332</v>
      </c>
      <c r="H360" s="523">
        <v>1540932933</v>
      </c>
      <c r="I360" s="524" t="s">
        <v>1181</v>
      </c>
      <c r="J360" s="276" t="str">
        <f>VLOOKUP($I360,'Price List, Weapons &amp; Items'!A:B,2,0)</f>
        <v>Military equipment</v>
      </c>
      <c r="K360" s="276" t="str">
        <f>IF(I360=".",I360,VLOOKUP($I360,'Price List, Weapons &amp; Items'!A:C,3,0))</f>
        <v>.</v>
      </c>
      <c r="L360" s="514">
        <f>VLOOKUP(I360,'Price List, Weapons &amp; Items'!A:D,4,0)</f>
        <v>0</v>
      </c>
      <c r="M360" s="515">
        <v>5000</v>
      </c>
      <c r="N360" s="515">
        <v>5000</v>
      </c>
      <c r="O360" s="516">
        <f>VLOOKUP($I360,'Price List, Weapons &amp; Items'!A:F,6,0)</f>
        <v>34.99</v>
      </c>
      <c r="P360" s="513">
        <f t="shared" si="84"/>
        <v>174950</v>
      </c>
      <c r="Q360" s="513">
        <f t="shared" si="85"/>
        <v>174950</v>
      </c>
      <c r="R360" s="513" t="str">
        <f t="shared" si="73"/>
        <v/>
      </c>
      <c r="S360" s="513" t="str">
        <f>IF(AND(AD360=1,R360&lt;&gt;".")=TRUE,R360/VLOOKUP(G360,'Exchange rates'!B:C,2,0),IF(R360=".",".",""))</f>
        <v/>
      </c>
      <c r="T360" s="513" t="str">
        <f>IF(AD360=1,IF(AF360="Value is not given at all",".",IF(AF360="Value is given by the source",S360,IF(AF360="Value is calculated with prices",(IF(SUMIFS(Q:Q,A:A,A360)&gt;0,SUMIFS(Q:Q,A:A,A360),"."))/VLOOKUP("USD",'Exchange rates'!B:C,2,0),"Error with coding"))),"")</f>
        <v/>
      </c>
      <c r="U360" s="39" t="s">
        <v>233</v>
      </c>
      <c r="V360" s="376" t="s">
        <v>1160</v>
      </c>
      <c r="W360" s="376" t="s">
        <v>1161</v>
      </c>
      <c r="X360" s="376" t="s">
        <v>1162</v>
      </c>
      <c r="Y360" s="376" t="s">
        <v>232</v>
      </c>
      <c r="Z360" s="39">
        <v>0</v>
      </c>
      <c r="AA360" s="518">
        <v>0</v>
      </c>
      <c r="AB360" s="395" t="s">
        <v>1161</v>
      </c>
      <c r="AC360" s="519" t="str">
        <f>""</f>
        <v/>
      </c>
      <c r="AD360" s="522">
        <v>0</v>
      </c>
      <c r="AE360" s="522" t="s">
        <v>236</v>
      </c>
      <c r="AF360" s="522" t="s">
        <v>237</v>
      </c>
      <c r="AG360" s="522">
        <v>0</v>
      </c>
      <c r="AH360" s="522">
        <v>0</v>
      </c>
      <c r="AI360" s="522">
        <v>0</v>
      </c>
      <c r="AJ360" s="520">
        <f>VLOOKUP($I360,'Price List, Weapons &amp; Items'!A:E,5,0)</f>
        <v>0</v>
      </c>
      <c r="AK360" s="520">
        <f t="shared" si="74"/>
        <v>0</v>
      </c>
      <c r="AL360" s="520">
        <f t="shared" si="75"/>
        <v>0</v>
      </c>
      <c r="AM360" s="520">
        <f t="shared" si="76"/>
        <v>0</v>
      </c>
      <c r="AN360" s="521" t="str">
        <f>VLOOKUP($I360,'Price List, Weapons &amp; Items'!A:K,COLUMN('Price List, Weapons &amp; Items'!$I$1),0)</f>
        <v>Online marketplaces and stores</v>
      </c>
      <c r="AO360" s="521" t="str">
        <f>IF(I360=".",".",VLOOKUP($I360,'Price List, Weapons &amp; Items'!A:I,3,0))</f>
        <v>.</v>
      </c>
      <c r="AP360" s="517" t="str">
        <f t="shared" ca="1" si="83"/>
        <v/>
      </c>
      <c r="AQ360" s="521">
        <f>VLOOKUP($I360,'Price List, Weapons &amp; Items'!A:K,COLUMN('Price List, Weapons &amp; Items'!$K$1),0)</f>
        <v>1</v>
      </c>
      <c r="AS360" s="521">
        <f t="shared" si="77"/>
        <v>1</v>
      </c>
      <c r="AT360" s="521">
        <f t="shared" si="78"/>
        <v>1</v>
      </c>
      <c r="AU360" s="521" t="str">
        <f t="shared" si="79"/>
        <v>Value is not in date format</v>
      </c>
      <c r="AV360" s="521" t="str">
        <f t="shared" si="80"/>
        <v>.</v>
      </c>
    </row>
    <row r="361" spans="1:48" ht="15" customHeight="1">
      <c r="A361" s="18" t="s">
        <v>1156</v>
      </c>
      <c r="B361" s="18" t="s">
        <v>1136</v>
      </c>
      <c r="C361" s="511" t="s">
        <v>1163</v>
      </c>
      <c r="D361" s="18" t="s">
        <v>252</v>
      </c>
      <c r="E361" s="18" t="s">
        <v>1157</v>
      </c>
      <c r="F361" s="816" t="s">
        <v>1158</v>
      </c>
      <c r="G361" s="39" t="s">
        <v>332</v>
      </c>
      <c r="H361" s="523">
        <v>1540932933</v>
      </c>
      <c r="I361" s="524" t="s">
        <v>1182</v>
      </c>
      <c r="J361" s="276" t="str">
        <f>VLOOKUP($I361,'Price List, Weapons &amp; Items'!A:B,2,0)</f>
        <v>Military equipment</v>
      </c>
      <c r="K361" s="276" t="str">
        <f>IF(I361=".",I361,VLOOKUP($I361,'Price List, Weapons &amp; Items'!A:C,3,0))</f>
        <v>.</v>
      </c>
      <c r="L361" s="514">
        <f>VLOOKUP(I361,'Price List, Weapons &amp; Items'!A:D,4,0)</f>
        <v>0</v>
      </c>
      <c r="M361" s="515">
        <v>28000</v>
      </c>
      <c r="N361" s="515">
        <v>28000</v>
      </c>
      <c r="O361" s="516">
        <f>VLOOKUP($I361,'Price List, Weapons &amp; Items'!A:F,6,0)</f>
        <v>1400</v>
      </c>
      <c r="P361" s="513">
        <f t="shared" si="84"/>
        <v>39200000</v>
      </c>
      <c r="Q361" s="513">
        <f t="shared" si="85"/>
        <v>39200000</v>
      </c>
      <c r="R361" s="513" t="str">
        <f t="shared" si="73"/>
        <v/>
      </c>
      <c r="S361" s="513" t="str">
        <f>IF(AND(AD361=1,R361&lt;&gt;".")=TRUE,R361/VLOOKUP(G361,'Exchange rates'!B:C,2,0),IF(R361=".",".",""))</f>
        <v/>
      </c>
      <c r="T361" s="513" t="str">
        <f>IF(AD361=1,IF(AF361="Value is not given at all",".",IF(AF361="Value is given by the source",S361,IF(AF361="Value is calculated with prices",(IF(SUMIFS(Q:Q,A:A,A361)&gt;0,SUMIFS(Q:Q,A:A,A361),"."))/VLOOKUP("USD",'Exchange rates'!B:C,2,0),"Error with coding"))),"")</f>
        <v/>
      </c>
      <c r="U361" s="39" t="s">
        <v>233</v>
      </c>
      <c r="V361" s="376" t="s">
        <v>1160</v>
      </c>
      <c r="W361" s="376" t="s">
        <v>1161</v>
      </c>
      <c r="X361" s="376" t="s">
        <v>1162</v>
      </c>
      <c r="Y361" s="376" t="s">
        <v>232</v>
      </c>
      <c r="Z361" s="39">
        <v>0</v>
      </c>
      <c r="AA361" s="518">
        <v>0</v>
      </c>
      <c r="AB361" s="395" t="s">
        <v>1161</v>
      </c>
      <c r="AC361" s="519" t="str">
        <f>""</f>
        <v/>
      </c>
      <c r="AD361" s="522">
        <v>0</v>
      </c>
      <c r="AE361" s="522" t="s">
        <v>236</v>
      </c>
      <c r="AF361" s="522" t="s">
        <v>237</v>
      </c>
      <c r="AG361" s="522">
        <v>0</v>
      </c>
      <c r="AH361" s="522">
        <v>0</v>
      </c>
      <c r="AI361" s="522">
        <v>0</v>
      </c>
      <c r="AJ361" s="520">
        <f>VLOOKUP($I361,'Price List, Weapons &amp; Items'!A:E,5,0)</f>
        <v>0</v>
      </c>
      <c r="AK361" s="520">
        <f t="shared" si="74"/>
        <v>0</v>
      </c>
      <c r="AL361" s="520">
        <f t="shared" si="75"/>
        <v>0</v>
      </c>
      <c r="AM361" s="520">
        <f t="shared" si="76"/>
        <v>0</v>
      </c>
      <c r="AN361" s="521" t="str">
        <f>VLOOKUP($I361,'Price List, Weapons &amp; Items'!A:K,COLUMN('Price List, Weapons &amp; Items'!$I$1),0)</f>
        <v>Military media (incl. websites)</v>
      </c>
      <c r="AO361" s="521" t="str">
        <f>IF(I361=".",".",VLOOKUP($I361,'Price List, Weapons &amp; Items'!A:I,3,0))</f>
        <v>.</v>
      </c>
      <c r="AP361" s="517" t="str">
        <f t="shared" ca="1" si="83"/>
        <v/>
      </c>
      <c r="AQ361" s="521">
        <f>VLOOKUP($I361,'Price List, Weapons &amp; Items'!A:K,COLUMN('Price List, Weapons &amp; Items'!$K$1),0)</f>
        <v>2</v>
      </c>
      <c r="AS361" s="521">
        <f t="shared" si="77"/>
        <v>1</v>
      </c>
      <c r="AT361" s="521">
        <f t="shared" si="78"/>
        <v>1</v>
      </c>
      <c r="AU361" s="521" t="str">
        <f t="shared" si="79"/>
        <v>Value is not in date format</v>
      </c>
      <c r="AV361" s="521" t="str">
        <f t="shared" si="80"/>
        <v>.</v>
      </c>
    </row>
    <row r="362" spans="1:48" ht="15" customHeight="1">
      <c r="A362" s="18" t="s">
        <v>1156</v>
      </c>
      <c r="B362" s="18" t="s">
        <v>1136</v>
      </c>
      <c r="C362" s="511" t="s">
        <v>1163</v>
      </c>
      <c r="D362" s="18" t="s">
        <v>252</v>
      </c>
      <c r="E362" s="18" t="s">
        <v>1157</v>
      </c>
      <c r="F362" s="816" t="s">
        <v>1158</v>
      </c>
      <c r="G362" s="39" t="s">
        <v>332</v>
      </c>
      <c r="H362" s="523">
        <v>1540932933</v>
      </c>
      <c r="I362" s="524" t="s">
        <v>1183</v>
      </c>
      <c r="J362" s="276" t="str">
        <f>VLOOKUP($I362,'Price List, Weapons &amp; Items'!A:B,2,0)</f>
        <v>Military equipment</v>
      </c>
      <c r="K362" s="276" t="str">
        <f>IF(I362=".",I362,VLOOKUP($I362,'Price List, Weapons &amp; Items'!A:C,3,0))</f>
        <v>Jammers or disruptive systems</v>
      </c>
      <c r="L362" s="514">
        <f>VLOOKUP(I362,'Price List, Weapons &amp; Items'!A:D,4,0)</f>
        <v>0</v>
      </c>
      <c r="M362" s="515">
        <v>12</v>
      </c>
      <c r="N362" s="515">
        <v>12</v>
      </c>
      <c r="O362" s="516" t="str">
        <f>VLOOKUP($I362,'Price List, Weapons &amp; Items'!A:F,6,0)</f>
        <v>.</v>
      </c>
      <c r="P362" s="513" t="str">
        <f t="shared" si="84"/>
        <v>No price</v>
      </c>
      <c r="Q362" s="513" t="str">
        <f t="shared" si="85"/>
        <v>No price</v>
      </c>
      <c r="R362" s="513" t="str">
        <f t="shared" si="73"/>
        <v/>
      </c>
      <c r="S362" s="513" t="str">
        <f>IF(AND(AD362=1,R362&lt;&gt;".")=TRUE,R362/VLOOKUP(G362,'Exchange rates'!B:C,2,0),IF(R362=".",".",""))</f>
        <v/>
      </c>
      <c r="T362" s="513" t="str">
        <f>IF(AD362=1,IF(AF362="Value is not given at all",".",IF(AF362="Value is given by the source",S362,IF(AF362="Value is calculated with prices",(IF(SUMIFS(Q:Q,A:A,A362)&gt;0,SUMIFS(Q:Q,A:A,A362),"."))/VLOOKUP("USD",'Exchange rates'!B:C,2,0),"Error with coding"))),"")</f>
        <v/>
      </c>
      <c r="U362" s="39" t="s">
        <v>233</v>
      </c>
      <c r="V362" s="376" t="s">
        <v>1160</v>
      </c>
      <c r="W362" s="376" t="s">
        <v>1161</v>
      </c>
      <c r="X362" s="376" t="s">
        <v>1162</v>
      </c>
      <c r="Y362" s="376" t="s">
        <v>232</v>
      </c>
      <c r="Z362" s="39">
        <v>0</v>
      </c>
      <c r="AA362" s="518">
        <v>1</v>
      </c>
      <c r="AB362" s="395" t="s">
        <v>1184</v>
      </c>
      <c r="AC362" s="519" t="str">
        <f>""</f>
        <v/>
      </c>
      <c r="AD362" s="522">
        <v>0</v>
      </c>
      <c r="AE362" s="522" t="s">
        <v>236</v>
      </c>
      <c r="AF362" s="522" t="s">
        <v>237</v>
      </c>
      <c r="AG362" s="522">
        <v>0</v>
      </c>
      <c r="AH362" s="522">
        <v>0</v>
      </c>
      <c r="AI362" s="522">
        <v>0</v>
      </c>
      <c r="AJ362" s="520">
        <f>VLOOKUP($I362,'Price List, Weapons &amp; Items'!A:E,5,0)</f>
        <v>0</v>
      </c>
      <c r="AK362" s="520">
        <f t="shared" si="74"/>
        <v>0</v>
      </c>
      <c r="AL362" s="520">
        <f t="shared" si="75"/>
        <v>0</v>
      </c>
      <c r="AM362" s="520">
        <f t="shared" si="76"/>
        <v>0</v>
      </c>
      <c r="AN362" s="521" t="str">
        <f>VLOOKUP($I362,'Price List, Weapons &amp; Items'!A:K,COLUMN('Price List, Weapons &amp; Items'!$I$1),0)</f>
        <v>.</v>
      </c>
      <c r="AO362" s="521" t="str">
        <f>IF(I362=".",".",VLOOKUP($I362,'Price List, Weapons &amp; Items'!A:I,3,0))</f>
        <v>Jammers or disruptive systems</v>
      </c>
      <c r="AP362" s="517" t="str">
        <f t="shared" ca="1" si="83"/>
        <v/>
      </c>
      <c r="AQ362" s="521">
        <f>VLOOKUP($I362,'Price List, Weapons &amp; Items'!A:K,COLUMN('Price List, Weapons &amp; Items'!$K$1),0)</f>
        <v>0</v>
      </c>
      <c r="AS362" s="521">
        <f t="shared" si="77"/>
        <v>1</v>
      </c>
      <c r="AT362" s="521">
        <f t="shared" si="78"/>
        <v>1</v>
      </c>
      <c r="AU362" s="521" t="str">
        <f t="shared" si="79"/>
        <v>Value is not in date format</v>
      </c>
      <c r="AV362" s="521" t="str">
        <f t="shared" si="80"/>
        <v>.</v>
      </c>
    </row>
    <row r="363" spans="1:48" ht="15" customHeight="1">
      <c r="A363" s="18" t="s">
        <v>1156</v>
      </c>
      <c r="B363" s="18" t="s">
        <v>1136</v>
      </c>
      <c r="C363" s="511" t="s">
        <v>1163</v>
      </c>
      <c r="D363" s="18" t="s">
        <v>252</v>
      </c>
      <c r="E363" s="18" t="s">
        <v>1157</v>
      </c>
      <c r="F363" s="816" t="s">
        <v>1158</v>
      </c>
      <c r="G363" s="39" t="s">
        <v>332</v>
      </c>
      <c r="H363" s="523">
        <v>1540932933</v>
      </c>
      <c r="I363" s="524" t="s">
        <v>1185</v>
      </c>
      <c r="J363" s="276" t="str">
        <f>VLOOKUP($I363,'Price List, Weapons &amp; Items'!A:B,2,0)</f>
        <v>military equipment</v>
      </c>
      <c r="K363" s="276" t="str">
        <f>IF(I363=".",I363,VLOOKUP($I363,'Price List, Weapons &amp; Items'!A:C,3,0))</f>
        <v>counter-artillery radar</v>
      </c>
      <c r="L363" s="514">
        <f>VLOOKUP(I363,'Price List, Weapons &amp; Items'!A:D,4,0)</f>
        <v>0</v>
      </c>
      <c r="M363" s="515">
        <v>1</v>
      </c>
      <c r="N363" s="515">
        <v>1</v>
      </c>
      <c r="O363" s="516">
        <f>VLOOKUP($I363,'Price List, Weapons &amp; Items'!A:F,6,0)</f>
        <v>19354990.84</v>
      </c>
      <c r="P363" s="513">
        <f t="shared" si="84"/>
        <v>19354990.84</v>
      </c>
      <c r="Q363" s="513">
        <f t="shared" si="85"/>
        <v>19354990.84</v>
      </c>
      <c r="R363" s="513" t="str">
        <f t="shared" si="73"/>
        <v/>
      </c>
      <c r="S363" s="513" t="str">
        <f>IF(AND(AD363=1,R363&lt;&gt;".")=TRUE,R363/VLOOKUP(G363,'Exchange rates'!B:C,2,0),IF(R363=".",".",""))</f>
        <v/>
      </c>
      <c r="T363" s="513" t="str">
        <f>IF(AD363=1,IF(AF363="Value is not given at all",".",IF(AF363="Value is given by the source",S363,IF(AF363="Value is calculated with prices",(IF(SUMIFS(Q:Q,A:A,A363)&gt;0,SUMIFS(Q:Q,A:A,A363),"."))/VLOOKUP("USD",'Exchange rates'!B:C,2,0),"Error with coding"))),"")</f>
        <v/>
      </c>
      <c r="U363" s="39" t="s">
        <v>233</v>
      </c>
      <c r="V363" s="376" t="s">
        <v>1160</v>
      </c>
      <c r="W363" s="376" t="s">
        <v>1161</v>
      </c>
      <c r="X363" s="376" t="s">
        <v>1162</v>
      </c>
      <c r="Y363" s="376" t="s">
        <v>232</v>
      </c>
      <c r="Z363" s="39">
        <v>0</v>
      </c>
      <c r="AA363" s="518">
        <v>0</v>
      </c>
      <c r="AB363" s="395" t="s">
        <v>1161</v>
      </c>
      <c r="AC363" s="519" t="str">
        <f>""</f>
        <v/>
      </c>
      <c r="AD363" s="522">
        <v>0</v>
      </c>
      <c r="AE363" s="522" t="s">
        <v>236</v>
      </c>
      <c r="AF363" s="522" t="s">
        <v>237</v>
      </c>
      <c r="AG363" s="522">
        <v>0</v>
      </c>
      <c r="AH363" s="522">
        <v>0</v>
      </c>
      <c r="AI363" s="522">
        <v>0</v>
      </c>
      <c r="AJ363" s="520">
        <f>VLOOKUP($I363,'Price List, Weapons &amp; Items'!A:E,5,0)</f>
        <v>0</v>
      </c>
      <c r="AK363" s="520">
        <f t="shared" si="74"/>
        <v>0</v>
      </c>
      <c r="AL363" s="520">
        <f t="shared" si="75"/>
        <v>0</v>
      </c>
      <c r="AM363" s="520">
        <f t="shared" si="76"/>
        <v>0</v>
      </c>
      <c r="AN363" s="521" t="str">
        <f>VLOOKUP($I363,'Price List, Weapons &amp; Items'!A:K,COLUMN('Price List, Weapons &amp; Items'!$I$1),0)</f>
        <v>Contracts</v>
      </c>
      <c r="AO363" s="521" t="str">
        <f>IF(I363=".",".",VLOOKUP($I363,'Price List, Weapons &amp; Items'!A:I,3,0))</f>
        <v>counter-artillery radar</v>
      </c>
      <c r="AP363" s="517" t="str">
        <f t="shared" ca="1" si="83"/>
        <v/>
      </c>
      <c r="AQ363" s="521">
        <f>VLOOKUP($I363,'Price List, Weapons &amp; Items'!A:K,COLUMN('Price List, Weapons &amp; Items'!$K$1),0)</f>
        <v>2</v>
      </c>
      <c r="AS363" s="521">
        <f t="shared" si="77"/>
        <v>1</v>
      </c>
      <c r="AT363" s="521">
        <f t="shared" si="78"/>
        <v>1</v>
      </c>
      <c r="AU363" s="521" t="str">
        <f t="shared" si="79"/>
        <v>Value is not in date format</v>
      </c>
      <c r="AV363" s="521" t="str">
        <f t="shared" si="80"/>
        <v>.</v>
      </c>
    </row>
    <row r="364" spans="1:48" ht="15" customHeight="1">
      <c r="A364" s="18" t="s">
        <v>1156</v>
      </c>
      <c r="B364" s="18" t="s">
        <v>1136</v>
      </c>
      <c r="C364" s="511" t="s">
        <v>1163</v>
      </c>
      <c r="D364" s="18" t="s">
        <v>252</v>
      </c>
      <c r="E364" s="18" t="s">
        <v>1157</v>
      </c>
      <c r="F364" s="816" t="s">
        <v>1158</v>
      </c>
      <c r="G364" s="39" t="s">
        <v>332</v>
      </c>
      <c r="H364" s="523">
        <v>1540932933</v>
      </c>
      <c r="I364" s="524" t="s">
        <v>1186</v>
      </c>
      <c r="J364" s="276" t="str">
        <f>VLOOKUP($I364,'Price List, Weapons &amp; Items'!A:B,2,0)</f>
        <v>Humanitarian</v>
      </c>
      <c r="K364" s="276" t="str">
        <f>IF(I364=".",I364,VLOOKUP($I364,'Price List, Weapons &amp; Items'!A:C,3,0))</f>
        <v>.</v>
      </c>
      <c r="L364" s="514">
        <f>VLOOKUP(I364,'Price List, Weapons &amp; Items'!A:D,4,0)</f>
        <v>0</v>
      </c>
      <c r="M364" s="515" t="s">
        <v>264</v>
      </c>
      <c r="N364" s="515" t="s">
        <v>264</v>
      </c>
      <c r="O364" s="516" t="str">
        <f>VLOOKUP($I364,'Price List, Weapons &amp; Items'!A:F,6,0)</f>
        <v>.</v>
      </c>
      <c r="P364" s="513" t="str">
        <f t="shared" si="84"/>
        <v>.</v>
      </c>
      <c r="Q364" s="513" t="str">
        <f t="shared" si="85"/>
        <v>.</v>
      </c>
      <c r="R364" s="513" t="str">
        <f t="shared" si="73"/>
        <v/>
      </c>
      <c r="S364" s="513" t="str">
        <f>IF(AND(AD364=1,R364&lt;&gt;".")=TRUE,R364/VLOOKUP(G364,'Exchange rates'!B:C,2,0),IF(R364=".",".",""))</f>
        <v/>
      </c>
      <c r="T364" s="513" t="str">
        <f>IF(AD364=1,IF(AF364="Value is not given at all",".",IF(AF364="Value is given by the source",S364,IF(AF364="Value is calculated with prices",(IF(SUMIFS(Q:Q,A:A,A364)&gt;0,SUMIFS(Q:Q,A:A,A364),"."))/VLOOKUP("USD",'Exchange rates'!B:C,2,0),"Error with coding"))),"")</f>
        <v/>
      </c>
      <c r="U364" s="39" t="s">
        <v>233</v>
      </c>
      <c r="V364" s="376" t="s">
        <v>1160</v>
      </c>
      <c r="W364" s="376" t="s">
        <v>1161</v>
      </c>
      <c r="X364" s="376" t="s">
        <v>1162</v>
      </c>
      <c r="Y364" s="376" t="s">
        <v>232</v>
      </c>
      <c r="Z364" s="39">
        <v>0</v>
      </c>
      <c r="AA364" s="518">
        <v>1</v>
      </c>
      <c r="AB364" s="395" t="s">
        <v>1187</v>
      </c>
      <c r="AC364" s="519" t="str">
        <f>""</f>
        <v/>
      </c>
      <c r="AD364" s="522">
        <v>0</v>
      </c>
      <c r="AE364" s="522" t="s">
        <v>236</v>
      </c>
      <c r="AF364" s="522" t="s">
        <v>237</v>
      </c>
      <c r="AG364" s="522">
        <v>0</v>
      </c>
      <c r="AH364" s="522">
        <v>0</v>
      </c>
      <c r="AI364" s="522">
        <v>0</v>
      </c>
      <c r="AJ364" s="520">
        <f>VLOOKUP($I364,'Price List, Weapons &amp; Items'!A:E,5,0)</f>
        <v>0</v>
      </c>
      <c r="AK364" s="520">
        <f t="shared" si="74"/>
        <v>0</v>
      </c>
      <c r="AL364" s="520">
        <f t="shared" si="75"/>
        <v>0</v>
      </c>
      <c r="AM364" s="520">
        <f t="shared" si="76"/>
        <v>0</v>
      </c>
      <c r="AN364" s="521" t="str">
        <f>VLOOKUP($I364,'Price List, Weapons &amp; Items'!A:K,COLUMN('Price List, Weapons &amp; Items'!$I$1),0)</f>
        <v>.</v>
      </c>
      <c r="AO364" s="521" t="str">
        <f>IF(I364=".",".",VLOOKUP($I364,'Price List, Weapons &amp; Items'!A:I,3,0))</f>
        <v>.</v>
      </c>
      <c r="AP364" s="517" t="str">
        <f t="shared" ca="1" si="83"/>
        <v/>
      </c>
      <c r="AQ364" s="521">
        <f>VLOOKUP($I364,'Price List, Weapons &amp; Items'!A:K,COLUMN('Price List, Weapons &amp; Items'!$K$1),0)</f>
        <v>0</v>
      </c>
      <c r="AS364" s="521">
        <f t="shared" si="77"/>
        <v>1</v>
      </c>
      <c r="AT364" s="521">
        <f t="shared" si="78"/>
        <v>1</v>
      </c>
      <c r="AU364" s="521" t="str">
        <f t="shared" si="79"/>
        <v>Value is not in date format</v>
      </c>
      <c r="AV364" s="521" t="str">
        <f t="shared" si="80"/>
        <v>.</v>
      </c>
    </row>
    <row r="365" spans="1:48" ht="15" customHeight="1">
      <c r="A365" s="18" t="s">
        <v>1156</v>
      </c>
      <c r="B365" s="18" t="s">
        <v>1136</v>
      </c>
      <c r="C365" s="511" t="s">
        <v>1163</v>
      </c>
      <c r="D365" s="18" t="s">
        <v>252</v>
      </c>
      <c r="E365" s="18" t="s">
        <v>1157</v>
      </c>
      <c r="F365" s="816" t="s">
        <v>1158</v>
      </c>
      <c r="G365" s="39" t="s">
        <v>332</v>
      </c>
      <c r="H365" s="523">
        <v>1540932933</v>
      </c>
      <c r="I365" s="524" t="s">
        <v>1188</v>
      </c>
      <c r="J365" s="276" t="str">
        <f>VLOOKUP($I365,'Price List, Weapons &amp; Items'!A:B,2,0)</f>
        <v>Military equipment</v>
      </c>
      <c r="K365" s="276" t="str">
        <f>IF(I365=".",I365,VLOOKUP($I365,'Price List, Weapons &amp; Items'!A:C,3,0))</f>
        <v>.</v>
      </c>
      <c r="L365" s="514">
        <f>VLOOKUP(I365,'Price List, Weapons &amp; Items'!A:D,4,0)</f>
        <v>0</v>
      </c>
      <c r="M365" s="515" t="s">
        <v>264</v>
      </c>
      <c r="N365" s="515" t="s">
        <v>264</v>
      </c>
      <c r="O365" s="516">
        <f>VLOOKUP($I365,'Price List, Weapons &amp; Items'!A:F,6,0)</f>
        <v>99.18</v>
      </c>
      <c r="P365" s="513" t="str">
        <f t="shared" si="84"/>
        <v>.</v>
      </c>
      <c r="Q365" s="513" t="str">
        <f t="shared" si="85"/>
        <v>.</v>
      </c>
      <c r="R365" s="513" t="str">
        <f t="shared" si="73"/>
        <v/>
      </c>
      <c r="S365" s="513" t="str">
        <f>IF(AND(AD365=1,R365&lt;&gt;".")=TRUE,R365/VLOOKUP(G365,'Exchange rates'!B:C,2,0),IF(R365=".",".",""))</f>
        <v/>
      </c>
      <c r="T365" s="513" t="str">
        <f>IF(AD365=1,IF(AF365="Value is not given at all",".",IF(AF365="Value is given by the source",S365,IF(AF365="Value is calculated with prices",(IF(SUMIFS(Q:Q,A:A,A365)&gt;0,SUMIFS(Q:Q,A:A,A365),"."))/VLOOKUP("USD",'Exchange rates'!B:C,2,0),"Error with coding"))),"")</f>
        <v/>
      </c>
      <c r="U365" s="39" t="s">
        <v>233</v>
      </c>
      <c r="V365" s="376" t="s">
        <v>1160</v>
      </c>
      <c r="W365" s="376" t="s">
        <v>1161</v>
      </c>
      <c r="X365" s="376" t="s">
        <v>1162</v>
      </c>
      <c r="Y365" s="376" t="s">
        <v>232</v>
      </c>
      <c r="Z365" s="39">
        <v>0</v>
      </c>
      <c r="AA365" s="518">
        <v>0</v>
      </c>
      <c r="AB365" s="395" t="s">
        <v>1161</v>
      </c>
      <c r="AC365" s="519" t="str">
        <f>""</f>
        <v/>
      </c>
      <c r="AD365" s="522">
        <v>0</v>
      </c>
      <c r="AE365" s="522" t="s">
        <v>236</v>
      </c>
      <c r="AF365" s="522" t="s">
        <v>237</v>
      </c>
      <c r="AG365" s="522">
        <v>0</v>
      </c>
      <c r="AH365" s="522">
        <v>0</v>
      </c>
      <c r="AI365" s="522">
        <v>0</v>
      </c>
      <c r="AJ365" s="520">
        <f>VLOOKUP($I365,'Price List, Weapons &amp; Items'!A:E,5,0)</f>
        <v>0</v>
      </c>
      <c r="AK365" s="520">
        <f t="shared" si="74"/>
        <v>0</v>
      </c>
      <c r="AL365" s="520">
        <f t="shared" si="75"/>
        <v>0</v>
      </c>
      <c r="AM365" s="520">
        <f t="shared" si="76"/>
        <v>0</v>
      </c>
      <c r="AN365" s="521" t="str">
        <f>VLOOKUP($I365,'Price List, Weapons &amp; Items'!A:K,COLUMN('Price List, Weapons &amp; Items'!$I$1),0)</f>
        <v>Manufacturer price</v>
      </c>
      <c r="AO365" s="521" t="str">
        <f>IF(I365=".",".",VLOOKUP($I365,'Price List, Weapons &amp; Items'!A:I,3,0))</f>
        <v>.</v>
      </c>
      <c r="AP365" s="517" t="str">
        <f t="shared" ca="1" si="83"/>
        <v/>
      </c>
      <c r="AQ365" s="521" t="str">
        <f>VLOOKUP($I365,'Price List, Weapons &amp; Items'!A:K,COLUMN('Price List, Weapons &amp; Items'!$K$1),0)</f>
        <v>no price, 0 count</v>
      </c>
      <c r="AS365" s="521">
        <f t="shared" si="77"/>
        <v>1</v>
      </c>
      <c r="AT365" s="521">
        <f t="shared" si="78"/>
        <v>1</v>
      </c>
      <c r="AU365" s="521" t="str">
        <f t="shared" si="79"/>
        <v>Value is not in date format</v>
      </c>
      <c r="AV365" s="521" t="str">
        <f t="shared" si="80"/>
        <v>.</v>
      </c>
    </row>
    <row r="366" spans="1:48" ht="15" customHeight="1">
      <c r="A366" s="18" t="s">
        <v>1156</v>
      </c>
      <c r="B366" s="18" t="s">
        <v>1136</v>
      </c>
      <c r="C366" s="511" t="s">
        <v>1163</v>
      </c>
      <c r="D366" s="18" t="s">
        <v>252</v>
      </c>
      <c r="E366" s="18" t="s">
        <v>1157</v>
      </c>
      <c r="F366" s="816" t="s">
        <v>1158</v>
      </c>
      <c r="G366" s="39" t="s">
        <v>332</v>
      </c>
      <c r="H366" s="523">
        <v>1540932933</v>
      </c>
      <c r="I366" s="524" t="s">
        <v>1189</v>
      </c>
      <c r="J366" s="276" t="str">
        <f>VLOOKUP($I366,'Price List, Weapons &amp; Items'!A:B,2,0)</f>
        <v>Military equipment</v>
      </c>
      <c r="K366" s="276" t="str">
        <f>IF(I366=".",I366,VLOOKUP($I366,'Price List, Weapons &amp; Items'!A:C,3,0))</f>
        <v>.</v>
      </c>
      <c r="L366" s="514">
        <f>VLOOKUP(I366,'Price List, Weapons &amp; Items'!A:D,4,0)</f>
        <v>0</v>
      </c>
      <c r="M366" s="515">
        <v>450000</v>
      </c>
      <c r="N366" s="515">
        <v>450000</v>
      </c>
      <c r="O366" s="516">
        <f>VLOOKUP($I366,'Price List, Weapons &amp; Items'!A:F,6,0)</f>
        <v>8.76</v>
      </c>
      <c r="P366" s="513">
        <f t="shared" si="84"/>
        <v>3942000</v>
      </c>
      <c r="Q366" s="513">
        <f t="shared" si="85"/>
        <v>3942000</v>
      </c>
      <c r="R366" s="513" t="str">
        <f t="shared" si="73"/>
        <v/>
      </c>
      <c r="S366" s="513" t="str">
        <f>IF(AND(AD366=1,R366&lt;&gt;".")=TRUE,R366/VLOOKUP(G366,'Exchange rates'!B:C,2,0),IF(R366=".",".",""))</f>
        <v/>
      </c>
      <c r="T366" s="513" t="str">
        <f>IF(AD366=1,IF(AF366="Value is not given at all",".",IF(AF366="Value is given by the source",S366,IF(AF366="Value is calculated with prices",(IF(SUMIFS(Q:Q,A:A,A366)&gt;0,SUMIFS(Q:Q,A:A,A366),"."))/VLOOKUP("USD",'Exchange rates'!B:C,2,0),"Error with coding"))),"")</f>
        <v/>
      </c>
      <c r="U366" s="39" t="s">
        <v>233</v>
      </c>
      <c r="V366" s="376" t="s">
        <v>1160</v>
      </c>
      <c r="W366" s="376" t="s">
        <v>1161</v>
      </c>
      <c r="X366" s="376" t="s">
        <v>1162</v>
      </c>
      <c r="Y366" s="376" t="s">
        <v>232</v>
      </c>
      <c r="Z366" s="39">
        <v>0</v>
      </c>
      <c r="AA366" s="518">
        <v>1</v>
      </c>
      <c r="AB366" s="395" t="s">
        <v>1161</v>
      </c>
      <c r="AC366" s="519" t="str">
        <f>""</f>
        <v/>
      </c>
      <c r="AD366" s="522">
        <v>0</v>
      </c>
      <c r="AE366" s="522" t="s">
        <v>236</v>
      </c>
      <c r="AF366" s="522" t="s">
        <v>237</v>
      </c>
      <c r="AG366" s="522">
        <v>0</v>
      </c>
      <c r="AH366" s="522">
        <v>0</v>
      </c>
      <c r="AI366" s="522">
        <v>0</v>
      </c>
      <c r="AJ366" s="520">
        <f>VLOOKUP($I366,'Price List, Weapons &amp; Items'!A:E,5,0)</f>
        <v>0</v>
      </c>
      <c r="AK366" s="520">
        <f t="shared" si="74"/>
        <v>0</v>
      </c>
      <c r="AL366" s="520">
        <f t="shared" si="75"/>
        <v>0</v>
      </c>
      <c r="AM366" s="520">
        <f t="shared" si="76"/>
        <v>0</v>
      </c>
      <c r="AN366" s="521" t="str">
        <f>VLOOKUP($I366,'Price List, Weapons &amp; Items'!A:K,COLUMN('Price List, Weapons &amp; Items'!$I$1),0)</f>
        <v>Online marketplaces and stores</v>
      </c>
      <c r="AO366" s="521" t="str">
        <f>IF(I366=".",".",VLOOKUP($I366,'Price List, Weapons &amp; Items'!A:I,3,0))</f>
        <v>.</v>
      </c>
      <c r="AP366" s="517" t="str">
        <f t="shared" ca="1" si="83"/>
        <v/>
      </c>
      <c r="AQ366" s="521">
        <f>VLOOKUP($I366,'Price List, Weapons &amp; Items'!A:K,COLUMN('Price List, Weapons &amp; Items'!$K$1),0)</f>
        <v>2</v>
      </c>
      <c r="AS366" s="521">
        <f t="shared" si="77"/>
        <v>1</v>
      </c>
      <c r="AT366" s="521">
        <f t="shared" si="78"/>
        <v>1</v>
      </c>
      <c r="AU366" s="521" t="str">
        <f t="shared" si="79"/>
        <v>Value is not in date format</v>
      </c>
      <c r="AV366" s="521" t="str">
        <f t="shared" si="80"/>
        <v>.</v>
      </c>
    </row>
    <row r="367" spans="1:48" ht="15" customHeight="1">
      <c r="A367" s="18" t="s">
        <v>1156</v>
      </c>
      <c r="B367" s="18" t="s">
        <v>1136</v>
      </c>
      <c r="C367" s="511" t="s">
        <v>1163</v>
      </c>
      <c r="D367" s="18" t="s">
        <v>252</v>
      </c>
      <c r="E367" s="18" t="s">
        <v>1157</v>
      </c>
      <c r="F367" s="816" t="s">
        <v>1158</v>
      </c>
      <c r="G367" s="39" t="s">
        <v>332</v>
      </c>
      <c r="H367" s="523">
        <v>1540932933</v>
      </c>
      <c r="I367" s="524" t="s">
        <v>1190</v>
      </c>
      <c r="J367" s="276" t="str">
        <f>VLOOKUP($I367,'Price List, Weapons &amp; Items'!A:B,2,0)</f>
        <v>Military equipment</v>
      </c>
      <c r="K367" s="276" t="str">
        <f>IF(I367=".",I367,VLOOKUP($I367,'Price List, Weapons &amp; Items'!A:C,3,0))</f>
        <v>fuel</v>
      </c>
      <c r="L367" s="514">
        <f>VLOOKUP(I367,'Price List, Weapons &amp; Items'!A:D,4,0)</f>
        <v>0</v>
      </c>
      <c r="M367" s="515" t="s">
        <v>264</v>
      </c>
      <c r="N367" s="515" t="s">
        <v>264</v>
      </c>
      <c r="O367" s="516" t="str">
        <f>VLOOKUP($I367,'Price List, Weapons &amp; Items'!A:F,6,0)</f>
        <v>.</v>
      </c>
      <c r="P367" s="513" t="str">
        <f t="shared" si="84"/>
        <v>.</v>
      </c>
      <c r="Q367" s="513" t="str">
        <f t="shared" si="85"/>
        <v>.</v>
      </c>
      <c r="R367" s="513" t="str">
        <f t="shared" si="73"/>
        <v/>
      </c>
      <c r="S367" s="513" t="str">
        <f>IF(AND(AD367=1,R367&lt;&gt;".")=TRUE,R367/VLOOKUP(G367,'Exchange rates'!B:C,2,0),IF(R367=".",".",""))</f>
        <v/>
      </c>
      <c r="T367" s="513" t="str">
        <f>IF(AD367=1,IF(AF367="Value is not given at all",".",IF(AF367="Value is given by the source",S367,IF(AF367="Value is calculated with prices",(IF(SUMIFS(Q:Q,A:A,A367)&gt;0,SUMIFS(Q:Q,A:A,A367),"."))/VLOOKUP("USD",'Exchange rates'!B:C,2,0),"Error with coding"))),"")</f>
        <v/>
      </c>
      <c r="U367" s="39" t="s">
        <v>233</v>
      </c>
      <c r="V367" s="376" t="s">
        <v>1160</v>
      </c>
      <c r="W367" s="376" t="s">
        <v>1161</v>
      </c>
      <c r="X367" s="376" t="s">
        <v>1162</v>
      </c>
      <c r="Y367" s="376" t="s">
        <v>232</v>
      </c>
      <c r="Z367" s="39">
        <v>0</v>
      </c>
      <c r="AA367" s="518">
        <v>1</v>
      </c>
      <c r="AB367" s="395" t="s">
        <v>1161</v>
      </c>
      <c r="AC367" s="519" t="str">
        <f>""</f>
        <v/>
      </c>
      <c r="AD367" s="522">
        <v>0</v>
      </c>
      <c r="AE367" s="522" t="s">
        <v>236</v>
      </c>
      <c r="AF367" s="522" t="s">
        <v>237</v>
      </c>
      <c r="AG367" s="522">
        <v>0</v>
      </c>
      <c r="AH367" s="522">
        <v>0</v>
      </c>
      <c r="AI367" s="522">
        <v>0</v>
      </c>
      <c r="AJ367" s="520">
        <f>VLOOKUP($I367,'Price List, Weapons &amp; Items'!A:E,5,0)</f>
        <v>0</v>
      </c>
      <c r="AK367" s="520">
        <f t="shared" si="74"/>
        <v>0</v>
      </c>
      <c r="AL367" s="520">
        <f t="shared" si="75"/>
        <v>0</v>
      </c>
      <c r="AM367" s="520">
        <f t="shared" si="76"/>
        <v>0</v>
      </c>
      <c r="AN367" s="521" t="str">
        <f>VLOOKUP($I367,'Price List, Weapons &amp; Items'!A:K,COLUMN('Price List, Weapons &amp; Items'!$I$1),0)</f>
        <v>.</v>
      </c>
      <c r="AO367" s="521" t="str">
        <f>IF(I367=".",".",VLOOKUP($I367,'Price List, Weapons &amp; Items'!A:I,3,0))</f>
        <v>fuel</v>
      </c>
      <c r="AP367" s="517" t="str">
        <f t="shared" ca="1" si="83"/>
        <v/>
      </c>
      <c r="AQ367" s="521" t="str">
        <f>VLOOKUP($I367,'Price List, Weapons &amp; Items'!A:K,COLUMN('Price List, Weapons &amp; Items'!$K$1),0)</f>
        <v>no price, 0 count</v>
      </c>
      <c r="AS367" s="521">
        <f t="shared" si="77"/>
        <v>1</v>
      </c>
      <c r="AT367" s="521">
        <f t="shared" si="78"/>
        <v>1</v>
      </c>
      <c r="AU367" s="521" t="str">
        <f t="shared" si="79"/>
        <v>Value is not in date format</v>
      </c>
      <c r="AV367" s="521" t="str">
        <f t="shared" si="80"/>
        <v>.</v>
      </c>
    </row>
    <row r="368" spans="1:48" ht="15" customHeight="1">
      <c r="A368" s="18" t="s">
        <v>1156</v>
      </c>
      <c r="B368" s="18" t="s">
        <v>1136</v>
      </c>
      <c r="C368" s="511" t="s">
        <v>1163</v>
      </c>
      <c r="D368" s="18" t="s">
        <v>252</v>
      </c>
      <c r="E368" s="18" t="s">
        <v>1157</v>
      </c>
      <c r="F368" s="816" t="s">
        <v>1158</v>
      </c>
      <c r="G368" s="39" t="s">
        <v>332</v>
      </c>
      <c r="H368" s="523">
        <v>1540932933</v>
      </c>
      <c r="I368" s="524" t="s">
        <v>1191</v>
      </c>
      <c r="J368" s="276" t="str">
        <f>VLOOKUP($I368,'Price List, Weapons &amp; Items'!A:B,2,0)</f>
        <v>military equipment</v>
      </c>
      <c r="K368" s="276">
        <f>IF(I368=".",I368,VLOOKUP($I368,'Price List, Weapons &amp; Items'!A:C,3,0))</f>
        <v>0</v>
      </c>
      <c r="L368" s="514">
        <f>VLOOKUP(I368,'Price List, Weapons &amp; Items'!A:D,4,0)</f>
        <v>0</v>
      </c>
      <c r="M368" s="515">
        <v>12</v>
      </c>
      <c r="N368" s="515">
        <v>12</v>
      </c>
      <c r="O368" s="516">
        <f>VLOOKUP($I368,'Price List, Weapons &amp; Items'!A:F,6,0)</f>
        <v>12000</v>
      </c>
      <c r="P368" s="513">
        <f t="shared" si="84"/>
        <v>144000</v>
      </c>
      <c r="Q368" s="513">
        <f t="shared" si="85"/>
        <v>144000</v>
      </c>
      <c r="R368" s="513" t="str">
        <f t="shared" si="73"/>
        <v/>
      </c>
      <c r="S368" s="513" t="str">
        <f>IF(AND(AD368=1,R368&lt;&gt;".")=TRUE,R368/VLOOKUP(G368,'Exchange rates'!B:C,2,0),IF(R368=".",".",""))</f>
        <v/>
      </c>
      <c r="T368" s="513" t="str">
        <f>IF(AD368=1,IF(AF368="Value is not given at all",".",IF(AF368="Value is given by the source",S368,IF(AF368="Value is calculated with prices",(IF(SUMIFS(Q:Q,A:A,A368)&gt;0,SUMIFS(Q:Q,A:A,A368),"."))/VLOOKUP("USD",'Exchange rates'!B:C,2,0),"Error with coding"))),"")</f>
        <v/>
      </c>
      <c r="U368" s="39" t="s">
        <v>233</v>
      </c>
      <c r="V368" s="376" t="s">
        <v>1160</v>
      </c>
      <c r="W368" s="376" t="s">
        <v>1161</v>
      </c>
      <c r="X368" s="376" t="s">
        <v>1162</v>
      </c>
      <c r="Y368" s="376" t="s">
        <v>232</v>
      </c>
      <c r="Z368" s="39">
        <v>0</v>
      </c>
      <c r="AA368" s="518">
        <v>0</v>
      </c>
      <c r="AB368" s="395" t="s">
        <v>1192</v>
      </c>
      <c r="AC368" s="519" t="str">
        <f>""</f>
        <v/>
      </c>
      <c r="AD368" s="522">
        <v>0</v>
      </c>
      <c r="AE368" s="522" t="s">
        <v>236</v>
      </c>
      <c r="AF368" s="522" t="s">
        <v>237</v>
      </c>
      <c r="AG368" s="522">
        <v>0</v>
      </c>
      <c r="AH368" s="522">
        <v>0</v>
      </c>
      <c r="AI368" s="522">
        <v>0</v>
      </c>
      <c r="AJ368" s="520">
        <f>VLOOKUP($I368,'Price List, Weapons &amp; Items'!A:E,5,0)</f>
        <v>0</v>
      </c>
      <c r="AK368" s="520">
        <f t="shared" si="74"/>
        <v>0</v>
      </c>
      <c r="AL368" s="520">
        <f t="shared" si="75"/>
        <v>0</v>
      </c>
      <c r="AM368" s="520">
        <f t="shared" si="76"/>
        <v>0</v>
      </c>
      <c r="AN368" s="521" t="str">
        <f>VLOOKUP($I368,'Price List, Weapons &amp; Items'!A:K,COLUMN('Price List, Weapons &amp; Items'!$I$1),0)</f>
        <v>Media reports (incl. social media)</v>
      </c>
      <c r="AO368" s="521">
        <f>IF(I368=".",".",VLOOKUP($I368,'Price List, Weapons &amp; Items'!A:I,3,0))</f>
        <v>0</v>
      </c>
      <c r="AP368" s="517" t="str">
        <f t="shared" ca="1" si="83"/>
        <v/>
      </c>
      <c r="AQ368" s="521">
        <f>VLOOKUP($I368,'Price List, Weapons &amp; Items'!A:K,COLUMN('Price List, Weapons &amp; Items'!$K$1),0)</f>
        <v>1</v>
      </c>
      <c r="AS368" s="521">
        <f t="shared" si="77"/>
        <v>1</v>
      </c>
      <c r="AT368" s="521">
        <f t="shared" si="78"/>
        <v>1</v>
      </c>
      <c r="AU368" s="521" t="str">
        <f t="shared" si="79"/>
        <v>Value is not in date format</v>
      </c>
      <c r="AV368" s="521" t="str">
        <f t="shared" si="80"/>
        <v>.</v>
      </c>
    </row>
    <row r="369" spans="1:48" ht="15" customHeight="1">
      <c r="A369" s="18" t="s">
        <v>1156</v>
      </c>
      <c r="B369" s="18" t="s">
        <v>1136</v>
      </c>
      <c r="C369" s="511" t="s">
        <v>1163</v>
      </c>
      <c r="D369" s="18" t="s">
        <v>252</v>
      </c>
      <c r="E369" s="18" t="s">
        <v>1157</v>
      </c>
      <c r="F369" s="816" t="s">
        <v>1158</v>
      </c>
      <c r="G369" s="39" t="s">
        <v>332</v>
      </c>
      <c r="H369" s="523">
        <v>1540932933</v>
      </c>
      <c r="I369" s="524" t="s">
        <v>1193</v>
      </c>
      <c r="J369" s="276" t="str">
        <f>VLOOKUP($I369,'Price List, Weapons &amp; Items'!A:B,2,0)</f>
        <v>Ammunition for light infantry</v>
      </c>
      <c r="K369" s="276" t="str">
        <f>IF(I369=".",I369,VLOOKUP($I369,'Price List, Weapons &amp; Items'!A:C,3,0))</f>
        <v>Explosive</v>
      </c>
      <c r="L369" s="514">
        <f>VLOOKUP(I369,'Price List, Weapons &amp; Items'!A:D,4,0)</f>
        <v>0</v>
      </c>
      <c r="M369" s="515">
        <v>5300</v>
      </c>
      <c r="N369" s="515">
        <v>5300</v>
      </c>
      <c r="O369" s="516">
        <f>VLOOKUP($I369,'Price List, Weapons &amp; Items'!A:F,6,0)</f>
        <v>15</v>
      </c>
      <c r="P369" s="513">
        <f t="shared" si="84"/>
        <v>79500</v>
      </c>
      <c r="Q369" s="513">
        <f t="shared" si="85"/>
        <v>79500</v>
      </c>
      <c r="R369" s="513" t="str">
        <f t="shared" si="73"/>
        <v/>
      </c>
      <c r="S369" s="513" t="str">
        <f>IF(AND(AD369=1,R369&lt;&gt;".")=TRUE,R369/VLOOKUP(G369,'Exchange rates'!B:C,2,0),IF(R369=".",".",""))</f>
        <v/>
      </c>
      <c r="T369" s="513" t="str">
        <f>IF(AD369=1,IF(AF369="Value is not given at all",".",IF(AF369="Value is given by the source",S369,IF(AF369="Value is calculated with prices",(IF(SUMIFS(Q:Q,A:A,A369)&gt;0,SUMIFS(Q:Q,A:A,A369),"."))/VLOOKUP("USD",'Exchange rates'!B:C,2,0),"Error with coding"))),"")</f>
        <v/>
      </c>
      <c r="U369" s="39" t="s">
        <v>233</v>
      </c>
      <c r="V369" s="376" t="s">
        <v>1160</v>
      </c>
      <c r="W369" s="376" t="s">
        <v>1161</v>
      </c>
      <c r="X369" s="376" t="s">
        <v>1162</v>
      </c>
      <c r="Y369" s="376" t="s">
        <v>232</v>
      </c>
      <c r="Z369" s="39">
        <v>0</v>
      </c>
      <c r="AA369" s="518">
        <v>0</v>
      </c>
      <c r="AB369" s="395" t="s">
        <v>1161</v>
      </c>
      <c r="AC369" s="519" t="str">
        <f>""</f>
        <v/>
      </c>
      <c r="AD369" s="522">
        <v>0</v>
      </c>
      <c r="AE369" s="522" t="s">
        <v>236</v>
      </c>
      <c r="AF369" s="522" t="s">
        <v>237</v>
      </c>
      <c r="AG369" s="522">
        <v>0</v>
      </c>
      <c r="AH369" s="522">
        <v>0</v>
      </c>
      <c r="AI369" s="522">
        <v>0</v>
      </c>
      <c r="AJ369" s="520">
        <f>VLOOKUP($I369,'Price List, Weapons &amp; Items'!A:E,5,0)</f>
        <v>0</v>
      </c>
      <c r="AK369" s="520">
        <f t="shared" si="74"/>
        <v>0</v>
      </c>
      <c r="AL369" s="520">
        <f t="shared" si="75"/>
        <v>0</v>
      </c>
      <c r="AM369" s="520">
        <f t="shared" si="76"/>
        <v>0</v>
      </c>
      <c r="AN369" s="521" t="str">
        <f>VLOOKUP($I369,'Price List, Weapons &amp; Items'!A:K,COLUMN('Price List, Weapons &amp; Items'!$I$1),0)</f>
        <v>Military media (incl. websites)</v>
      </c>
      <c r="AO369" s="521" t="str">
        <f>IF(I369=".",".",VLOOKUP($I369,'Price List, Weapons &amp; Items'!A:I,3,0))</f>
        <v>Explosive</v>
      </c>
      <c r="AP369" s="517" t="str">
        <f t="shared" ca="1" si="83"/>
        <v/>
      </c>
      <c r="AQ369" s="521">
        <f>VLOOKUP($I369,'Price List, Weapons &amp; Items'!A:K,COLUMN('Price List, Weapons &amp; Items'!$K$1),0)</f>
        <v>1</v>
      </c>
      <c r="AS369" s="521">
        <f t="shared" si="77"/>
        <v>1</v>
      </c>
      <c r="AT369" s="521">
        <f t="shared" si="78"/>
        <v>1</v>
      </c>
      <c r="AU369" s="521" t="str">
        <f t="shared" si="79"/>
        <v>Value is not in date format</v>
      </c>
      <c r="AV369" s="521" t="str">
        <f t="shared" si="80"/>
        <v>.</v>
      </c>
    </row>
    <row r="370" spans="1:48" ht="15" customHeight="1">
      <c r="A370" s="18" t="s">
        <v>1156</v>
      </c>
      <c r="B370" s="18" t="s">
        <v>1136</v>
      </c>
      <c r="C370" s="511" t="s">
        <v>1163</v>
      </c>
      <c r="D370" s="18" t="s">
        <v>252</v>
      </c>
      <c r="E370" s="18" t="s">
        <v>1157</v>
      </c>
      <c r="F370" s="816" t="s">
        <v>1158</v>
      </c>
      <c r="G370" s="39" t="s">
        <v>332</v>
      </c>
      <c r="H370" s="523">
        <v>1540932933</v>
      </c>
      <c r="I370" s="524" t="s">
        <v>1194</v>
      </c>
      <c r="J370" s="276" t="str">
        <f>VLOOKUP($I370,'Price List, Weapons &amp; Items'!A:B,2,0)</f>
        <v>Military equipment</v>
      </c>
      <c r="K370" s="276" t="str">
        <f>IF(I370=".",I370,VLOOKUP($I370,'Price List, Weapons &amp; Items'!A:C,3,0))</f>
        <v>.</v>
      </c>
      <c r="L370" s="514">
        <f>VLOOKUP(I370,'Price List, Weapons &amp; Items'!A:D,4,0)</f>
        <v>0</v>
      </c>
      <c r="M370" s="515">
        <v>165</v>
      </c>
      <c r="N370" s="515">
        <v>165</v>
      </c>
      <c r="O370" s="516">
        <f>VLOOKUP($I370,'Price List, Weapons &amp; Items'!A:F,6,0)</f>
        <v>11.99</v>
      </c>
      <c r="P370" s="513">
        <f t="shared" si="84"/>
        <v>1978.3500000000001</v>
      </c>
      <c r="Q370" s="513">
        <f t="shared" si="85"/>
        <v>1978.3500000000001</v>
      </c>
      <c r="R370" s="513" t="str">
        <f t="shared" si="73"/>
        <v/>
      </c>
      <c r="S370" s="513" t="str">
        <f>IF(AND(AD370=1,R370&lt;&gt;".")=TRUE,R370/VLOOKUP(G370,'Exchange rates'!B:C,2,0),IF(R370=".",".",""))</f>
        <v/>
      </c>
      <c r="T370" s="513" t="str">
        <f>IF(AD370=1,IF(AF370="Value is not given at all",".",IF(AF370="Value is given by the source",S370,IF(AF370="Value is calculated with prices",(IF(SUMIFS(Q:Q,A:A,A370)&gt;0,SUMIFS(Q:Q,A:A,A370),"."))/VLOOKUP("USD",'Exchange rates'!B:C,2,0),"Error with coding"))),"")</f>
        <v/>
      </c>
      <c r="U370" s="39" t="s">
        <v>233</v>
      </c>
      <c r="V370" s="376" t="s">
        <v>1160</v>
      </c>
      <c r="W370" s="376" t="s">
        <v>1161</v>
      </c>
      <c r="X370" s="376" t="s">
        <v>1162</v>
      </c>
      <c r="Y370" s="376" t="s">
        <v>232</v>
      </c>
      <c r="Z370" s="39">
        <v>0</v>
      </c>
      <c r="AA370" s="518">
        <v>0</v>
      </c>
      <c r="AB370" s="395" t="s">
        <v>1161</v>
      </c>
      <c r="AC370" s="519" t="str">
        <f>""</f>
        <v/>
      </c>
      <c r="AD370" s="522">
        <v>0</v>
      </c>
      <c r="AE370" s="522" t="s">
        <v>236</v>
      </c>
      <c r="AF370" s="522" t="s">
        <v>237</v>
      </c>
      <c r="AG370" s="522">
        <v>0</v>
      </c>
      <c r="AH370" s="522">
        <v>0</v>
      </c>
      <c r="AI370" s="522">
        <v>0</v>
      </c>
      <c r="AJ370" s="520">
        <f>VLOOKUP($I370,'Price List, Weapons &amp; Items'!A:E,5,0)</f>
        <v>0</v>
      </c>
      <c r="AK370" s="520">
        <f t="shared" si="74"/>
        <v>0</v>
      </c>
      <c r="AL370" s="520">
        <f t="shared" si="75"/>
        <v>0</v>
      </c>
      <c r="AM370" s="520">
        <f t="shared" si="76"/>
        <v>0</v>
      </c>
      <c r="AN370" s="521" t="str">
        <f>VLOOKUP($I370,'Price List, Weapons &amp; Items'!A:K,COLUMN('Price List, Weapons &amp; Items'!$I$1),0)</f>
        <v>Online marketplaces and stores</v>
      </c>
      <c r="AO370" s="521" t="str">
        <f>IF(I370=".",".",VLOOKUP($I370,'Price List, Weapons &amp; Items'!A:I,3,0))</f>
        <v>.</v>
      </c>
      <c r="AP370" s="517" t="str">
        <f t="shared" ca="1" si="83"/>
        <v/>
      </c>
      <c r="AQ370" s="521">
        <f>VLOOKUP($I370,'Price List, Weapons &amp; Items'!A:K,COLUMN('Price List, Weapons &amp; Items'!$K$1),0)</f>
        <v>1</v>
      </c>
      <c r="AS370" s="521">
        <f t="shared" si="77"/>
        <v>1</v>
      </c>
      <c r="AT370" s="521">
        <f t="shared" si="78"/>
        <v>1</v>
      </c>
      <c r="AU370" s="521" t="str">
        <f t="shared" si="79"/>
        <v>Value is not in date format</v>
      </c>
      <c r="AV370" s="521" t="str">
        <f t="shared" si="80"/>
        <v>.</v>
      </c>
    </row>
    <row r="371" spans="1:48" ht="15" customHeight="1">
      <c r="A371" s="18" t="s">
        <v>1156</v>
      </c>
      <c r="B371" s="18" t="s">
        <v>1136</v>
      </c>
      <c r="C371" s="511" t="s">
        <v>1163</v>
      </c>
      <c r="D371" s="18" t="s">
        <v>252</v>
      </c>
      <c r="E371" s="18" t="s">
        <v>1157</v>
      </c>
      <c r="F371" s="816" t="s">
        <v>1158</v>
      </c>
      <c r="G371" s="39" t="s">
        <v>332</v>
      </c>
      <c r="H371" s="523">
        <v>1540932933</v>
      </c>
      <c r="I371" s="524" t="s">
        <v>1195</v>
      </c>
      <c r="J371" s="276" t="str">
        <f>VLOOKUP($I371,'Price List, Weapons &amp; Items'!A:B,2,0)</f>
        <v>Military equipment</v>
      </c>
      <c r="K371" s="276" t="str">
        <f>IF(I371=".",I371,VLOOKUP($I371,'Price List, Weapons &amp; Items'!A:C,3,0))</f>
        <v>.</v>
      </c>
      <c r="L371" s="514">
        <f>VLOOKUP(I371,'Price List, Weapons &amp; Items'!A:D,4,0)</f>
        <v>0</v>
      </c>
      <c r="M371" s="515">
        <v>2</v>
      </c>
      <c r="N371" s="515">
        <v>1</v>
      </c>
      <c r="O371" s="516">
        <f>VLOOKUP($I371,'Price List, Weapons &amp; Items'!A:F,6,0)</f>
        <v>6060550</v>
      </c>
      <c r="P371" s="513">
        <f t="shared" si="84"/>
        <v>12121100</v>
      </c>
      <c r="Q371" s="513">
        <f t="shared" si="85"/>
        <v>6060550</v>
      </c>
      <c r="R371" s="513" t="str">
        <f t="shared" si="73"/>
        <v/>
      </c>
      <c r="S371" s="513" t="str">
        <f>IF(AND(AD371=1,R371&lt;&gt;".")=TRUE,R371/VLOOKUP(G371,'Exchange rates'!B:C,2,0),IF(R371=".",".",""))</f>
        <v/>
      </c>
      <c r="T371" s="513" t="str">
        <f>IF(AD371=1,IF(AF371="Value is not given at all",".",IF(AF371="Value is given by the source",S371,IF(AF371="Value is calculated with prices",(IF(SUMIFS(Q:Q,A:A,A371)&gt;0,SUMIFS(Q:Q,A:A,A371),"."))/VLOOKUP("USD",'Exchange rates'!B:C,2,0),"Error with coding"))),"")</f>
        <v/>
      </c>
      <c r="U371" s="39" t="s">
        <v>233</v>
      </c>
      <c r="V371" s="376" t="s">
        <v>1160</v>
      </c>
      <c r="W371" s="376" t="s">
        <v>1161</v>
      </c>
      <c r="X371" s="376" t="s">
        <v>1162</v>
      </c>
      <c r="Y371" s="376" t="s">
        <v>232</v>
      </c>
      <c r="Z371" s="39">
        <v>0</v>
      </c>
      <c r="AA371" s="518">
        <v>1</v>
      </c>
      <c r="AB371" s="395" t="s">
        <v>1161</v>
      </c>
      <c r="AC371" s="519" t="str">
        <f>""</f>
        <v/>
      </c>
      <c r="AD371" s="522">
        <v>0</v>
      </c>
      <c r="AE371" s="522" t="s">
        <v>236</v>
      </c>
      <c r="AF371" s="522" t="s">
        <v>237</v>
      </c>
      <c r="AG371" s="522">
        <v>0</v>
      </c>
      <c r="AH371" s="522">
        <v>0</v>
      </c>
      <c r="AI371" s="522">
        <v>0</v>
      </c>
      <c r="AJ371" s="520">
        <f>VLOOKUP($I371,'Price List, Weapons &amp; Items'!A:E,5,0)</f>
        <v>0</v>
      </c>
      <c r="AK371" s="520">
        <f t="shared" si="74"/>
        <v>0</v>
      </c>
      <c r="AL371" s="520">
        <f t="shared" si="75"/>
        <v>0</v>
      </c>
      <c r="AM371" s="520">
        <f t="shared" si="76"/>
        <v>0</v>
      </c>
      <c r="AN371" s="521" t="str">
        <f>VLOOKUP($I371,'Price List, Weapons &amp; Items'!A:K,COLUMN('Price List, Weapons &amp; Items'!$I$1),0)</f>
        <v>Media reports (incl. social media)</v>
      </c>
      <c r="AO371" s="521" t="str">
        <f>IF(I371=".",".",VLOOKUP($I371,'Price List, Weapons &amp; Items'!A:I,3,0))</f>
        <v>.</v>
      </c>
      <c r="AP371" s="517" t="str">
        <f t="shared" ca="1" si="83"/>
        <v/>
      </c>
      <c r="AQ371" s="521">
        <f>VLOOKUP($I371,'Price List, Weapons &amp; Items'!A:K,COLUMN('Price List, Weapons &amp; Items'!$K$1),0)</f>
        <v>2</v>
      </c>
      <c r="AS371" s="521">
        <f t="shared" si="77"/>
        <v>1</v>
      </c>
      <c r="AT371" s="521">
        <f t="shared" si="78"/>
        <v>1</v>
      </c>
      <c r="AU371" s="521" t="str">
        <f t="shared" si="79"/>
        <v>Value is not in date format</v>
      </c>
      <c r="AV371" s="521" t="str">
        <f t="shared" si="80"/>
        <v>.</v>
      </c>
    </row>
    <row r="372" spans="1:48" ht="15" customHeight="1">
      <c r="A372" s="18" t="s">
        <v>1156</v>
      </c>
      <c r="B372" s="18" t="s">
        <v>1136</v>
      </c>
      <c r="C372" s="511" t="s">
        <v>1163</v>
      </c>
      <c r="D372" s="18" t="s">
        <v>252</v>
      </c>
      <c r="E372" s="18" t="s">
        <v>1157</v>
      </c>
      <c r="F372" s="816" t="s">
        <v>1158</v>
      </c>
      <c r="G372" s="39" t="s">
        <v>332</v>
      </c>
      <c r="H372" s="523">
        <v>1540932933</v>
      </c>
      <c r="I372" s="524" t="s">
        <v>1196</v>
      </c>
      <c r="J372" s="276" t="str">
        <f>VLOOKUP($I372,'Price List, Weapons &amp; Items'!A:B,2,0)</f>
        <v>Military equipment</v>
      </c>
      <c r="K372" s="276" t="str">
        <f>IF(I372=".",I372,VLOOKUP($I372,'Price List, Weapons &amp; Items'!A:C,3,0))</f>
        <v>.</v>
      </c>
      <c r="L372" s="514">
        <f>VLOOKUP(I372,'Price List, Weapons &amp; Items'!A:D,4,0)</f>
        <v>0</v>
      </c>
      <c r="M372" s="515">
        <v>3000</v>
      </c>
      <c r="N372" s="515">
        <v>3000</v>
      </c>
      <c r="O372" s="516">
        <f>VLOOKUP($I372,'Price List, Weapons &amp; Items'!A:F,6,0)</f>
        <v>69</v>
      </c>
      <c r="P372" s="513">
        <f t="shared" si="84"/>
        <v>207000</v>
      </c>
      <c r="Q372" s="513">
        <f t="shared" si="85"/>
        <v>207000</v>
      </c>
      <c r="R372" s="513" t="str">
        <f t="shared" si="73"/>
        <v/>
      </c>
      <c r="S372" s="513" t="str">
        <f>IF(AND(AD372=1,R372&lt;&gt;".")=TRUE,R372/VLOOKUP(G372,'Exchange rates'!B:C,2,0),IF(R372=".",".",""))</f>
        <v/>
      </c>
      <c r="T372" s="513" t="str">
        <f>IF(AD372=1,IF(AF372="Value is not given at all",".",IF(AF372="Value is given by the source",S372,IF(AF372="Value is calculated with prices",(IF(SUMIFS(Q:Q,A:A,A372)&gt;0,SUMIFS(Q:Q,A:A,A372),"."))/VLOOKUP("USD",'Exchange rates'!B:C,2,0),"Error with coding"))),"")</f>
        <v/>
      </c>
      <c r="U372" s="39" t="s">
        <v>233</v>
      </c>
      <c r="V372" s="376" t="s">
        <v>1160</v>
      </c>
      <c r="W372" s="376" t="s">
        <v>1161</v>
      </c>
      <c r="X372" s="376" t="s">
        <v>1162</v>
      </c>
      <c r="Y372" s="376" t="s">
        <v>232</v>
      </c>
      <c r="Z372" s="39">
        <v>0</v>
      </c>
      <c r="AA372" s="518">
        <v>0</v>
      </c>
      <c r="AB372" s="395" t="s">
        <v>1161</v>
      </c>
      <c r="AC372" s="519" t="str">
        <f>""</f>
        <v/>
      </c>
      <c r="AD372" s="522">
        <v>0</v>
      </c>
      <c r="AE372" s="522" t="s">
        <v>236</v>
      </c>
      <c r="AF372" s="522" t="s">
        <v>237</v>
      </c>
      <c r="AG372" s="522">
        <v>0</v>
      </c>
      <c r="AH372" s="522">
        <v>0</v>
      </c>
      <c r="AI372" s="522">
        <v>0</v>
      </c>
      <c r="AJ372" s="520">
        <f>VLOOKUP($I372,'Price List, Weapons &amp; Items'!A:E,5,0)</f>
        <v>0</v>
      </c>
      <c r="AK372" s="520">
        <f t="shared" si="74"/>
        <v>0</v>
      </c>
      <c r="AL372" s="520">
        <f t="shared" si="75"/>
        <v>0</v>
      </c>
      <c r="AM372" s="520">
        <f t="shared" si="76"/>
        <v>0</v>
      </c>
      <c r="AN372" s="521" t="str">
        <f>VLOOKUP($I372,'Price List, Weapons &amp; Items'!A:K,COLUMN('Price List, Weapons &amp; Items'!$I$1),0)</f>
        <v>Online marketplaces and stores</v>
      </c>
      <c r="AO372" s="521" t="str">
        <f>IF(I372=".",".",VLOOKUP($I372,'Price List, Weapons &amp; Items'!A:I,3,0))</f>
        <v>.</v>
      </c>
      <c r="AP372" s="517" t="str">
        <f t="shared" ca="1" si="83"/>
        <v/>
      </c>
      <c r="AQ372" s="521">
        <f>VLOOKUP($I372,'Price List, Weapons &amp; Items'!A:K,COLUMN('Price List, Weapons &amp; Items'!$K$1),0)</f>
        <v>1</v>
      </c>
      <c r="AS372" s="521">
        <f t="shared" si="77"/>
        <v>1</v>
      </c>
      <c r="AT372" s="521">
        <f t="shared" si="78"/>
        <v>1</v>
      </c>
      <c r="AU372" s="521" t="str">
        <f t="shared" si="79"/>
        <v>Value is not in date format</v>
      </c>
      <c r="AV372" s="521" t="str">
        <f t="shared" si="80"/>
        <v>.</v>
      </c>
    </row>
    <row r="373" spans="1:48" ht="15" customHeight="1">
      <c r="A373" s="18" t="s">
        <v>1156</v>
      </c>
      <c r="B373" s="18" t="s">
        <v>1136</v>
      </c>
      <c r="C373" s="511" t="s">
        <v>1163</v>
      </c>
      <c r="D373" s="18" t="s">
        <v>252</v>
      </c>
      <c r="E373" s="18" t="s">
        <v>1157</v>
      </c>
      <c r="F373" s="816" t="s">
        <v>1158</v>
      </c>
      <c r="G373" s="39" t="s">
        <v>332</v>
      </c>
      <c r="H373" s="523">
        <v>1540932933</v>
      </c>
      <c r="I373" s="524" t="s">
        <v>1197</v>
      </c>
      <c r="J373" s="276" t="str">
        <f>VLOOKUP($I373,'Price List, Weapons &amp; Items'!A:B,2,0)</f>
        <v>Military equipment</v>
      </c>
      <c r="K373" s="276" t="str">
        <f>IF(I373=".",I373,VLOOKUP($I373,'Price List, Weapons &amp; Items'!A:C,3,0))</f>
        <v>.</v>
      </c>
      <c r="L373" s="514">
        <f>VLOOKUP(I373,'Price List, Weapons &amp; Items'!A:D,4,0)</f>
        <v>0</v>
      </c>
      <c r="M373" s="515">
        <v>100000</v>
      </c>
      <c r="N373" s="515">
        <v>100000</v>
      </c>
      <c r="O373" s="516">
        <f>VLOOKUP($I373,'Price List, Weapons &amp; Items'!A:F,6,0)</f>
        <v>37.82</v>
      </c>
      <c r="P373" s="513">
        <f t="shared" si="84"/>
        <v>3782000</v>
      </c>
      <c r="Q373" s="513">
        <f t="shared" si="85"/>
        <v>3782000</v>
      </c>
      <c r="R373" s="513" t="str">
        <f t="shared" si="73"/>
        <v/>
      </c>
      <c r="S373" s="513" t="str">
        <f>IF(AND(AD373=1,R373&lt;&gt;".")=TRUE,R373/VLOOKUP(G373,'Exchange rates'!B:C,2,0),IF(R373=".",".",""))</f>
        <v/>
      </c>
      <c r="T373" s="513" t="str">
        <f>IF(AD373=1,IF(AF373="Value is not given at all",".",IF(AF373="Value is given by the source",S373,IF(AF373="Value is calculated with prices",(IF(SUMIFS(Q:Q,A:A,A373)&gt;0,SUMIFS(Q:Q,A:A,A373),"."))/VLOOKUP("USD",'Exchange rates'!B:C,2,0),"Error with coding"))),"")</f>
        <v/>
      </c>
      <c r="U373" s="39" t="s">
        <v>233</v>
      </c>
      <c r="V373" s="376" t="s">
        <v>1160</v>
      </c>
      <c r="W373" s="376" t="s">
        <v>1161</v>
      </c>
      <c r="X373" s="376" t="s">
        <v>1162</v>
      </c>
      <c r="Y373" s="376" t="s">
        <v>232</v>
      </c>
      <c r="Z373" s="39">
        <v>0</v>
      </c>
      <c r="AA373" s="518">
        <v>0</v>
      </c>
      <c r="AB373" s="395" t="s">
        <v>1161</v>
      </c>
      <c r="AC373" s="519" t="str">
        <f>""</f>
        <v/>
      </c>
      <c r="AD373" s="522">
        <v>0</v>
      </c>
      <c r="AE373" s="522" t="s">
        <v>236</v>
      </c>
      <c r="AF373" s="522" t="s">
        <v>237</v>
      </c>
      <c r="AG373" s="522">
        <v>0</v>
      </c>
      <c r="AH373" s="522">
        <v>0</v>
      </c>
      <c r="AI373" s="522">
        <v>0</v>
      </c>
      <c r="AJ373" s="520">
        <f>VLOOKUP($I373,'Price List, Weapons &amp; Items'!A:E,5,0)</f>
        <v>0</v>
      </c>
      <c r="AK373" s="520">
        <f t="shared" si="74"/>
        <v>0</v>
      </c>
      <c r="AL373" s="520">
        <f t="shared" si="75"/>
        <v>0</v>
      </c>
      <c r="AM373" s="520">
        <f t="shared" si="76"/>
        <v>0</v>
      </c>
      <c r="AN373" s="521" t="str">
        <f>VLOOKUP($I373,'Price List, Weapons &amp; Items'!A:K,COLUMN('Price List, Weapons &amp; Items'!$I$1),0)</f>
        <v>Online marketplaces and stores</v>
      </c>
      <c r="AO373" s="521" t="str">
        <f>IF(I373=".",".",VLOOKUP($I373,'Price List, Weapons &amp; Items'!A:I,3,0))</f>
        <v>.</v>
      </c>
      <c r="AP373" s="517" t="str">
        <f t="shared" ca="1" si="83"/>
        <v/>
      </c>
      <c r="AQ373" s="521">
        <f>VLOOKUP($I373,'Price List, Weapons &amp; Items'!A:K,COLUMN('Price List, Weapons &amp; Items'!$K$1),0)</f>
        <v>2</v>
      </c>
      <c r="AS373" s="521">
        <f t="shared" si="77"/>
        <v>1</v>
      </c>
      <c r="AT373" s="521">
        <f t="shared" si="78"/>
        <v>1</v>
      </c>
      <c r="AU373" s="521" t="str">
        <f t="shared" si="79"/>
        <v>Value is not in date format</v>
      </c>
      <c r="AV373" s="521" t="str">
        <f t="shared" si="80"/>
        <v>.</v>
      </c>
    </row>
    <row r="374" spans="1:48" ht="15" customHeight="1">
      <c r="A374" s="18" t="s">
        <v>1156</v>
      </c>
      <c r="B374" s="18" t="s">
        <v>1136</v>
      </c>
      <c r="C374" s="511" t="s">
        <v>1163</v>
      </c>
      <c r="D374" s="18" t="s">
        <v>252</v>
      </c>
      <c r="E374" s="18" t="s">
        <v>1157</v>
      </c>
      <c r="F374" s="816" t="s">
        <v>1158</v>
      </c>
      <c r="G374" s="39" t="s">
        <v>332</v>
      </c>
      <c r="H374" s="523">
        <v>1540932933</v>
      </c>
      <c r="I374" s="524" t="s">
        <v>1198</v>
      </c>
      <c r="J374" s="276" t="str">
        <f>VLOOKUP($I374,'Price List, Weapons &amp; Items'!A:B,2,0)</f>
        <v>Military equipment</v>
      </c>
      <c r="K374" s="276" t="str">
        <f>IF(I374=".",I374,VLOOKUP($I374,'Price List, Weapons &amp; Items'!A:C,3,0))</f>
        <v>.</v>
      </c>
      <c r="L374" s="514">
        <f>VLOOKUP(I374,'Price List, Weapons &amp; Items'!A:D,4,0)</f>
        <v>0</v>
      </c>
      <c r="M374" s="515">
        <v>40</v>
      </c>
      <c r="N374" s="515">
        <v>20</v>
      </c>
      <c r="O374" s="516" t="str">
        <f>VLOOKUP($I374,'Price List, Weapons &amp; Items'!A:F,6,0)</f>
        <v>.</v>
      </c>
      <c r="P374" s="513" t="str">
        <f t="shared" si="84"/>
        <v>No price</v>
      </c>
      <c r="Q374" s="513" t="str">
        <f t="shared" si="85"/>
        <v>No price</v>
      </c>
      <c r="R374" s="513" t="str">
        <f t="shared" si="73"/>
        <v/>
      </c>
      <c r="S374" s="513" t="str">
        <f>IF(AND(AD374=1,R374&lt;&gt;".")=TRUE,R374/VLOOKUP(G374,'Exchange rates'!B:C,2,0),IF(R374=".",".",""))</f>
        <v/>
      </c>
      <c r="T374" s="513" t="str">
        <f>IF(AD374=1,IF(AF374="Value is not given at all",".",IF(AF374="Value is given by the source",S374,IF(AF374="Value is calculated with prices",(IF(SUMIFS(Q:Q,A:A,A374)&gt;0,SUMIFS(Q:Q,A:A,A374),"."))/VLOOKUP("USD",'Exchange rates'!B:C,2,0),"Error with coding"))),"")</f>
        <v/>
      </c>
      <c r="U374" s="39" t="s">
        <v>233</v>
      </c>
      <c r="V374" s="376" t="s">
        <v>1160</v>
      </c>
      <c r="W374" s="376" t="s">
        <v>1161</v>
      </c>
      <c r="X374" s="376" t="s">
        <v>1162</v>
      </c>
      <c r="Y374" s="376" t="s">
        <v>232</v>
      </c>
      <c r="Z374" s="39">
        <v>0</v>
      </c>
      <c r="AA374" s="518">
        <v>1</v>
      </c>
      <c r="AB374" s="395" t="s">
        <v>1161</v>
      </c>
      <c r="AC374" s="519" t="str">
        <f>""</f>
        <v/>
      </c>
      <c r="AD374" s="522">
        <v>0</v>
      </c>
      <c r="AE374" s="522" t="s">
        <v>236</v>
      </c>
      <c r="AF374" s="522" t="s">
        <v>237</v>
      </c>
      <c r="AG374" s="522">
        <v>0</v>
      </c>
      <c r="AH374" s="522">
        <v>0</v>
      </c>
      <c r="AI374" s="522">
        <v>0</v>
      </c>
      <c r="AJ374" s="520">
        <f>VLOOKUP($I374,'Price List, Weapons &amp; Items'!A:E,5,0)</f>
        <v>0</v>
      </c>
      <c r="AK374" s="520">
        <f t="shared" si="74"/>
        <v>0</v>
      </c>
      <c r="AL374" s="520">
        <f t="shared" si="75"/>
        <v>0</v>
      </c>
      <c r="AM374" s="520">
        <f t="shared" si="76"/>
        <v>0</v>
      </c>
      <c r="AN374" s="521" t="str">
        <f>VLOOKUP($I374,'Price List, Weapons &amp; Items'!A:K,COLUMN('Price List, Weapons &amp; Items'!$I$1),0)</f>
        <v>.</v>
      </c>
      <c r="AO374" s="521" t="str">
        <f>IF(I374=".",".",VLOOKUP($I374,'Price List, Weapons &amp; Items'!A:I,3,0))</f>
        <v>.</v>
      </c>
      <c r="AP374" s="517" t="str">
        <f t="shared" ca="1" si="83"/>
        <v/>
      </c>
      <c r="AQ374" s="521">
        <f>VLOOKUP($I374,'Price List, Weapons &amp; Items'!A:K,COLUMN('Price List, Weapons &amp; Items'!$K$1),0)</f>
        <v>0</v>
      </c>
      <c r="AS374" s="521">
        <f t="shared" si="77"/>
        <v>1</v>
      </c>
      <c r="AT374" s="521">
        <f t="shared" si="78"/>
        <v>1</v>
      </c>
      <c r="AU374" s="521" t="str">
        <f t="shared" si="79"/>
        <v>Value is not in date format</v>
      </c>
      <c r="AV374" s="521" t="str">
        <f t="shared" si="80"/>
        <v>.</v>
      </c>
    </row>
    <row r="375" spans="1:48" ht="15" customHeight="1">
      <c r="A375" s="18" t="s">
        <v>1156</v>
      </c>
      <c r="B375" s="18" t="s">
        <v>1136</v>
      </c>
      <c r="C375" s="511" t="s">
        <v>1163</v>
      </c>
      <c r="D375" s="18" t="s">
        <v>252</v>
      </c>
      <c r="E375" s="18" t="s">
        <v>1157</v>
      </c>
      <c r="F375" s="816" t="s">
        <v>1158</v>
      </c>
      <c r="G375" s="39" t="s">
        <v>332</v>
      </c>
      <c r="H375" s="523">
        <v>1540932933</v>
      </c>
      <c r="I375" s="524" t="s">
        <v>1199</v>
      </c>
      <c r="J375" s="276" t="str">
        <f>VLOOKUP($I375,'Price List, Weapons &amp; Items'!A:B,2,0)</f>
        <v>Military equipment</v>
      </c>
      <c r="K375" s="276" t="str">
        <f>IF(I375=".",I375,VLOOKUP($I375,'Price List, Weapons &amp; Items'!A:C,3,0))</f>
        <v>.</v>
      </c>
      <c r="L375" s="514">
        <f>VLOOKUP(I375,'Price List, Weapons &amp; Items'!A:D,4,0)</f>
        <v>0</v>
      </c>
      <c r="M375" s="515">
        <v>67</v>
      </c>
      <c r="N375" s="515">
        <v>67</v>
      </c>
      <c r="O375" s="516">
        <f>VLOOKUP($I375,'Price List, Weapons &amp; Items'!A:F,6,0)</f>
        <v>1486.91</v>
      </c>
      <c r="P375" s="513">
        <f t="shared" si="84"/>
        <v>99622.97</v>
      </c>
      <c r="Q375" s="513">
        <f t="shared" si="85"/>
        <v>99622.97</v>
      </c>
      <c r="R375" s="513" t="str">
        <f t="shared" si="73"/>
        <v/>
      </c>
      <c r="S375" s="513" t="str">
        <f>IF(AND(AD375=1,R375&lt;&gt;".")=TRUE,R375/VLOOKUP(G375,'Exchange rates'!B:C,2,0),IF(R375=".",".",""))</f>
        <v/>
      </c>
      <c r="T375" s="513" t="str">
        <f>IF(AD375=1,IF(AF375="Value is not given at all",".",IF(AF375="Value is given by the source",S375,IF(AF375="Value is calculated with prices",(IF(SUMIFS(Q:Q,A:A,A375)&gt;0,SUMIFS(Q:Q,A:A,A375),"."))/VLOOKUP("USD",'Exchange rates'!B:C,2,0),"Error with coding"))),"")</f>
        <v/>
      </c>
      <c r="U375" s="39" t="s">
        <v>233</v>
      </c>
      <c r="V375" s="376" t="s">
        <v>1160</v>
      </c>
      <c r="W375" s="376" t="s">
        <v>1161</v>
      </c>
      <c r="X375" s="376" t="s">
        <v>1162</v>
      </c>
      <c r="Y375" s="376" t="s">
        <v>232</v>
      </c>
      <c r="Z375" s="39">
        <v>0</v>
      </c>
      <c r="AA375" s="518">
        <v>0</v>
      </c>
      <c r="AB375" s="395" t="s">
        <v>1161</v>
      </c>
      <c r="AC375" s="519" t="str">
        <f>""</f>
        <v/>
      </c>
      <c r="AD375" s="522">
        <v>0</v>
      </c>
      <c r="AE375" s="522" t="s">
        <v>236</v>
      </c>
      <c r="AF375" s="522" t="s">
        <v>237</v>
      </c>
      <c r="AG375" s="522">
        <v>0</v>
      </c>
      <c r="AH375" s="522">
        <v>0</v>
      </c>
      <c r="AI375" s="522">
        <v>0</v>
      </c>
      <c r="AJ375" s="520">
        <f>VLOOKUP($I375,'Price List, Weapons &amp; Items'!A:E,5,0)</f>
        <v>0</v>
      </c>
      <c r="AK375" s="520">
        <f t="shared" si="74"/>
        <v>0</v>
      </c>
      <c r="AL375" s="520">
        <f t="shared" si="75"/>
        <v>0</v>
      </c>
      <c r="AM375" s="520">
        <f t="shared" si="76"/>
        <v>0</v>
      </c>
      <c r="AN375" s="521" t="str">
        <f>VLOOKUP($I375,'Price List, Weapons &amp; Items'!A:K,COLUMN('Price List, Weapons &amp; Items'!$I$1),0)</f>
        <v>Online marketplaces and stores</v>
      </c>
      <c r="AO375" s="521" t="str">
        <f>IF(I375=".",".",VLOOKUP($I375,'Price List, Weapons &amp; Items'!A:I,3,0))</f>
        <v>.</v>
      </c>
      <c r="AP375" s="517" t="str">
        <f t="shared" ca="1" si="83"/>
        <v/>
      </c>
      <c r="AQ375" s="521">
        <f>VLOOKUP($I375,'Price List, Weapons &amp; Items'!A:K,COLUMN('Price List, Weapons &amp; Items'!$K$1),0)</f>
        <v>1</v>
      </c>
      <c r="AS375" s="521">
        <f t="shared" si="77"/>
        <v>1</v>
      </c>
      <c r="AT375" s="521">
        <f t="shared" si="78"/>
        <v>1</v>
      </c>
      <c r="AU375" s="521" t="str">
        <f t="shared" si="79"/>
        <v>Value is not in date format</v>
      </c>
      <c r="AV375" s="521" t="str">
        <f t="shared" si="80"/>
        <v>.</v>
      </c>
    </row>
    <row r="376" spans="1:48" ht="15" customHeight="1">
      <c r="A376" s="18" t="s">
        <v>1156</v>
      </c>
      <c r="B376" s="18" t="s">
        <v>1136</v>
      </c>
      <c r="C376" s="511" t="s">
        <v>1163</v>
      </c>
      <c r="D376" s="18" t="s">
        <v>252</v>
      </c>
      <c r="E376" s="18" t="s">
        <v>1157</v>
      </c>
      <c r="F376" s="816" t="s">
        <v>1158</v>
      </c>
      <c r="G376" s="39" t="s">
        <v>332</v>
      </c>
      <c r="H376" s="523">
        <v>1540932933</v>
      </c>
      <c r="I376" s="524" t="s">
        <v>1200</v>
      </c>
      <c r="J376" s="276" t="str">
        <f>VLOOKUP($I376,'Price List, Weapons &amp; Items'!A:B,2,0)</f>
        <v>Military equipment</v>
      </c>
      <c r="K376" s="276" t="str">
        <f>IF(I376=".",I376,VLOOKUP($I376,'Price List, Weapons &amp; Items'!A:C,3,0))</f>
        <v>.</v>
      </c>
      <c r="L376" s="514">
        <f>VLOOKUP(I376,'Price List, Weapons &amp; Items'!A:D,4,0)</f>
        <v>0</v>
      </c>
      <c r="M376" s="515">
        <v>195</v>
      </c>
      <c r="N376" s="515">
        <v>195</v>
      </c>
      <c r="O376" s="516">
        <f>VLOOKUP($I376,'Price List, Weapons &amp; Items'!A:F,6,0)</f>
        <v>22216</v>
      </c>
      <c r="P376" s="513">
        <f t="shared" si="84"/>
        <v>4332120</v>
      </c>
      <c r="Q376" s="513">
        <f t="shared" si="85"/>
        <v>4332120</v>
      </c>
      <c r="R376" s="513" t="str">
        <f t="shared" si="73"/>
        <v/>
      </c>
      <c r="S376" s="513" t="str">
        <f>IF(AND(AD376=1,R376&lt;&gt;".")=TRUE,R376/VLOOKUP(G376,'Exchange rates'!B:C,2,0),IF(R376=".",".",""))</f>
        <v/>
      </c>
      <c r="T376" s="513" t="str">
        <f>IF(AD376=1,IF(AF376="Value is not given at all",".",IF(AF376="Value is given by the source",S376,IF(AF376="Value is calculated with prices",(IF(SUMIFS(Q:Q,A:A,A376)&gt;0,SUMIFS(Q:Q,A:A,A376),"."))/VLOOKUP("USD",'Exchange rates'!B:C,2,0),"Error with coding"))),"")</f>
        <v/>
      </c>
      <c r="U376" s="39" t="s">
        <v>233</v>
      </c>
      <c r="V376" s="376" t="s">
        <v>1160</v>
      </c>
      <c r="W376" s="376" t="s">
        <v>1161</v>
      </c>
      <c r="X376" s="376" t="s">
        <v>1162</v>
      </c>
      <c r="Y376" s="376" t="s">
        <v>232</v>
      </c>
      <c r="Z376" s="39">
        <v>0</v>
      </c>
      <c r="AA376" s="518">
        <v>0</v>
      </c>
      <c r="AB376" s="395" t="s">
        <v>1161</v>
      </c>
      <c r="AC376" s="519" t="str">
        <f>""</f>
        <v/>
      </c>
      <c r="AD376" s="522">
        <v>0</v>
      </c>
      <c r="AE376" s="522" t="s">
        <v>236</v>
      </c>
      <c r="AF376" s="522" t="s">
        <v>237</v>
      </c>
      <c r="AG376" s="522">
        <v>0</v>
      </c>
      <c r="AH376" s="522">
        <v>0</v>
      </c>
      <c r="AI376" s="522">
        <v>0</v>
      </c>
      <c r="AJ376" s="520">
        <f>VLOOKUP($I376,'Price List, Weapons &amp; Items'!A:E,5,0)</f>
        <v>0</v>
      </c>
      <c r="AK376" s="520">
        <f t="shared" si="74"/>
        <v>0</v>
      </c>
      <c r="AL376" s="520">
        <f t="shared" si="75"/>
        <v>0</v>
      </c>
      <c r="AM376" s="520">
        <f t="shared" si="76"/>
        <v>0</v>
      </c>
      <c r="AN376" s="521" t="str">
        <f>VLOOKUP($I376,'Price List, Weapons &amp; Items'!A:K,COLUMN('Price List, Weapons &amp; Items'!$I$1),0)</f>
        <v>Government information</v>
      </c>
      <c r="AO376" s="521" t="str">
        <f>IF(I376=".",".",VLOOKUP($I376,'Price List, Weapons &amp; Items'!A:I,3,0))</f>
        <v>.</v>
      </c>
      <c r="AP376" s="517" t="str">
        <f t="shared" ca="1" si="83"/>
        <v/>
      </c>
      <c r="AQ376" s="521">
        <f>VLOOKUP($I376,'Price List, Weapons &amp; Items'!A:K,COLUMN('Price List, Weapons &amp; Items'!$K$1),0)</f>
        <v>2</v>
      </c>
      <c r="AS376" s="521">
        <f t="shared" si="77"/>
        <v>1</v>
      </c>
      <c r="AT376" s="521">
        <f t="shared" si="78"/>
        <v>1</v>
      </c>
      <c r="AU376" s="521" t="str">
        <f t="shared" si="79"/>
        <v>Value is not in date format</v>
      </c>
      <c r="AV376" s="521" t="str">
        <f t="shared" si="80"/>
        <v>.</v>
      </c>
    </row>
    <row r="377" spans="1:48" ht="15" customHeight="1">
      <c r="A377" s="18" t="s">
        <v>1156</v>
      </c>
      <c r="B377" s="18" t="s">
        <v>1136</v>
      </c>
      <c r="C377" s="511" t="s">
        <v>1163</v>
      </c>
      <c r="D377" s="18" t="s">
        <v>252</v>
      </c>
      <c r="E377" s="18" t="s">
        <v>1157</v>
      </c>
      <c r="F377" s="816" t="s">
        <v>1158</v>
      </c>
      <c r="G377" s="39" t="s">
        <v>332</v>
      </c>
      <c r="H377" s="523">
        <v>1540932933</v>
      </c>
      <c r="I377" s="524" t="s">
        <v>533</v>
      </c>
      <c r="J377" s="276" t="str">
        <f>VLOOKUP($I377,'Price List, Weapons &amp; Items'!A:B,2,0)</f>
        <v>Light armaments &amp; infantry</v>
      </c>
      <c r="K377" s="276" t="str">
        <f>IF(I377=".",I377,VLOOKUP($I377,'Price List, Weapons &amp; Items'!A:C,3,0))</f>
        <v>Explosive</v>
      </c>
      <c r="L377" s="514">
        <f>VLOOKUP(I377,'Price List, Weapons &amp; Items'!A:D,4,0)</f>
        <v>0</v>
      </c>
      <c r="M377" s="515">
        <v>100000</v>
      </c>
      <c r="N377" s="515">
        <v>100000</v>
      </c>
      <c r="O377" s="516">
        <f>VLOOKUP($I377,'Price List, Weapons &amp; Items'!A:F,6,0)</f>
        <v>45</v>
      </c>
      <c r="P377" s="513">
        <f t="shared" si="84"/>
        <v>4500000</v>
      </c>
      <c r="Q377" s="513">
        <f t="shared" si="85"/>
        <v>4500000</v>
      </c>
      <c r="R377" s="513" t="str">
        <f t="shared" si="73"/>
        <v/>
      </c>
      <c r="S377" s="513" t="str">
        <f>IF(AND(AD377=1,R377&lt;&gt;".")=TRUE,R377/VLOOKUP(G377,'Exchange rates'!B:C,2,0),IF(R377=".",".",""))</f>
        <v/>
      </c>
      <c r="T377" s="513" t="str">
        <f>IF(AD377=1,IF(AF377="Value is not given at all",".",IF(AF377="Value is given by the source",S377,IF(AF377="Value is calculated with prices",(IF(SUMIFS(Q:Q,A:A,A377)&gt;0,SUMIFS(Q:Q,A:A,A377),"."))/VLOOKUP("USD",'Exchange rates'!B:C,2,0),"Error with coding"))),"")</f>
        <v/>
      </c>
      <c r="U377" s="39" t="s">
        <v>233</v>
      </c>
      <c r="V377" s="376" t="s">
        <v>1160</v>
      </c>
      <c r="W377" s="376" t="s">
        <v>1161</v>
      </c>
      <c r="X377" s="376" t="s">
        <v>1162</v>
      </c>
      <c r="Y377" s="376" t="s">
        <v>232</v>
      </c>
      <c r="Z377" s="39">
        <v>0</v>
      </c>
      <c r="AA377" s="518">
        <v>0</v>
      </c>
      <c r="AB377" s="395" t="s">
        <v>1161</v>
      </c>
      <c r="AC377" s="519" t="str">
        <f>""</f>
        <v/>
      </c>
      <c r="AD377" s="522">
        <v>0</v>
      </c>
      <c r="AE377" s="522" t="s">
        <v>236</v>
      </c>
      <c r="AF377" s="522" t="s">
        <v>237</v>
      </c>
      <c r="AG377" s="522">
        <v>0</v>
      </c>
      <c r="AH377" s="522">
        <v>0</v>
      </c>
      <c r="AI377" s="522">
        <v>0</v>
      </c>
      <c r="AJ377" s="520">
        <f>VLOOKUP($I377,'Price List, Weapons &amp; Items'!A:E,5,0)</f>
        <v>0</v>
      </c>
      <c r="AK377" s="520">
        <f t="shared" si="74"/>
        <v>0</v>
      </c>
      <c r="AL377" s="520">
        <f t="shared" si="75"/>
        <v>0</v>
      </c>
      <c r="AM377" s="520">
        <f t="shared" si="76"/>
        <v>0</v>
      </c>
      <c r="AN377" s="521" t="str">
        <f>VLOOKUP($I377,'Price List, Weapons &amp; Items'!A:K,COLUMN('Price List, Weapons &amp; Items'!$I$1),0)</f>
        <v>Miscellaneous</v>
      </c>
      <c r="AO377" s="521" t="str">
        <f>IF(I377=".",".",VLOOKUP($I377,'Price List, Weapons &amp; Items'!A:I,3,0))</f>
        <v>Explosive</v>
      </c>
      <c r="AP377" s="517" t="str">
        <f t="shared" ca="1" si="83"/>
        <v/>
      </c>
      <c r="AQ377" s="521">
        <f>VLOOKUP($I377,'Price List, Weapons &amp; Items'!A:K,COLUMN('Price List, Weapons &amp; Items'!$K$1),0)</f>
        <v>2</v>
      </c>
      <c r="AS377" s="521">
        <f t="shared" si="77"/>
        <v>1</v>
      </c>
      <c r="AT377" s="521">
        <f t="shared" si="78"/>
        <v>1</v>
      </c>
      <c r="AU377" s="521" t="str">
        <f t="shared" si="79"/>
        <v>Value is not in date format</v>
      </c>
      <c r="AV377" s="521" t="str">
        <f t="shared" si="80"/>
        <v>.</v>
      </c>
    </row>
    <row r="378" spans="1:48" ht="15" customHeight="1">
      <c r="A378" s="18" t="s">
        <v>1156</v>
      </c>
      <c r="B378" s="18" t="s">
        <v>1136</v>
      </c>
      <c r="C378" s="511" t="s">
        <v>1163</v>
      </c>
      <c r="D378" s="18" t="s">
        <v>252</v>
      </c>
      <c r="E378" s="18" t="s">
        <v>1157</v>
      </c>
      <c r="F378" s="816" t="s">
        <v>1158</v>
      </c>
      <c r="G378" s="39" t="s">
        <v>332</v>
      </c>
      <c r="H378" s="523">
        <v>1540932933</v>
      </c>
      <c r="I378" s="524" t="s">
        <v>1201</v>
      </c>
      <c r="J378" s="276" t="str">
        <f>VLOOKUP($I378,'Price List, Weapons &amp; Items'!A:B,2,0)</f>
        <v>military equipment</v>
      </c>
      <c r="K378" s="276" t="str">
        <f>IF(I378=".",I378,VLOOKUP($I378,'Price List, Weapons &amp; Items'!A:C,3,0))</f>
        <v>.</v>
      </c>
      <c r="L378" s="514">
        <f>VLOOKUP(I378,'Price List, Weapons &amp; Items'!A:D,4,0)</f>
        <v>0</v>
      </c>
      <c r="M378" s="515">
        <v>20</v>
      </c>
      <c r="N378" s="515">
        <v>3</v>
      </c>
      <c r="O378" s="516">
        <f>VLOOKUP($I378,'Price List, Weapons &amp; Items'!A:F,6,0)</f>
        <v>2268127</v>
      </c>
      <c r="P378" s="513">
        <f t="shared" si="84"/>
        <v>45362540</v>
      </c>
      <c r="Q378" s="513">
        <f t="shared" si="85"/>
        <v>6804381</v>
      </c>
      <c r="R378" s="513" t="str">
        <f t="shared" si="73"/>
        <v/>
      </c>
      <c r="S378" s="513" t="str">
        <f>IF(AND(AD378=1,R378&lt;&gt;".")=TRUE,R378/VLOOKUP(G378,'Exchange rates'!B:C,2,0),IF(R378=".",".",""))</f>
        <v/>
      </c>
      <c r="T378" s="513" t="str">
        <f>IF(AD378=1,IF(AF378="Value is not given at all",".",IF(AF378="Value is given by the source",S378,IF(AF378="Value is calculated with prices",(IF(SUMIFS(Q:Q,A:A,A378)&gt;0,SUMIFS(Q:Q,A:A,A378),"."))/VLOOKUP("USD",'Exchange rates'!B:C,2,0),"Error with coding"))),"")</f>
        <v/>
      </c>
      <c r="U378" s="39" t="s">
        <v>233</v>
      </c>
      <c r="V378" s="376" t="s">
        <v>1160</v>
      </c>
      <c r="W378" s="376" t="s">
        <v>1161</v>
      </c>
      <c r="X378" s="376" t="s">
        <v>1162</v>
      </c>
      <c r="Y378" s="376" t="s">
        <v>232</v>
      </c>
      <c r="Z378" s="39">
        <v>0</v>
      </c>
      <c r="AA378" s="518">
        <v>0</v>
      </c>
      <c r="AB378" s="395" t="s">
        <v>1161</v>
      </c>
      <c r="AC378" s="519" t="str">
        <f>""</f>
        <v/>
      </c>
      <c r="AD378" s="522">
        <v>0</v>
      </c>
      <c r="AE378" s="522" t="s">
        <v>236</v>
      </c>
      <c r="AF378" s="522" t="s">
        <v>237</v>
      </c>
      <c r="AG378" s="522">
        <v>0</v>
      </c>
      <c r="AH378" s="522">
        <v>0</v>
      </c>
      <c r="AI378" s="522">
        <v>0</v>
      </c>
      <c r="AJ378" s="520">
        <f>VLOOKUP($I378,'Price List, Weapons &amp; Items'!A:E,5,0)</f>
        <v>0</v>
      </c>
      <c r="AK378" s="520">
        <f t="shared" si="74"/>
        <v>0</v>
      </c>
      <c r="AL378" s="520">
        <f t="shared" si="75"/>
        <v>0</v>
      </c>
      <c r="AM378" s="520">
        <f t="shared" si="76"/>
        <v>0</v>
      </c>
      <c r="AN378" s="521" t="str">
        <f>VLOOKUP($I378,'Price List, Weapons &amp; Items'!A:K,COLUMN('Price List, Weapons &amp; Items'!$I$1),0)</f>
        <v>Media reports (incl. social media)</v>
      </c>
      <c r="AO378" s="521" t="str">
        <f>IF(I378=".",".",VLOOKUP($I378,'Price List, Weapons &amp; Items'!A:I,3,0))</f>
        <v>.</v>
      </c>
      <c r="AP378" s="517" t="str">
        <f t="shared" ca="1" si="83"/>
        <v/>
      </c>
      <c r="AQ378" s="521">
        <f>VLOOKUP($I378,'Price List, Weapons &amp; Items'!A:K,COLUMN('Price List, Weapons &amp; Items'!$K$1),0)</f>
        <v>2</v>
      </c>
      <c r="AS378" s="521">
        <f t="shared" si="77"/>
        <v>1</v>
      </c>
      <c r="AT378" s="521">
        <f t="shared" si="78"/>
        <v>1</v>
      </c>
      <c r="AU378" s="521" t="str">
        <f t="shared" si="79"/>
        <v>Value is not in date format</v>
      </c>
      <c r="AV378" s="521" t="str">
        <f t="shared" si="80"/>
        <v>.</v>
      </c>
    </row>
    <row r="379" spans="1:48" ht="15" customHeight="1">
      <c r="A379" s="18" t="s">
        <v>1156</v>
      </c>
      <c r="B379" s="18" t="s">
        <v>1136</v>
      </c>
      <c r="C379" s="511" t="s">
        <v>1163</v>
      </c>
      <c r="D379" s="18" t="s">
        <v>252</v>
      </c>
      <c r="E379" s="18" t="s">
        <v>1157</v>
      </c>
      <c r="F379" s="816" t="s">
        <v>1158</v>
      </c>
      <c r="G379" s="39" t="s">
        <v>332</v>
      </c>
      <c r="H379" s="523">
        <v>1540932942</v>
      </c>
      <c r="I379" s="524" t="s">
        <v>1202</v>
      </c>
      <c r="J379" s="276" t="str">
        <f>VLOOKUP($I379,'Price List, Weapons &amp; Items'!A:B,2,0)</f>
        <v>Military equipment</v>
      </c>
      <c r="K379" s="276" t="str">
        <f>IF(I379=".",I379,VLOOKUP($I379,'Price List, Weapons &amp; Items'!A:C,3,0))</f>
        <v>.</v>
      </c>
      <c r="L379" s="514">
        <f>VLOOKUP(I379,'Price List, Weapons &amp; Items'!A:D,4,0)</f>
        <v>0</v>
      </c>
      <c r="M379" s="515">
        <v>90</v>
      </c>
      <c r="N379" s="515">
        <v>0</v>
      </c>
      <c r="O379" s="516">
        <f>VLOOKUP($I379,'Price List, Weapons &amp; Items'!A:F,6,0)</f>
        <v>350000</v>
      </c>
      <c r="P379" s="513">
        <f t="shared" si="84"/>
        <v>31500000</v>
      </c>
      <c r="Q379" s="513">
        <f t="shared" si="85"/>
        <v>0</v>
      </c>
      <c r="R379" s="513" t="str">
        <f t="shared" si="73"/>
        <v/>
      </c>
      <c r="S379" s="513" t="str">
        <f>IF(AND(AD379=1,R379&lt;&gt;".")=TRUE,R379/VLOOKUP(G379,'Exchange rates'!B:C,2,0),IF(R379=".",".",""))</f>
        <v/>
      </c>
      <c r="T379" s="513" t="str">
        <f>IF(AD379=1,IF(AF379="Value is not given at all",".",IF(AF379="Value is given by the source",S379,IF(AF379="Value is calculated with prices",(IF(SUMIFS(Q:Q,A:A,A379)&gt;0,SUMIFS(Q:Q,A:A,A379),"."))/VLOOKUP("USD",'Exchange rates'!B:C,2,0),"Error with coding"))),"")</f>
        <v/>
      </c>
      <c r="U379" s="39" t="s">
        <v>233</v>
      </c>
      <c r="V379" s="376" t="s">
        <v>1160</v>
      </c>
      <c r="W379" s="376" t="s">
        <v>1203</v>
      </c>
      <c r="X379" s="376" t="s">
        <v>1162</v>
      </c>
      <c r="Y379" s="376" t="s">
        <v>232</v>
      </c>
      <c r="Z379" s="39">
        <v>0</v>
      </c>
      <c r="AA379" s="518">
        <v>1</v>
      </c>
      <c r="AB379" s="395" t="s">
        <v>1204</v>
      </c>
      <c r="AC379" s="519" t="str">
        <f>""</f>
        <v/>
      </c>
      <c r="AD379" s="522">
        <v>0</v>
      </c>
      <c r="AE379" s="522" t="s">
        <v>236</v>
      </c>
      <c r="AF379" s="522" t="s">
        <v>237</v>
      </c>
      <c r="AG379" s="522">
        <v>0</v>
      </c>
      <c r="AH379" s="522">
        <v>0</v>
      </c>
      <c r="AI379" s="522">
        <v>0</v>
      </c>
      <c r="AJ379" s="520">
        <f>VLOOKUP($I379,'Price List, Weapons &amp; Items'!A:E,5,0)</f>
        <v>0</v>
      </c>
      <c r="AK379" s="520">
        <f t="shared" si="74"/>
        <v>0</v>
      </c>
      <c r="AL379" s="520">
        <f t="shared" si="75"/>
        <v>0</v>
      </c>
      <c r="AM379" s="520">
        <f t="shared" si="76"/>
        <v>0</v>
      </c>
      <c r="AN379" s="521" t="str">
        <f>VLOOKUP($I379,'Price List, Weapons &amp; Items'!A:K,COLUMN('Price List, Weapons &amp; Items'!$I$1),0)</f>
        <v>Media reports (incl. social media)</v>
      </c>
      <c r="AO379" s="521" t="str">
        <f>IF(I379=".",".",VLOOKUP($I379,'Price List, Weapons &amp; Items'!A:I,3,0))</f>
        <v>.</v>
      </c>
      <c r="AP379" s="517" t="str">
        <f t="shared" ca="1" si="83"/>
        <v/>
      </c>
      <c r="AQ379" s="521">
        <f>VLOOKUP($I379,'Price List, Weapons &amp; Items'!A:K,COLUMN('Price List, Weapons &amp; Items'!$K$1),0)</f>
        <v>2</v>
      </c>
      <c r="AS379" s="521">
        <f t="shared" si="77"/>
        <v>1</v>
      </c>
      <c r="AT379" s="521">
        <f t="shared" si="78"/>
        <v>1</v>
      </c>
      <c r="AU379" s="521" t="str">
        <f t="shared" si="79"/>
        <v>Value is not in date format</v>
      </c>
      <c r="AV379" s="521" t="str">
        <f t="shared" si="80"/>
        <v>.</v>
      </c>
    </row>
    <row r="380" spans="1:48" ht="15" customHeight="1">
      <c r="A380" s="18" t="s">
        <v>1156</v>
      </c>
      <c r="B380" s="18" t="s">
        <v>1136</v>
      </c>
      <c r="C380" s="511" t="s">
        <v>1163</v>
      </c>
      <c r="D380" s="18" t="s">
        <v>252</v>
      </c>
      <c r="E380" s="18" t="s">
        <v>1157</v>
      </c>
      <c r="F380" s="816" t="s">
        <v>1158</v>
      </c>
      <c r="G380" s="39" t="s">
        <v>332</v>
      </c>
      <c r="H380" s="523">
        <v>1540932933</v>
      </c>
      <c r="I380" s="524" t="s">
        <v>1205</v>
      </c>
      <c r="J380" s="276" t="str">
        <f>VLOOKUP($I380,'Price List, Weapons &amp; Items'!A:B,2,0)</f>
        <v>Military equipment</v>
      </c>
      <c r="K380" s="276" t="str">
        <f>IF(I380=".",I380,VLOOKUP($I380,'Price List, Weapons &amp; Items'!A:C,3,0))</f>
        <v>radar of imagery systems</v>
      </c>
      <c r="L380" s="514">
        <f>VLOOKUP(I380,'Price List, Weapons &amp; Items'!A:D,4,0)</f>
        <v>0</v>
      </c>
      <c r="M380" s="515">
        <v>1</v>
      </c>
      <c r="N380" s="515">
        <v>1</v>
      </c>
      <c r="O380" s="516" t="str">
        <f>VLOOKUP($I380,'Price List, Weapons &amp; Items'!A:F,6,0)</f>
        <v>.</v>
      </c>
      <c r="P380" s="513" t="str">
        <f t="shared" si="84"/>
        <v>No price</v>
      </c>
      <c r="Q380" s="513" t="str">
        <f t="shared" si="85"/>
        <v>No price</v>
      </c>
      <c r="R380" s="513" t="str">
        <f t="shared" si="73"/>
        <v/>
      </c>
      <c r="S380" s="513" t="str">
        <f>IF(AND(AD380=1,R380&lt;&gt;".")=TRUE,R380/VLOOKUP(G380,'Exchange rates'!B:C,2,0),IF(R380=".",".",""))</f>
        <v/>
      </c>
      <c r="T380" s="513" t="str">
        <f>IF(AD380=1,IF(AF380="Value is not given at all",".",IF(AF380="Value is given by the source",S380,IF(AF380="Value is calculated with prices",(IF(SUMIFS(Q:Q,A:A,A380)&gt;0,SUMIFS(Q:Q,A:A,A380),"."))/VLOOKUP("USD",'Exchange rates'!B:C,2,0),"Error with coding"))),"")</f>
        <v/>
      </c>
      <c r="U380" s="39" t="s">
        <v>233</v>
      </c>
      <c r="V380" s="376" t="s">
        <v>1160</v>
      </c>
      <c r="W380" s="376" t="s">
        <v>1161</v>
      </c>
      <c r="X380" s="376" t="s">
        <v>1162</v>
      </c>
      <c r="Y380" s="376" t="s">
        <v>232</v>
      </c>
      <c r="Z380" s="39">
        <v>0</v>
      </c>
      <c r="AA380" s="518">
        <v>1</v>
      </c>
      <c r="AB380" s="395" t="s">
        <v>1203</v>
      </c>
      <c r="AC380" s="519" t="str">
        <f>""</f>
        <v/>
      </c>
      <c r="AD380" s="522">
        <v>0</v>
      </c>
      <c r="AE380" s="522" t="s">
        <v>236</v>
      </c>
      <c r="AF380" s="522" t="s">
        <v>237</v>
      </c>
      <c r="AG380" s="522">
        <v>0</v>
      </c>
      <c r="AH380" s="522">
        <v>0</v>
      </c>
      <c r="AI380" s="522">
        <v>0</v>
      </c>
      <c r="AJ380" s="520">
        <f>VLOOKUP($I380,'Price List, Weapons &amp; Items'!A:E,5,0)</f>
        <v>0</v>
      </c>
      <c r="AK380" s="520">
        <f t="shared" si="74"/>
        <v>0</v>
      </c>
      <c r="AL380" s="520">
        <f t="shared" si="75"/>
        <v>0</v>
      </c>
      <c r="AM380" s="520">
        <f t="shared" si="76"/>
        <v>0</v>
      </c>
      <c r="AN380" s="521" t="str">
        <f>VLOOKUP($I380,'Price List, Weapons &amp; Items'!A:K,COLUMN('Price List, Weapons &amp; Items'!$I$1),0)</f>
        <v>.</v>
      </c>
      <c r="AO380" s="521" t="str">
        <f>IF(I380=".",".",VLOOKUP($I380,'Price List, Weapons &amp; Items'!A:I,3,0))</f>
        <v>radar of imagery systems</v>
      </c>
      <c r="AP380" s="517" t="str">
        <f t="shared" ca="1" si="83"/>
        <v/>
      </c>
      <c r="AQ380" s="521">
        <f>VLOOKUP($I380,'Price List, Weapons &amp; Items'!A:K,COLUMN('Price List, Weapons &amp; Items'!$K$1),0)</f>
        <v>0</v>
      </c>
      <c r="AS380" s="521">
        <f t="shared" si="77"/>
        <v>1</v>
      </c>
      <c r="AT380" s="521">
        <f t="shared" si="78"/>
        <v>1</v>
      </c>
      <c r="AU380" s="521" t="str">
        <f t="shared" si="79"/>
        <v>Value is not in date format</v>
      </c>
      <c r="AV380" s="521" t="str">
        <f t="shared" si="80"/>
        <v>.</v>
      </c>
    </row>
    <row r="381" spans="1:48" ht="15" customHeight="1">
      <c r="A381" s="18" t="s">
        <v>1156</v>
      </c>
      <c r="B381" s="18" t="s">
        <v>1136</v>
      </c>
      <c r="C381" s="511" t="s">
        <v>1163</v>
      </c>
      <c r="D381" s="18" t="s">
        <v>252</v>
      </c>
      <c r="E381" s="18" t="s">
        <v>1157</v>
      </c>
      <c r="F381" s="816" t="s">
        <v>1158</v>
      </c>
      <c r="G381" s="39" t="s">
        <v>332</v>
      </c>
      <c r="H381" s="523">
        <v>1540932933</v>
      </c>
      <c r="I381" s="524" t="s">
        <v>1206</v>
      </c>
      <c r="J381" s="276" t="str">
        <f>VLOOKUP($I381,'Price List, Weapons &amp; Items'!A:B,2,0)</f>
        <v>Heavy weapon</v>
      </c>
      <c r="K381" s="276" t="str">
        <f>IF(I381=".",I381,VLOOKUP($I381,'Price List, Weapons &amp; Items'!A:C,3,0))</f>
        <v>Armoured Utility Vehicle (AUV)</v>
      </c>
      <c r="L381" s="514">
        <f>VLOOKUP(I381,'Price List, Weapons &amp; Items'!A:D,4,0)</f>
        <v>0</v>
      </c>
      <c r="M381" s="515">
        <v>10</v>
      </c>
      <c r="N381" s="515">
        <v>10</v>
      </c>
      <c r="O381" s="516">
        <f>VLOOKUP($I381,'Price List, Weapons &amp; Items'!A:F,6,0)</f>
        <v>254717</v>
      </c>
      <c r="P381" s="513">
        <f t="shared" si="84"/>
        <v>2547170</v>
      </c>
      <c r="Q381" s="513">
        <f t="shared" si="85"/>
        <v>2547170</v>
      </c>
      <c r="R381" s="513" t="str">
        <f t="shared" si="73"/>
        <v/>
      </c>
      <c r="S381" s="513" t="str">
        <f>IF(AND(AD381=1,R381&lt;&gt;".")=TRUE,R381/VLOOKUP(G381,'Exchange rates'!B:C,2,0),IF(R381=".",".",""))</f>
        <v/>
      </c>
      <c r="T381" s="513" t="str">
        <f>IF(AD381=1,IF(AF381="Value is not given at all",".",IF(AF381="Value is given by the source",S381,IF(AF381="Value is calculated with prices",(IF(SUMIFS(Q:Q,A:A,A381)&gt;0,SUMIFS(Q:Q,A:A,A381),"."))/VLOOKUP("USD",'Exchange rates'!B:C,2,0),"Error with coding"))),"")</f>
        <v/>
      </c>
      <c r="U381" s="39" t="s">
        <v>233</v>
      </c>
      <c r="V381" s="376" t="s">
        <v>1160</v>
      </c>
      <c r="W381" s="376" t="s">
        <v>1161</v>
      </c>
      <c r="X381" s="376" t="s">
        <v>1162</v>
      </c>
      <c r="Y381" s="376" t="s">
        <v>232</v>
      </c>
      <c r="Z381" s="39">
        <v>0</v>
      </c>
      <c r="AA381" s="518">
        <v>1</v>
      </c>
      <c r="AB381" s="395" t="s">
        <v>1172</v>
      </c>
      <c r="AC381" s="519" t="str">
        <f>""</f>
        <v/>
      </c>
      <c r="AD381" s="522">
        <v>0</v>
      </c>
      <c r="AE381" s="522" t="s">
        <v>236</v>
      </c>
      <c r="AF381" s="522" t="s">
        <v>237</v>
      </c>
      <c r="AG381" s="522">
        <v>0</v>
      </c>
      <c r="AH381" s="522">
        <v>0</v>
      </c>
      <c r="AI381" s="522">
        <v>0</v>
      </c>
      <c r="AJ381" s="520">
        <f>VLOOKUP($I381,'Price List, Weapons &amp; Items'!A:E,5,0)</f>
        <v>1</v>
      </c>
      <c r="AK381" s="520">
        <f t="shared" si="74"/>
        <v>0</v>
      </c>
      <c r="AL381" s="520">
        <f t="shared" si="75"/>
        <v>0</v>
      </c>
      <c r="AM381" s="520">
        <f t="shared" si="76"/>
        <v>0</v>
      </c>
      <c r="AN381" s="521" t="str">
        <f>VLOOKUP($I381,'Price List, Weapons &amp; Items'!A:K,COLUMN('Price List, Weapons &amp; Items'!$I$1),0)</f>
        <v>Military media (incl. websites)</v>
      </c>
      <c r="AO381" s="521" t="str">
        <f>IF(I381=".",".",VLOOKUP($I381,'Price List, Weapons &amp; Items'!A:I,3,0))</f>
        <v>Armoured Utility Vehicle (AUV)</v>
      </c>
      <c r="AP381" s="517" t="str">
        <f t="shared" ca="1" si="83"/>
        <v/>
      </c>
      <c r="AQ381" s="521">
        <f>VLOOKUP($I381,'Price List, Weapons &amp; Items'!A:K,COLUMN('Price List, Weapons &amp; Items'!$K$1),0)</f>
        <v>2</v>
      </c>
      <c r="AS381" s="521">
        <f t="shared" si="77"/>
        <v>1</v>
      </c>
      <c r="AT381" s="521">
        <f t="shared" si="78"/>
        <v>1</v>
      </c>
      <c r="AU381" s="521" t="str">
        <f t="shared" si="79"/>
        <v>Value is not in date format</v>
      </c>
      <c r="AV381" s="521" t="str">
        <f t="shared" si="80"/>
        <v>.</v>
      </c>
    </row>
    <row r="382" spans="1:48" ht="15" customHeight="1">
      <c r="A382" s="18" t="s">
        <v>1156</v>
      </c>
      <c r="B382" s="18" t="s">
        <v>1136</v>
      </c>
      <c r="C382" s="511" t="s">
        <v>1163</v>
      </c>
      <c r="D382" s="18" t="s">
        <v>252</v>
      </c>
      <c r="E382" s="18" t="s">
        <v>1157</v>
      </c>
      <c r="F382" s="816" t="s">
        <v>1158</v>
      </c>
      <c r="G382" s="39" t="s">
        <v>332</v>
      </c>
      <c r="H382" s="523">
        <v>1540932933</v>
      </c>
      <c r="I382" s="524" t="s">
        <v>1207</v>
      </c>
      <c r="J382" s="276" t="str">
        <f>VLOOKUP($I382,'Price List, Weapons &amp; Items'!A:B,2,0)</f>
        <v>Humanitarian</v>
      </c>
      <c r="K382" s="276" t="str">
        <f>IF(I382=".",I382,VLOOKUP($I382,'Price List, Weapons &amp; Items'!A:C,3,0))</f>
        <v>.</v>
      </c>
      <c r="L382" s="514">
        <f>VLOOKUP(I382,'Price List, Weapons &amp; Items'!A:D,4,0)</f>
        <v>0</v>
      </c>
      <c r="M382" s="515">
        <v>1200</v>
      </c>
      <c r="N382" s="515">
        <v>1200</v>
      </c>
      <c r="O382" s="516">
        <f>VLOOKUP($I382,'Price List, Weapons &amp; Items'!A:F,6,0)</f>
        <v>6000</v>
      </c>
      <c r="P382" s="513">
        <f t="shared" si="84"/>
        <v>7200000</v>
      </c>
      <c r="Q382" s="513">
        <f t="shared" si="85"/>
        <v>7200000</v>
      </c>
      <c r="R382" s="513" t="str">
        <f t="shared" si="73"/>
        <v/>
      </c>
      <c r="S382" s="513" t="str">
        <f>IF(AND(AD382=1,R382&lt;&gt;".")=TRUE,R382/VLOOKUP(G382,'Exchange rates'!B:C,2,0),IF(R382=".",".",""))</f>
        <v/>
      </c>
      <c r="T382" s="513" t="str">
        <f>IF(AD382=1,IF(AF382="Value is not given at all",".",IF(AF382="Value is given by the source",S382,IF(AF382="Value is calculated with prices",(IF(SUMIFS(Q:Q,A:A,A382)&gt;0,SUMIFS(Q:Q,A:A,A382),"."))/VLOOKUP("USD",'Exchange rates'!B:C,2,0),"Error with coding"))),"")</f>
        <v/>
      </c>
      <c r="U382" s="39" t="s">
        <v>233</v>
      </c>
      <c r="V382" s="376" t="s">
        <v>1160</v>
      </c>
      <c r="W382" s="376" t="s">
        <v>1161</v>
      </c>
      <c r="X382" s="376" t="s">
        <v>1162</v>
      </c>
      <c r="Y382" s="376" t="s">
        <v>232</v>
      </c>
      <c r="Z382" s="39">
        <v>0</v>
      </c>
      <c r="AA382" s="518">
        <v>0</v>
      </c>
      <c r="AB382" s="395" t="s">
        <v>1161</v>
      </c>
      <c r="AC382" s="519" t="str">
        <f>""</f>
        <v/>
      </c>
      <c r="AD382" s="522">
        <v>0</v>
      </c>
      <c r="AE382" s="522" t="s">
        <v>236</v>
      </c>
      <c r="AF382" s="522" t="s">
        <v>237</v>
      </c>
      <c r="AG382" s="522">
        <v>0</v>
      </c>
      <c r="AH382" s="522">
        <v>0</v>
      </c>
      <c r="AI382" s="522">
        <v>0</v>
      </c>
      <c r="AJ382" s="520">
        <f>VLOOKUP($I382,'Price List, Weapons &amp; Items'!A:E,5,0)</f>
        <v>0</v>
      </c>
      <c r="AK382" s="520">
        <f t="shared" si="74"/>
        <v>0</v>
      </c>
      <c r="AL382" s="520">
        <f t="shared" si="75"/>
        <v>0</v>
      </c>
      <c r="AM382" s="520">
        <f t="shared" si="76"/>
        <v>0</v>
      </c>
      <c r="AN382" s="521" t="str">
        <f>VLOOKUP($I382,'Price List, Weapons &amp; Items'!A:K,COLUMN('Price List, Weapons &amp; Items'!$I$1),0)</f>
        <v>Miscellaneous</v>
      </c>
      <c r="AO382" s="521" t="str">
        <f>IF(I382=".",".",VLOOKUP($I382,'Price List, Weapons &amp; Items'!A:I,3,0))</f>
        <v>.</v>
      </c>
      <c r="AP382" s="517" t="str">
        <f t="shared" ca="1" si="83"/>
        <v/>
      </c>
      <c r="AQ382" s="521">
        <f>VLOOKUP($I382,'Price List, Weapons &amp; Items'!A:K,COLUMN('Price List, Weapons &amp; Items'!$K$1),0)</f>
        <v>0</v>
      </c>
      <c r="AS382" s="521">
        <f t="shared" si="77"/>
        <v>1</v>
      </c>
      <c r="AT382" s="521">
        <f t="shared" si="78"/>
        <v>1</v>
      </c>
      <c r="AU382" s="521" t="str">
        <f t="shared" si="79"/>
        <v>Value is not in date format</v>
      </c>
      <c r="AV382" s="521" t="str">
        <f t="shared" si="80"/>
        <v>.</v>
      </c>
    </row>
    <row r="383" spans="1:48" ht="15" customHeight="1">
      <c r="A383" s="18" t="s">
        <v>1156</v>
      </c>
      <c r="B383" s="18" t="s">
        <v>1136</v>
      </c>
      <c r="C383" s="511" t="s">
        <v>1163</v>
      </c>
      <c r="D383" s="18" t="s">
        <v>252</v>
      </c>
      <c r="E383" s="18" t="s">
        <v>1157</v>
      </c>
      <c r="F383" s="816" t="s">
        <v>1158</v>
      </c>
      <c r="G383" s="39" t="s">
        <v>332</v>
      </c>
      <c r="H383" s="523">
        <v>1540932933</v>
      </c>
      <c r="I383" s="524" t="s">
        <v>1208</v>
      </c>
      <c r="J383" s="276" t="str">
        <f>VLOOKUP($I383,'Price List, Weapons &amp; Items'!A:B,2,0)</f>
        <v>Heavy weapon</v>
      </c>
      <c r="K383" s="276" t="str">
        <f>IF(I383=".",I383,VLOOKUP($I383,'Price List, Weapons &amp; Items'!A:C,3,0))</f>
        <v>Anti-aircraft surface-to-air missile (SAM) system (medium-range)</v>
      </c>
      <c r="L383" s="514">
        <f>VLOOKUP(I383,'Price List, Weapons &amp; Items'!A:D,4,0)</f>
        <v>0</v>
      </c>
      <c r="M383" s="515">
        <v>4</v>
      </c>
      <c r="N383" s="515">
        <v>1</v>
      </c>
      <c r="O383" s="516">
        <f>VLOOKUP($I383,'Price List, Weapons &amp; Items'!A:F,6,0)</f>
        <v>140490000</v>
      </c>
      <c r="P383" s="513">
        <f t="shared" si="84"/>
        <v>561960000</v>
      </c>
      <c r="Q383" s="513">
        <f t="shared" si="85"/>
        <v>140490000</v>
      </c>
      <c r="R383" s="513" t="str">
        <f t="shared" si="73"/>
        <v/>
      </c>
      <c r="S383" s="513" t="str">
        <f>IF(AND(AD383=1,R383&lt;&gt;".")=TRUE,R383/VLOOKUP(G383,'Exchange rates'!B:C,2,0),IF(R383=".",".",""))</f>
        <v/>
      </c>
      <c r="T383" s="513" t="str">
        <f>IF(AD383=1,IF(AF383="Value is not given at all",".",IF(AF383="Value is given by the source",S383,IF(AF383="Value is calculated with prices",(IF(SUMIFS(Q:Q,A:A,A383)&gt;0,SUMIFS(Q:Q,A:A,A383),"."))/VLOOKUP("USD",'Exchange rates'!B:C,2,0),"Error with coding"))),"")</f>
        <v/>
      </c>
      <c r="U383" s="39" t="s">
        <v>233</v>
      </c>
      <c r="V383" s="376" t="s">
        <v>1160</v>
      </c>
      <c r="W383" s="376" t="s">
        <v>1161</v>
      </c>
      <c r="X383" s="376" t="s">
        <v>1162</v>
      </c>
      <c r="Y383" s="376" t="s">
        <v>232</v>
      </c>
      <c r="Z383" s="39">
        <v>0</v>
      </c>
      <c r="AA383" s="518">
        <v>1</v>
      </c>
      <c r="AB383" s="395" t="s">
        <v>1161</v>
      </c>
      <c r="AC383" s="519" t="str">
        <f>""</f>
        <v/>
      </c>
      <c r="AD383" s="522">
        <v>0</v>
      </c>
      <c r="AE383" s="522" t="s">
        <v>236</v>
      </c>
      <c r="AF383" s="522" t="s">
        <v>237</v>
      </c>
      <c r="AG383" s="522">
        <v>0</v>
      </c>
      <c r="AH383" s="522">
        <v>0</v>
      </c>
      <c r="AI383" s="522">
        <v>0</v>
      </c>
      <c r="AJ383" s="520">
        <f>VLOOKUP($I383,'Price List, Weapons &amp; Items'!A:E,5,0)</f>
        <v>0</v>
      </c>
      <c r="AK383" s="520">
        <f t="shared" si="74"/>
        <v>0</v>
      </c>
      <c r="AL383" s="520">
        <f t="shared" si="75"/>
        <v>0</v>
      </c>
      <c r="AM383" s="520">
        <f t="shared" si="76"/>
        <v>0</v>
      </c>
      <c r="AN383" s="521" t="str">
        <f>VLOOKUP($I383,'Price List, Weapons &amp; Items'!A:K,COLUMN('Price List, Weapons &amp; Items'!$I$1),0)</f>
        <v>Media reports (incl. social media)</v>
      </c>
      <c r="AO383" s="521" t="str">
        <f>IF(I383=".",".",VLOOKUP($I383,'Price List, Weapons &amp; Items'!A:I,3,0))</f>
        <v>Anti-aircraft surface-to-air missile (SAM) system (medium-range)</v>
      </c>
      <c r="AP383" s="517" t="str">
        <f t="shared" ca="1" si="83"/>
        <v/>
      </c>
      <c r="AQ383" s="521">
        <f>VLOOKUP($I383,'Price List, Weapons &amp; Items'!A:K,COLUMN('Price List, Weapons &amp; Items'!$K$1),0)</f>
        <v>2</v>
      </c>
      <c r="AS383" s="521">
        <f t="shared" si="77"/>
        <v>1</v>
      </c>
      <c r="AT383" s="521">
        <f t="shared" si="78"/>
        <v>1</v>
      </c>
      <c r="AU383" s="521" t="str">
        <f t="shared" si="79"/>
        <v>Value is not in date format</v>
      </c>
      <c r="AV383" s="521" t="str">
        <f t="shared" si="80"/>
        <v>.</v>
      </c>
    </row>
    <row r="384" spans="1:48" ht="15" customHeight="1">
      <c r="A384" s="18" t="s">
        <v>1156</v>
      </c>
      <c r="B384" s="18" t="s">
        <v>1136</v>
      </c>
      <c r="C384" s="511" t="s">
        <v>1163</v>
      </c>
      <c r="D384" s="18" t="s">
        <v>252</v>
      </c>
      <c r="E384" s="18" t="s">
        <v>1157</v>
      </c>
      <c r="F384" s="816" t="s">
        <v>1158</v>
      </c>
      <c r="G384" s="39" t="s">
        <v>332</v>
      </c>
      <c r="H384" s="523">
        <v>1540932933</v>
      </c>
      <c r="I384" s="524" t="s">
        <v>1209</v>
      </c>
      <c r="J384" s="276" t="str">
        <f>VLOOKUP($I384,'Price List, Weapons &amp; Items'!A:B,2,0)</f>
        <v>Ammunition for heavy weapon</v>
      </c>
      <c r="K384" s="276" t="str">
        <f>IF(I384=".",I384,VLOOKUP($I384,'Price List, Weapons &amp; Items'!A:C,3,0))</f>
        <v>Anti-aircraft system ammunition</v>
      </c>
      <c r="L384" s="514">
        <f>VLOOKUP(I384,'Price List, Weapons &amp; Items'!A:D,4,0)</f>
        <v>0</v>
      </c>
      <c r="M384" s="515" t="s">
        <v>264</v>
      </c>
      <c r="N384" s="515" t="s">
        <v>264</v>
      </c>
      <c r="O384" s="516">
        <f>VLOOKUP($I384,'Price List, Weapons &amp; Items'!A:F,6,0)</f>
        <v>616680.63641107001</v>
      </c>
      <c r="P384" s="513" t="str">
        <f t="shared" si="84"/>
        <v>.</v>
      </c>
      <c r="Q384" s="513" t="str">
        <f t="shared" si="85"/>
        <v>.</v>
      </c>
      <c r="R384" s="513" t="str">
        <f t="shared" si="73"/>
        <v/>
      </c>
      <c r="S384" s="513" t="str">
        <f>IF(AND(AD384=1,R384&lt;&gt;".")=TRUE,R384/VLOOKUP(G384,'Exchange rates'!B:C,2,0),IF(R384=".",".",""))</f>
        <v/>
      </c>
      <c r="T384" s="513" t="str">
        <f>IF(AD384=1,IF(AF384="Value is not given at all",".",IF(AF384="Value is given by the source",S384,IF(AF384="Value is calculated with prices",(IF(SUMIFS(Q:Q,A:A,A384)&gt;0,SUMIFS(Q:Q,A:A,A384),"."))/VLOOKUP("USD",'Exchange rates'!B:C,2,0),"Error with coding"))),"")</f>
        <v/>
      </c>
      <c r="U384" s="39" t="s">
        <v>233</v>
      </c>
      <c r="V384" s="376" t="s">
        <v>1160</v>
      </c>
      <c r="W384" s="376" t="s">
        <v>1161</v>
      </c>
      <c r="X384" s="376" t="s">
        <v>1162</v>
      </c>
      <c r="Y384" s="376" t="s">
        <v>232</v>
      </c>
      <c r="Z384" s="39">
        <v>0</v>
      </c>
      <c r="AA384" s="518">
        <v>1</v>
      </c>
      <c r="AB384" s="395" t="s">
        <v>1210</v>
      </c>
      <c r="AC384" s="519" t="str">
        <f>""</f>
        <v/>
      </c>
      <c r="AD384" s="522">
        <v>0</v>
      </c>
      <c r="AE384" s="522" t="s">
        <v>236</v>
      </c>
      <c r="AF384" s="522" t="s">
        <v>237</v>
      </c>
      <c r="AG384" s="522">
        <v>0</v>
      </c>
      <c r="AH384" s="522">
        <v>0</v>
      </c>
      <c r="AI384" s="522">
        <v>0</v>
      </c>
      <c r="AJ384" s="520">
        <f>VLOOKUP($I384,'Price List, Weapons &amp; Items'!A:E,5,0)</f>
        <v>0</v>
      </c>
      <c r="AK384" s="520">
        <f t="shared" si="74"/>
        <v>0</v>
      </c>
      <c r="AL384" s="520">
        <f t="shared" si="75"/>
        <v>0</v>
      </c>
      <c r="AM384" s="520">
        <f t="shared" si="76"/>
        <v>0</v>
      </c>
      <c r="AN384" s="521" t="str">
        <f>VLOOKUP($I384,'Price List, Weapons &amp; Items'!A:K,COLUMN('Price List, Weapons &amp; Items'!$I$1),0)</f>
        <v>Contracts</v>
      </c>
      <c r="AO384" s="521" t="str">
        <f>IF(I384=".",".",VLOOKUP($I384,'Price List, Weapons &amp; Items'!A:I,3,0))</f>
        <v>Anti-aircraft system ammunition</v>
      </c>
      <c r="AP384" s="517" t="str">
        <f t="shared" ca="1" si="83"/>
        <v/>
      </c>
      <c r="AQ384" s="521" t="str">
        <f>VLOOKUP($I384,'Price List, Weapons &amp; Items'!A:K,COLUMN('Price List, Weapons &amp; Items'!$K$1),0)</f>
        <v>no price, 0 count</v>
      </c>
      <c r="AS384" s="521">
        <f t="shared" si="77"/>
        <v>1</v>
      </c>
      <c r="AT384" s="521">
        <f t="shared" si="78"/>
        <v>1</v>
      </c>
      <c r="AU384" s="521" t="str">
        <f t="shared" si="79"/>
        <v>Value is not in date format</v>
      </c>
      <c r="AV384" s="521" t="str">
        <f t="shared" si="80"/>
        <v>.</v>
      </c>
    </row>
    <row r="385" spans="1:48" ht="15" customHeight="1">
      <c r="A385" s="18" t="s">
        <v>1156</v>
      </c>
      <c r="B385" s="18" t="s">
        <v>1136</v>
      </c>
      <c r="C385" s="511" t="s">
        <v>1163</v>
      </c>
      <c r="D385" s="18" t="s">
        <v>252</v>
      </c>
      <c r="E385" s="18" t="s">
        <v>1157</v>
      </c>
      <c r="F385" s="816" t="s">
        <v>1158</v>
      </c>
      <c r="G385" s="39" t="s">
        <v>332</v>
      </c>
      <c r="H385" s="523">
        <v>1540932933</v>
      </c>
      <c r="I385" s="524" t="s">
        <v>861</v>
      </c>
      <c r="J385" s="276" t="str">
        <f>VLOOKUP($I385,'Price List, Weapons &amp; Items'!A:B,2,0)</f>
        <v>Military equipment</v>
      </c>
      <c r="K385" s="276" t="str">
        <f>IF(I385=".",I385,VLOOKUP($I385,'Price List, Weapons &amp; Items'!A:C,3,0))</f>
        <v>.</v>
      </c>
      <c r="L385" s="514">
        <f>VLOOKUP(I385,'Price List, Weapons &amp; Items'!A:D,4,0)</f>
        <v>0</v>
      </c>
      <c r="M385" s="515">
        <v>38</v>
      </c>
      <c r="N385" s="515">
        <v>38</v>
      </c>
      <c r="O385" s="516">
        <f>VLOOKUP($I385,'Price List, Weapons &amp; Items'!A:F,6,0)</f>
        <v>51404</v>
      </c>
      <c r="P385" s="513">
        <f t="shared" si="84"/>
        <v>1953352</v>
      </c>
      <c r="Q385" s="513">
        <f t="shared" si="85"/>
        <v>1953352</v>
      </c>
      <c r="R385" s="513" t="str">
        <f t="shared" si="73"/>
        <v/>
      </c>
      <c r="S385" s="513" t="str">
        <f>IF(AND(AD385=1,R385&lt;&gt;".")=TRUE,R385/VLOOKUP(G385,'Exchange rates'!B:C,2,0),IF(R385=".",".",""))</f>
        <v/>
      </c>
      <c r="T385" s="513" t="str">
        <f>IF(AD385=1,IF(AF385="Value is not given at all",".",IF(AF385="Value is given by the source",S385,IF(AF385="Value is calculated with prices",(IF(SUMIFS(Q:Q,A:A,A385)&gt;0,SUMIFS(Q:Q,A:A,A385),"."))/VLOOKUP("USD",'Exchange rates'!B:C,2,0),"Error with coding"))),"")</f>
        <v/>
      </c>
      <c r="U385" s="39" t="s">
        <v>233</v>
      </c>
      <c r="V385" s="376" t="s">
        <v>1160</v>
      </c>
      <c r="W385" s="376" t="s">
        <v>1161</v>
      </c>
      <c r="X385" s="376" t="s">
        <v>1162</v>
      </c>
      <c r="Y385" s="376" t="s">
        <v>232</v>
      </c>
      <c r="Z385" s="39">
        <v>0</v>
      </c>
      <c r="AA385" s="518">
        <v>0</v>
      </c>
      <c r="AB385" s="395" t="s">
        <v>1161</v>
      </c>
      <c r="AC385" s="519" t="str">
        <f>""</f>
        <v/>
      </c>
      <c r="AD385" s="522">
        <v>0</v>
      </c>
      <c r="AE385" s="522" t="s">
        <v>236</v>
      </c>
      <c r="AF385" s="522" t="s">
        <v>237</v>
      </c>
      <c r="AG385" s="522">
        <v>0</v>
      </c>
      <c r="AH385" s="522">
        <v>0</v>
      </c>
      <c r="AI385" s="522">
        <v>0</v>
      </c>
      <c r="AJ385" s="520">
        <f>VLOOKUP($I385,'Price List, Weapons &amp; Items'!A:E,5,0)</f>
        <v>0</v>
      </c>
      <c r="AK385" s="520">
        <f t="shared" si="74"/>
        <v>0</v>
      </c>
      <c r="AL385" s="520">
        <f t="shared" si="75"/>
        <v>0</v>
      </c>
      <c r="AM385" s="520">
        <f t="shared" si="76"/>
        <v>0</v>
      </c>
      <c r="AN385" s="521" t="str">
        <f>VLOOKUP($I385,'Price List, Weapons &amp; Items'!A:K,COLUMN('Price List, Weapons &amp; Items'!$I$1),0)</f>
        <v>Contracts</v>
      </c>
      <c r="AO385" s="521" t="str">
        <f>IF(I385=".",".",VLOOKUP($I385,'Price List, Weapons &amp; Items'!A:I,3,0))</f>
        <v>.</v>
      </c>
      <c r="AP385" s="517" t="str">
        <f t="shared" ca="1" si="83"/>
        <v/>
      </c>
      <c r="AQ385" s="521">
        <f>VLOOKUP($I385,'Price List, Weapons &amp; Items'!A:K,COLUMN('Price List, Weapons &amp; Items'!$K$1),0)</f>
        <v>2</v>
      </c>
      <c r="AS385" s="521">
        <f t="shared" si="77"/>
        <v>1</v>
      </c>
      <c r="AT385" s="521">
        <f t="shared" si="78"/>
        <v>1</v>
      </c>
      <c r="AU385" s="521" t="str">
        <f t="shared" si="79"/>
        <v>Value is not in date format</v>
      </c>
      <c r="AV385" s="521" t="str">
        <f t="shared" si="80"/>
        <v>.</v>
      </c>
    </row>
    <row r="386" spans="1:48" ht="15" customHeight="1">
      <c r="A386" s="18" t="s">
        <v>1156</v>
      </c>
      <c r="B386" s="18" t="s">
        <v>1136</v>
      </c>
      <c r="C386" s="511" t="s">
        <v>1163</v>
      </c>
      <c r="D386" s="18" t="s">
        <v>252</v>
      </c>
      <c r="E386" s="18" t="s">
        <v>1157</v>
      </c>
      <c r="F386" s="816" t="s">
        <v>1158</v>
      </c>
      <c r="G386" s="39" t="s">
        <v>332</v>
      </c>
      <c r="H386" s="523">
        <v>1540932933</v>
      </c>
      <c r="I386" s="524" t="s">
        <v>1211</v>
      </c>
      <c r="J386" s="276" t="str">
        <f>VLOOKUP($I386,'Price List, Weapons &amp; Items'!A:B,2,0)</f>
        <v>Military equipment</v>
      </c>
      <c r="K386" s="276" t="str">
        <f>IF(I386=".",I386,VLOOKUP($I386,'Price List, Weapons &amp; Items'!A:C,3,0))</f>
        <v>radar or imagery systems</v>
      </c>
      <c r="L386" s="514">
        <f>VLOOKUP(I386,'Price List, Weapons &amp; Items'!A:D,4,0)</f>
        <v>0</v>
      </c>
      <c r="M386" s="515">
        <v>20</v>
      </c>
      <c r="N386" s="515">
        <v>20</v>
      </c>
      <c r="O386" s="516">
        <f>VLOOKUP($I386,'Price List, Weapons &amp; Items'!A:F,6,0)</f>
        <v>102216.33</v>
      </c>
      <c r="P386" s="513">
        <f t="shared" si="84"/>
        <v>2044326.6</v>
      </c>
      <c r="Q386" s="513">
        <f t="shared" si="85"/>
        <v>2044326.6</v>
      </c>
      <c r="R386" s="513" t="str">
        <f t="shared" ref="R386:R449" si="86">IF(AD386=1,IF(H386&lt;&gt;"Not given",H386,IF(TYPE(H386)=2,IF(SUMIFS(P:P,A:A,A386)&gt;0,SUMIFS(P:P,A:A,A386),"."),"Format error")),"")</f>
        <v/>
      </c>
      <c r="S386" s="513" t="str">
        <f>IF(AND(AD386=1,R386&lt;&gt;".")=TRUE,R386/VLOOKUP(G386,'Exchange rates'!B:C,2,0),IF(R386=".",".",""))</f>
        <v/>
      </c>
      <c r="T386" s="513" t="str">
        <f>IF(AD386=1,IF(AF386="Value is not given at all",".",IF(AF386="Value is given by the source",S386,IF(AF386="Value is calculated with prices",(IF(SUMIFS(Q:Q,A:A,A386)&gt;0,SUMIFS(Q:Q,A:A,A386),"."))/VLOOKUP("USD",'Exchange rates'!B:C,2,0),"Error with coding"))),"")</f>
        <v/>
      </c>
      <c r="U386" s="39" t="s">
        <v>233</v>
      </c>
      <c r="V386" s="376" t="s">
        <v>1160</v>
      </c>
      <c r="W386" s="376" t="s">
        <v>1161</v>
      </c>
      <c r="X386" s="376" t="s">
        <v>1162</v>
      </c>
      <c r="Y386" s="376" t="s">
        <v>232</v>
      </c>
      <c r="Z386" s="39">
        <v>0</v>
      </c>
      <c r="AA386" s="518">
        <v>0</v>
      </c>
      <c r="AB386" s="395" t="s">
        <v>1161</v>
      </c>
      <c r="AC386" s="519" t="str">
        <f>""</f>
        <v/>
      </c>
      <c r="AD386" s="522">
        <v>0</v>
      </c>
      <c r="AE386" s="522" t="s">
        <v>236</v>
      </c>
      <c r="AF386" s="522" t="s">
        <v>237</v>
      </c>
      <c r="AG386" s="522">
        <v>0</v>
      </c>
      <c r="AH386" s="522">
        <v>0</v>
      </c>
      <c r="AI386" s="522">
        <v>0</v>
      </c>
      <c r="AJ386" s="520">
        <f>VLOOKUP($I386,'Price List, Weapons &amp; Items'!A:E,5,0)</f>
        <v>0</v>
      </c>
      <c r="AK386" s="520">
        <f t="shared" si="74"/>
        <v>0</v>
      </c>
      <c r="AL386" s="520">
        <f t="shared" si="75"/>
        <v>0</v>
      </c>
      <c r="AM386" s="520">
        <f t="shared" si="76"/>
        <v>0</v>
      </c>
      <c r="AN386" s="521" t="str">
        <f>VLOOKUP($I386,'Price List, Weapons &amp; Items'!A:K,COLUMN('Price List, Weapons &amp; Items'!$I$1),0)</f>
        <v>Government information</v>
      </c>
      <c r="AO386" s="521" t="str">
        <f>IF(I386=".",".",VLOOKUP($I386,'Price List, Weapons &amp; Items'!A:I,3,0))</f>
        <v>radar or imagery systems</v>
      </c>
      <c r="AP386" s="517" t="str">
        <f t="shared" ca="1" si="83"/>
        <v/>
      </c>
      <c r="AQ386" s="521">
        <f>VLOOKUP($I386,'Price List, Weapons &amp; Items'!A:K,COLUMN('Price List, Weapons &amp; Items'!$K$1),0)</f>
        <v>2</v>
      </c>
      <c r="AS386" s="521">
        <f t="shared" si="77"/>
        <v>1</v>
      </c>
      <c r="AT386" s="521">
        <f t="shared" si="78"/>
        <v>1</v>
      </c>
      <c r="AU386" s="521" t="str">
        <f t="shared" si="79"/>
        <v>Value is not in date format</v>
      </c>
      <c r="AV386" s="521" t="str">
        <f t="shared" si="80"/>
        <v>.</v>
      </c>
    </row>
    <row r="387" spans="1:48" ht="15" customHeight="1">
      <c r="A387" s="18" t="s">
        <v>1156</v>
      </c>
      <c r="B387" s="18" t="s">
        <v>1136</v>
      </c>
      <c r="C387" s="511" t="s">
        <v>1163</v>
      </c>
      <c r="D387" s="18" t="s">
        <v>252</v>
      </c>
      <c r="E387" s="18" t="s">
        <v>1157</v>
      </c>
      <c r="F387" s="816" t="s">
        <v>1158</v>
      </c>
      <c r="G387" s="39" t="s">
        <v>332</v>
      </c>
      <c r="H387" s="523">
        <v>1540932933</v>
      </c>
      <c r="I387" s="524" t="s">
        <v>1212</v>
      </c>
      <c r="J387" s="276" t="str">
        <f>VLOOKUP($I387,'Price List, Weapons &amp; Items'!A:B,2,0)</f>
        <v>Military equipment</v>
      </c>
      <c r="K387" s="276" t="str">
        <f>IF(I387=".",I387,VLOOKUP($I387,'Price List, Weapons &amp; Items'!A:C,3,0))</f>
        <v>.</v>
      </c>
      <c r="L387" s="514">
        <f>VLOOKUP(I387,'Price List, Weapons &amp; Items'!A:D,4,0)</f>
        <v>0</v>
      </c>
      <c r="M387" s="515">
        <v>6</v>
      </c>
      <c r="N387" s="515">
        <v>4</v>
      </c>
      <c r="O387" s="516">
        <f>VLOOKUP($I387,'Price List, Weapons &amp; Items'!A:F,6,0)</f>
        <v>32500</v>
      </c>
      <c r="P387" s="513">
        <f t="shared" si="84"/>
        <v>195000</v>
      </c>
      <c r="Q387" s="513">
        <f t="shared" si="85"/>
        <v>130000</v>
      </c>
      <c r="R387" s="513" t="str">
        <f t="shared" si="86"/>
        <v/>
      </c>
      <c r="S387" s="513" t="str">
        <f>IF(AND(AD387=1,R387&lt;&gt;".")=TRUE,R387/VLOOKUP(G387,'Exchange rates'!B:C,2,0),IF(R387=".",".",""))</f>
        <v/>
      </c>
      <c r="T387" s="513" t="str">
        <f>IF(AD387=1,IF(AF387="Value is not given at all",".",IF(AF387="Value is given by the source",S387,IF(AF387="Value is calculated with prices",(IF(SUMIFS(Q:Q,A:A,A387)&gt;0,SUMIFS(Q:Q,A:A,A387),"."))/VLOOKUP("USD",'Exchange rates'!B:C,2,0),"Error with coding"))),"")</f>
        <v/>
      </c>
      <c r="U387" s="39" t="s">
        <v>233</v>
      </c>
      <c r="V387" s="376" t="s">
        <v>1160</v>
      </c>
      <c r="W387" s="376" t="s">
        <v>1161</v>
      </c>
      <c r="X387" s="376" t="s">
        <v>1162</v>
      </c>
      <c r="Y387" s="376" t="s">
        <v>232</v>
      </c>
      <c r="Z387" s="39">
        <v>0</v>
      </c>
      <c r="AA387" s="518">
        <v>1</v>
      </c>
      <c r="AB387" s="395" t="s">
        <v>1213</v>
      </c>
      <c r="AC387" s="519" t="str">
        <f>""</f>
        <v/>
      </c>
      <c r="AD387" s="522">
        <v>0</v>
      </c>
      <c r="AE387" s="522" t="s">
        <v>236</v>
      </c>
      <c r="AF387" s="522" t="s">
        <v>237</v>
      </c>
      <c r="AG387" s="522">
        <v>0</v>
      </c>
      <c r="AH387" s="522">
        <v>0</v>
      </c>
      <c r="AI387" s="522">
        <v>0</v>
      </c>
      <c r="AJ387" s="520">
        <f>VLOOKUP($I387,'Price List, Weapons &amp; Items'!A:E,5,0)</f>
        <v>0</v>
      </c>
      <c r="AK387" s="520">
        <f t="shared" ref="AK387:AK450" si="87">IF(AND(AJ387=1,M387="undisclosed")=TRUE,1,0)</f>
        <v>0</v>
      </c>
      <c r="AL387" s="520">
        <f t="shared" ref="AL387:AL450" si="88">IF(AND(AJ387=1,N387="undisclosed")=TRUE,1,0)</f>
        <v>0</v>
      </c>
      <c r="AM387" s="520">
        <f t="shared" ref="AM387:AM450" si="89">IFERROR(IF(SEARCH("ammuni",I387,1)&gt;0,1,0),0)</f>
        <v>0</v>
      </c>
      <c r="AN387" s="521" t="str">
        <f>VLOOKUP($I387,'Price List, Weapons &amp; Items'!A:K,COLUMN('Price List, Weapons &amp; Items'!$I$1),0)</f>
        <v>Online marketplaces and stores</v>
      </c>
      <c r="AO387" s="521" t="str">
        <f>IF(I387=".",".",VLOOKUP($I387,'Price List, Weapons &amp; Items'!A:I,3,0))</f>
        <v>.</v>
      </c>
      <c r="AP387" s="517" t="str">
        <f t="shared" ca="1" si="83"/>
        <v/>
      </c>
      <c r="AQ387" s="521">
        <f>VLOOKUP($I387,'Price List, Weapons &amp; Items'!A:K,COLUMN('Price List, Weapons &amp; Items'!$K$1),0)</f>
        <v>1</v>
      </c>
      <c r="AS387" s="521">
        <f t="shared" ref="AS387:AS450" si="90">IF(U387="Yes",1,0)</f>
        <v>1</v>
      </c>
      <c r="AT387" s="521">
        <f t="shared" ref="AT387:AT450" si="91">IF(OR((E387="Weapons"),(E387="Weapons and equipment"),(E387="Weapons and training"),(E387="Weapons and Assistance"),(E387="Military Equipment"))=FALSE,0,1)</f>
        <v>1</v>
      </c>
      <c r="AU387" s="521" t="str">
        <f t="shared" ref="AU387:AU450" si="92">IFERROR(IF(VALUE(TEXT(C387,"mm"))=AH387,".",1),"Value is not in date format")</f>
        <v>Value is not in date format</v>
      </c>
      <c r="AV387" s="521" t="str">
        <f t="shared" si="80"/>
        <v>.</v>
      </c>
    </row>
    <row r="388" spans="1:48" ht="15" customHeight="1">
      <c r="A388" s="18" t="s">
        <v>1156</v>
      </c>
      <c r="B388" s="18" t="s">
        <v>1136</v>
      </c>
      <c r="C388" s="511" t="s">
        <v>1163</v>
      </c>
      <c r="D388" s="18" t="s">
        <v>252</v>
      </c>
      <c r="E388" s="18" t="s">
        <v>1157</v>
      </c>
      <c r="F388" s="816" t="s">
        <v>1158</v>
      </c>
      <c r="G388" s="39" t="s">
        <v>332</v>
      </c>
      <c r="H388" s="523">
        <v>1540932937</v>
      </c>
      <c r="I388" s="524" t="s">
        <v>1214</v>
      </c>
      <c r="J388" s="276" t="str">
        <f>VLOOKUP($I388,'Price List, Weapons &amp; Items'!A:B,2,0)</f>
        <v>Military equipment</v>
      </c>
      <c r="K388" s="276" t="str">
        <f>IF(I388=".",I388,VLOOKUP($I388,'Price List, Weapons &amp; Items'!A:C,3,0))</f>
        <v>.</v>
      </c>
      <c r="L388" s="514">
        <f>VLOOKUP(I388,'Price List, Weapons &amp; Items'!A:D,4,0)</f>
        <v>0</v>
      </c>
      <c r="M388" s="515">
        <v>35</v>
      </c>
      <c r="N388" s="515">
        <v>0</v>
      </c>
      <c r="O388" s="516">
        <f>VLOOKUP($I388,'Price List, Weapons &amp; Items'!A:F,6,0)</f>
        <v>350000</v>
      </c>
      <c r="P388" s="513">
        <f t="shared" si="84"/>
        <v>12250000</v>
      </c>
      <c r="Q388" s="513">
        <f t="shared" si="85"/>
        <v>0</v>
      </c>
      <c r="R388" s="513" t="str">
        <f t="shared" si="86"/>
        <v/>
      </c>
      <c r="S388" s="513" t="str">
        <f>IF(AND(AD388=1,R388&lt;&gt;".")=TRUE,R388/VLOOKUP(G388,'Exchange rates'!B:C,2,0),IF(R388=".",".",""))</f>
        <v/>
      </c>
      <c r="T388" s="513" t="str">
        <f>IF(AD388=1,IF(AF388="Value is not given at all",".",IF(AF388="Value is given by the source",S388,IF(AF388="Value is calculated with prices",(IF(SUMIFS(Q:Q,A:A,A388)&gt;0,SUMIFS(Q:Q,A:A,A388),"."))/VLOOKUP("USD",'Exchange rates'!B:C,2,0),"Error with coding"))),"")</f>
        <v/>
      </c>
      <c r="U388" s="39" t="s">
        <v>233</v>
      </c>
      <c r="V388" s="376" t="s">
        <v>1160</v>
      </c>
      <c r="W388" s="376" t="s">
        <v>1215</v>
      </c>
      <c r="X388" s="376" t="s">
        <v>1162</v>
      </c>
      <c r="Y388" s="376" t="s">
        <v>232</v>
      </c>
      <c r="Z388" s="39">
        <v>0</v>
      </c>
      <c r="AA388" s="518">
        <v>1</v>
      </c>
      <c r="AB388" s="395" t="s">
        <v>1216</v>
      </c>
      <c r="AC388" s="519" t="str">
        <f>""</f>
        <v/>
      </c>
      <c r="AD388" s="522">
        <v>0</v>
      </c>
      <c r="AE388" s="522" t="s">
        <v>236</v>
      </c>
      <c r="AF388" s="522" t="s">
        <v>237</v>
      </c>
      <c r="AG388" s="522">
        <v>0</v>
      </c>
      <c r="AH388" s="522">
        <v>0</v>
      </c>
      <c r="AI388" s="522">
        <v>0</v>
      </c>
      <c r="AJ388" s="520">
        <f>VLOOKUP($I388,'Price List, Weapons &amp; Items'!A:E,5,0)</f>
        <v>0</v>
      </c>
      <c r="AK388" s="520">
        <f t="shared" si="87"/>
        <v>0</v>
      </c>
      <c r="AL388" s="520">
        <f t="shared" si="88"/>
        <v>0</v>
      </c>
      <c r="AM388" s="520">
        <f t="shared" si="89"/>
        <v>0</v>
      </c>
      <c r="AN388" s="521" t="str">
        <f>VLOOKUP($I388,'Price List, Weapons &amp; Items'!A:K,COLUMN('Price List, Weapons &amp; Items'!$I$1),0)</f>
        <v>Media reports (incl. social media)</v>
      </c>
      <c r="AO388" s="521" t="str">
        <f>IF(I388=".",".",VLOOKUP($I388,'Price List, Weapons &amp; Items'!A:I,3,0))</f>
        <v>.</v>
      </c>
      <c r="AP388" s="517" t="str">
        <f t="shared" ca="1" si="83"/>
        <v/>
      </c>
      <c r="AQ388" s="521">
        <f>VLOOKUP($I388,'Price List, Weapons &amp; Items'!A:K,COLUMN('Price List, Weapons &amp; Items'!$K$1),0)</f>
        <v>2</v>
      </c>
      <c r="AS388" s="521">
        <f t="shared" si="90"/>
        <v>1</v>
      </c>
      <c r="AT388" s="521">
        <f t="shared" si="91"/>
        <v>1</v>
      </c>
      <c r="AU388" s="521" t="str">
        <f t="shared" si="92"/>
        <v>Value is not in date format</v>
      </c>
      <c r="AV388" s="521" t="str">
        <f t="shared" ref="AV388:AV451" si="93">IF(AND(A388=A387,C388=C387)=TRUE,IF(F388=F387,".","1"),".")</f>
        <v>.</v>
      </c>
    </row>
    <row r="389" spans="1:48" ht="15" customHeight="1">
      <c r="A389" s="18" t="s">
        <v>1156</v>
      </c>
      <c r="B389" s="18" t="s">
        <v>1136</v>
      </c>
      <c r="C389" s="511" t="s">
        <v>1163</v>
      </c>
      <c r="D389" s="18" t="s">
        <v>252</v>
      </c>
      <c r="E389" s="18" t="s">
        <v>1157</v>
      </c>
      <c r="F389" s="816" t="s">
        <v>1158</v>
      </c>
      <c r="G389" s="39" t="s">
        <v>332</v>
      </c>
      <c r="H389" s="523">
        <v>1540932933</v>
      </c>
      <c r="I389" s="525" t="s">
        <v>1217</v>
      </c>
      <c r="J389" s="276" t="str">
        <f>VLOOKUP($I389,'Price List, Weapons &amp; Items'!A:B,2,0)</f>
        <v>Heavy weapon</v>
      </c>
      <c r="K389" s="276" t="str">
        <f>IF(I389=".",I389,VLOOKUP($I389,'Price List, Weapons &amp; Items'!A:C,3,0))</f>
        <v>overhaul/repair</v>
      </c>
      <c r="L389" s="514">
        <f>VLOOKUP(I389,'Price List, Weapons &amp; Items'!A:D,4,0)</f>
        <v>0</v>
      </c>
      <c r="M389" s="515">
        <v>54</v>
      </c>
      <c r="N389" s="515">
        <v>54</v>
      </c>
      <c r="O389" s="516" t="str">
        <f>VLOOKUP($I389,'Price List, Weapons &amp; Items'!A:F,6,0)</f>
        <v>.</v>
      </c>
      <c r="P389" s="513" t="str">
        <f t="shared" si="84"/>
        <v>No price</v>
      </c>
      <c r="Q389" s="513" t="str">
        <f t="shared" si="85"/>
        <v>No price</v>
      </c>
      <c r="R389" s="513" t="str">
        <f t="shared" si="86"/>
        <v/>
      </c>
      <c r="S389" s="513" t="str">
        <f>IF(AND(AD389=1,R389&lt;&gt;".")=TRUE,R389/VLOOKUP(G389,'Exchange rates'!B:C,2,0),IF(R389=".",".",""))</f>
        <v/>
      </c>
      <c r="T389" s="513" t="str">
        <f>IF(AD389=1,IF(AF389="Value is not given at all",".",IF(AF389="Value is given by the source",S389,IF(AF389="Value is calculated with prices",(IF(SUMIFS(Q:Q,A:A,A389)&gt;0,SUMIFS(Q:Q,A:A,A389),"."))/VLOOKUP("USD",'Exchange rates'!B:C,2,0),"Error with coding"))),"")</f>
        <v/>
      </c>
      <c r="U389" s="39" t="s">
        <v>233</v>
      </c>
      <c r="V389" s="376" t="s">
        <v>1160</v>
      </c>
      <c r="W389" s="376" t="s">
        <v>1161</v>
      </c>
      <c r="X389" s="376" t="s">
        <v>1162</v>
      </c>
      <c r="Y389" s="376" t="s">
        <v>232</v>
      </c>
      <c r="Z389" s="39">
        <v>0</v>
      </c>
      <c r="AA389" s="518">
        <v>0</v>
      </c>
      <c r="AB389" s="395" t="s">
        <v>1161</v>
      </c>
      <c r="AC389" s="519" t="str">
        <f>""</f>
        <v/>
      </c>
      <c r="AD389" s="522">
        <v>0</v>
      </c>
      <c r="AE389" s="522" t="s">
        <v>236</v>
      </c>
      <c r="AF389" s="522" t="s">
        <v>237</v>
      </c>
      <c r="AG389" s="522">
        <v>0</v>
      </c>
      <c r="AH389" s="522">
        <v>0</v>
      </c>
      <c r="AI389" s="522">
        <v>0</v>
      </c>
      <c r="AJ389" s="520">
        <f>VLOOKUP($I389,'Price List, Weapons &amp; Items'!A:E,5,0)</f>
        <v>0</v>
      </c>
      <c r="AK389" s="520">
        <f t="shared" si="87"/>
        <v>0</v>
      </c>
      <c r="AL389" s="520">
        <f t="shared" si="88"/>
        <v>0</v>
      </c>
      <c r="AM389" s="520">
        <f t="shared" si="89"/>
        <v>0</v>
      </c>
      <c r="AN389" s="521" t="str">
        <f>VLOOKUP($I389,'Price List, Weapons &amp; Items'!A:K,COLUMN('Price List, Weapons &amp; Items'!$I$1),0)</f>
        <v>.</v>
      </c>
      <c r="AO389" s="521" t="str">
        <f>IF(I389=".",".",VLOOKUP($I389,'Price List, Weapons &amp; Items'!A:I,3,0))</f>
        <v>overhaul/repair</v>
      </c>
      <c r="AP389" s="517" t="str">
        <f t="shared" ca="1" si="83"/>
        <v/>
      </c>
      <c r="AQ389" s="521">
        <f>VLOOKUP($I389,'Price List, Weapons &amp; Items'!A:K,COLUMN('Price List, Weapons &amp; Items'!$K$1),0)</f>
        <v>0</v>
      </c>
      <c r="AS389" s="521">
        <f t="shared" si="90"/>
        <v>1</v>
      </c>
      <c r="AT389" s="521">
        <f t="shared" si="91"/>
        <v>1</v>
      </c>
      <c r="AU389" s="521" t="str">
        <f t="shared" si="92"/>
        <v>Value is not in date format</v>
      </c>
      <c r="AV389" s="521" t="str">
        <f t="shared" si="93"/>
        <v>.</v>
      </c>
    </row>
    <row r="390" spans="1:48" ht="15" customHeight="1">
      <c r="A390" s="18" t="s">
        <v>1156</v>
      </c>
      <c r="B390" s="18" t="s">
        <v>1136</v>
      </c>
      <c r="C390" s="511" t="s">
        <v>1163</v>
      </c>
      <c r="D390" s="18" t="s">
        <v>252</v>
      </c>
      <c r="E390" s="18" t="s">
        <v>1157</v>
      </c>
      <c r="F390" s="816" t="s">
        <v>1158</v>
      </c>
      <c r="G390" s="39" t="s">
        <v>332</v>
      </c>
      <c r="H390" s="523">
        <v>1540932933</v>
      </c>
      <c r="I390" s="524" t="s">
        <v>1218</v>
      </c>
      <c r="J390" s="276" t="str">
        <f>VLOOKUP($I390,'Price List, Weapons &amp; Items'!A:B,2,0)</f>
        <v>Light armaments &amp; infantry</v>
      </c>
      <c r="K390" s="276" t="str">
        <f>IF(I390=".",I390,VLOOKUP($I390,'Price List, Weapons &amp; Items'!A:C,3,0))</f>
        <v>Small Arms and Light Weapons (SALW)</v>
      </c>
      <c r="L390" s="514">
        <f>VLOOKUP(I390,'Price List, Weapons &amp; Items'!A:D,4,0)</f>
        <v>0</v>
      </c>
      <c r="M390" s="515">
        <v>100</v>
      </c>
      <c r="N390" s="515">
        <v>100</v>
      </c>
      <c r="O390" s="516">
        <f>VLOOKUP($I390,'Price List, Weapons &amp; Items'!A:F,6,0)</f>
        <v>3000</v>
      </c>
      <c r="P390" s="513">
        <f t="shared" si="84"/>
        <v>300000</v>
      </c>
      <c r="Q390" s="513">
        <f t="shared" si="85"/>
        <v>300000</v>
      </c>
      <c r="R390" s="513" t="str">
        <f t="shared" si="86"/>
        <v/>
      </c>
      <c r="S390" s="513" t="str">
        <f>IF(AND(AD390=1,R390&lt;&gt;".")=TRUE,R390/VLOOKUP(G390,'Exchange rates'!B:C,2,0),IF(R390=".",".",""))</f>
        <v/>
      </c>
      <c r="T390" s="513" t="str">
        <f>IF(AD390=1,IF(AF390="Value is not given at all",".",IF(AF390="Value is given by the source",S390,IF(AF390="Value is calculated with prices",(IF(SUMIFS(Q:Q,A:A,A390)&gt;0,SUMIFS(Q:Q,A:A,A390),"."))/VLOOKUP("USD",'Exchange rates'!B:C,2,0),"Error with coding"))),"")</f>
        <v/>
      </c>
      <c r="U390" s="39" t="s">
        <v>233</v>
      </c>
      <c r="V390" s="376" t="s">
        <v>1160</v>
      </c>
      <c r="W390" s="376" t="s">
        <v>1161</v>
      </c>
      <c r="X390" s="376" t="s">
        <v>1162</v>
      </c>
      <c r="Y390" s="376" t="s">
        <v>232</v>
      </c>
      <c r="Z390" s="39">
        <v>0</v>
      </c>
      <c r="AA390" s="518">
        <v>0</v>
      </c>
      <c r="AB390" s="395" t="s">
        <v>1161</v>
      </c>
      <c r="AC390" s="519" t="str">
        <f>""</f>
        <v/>
      </c>
      <c r="AD390" s="522">
        <v>0</v>
      </c>
      <c r="AE390" s="522" t="s">
        <v>236</v>
      </c>
      <c r="AF390" s="522" t="s">
        <v>237</v>
      </c>
      <c r="AG390" s="522">
        <v>0</v>
      </c>
      <c r="AH390" s="522">
        <v>0</v>
      </c>
      <c r="AI390" s="522">
        <v>0</v>
      </c>
      <c r="AJ390" s="520">
        <f>VLOOKUP($I390,'Price List, Weapons &amp; Items'!A:E,5,0)</f>
        <v>0</v>
      </c>
      <c r="AK390" s="520">
        <f t="shared" si="87"/>
        <v>0</v>
      </c>
      <c r="AL390" s="520">
        <f t="shared" si="88"/>
        <v>0</v>
      </c>
      <c r="AM390" s="520">
        <f t="shared" si="89"/>
        <v>0</v>
      </c>
      <c r="AN390" s="521" t="str">
        <f>VLOOKUP($I390,'Price List, Weapons &amp; Items'!A:K,COLUMN('Price List, Weapons &amp; Items'!$I$1),0)</f>
        <v>Military media (incl. websites)</v>
      </c>
      <c r="AO390" s="521" t="str">
        <f>IF(I390=".",".",VLOOKUP($I390,'Price List, Weapons &amp; Items'!A:I,3,0))</f>
        <v>Small Arms and Light Weapons (SALW)</v>
      </c>
      <c r="AP390" s="517" t="str">
        <f t="shared" ca="1" si="83"/>
        <v/>
      </c>
      <c r="AQ390" s="521">
        <f>VLOOKUP($I390,'Price List, Weapons &amp; Items'!A:K,COLUMN('Price List, Weapons &amp; Items'!$K$1),0)</f>
        <v>1</v>
      </c>
      <c r="AS390" s="521">
        <f t="shared" si="90"/>
        <v>1</v>
      </c>
      <c r="AT390" s="521">
        <f t="shared" si="91"/>
        <v>1</v>
      </c>
      <c r="AU390" s="521" t="str">
        <f t="shared" si="92"/>
        <v>Value is not in date format</v>
      </c>
      <c r="AV390" s="521" t="str">
        <f t="shared" si="93"/>
        <v>.</v>
      </c>
    </row>
    <row r="391" spans="1:48" ht="15" customHeight="1">
      <c r="A391" s="18" t="s">
        <v>1156</v>
      </c>
      <c r="B391" s="18" t="s">
        <v>1136</v>
      </c>
      <c r="C391" s="511" t="s">
        <v>1163</v>
      </c>
      <c r="D391" s="18" t="s">
        <v>252</v>
      </c>
      <c r="E391" s="18" t="s">
        <v>1157</v>
      </c>
      <c r="F391" s="816" t="s">
        <v>1158</v>
      </c>
      <c r="G391" s="39" t="s">
        <v>332</v>
      </c>
      <c r="H391" s="523">
        <v>1540932933</v>
      </c>
      <c r="I391" s="524" t="s">
        <v>1219</v>
      </c>
      <c r="J391" s="276" t="str">
        <f>VLOOKUP($I391,'Price List, Weapons &amp; Items'!A:B,2,0)</f>
        <v>Portable defence system</v>
      </c>
      <c r="K391" s="276" t="str">
        <f>IF(I391=".",I391,VLOOKUP($I391,'Price List, Weapons &amp; Items'!A:C,3,0))</f>
        <v>Light Anti-armor Weapon (LAW)</v>
      </c>
      <c r="L391" s="514">
        <f>VLOOKUP(I391,'Price List, Weapons &amp; Items'!A:D,4,0)</f>
        <v>0</v>
      </c>
      <c r="M391" s="515">
        <v>12</v>
      </c>
      <c r="N391" s="515">
        <v>0</v>
      </c>
      <c r="O391" s="516">
        <f>VLOOKUP($I391,'Price List, Weapons &amp; Items'!A:F,6,0)</f>
        <v>40000</v>
      </c>
      <c r="P391" s="513">
        <f t="shared" si="84"/>
        <v>480000</v>
      </c>
      <c r="Q391" s="513">
        <f t="shared" si="85"/>
        <v>0</v>
      </c>
      <c r="R391" s="513" t="str">
        <f t="shared" si="86"/>
        <v/>
      </c>
      <c r="S391" s="513" t="str">
        <f>IF(AND(AD391=1,R391&lt;&gt;".")=TRUE,R391/VLOOKUP(G391,'Exchange rates'!B:C,2,0),IF(R391=".",".",""))</f>
        <v/>
      </c>
      <c r="T391" s="513" t="str">
        <f>IF(AD391=1,IF(AF391="Value is not given at all",".",IF(AF391="Value is given by the source",S391,IF(AF391="Value is calculated with prices",(IF(SUMIFS(Q:Q,A:A,A391)&gt;0,SUMIFS(Q:Q,A:A,A391),"."))/VLOOKUP("USD",'Exchange rates'!B:C,2,0),"Error with coding"))),"")</f>
        <v/>
      </c>
      <c r="U391" s="39" t="s">
        <v>233</v>
      </c>
      <c r="V391" s="376" t="s">
        <v>1160</v>
      </c>
      <c r="W391" s="376" t="s">
        <v>1161</v>
      </c>
      <c r="X391" s="376" t="s">
        <v>1162</v>
      </c>
      <c r="Y391" s="376" t="s">
        <v>232</v>
      </c>
      <c r="Z391" s="39">
        <v>0</v>
      </c>
      <c r="AA391" s="518">
        <v>1</v>
      </c>
      <c r="AB391" s="395" t="s">
        <v>1213</v>
      </c>
      <c r="AC391" s="519" t="str">
        <f>""</f>
        <v/>
      </c>
      <c r="AD391" s="522">
        <v>0</v>
      </c>
      <c r="AE391" s="522" t="s">
        <v>236</v>
      </c>
      <c r="AF391" s="522" t="s">
        <v>237</v>
      </c>
      <c r="AG391" s="522">
        <v>0</v>
      </c>
      <c r="AH391" s="522">
        <v>0</v>
      </c>
      <c r="AI391" s="522">
        <v>0</v>
      </c>
      <c r="AJ391" s="520">
        <f>VLOOKUP($I391,'Price List, Weapons &amp; Items'!A:E,5,0)</f>
        <v>0</v>
      </c>
      <c r="AK391" s="520">
        <f t="shared" si="87"/>
        <v>0</v>
      </c>
      <c r="AL391" s="520">
        <f t="shared" si="88"/>
        <v>0</v>
      </c>
      <c r="AM391" s="520">
        <f t="shared" si="89"/>
        <v>0</v>
      </c>
      <c r="AN391" s="521" t="str">
        <f>VLOOKUP($I391,'Price List, Weapons &amp; Items'!A:K,COLUMN('Price List, Weapons &amp; Items'!$I$1),0)</f>
        <v>Media reports (incl. social media)</v>
      </c>
      <c r="AO391" s="521" t="str">
        <f>IF(I391=".",".",VLOOKUP($I391,'Price List, Weapons &amp; Items'!A:I,3,0))</f>
        <v>Light Anti-armor Weapon (LAW)</v>
      </c>
      <c r="AP391" s="517" t="str">
        <f t="shared" ca="1" si="83"/>
        <v/>
      </c>
      <c r="AQ391" s="521">
        <f>VLOOKUP($I391,'Price List, Weapons &amp; Items'!A:K,COLUMN('Price List, Weapons &amp; Items'!$K$1),0)</f>
        <v>1</v>
      </c>
      <c r="AS391" s="521">
        <f t="shared" si="90"/>
        <v>1</v>
      </c>
      <c r="AT391" s="521">
        <f t="shared" si="91"/>
        <v>1</v>
      </c>
      <c r="AU391" s="521" t="str">
        <f t="shared" si="92"/>
        <v>Value is not in date format</v>
      </c>
      <c r="AV391" s="521" t="str">
        <f t="shared" si="93"/>
        <v>.</v>
      </c>
    </row>
    <row r="392" spans="1:48" ht="15" customHeight="1">
      <c r="A392" s="18" t="s">
        <v>1156</v>
      </c>
      <c r="B392" s="18" t="s">
        <v>1136</v>
      </c>
      <c r="C392" s="511" t="s">
        <v>1163</v>
      </c>
      <c r="D392" s="18" t="s">
        <v>252</v>
      </c>
      <c r="E392" s="18" t="s">
        <v>1157</v>
      </c>
      <c r="F392" s="816" t="s">
        <v>1158</v>
      </c>
      <c r="G392" s="39" t="s">
        <v>332</v>
      </c>
      <c r="H392" s="523">
        <v>1540932933</v>
      </c>
      <c r="I392" s="524" t="s">
        <v>1220</v>
      </c>
      <c r="J392" s="276" t="str">
        <f>VLOOKUP($I392,'Price List, Weapons &amp; Items'!A:B,2,0)</f>
        <v>Heavy weapon</v>
      </c>
      <c r="K392" s="276" t="str">
        <f>IF(I392=".",I392,VLOOKUP($I392,'Price List, Weapons &amp; Items'!A:C,3,0))</f>
        <v>127mm MLRS</v>
      </c>
      <c r="L392" s="514">
        <f>VLOOKUP(I392,'Price List, Weapons &amp; Items'!A:D,4,0)</f>
        <v>0</v>
      </c>
      <c r="M392" s="515">
        <v>5</v>
      </c>
      <c r="N392" s="515">
        <v>5</v>
      </c>
      <c r="O392" s="516">
        <f>VLOOKUP($I392,'Price List, Weapons &amp; Items'!A:F,6,0)</f>
        <v>20783363.949999999</v>
      </c>
      <c r="P392" s="513">
        <f t="shared" si="84"/>
        <v>103916819.75</v>
      </c>
      <c r="Q392" s="513">
        <f t="shared" si="85"/>
        <v>103916819.75</v>
      </c>
      <c r="R392" s="513" t="str">
        <f t="shared" si="86"/>
        <v/>
      </c>
      <c r="S392" s="513" t="str">
        <f>IF(AND(AD392=1,R392&lt;&gt;".")=TRUE,R392/VLOOKUP(G392,'Exchange rates'!B:C,2,0),IF(R392=".",".",""))</f>
        <v/>
      </c>
      <c r="T392" s="513" t="str">
        <f>IF(AD392=1,IF(AF392="Value is not given at all",".",IF(AF392="Value is given by the source",S392,IF(AF392="Value is calculated with prices",(IF(SUMIFS(Q:Q,A:A,A392)&gt;0,SUMIFS(Q:Q,A:A,A392),"."))/VLOOKUP("USD",'Exchange rates'!B:C,2,0),"Error with coding"))),"")</f>
        <v/>
      </c>
      <c r="U392" s="39" t="s">
        <v>233</v>
      </c>
      <c r="V392" s="376" t="s">
        <v>1160</v>
      </c>
      <c r="W392" s="376" t="s">
        <v>1161</v>
      </c>
      <c r="X392" s="376" t="s">
        <v>1162</v>
      </c>
      <c r="Y392" s="376" t="s">
        <v>232</v>
      </c>
      <c r="Z392" s="39">
        <v>0</v>
      </c>
      <c r="AA392" s="518">
        <v>0</v>
      </c>
      <c r="AB392" s="395" t="s">
        <v>1161</v>
      </c>
      <c r="AC392" s="519" t="str">
        <f>""</f>
        <v/>
      </c>
      <c r="AD392" s="522">
        <v>0</v>
      </c>
      <c r="AE392" s="522" t="s">
        <v>236</v>
      </c>
      <c r="AF392" s="522" t="s">
        <v>237</v>
      </c>
      <c r="AG392" s="522">
        <v>0</v>
      </c>
      <c r="AH392" s="522">
        <v>0</v>
      </c>
      <c r="AI392" s="522">
        <v>0</v>
      </c>
      <c r="AJ392" s="520">
        <f>VLOOKUP($I392,'Price List, Weapons &amp; Items'!A:E,5,0)</f>
        <v>1</v>
      </c>
      <c r="AK392" s="520">
        <f t="shared" si="87"/>
        <v>0</v>
      </c>
      <c r="AL392" s="520">
        <f t="shared" si="88"/>
        <v>0</v>
      </c>
      <c r="AM392" s="520">
        <f t="shared" si="89"/>
        <v>0</v>
      </c>
      <c r="AN392" s="521" t="str">
        <f>VLOOKUP($I392,'Price List, Weapons &amp; Items'!A:K,COLUMN('Price List, Weapons &amp; Items'!$I$1),0)</f>
        <v>Contracts</v>
      </c>
      <c r="AO392" s="521" t="str">
        <f>IF(I392=".",".",VLOOKUP($I392,'Price List, Weapons &amp; Items'!A:I,3,0))</f>
        <v>127mm MLRS</v>
      </c>
      <c r="AP392" s="517" t="str">
        <f t="shared" ca="1" si="83"/>
        <v/>
      </c>
      <c r="AQ392" s="521">
        <f>VLOOKUP($I392,'Price List, Weapons &amp; Items'!A:K,COLUMN('Price List, Weapons &amp; Items'!$K$1),0)</f>
        <v>2</v>
      </c>
      <c r="AS392" s="521">
        <f t="shared" si="90"/>
        <v>1</v>
      </c>
      <c r="AT392" s="521">
        <f t="shared" si="91"/>
        <v>1</v>
      </c>
      <c r="AU392" s="521" t="str">
        <f t="shared" si="92"/>
        <v>Value is not in date format</v>
      </c>
      <c r="AV392" s="521" t="str">
        <f t="shared" si="93"/>
        <v>.</v>
      </c>
    </row>
    <row r="393" spans="1:48" ht="15" customHeight="1">
      <c r="A393" s="18" t="s">
        <v>1156</v>
      </c>
      <c r="B393" s="18" t="s">
        <v>1136</v>
      </c>
      <c r="C393" s="511" t="s">
        <v>1163</v>
      </c>
      <c r="D393" s="18" t="s">
        <v>252</v>
      </c>
      <c r="E393" s="18" t="s">
        <v>1157</v>
      </c>
      <c r="F393" s="816" t="s">
        <v>1158</v>
      </c>
      <c r="G393" s="39" t="s">
        <v>332</v>
      </c>
      <c r="H393" s="523">
        <v>1540932933</v>
      </c>
      <c r="I393" s="524" t="s">
        <v>1221</v>
      </c>
      <c r="J393" s="276" t="str">
        <f>VLOOKUP($I393,'Price List, Weapons &amp; Items'!A:B,2,0)</f>
        <v>humanitarian</v>
      </c>
      <c r="K393" s="276" t="str">
        <f>IF(I393=".",I393,VLOOKUP($I393,'Price List, Weapons &amp; Items'!A:C,3,0))</f>
        <v>.</v>
      </c>
      <c r="L393" s="514">
        <f>VLOOKUP(I393,'Price List, Weapons &amp; Items'!A:D,4,0)</f>
        <v>0</v>
      </c>
      <c r="M393" s="515">
        <v>500</v>
      </c>
      <c r="N393" s="515">
        <v>500</v>
      </c>
      <c r="O393" s="516">
        <f>VLOOKUP($I393,'Price List, Weapons &amp; Items'!A:F,6,0)</f>
        <v>55</v>
      </c>
      <c r="P393" s="513">
        <f t="shared" si="84"/>
        <v>27500</v>
      </c>
      <c r="Q393" s="513">
        <f t="shared" si="85"/>
        <v>27500</v>
      </c>
      <c r="R393" s="513" t="str">
        <f t="shared" si="86"/>
        <v/>
      </c>
      <c r="S393" s="513" t="str">
        <f>IF(AND(AD393=1,R393&lt;&gt;".")=TRUE,R393/VLOOKUP(G393,'Exchange rates'!B:C,2,0),IF(R393=".",".",""))</f>
        <v/>
      </c>
      <c r="T393" s="513" t="str">
        <f>IF(AD393=1,IF(AF393="Value is not given at all",".",IF(AF393="Value is given by the source",S393,IF(AF393="Value is calculated with prices",(IF(SUMIFS(Q:Q,A:A,A393)&gt;0,SUMIFS(Q:Q,A:A,A393),"."))/VLOOKUP("USD",'Exchange rates'!B:C,2,0),"Error with coding"))),"")</f>
        <v/>
      </c>
      <c r="U393" s="39" t="s">
        <v>233</v>
      </c>
      <c r="V393" s="376" t="s">
        <v>1160</v>
      </c>
      <c r="W393" s="376" t="s">
        <v>1161</v>
      </c>
      <c r="X393" s="376" t="s">
        <v>1162</v>
      </c>
      <c r="Y393" s="376" t="s">
        <v>232</v>
      </c>
      <c r="Z393" s="39">
        <v>0</v>
      </c>
      <c r="AA393" s="518">
        <v>0</v>
      </c>
      <c r="AB393" s="395" t="s">
        <v>1161</v>
      </c>
      <c r="AC393" s="519" t="str">
        <f>""</f>
        <v/>
      </c>
      <c r="AD393" s="522">
        <v>0</v>
      </c>
      <c r="AE393" s="522" t="s">
        <v>236</v>
      </c>
      <c r="AF393" s="522" t="s">
        <v>237</v>
      </c>
      <c r="AG393" s="522">
        <v>0</v>
      </c>
      <c r="AH393" s="522">
        <v>0</v>
      </c>
      <c r="AI393" s="522">
        <v>0</v>
      </c>
      <c r="AJ393" s="520">
        <f>VLOOKUP($I393,'Price List, Weapons &amp; Items'!A:E,5,0)</f>
        <v>0</v>
      </c>
      <c r="AK393" s="520">
        <f t="shared" si="87"/>
        <v>0</v>
      </c>
      <c r="AL393" s="520">
        <f t="shared" si="88"/>
        <v>0</v>
      </c>
      <c r="AM393" s="520">
        <f t="shared" si="89"/>
        <v>0</v>
      </c>
      <c r="AN393" s="521" t="str">
        <f>VLOOKUP($I393,'Price List, Weapons &amp; Items'!A:K,COLUMN('Price List, Weapons &amp; Items'!$I$1),0)</f>
        <v>Online marketplace and stores</v>
      </c>
      <c r="AO393" s="521" t="str">
        <f>IF(I393=".",".",VLOOKUP($I393,'Price List, Weapons &amp; Items'!A:I,3,0))</f>
        <v>.</v>
      </c>
      <c r="AP393" s="517" t="str">
        <f t="shared" ca="1" si="83"/>
        <v/>
      </c>
      <c r="AQ393" s="521">
        <f>VLOOKUP($I393,'Price List, Weapons &amp; Items'!A:K,COLUMN('Price List, Weapons &amp; Items'!$K$1),0)</f>
        <v>0</v>
      </c>
      <c r="AS393" s="521">
        <f t="shared" si="90"/>
        <v>1</v>
      </c>
      <c r="AT393" s="521">
        <f t="shared" si="91"/>
        <v>1</v>
      </c>
      <c r="AU393" s="521" t="str">
        <f t="shared" si="92"/>
        <v>Value is not in date format</v>
      </c>
      <c r="AV393" s="521" t="str">
        <f t="shared" si="93"/>
        <v>.</v>
      </c>
    </row>
    <row r="394" spans="1:48" ht="15" customHeight="1">
      <c r="A394" s="18" t="s">
        <v>1156</v>
      </c>
      <c r="B394" s="18" t="s">
        <v>1136</v>
      </c>
      <c r="C394" s="511" t="s">
        <v>1163</v>
      </c>
      <c r="D394" s="18" t="s">
        <v>252</v>
      </c>
      <c r="E394" s="18" t="s">
        <v>1157</v>
      </c>
      <c r="F394" s="816" t="s">
        <v>1158</v>
      </c>
      <c r="G394" s="39" t="s">
        <v>332</v>
      </c>
      <c r="H394" s="523">
        <v>1540932933</v>
      </c>
      <c r="I394" s="524" t="s">
        <v>1222</v>
      </c>
      <c r="J394" s="276" t="str">
        <f>VLOOKUP($I394,'Price List, Weapons &amp; Items'!A:B,2,0)</f>
        <v>humanitarian</v>
      </c>
      <c r="K394" s="276" t="str">
        <f>IF(I394=".",I394,VLOOKUP($I394,'Price List, Weapons &amp; Items'!A:C,3,0))</f>
        <v>.</v>
      </c>
      <c r="L394" s="514">
        <f>VLOOKUP(I394,'Price List, Weapons &amp; Items'!A:D,4,0)</f>
        <v>0</v>
      </c>
      <c r="M394" s="515" t="s">
        <v>264</v>
      </c>
      <c r="N394" s="515" t="s">
        <v>264</v>
      </c>
      <c r="O394" s="516" t="str">
        <f>VLOOKUP($I394,'Price List, Weapons &amp; Items'!A:F,6,0)</f>
        <v>.</v>
      </c>
      <c r="P394" s="513" t="str">
        <f t="shared" si="84"/>
        <v>.</v>
      </c>
      <c r="Q394" s="513" t="str">
        <f t="shared" si="85"/>
        <v>.</v>
      </c>
      <c r="R394" s="513" t="str">
        <f t="shared" si="86"/>
        <v/>
      </c>
      <c r="S394" s="513" t="str">
        <f>IF(AND(AD394=1,R394&lt;&gt;".")=TRUE,R394/VLOOKUP(G394,'Exchange rates'!B:C,2,0),IF(R394=".",".",""))</f>
        <v/>
      </c>
      <c r="T394" s="513" t="str">
        <f>IF(AD394=1,IF(AF394="Value is not given at all",".",IF(AF394="Value is given by the source",S394,IF(AF394="Value is calculated with prices",(IF(SUMIFS(Q:Q,A:A,A394)&gt;0,SUMIFS(Q:Q,A:A,A394),"."))/VLOOKUP("USD",'Exchange rates'!B:C,2,0),"Error with coding"))),"")</f>
        <v/>
      </c>
      <c r="U394" s="39" t="s">
        <v>233</v>
      </c>
      <c r="V394" s="376" t="s">
        <v>1160</v>
      </c>
      <c r="W394" s="376" t="s">
        <v>1161</v>
      </c>
      <c r="X394" s="376" t="s">
        <v>1162</v>
      </c>
      <c r="Y394" s="376" t="s">
        <v>232</v>
      </c>
      <c r="Z394" s="39">
        <v>0</v>
      </c>
      <c r="AA394" s="518">
        <v>1</v>
      </c>
      <c r="AB394" s="395" t="s">
        <v>1161</v>
      </c>
      <c r="AC394" s="519" t="str">
        <f>""</f>
        <v/>
      </c>
      <c r="AD394" s="522">
        <v>0</v>
      </c>
      <c r="AE394" s="522" t="s">
        <v>236</v>
      </c>
      <c r="AF394" s="522" t="s">
        <v>237</v>
      </c>
      <c r="AG394" s="522">
        <v>0</v>
      </c>
      <c r="AH394" s="522">
        <v>0</v>
      </c>
      <c r="AI394" s="522">
        <v>0</v>
      </c>
      <c r="AJ394" s="520">
        <f>VLOOKUP($I394,'Price List, Weapons &amp; Items'!A:E,5,0)</f>
        <v>0</v>
      </c>
      <c r="AK394" s="520">
        <f t="shared" si="87"/>
        <v>0</v>
      </c>
      <c r="AL394" s="520">
        <f t="shared" si="88"/>
        <v>0</v>
      </c>
      <c r="AM394" s="520">
        <f t="shared" si="89"/>
        <v>0</v>
      </c>
      <c r="AN394" s="521" t="str">
        <f>VLOOKUP($I394,'Price List, Weapons &amp; Items'!A:K,COLUMN('Price List, Weapons &amp; Items'!$I$1),0)</f>
        <v>.</v>
      </c>
      <c r="AO394" s="521" t="str">
        <f>IF(I394=".",".",VLOOKUP($I394,'Price List, Weapons &amp; Items'!A:I,3,0))</f>
        <v>.</v>
      </c>
      <c r="AP394" s="517" t="str">
        <f t="shared" ca="1" si="83"/>
        <v/>
      </c>
      <c r="AQ394" s="521">
        <f>VLOOKUP($I394,'Price List, Weapons &amp; Items'!A:K,COLUMN('Price List, Weapons &amp; Items'!$K$1),0)</f>
        <v>0</v>
      </c>
      <c r="AS394" s="521">
        <f t="shared" si="90"/>
        <v>1</v>
      </c>
      <c r="AT394" s="521">
        <f t="shared" si="91"/>
        <v>1</v>
      </c>
      <c r="AU394" s="521" t="str">
        <f t="shared" si="92"/>
        <v>Value is not in date format</v>
      </c>
      <c r="AV394" s="521" t="str">
        <f t="shared" si="93"/>
        <v>.</v>
      </c>
    </row>
    <row r="395" spans="1:48" ht="15" customHeight="1">
      <c r="A395" s="18" t="s">
        <v>1156</v>
      </c>
      <c r="B395" s="18" t="s">
        <v>1136</v>
      </c>
      <c r="C395" s="511" t="s">
        <v>1163</v>
      </c>
      <c r="D395" s="18" t="s">
        <v>252</v>
      </c>
      <c r="E395" s="18" t="s">
        <v>1157</v>
      </c>
      <c r="F395" s="816" t="s">
        <v>1158</v>
      </c>
      <c r="G395" s="39" t="s">
        <v>332</v>
      </c>
      <c r="H395" s="523">
        <v>1540932933</v>
      </c>
      <c r="I395" s="524" t="s">
        <v>1223</v>
      </c>
      <c r="J395" s="276" t="str">
        <f>VLOOKUP($I395,'Price List, Weapons &amp; Items'!A:B,2,0)</f>
        <v>Light armaments &amp; infantry</v>
      </c>
      <c r="K395" s="276" t="str">
        <f>IF(I395=".",I395,VLOOKUP($I395,'Price List, Weapons &amp; Items'!A:C,3,0))</f>
        <v>Small Arms and Light Weapons (SALW)</v>
      </c>
      <c r="L395" s="514">
        <f>VLOOKUP(I395,'Price List, Weapons &amp; Items'!A:D,4,0)</f>
        <v>0</v>
      </c>
      <c r="M395" s="515">
        <v>30</v>
      </c>
      <c r="N395" s="515">
        <v>30</v>
      </c>
      <c r="O395" s="516">
        <f>VLOOKUP($I395,'Price List, Weapons &amp; Items'!A:F,6,0)</f>
        <v>3000</v>
      </c>
      <c r="P395" s="513">
        <f t="shared" si="84"/>
        <v>90000</v>
      </c>
      <c r="Q395" s="513">
        <f t="shared" si="85"/>
        <v>90000</v>
      </c>
      <c r="R395" s="513" t="str">
        <f t="shared" si="86"/>
        <v/>
      </c>
      <c r="S395" s="513" t="str">
        <f>IF(AND(AD395=1,R395&lt;&gt;".")=TRUE,R395/VLOOKUP(G395,'Exchange rates'!B:C,2,0),IF(R395=".",".",""))</f>
        <v/>
      </c>
      <c r="T395" s="513" t="str">
        <f>IF(AD395=1,IF(AF395="Value is not given at all",".",IF(AF395="Value is given by the source",S395,IF(AF395="Value is calculated with prices",(IF(SUMIFS(Q:Q,A:A,A395)&gt;0,SUMIFS(Q:Q,A:A,A395),"."))/VLOOKUP("USD",'Exchange rates'!B:C,2,0),"Error with coding"))),"")</f>
        <v/>
      </c>
      <c r="U395" s="39" t="s">
        <v>233</v>
      </c>
      <c r="V395" s="376" t="s">
        <v>1160</v>
      </c>
      <c r="W395" s="376" t="s">
        <v>1161</v>
      </c>
      <c r="X395" s="376" t="s">
        <v>1162</v>
      </c>
      <c r="Y395" s="376" t="s">
        <v>232</v>
      </c>
      <c r="Z395" s="39">
        <v>0</v>
      </c>
      <c r="AA395" s="518">
        <v>0</v>
      </c>
      <c r="AB395" s="395" t="s">
        <v>1161</v>
      </c>
      <c r="AC395" s="519" t="str">
        <f>""</f>
        <v/>
      </c>
      <c r="AD395" s="522">
        <v>0</v>
      </c>
      <c r="AE395" s="522" t="s">
        <v>236</v>
      </c>
      <c r="AF395" s="522" t="s">
        <v>237</v>
      </c>
      <c r="AG395" s="522">
        <v>0</v>
      </c>
      <c r="AH395" s="522">
        <v>0</v>
      </c>
      <c r="AI395" s="522">
        <v>0</v>
      </c>
      <c r="AJ395" s="520">
        <f>VLOOKUP($I395,'Price List, Weapons &amp; Items'!A:E,5,0)</f>
        <v>0</v>
      </c>
      <c r="AK395" s="520">
        <f t="shared" si="87"/>
        <v>0</v>
      </c>
      <c r="AL395" s="520">
        <f t="shared" si="88"/>
        <v>0</v>
      </c>
      <c r="AM395" s="520">
        <f t="shared" si="89"/>
        <v>0</v>
      </c>
      <c r="AN395" s="521" t="str">
        <f>VLOOKUP($I395,'Price List, Weapons &amp; Items'!A:K,COLUMN('Price List, Weapons &amp; Items'!$I$1),0)</f>
        <v>Military media (incl. websites)</v>
      </c>
      <c r="AO395" s="521" t="str">
        <f>IF(I395=".",".",VLOOKUP($I395,'Price List, Weapons &amp; Items'!A:I,3,0))</f>
        <v>Small Arms and Light Weapons (SALW)</v>
      </c>
      <c r="AP395" s="517" t="str">
        <f t="shared" ca="1" si="83"/>
        <v/>
      </c>
      <c r="AQ395" s="521">
        <f>VLOOKUP($I395,'Price List, Weapons &amp; Items'!A:K,COLUMN('Price List, Weapons &amp; Items'!$K$1),0)</f>
        <v>1</v>
      </c>
      <c r="AS395" s="521">
        <f t="shared" si="90"/>
        <v>1</v>
      </c>
      <c r="AT395" s="521">
        <f t="shared" si="91"/>
        <v>1</v>
      </c>
      <c r="AU395" s="521" t="str">
        <f t="shared" si="92"/>
        <v>Value is not in date format</v>
      </c>
      <c r="AV395" s="521" t="str">
        <f t="shared" si="93"/>
        <v>.</v>
      </c>
    </row>
    <row r="396" spans="1:48" ht="15" customHeight="1">
      <c r="A396" s="18" t="s">
        <v>1156</v>
      </c>
      <c r="B396" s="18" t="s">
        <v>1136</v>
      </c>
      <c r="C396" s="511" t="s">
        <v>1163</v>
      </c>
      <c r="D396" s="18" t="s">
        <v>252</v>
      </c>
      <c r="E396" s="18" t="s">
        <v>1157</v>
      </c>
      <c r="F396" s="816" t="s">
        <v>1158</v>
      </c>
      <c r="G396" s="39" t="s">
        <v>332</v>
      </c>
      <c r="H396" s="523">
        <v>1540932933</v>
      </c>
      <c r="I396" s="524" t="s">
        <v>1224</v>
      </c>
      <c r="J396" s="276" t="str">
        <f>VLOOKUP($I396,'Price List, Weapons &amp; Items'!A:B,2,0)</f>
        <v>military equipment</v>
      </c>
      <c r="K396" s="276" t="str">
        <f>IF(I396=".",I396,VLOOKUP($I396,'Price List, Weapons &amp; Items'!A:C,3,0))</f>
        <v>spare parts</v>
      </c>
      <c r="L396" s="514">
        <f>VLOOKUP(I396,'Price List, Weapons &amp; Items'!A:D,4,0)</f>
        <v>0</v>
      </c>
      <c r="M396" s="515" t="s">
        <v>264</v>
      </c>
      <c r="N396" s="515" t="s">
        <v>264</v>
      </c>
      <c r="O396" s="516" t="str">
        <f>VLOOKUP($I396,'Price List, Weapons &amp; Items'!A:F,6,0)</f>
        <v>.</v>
      </c>
      <c r="P396" s="513" t="str">
        <f t="shared" si="84"/>
        <v>.</v>
      </c>
      <c r="Q396" s="513" t="str">
        <f t="shared" si="85"/>
        <v>.</v>
      </c>
      <c r="R396" s="513" t="str">
        <f t="shared" si="86"/>
        <v/>
      </c>
      <c r="S396" s="513" t="str">
        <f>IF(AND(AD396=1,R396&lt;&gt;".")=TRUE,R396/VLOOKUP(G396,'Exchange rates'!B:C,2,0),IF(R396=".",".",""))</f>
        <v/>
      </c>
      <c r="T396" s="513" t="str">
        <f>IF(AD396=1,IF(AF396="Value is not given at all",".",IF(AF396="Value is given by the source",S396,IF(AF396="Value is calculated with prices",(IF(SUMIFS(Q:Q,A:A,A396)&gt;0,SUMIFS(Q:Q,A:A,A396),"."))/VLOOKUP("USD",'Exchange rates'!B:C,2,0),"Error with coding"))),"")</f>
        <v/>
      </c>
      <c r="U396" s="39" t="s">
        <v>233</v>
      </c>
      <c r="V396" s="376" t="s">
        <v>1160</v>
      </c>
      <c r="W396" s="376" t="s">
        <v>1192</v>
      </c>
      <c r="X396" s="376" t="s">
        <v>1162</v>
      </c>
      <c r="Y396" s="376" t="s">
        <v>232</v>
      </c>
      <c r="Z396" s="39">
        <v>0</v>
      </c>
      <c r="AA396" s="518">
        <v>0</v>
      </c>
      <c r="AB396" s="395" t="s">
        <v>1161</v>
      </c>
      <c r="AC396" s="519" t="str">
        <f>""</f>
        <v/>
      </c>
      <c r="AD396" s="522">
        <v>0</v>
      </c>
      <c r="AE396" s="522" t="s">
        <v>236</v>
      </c>
      <c r="AF396" s="522" t="s">
        <v>237</v>
      </c>
      <c r="AG396" s="522">
        <v>0</v>
      </c>
      <c r="AH396" s="522">
        <v>0</v>
      </c>
      <c r="AI396" s="522">
        <v>0</v>
      </c>
      <c r="AJ396" s="520">
        <f>VLOOKUP($I396,'Price List, Weapons &amp; Items'!A:E,5,0)</f>
        <v>0</v>
      </c>
      <c r="AK396" s="520">
        <f t="shared" si="87"/>
        <v>0</v>
      </c>
      <c r="AL396" s="520">
        <f t="shared" si="88"/>
        <v>0</v>
      </c>
      <c r="AM396" s="520">
        <f t="shared" si="89"/>
        <v>0</v>
      </c>
      <c r="AN396" s="521" t="str">
        <f>VLOOKUP($I396,'Price List, Weapons &amp; Items'!A:K,COLUMN('Price List, Weapons &amp; Items'!$I$1),0)</f>
        <v>.</v>
      </c>
      <c r="AO396" s="521" t="str">
        <f>IF(I396=".",".",VLOOKUP($I396,'Price List, Weapons &amp; Items'!A:I,3,0))</f>
        <v>spare parts</v>
      </c>
      <c r="AP396" s="517" t="str">
        <f t="shared" ca="1" si="83"/>
        <v/>
      </c>
      <c r="AQ396" s="521" t="str">
        <f>VLOOKUP($I396,'Price List, Weapons &amp; Items'!A:K,COLUMN('Price List, Weapons &amp; Items'!$K$1),0)</f>
        <v>no price, 0 count</v>
      </c>
      <c r="AS396" s="521">
        <f t="shared" si="90"/>
        <v>1</v>
      </c>
      <c r="AT396" s="521">
        <f t="shared" si="91"/>
        <v>1</v>
      </c>
      <c r="AU396" s="521" t="str">
        <f t="shared" si="92"/>
        <v>Value is not in date format</v>
      </c>
      <c r="AV396" s="521" t="str">
        <f t="shared" si="93"/>
        <v>.</v>
      </c>
    </row>
    <row r="397" spans="1:48" ht="15" customHeight="1">
      <c r="A397" s="18" t="s">
        <v>1156</v>
      </c>
      <c r="B397" s="18" t="s">
        <v>1136</v>
      </c>
      <c r="C397" s="511" t="s">
        <v>1163</v>
      </c>
      <c r="D397" s="18" t="s">
        <v>252</v>
      </c>
      <c r="E397" s="18" t="s">
        <v>1157</v>
      </c>
      <c r="F397" s="816" t="s">
        <v>1158</v>
      </c>
      <c r="G397" s="39" t="s">
        <v>332</v>
      </c>
      <c r="H397" s="523">
        <v>1540932933</v>
      </c>
      <c r="I397" s="524" t="s">
        <v>1225</v>
      </c>
      <c r="J397" s="276" t="str">
        <f>VLOOKUP($I397,'Price List, Weapons &amp; Items'!A:B,2,0)</f>
        <v>military equipment</v>
      </c>
      <c r="K397" s="276" t="str">
        <f>IF(I397=".",I397,VLOOKUP($I397,'Price List, Weapons &amp; Items'!A:C,3,0))</f>
        <v>Armoured Recovery Vehicle (ARV)</v>
      </c>
      <c r="L397" s="514">
        <f>VLOOKUP(I397,'Price List, Weapons &amp; Items'!A:D,4,0)</f>
        <v>0</v>
      </c>
      <c r="M397" s="515">
        <v>42</v>
      </c>
      <c r="N397" s="515">
        <v>42</v>
      </c>
      <c r="O397" s="516">
        <f>VLOOKUP($I397,'Price List, Weapons &amp; Items'!A:F,6,0)</f>
        <v>405530</v>
      </c>
      <c r="P397" s="513">
        <f t="shared" si="84"/>
        <v>17032260</v>
      </c>
      <c r="Q397" s="513">
        <f t="shared" si="85"/>
        <v>17032260</v>
      </c>
      <c r="R397" s="513" t="str">
        <f t="shared" si="86"/>
        <v/>
      </c>
      <c r="S397" s="513" t="str">
        <f>IF(AND(AD397=1,R397&lt;&gt;".")=TRUE,R397/VLOOKUP(G397,'Exchange rates'!B:C,2,0),IF(R397=".",".",""))</f>
        <v/>
      </c>
      <c r="T397" s="513" t="str">
        <f>IF(AD397=1,IF(AF397="Value is not given at all",".",IF(AF397="Value is given by the source",S397,IF(AF397="Value is calculated with prices",(IF(SUMIFS(Q:Q,A:A,A397)&gt;0,SUMIFS(Q:Q,A:A,A397),"."))/VLOOKUP("USD",'Exchange rates'!B:C,2,0),"Error with coding"))),"")</f>
        <v/>
      </c>
      <c r="U397" s="39" t="s">
        <v>233</v>
      </c>
      <c r="V397" s="376" t="s">
        <v>1160</v>
      </c>
      <c r="W397" s="376" t="s">
        <v>1161</v>
      </c>
      <c r="X397" s="376" t="s">
        <v>1162</v>
      </c>
      <c r="Y397" s="376" t="s">
        <v>232</v>
      </c>
      <c r="Z397" s="39">
        <v>0</v>
      </c>
      <c r="AA397" s="518">
        <v>1</v>
      </c>
      <c r="AB397" s="395" t="s">
        <v>1169</v>
      </c>
      <c r="AC397" s="519" t="str">
        <f>""</f>
        <v/>
      </c>
      <c r="AD397" s="522">
        <v>0</v>
      </c>
      <c r="AE397" s="522" t="s">
        <v>236</v>
      </c>
      <c r="AF397" s="522" t="s">
        <v>237</v>
      </c>
      <c r="AG397" s="522">
        <v>0</v>
      </c>
      <c r="AH397" s="522">
        <v>0</v>
      </c>
      <c r="AI397" s="522">
        <v>0</v>
      </c>
      <c r="AJ397" s="520">
        <f>VLOOKUP($I397,'Price List, Weapons &amp; Items'!A:E,5,0)</f>
        <v>1</v>
      </c>
      <c r="AK397" s="520">
        <f t="shared" si="87"/>
        <v>0</v>
      </c>
      <c r="AL397" s="520">
        <f t="shared" si="88"/>
        <v>0</v>
      </c>
      <c r="AM397" s="520">
        <f t="shared" si="89"/>
        <v>0</v>
      </c>
      <c r="AN397" s="521" t="str">
        <f>VLOOKUP($I397,'Price List, Weapons &amp; Items'!A:K,COLUMN('Price List, Weapons &amp; Items'!$I$1),0)</f>
        <v>Contract</v>
      </c>
      <c r="AO397" s="521" t="str">
        <f>IF(I397=".",".",VLOOKUP($I397,'Price List, Weapons &amp; Items'!A:I,3,0))</f>
        <v>Armoured Recovery Vehicle (ARV)</v>
      </c>
      <c r="AP397" s="517" t="str">
        <f t="shared" ca="1" si="83"/>
        <v/>
      </c>
      <c r="AQ397" s="521">
        <f>VLOOKUP($I397,'Price List, Weapons &amp; Items'!A:K,COLUMN('Price List, Weapons &amp; Items'!$K$1),0)</f>
        <v>2</v>
      </c>
      <c r="AS397" s="521">
        <f t="shared" si="90"/>
        <v>1</v>
      </c>
      <c r="AT397" s="521">
        <f t="shared" si="91"/>
        <v>1</v>
      </c>
      <c r="AU397" s="521" t="str">
        <f t="shared" si="92"/>
        <v>Value is not in date format</v>
      </c>
      <c r="AV397" s="521" t="str">
        <f t="shared" si="93"/>
        <v>.</v>
      </c>
    </row>
    <row r="398" spans="1:48" ht="15" customHeight="1">
      <c r="A398" s="18" t="s">
        <v>1156</v>
      </c>
      <c r="B398" s="18" t="s">
        <v>1136</v>
      </c>
      <c r="C398" s="511" t="s">
        <v>1163</v>
      </c>
      <c r="D398" s="18" t="s">
        <v>252</v>
      </c>
      <c r="E398" s="18" t="s">
        <v>1157</v>
      </c>
      <c r="F398" s="816" t="s">
        <v>1158</v>
      </c>
      <c r="G398" s="39" t="s">
        <v>332</v>
      </c>
      <c r="H398" s="523">
        <v>1540932933</v>
      </c>
      <c r="I398" s="524" t="s">
        <v>1226</v>
      </c>
      <c r="J398" s="276" t="str">
        <f>VLOOKUP($I398,'Price List, Weapons &amp; Items'!A:B,2,0)</f>
        <v>military equipment</v>
      </c>
      <c r="K398" s="276" t="str">
        <f>IF(I398=".",I398,VLOOKUP($I398,'Price List, Weapons &amp; Items'!A:C,3,0))</f>
        <v>Armoured Recovery Vehicle (ARV)</v>
      </c>
      <c r="L398" s="514">
        <f>VLOOKUP(I398,'Price List, Weapons &amp; Items'!A:D,4,0)</f>
        <v>0</v>
      </c>
      <c r="M398" s="515">
        <v>14</v>
      </c>
      <c r="N398" s="515">
        <v>14</v>
      </c>
      <c r="O398" s="516">
        <f>VLOOKUP($I398,'Price List, Weapons &amp; Items'!A:F,6,0)</f>
        <v>405530</v>
      </c>
      <c r="P398" s="513">
        <f t="shared" si="84"/>
        <v>5677420</v>
      </c>
      <c r="Q398" s="513">
        <f t="shared" si="85"/>
        <v>5677420</v>
      </c>
      <c r="R398" s="513" t="str">
        <f t="shared" si="86"/>
        <v/>
      </c>
      <c r="S398" s="513" t="str">
        <f>IF(AND(AD398=1,R398&lt;&gt;".")=TRUE,R398/VLOOKUP(G398,'Exchange rates'!B:C,2,0),IF(R398=".",".",""))</f>
        <v/>
      </c>
      <c r="T398" s="513" t="str">
        <f>IF(AD398=1,IF(AF398="Value is not given at all",".",IF(AF398="Value is given by the source",S398,IF(AF398="Value is calculated with prices",(IF(SUMIFS(Q:Q,A:A,A398)&gt;0,SUMIFS(Q:Q,A:A,A398),"."))/VLOOKUP("USD",'Exchange rates'!B:C,2,0),"Error with coding"))),"")</f>
        <v/>
      </c>
      <c r="U398" s="39" t="s">
        <v>233</v>
      </c>
      <c r="V398" s="376" t="s">
        <v>1160</v>
      </c>
      <c r="W398" s="376" t="s">
        <v>1161</v>
      </c>
      <c r="X398" s="376" t="s">
        <v>1162</v>
      </c>
      <c r="Y398" s="376" t="s">
        <v>232</v>
      </c>
      <c r="Z398" s="39">
        <v>0</v>
      </c>
      <c r="AA398" s="518">
        <v>1</v>
      </c>
      <c r="AB398" s="395" t="s">
        <v>1213</v>
      </c>
      <c r="AC398" s="519" t="str">
        <f>""</f>
        <v/>
      </c>
      <c r="AD398" s="522">
        <v>0</v>
      </c>
      <c r="AE398" s="522" t="s">
        <v>236</v>
      </c>
      <c r="AF398" s="522" t="s">
        <v>237</v>
      </c>
      <c r="AG398" s="522">
        <v>0</v>
      </c>
      <c r="AH398" s="522">
        <v>0</v>
      </c>
      <c r="AI398" s="522">
        <v>0</v>
      </c>
      <c r="AJ398" s="520">
        <f>VLOOKUP($I398,'Price List, Weapons &amp; Items'!A:E,5,0)</f>
        <v>1</v>
      </c>
      <c r="AK398" s="520">
        <f t="shared" si="87"/>
        <v>0</v>
      </c>
      <c r="AL398" s="520">
        <f t="shared" si="88"/>
        <v>0</v>
      </c>
      <c r="AM398" s="520">
        <f t="shared" si="89"/>
        <v>0</v>
      </c>
      <c r="AN398" s="521" t="str">
        <f>VLOOKUP($I398,'Price List, Weapons &amp; Items'!A:K,COLUMN('Price List, Weapons &amp; Items'!$I$1),0)</f>
        <v>Contract</v>
      </c>
      <c r="AO398" s="521" t="str">
        <f>IF(I398=".",".",VLOOKUP($I398,'Price List, Weapons &amp; Items'!A:I,3,0))</f>
        <v>Armoured Recovery Vehicle (ARV)</v>
      </c>
      <c r="AP398" s="517" t="str">
        <f t="shared" ca="1" si="83"/>
        <v/>
      </c>
      <c r="AQ398" s="521">
        <f>VLOOKUP($I398,'Price List, Weapons &amp; Items'!A:K,COLUMN('Price List, Weapons &amp; Items'!$K$1),0)</f>
        <v>2</v>
      </c>
      <c r="AS398" s="521">
        <f t="shared" si="90"/>
        <v>1</v>
      </c>
      <c r="AT398" s="521">
        <f t="shared" si="91"/>
        <v>1</v>
      </c>
      <c r="AU398" s="521" t="str">
        <f t="shared" si="92"/>
        <v>Value is not in date format</v>
      </c>
      <c r="AV398" s="521" t="str">
        <f t="shared" si="93"/>
        <v>.</v>
      </c>
    </row>
    <row r="399" spans="1:48" ht="15" customHeight="1">
      <c r="A399" s="18" t="s">
        <v>1156</v>
      </c>
      <c r="B399" s="18" t="s">
        <v>1136</v>
      </c>
      <c r="C399" s="511" t="s">
        <v>1163</v>
      </c>
      <c r="D399" s="18" t="s">
        <v>252</v>
      </c>
      <c r="E399" s="18" t="s">
        <v>1157</v>
      </c>
      <c r="F399" s="816" t="s">
        <v>1158</v>
      </c>
      <c r="G399" s="39" t="s">
        <v>332</v>
      </c>
      <c r="H399" s="523">
        <v>1540932933</v>
      </c>
      <c r="I399" s="524" t="s">
        <v>1227</v>
      </c>
      <c r="J399" s="276" t="str">
        <f>VLOOKUP($I399,'Price List, Weapons &amp; Items'!A:B,2,0)</f>
        <v>humanitarian</v>
      </c>
      <c r="K399" s="276" t="str">
        <f>IF(I399=".",I399,VLOOKUP($I399,'Price List, Weapons &amp; Items'!A:C,3,0))</f>
        <v>.</v>
      </c>
      <c r="L399" s="514">
        <f>VLOOKUP(I399,'Price List, Weapons &amp; Items'!A:D,4,0)</f>
        <v>0</v>
      </c>
      <c r="M399" s="515">
        <v>6</v>
      </c>
      <c r="N399" s="515">
        <v>6</v>
      </c>
      <c r="O399" s="516">
        <f>VLOOKUP($I399,'Price List, Weapons &amp; Items'!A:F,6,0)</f>
        <v>600000</v>
      </c>
      <c r="P399" s="513">
        <f t="shared" si="84"/>
        <v>3600000</v>
      </c>
      <c r="Q399" s="513">
        <f t="shared" si="85"/>
        <v>3600000</v>
      </c>
      <c r="R399" s="513" t="str">
        <f t="shared" si="86"/>
        <v/>
      </c>
      <c r="S399" s="513" t="str">
        <f>IF(AND(AD399=1,R399&lt;&gt;".")=TRUE,R399/VLOOKUP(G399,'Exchange rates'!B:C,2,0),IF(R399=".",".",""))</f>
        <v/>
      </c>
      <c r="T399" s="513" t="str">
        <f>IF(AD399=1,IF(AF399="Value is not given at all",".",IF(AF399="Value is given by the source",S399,IF(AF399="Value is calculated with prices",(IF(SUMIFS(Q:Q,A:A,A399)&gt;0,SUMIFS(Q:Q,A:A,A399),"."))/VLOOKUP("USD",'Exchange rates'!B:C,2,0),"Error with coding"))),"")</f>
        <v/>
      </c>
      <c r="U399" s="39" t="s">
        <v>233</v>
      </c>
      <c r="V399" s="376" t="s">
        <v>1160</v>
      </c>
      <c r="W399" s="376" t="s">
        <v>1161</v>
      </c>
      <c r="X399" s="376" t="s">
        <v>1162</v>
      </c>
      <c r="Y399" s="376" t="s">
        <v>232</v>
      </c>
      <c r="Z399" s="39">
        <v>0</v>
      </c>
      <c r="AA399" s="518">
        <v>1</v>
      </c>
      <c r="AB399" s="395" t="s">
        <v>1228</v>
      </c>
      <c r="AC399" s="519" t="str">
        <f>""</f>
        <v/>
      </c>
      <c r="AD399" s="522">
        <v>0</v>
      </c>
      <c r="AE399" s="522" t="s">
        <v>236</v>
      </c>
      <c r="AF399" s="522" t="s">
        <v>237</v>
      </c>
      <c r="AG399" s="522">
        <v>0</v>
      </c>
      <c r="AH399" s="522">
        <v>0</v>
      </c>
      <c r="AI399" s="522">
        <v>0</v>
      </c>
      <c r="AJ399" s="520">
        <f>VLOOKUP($I399,'Price List, Weapons &amp; Items'!A:E,5,0)</f>
        <v>0</v>
      </c>
      <c r="AK399" s="520">
        <f t="shared" si="87"/>
        <v>0</v>
      </c>
      <c r="AL399" s="520">
        <f t="shared" si="88"/>
        <v>0</v>
      </c>
      <c r="AM399" s="520">
        <f t="shared" si="89"/>
        <v>0</v>
      </c>
      <c r="AN399" s="521" t="str">
        <f>VLOOKUP($I399,'Price List, Weapons &amp; Items'!A:K,COLUMN('Price List, Weapons &amp; Items'!$I$1),0)</f>
        <v>Government information</v>
      </c>
      <c r="AO399" s="521" t="str">
        <f>IF(I399=".",".",VLOOKUP($I399,'Price List, Weapons &amp; Items'!A:I,3,0))</f>
        <v>.</v>
      </c>
      <c r="AP399" s="517" t="str">
        <f t="shared" ca="1" si="83"/>
        <v/>
      </c>
      <c r="AQ399" s="521" t="str">
        <f>VLOOKUP($I399,'Price List, Weapons &amp; Items'!A:K,COLUMN('Price List, Weapons &amp; Items'!$K$1),0)</f>
        <v>.</v>
      </c>
      <c r="AS399" s="521">
        <f t="shared" si="90"/>
        <v>1</v>
      </c>
      <c r="AT399" s="521">
        <f t="shared" si="91"/>
        <v>1</v>
      </c>
      <c r="AU399" s="521" t="str">
        <f t="shared" si="92"/>
        <v>Value is not in date format</v>
      </c>
      <c r="AV399" s="521" t="str">
        <f t="shared" si="93"/>
        <v>.</v>
      </c>
    </row>
    <row r="400" spans="1:48" ht="15" customHeight="1">
      <c r="A400" s="18" t="s">
        <v>1156</v>
      </c>
      <c r="B400" s="18" t="s">
        <v>1136</v>
      </c>
      <c r="C400" s="511" t="s">
        <v>1163</v>
      </c>
      <c r="D400" s="18" t="s">
        <v>252</v>
      </c>
      <c r="E400" s="18" t="s">
        <v>1157</v>
      </c>
      <c r="F400" s="816" t="s">
        <v>1158</v>
      </c>
      <c r="G400" s="39" t="s">
        <v>332</v>
      </c>
      <c r="H400" s="523">
        <v>1540932933</v>
      </c>
      <c r="I400" s="524" t="s">
        <v>1229</v>
      </c>
      <c r="J400" s="276" t="str">
        <f>VLOOKUP($I400,'Price List, Weapons &amp; Items'!A:B,2,0)</f>
        <v>Military equipment</v>
      </c>
      <c r="K400" s="276" t="str">
        <f>IF(I400=".",I400,VLOOKUP($I400,'Price List, Weapons &amp; Items'!A:C,3,0))</f>
        <v>radar and imagery systems</v>
      </c>
      <c r="L400" s="514">
        <f>VLOOKUP(I400,'Price List, Weapons &amp; Items'!A:D,4,0)</f>
        <v>0</v>
      </c>
      <c r="M400" s="515">
        <v>8</v>
      </c>
      <c r="N400" s="515">
        <v>8</v>
      </c>
      <c r="O400" s="516">
        <f>VLOOKUP($I400,'Price List, Weapons &amp; Items'!A:F,6,0)</f>
        <v>25000</v>
      </c>
      <c r="P400" s="513">
        <f t="shared" si="84"/>
        <v>200000</v>
      </c>
      <c r="Q400" s="513">
        <f t="shared" si="85"/>
        <v>200000</v>
      </c>
      <c r="R400" s="513" t="str">
        <f t="shared" si="86"/>
        <v/>
      </c>
      <c r="S400" s="513" t="str">
        <f>IF(AND(AD400=1,R400&lt;&gt;".")=TRUE,R400/VLOOKUP(G400,'Exchange rates'!B:C,2,0),IF(R400=".",".",""))</f>
        <v/>
      </c>
      <c r="T400" s="513" t="str">
        <f>IF(AD400=1,IF(AF400="Value is not given at all",".",IF(AF400="Value is given by the source",S400,IF(AF400="Value is calculated with prices",(IF(SUMIFS(Q:Q,A:A,A400)&gt;0,SUMIFS(Q:Q,A:A,A400),"."))/VLOOKUP("USD",'Exchange rates'!B:C,2,0),"Error with coding"))),"")</f>
        <v/>
      </c>
      <c r="U400" s="39" t="s">
        <v>233</v>
      </c>
      <c r="V400" s="376" t="s">
        <v>1160</v>
      </c>
      <c r="W400" s="376" t="s">
        <v>1161</v>
      </c>
      <c r="X400" s="376" t="s">
        <v>1162</v>
      </c>
      <c r="Y400" s="376" t="s">
        <v>232</v>
      </c>
      <c r="Z400" s="39">
        <v>0</v>
      </c>
      <c r="AA400" s="518">
        <v>1</v>
      </c>
      <c r="AB400" s="395" t="s">
        <v>1230</v>
      </c>
      <c r="AC400" s="519" t="str">
        <f>""</f>
        <v/>
      </c>
      <c r="AD400" s="522">
        <v>0</v>
      </c>
      <c r="AE400" s="522" t="s">
        <v>236</v>
      </c>
      <c r="AF400" s="522" t="s">
        <v>237</v>
      </c>
      <c r="AG400" s="522">
        <v>0</v>
      </c>
      <c r="AH400" s="522">
        <v>0</v>
      </c>
      <c r="AI400" s="522">
        <v>0</v>
      </c>
      <c r="AJ400" s="520">
        <f>VLOOKUP($I400,'Price List, Weapons &amp; Items'!A:E,5,0)</f>
        <v>0</v>
      </c>
      <c r="AK400" s="520">
        <f t="shared" si="87"/>
        <v>0</v>
      </c>
      <c r="AL400" s="520">
        <f t="shared" si="88"/>
        <v>0</v>
      </c>
      <c r="AM400" s="520">
        <f t="shared" si="89"/>
        <v>0</v>
      </c>
      <c r="AN400" s="521" t="str">
        <f>VLOOKUP($I400,'Price List, Weapons &amp; Items'!A:K,COLUMN('Price List, Weapons &amp; Items'!$I$1),0)</f>
        <v>Online marketplaces and stores</v>
      </c>
      <c r="AO400" s="521" t="str">
        <f>IF(I400=".",".",VLOOKUP($I400,'Price List, Weapons &amp; Items'!A:I,3,0))</f>
        <v>radar and imagery systems</v>
      </c>
      <c r="AP400" s="517" t="str">
        <f t="shared" ca="1" si="83"/>
        <v/>
      </c>
      <c r="AQ400" s="521">
        <f>VLOOKUP($I400,'Price List, Weapons &amp; Items'!A:K,COLUMN('Price List, Weapons &amp; Items'!$K$1),0)</f>
        <v>1</v>
      </c>
      <c r="AS400" s="521">
        <f t="shared" si="90"/>
        <v>1</v>
      </c>
      <c r="AT400" s="521">
        <f t="shared" si="91"/>
        <v>1</v>
      </c>
      <c r="AU400" s="521" t="str">
        <f t="shared" si="92"/>
        <v>Value is not in date format</v>
      </c>
      <c r="AV400" s="521" t="str">
        <f t="shared" si="93"/>
        <v>.</v>
      </c>
    </row>
    <row r="401" spans="1:48" ht="15" customHeight="1">
      <c r="A401" s="18" t="s">
        <v>1156</v>
      </c>
      <c r="B401" s="18" t="s">
        <v>1136</v>
      </c>
      <c r="C401" s="511" t="s">
        <v>1163</v>
      </c>
      <c r="D401" s="18" t="s">
        <v>252</v>
      </c>
      <c r="E401" s="18" t="s">
        <v>1157</v>
      </c>
      <c r="F401" s="816" t="s">
        <v>1158</v>
      </c>
      <c r="G401" s="39" t="s">
        <v>332</v>
      </c>
      <c r="H401" s="523">
        <v>1540932933</v>
      </c>
      <c r="I401" s="524" t="s">
        <v>1231</v>
      </c>
      <c r="J401" s="276" t="str">
        <f>VLOOKUP($I401,'Price List, Weapons &amp; Items'!A:B,2,0)</f>
        <v>Humanitarian</v>
      </c>
      <c r="K401" s="276" t="str">
        <f>IF(I401=".",I401,VLOOKUP($I401,'Price List, Weapons &amp; Items'!A:C,3,0))</f>
        <v>.</v>
      </c>
      <c r="L401" s="514">
        <f>VLOOKUP(I401,'Price List, Weapons &amp; Items'!A:D,4,0)</f>
        <v>0</v>
      </c>
      <c r="M401" s="515">
        <v>116</v>
      </c>
      <c r="N401" s="515">
        <v>116</v>
      </c>
      <c r="O401" s="516" t="str">
        <f>VLOOKUP($I401,'Price List, Weapons &amp; Items'!A:F,6,0)</f>
        <v>.</v>
      </c>
      <c r="P401" s="513" t="str">
        <f t="shared" si="84"/>
        <v>No price</v>
      </c>
      <c r="Q401" s="513" t="str">
        <f t="shared" si="85"/>
        <v>No price</v>
      </c>
      <c r="R401" s="513" t="str">
        <f t="shared" si="86"/>
        <v/>
      </c>
      <c r="S401" s="513" t="str">
        <f>IF(AND(AD401=1,R401&lt;&gt;".")=TRUE,R401/VLOOKUP(G401,'Exchange rates'!B:C,2,0),IF(R401=".",".",""))</f>
        <v/>
      </c>
      <c r="T401" s="513" t="str">
        <f>IF(AD401=1,IF(AF401="Value is not given at all",".",IF(AF401="Value is given by the source",S401,IF(AF401="Value is calculated with prices",(IF(SUMIFS(Q:Q,A:A,A401)&gt;0,SUMIFS(Q:Q,A:A,A401),"."))/VLOOKUP("USD",'Exchange rates'!B:C,2,0),"Error with coding"))),"")</f>
        <v/>
      </c>
      <c r="U401" s="39" t="s">
        <v>233</v>
      </c>
      <c r="V401" s="376" t="s">
        <v>1160</v>
      </c>
      <c r="W401" s="376" t="s">
        <v>1161</v>
      </c>
      <c r="X401" s="376" t="s">
        <v>1162</v>
      </c>
      <c r="Y401" s="376" t="s">
        <v>232</v>
      </c>
      <c r="Z401" s="39">
        <v>0</v>
      </c>
      <c r="AA401" s="518">
        <v>0</v>
      </c>
      <c r="AB401" s="395" t="s">
        <v>1161</v>
      </c>
      <c r="AC401" s="519" t="str">
        <f>""</f>
        <v/>
      </c>
      <c r="AD401" s="522">
        <v>0</v>
      </c>
      <c r="AE401" s="522" t="s">
        <v>236</v>
      </c>
      <c r="AF401" s="522" t="s">
        <v>237</v>
      </c>
      <c r="AG401" s="522">
        <v>0</v>
      </c>
      <c r="AH401" s="522">
        <v>0</v>
      </c>
      <c r="AI401" s="522">
        <v>0</v>
      </c>
      <c r="AJ401" s="520">
        <f>VLOOKUP($I401,'Price List, Weapons &amp; Items'!A:E,5,0)</f>
        <v>0</v>
      </c>
      <c r="AK401" s="520">
        <f t="shared" si="87"/>
        <v>0</v>
      </c>
      <c r="AL401" s="520">
        <f t="shared" si="88"/>
        <v>0</v>
      </c>
      <c r="AM401" s="520">
        <f t="shared" si="89"/>
        <v>0</v>
      </c>
      <c r="AN401" s="521" t="str">
        <f>VLOOKUP($I401,'Price List, Weapons &amp; Items'!A:K,COLUMN('Price List, Weapons &amp; Items'!$I$1),0)</f>
        <v>.</v>
      </c>
      <c r="AO401" s="521" t="str">
        <f>IF(I401=".",".",VLOOKUP($I401,'Price List, Weapons &amp; Items'!A:I,3,0))</f>
        <v>.</v>
      </c>
      <c r="AP401" s="517" t="str">
        <f t="shared" ca="1" si="83"/>
        <v/>
      </c>
      <c r="AQ401" s="521">
        <f>VLOOKUP($I401,'Price List, Weapons &amp; Items'!A:K,COLUMN('Price List, Weapons &amp; Items'!$K$1),0)</f>
        <v>0</v>
      </c>
      <c r="AS401" s="521">
        <f t="shared" si="90"/>
        <v>1</v>
      </c>
      <c r="AT401" s="521">
        <f t="shared" si="91"/>
        <v>1</v>
      </c>
      <c r="AU401" s="521" t="str">
        <f t="shared" si="92"/>
        <v>Value is not in date format</v>
      </c>
      <c r="AV401" s="521" t="str">
        <f t="shared" si="93"/>
        <v>.</v>
      </c>
    </row>
    <row r="402" spans="1:48" ht="15" customHeight="1">
      <c r="A402" s="18" t="s">
        <v>1156</v>
      </c>
      <c r="B402" s="18" t="s">
        <v>1136</v>
      </c>
      <c r="C402" s="511" t="s">
        <v>1163</v>
      </c>
      <c r="D402" s="18" t="s">
        <v>252</v>
      </c>
      <c r="E402" s="18" t="s">
        <v>1157</v>
      </c>
      <c r="F402" s="816" t="s">
        <v>1158</v>
      </c>
      <c r="G402" s="39" t="s">
        <v>332</v>
      </c>
      <c r="H402" s="523">
        <v>1540932933</v>
      </c>
      <c r="I402" s="524" t="s">
        <v>1232</v>
      </c>
      <c r="J402" s="276" t="str">
        <f>VLOOKUP($I402,'Price List, Weapons &amp; Items'!A:B,2,0)</f>
        <v>Aviation and drones</v>
      </c>
      <c r="K402" s="276" t="str">
        <f>IF(I402=".",I402,VLOOKUP($I402,'Price List, Weapons &amp; Items'!A:C,3,0))</f>
        <v>Reconnaissance drone</v>
      </c>
      <c r="L402" s="514">
        <f>VLOOKUP(I402,'Price List, Weapons &amp; Items'!A:D,4,0)</f>
        <v>0</v>
      </c>
      <c r="M402" s="515">
        <v>5</v>
      </c>
      <c r="N402" s="515">
        <v>0</v>
      </c>
      <c r="O402" s="516">
        <f>VLOOKUP($I402,'Price List, Weapons &amp; Items'!A:F,6,0)</f>
        <v>1035567.45</v>
      </c>
      <c r="P402" s="513">
        <f t="shared" si="84"/>
        <v>5177837.25</v>
      </c>
      <c r="Q402" s="513">
        <f t="shared" si="85"/>
        <v>0</v>
      </c>
      <c r="R402" s="513" t="str">
        <f t="shared" si="86"/>
        <v/>
      </c>
      <c r="S402" s="513" t="str">
        <f>IF(AND(AD402=1,R402&lt;&gt;".")=TRUE,R402/VLOOKUP(G402,'Exchange rates'!B:C,2,0),IF(R402=".",".",""))</f>
        <v/>
      </c>
      <c r="T402" s="513" t="str">
        <f>IF(AD402=1,IF(AF402="Value is not given at all",".",IF(AF402="Value is given by the source",S402,IF(AF402="Value is calculated with prices",(IF(SUMIFS(Q:Q,A:A,A402)&gt;0,SUMIFS(Q:Q,A:A,A402),"."))/VLOOKUP("USD",'Exchange rates'!B:C,2,0),"Error with coding"))),"")</f>
        <v/>
      </c>
      <c r="U402" s="39" t="s">
        <v>233</v>
      </c>
      <c r="V402" s="376" t="s">
        <v>1160</v>
      </c>
      <c r="W402" s="376" t="s">
        <v>1161</v>
      </c>
      <c r="X402" s="376" t="s">
        <v>1162</v>
      </c>
      <c r="Y402" s="376" t="s">
        <v>232</v>
      </c>
      <c r="Z402" s="39">
        <v>0</v>
      </c>
      <c r="AA402" s="518">
        <v>1</v>
      </c>
      <c r="AB402" s="395" t="s">
        <v>1233</v>
      </c>
      <c r="AC402" s="519" t="str">
        <f>""</f>
        <v/>
      </c>
      <c r="AD402" s="522">
        <v>0</v>
      </c>
      <c r="AE402" s="522" t="s">
        <v>236</v>
      </c>
      <c r="AF402" s="522" t="s">
        <v>237</v>
      </c>
      <c r="AG402" s="522">
        <v>0</v>
      </c>
      <c r="AH402" s="522">
        <v>0</v>
      </c>
      <c r="AI402" s="522">
        <v>0</v>
      </c>
      <c r="AJ402" s="520">
        <f>VLOOKUP($I402,'Price List, Weapons &amp; Items'!A:E,5,0)</f>
        <v>0</v>
      </c>
      <c r="AK402" s="520">
        <f t="shared" si="87"/>
        <v>0</v>
      </c>
      <c r="AL402" s="520">
        <f t="shared" si="88"/>
        <v>0</v>
      </c>
      <c r="AM402" s="520">
        <f t="shared" si="89"/>
        <v>0</v>
      </c>
      <c r="AN402" s="521" t="str">
        <f>VLOOKUP($I402,'Price List, Weapons &amp; Items'!A:K,COLUMN('Price List, Weapons &amp; Items'!$I$1),0)</f>
        <v>Miscellaneous</v>
      </c>
      <c r="AO402" s="521" t="str">
        <f>IF(I402=".",".",VLOOKUP($I402,'Price List, Weapons &amp; Items'!A:I,3,0))</f>
        <v>Reconnaissance drone</v>
      </c>
      <c r="AP402" s="517" t="str">
        <f t="shared" ca="1" si="83"/>
        <v/>
      </c>
      <c r="AQ402" s="521">
        <f>VLOOKUP($I402,'Price List, Weapons &amp; Items'!A:K,COLUMN('Price List, Weapons &amp; Items'!$K$1),0)</f>
        <v>2</v>
      </c>
      <c r="AS402" s="521">
        <f t="shared" si="90"/>
        <v>1</v>
      </c>
      <c r="AT402" s="521">
        <f t="shared" si="91"/>
        <v>1</v>
      </c>
      <c r="AU402" s="521" t="str">
        <f t="shared" si="92"/>
        <v>Value is not in date format</v>
      </c>
      <c r="AV402" s="521" t="str">
        <f t="shared" si="93"/>
        <v>.</v>
      </c>
    </row>
    <row r="403" spans="1:48" ht="15" customHeight="1">
      <c r="A403" s="18" t="s">
        <v>1156</v>
      </c>
      <c r="B403" s="18" t="s">
        <v>1136</v>
      </c>
      <c r="C403" s="511" t="s">
        <v>1163</v>
      </c>
      <c r="D403" s="18" t="s">
        <v>252</v>
      </c>
      <c r="E403" s="18" t="s">
        <v>1157</v>
      </c>
      <c r="F403" s="816" t="s">
        <v>1158</v>
      </c>
      <c r="G403" s="39" t="s">
        <v>332</v>
      </c>
      <c r="H403" s="523">
        <v>1540932933</v>
      </c>
      <c r="I403" s="524" t="s">
        <v>1234</v>
      </c>
      <c r="J403" s="276" t="str">
        <f>VLOOKUP($I403,'Price List, Weapons &amp; Items'!A:B,2,0)</f>
        <v>military equipment</v>
      </c>
      <c r="K403" s="276" t="str">
        <f>IF(I403=".",I403,VLOOKUP($I403,'Price List, Weapons &amp; Items'!A:C,3,0))</f>
        <v>drones and robots</v>
      </c>
      <c r="L403" s="514">
        <f>VLOOKUP(I403,'Price List, Weapons &amp; Items'!A:D,4,0)</f>
        <v>0</v>
      </c>
      <c r="M403" s="515">
        <v>4</v>
      </c>
      <c r="N403" s="515">
        <v>4</v>
      </c>
      <c r="O403" s="516">
        <f>VLOOKUP($I403,'Price List, Weapons &amp; Items'!A:F,6,0)</f>
        <v>72000</v>
      </c>
      <c r="P403" s="513">
        <f t="shared" si="84"/>
        <v>288000</v>
      </c>
      <c r="Q403" s="513">
        <f t="shared" si="85"/>
        <v>288000</v>
      </c>
      <c r="R403" s="513" t="str">
        <f t="shared" si="86"/>
        <v/>
      </c>
      <c r="S403" s="513" t="str">
        <f>IF(AND(AD403=1,R403&lt;&gt;".")=TRUE,R403/VLOOKUP(G403,'Exchange rates'!B:C,2,0),IF(R403=".",".",""))</f>
        <v/>
      </c>
      <c r="T403" s="513" t="str">
        <f>IF(AD403=1,IF(AF403="Value is not given at all",".",IF(AF403="Value is given by the source",S403,IF(AF403="Value is calculated with prices",(IF(SUMIFS(Q:Q,A:A,A403)&gt;0,SUMIFS(Q:Q,A:A,A403),"."))/VLOOKUP("USD",'Exchange rates'!B:C,2,0),"Error with coding"))),"")</f>
        <v/>
      </c>
      <c r="U403" s="39" t="s">
        <v>233</v>
      </c>
      <c r="V403" s="376" t="s">
        <v>1160</v>
      </c>
      <c r="W403" s="376" t="s">
        <v>1161</v>
      </c>
      <c r="X403" s="376" t="s">
        <v>1162</v>
      </c>
      <c r="Y403" s="376" t="s">
        <v>232</v>
      </c>
      <c r="Z403" s="39">
        <v>0</v>
      </c>
      <c r="AA403" s="518">
        <v>1</v>
      </c>
      <c r="AB403" s="395" t="s">
        <v>1177</v>
      </c>
      <c r="AC403" s="519" t="str">
        <f>""</f>
        <v/>
      </c>
      <c r="AD403" s="522">
        <v>0</v>
      </c>
      <c r="AE403" s="522" t="s">
        <v>236</v>
      </c>
      <c r="AF403" s="522" t="s">
        <v>237</v>
      </c>
      <c r="AG403" s="522">
        <v>0</v>
      </c>
      <c r="AH403" s="522">
        <v>0</v>
      </c>
      <c r="AI403" s="522">
        <v>0</v>
      </c>
      <c r="AJ403" s="520">
        <f>VLOOKUP($I403,'Price List, Weapons &amp; Items'!A:E,5,0)</f>
        <v>0</v>
      </c>
      <c r="AK403" s="520">
        <f t="shared" si="87"/>
        <v>0</v>
      </c>
      <c r="AL403" s="520">
        <f t="shared" si="88"/>
        <v>0</v>
      </c>
      <c r="AM403" s="520">
        <f t="shared" si="89"/>
        <v>0</v>
      </c>
      <c r="AN403" s="521" t="str">
        <f>VLOOKUP($I403,'Price List, Weapons &amp; Items'!A:K,COLUMN('Price List, Weapons &amp; Items'!$I$1),0)</f>
        <v>Government information</v>
      </c>
      <c r="AO403" s="521" t="str">
        <f>IF(I403=".",".",VLOOKUP($I403,'Price List, Weapons &amp; Items'!A:I,3,0))</f>
        <v>drones and robots</v>
      </c>
      <c r="AP403" s="517" t="str">
        <f t="shared" ca="1" si="83"/>
        <v/>
      </c>
      <c r="AQ403" s="521">
        <f>VLOOKUP($I403,'Price List, Weapons &amp; Items'!A:K,COLUMN('Price List, Weapons &amp; Items'!$K$1),0)</f>
        <v>1</v>
      </c>
      <c r="AS403" s="521">
        <f t="shared" si="90"/>
        <v>1</v>
      </c>
      <c r="AT403" s="521">
        <f t="shared" si="91"/>
        <v>1</v>
      </c>
      <c r="AU403" s="521" t="str">
        <f t="shared" si="92"/>
        <v>Value is not in date format</v>
      </c>
      <c r="AV403" s="521" t="str">
        <f t="shared" si="93"/>
        <v>.</v>
      </c>
    </row>
    <row r="404" spans="1:48" ht="15" customHeight="1">
      <c r="A404" s="18" t="s">
        <v>1156</v>
      </c>
      <c r="B404" s="18" t="s">
        <v>1136</v>
      </c>
      <c r="C404" s="511" t="s">
        <v>1163</v>
      </c>
      <c r="D404" s="18" t="s">
        <v>252</v>
      </c>
      <c r="E404" s="18" t="s">
        <v>1157</v>
      </c>
      <c r="F404" s="816" t="s">
        <v>1158</v>
      </c>
      <c r="G404" s="39" t="s">
        <v>332</v>
      </c>
      <c r="H404" s="523">
        <v>1540932933</v>
      </c>
      <c r="I404" s="524" t="s">
        <v>1235</v>
      </c>
      <c r="J404" s="276" t="str">
        <f>VLOOKUP($I404,'Price List, Weapons &amp; Items'!A:B,2,0)</f>
        <v>Heavy weapon</v>
      </c>
      <c r="K404" s="276" t="str">
        <f>IF(I404=".",I404,VLOOKUP($I404,'Price List, Weapons &amp; Items'!A:C,3,0))</f>
        <v>Armoured Utility Vehicle (AUV)</v>
      </c>
      <c r="L404" s="514">
        <f>VLOOKUP(I404,'Price List, Weapons &amp; Items'!A:D,4,0)</f>
        <v>0</v>
      </c>
      <c r="M404" s="515">
        <v>50</v>
      </c>
      <c r="N404" s="515">
        <v>30</v>
      </c>
      <c r="O404" s="516">
        <f>VLOOKUP($I404,'Price List, Weapons &amp; Items'!A:F,6,0)</f>
        <v>500000</v>
      </c>
      <c r="P404" s="513">
        <f t="shared" si="84"/>
        <v>25000000</v>
      </c>
      <c r="Q404" s="513">
        <f t="shared" si="85"/>
        <v>15000000</v>
      </c>
      <c r="R404" s="513" t="str">
        <f t="shared" si="86"/>
        <v/>
      </c>
      <c r="S404" s="513" t="str">
        <f>IF(AND(AD404=1,R404&lt;&gt;".")=TRUE,R404/VLOOKUP(G404,'Exchange rates'!B:C,2,0),IF(R404=".",".",""))</f>
        <v/>
      </c>
      <c r="T404" s="513" t="str">
        <f>IF(AD404=1,IF(AF404="Value is not given at all",".",IF(AF404="Value is given by the source",S404,IF(AF404="Value is calculated with prices",(IF(SUMIFS(Q:Q,A:A,A404)&gt;0,SUMIFS(Q:Q,A:A,A404),"."))/VLOOKUP("USD",'Exchange rates'!B:C,2,0),"Error with coding"))),"")</f>
        <v/>
      </c>
      <c r="U404" s="39" t="s">
        <v>233</v>
      </c>
      <c r="V404" s="376" t="s">
        <v>1160</v>
      </c>
      <c r="W404" s="376" t="s">
        <v>1161</v>
      </c>
      <c r="X404" s="376" t="s">
        <v>1162</v>
      </c>
      <c r="Y404" s="376" t="s">
        <v>232</v>
      </c>
      <c r="Z404" s="39">
        <v>0</v>
      </c>
      <c r="AA404" s="518">
        <v>0</v>
      </c>
      <c r="AB404" s="395" t="s">
        <v>1161</v>
      </c>
      <c r="AC404" s="519" t="str">
        <f>""</f>
        <v/>
      </c>
      <c r="AD404" s="522">
        <v>0</v>
      </c>
      <c r="AE404" s="522" t="s">
        <v>236</v>
      </c>
      <c r="AF404" s="522" t="s">
        <v>237</v>
      </c>
      <c r="AG404" s="522">
        <v>0</v>
      </c>
      <c r="AH404" s="522">
        <v>0</v>
      </c>
      <c r="AI404" s="522">
        <v>0</v>
      </c>
      <c r="AJ404" s="520">
        <f>VLOOKUP($I404,'Price List, Weapons &amp; Items'!A:E,5,0)</f>
        <v>1</v>
      </c>
      <c r="AK404" s="520">
        <f t="shared" si="87"/>
        <v>0</v>
      </c>
      <c r="AL404" s="520">
        <f t="shared" si="88"/>
        <v>0</v>
      </c>
      <c r="AM404" s="520">
        <f t="shared" si="89"/>
        <v>0</v>
      </c>
      <c r="AN404" s="521" t="str">
        <f>VLOOKUP($I404,'Price List, Weapons &amp; Items'!A:K,COLUMN('Price List, Weapons &amp; Items'!$I$1),0)</f>
        <v>Military media (incl. websites)</v>
      </c>
      <c r="AO404" s="521" t="str">
        <f>IF(I404=".",".",VLOOKUP($I404,'Price List, Weapons &amp; Items'!A:I,3,0))</f>
        <v>Armoured Utility Vehicle (AUV)</v>
      </c>
      <c r="AP404" s="517" t="str">
        <f t="shared" ca="1" si="83"/>
        <v/>
      </c>
      <c r="AQ404" s="521">
        <f>VLOOKUP($I404,'Price List, Weapons &amp; Items'!A:K,COLUMN('Price List, Weapons &amp; Items'!$K$1),0)</f>
        <v>2</v>
      </c>
      <c r="AS404" s="521">
        <f t="shared" si="90"/>
        <v>1</v>
      </c>
      <c r="AT404" s="521">
        <f t="shared" si="91"/>
        <v>1</v>
      </c>
      <c r="AU404" s="521" t="str">
        <f t="shared" si="92"/>
        <v>Value is not in date format</v>
      </c>
      <c r="AV404" s="521" t="str">
        <f t="shared" si="93"/>
        <v>.</v>
      </c>
    </row>
    <row r="405" spans="1:48" ht="15" customHeight="1">
      <c r="A405" s="18" t="s">
        <v>1156</v>
      </c>
      <c r="B405" s="18" t="s">
        <v>1136</v>
      </c>
      <c r="C405" s="511" t="s">
        <v>1163</v>
      </c>
      <c r="D405" s="18" t="s">
        <v>252</v>
      </c>
      <c r="E405" s="18" t="s">
        <v>1157</v>
      </c>
      <c r="F405" s="816" t="s">
        <v>1158</v>
      </c>
      <c r="G405" s="39" t="s">
        <v>332</v>
      </c>
      <c r="H405" s="523">
        <v>1540932933</v>
      </c>
      <c r="I405" s="425" t="s">
        <v>410</v>
      </c>
      <c r="J405" s="276" t="str">
        <f>VLOOKUP($I405,'Price List, Weapons &amp; Items'!A:B,2,0)</f>
        <v>Military equipment</v>
      </c>
      <c r="K405" s="276" t="str">
        <f>IF(I405=".",I405,VLOOKUP($I405,'Price List, Weapons &amp; Items'!A:C,3,0))</f>
        <v>.</v>
      </c>
      <c r="L405" s="514">
        <f>VLOOKUP(I405,'Price List, Weapons &amp; Items'!A:D,4,0)</f>
        <v>0</v>
      </c>
      <c r="M405" s="515">
        <v>353</v>
      </c>
      <c r="N405" s="515">
        <v>353</v>
      </c>
      <c r="O405" s="516">
        <f>VLOOKUP($I405,'Price List, Weapons &amp; Items'!A:F,6,0)</f>
        <v>2320</v>
      </c>
      <c r="P405" s="513">
        <f t="shared" si="84"/>
        <v>818960</v>
      </c>
      <c r="Q405" s="513">
        <f t="shared" si="85"/>
        <v>818960</v>
      </c>
      <c r="R405" s="513" t="str">
        <f t="shared" si="86"/>
        <v/>
      </c>
      <c r="S405" s="513" t="str">
        <f>IF(AND(AD405=1,R405&lt;&gt;".")=TRUE,R405/VLOOKUP(G405,'Exchange rates'!B:C,2,0),IF(R405=".",".",""))</f>
        <v/>
      </c>
      <c r="T405" s="513" t="str">
        <f>IF(AD405=1,IF(AF405="Value is not given at all",".",IF(AF405="Value is given by the source",S405,IF(AF405="Value is calculated with prices",(IF(SUMIFS(Q:Q,A:A,A405)&gt;0,SUMIFS(Q:Q,A:A,A405),"."))/VLOOKUP("USD",'Exchange rates'!B:C,2,0),"Error with coding"))),"")</f>
        <v/>
      </c>
      <c r="U405" s="39" t="s">
        <v>233</v>
      </c>
      <c r="V405" s="376" t="s">
        <v>1160</v>
      </c>
      <c r="W405" s="376" t="s">
        <v>1161</v>
      </c>
      <c r="X405" s="376" t="s">
        <v>1162</v>
      </c>
      <c r="Y405" s="376" t="s">
        <v>232</v>
      </c>
      <c r="Z405" s="39">
        <v>0</v>
      </c>
      <c r="AA405" s="518">
        <v>1</v>
      </c>
      <c r="AB405" s="395" t="s">
        <v>1161</v>
      </c>
      <c r="AC405" s="519" t="str">
        <f>""</f>
        <v/>
      </c>
      <c r="AD405" s="522">
        <v>0</v>
      </c>
      <c r="AE405" s="522" t="s">
        <v>236</v>
      </c>
      <c r="AF405" s="522" t="s">
        <v>237</v>
      </c>
      <c r="AG405" s="522">
        <v>0</v>
      </c>
      <c r="AH405" s="522">
        <v>0</v>
      </c>
      <c r="AI405" s="522">
        <v>0</v>
      </c>
      <c r="AJ405" s="520">
        <f>VLOOKUP($I405,'Price List, Weapons &amp; Items'!A:E,5,0)</f>
        <v>0</v>
      </c>
      <c r="AK405" s="520">
        <f t="shared" si="87"/>
        <v>0</v>
      </c>
      <c r="AL405" s="520">
        <f t="shared" si="88"/>
        <v>0</v>
      </c>
      <c r="AM405" s="520">
        <f t="shared" si="89"/>
        <v>0</v>
      </c>
      <c r="AN405" s="521" t="str">
        <f>VLOOKUP($I405,'Price List, Weapons &amp; Items'!A:K,COLUMN('Price List, Weapons &amp; Items'!$I$1),0)</f>
        <v>Media reports (incl. social media)</v>
      </c>
      <c r="AO405" s="521" t="str">
        <f>IF(I405=".",".",VLOOKUP($I405,'Price List, Weapons &amp; Items'!A:I,3,0))</f>
        <v>.</v>
      </c>
      <c r="AP405" s="517" t="str">
        <f t="shared" ca="1" si="83"/>
        <v/>
      </c>
      <c r="AQ405" s="521">
        <f>VLOOKUP($I405,'Price List, Weapons &amp; Items'!A:K,COLUMN('Price List, Weapons &amp; Items'!$K$1),0)</f>
        <v>1</v>
      </c>
      <c r="AS405" s="521">
        <f t="shared" si="90"/>
        <v>1</v>
      </c>
      <c r="AT405" s="521">
        <f t="shared" si="91"/>
        <v>1</v>
      </c>
      <c r="AU405" s="521" t="str">
        <f t="shared" si="92"/>
        <v>Value is not in date format</v>
      </c>
      <c r="AV405" s="521" t="str">
        <f t="shared" si="93"/>
        <v>.</v>
      </c>
    </row>
    <row r="406" spans="1:48" ht="15" customHeight="1">
      <c r="A406" s="18" t="s">
        <v>1156</v>
      </c>
      <c r="B406" s="18" t="s">
        <v>1136</v>
      </c>
      <c r="C406" s="511" t="s">
        <v>1163</v>
      </c>
      <c r="D406" s="18" t="s">
        <v>252</v>
      </c>
      <c r="E406" s="18" t="s">
        <v>1157</v>
      </c>
      <c r="F406" s="816" t="s">
        <v>1158</v>
      </c>
      <c r="G406" s="39" t="s">
        <v>332</v>
      </c>
      <c r="H406" s="523">
        <v>1540932933</v>
      </c>
      <c r="I406" s="524" t="s">
        <v>1236</v>
      </c>
      <c r="J406" s="276" t="str">
        <f>VLOOKUP($I406,'Price List, Weapons &amp; Items'!A:B,2,0)</f>
        <v>military equipment</v>
      </c>
      <c r="K406" s="276" t="str">
        <f>IF(I406=".",I406,VLOOKUP($I406,'Price List, Weapons &amp; Items'!A:C,3,0))</f>
        <v>.</v>
      </c>
      <c r="L406" s="514">
        <f>VLOOKUP(I406,'Price List, Weapons &amp; Items'!A:D,4,0)</f>
        <v>0</v>
      </c>
      <c r="M406" s="515" t="s">
        <v>264</v>
      </c>
      <c r="N406" s="515" t="s">
        <v>264</v>
      </c>
      <c r="O406" s="516" t="str">
        <f>VLOOKUP($I406,'Price List, Weapons &amp; Items'!A:F,6,0)</f>
        <v>.</v>
      </c>
      <c r="P406" s="513" t="str">
        <f t="shared" si="84"/>
        <v>.</v>
      </c>
      <c r="Q406" s="513" t="str">
        <f t="shared" si="85"/>
        <v>.</v>
      </c>
      <c r="R406" s="513" t="str">
        <f t="shared" si="86"/>
        <v/>
      </c>
      <c r="S406" s="513" t="str">
        <f>IF(AND(AD406=1,R406&lt;&gt;".")=TRUE,R406/VLOOKUP(G406,'Exchange rates'!B:C,2,0),IF(R406=".",".",""))</f>
        <v/>
      </c>
      <c r="T406" s="513" t="str">
        <f>IF(AD406=1,IF(AF406="Value is not given at all",".",IF(AF406="Value is given by the source",S406,IF(AF406="Value is calculated with prices",(IF(SUMIFS(Q:Q,A:A,A406)&gt;0,SUMIFS(Q:Q,A:A,A406),"."))/VLOOKUP("USD",'Exchange rates'!B:C,2,0),"Error with coding"))),"")</f>
        <v/>
      </c>
      <c r="U406" s="39" t="s">
        <v>233</v>
      </c>
      <c r="V406" s="376" t="s">
        <v>1160</v>
      </c>
      <c r="W406" s="376" t="s">
        <v>1161</v>
      </c>
      <c r="X406" s="376" t="s">
        <v>1162</v>
      </c>
      <c r="Y406" s="376" t="s">
        <v>232</v>
      </c>
      <c r="Z406" s="39">
        <v>0</v>
      </c>
      <c r="AA406" s="518">
        <v>0</v>
      </c>
      <c r="AB406" s="395" t="s">
        <v>1161</v>
      </c>
      <c r="AC406" s="519" t="str">
        <f>""</f>
        <v/>
      </c>
      <c r="AD406" s="522">
        <v>0</v>
      </c>
      <c r="AE406" s="522" t="s">
        <v>236</v>
      </c>
      <c r="AF406" s="522" t="s">
        <v>237</v>
      </c>
      <c r="AG406" s="522">
        <v>0</v>
      </c>
      <c r="AH406" s="522">
        <v>0</v>
      </c>
      <c r="AI406" s="522">
        <v>0</v>
      </c>
      <c r="AJ406" s="520">
        <f>VLOOKUP($I406,'Price List, Weapons &amp; Items'!A:E,5,0)</f>
        <v>0</v>
      </c>
      <c r="AK406" s="520">
        <f t="shared" si="87"/>
        <v>0</v>
      </c>
      <c r="AL406" s="520">
        <f t="shared" si="88"/>
        <v>0</v>
      </c>
      <c r="AM406" s="520">
        <f t="shared" si="89"/>
        <v>0</v>
      </c>
      <c r="AN406" s="521" t="str">
        <f>VLOOKUP($I406,'Price List, Weapons &amp; Items'!A:K,COLUMN('Price List, Weapons &amp; Items'!$I$1),0)</f>
        <v>.</v>
      </c>
      <c r="AO406" s="521" t="str">
        <f>IF(I406=".",".",VLOOKUP($I406,'Price List, Weapons &amp; Items'!A:I,3,0))</f>
        <v>.</v>
      </c>
      <c r="AP406" s="517" t="str">
        <f t="shared" ca="1" si="83"/>
        <v/>
      </c>
      <c r="AQ406" s="521" t="str">
        <f>VLOOKUP($I406,'Price List, Weapons &amp; Items'!A:K,COLUMN('Price List, Weapons &amp; Items'!$K$1),0)</f>
        <v>no price, 0 count</v>
      </c>
      <c r="AS406" s="521">
        <f t="shared" si="90"/>
        <v>1</v>
      </c>
      <c r="AT406" s="521">
        <f t="shared" si="91"/>
        <v>1</v>
      </c>
      <c r="AU406" s="521" t="str">
        <f t="shared" si="92"/>
        <v>Value is not in date format</v>
      </c>
      <c r="AV406" s="521" t="str">
        <f t="shared" si="93"/>
        <v>.</v>
      </c>
    </row>
    <row r="407" spans="1:48" ht="15" customHeight="1">
      <c r="A407" s="18" t="s">
        <v>1156</v>
      </c>
      <c r="B407" s="18" t="s">
        <v>1136</v>
      </c>
      <c r="C407" s="511" t="s">
        <v>1163</v>
      </c>
      <c r="D407" s="18" t="s">
        <v>252</v>
      </c>
      <c r="E407" s="18" t="s">
        <v>1157</v>
      </c>
      <c r="F407" s="816" t="s">
        <v>1158</v>
      </c>
      <c r="G407" s="39" t="s">
        <v>332</v>
      </c>
      <c r="H407" s="523">
        <v>1540932933</v>
      </c>
      <c r="I407" s="524" t="s">
        <v>1237</v>
      </c>
      <c r="J407" s="276" t="str">
        <f>VLOOKUP($I407,'Price List, Weapons &amp; Items'!A:B,2,0)</f>
        <v>Humanitarian</v>
      </c>
      <c r="K407" s="276" t="str">
        <f>IF(I407=".",I407,VLOOKUP($I407,'Price List, Weapons &amp; Items'!A:C,3,0))</f>
        <v>.</v>
      </c>
      <c r="L407" s="514">
        <f>VLOOKUP(I407,'Price List, Weapons &amp; Items'!A:D,4,0)</f>
        <v>0</v>
      </c>
      <c r="M407" s="515" t="s">
        <v>264</v>
      </c>
      <c r="N407" s="515" t="s">
        <v>264</v>
      </c>
      <c r="O407" s="516" t="str">
        <f>VLOOKUP($I407,'Price List, Weapons &amp; Items'!A:F,6,0)</f>
        <v>.</v>
      </c>
      <c r="P407" s="513" t="str">
        <f t="shared" si="84"/>
        <v>.</v>
      </c>
      <c r="Q407" s="513" t="str">
        <f t="shared" si="85"/>
        <v>.</v>
      </c>
      <c r="R407" s="513" t="str">
        <f t="shared" si="86"/>
        <v/>
      </c>
      <c r="S407" s="513" t="str">
        <f>IF(AND(AD407=1,R407&lt;&gt;".")=TRUE,R407/VLOOKUP(G407,'Exchange rates'!B:C,2,0),IF(R407=".",".",""))</f>
        <v/>
      </c>
      <c r="T407" s="513" t="str">
        <f>IF(AD407=1,IF(AF407="Value is not given at all",".",IF(AF407="Value is given by the source",S407,IF(AF407="Value is calculated with prices",(IF(SUMIFS(Q:Q,A:A,A407)&gt;0,SUMIFS(Q:Q,A:A,A407),"."))/VLOOKUP("USD",'Exchange rates'!B:C,2,0),"Error with coding"))),"")</f>
        <v/>
      </c>
      <c r="U407" s="39" t="s">
        <v>233</v>
      </c>
      <c r="V407" s="376" t="s">
        <v>1160</v>
      </c>
      <c r="W407" s="376" t="s">
        <v>1161</v>
      </c>
      <c r="X407" s="376" t="s">
        <v>1162</v>
      </c>
      <c r="Y407" s="376" t="s">
        <v>232</v>
      </c>
      <c r="Z407" s="39">
        <v>0</v>
      </c>
      <c r="AA407" s="518">
        <v>0</v>
      </c>
      <c r="AB407" s="395" t="s">
        <v>1161</v>
      </c>
      <c r="AC407" s="519" t="str">
        <f>""</f>
        <v/>
      </c>
      <c r="AD407" s="522">
        <v>0</v>
      </c>
      <c r="AE407" s="522" t="s">
        <v>236</v>
      </c>
      <c r="AF407" s="522" t="s">
        <v>237</v>
      </c>
      <c r="AG407" s="522">
        <v>0</v>
      </c>
      <c r="AH407" s="522">
        <v>0</v>
      </c>
      <c r="AI407" s="522">
        <v>0</v>
      </c>
      <c r="AJ407" s="520">
        <f>VLOOKUP($I407,'Price List, Weapons &amp; Items'!A:E,5,0)</f>
        <v>0</v>
      </c>
      <c r="AK407" s="520">
        <f t="shared" si="87"/>
        <v>0</v>
      </c>
      <c r="AL407" s="520">
        <f t="shared" si="88"/>
        <v>0</v>
      </c>
      <c r="AM407" s="520">
        <f t="shared" si="89"/>
        <v>0</v>
      </c>
      <c r="AN407" s="521" t="str">
        <f>VLOOKUP($I407,'Price List, Weapons &amp; Items'!A:K,COLUMN('Price List, Weapons &amp; Items'!$I$1),0)</f>
        <v>.</v>
      </c>
      <c r="AO407" s="521" t="str">
        <f>IF(I407=".",".",VLOOKUP($I407,'Price List, Weapons &amp; Items'!A:I,3,0))</f>
        <v>.</v>
      </c>
      <c r="AP407" s="517" t="str">
        <f t="shared" ca="1" si="83"/>
        <v/>
      </c>
      <c r="AQ407" s="521">
        <f>VLOOKUP($I407,'Price List, Weapons &amp; Items'!A:K,COLUMN('Price List, Weapons &amp; Items'!$K$1),0)</f>
        <v>0</v>
      </c>
      <c r="AS407" s="521">
        <f t="shared" si="90"/>
        <v>1</v>
      </c>
      <c r="AT407" s="521">
        <f t="shared" si="91"/>
        <v>1</v>
      </c>
      <c r="AU407" s="521" t="str">
        <f t="shared" si="92"/>
        <v>Value is not in date format</v>
      </c>
      <c r="AV407" s="521" t="str">
        <f t="shared" si="93"/>
        <v>.</v>
      </c>
    </row>
    <row r="408" spans="1:48" ht="15" customHeight="1">
      <c r="A408" s="18" t="s">
        <v>1156</v>
      </c>
      <c r="B408" s="18" t="s">
        <v>1136</v>
      </c>
      <c r="C408" s="511" t="s">
        <v>1163</v>
      </c>
      <c r="D408" s="18" t="s">
        <v>252</v>
      </c>
      <c r="E408" s="18" t="s">
        <v>1157</v>
      </c>
      <c r="F408" s="816" t="s">
        <v>1158</v>
      </c>
      <c r="G408" s="39" t="s">
        <v>332</v>
      </c>
      <c r="H408" s="523">
        <v>1540932933</v>
      </c>
      <c r="I408" s="524" t="s">
        <v>1238</v>
      </c>
      <c r="J408" s="276" t="str">
        <f>VLOOKUP($I408,'Price List, Weapons &amp; Items'!A:B,2,0)</f>
        <v>military equipment</v>
      </c>
      <c r="K408" s="276" t="str">
        <f>IF(I408=".",I408,VLOOKUP($I408,'Price List, Weapons &amp; Items'!A:C,3,0))</f>
        <v>.</v>
      </c>
      <c r="L408" s="514">
        <f>VLOOKUP(I408,'Price List, Weapons &amp; Items'!A:D,4,0)</f>
        <v>0</v>
      </c>
      <c r="M408" s="515" t="s">
        <v>264</v>
      </c>
      <c r="N408" s="515" t="s">
        <v>264</v>
      </c>
      <c r="O408" s="516" t="str">
        <f>VLOOKUP($I408,'Price List, Weapons &amp; Items'!A:F,6,0)</f>
        <v>.</v>
      </c>
      <c r="P408" s="513" t="str">
        <f t="shared" si="84"/>
        <v>.</v>
      </c>
      <c r="Q408" s="513" t="str">
        <f t="shared" si="85"/>
        <v>.</v>
      </c>
      <c r="R408" s="513" t="str">
        <f t="shared" si="86"/>
        <v/>
      </c>
      <c r="S408" s="513" t="str">
        <f>IF(AND(AD408=1,R408&lt;&gt;".")=TRUE,R408/VLOOKUP(G408,'Exchange rates'!B:C,2,0),IF(R408=".",".",""))</f>
        <v/>
      </c>
      <c r="T408" s="513" t="str">
        <f>IF(AD408=1,IF(AF408="Value is not given at all",".",IF(AF408="Value is given by the source",S408,IF(AF408="Value is calculated with prices",(IF(SUMIFS(Q:Q,A:A,A408)&gt;0,SUMIFS(Q:Q,A:A,A408),"."))/VLOOKUP("USD",'Exchange rates'!B:C,2,0),"Error with coding"))),"")</f>
        <v/>
      </c>
      <c r="U408" s="39" t="s">
        <v>233</v>
      </c>
      <c r="V408" s="376" t="s">
        <v>1160</v>
      </c>
      <c r="W408" s="376" t="s">
        <v>1161</v>
      </c>
      <c r="X408" s="376" t="s">
        <v>1162</v>
      </c>
      <c r="Y408" s="376" t="s">
        <v>232</v>
      </c>
      <c r="Z408" s="39">
        <v>0</v>
      </c>
      <c r="AA408" s="518">
        <v>1</v>
      </c>
      <c r="AB408" s="395" t="s">
        <v>1161</v>
      </c>
      <c r="AC408" s="519" t="str">
        <f>""</f>
        <v/>
      </c>
      <c r="AD408" s="522">
        <v>0</v>
      </c>
      <c r="AE408" s="522" t="s">
        <v>236</v>
      </c>
      <c r="AF408" s="522" t="s">
        <v>237</v>
      </c>
      <c r="AG408" s="522">
        <v>0</v>
      </c>
      <c r="AH408" s="522">
        <v>0</v>
      </c>
      <c r="AI408" s="522">
        <v>0</v>
      </c>
      <c r="AJ408" s="520">
        <f>VLOOKUP($I408,'Price List, Weapons &amp; Items'!A:E,5,0)</f>
        <v>0</v>
      </c>
      <c r="AK408" s="520">
        <f t="shared" si="87"/>
        <v>0</v>
      </c>
      <c r="AL408" s="520">
        <f t="shared" si="88"/>
        <v>0</v>
      </c>
      <c r="AM408" s="520">
        <f t="shared" si="89"/>
        <v>0</v>
      </c>
      <c r="AN408" s="521" t="str">
        <f>VLOOKUP($I408,'Price List, Weapons &amp; Items'!A:K,COLUMN('Price List, Weapons &amp; Items'!$I$1),0)</f>
        <v>.</v>
      </c>
      <c r="AO408" s="521" t="str">
        <f>IF(I408=".",".",VLOOKUP($I408,'Price List, Weapons &amp; Items'!A:I,3,0))</f>
        <v>.</v>
      </c>
      <c r="AP408" s="517" t="str">
        <f t="shared" ref="AP408:AP471" ca="1" si="94">IF(AD408=1,_xlfn.ARRAYTOTEXT(OFFSET(I408,0,0,COUNTIF(A:A,A408),1)),"")</f>
        <v/>
      </c>
      <c r="AQ408" s="521" t="str">
        <f>VLOOKUP($I408,'Price List, Weapons &amp; Items'!A:K,COLUMN('Price List, Weapons &amp; Items'!$K$1),0)</f>
        <v>no price, 0 count</v>
      </c>
      <c r="AS408" s="521">
        <f t="shared" si="90"/>
        <v>1</v>
      </c>
      <c r="AT408" s="521">
        <f t="shared" si="91"/>
        <v>1</v>
      </c>
      <c r="AU408" s="521" t="str">
        <f t="shared" si="92"/>
        <v>Value is not in date format</v>
      </c>
      <c r="AV408" s="521" t="str">
        <f t="shared" si="93"/>
        <v>.</v>
      </c>
    </row>
    <row r="409" spans="1:48" ht="15" customHeight="1">
      <c r="A409" s="18" t="s">
        <v>1156</v>
      </c>
      <c r="B409" s="18" t="s">
        <v>1136</v>
      </c>
      <c r="C409" s="511" t="s">
        <v>1163</v>
      </c>
      <c r="D409" s="18" t="s">
        <v>252</v>
      </c>
      <c r="E409" s="18" t="s">
        <v>1157</v>
      </c>
      <c r="F409" s="816" t="s">
        <v>1158</v>
      </c>
      <c r="G409" s="39" t="s">
        <v>332</v>
      </c>
      <c r="H409" s="523">
        <v>1540932933</v>
      </c>
      <c r="I409" s="524" t="s">
        <v>1239</v>
      </c>
      <c r="J409" s="276" t="str">
        <f>VLOOKUP($I409,'Price List, Weapons &amp; Items'!A:B,2,0)</f>
        <v>Portable defence system</v>
      </c>
      <c r="K409" s="276" t="str">
        <f>IF(I409=".",I409,VLOOKUP($I409,'Price List, Weapons &amp; Items'!A:C,3,0))</f>
        <v>Light Anti-armor Weapon (LAW)</v>
      </c>
      <c r="L409" s="514">
        <f>VLOOKUP(I409,'Price List, Weapons &amp; Items'!A:D,4,0)</f>
        <v>0</v>
      </c>
      <c r="M409" s="515">
        <v>3000</v>
      </c>
      <c r="N409" s="515">
        <v>3000</v>
      </c>
      <c r="O409" s="516">
        <f>VLOOKUP($I409,'Price List, Weapons &amp; Items'!A:F,6,0)</f>
        <v>11108</v>
      </c>
      <c r="P409" s="513">
        <f t="shared" si="84"/>
        <v>33324000</v>
      </c>
      <c r="Q409" s="513">
        <f t="shared" si="85"/>
        <v>33324000</v>
      </c>
      <c r="R409" s="513" t="str">
        <f t="shared" si="86"/>
        <v/>
      </c>
      <c r="S409" s="513" t="str">
        <f>IF(AND(AD409=1,R409&lt;&gt;".")=TRUE,R409/VLOOKUP(G409,'Exchange rates'!B:C,2,0),IF(R409=".",".",""))</f>
        <v/>
      </c>
      <c r="T409" s="513" t="str">
        <f>IF(AD409=1,IF(AF409="Value is not given at all",".",IF(AF409="Value is given by the source",S409,IF(AF409="Value is calculated with prices",(IF(SUMIFS(Q:Q,A:A,A409)&gt;0,SUMIFS(Q:Q,A:A,A409),"."))/VLOOKUP("USD",'Exchange rates'!B:C,2,0),"Error with coding"))),"")</f>
        <v/>
      </c>
      <c r="U409" s="39" t="s">
        <v>233</v>
      </c>
      <c r="V409" s="376" t="s">
        <v>1160</v>
      </c>
      <c r="W409" s="376" t="s">
        <v>1161</v>
      </c>
      <c r="X409" s="376" t="s">
        <v>1162</v>
      </c>
      <c r="Y409" s="376" t="s">
        <v>232</v>
      </c>
      <c r="Z409" s="39">
        <v>0</v>
      </c>
      <c r="AA409" s="518">
        <v>0</v>
      </c>
      <c r="AB409" s="395" t="s">
        <v>1161</v>
      </c>
      <c r="AC409" s="519" t="str">
        <f>""</f>
        <v/>
      </c>
      <c r="AD409" s="522">
        <v>0</v>
      </c>
      <c r="AE409" s="522" t="s">
        <v>236</v>
      </c>
      <c r="AF409" s="522" t="s">
        <v>237</v>
      </c>
      <c r="AG409" s="522">
        <v>0</v>
      </c>
      <c r="AH409" s="522">
        <v>0</v>
      </c>
      <c r="AI409" s="522">
        <v>0</v>
      </c>
      <c r="AJ409" s="520">
        <f>VLOOKUP($I409,'Price List, Weapons &amp; Items'!A:E,5,0)</f>
        <v>0</v>
      </c>
      <c r="AK409" s="520">
        <f t="shared" si="87"/>
        <v>0</v>
      </c>
      <c r="AL409" s="520">
        <f t="shared" si="88"/>
        <v>0</v>
      </c>
      <c r="AM409" s="520">
        <f t="shared" si="89"/>
        <v>0</v>
      </c>
      <c r="AN409" s="521" t="str">
        <f>VLOOKUP($I409,'Price List, Weapons &amp; Items'!A:K,COLUMN('Price List, Weapons &amp; Items'!$I$1),0)</f>
        <v>Military media (incl. websites)</v>
      </c>
      <c r="AO409" s="521" t="str">
        <f>IF(I409=".",".",VLOOKUP($I409,'Price List, Weapons &amp; Items'!A:I,3,0))</f>
        <v>Light Anti-armor Weapon (LAW)</v>
      </c>
      <c r="AP409" s="517" t="str">
        <f t="shared" ca="1" si="94"/>
        <v/>
      </c>
      <c r="AQ409" s="521">
        <f>VLOOKUP($I409,'Price List, Weapons &amp; Items'!A:K,COLUMN('Price List, Weapons &amp; Items'!$K$1),0)</f>
        <v>2</v>
      </c>
      <c r="AS409" s="521">
        <f t="shared" si="90"/>
        <v>1</v>
      </c>
      <c r="AT409" s="521">
        <f t="shared" si="91"/>
        <v>1</v>
      </c>
      <c r="AU409" s="521" t="str">
        <f t="shared" si="92"/>
        <v>Value is not in date format</v>
      </c>
      <c r="AV409" s="521" t="str">
        <f t="shared" si="93"/>
        <v>.</v>
      </c>
    </row>
    <row r="410" spans="1:48" ht="15" customHeight="1">
      <c r="A410" s="18" t="s">
        <v>1156</v>
      </c>
      <c r="B410" s="18" t="s">
        <v>1136</v>
      </c>
      <c r="C410" s="511" t="s">
        <v>1163</v>
      </c>
      <c r="D410" s="18" t="s">
        <v>252</v>
      </c>
      <c r="E410" s="18" t="s">
        <v>1157</v>
      </c>
      <c r="F410" s="816" t="s">
        <v>1158</v>
      </c>
      <c r="G410" s="39" t="s">
        <v>332</v>
      </c>
      <c r="H410" s="523">
        <v>1540932933</v>
      </c>
      <c r="I410" s="524" t="s">
        <v>1240</v>
      </c>
      <c r="J410" s="276" t="str">
        <f>VLOOKUP($I410,'Price List, Weapons &amp; Items'!A:B,2,0)</f>
        <v>Heavy weapon</v>
      </c>
      <c r="K410" s="276" t="str">
        <f>IF(I410=".",I410,VLOOKUP($I410,'Price List, Weapons &amp; Items'!A:C,3,0))</f>
        <v>155mm howitzer</v>
      </c>
      <c r="L410" s="514">
        <f>VLOOKUP(I410,'Price List, Weapons &amp; Items'!A:D,4,0)</f>
        <v>0</v>
      </c>
      <c r="M410" s="515">
        <v>14</v>
      </c>
      <c r="N410" s="515">
        <v>14</v>
      </c>
      <c r="O410" s="516">
        <f>VLOOKUP($I410,'Price List, Weapons &amp; Items'!A:F,6,0)</f>
        <v>13778907.188501142</v>
      </c>
      <c r="P410" s="513">
        <f t="shared" si="84"/>
        <v>192904700.63901597</v>
      </c>
      <c r="Q410" s="513">
        <f t="shared" si="85"/>
        <v>192904700.63901597</v>
      </c>
      <c r="R410" s="513" t="str">
        <f t="shared" si="86"/>
        <v/>
      </c>
      <c r="S410" s="513" t="str">
        <f>IF(AND(AD410=1,R410&lt;&gt;".")=TRUE,R410/VLOOKUP(G410,'Exchange rates'!B:C,2,0),IF(R410=".",".",""))</f>
        <v/>
      </c>
      <c r="T410" s="513" t="str">
        <f>IF(AD410=1,IF(AF410="Value is not given at all",".",IF(AF410="Value is given by the source",S410,IF(AF410="Value is calculated with prices",(IF(SUMIFS(Q:Q,A:A,A410)&gt;0,SUMIFS(Q:Q,A:A,A410),"."))/VLOOKUP("USD",'Exchange rates'!B:C,2,0),"Error with coding"))),"")</f>
        <v/>
      </c>
      <c r="U410" s="39" t="s">
        <v>233</v>
      </c>
      <c r="V410" s="376" t="s">
        <v>1160</v>
      </c>
      <c r="W410" s="376" t="s">
        <v>1161</v>
      </c>
      <c r="X410" s="376" t="s">
        <v>1162</v>
      </c>
      <c r="Y410" s="376" t="s">
        <v>232</v>
      </c>
      <c r="Z410" s="39">
        <v>0</v>
      </c>
      <c r="AA410" s="518">
        <v>0</v>
      </c>
      <c r="AB410" s="395" t="s">
        <v>1161</v>
      </c>
      <c r="AC410" s="519" t="str">
        <f>""</f>
        <v/>
      </c>
      <c r="AD410" s="522">
        <v>0</v>
      </c>
      <c r="AE410" s="522" t="s">
        <v>236</v>
      </c>
      <c r="AF410" s="522" t="s">
        <v>237</v>
      </c>
      <c r="AG410" s="522">
        <v>0</v>
      </c>
      <c r="AH410" s="522">
        <v>0</v>
      </c>
      <c r="AI410" s="522">
        <v>0</v>
      </c>
      <c r="AJ410" s="520">
        <f>VLOOKUP($I410,'Price List, Weapons &amp; Items'!A:E,5,0)</f>
        <v>1</v>
      </c>
      <c r="AK410" s="520">
        <f t="shared" si="87"/>
        <v>0</v>
      </c>
      <c r="AL410" s="520">
        <f t="shared" si="88"/>
        <v>0</v>
      </c>
      <c r="AM410" s="520">
        <f t="shared" si="89"/>
        <v>0</v>
      </c>
      <c r="AN410" s="521" t="str">
        <f>VLOOKUP($I410,'Price List, Weapons &amp; Items'!A:K,COLUMN('Price List, Weapons &amp; Items'!$I$1),0)</f>
        <v>Contracts</v>
      </c>
      <c r="AO410" s="521" t="str">
        <f>IF(I410=".",".",VLOOKUP($I410,'Price List, Weapons &amp; Items'!A:I,3,0))</f>
        <v>155mm howitzer</v>
      </c>
      <c r="AP410" s="517" t="str">
        <f t="shared" ca="1" si="94"/>
        <v/>
      </c>
      <c r="AQ410" s="521">
        <f>VLOOKUP($I410,'Price List, Weapons &amp; Items'!A:K,COLUMN('Price List, Weapons &amp; Items'!$K$1),0)</f>
        <v>2</v>
      </c>
      <c r="AS410" s="521">
        <f t="shared" si="90"/>
        <v>1</v>
      </c>
      <c r="AT410" s="521">
        <f t="shared" si="91"/>
        <v>1</v>
      </c>
      <c r="AU410" s="521" t="str">
        <f t="shared" si="92"/>
        <v>Value is not in date format</v>
      </c>
      <c r="AV410" s="521" t="str">
        <f t="shared" si="93"/>
        <v>.</v>
      </c>
    </row>
    <row r="411" spans="1:48" ht="15" customHeight="1">
      <c r="A411" s="18" t="s">
        <v>1156</v>
      </c>
      <c r="B411" s="18" t="s">
        <v>1136</v>
      </c>
      <c r="C411" s="511" t="s">
        <v>1163</v>
      </c>
      <c r="D411" s="18" t="s">
        <v>252</v>
      </c>
      <c r="E411" s="18" t="s">
        <v>1157</v>
      </c>
      <c r="F411" s="816" t="s">
        <v>1158</v>
      </c>
      <c r="G411" s="39" t="s">
        <v>332</v>
      </c>
      <c r="H411" s="523">
        <v>1540932933</v>
      </c>
      <c r="I411" s="524" t="s">
        <v>1241</v>
      </c>
      <c r="J411" s="276" t="str">
        <f>VLOOKUP($I411,'Price List, Weapons &amp; Items'!A:B,2,0)</f>
        <v>Military equipment</v>
      </c>
      <c r="K411" s="276" t="str">
        <f>IF(I411=".",I411,VLOOKUP($I411,'Price List, Weapons &amp; Items'!A:C,3,0))</f>
        <v>.</v>
      </c>
      <c r="L411" s="514">
        <f>VLOOKUP(I411,'Price List, Weapons &amp; Items'!A:D,4,0)</f>
        <v>0</v>
      </c>
      <c r="M411" s="515">
        <v>80</v>
      </c>
      <c r="N411" s="515">
        <v>80</v>
      </c>
      <c r="O411" s="516">
        <f>VLOOKUP($I411,'Price List, Weapons &amp; Items'!A:F,6,0)</f>
        <v>25000</v>
      </c>
      <c r="P411" s="513">
        <f t="shared" ref="P411:P449" si="95">IF(TYPE(M411)=1,IF(TYPE(O411)=1,M411*O411,"No price"),".")</f>
        <v>2000000</v>
      </c>
      <c r="Q411" s="513">
        <f t="shared" ref="Q411:Q449" si="96">IF(TYPE(N411)=1,IF(TYPE(O411)=1,N411*O411,"No price"),".")</f>
        <v>2000000</v>
      </c>
      <c r="R411" s="513" t="str">
        <f t="shared" si="86"/>
        <v/>
      </c>
      <c r="S411" s="513" t="str">
        <f>IF(AND(AD411=1,R411&lt;&gt;".")=TRUE,R411/VLOOKUP(G411,'Exchange rates'!B:C,2,0),IF(R411=".",".",""))</f>
        <v/>
      </c>
      <c r="T411" s="513" t="str">
        <f>IF(AD411=1,IF(AF411="Value is not given at all",".",IF(AF411="Value is given by the source",S411,IF(AF411="Value is calculated with prices",(IF(SUMIFS(Q:Q,A:A,A411)&gt;0,SUMIFS(Q:Q,A:A,A411),"."))/VLOOKUP("USD",'Exchange rates'!B:C,2,0),"Error with coding"))),"")</f>
        <v/>
      </c>
      <c r="U411" s="39" t="s">
        <v>233</v>
      </c>
      <c r="V411" s="376" t="s">
        <v>1160</v>
      </c>
      <c r="W411" s="376" t="s">
        <v>1161</v>
      </c>
      <c r="X411" s="376" t="s">
        <v>1162</v>
      </c>
      <c r="Y411" s="376" t="s">
        <v>232</v>
      </c>
      <c r="Z411" s="39">
        <v>0</v>
      </c>
      <c r="AA411" s="518">
        <v>0</v>
      </c>
      <c r="AB411" s="395" t="s">
        <v>1161</v>
      </c>
      <c r="AC411" s="519" t="str">
        <f>""</f>
        <v/>
      </c>
      <c r="AD411" s="522">
        <v>0</v>
      </c>
      <c r="AE411" s="522" t="s">
        <v>236</v>
      </c>
      <c r="AF411" s="522" t="s">
        <v>237</v>
      </c>
      <c r="AG411" s="522">
        <v>0</v>
      </c>
      <c r="AH411" s="522">
        <v>0</v>
      </c>
      <c r="AI411" s="522">
        <v>0</v>
      </c>
      <c r="AJ411" s="520">
        <f>VLOOKUP($I411,'Price List, Weapons &amp; Items'!A:E,5,0)</f>
        <v>0</v>
      </c>
      <c r="AK411" s="520">
        <f t="shared" si="87"/>
        <v>0</v>
      </c>
      <c r="AL411" s="520">
        <f t="shared" si="88"/>
        <v>0</v>
      </c>
      <c r="AM411" s="520">
        <f t="shared" si="89"/>
        <v>0</v>
      </c>
      <c r="AN411" s="521" t="str">
        <f>VLOOKUP($I411,'Price List, Weapons &amp; Items'!A:K,COLUMN('Price List, Weapons &amp; Items'!$I$1),0)</f>
        <v>Online marketplaces and stores</v>
      </c>
      <c r="AO411" s="521" t="str">
        <f>IF(I411=".",".",VLOOKUP($I411,'Price List, Weapons &amp; Items'!A:I,3,0))</f>
        <v>.</v>
      </c>
      <c r="AP411" s="517" t="str">
        <f t="shared" ca="1" si="94"/>
        <v/>
      </c>
      <c r="AQ411" s="521">
        <f>VLOOKUP($I411,'Price List, Weapons &amp; Items'!A:K,COLUMN('Price List, Weapons &amp; Items'!$K$1),0)</f>
        <v>2</v>
      </c>
      <c r="AS411" s="521">
        <f t="shared" si="90"/>
        <v>1</v>
      </c>
      <c r="AT411" s="521">
        <f t="shared" si="91"/>
        <v>1</v>
      </c>
      <c r="AU411" s="521" t="str">
        <f t="shared" si="92"/>
        <v>Value is not in date format</v>
      </c>
      <c r="AV411" s="521" t="str">
        <f t="shared" si="93"/>
        <v>.</v>
      </c>
    </row>
    <row r="412" spans="1:48" ht="15" customHeight="1">
      <c r="A412" s="18" t="s">
        <v>1156</v>
      </c>
      <c r="B412" s="18" t="s">
        <v>1136</v>
      </c>
      <c r="C412" s="511" t="s">
        <v>1163</v>
      </c>
      <c r="D412" s="18" t="s">
        <v>252</v>
      </c>
      <c r="E412" s="18" t="s">
        <v>1157</v>
      </c>
      <c r="F412" s="816" t="s">
        <v>1158</v>
      </c>
      <c r="G412" s="39" t="s">
        <v>332</v>
      </c>
      <c r="H412" s="523">
        <v>1540932933</v>
      </c>
      <c r="I412" s="524" t="s">
        <v>1242</v>
      </c>
      <c r="J412" s="276" t="str">
        <f>VLOOKUP($I412,'Price List, Weapons &amp; Items'!A:B,2,0)</f>
        <v>Military equipment</v>
      </c>
      <c r="K412" s="276" t="str">
        <f>IF(I412=".",I412,VLOOKUP($I412,'Price List, Weapons &amp; Items'!A:C,3,0))</f>
        <v>.</v>
      </c>
      <c r="L412" s="514">
        <f>VLOOKUP(I412,'Price List, Weapons &amp; Items'!A:D,4,0)</f>
        <v>0</v>
      </c>
      <c r="M412" s="515">
        <v>405000</v>
      </c>
      <c r="N412" s="515">
        <v>405000</v>
      </c>
      <c r="O412" s="516">
        <f>VLOOKUP($I412,'Price List, Weapons &amp; Items'!A:F,6,0)</f>
        <v>22</v>
      </c>
      <c r="P412" s="513">
        <f t="shared" si="95"/>
        <v>8910000</v>
      </c>
      <c r="Q412" s="513">
        <f t="shared" si="96"/>
        <v>8910000</v>
      </c>
      <c r="R412" s="513" t="str">
        <f t="shared" si="86"/>
        <v/>
      </c>
      <c r="S412" s="513" t="str">
        <f>IF(AND(AD412=1,R412&lt;&gt;".")=TRUE,R412/VLOOKUP(G412,'Exchange rates'!B:C,2,0),IF(R412=".",".",""))</f>
        <v/>
      </c>
      <c r="T412" s="513" t="str">
        <f>IF(AD412=1,IF(AF412="Value is not given at all",".",IF(AF412="Value is given by the source",S412,IF(AF412="Value is calculated with prices",(IF(SUMIFS(Q:Q,A:A,A412)&gt;0,SUMIFS(Q:Q,A:A,A412),"."))/VLOOKUP("USD",'Exchange rates'!B:C,2,0),"Error with coding"))),"")</f>
        <v/>
      </c>
      <c r="U412" s="39" t="s">
        <v>233</v>
      </c>
      <c r="V412" s="376" t="s">
        <v>1160</v>
      </c>
      <c r="W412" s="376" t="s">
        <v>1161</v>
      </c>
      <c r="X412" s="376" t="s">
        <v>1162</v>
      </c>
      <c r="Y412" s="376" t="s">
        <v>232</v>
      </c>
      <c r="Z412" s="39">
        <v>0</v>
      </c>
      <c r="AA412" s="518">
        <v>0</v>
      </c>
      <c r="AB412" s="395" t="s">
        <v>1161</v>
      </c>
      <c r="AC412" s="519" t="str">
        <f>""</f>
        <v/>
      </c>
      <c r="AD412" s="522">
        <v>0</v>
      </c>
      <c r="AE412" s="522" t="s">
        <v>236</v>
      </c>
      <c r="AF412" s="522" t="s">
        <v>237</v>
      </c>
      <c r="AG412" s="522">
        <v>0</v>
      </c>
      <c r="AH412" s="522">
        <v>0</v>
      </c>
      <c r="AI412" s="522">
        <v>0</v>
      </c>
      <c r="AJ412" s="520">
        <f>VLOOKUP($I412,'Price List, Weapons &amp; Items'!A:E,5,0)</f>
        <v>0</v>
      </c>
      <c r="AK412" s="520">
        <f t="shared" si="87"/>
        <v>0</v>
      </c>
      <c r="AL412" s="520">
        <f t="shared" si="88"/>
        <v>0</v>
      </c>
      <c r="AM412" s="520">
        <f t="shared" si="89"/>
        <v>0</v>
      </c>
      <c r="AN412" s="521" t="str">
        <f>VLOOKUP($I412,'Price List, Weapons &amp; Items'!A:K,COLUMN('Price List, Weapons &amp; Items'!$I$1),0)</f>
        <v>Online marketplaces and stores</v>
      </c>
      <c r="AO412" s="521" t="str">
        <f>IF(I412=".",".",VLOOKUP($I412,'Price List, Weapons &amp; Items'!A:I,3,0))</f>
        <v>.</v>
      </c>
      <c r="AP412" s="517" t="str">
        <f t="shared" ca="1" si="94"/>
        <v/>
      </c>
      <c r="AQ412" s="521">
        <f>VLOOKUP($I412,'Price List, Weapons &amp; Items'!A:K,COLUMN('Price List, Weapons &amp; Items'!$K$1),0)</f>
        <v>2</v>
      </c>
      <c r="AS412" s="521">
        <f t="shared" si="90"/>
        <v>1</v>
      </c>
      <c r="AT412" s="521">
        <f t="shared" si="91"/>
        <v>1</v>
      </c>
      <c r="AU412" s="521" t="str">
        <f t="shared" si="92"/>
        <v>Value is not in date format</v>
      </c>
      <c r="AV412" s="521" t="str">
        <f t="shared" si="93"/>
        <v>.</v>
      </c>
    </row>
    <row r="413" spans="1:48" ht="15" customHeight="1">
      <c r="A413" s="18" t="s">
        <v>1156</v>
      </c>
      <c r="B413" s="18" t="s">
        <v>1136</v>
      </c>
      <c r="C413" s="511" t="s">
        <v>1163</v>
      </c>
      <c r="D413" s="18" t="s">
        <v>252</v>
      </c>
      <c r="E413" s="18" t="s">
        <v>1157</v>
      </c>
      <c r="F413" s="816" t="s">
        <v>1158</v>
      </c>
      <c r="G413" s="39" t="s">
        <v>332</v>
      </c>
      <c r="H413" s="523">
        <v>1540932933</v>
      </c>
      <c r="I413" s="524" t="s">
        <v>1243</v>
      </c>
      <c r="J413" s="276" t="str">
        <f>VLOOKUP($I413,'Price List, Weapons &amp; Items'!A:B,2,0)</f>
        <v>Heavy weapon</v>
      </c>
      <c r="K413" s="276" t="str">
        <f>IF(I413=".",I413,VLOOKUP($I413,'Price List, Weapons &amp; Items'!A:C,3,0))</f>
        <v>Armoured Utility Vehicle (AUV)</v>
      </c>
      <c r="L413" s="514">
        <f>VLOOKUP(I413,'Price List, Weapons &amp; Items'!A:D,4,0)</f>
        <v>0</v>
      </c>
      <c r="M413" s="515">
        <v>40</v>
      </c>
      <c r="N413" s="515">
        <v>30</v>
      </c>
      <c r="O413" s="516">
        <f>VLOOKUP($I413,'Price List, Weapons &amp; Items'!A:F,6,0)</f>
        <v>1650000</v>
      </c>
      <c r="P413" s="513">
        <f t="shared" si="95"/>
        <v>66000000</v>
      </c>
      <c r="Q413" s="513">
        <f t="shared" si="96"/>
        <v>49500000</v>
      </c>
      <c r="R413" s="513" t="str">
        <f t="shared" si="86"/>
        <v/>
      </c>
      <c r="S413" s="513" t="str">
        <f>IF(AND(AD413=1,R413&lt;&gt;".")=TRUE,R413/VLOOKUP(G413,'Exchange rates'!B:C,2,0),IF(R413=".",".",""))</f>
        <v/>
      </c>
      <c r="T413" s="513" t="str">
        <f>IF(AD413=1,IF(AF413="Value is not given at all",".",IF(AF413="Value is given by the source",S413,IF(AF413="Value is calculated with prices",(IF(SUMIFS(Q:Q,A:A,A413)&gt;0,SUMIFS(Q:Q,A:A,A413),"."))/VLOOKUP("USD",'Exchange rates'!B:C,2,0),"Error with coding"))),"")</f>
        <v/>
      </c>
      <c r="U413" s="39" t="s">
        <v>233</v>
      </c>
      <c r="V413" s="376" t="s">
        <v>1244</v>
      </c>
      <c r="W413" s="376" t="s">
        <v>1161</v>
      </c>
      <c r="X413" s="376" t="s">
        <v>1245</v>
      </c>
      <c r="Y413" s="376" t="s">
        <v>232</v>
      </c>
      <c r="Z413" s="39">
        <v>0</v>
      </c>
      <c r="AA413" s="518">
        <v>1</v>
      </c>
      <c r="AB413" s="395" t="s">
        <v>1165</v>
      </c>
      <c r="AC413" s="519" t="str">
        <f>""</f>
        <v/>
      </c>
      <c r="AD413" s="522">
        <v>0</v>
      </c>
      <c r="AE413" s="522" t="s">
        <v>236</v>
      </c>
      <c r="AF413" s="522" t="s">
        <v>237</v>
      </c>
      <c r="AG413" s="522">
        <v>0</v>
      </c>
      <c r="AH413" s="522">
        <v>0</v>
      </c>
      <c r="AI413" s="522">
        <v>0</v>
      </c>
      <c r="AJ413" s="520">
        <f>VLOOKUP($I413,'Price List, Weapons &amp; Items'!A:E,5,0)</f>
        <v>1</v>
      </c>
      <c r="AK413" s="520">
        <f t="shared" si="87"/>
        <v>0</v>
      </c>
      <c r="AL413" s="520">
        <f t="shared" si="88"/>
        <v>0</v>
      </c>
      <c r="AM413" s="520">
        <f t="shared" si="89"/>
        <v>0</v>
      </c>
      <c r="AN413" s="521" t="str">
        <f>VLOOKUP($I413,'Price List, Weapons &amp; Items'!A:K,COLUMN('Price List, Weapons &amp; Items'!$I$1),0)</f>
        <v>Miscellaneous</v>
      </c>
      <c r="AO413" s="521" t="str">
        <f>IF(I413=".",".",VLOOKUP($I413,'Price List, Weapons &amp; Items'!A:I,3,0))</f>
        <v>Armoured Utility Vehicle (AUV)</v>
      </c>
      <c r="AP413" s="517" t="str">
        <f t="shared" ca="1" si="94"/>
        <v/>
      </c>
      <c r="AQ413" s="521">
        <f>VLOOKUP($I413,'Price List, Weapons &amp; Items'!A:K,COLUMN('Price List, Weapons &amp; Items'!$K$1),0)</f>
        <v>2</v>
      </c>
      <c r="AS413" s="521">
        <f t="shared" si="90"/>
        <v>1</v>
      </c>
      <c r="AT413" s="521">
        <f t="shared" si="91"/>
        <v>1</v>
      </c>
      <c r="AU413" s="521" t="str">
        <f t="shared" si="92"/>
        <v>Value is not in date format</v>
      </c>
      <c r="AV413" s="521" t="str">
        <f t="shared" si="93"/>
        <v>.</v>
      </c>
    </row>
    <row r="414" spans="1:48" ht="15" customHeight="1">
      <c r="A414" s="18" t="s">
        <v>1156</v>
      </c>
      <c r="B414" s="18" t="s">
        <v>1136</v>
      </c>
      <c r="C414" s="511" t="s">
        <v>1163</v>
      </c>
      <c r="D414" s="18" t="s">
        <v>252</v>
      </c>
      <c r="E414" s="18" t="s">
        <v>1157</v>
      </c>
      <c r="F414" s="816" t="s">
        <v>1158</v>
      </c>
      <c r="G414" s="39" t="s">
        <v>332</v>
      </c>
      <c r="H414" s="523">
        <v>1540932933</v>
      </c>
      <c r="I414" s="524" t="s">
        <v>1246</v>
      </c>
      <c r="J414" s="276" t="str">
        <f>VLOOKUP($I414,'Price List, Weapons &amp; Items'!A:B,2,0)</f>
        <v>Humanitarian</v>
      </c>
      <c r="K414" s="276" t="str">
        <f>IF(I414=".",I414,VLOOKUP($I414,'Price List, Weapons &amp; Items'!A:C,3,0))</f>
        <v>.</v>
      </c>
      <c r="L414" s="514">
        <f>VLOOKUP(I414,'Price List, Weapons &amp; Items'!A:D,4,0)</f>
        <v>0</v>
      </c>
      <c r="M414" s="515" t="s">
        <v>264</v>
      </c>
      <c r="N414" s="515">
        <v>0</v>
      </c>
      <c r="O414" s="516" t="str">
        <f>VLOOKUP($I414,'Price List, Weapons &amp; Items'!A:F,6,0)</f>
        <v>.</v>
      </c>
      <c r="P414" s="513" t="str">
        <f t="shared" si="95"/>
        <v>.</v>
      </c>
      <c r="Q414" s="513" t="str">
        <f t="shared" si="96"/>
        <v>No price</v>
      </c>
      <c r="R414" s="513" t="str">
        <f t="shared" si="86"/>
        <v/>
      </c>
      <c r="S414" s="513" t="str">
        <f>IF(AND(AD414=1,R414&lt;&gt;".")=TRUE,R414/VLOOKUP(G414,'Exchange rates'!B:C,2,0),IF(R414=".",".",""))</f>
        <v/>
      </c>
      <c r="T414" s="513" t="str">
        <f>IF(AD414=1,IF(AF414="Value is not given at all",".",IF(AF414="Value is given by the source",S414,IF(AF414="Value is calculated with prices",(IF(SUMIFS(Q:Q,A:A,A414)&gt;0,SUMIFS(Q:Q,A:A,A414),"."))/VLOOKUP("USD",'Exchange rates'!B:C,2,0),"Error with coding"))),"")</f>
        <v/>
      </c>
      <c r="U414" s="39" t="s">
        <v>233</v>
      </c>
      <c r="V414" s="376" t="s">
        <v>1160</v>
      </c>
      <c r="W414" s="376" t="s">
        <v>1161</v>
      </c>
      <c r="X414" s="376" t="s">
        <v>1162</v>
      </c>
      <c r="Y414" s="376" t="s">
        <v>232</v>
      </c>
      <c r="Z414" s="39">
        <v>0</v>
      </c>
      <c r="AA414" s="518">
        <v>0</v>
      </c>
      <c r="AB414" s="395" t="s">
        <v>1161</v>
      </c>
      <c r="AC414" s="519" t="str">
        <f>""</f>
        <v/>
      </c>
      <c r="AD414" s="522">
        <v>0</v>
      </c>
      <c r="AE414" s="522" t="s">
        <v>236</v>
      </c>
      <c r="AF414" s="522" t="s">
        <v>237</v>
      </c>
      <c r="AG414" s="522">
        <v>0</v>
      </c>
      <c r="AH414" s="522">
        <v>0</v>
      </c>
      <c r="AI414" s="522">
        <v>0</v>
      </c>
      <c r="AJ414" s="520">
        <f>VLOOKUP($I414,'Price List, Weapons &amp; Items'!A:E,5,0)</f>
        <v>0</v>
      </c>
      <c r="AK414" s="520">
        <f t="shared" si="87"/>
        <v>0</v>
      </c>
      <c r="AL414" s="520">
        <f t="shared" si="88"/>
        <v>0</v>
      </c>
      <c r="AM414" s="520">
        <f t="shared" si="89"/>
        <v>0</v>
      </c>
      <c r="AN414" s="521" t="str">
        <f>VLOOKUP($I414,'Price List, Weapons &amp; Items'!A:K,COLUMN('Price List, Weapons &amp; Items'!$I$1),0)</f>
        <v>.</v>
      </c>
      <c r="AO414" s="521" t="str">
        <f>IF(I414=".",".",VLOOKUP($I414,'Price List, Weapons &amp; Items'!A:I,3,0))</f>
        <v>.</v>
      </c>
      <c r="AP414" s="517" t="str">
        <f t="shared" ca="1" si="94"/>
        <v/>
      </c>
      <c r="AQ414" s="521">
        <f>VLOOKUP($I414,'Price List, Weapons &amp; Items'!A:K,COLUMN('Price List, Weapons &amp; Items'!$K$1),0)</f>
        <v>0</v>
      </c>
      <c r="AS414" s="521">
        <f t="shared" si="90"/>
        <v>1</v>
      </c>
      <c r="AT414" s="521">
        <f t="shared" si="91"/>
        <v>1</v>
      </c>
      <c r="AU414" s="521" t="str">
        <f t="shared" si="92"/>
        <v>Value is not in date format</v>
      </c>
      <c r="AV414" s="521" t="str">
        <f t="shared" si="93"/>
        <v>.</v>
      </c>
    </row>
    <row r="415" spans="1:48" ht="15" customHeight="1">
      <c r="A415" s="18" t="s">
        <v>1156</v>
      </c>
      <c r="B415" s="18" t="s">
        <v>1136</v>
      </c>
      <c r="C415" s="511" t="s">
        <v>1163</v>
      </c>
      <c r="D415" s="18" t="s">
        <v>252</v>
      </c>
      <c r="E415" s="18" t="s">
        <v>1157</v>
      </c>
      <c r="F415" s="816" t="s">
        <v>1158</v>
      </c>
      <c r="G415" s="39" t="s">
        <v>332</v>
      </c>
      <c r="H415" s="523">
        <v>1540932933</v>
      </c>
      <c r="I415" s="524" t="s">
        <v>1247</v>
      </c>
      <c r="J415" s="276" t="str">
        <f>VLOOKUP($I415,'Price List, Weapons &amp; Items'!A:B,2,0)</f>
        <v>Military equipment</v>
      </c>
      <c r="K415" s="276" t="str">
        <f>IF(I415=".",I415,VLOOKUP($I415,'Price List, Weapons &amp; Items'!A:C,3,0))</f>
        <v>radar and imagery systems</v>
      </c>
      <c r="L415" s="514">
        <f>VLOOKUP(I415,'Price List, Weapons &amp; Items'!A:D,4,0)</f>
        <v>0</v>
      </c>
      <c r="M415" s="515">
        <v>1</v>
      </c>
      <c r="N415" s="515">
        <v>1</v>
      </c>
      <c r="O415" s="516">
        <f>VLOOKUP($I415,'Price List, Weapons &amp; Items'!A:F,6,0)</f>
        <v>126.69</v>
      </c>
      <c r="P415" s="513">
        <f t="shared" si="95"/>
        <v>126.69</v>
      </c>
      <c r="Q415" s="513">
        <f t="shared" si="96"/>
        <v>126.69</v>
      </c>
      <c r="R415" s="513" t="str">
        <f t="shared" si="86"/>
        <v/>
      </c>
      <c r="S415" s="513" t="str">
        <f>IF(AND(AD415=1,R415&lt;&gt;".")=TRUE,R415/VLOOKUP(G415,'Exchange rates'!B:C,2,0),IF(R415=".",".",""))</f>
        <v/>
      </c>
      <c r="T415" s="513" t="str">
        <f>IF(AD415=1,IF(AF415="Value is not given at all",".",IF(AF415="Value is given by the source",S415,IF(AF415="Value is calculated with prices",(IF(SUMIFS(Q:Q,A:A,A415)&gt;0,SUMIFS(Q:Q,A:A,A415),"."))/VLOOKUP("USD",'Exchange rates'!B:C,2,0),"Error with coding"))),"")</f>
        <v/>
      </c>
      <c r="U415" s="39" t="s">
        <v>233</v>
      </c>
      <c r="V415" s="376" t="s">
        <v>1160</v>
      </c>
      <c r="W415" s="376" t="s">
        <v>1161</v>
      </c>
      <c r="X415" s="376" t="s">
        <v>1162</v>
      </c>
      <c r="Y415" s="376" t="s">
        <v>232</v>
      </c>
      <c r="Z415" s="39">
        <v>0</v>
      </c>
      <c r="AA415" s="518">
        <v>0</v>
      </c>
      <c r="AB415" s="395" t="s">
        <v>1161</v>
      </c>
      <c r="AC415" s="519" t="str">
        <f>""</f>
        <v/>
      </c>
      <c r="AD415" s="522">
        <v>0</v>
      </c>
      <c r="AE415" s="522" t="s">
        <v>236</v>
      </c>
      <c r="AF415" s="522" t="s">
        <v>237</v>
      </c>
      <c r="AG415" s="522">
        <v>0</v>
      </c>
      <c r="AH415" s="522">
        <v>0</v>
      </c>
      <c r="AI415" s="522">
        <v>0</v>
      </c>
      <c r="AJ415" s="520">
        <f>VLOOKUP($I415,'Price List, Weapons &amp; Items'!A:E,5,0)</f>
        <v>0</v>
      </c>
      <c r="AK415" s="520">
        <f t="shared" si="87"/>
        <v>0</v>
      </c>
      <c r="AL415" s="520">
        <f t="shared" si="88"/>
        <v>0</v>
      </c>
      <c r="AM415" s="520">
        <f t="shared" si="89"/>
        <v>0</v>
      </c>
      <c r="AN415" s="521" t="str">
        <f>VLOOKUP($I415,'Price List, Weapons &amp; Items'!A:K,COLUMN('Price List, Weapons &amp; Items'!$I$1),0)</f>
        <v>Online marketplaces and stores</v>
      </c>
      <c r="AO415" s="521" t="str">
        <f>IF(I415=".",".",VLOOKUP($I415,'Price List, Weapons &amp; Items'!A:I,3,0))</f>
        <v>radar and imagery systems</v>
      </c>
      <c r="AP415" s="517" t="str">
        <f t="shared" ca="1" si="94"/>
        <v/>
      </c>
      <c r="AQ415" s="521">
        <f>VLOOKUP($I415,'Price List, Weapons &amp; Items'!A:K,COLUMN('Price List, Weapons &amp; Items'!$K$1),0)</f>
        <v>1</v>
      </c>
      <c r="AS415" s="521">
        <f t="shared" si="90"/>
        <v>1</v>
      </c>
      <c r="AT415" s="521">
        <f t="shared" si="91"/>
        <v>1</v>
      </c>
      <c r="AU415" s="521" t="str">
        <f t="shared" si="92"/>
        <v>Value is not in date format</v>
      </c>
      <c r="AV415" s="521" t="str">
        <f t="shared" si="93"/>
        <v>.</v>
      </c>
    </row>
    <row r="416" spans="1:48" ht="15" customHeight="1">
      <c r="A416" s="18" t="s">
        <v>1156</v>
      </c>
      <c r="B416" s="18" t="s">
        <v>1136</v>
      </c>
      <c r="C416" s="511" t="s">
        <v>1163</v>
      </c>
      <c r="D416" s="18" t="s">
        <v>252</v>
      </c>
      <c r="E416" s="18" t="s">
        <v>1157</v>
      </c>
      <c r="F416" s="816" t="s">
        <v>1158</v>
      </c>
      <c r="G416" s="39" t="s">
        <v>332</v>
      </c>
      <c r="H416" s="523">
        <v>1540932933</v>
      </c>
      <c r="I416" s="524" t="s">
        <v>1248</v>
      </c>
      <c r="J416" s="276" t="str">
        <f>VLOOKUP($I416,'Price List, Weapons &amp; Items'!A:B,2,0)</f>
        <v>Military equipment</v>
      </c>
      <c r="K416" s="276" t="str">
        <f>IF(I416=".",I416,VLOOKUP($I416,'Price List, Weapons &amp; Items'!A:C,3,0))</f>
        <v>Jammers or disruptive systems</v>
      </c>
      <c r="L416" s="514">
        <f>VLOOKUP(I416,'Price List, Weapons &amp; Items'!A:D,4,0)</f>
        <v>0</v>
      </c>
      <c r="M416" s="515">
        <v>7</v>
      </c>
      <c r="N416" s="515">
        <v>7</v>
      </c>
      <c r="O416" s="516" t="str">
        <f>VLOOKUP($I416,'Price List, Weapons &amp; Items'!A:F,6,0)</f>
        <v>.</v>
      </c>
      <c r="P416" s="513" t="str">
        <f t="shared" si="95"/>
        <v>No price</v>
      </c>
      <c r="Q416" s="513" t="str">
        <f t="shared" si="96"/>
        <v>No price</v>
      </c>
      <c r="R416" s="513" t="str">
        <f t="shared" si="86"/>
        <v/>
      </c>
      <c r="S416" s="513" t="str">
        <f>IF(AND(AD416=1,R416&lt;&gt;".")=TRUE,R416/VLOOKUP(G416,'Exchange rates'!B:C,2,0),IF(R416=".",".",""))</f>
        <v/>
      </c>
      <c r="T416" s="513" t="str">
        <f>IF(AD416=1,IF(AF416="Value is not given at all",".",IF(AF416="Value is given by the source",S416,IF(AF416="Value is calculated with prices",(IF(SUMIFS(Q:Q,A:A,A416)&gt;0,SUMIFS(Q:Q,A:A,A416),"."))/VLOOKUP("USD",'Exchange rates'!B:C,2,0),"Error with coding"))),"")</f>
        <v/>
      </c>
      <c r="U416" s="39" t="s">
        <v>233</v>
      </c>
      <c r="V416" s="376" t="s">
        <v>1160</v>
      </c>
      <c r="W416" s="376" t="s">
        <v>1161</v>
      </c>
      <c r="X416" s="376" t="s">
        <v>1162</v>
      </c>
      <c r="Y416" s="376" t="s">
        <v>232</v>
      </c>
      <c r="Z416" s="39">
        <v>0</v>
      </c>
      <c r="AA416" s="518">
        <v>1</v>
      </c>
      <c r="AB416" s="395" t="s">
        <v>1215</v>
      </c>
      <c r="AC416" s="519" t="str">
        <f>""</f>
        <v/>
      </c>
      <c r="AD416" s="522">
        <v>0</v>
      </c>
      <c r="AE416" s="522" t="s">
        <v>236</v>
      </c>
      <c r="AF416" s="522" t="s">
        <v>237</v>
      </c>
      <c r="AG416" s="522">
        <v>0</v>
      </c>
      <c r="AH416" s="522">
        <v>0</v>
      </c>
      <c r="AI416" s="522">
        <v>0</v>
      </c>
      <c r="AJ416" s="520">
        <f>VLOOKUP($I416,'Price List, Weapons &amp; Items'!A:E,5,0)</f>
        <v>0</v>
      </c>
      <c r="AK416" s="520">
        <f t="shared" si="87"/>
        <v>0</v>
      </c>
      <c r="AL416" s="520">
        <f t="shared" si="88"/>
        <v>0</v>
      </c>
      <c r="AM416" s="520">
        <f t="shared" si="89"/>
        <v>0</v>
      </c>
      <c r="AN416" s="521" t="str">
        <f>VLOOKUP($I416,'Price List, Weapons &amp; Items'!A:K,COLUMN('Price List, Weapons &amp; Items'!$I$1),0)</f>
        <v>.</v>
      </c>
      <c r="AO416" s="521" t="str">
        <f>IF(I416=".",".",VLOOKUP($I416,'Price List, Weapons &amp; Items'!A:I,3,0))</f>
        <v>Jammers or disruptive systems</v>
      </c>
      <c r="AP416" s="517" t="str">
        <f t="shared" ca="1" si="94"/>
        <v/>
      </c>
      <c r="AQ416" s="521">
        <f>VLOOKUP($I416,'Price List, Weapons &amp; Items'!A:K,COLUMN('Price List, Weapons &amp; Items'!$K$1),0)</f>
        <v>0</v>
      </c>
      <c r="AS416" s="521">
        <f t="shared" si="90"/>
        <v>1</v>
      </c>
      <c r="AT416" s="521">
        <f t="shared" si="91"/>
        <v>1</v>
      </c>
      <c r="AU416" s="521" t="str">
        <f t="shared" si="92"/>
        <v>Value is not in date format</v>
      </c>
      <c r="AV416" s="521" t="str">
        <f t="shared" si="93"/>
        <v>.</v>
      </c>
    </row>
    <row r="417" spans="1:48" ht="15" customHeight="1">
      <c r="A417" s="18" t="s">
        <v>1156</v>
      </c>
      <c r="B417" s="18" t="s">
        <v>1136</v>
      </c>
      <c r="C417" s="511" t="s">
        <v>1163</v>
      </c>
      <c r="D417" s="18" t="s">
        <v>252</v>
      </c>
      <c r="E417" s="18" t="s">
        <v>1157</v>
      </c>
      <c r="F417" s="816" t="s">
        <v>1158</v>
      </c>
      <c r="G417" s="39" t="s">
        <v>332</v>
      </c>
      <c r="H417" s="523">
        <v>1540932933</v>
      </c>
      <c r="I417" s="524" t="s">
        <v>1249</v>
      </c>
      <c r="J417" s="276" t="str">
        <f>VLOOKUP($I417,'Price List, Weapons &amp; Items'!A:B,2,0)</f>
        <v>Aviation and drones</v>
      </c>
      <c r="K417" s="276" t="str">
        <f>IF(I417=".",I417,VLOOKUP($I417,'Price List, Weapons &amp; Items'!A:C,3,0))</f>
        <v>Reconnaissance drone</v>
      </c>
      <c r="L417" s="514">
        <f>VLOOKUP(I417,'Price List, Weapons &amp; Items'!A:D,4,0)</f>
        <v>0</v>
      </c>
      <c r="M417" s="515">
        <v>40</v>
      </c>
      <c r="N417" s="515">
        <v>18</v>
      </c>
      <c r="O417" s="516">
        <f>VLOOKUP($I417,'Price List, Weapons &amp; Items'!A:F,6,0)</f>
        <v>1035567.45</v>
      </c>
      <c r="P417" s="513">
        <f t="shared" si="95"/>
        <v>41422698</v>
      </c>
      <c r="Q417" s="513">
        <f t="shared" si="96"/>
        <v>18640214.099999998</v>
      </c>
      <c r="R417" s="513" t="str">
        <f t="shared" si="86"/>
        <v/>
      </c>
      <c r="S417" s="513" t="str">
        <f>IF(AND(AD417=1,R417&lt;&gt;".")=TRUE,R417/VLOOKUP(G417,'Exchange rates'!B:C,2,0),IF(R417=".",".",""))</f>
        <v/>
      </c>
      <c r="T417" s="513" t="str">
        <f>IF(AD417=1,IF(AF417="Value is not given at all",".",IF(AF417="Value is given by the source",S417,IF(AF417="Value is calculated with prices",(IF(SUMIFS(Q:Q,A:A,A417)&gt;0,SUMIFS(Q:Q,A:A,A417),"."))/VLOOKUP("USD",'Exchange rates'!B:C,2,0),"Error with coding"))),"")</f>
        <v/>
      </c>
      <c r="U417" s="39" t="s">
        <v>233</v>
      </c>
      <c r="V417" s="376" t="s">
        <v>1160</v>
      </c>
      <c r="W417" s="376" t="s">
        <v>1161</v>
      </c>
      <c r="X417" s="376" t="s">
        <v>1162</v>
      </c>
      <c r="Y417" s="376" t="s">
        <v>232</v>
      </c>
      <c r="Z417" s="39">
        <v>0</v>
      </c>
      <c r="AA417" s="518">
        <v>1</v>
      </c>
      <c r="AB417" s="395" t="s">
        <v>1161</v>
      </c>
      <c r="AC417" s="519" t="str">
        <f>""</f>
        <v/>
      </c>
      <c r="AD417" s="522">
        <v>0</v>
      </c>
      <c r="AE417" s="522" t="s">
        <v>236</v>
      </c>
      <c r="AF417" s="522" t="s">
        <v>237</v>
      </c>
      <c r="AG417" s="522">
        <v>0</v>
      </c>
      <c r="AH417" s="522">
        <v>0</v>
      </c>
      <c r="AI417" s="522">
        <v>0</v>
      </c>
      <c r="AJ417" s="520">
        <f>VLOOKUP($I417,'Price List, Weapons &amp; Items'!A:E,5,0)</f>
        <v>0</v>
      </c>
      <c r="AK417" s="520">
        <f t="shared" si="87"/>
        <v>0</v>
      </c>
      <c r="AL417" s="520">
        <f t="shared" si="88"/>
        <v>0</v>
      </c>
      <c r="AM417" s="520">
        <f t="shared" si="89"/>
        <v>0</v>
      </c>
      <c r="AN417" s="521" t="str">
        <f>VLOOKUP($I417,'Price List, Weapons &amp; Items'!A:K,COLUMN('Price List, Weapons &amp; Items'!$I$1),0)</f>
        <v>Miscellaneous</v>
      </c>
      <c r="AO417" s="521" t="str">
        <f>IF(I417=".",".",VLOOKUP($I417,'Price List, Weapons &amp; Items'!A:I,3,0))</f>
        <v>Reconnaissance drone</v>
      </c>
      <c r="AP417" s="517" t="str">
        <f t="shared" ca="1" si="94"/>
        <v/>
      </c>
      <c r="AQ417" s="521">
        <f>VLOOKUP($I417,'Price List, Weapons &amp; Items'!A:K,COLUMN('Price List, Weapons &amp; Items'!$K$1),0)</f>
        <v>2</v>
      </c>
      <c r="AS417" s="521">
        <f t="shared" si="90"/>
        <v>1</v>
      </c>
      <c r="AT417" s="521">
        <f t="shared" si="91"/>
        <v>1</v>
      </c>
      <c r="AU417" s="521" t="str">
        <f t="shared" si="92"/>
        <v>Value is not in date format</v>
      </c>
      <c r="AV417" s="521" t="str">
        <f t="shared" si="93"/>
        <v>.</v>
      </c>
    </row>
    <row r="418" spans="1:48" ht="15" customHeight="1">
      <c r="A418" s="18" t="s">
        <v>1156</v>
      </c>
      <c r="B418" s="18" t="s">
        <v>1136</v>
      </c>
      <c r="C418" s="511" t="s">
        <v>1163</v>
      </c>
      <c r="D418" s="18" t="s">
        <v>252</v>
      </c>
      <c r="E418" s="18" t="s">
        <v>1157</v>
      </c>
      <c r="F418" s="816" t="s">
        <v>1158</v>
      </c>
      <c r="G418" s="39" t="s">
        <v>332</v>
      </c>
      <c r="H418" s="523">
        <v>1540932933</v>
      </c>
      <c r="I418" s="524" t="s">
        <v>1250</v>
      </c>
      <c r="J418" s="276" t="str">
        <f>VLOOKUP($I418,'Price List, Weapons &amp; Items'!A:B,2,0)</f>
        <v>Portable defence system</v>
      </c>
      <c r="K418" s="276" t="str">
        <f>IF(I418=".",I418,VLOOKUP($I418,'Price List, Weapons &amp; Items'!A:C,3,0))</f>
        <v>Light Anti-armor Weapon (LAW)</v>
      </c>
      <c r="L418" s="514">
        <f>VLOOKUP(I418,'Price List, Weapons &amp; Items'!A:D,4,0)</f>
        <v>0</v>
      </c>
      <c r="M418" s="515">
        <v>7944</v>
      </c>
      <c r="N418" s="515">
        <v>7944</v>
      </c>
      <c r="O418" s="516">
        <f>VLOOKUP($I418,'Price List, Weapons &amp; Items'!A:F,6,0)</f>
        <v>5372.5490196078435</v>
      </c>
      <c r="P418" s="513">
        <f t="shared" si="95"/>
        <v>42679529.411764711</v>
      </c>
      <c r="Q418" s="513">
        <f t="shared" si="96"/>
        <v>42679529.411764711</v>
      </c>
      <c r="R418" s="513" t="str">
        <f t="shared" si="86"/>
        <v/>
      </c>
      <c r="S418" s="513" t="str">
        <f>IF(AND(AD418=1,R418&lt;&gt;".")=TRUE,R418/VLOOKUP(G418,'Exchange rates'!B:C,2,0),IF(R418=".",".",""))</f>
        <v/>
      </c>
      <c r="T418" s="513" t="str">
        <f>IF(AD418=1,IF(AF418="Value is not given at all",".",IF(AF418="Value is given by the source",S418,IF(AF418="Value is calculated with prices",(IF(SUMIFS(Q:Q,A:A,A418)&gt;0,SUMIFS(Q:Q,A:A,A418),"."))/VLOOKUP("USD",'Exchange rates'!B:C,2,0),"Error with coding"))),"")</f>
        <v/>
      </c>
      <c r="U418" s="39" t="s">
        <v>233</v>
      </c>
      <c r="V418" s="376" t="s">
        <v>1160</v>
      </c>
      <c r="W418" s="376" t="s">
        <v>1161</v>
      </c>
      <c r="X418" s="376" t="s">
        <v>1162</v>
      </c>
      <c r="Y418" s="376" t="s">
        <v>232</v>
      </c>
      <c r="Z418" s="39">
        <v>0</v>
      </c>
      <c r="AA418" s="518">
        <v>0</v>
      </c>
      <c r="AB418" s="395" t="s">
        <v>1161</v>
      </c>
      <c r="AC418" s="519" t="str">
        <f>""</f>
        <v/>
      </c>
      <c r="AD418" s="522">
        <v>0</v>
      </c>
      <c r="AE418" s="522" t="s">
        <v>236</v>
      </c>
      <c r="AF418" s="522" t="s">
        <v>237</v>
      </c>
      <c r="AG418" s="522">
        <v>0</v>
      </c>
      <c r="AH418" s="522">
        <v>0</v>
      </c>
      <c r="AI418" s="522">
        <v>0</v>
      </c>
      <c r="AJ418" s="520">
        <f>VLOOKUP($I418,'Price List, Weapons &amp; Items'!A:E,5,0)</f>
        <v>0</v>
      </c>
      <c r="AK418" s="520">
        <f t="shared" si="87"/>
        <v>0</v>
      </c>
      <c r="AL418" s="520">
        <f t="shared" si="88"/>
        <v>0</v>
      </c>
      <c r="AM418" s="520">
        <f t="shared" si="89"/>
        <v>0</v>
      </c>
      <c r="AN418" s="521" t="str">
        <f>VLOOKUP($I418,'Price List, Weapons &amp; Items'!A:K,COLUMN('Price List, Weapons &amp; Items'!$I$1),0)</f>
        <v>Media reports (incl. social media)</v>
      </c>
      <c r="AO418" s="521" t="str">
        <f>IF(I418=".",".",VLOOKUP($I418,'Price List, Weapons &amp; Items'!A:I,3,0))</f>
        <v>Light Anti-armor Weapon (LAW)</v>
      </c>
      <c r="AP418" s="517" t="str">
        <f t="shared" ca="1" si="94"/>
        <v/>
      </c>
      <c r="AQ418" s="521">
        <f>VLOOKUP($I418,'Price List, Weapons &amp; Items'!A:K,COLUMN('Price List, Weapons &amp; Items'!$K$1),0)</f>
        <v>2</v>
      </c>
      <c r="AS418" s="521">
        <f t="shared" si="90"/>
        <v>1</v>
      </c>
      <c r="AT418" s="521">
        <f t="shared" si="91"/>
        <v>1</v>
      </c>
      <c r="AU418" s="521" t="str">
        <f t="shared" si="92"/>
        <v>Value is not in date format</v>
      </c>
      <c r="AV418" s="521" t="str">
        <f t="shared" si="93"/>
        <v>.</v>
      </c>
    </row>
    <row r="419" spans="1:48" ht="15" customHeight="1">
      <c r="A419" s="18" t="s">
        <v>1156</v>
      </c>
      <c r="B419" s="18" t="s">
        <v>1136</v>
      </c>
      <c r="C419" s="511" t="s">
        <v>1163</v>
      </c>
      <c r="D419" s="18" t="s">
        <v>252</v>
      </c>
      <c r="E419" s="18" t="s">
        <v>1157</v>
      </c>
      <c r="F419" s="816" t="s">
        <v>1158</v>
      </c>
      <c r="G419" s="39" t="s">
        <v>332</v>
      </c>
      <c r="H419" s="523">
        <v>1540932933</v>
      </c>
      <c r="I419" s="524" t="s">
        <v>1251</v>
      </c>
      <c r="J419" s="276" t="str">
        <f>VLOOKUP($I419,'Price List, Weapons &amp; Items'!A:B,2,0)</f>
        <v>heavy weapon</v>
      </c>
      <c r="K419" s="276" t="str">
        <f>IF(I419=".",I419,VLOOKUP($I419,'Price List, Weapons &amp; Items'!A:C,3,0))</f>
        <v>anti-armor weapon</v>
      </c>
      <c r="L419" s="514">
        <f>VLOOKUP(I419,'Price List, Weapons &amp; Items'!A:D,4,0)</f>
        <v>0</v>
      </c>
      <c r="M419" s="515">
        <v>20</v>
      </c>
      <c r="N419" s="515">
        <v>0</v>
      </c>
      <c r="O419" s="516">
        <f>VLOOKUP($I419,'Price List, Weapons &amp; Items'!A:F,6,0)</f>
        <v>22000</v>
      </c>
      <c r="P419" s="513">
        <f t="shared" si="95"/>
        <v>440000</v>
      </c>
      <c r="Q419" s="513">
        <f t="shared" si="96"/>
        <v>0</v>
      </c>
      <c r="R419" s="513" t="str">
        <f t="shared" si="86"/>
        <v/>
      </c>
      <c r="S419" s="513" t="str">
        <f>IF(AND(AD419=1,R419&lt;&gt;".")=TRUE,R419/VLOOKUP(G419,'Exchange rates'!B:C,2,0),IF(R419=".",".",""))</f>
        <v/>
      </c>
      <c r="T419" s="513" t="str">
        <f>IF(AD419=1,IF(AF419="Value is not given at all",".",IF(AF419="Value is given by the source",S419,IF(AF419="Value is calculated with prices",(IF(SUMIFS(Q:Q,A:A,A419)&gt;0,SUMIFS(Q:Q,A:A,A419),"."))/VLOOKUP("USD",'Exchange rates'!B:C,2,0),"Error with coding"))),"")</f>
        <v/>
      </c>
      <c r="U419" s="39" t="s">
        <v>233</v>
      </c>
      <c r="V419" s="376" t="s">
        <v>1244</v>
      </c>
      <c r="W419" s="376" t="s">
        <v>1161</v>
      </c>
      <c r="X419" s="376" t="s">
        <v>1245</v>
      </c>
      <c r="Y419" s="376" t="s">
        <v>232</v>
      </c>
      <c r="Z419" s="39">
        <v>0</v>
      </c>
      <c r="AA419" s="518">
        <v>1</v>
      </c>
      <c r="AB419" s="395" t="s">
        <v>1165</v>
      </c>
      <c r="AC419" s="519" t="str">
        <f>""</f>
        <v/>
      </c>
      <c r="AD419" s="522">
        <v>0</v>
      </c>
      <c r="AE419" s="522" t="s">
        <v>236</v>
      </c>
      <c r="AF419" s="522" t="s">
        <v>237</v>
      </c>
      <c r="AG419" s="522">
        <v>0</v>
      </c>
      <c r="AH419" s="522">
        <v>0</v>
      </c>
      <c r="AI419" s="522">
        <v>0</v>
      </c>
      <c r="AJ419" s="520">
        <f>VLOOKUP($I419,'Price List, Weapons &amp; Items'!A:E,5,0)</f>
        <v>0</v>
      </c>
      <c r="AK419" s="520">
        <f t="shared" si="87"/>
        <v>0</v>
      </c>
      <c r="AL419" s="520">
        <f t="shared" si="88"/>
        <v>0</v>
      </c>
      <c r="AM419" s="520">
        <f t="shared" si="89"/>
        <v>0</v>
      </c>
      <c r="AN419" s="521" t="str">
        <f>VLOOKUP($I419,'Price List, Weapons &amp; Items'!A:K,COLUMN('Price List, Weapons &amp; Items'!$I$1),0)</f>
        <v>Media reports (incl. social media)</v>
      </c>
      <c r="AO419" s="521" t="str">
        <f>IF(I419=".",".",VLOOKUP($I419,'Price List, Weapons &amp; Items'!A:I,3,0))</f>
        <v>anti-armor weapon</v>
      </c>
      <c r="AP419" s="517" t="str">
        <f t="shared" ca="1" si="94"/>
        <v/>
      </c>
      <c r="AQ419" s="521">
        <f>VLOOKUP($I419,'Price List, Weapons &amp; Items'!A:K,COLUMN('Price List, Weapons &amp; Items'!$K$1),0)</f>
        <v>1</v>
      </c>
      <c r="AS419" s="521">
        <f t="shared" si="90"/>
        <v>1</v>
      </c>
      <c r="AT419" s="521">
        <f t="shared" si="91"/>
        <v>1</v>
      </c>
      <c r="AU419" s="521" t="str">
        <f t="shared" si="92"/>
        <v>Value is not in date format</v>
      </c>
      <c r="AV419" s="521" t="str">
        <f t="shared" si="93"/>
        <v>.</v>
      </c>
    </row>
    <row r="420" spans="1:48" ht="15" customHeight="1">
      <c r="A420" s="18" t="s">
        <v>1156</v>
      </c>
      <c r="B420" s="18" t="s">
        <v>1136</v>
      </c>
      <c r="C420" s="511" t="s">
        <v>1163</v>
      </c>
      <c r="D420" s="18" t="s">
        <v>252</v>
      </c>
      <c r="E420" s="18" t="s">
        <v>1157</v>
      </c>
      <c r="F420" s="816" t="s">
        <v>1158</v>
      </c>
      <c r="G420" s="39" t="s">
        <v>332</v>
      </c>
      <c r="H420" s="523">
        <v>1540932933</v>
      </c>
      <c r="I420" s="524" t="s">
        <v>1252</v>
      </c>
      <c r="J420" s="276" t="str">
        <f>VLOOKUP($I420,'Price List, Weapons &amp; Items'!A:B,2,0)</f>
        <v>ammunition for heavy weapon</v>
      </c>
      <c r="K420" s="276" t="str">
        <f>IF(I420=".",I420,VLOOKUP($I420,'Price List, Weapons &amp; Items'!A:C,3,0))</f>
        <v>.</v>
      </c>
      <c r="L420" s="514">
        <f>VLOOKUP(I420,'Price List, Weapons &amp; Items'!A:D,4,0)</f>
        <v>0</v>
      </c>
      <c r="M420" s="515">
        <v>2000</v>
      </c>
      <c r="N420" s="515">
        <v>0</v>
      </c>
      <c r="O420" s="516">
        <f>VLOOKUP($I420,'Price List, Weapons &amp; Items'!A:F,6,0)</f>
        <v>2799</v>
      </c>
      <c r="P420" s="513">
        <f t="shared" si="95"/>
        <v>5598000</v>
      </c>
      <c r="Q420" s="513">
        <f t="shared" si="96"/>
        <v>0</v>
      </c>
      <c r="R420" s="513" t="str">
        <f t="shared" si="86"/>
        <v/>
      </c>
      <c r="S420" s="513" t="str">
        <f>IF(AND(AD420=1,R420&lt;&gt;".")=TRUE,R420/VLOOKUP(G420,'Exchange rates'!B:C,2,0),IF(R420=".",".",""))</f>
        <v/>
      </c>
      <c r="T420" s="513" t="str">
        <f>IF(AD420=1,IF(AF420="Value is not given at all",".",IF(AF420="Value is given by the source",S420,IF(AF420="Value is calculated with prices",(IF(SUMIFS(Q:Q,A:A,A420)&gt;0,SUMIFS(Q:Q,A:A,A420),"."))/VLOOKUP("USD",'Exchange rates'!B:C,2,0),"Error with coding"))),"")</f>
        <v/>
      </c>
      <c r="U420" s="39" t="s">
        <v>233</v>
      </c>
      <c r="V420" s="376" t="s">
        <v>1160</v>
      </c>
      <c r="W420" s="376" t="s">
        <v>1161</v>
      </c>
      <c r="X420" s="376" t="s">
        <v>1162</v>
      </c>
      <c r="Y420" s="376" t="s">
        <v>232</v>
      </c>
      <c r="Z420" s="39">
        <v>0</v>
      </c>
      <c r="AA420" s="518">
        <v>1</v>
      </c>
      <c r="AB420" s="395" t="s">
        <v>1203</v>
      </c>
      <c r="AC420" s="519" t="str">
        <f>""</f>
        <v/>
      </c>
      <c r="AD420" s="522">
        <v>0</v>
      </c>
      <c r="AE420" s="522" t="s">
        <v>236</v>
      </c>
      <c r="AF420" s="522" t="s">
        <v>237</v>
      </c>
      <c r="AG420" s="522">
        <v>0</v>
      </c>
      <c r="AH420" s="522">
        <v>0</v>
      </c>
      <c r="AI420" s="522">
        <v>0</v>
      </c>
      <c r="AJ420" s="520">
        <f>VLOOKUP($I420,'Price List, Weapons &amp; Items'!A:E,5,0)</f>
        <v>0</v>
      </c>
      <c r="AK420" s="520">
        <f t="shared" si="87"/>
        <v>0</v>
      </c>
      <c r="AL420" s="520">
        <f t="shared" si="88"/>
        <v>0</v>
      </c>
      <c r="AM420" s="520">
        <f t="shared" si="89"/>
        <v>0</v>
      </c>
      <c r="AN420" s="521" t="str">
        <f>VLOOKUP($I420,'Price List, Weapons &amp; Items'!A:K,COLUMN('Price List, Weapons &amp; Items'!$I$1),0)</f>
        <v>Media reports (incl. social media)</v>
      </c>
      <c r="AO420" s="521" t="str">
        <f>IF(I420=".",".",VLOOKUP($I420,'Price List, Weapons &amp; Items'!A:I,3,0))</f>
        <v>.</v>
      </c>
      <c r="AP420" s="517" t="str">
        <f t="shared" ca="1" si="94"/>
        <v/>
      </c>
      <c r="AQ420" s="521">
        <f>VLOOKUP($I420,'Price List, Weapons &amp; Items'!A:K,COLUMN('Price List, Weapons &amp; Items'!$K$1),0)</f>
        <v>2</v>
      </c>
      <c r="AS420" s="521">
        <f t="shared" si="90"/>
        <v>1</v>
      </c>
      <c r="AT420" s="521">
        <f t="shared" si="91"/>
        <v>1</v>
      </c>
      <c r="AU420" s="521" t="str">
        <f t="shared" si="92"/>
        <v>Value is not in date format</v>
      </c>
      <c r="AV420" s="521" t="str">
        <f t="shared" si="93"/>
        <v>.</v>
      </c>
    </row>
    <row r="421" spans="1:48" ht="15" customHeight="1">
      <c r="A421" s="18" t="s">
        <v>1156</v>
      </c>
      <c r="B421" s="18" t="s">
        <v>1136</v>
      </c>
      <c r="C421" s="511" t="s">
        <v>1163</v>
      </c>
      <c r="D421" s="18" t="s">
        <v>252</v>
      </c>
      <c r="E421" s="18" t="s">
        <v>1157</v>
      </c>
      <c r="F421" s="816" t="s">
        <v>1158</v>
      </c>
      <c r="G421" s="39" t="s">
        <v>332</v>
      </c>
      <c r="H421" s="523">
        <v>1540932933</v>
      </c>
      <c r="I421" s="524" t="s">
        <v>574</v>
      </c>
      <c r="J421" s="276" t="str">
        <f>VLOOKUP($I421,'Price List, Weapons &amp; Items'!A:B,2,0)</f>
        <v>Ammunition for heavy weapon</v>
      </c>
      <c r="K421" s="276" t="str">
        <f>IF(I421=".",I421,VLOOKUP($I421,'Price List, Weapons &amp; Items'!A:C,3,0))</f>
        <v>155mm howitzer ammunition</v>
      </c>
      <c r="L421" s="514">
        <f>VLOOKUP(I421,'Price List, Weapons &amp; Items'!A:D,4,0)</f>
        <v>0</v>
      </c>
      <c r="M421" s="515">
        <v>19600</v>
      </c>
      <c r="N421" s="515">
        <v>13500</v>
      </c>
      <c r="O421" s="516">
        <f>VLOOKUP($I421,'Price List, Weapons &amp; Items'!A:F,6,0)</f>
        <v>3800</v>
      </c>
      <c r="P421" s="513">
        <f t="shared" si="95"/>
        <v>74480000</v>
      </c>
      <c r="Q421" s="513">
        <f t="shared" si="96"/>
        <v>51300000</v>
      </c>
      <c r="R421" s="513" t="str">
        <f t="shared" si="86"/>
        <v/>
      </c>
      <c r="S421" s="513" t="str">
        <f>IF(AND(AD421=1,R421&lt;&gt;".")=TRUE,R421/VLOOKUP(G421,'Exchange rates'!B:C,2,0),IF(R421=".",".",""))</f>
        <v/>
      </c>
      <c r="T421" s="513" t="str">
        <f>IF(AD421=1,IF(AF421="Value is not given at all",".",IF(AF421="Value is given by the source",S421,IF(AF421="Value is calculated with prices",(IF(SUMIFS(Q:Q,A:A,A421)&gt;0,SUMIFS(Q:Q,A:A,A421),"."))/VLOOKUP("USD",'Exchange rates'!B:C,2,0),"Error with coding"))),"")</f>
        <v/>
      </c>
      <c r="U421" s="39" t="s">
        <v>233</v>
      </c>
      <c r="V421" s="376" t="s">
        <v>1160</v>
      </c>
      <c r="W421" s="376" t="s">
        <v>1161</v>
      </c>
      <c r="X421" s="376" t="s">
        <v>1162</v>
      </c>
      <c r="Y421" s="376" t="s">
        <v>232</v>
      </c>
      <c r="Z421" s="39">
        <v>0</v>
      </c>
      <c r="AA421" s="518">
        <v>0</v>
      </c>
      <c r="AB421" s="395" t="s">
        <v>1161</v>
      </c>
      <c r="AC421" s="519" t="str">
        <f>""</f>
        <v/>
      </c>
      <c r="AD421" s="522">
        <v>0</v>
      </c>
      <c r="AE421" s="522" t="s">
        <v>236</v>
      </c>
      <c r="AF421" s="522" t="s">
        <v>237</v>
      </c>
      <c r="AG421" s="522">
        <v>0</v>
      </c>
      <c r="AH421" s="522">
        <v>0</v>
      </c>
      <c r="AI421" s="522">
        <v>0</v>
      </c>
      <c r="AJ421" s="520">
        <f>VLOOKUP($I421,'Price List, Weapons &amp; Items'!A:E,5,0)</f>
        <v>1</v>
      </c>
      <c r="AK421" s="520">
        <f t="shared" si="87"/>
        <v>0</v>
      </c>
      <c r="AL421" s="520">
        <f t="shared" si="88"/>
        <v>0</v>
      </c>
      <c r="AM421" s="520">
        <f t="shared" si="89"/>
        <v>0</v>
      </c>
      <c r="AN421" s="521" t="str">
        <f>VLOOKUP($I421,'Price List, Weapons &amp; Items'!A:K,COLUMN('Price List, Weapons &amp; Items'!$I$1),0)</f>
        <v>Government information</v>
      </c>
      <c r="AO421" s="521" t="str">
        <f>IF(I421=".",".",VLOOKUP($I421,'Price List, Weapons &amp; Items'!A:I,3,0))</f>
        <v>155mm howitzer ammunition</v>
      </c>
      <c r="AP421" s="517" t="str">
        <f t="shared" ca="1" si="94"/>
        <v/>
      </c>
      <c r="AQ421" s="521">
        <f>VLOOKUP($I421,'Price List, Weapons &amp; Items'!A:K,COLUMN('Price List, Weapons &amp; Items'!$K$1),0)</f>
        <v>2</v>
      </c>
      <c r="AS421" s="521">
        <f t="shared" si="90"/>
        <v>1</v>
      </c>
      <c r="AT421" s="521">
        <f t="shared" si="91"/>
        <v>1</v>
      </c>
      <c r="AU421" s="521" t="str">
        <f t="shared" si="92"/>
        <v>Value is not in date format</v>
      </c>
      <c r="AV421" s="521" t="str">
        <f t="shared" si="93"/>
        <v>.</v>
      </c>
    </row>
    <row r="422" spans="1:48" ht="15" customHeight="1">
      <c r="A422" s="18" t="s">
        <v>1156</v>
      </c>
      <c r="B422" s="18" t="s">
        <v>1136</v>
      </c>
      <c r="C422" s="511" t="s">
        <v>1163</v>
      </c>
      <c r="D422" s="18" t="s">
        <v>252</v>
      </c>
      <c r="E422" s="18" t="s">
        <v>1157</v>
      </c>
      <c r="F422" s="816" t="s">
        <v>1158</v>
      </c>
      <c r="G422" s="39" t="s">
        <v>332</v>
      </c>
      <c r="H422" s="523">
        <v>1540932933</v>
      </c>
      <c r="I422" s="524" t="s">
        <v>1253</v>
      </c>
      <c r="J422" s="276" t="str">
        <f>VLOOKUP($I422,'Price List, Weapons &amp; Items'!A:B,2,0)</f>
        <v>Ammunition for light infantry</v>
      </c>
      <c r="K422" s="276" t="str">
        <f>IF(I422=".",I422,VLOOKUP($I422,'Price List, Weapons &amp; Items'!A:C,3,0))</f>
        <v>Small Arms and Light Weapons (SALW) ammunition</v>
      </c>
      <c r="L422" s="514">
        <f>VLOOKUP(I422,'Price List, Weapons &amp; Items'!A:D,4,0)</f>
        <v>0</v>
      </c>
      <c r="M422" s="515">
        <v>216000</v>
      </c>
      <c r="N422" s="515">
        <v>30000</v>
      </c>
      <c r="O422" s="516">
        <f>VLOOKUP($I422,'Price List, Weapons &amp; Items'!A:F,6,0)</f>
        <v>55</v>
      </c>
      <c r="P422" s="513">
        <f t="shared" si="95"/>
        <v>11880000</v>
      </c>
      <c r="Q422" s="513">
        <f t="shared" si="96"/>
        <v>1650000</v>
      </c>
      <c r="R422" s="513" t="str">
        <f t="shared" si="86"/>
        <v/>
      </c>
      <c r="S422" s="513" t="str">
        <f>IF(AND(AD422=1,R422&lt;&gt;".")=TRUE,R422/VLOOKUP(G422,'Exchange rates'!B:C,2,0),IF(R422=".",".",""))</f>
        <v/>
      </c>
      <c r="T422" s="513" t="str">
        <f>IF(AD422=1,IF(AF422="Value is not given at all",".",IF(AF422="Value is given by the source",S422,IF(AF422="Value is calculated with prices",(IF(SUMIFS(Q:Q,A:A,A422)&gt;0,SUMIFS(Q:Q,A:A,A422),"."))/VLOOKUP("USD",'Exchange rates'!B:C,2,0),"Error with coding"))),"")</f>
        <v/>
      </c>
      <c r="U422" s="39" t="s">
        <v>233</v>
      </c>
      <c r="V422" s="376" t="s">
        <v>1160</v>
      </c>
      <c r="W422" s="376" t="s">
        <v>1161</v>
      </c>
      <c r="X422" s="376" t="s">
        <v>1162</v>
      </c>
      <c r="Y422" s="376" t="s">
        <v>232</v>
      </c>
      <c r="Z422" s="39">
        <v>0</v>
      </c>
      <c r="AA422" s="518">
        <v>0</v>
      </c>
      <c r="AB422" s="395" t="s">
        <v>1161</v>
      </c>
      <c r="AC422" s="519" t="str">
        <f>""</f>
        <v/>
      </c>
      <c r="AD422" s="522">
        <v>0</v>
      </c>
      <c r="AE422" s="522" t="s">
        <v>236</v>
      </c>
      <c r="AF422" s="522" t="s">
        <v>237</v>
      </c>
      <c r="AG422" s="522">
        <v>0</v>
      </c>
      <c r="AH422" s="522">
        <v>0</v>
      </c>
      <c r="AI422" s="522">
        <v>0</v>
      </c>
      <c r="AJ422" s="520">
        <f>VLOOKUP($I422,'Price List, Weapons &amp; Items'!A:E,5,0)</f>
        <v>0</v>
      </c>
      <c r="AK422" s="520">
        <f t="shared" si="87"/>
        <v>0</v>
      </c>
      <c r="AL422" s="520">
        <f t="shared" si="88"/>
        <v>0</v>
      </c>
      <c r="AM422" s="520">
        <f t="shared" si="89"/>
        <v>1</v>
      </c>
      <c r="AN422" s="521" t="str">
        <f>VLOOKUP($I422,'Price List, Weapons &amp; Items'!A:K,COLUMN('Price List, Weapons &amp; Items'!$I$1),0)</f>
        <v>Military media (incl. websites)</v>
      </c>
      <c r="AO422" s="521" t="str">
        <f>IF(I422=".",".",VLOOKUP($I422,'Price List, Weapons &amp; Items'!A:I,3,0))</f>
        <v>Small Arms and Light Weapons (SALW) ammunition</v>
      </c>
      <c r="AP422" s="517" t="str">
        <f t="shared" ca="1" si="94"/>
        <v/>
      </c>
      <c r="AQ422" s="521">
        <f>VLOOKUP($I422,'Price List, Weapons &amp; Items'!A:K,COLUMN('Price List, Weapons &amp; Items'!$K$1),0)</f>
        <v>2</v>
      </c>
      <c r="AS422" s="521">
        <f t="shared" si="90"/>
        <v>1</v>
      </c>
      <c r="AT422" s="521">
        <f t="shared" si="91"/>
        <v>1</v>
      </c>
      <c r="AU422" s="521" t="str">
        <f t="shared" si="92"/>
        <v>Value is not in date format</v>
      </c>
      <c r="AV422" s="521" t="str">
        <f t="shared" si="93"/>
        <v>.</v>
      </c>
    </row>
    <row r="423" spans="1:48" ht="15" customHeight="1">
      <c r="A423" s="18" t="s">
        <v>1156</v>
      </c>
      <c r="B423" s="18" t="s">
        <v>1136</v>
      </c>
      <c r="C423" s="511" t="s">
        <v>1163</v>
      </c>
      <c r="D423" s="18" t="s">
        <v>252</v>
      </c>
      <c r="E423" s="18" t="s">
        <v>1157</v>
      </c>
      <c r="F423" s="816" t="s">
        <v>1158</v>
      </c>
      <c r="G423" s="39" t="s">
        <v>332</v>
      </c>
      <c r="H423" s="523">
        <v>1540932933</v>
      </c>
      <c r="I423" s="524" t="s">
        <v>1254</v>
      </c>
      <c r="J423" s="276" t="str">
        <f>VLOOKUP($I423,'Price List, Weapons &amp; Items'!A:B,2,0)</f>
        <v>Ammunition for light infantry</v>
      </c>
      <c r="K423" s="276" t="str">
        <f>IF(I423=".",I423,VLOOKUP($I423,'Price List, Weapons &amp; Items'!A:C,3,0))</f>
        <v>Small Arms and Light Weapons (SALW) ammunition</v>
      </c>
      <c r="L423" s="514">
        <f>VLOOKUP(I423,'Price List, Weapons &amp; Items'!A:D,4,0)</f>
        <v>0</v>
      </c>
      <c r="M423" s="515">
        <v>22000000</v>
      </c>
      <c r="N423" s="515">
        <v>22000000</v>
      </c>
      <c r="O423" s="516">
        <f>VLOOKUP($I423,'Price List, Weapons &amp; Items'!A:F,6,0)</f>
        <v>5</v>
      </c>
      <c r="P423" s="513">
        <f t="shared" si="95"/>
        <v>110000000</v>
      </c>
      <c r="Q423" s="513">
        <f t="shared" si="96"/>
        <v>110000000</v>
      </c>
      <c r="R423" s="513" t="str">
        <f t="shared" si="86"/>
        <v/>
      </c>
      <c r="S423" s="513" t="str">
        <f>IF(AND(AD423=1,R423&lt;&gt;".")=TRUE,R423/VLOOKUP(G423,'Exchange rates'!B:C,2,0),IF(R423=".",".",""))</f>
        <v/>
      </c>
      <c r="T423" s="513" t="str">
        <f>IF(AD423=1,IF(AF423="Value is not given at all",".",IF(AF423="Value is given by the source",S423,IF(AF423="Value is calculated with prices",(IF(SUMIFS(Q:Q,A:A,A423)&gt;0,SUMIFS(Q:Q,A:A,A423),"."))/VLOOKUP("USD",'Exchange rates'!B:C,2,0),"Error with coding"))),"")</f>
        <v/>
      </c>
      <c r="U423" s="39" t="s">
        <v>233</v>
      </c>
      <c r="V423" s="376" t="s">
        <v>1160</v>
      </c>
      <c r="W423" s="376" t="s">
        <v>1161</v>
      </c>
      <c r="X423" s="376" t="s">
        <v>1162</v>
      </c>
      <c r="Y423" s="376" t="s">
        <v>232</v>
      </c>
      <c r="Z423" s="39">
        <v>0</v>
      </c>
      <c r="AA423" s="518">
        <v>0</v>
      </c>
      <c r="AB423" s="395" t="s">
        <v>1161</v>
      </c>
      <c r="AC423" s="519" t="str">
        <f>""</f>
        <v/>
      </c>
      <c r="AD423" s="522">
        <v>0</v>
      </c>
      <c r="AE423" s="522" t="s">
        <v>236</v>
      </c>
      <c r="AF423" s="522" t="s">
        <v>237</v>
      </c>
      <c r="AG423" s="522">
        <v>0</v>
      </c>
      <c r="AH423" s="522">
        <v>0</v>
      </c>
      <c r="AI423" s="522">
        <v>0</v>
      </c>
      <c r="AJ423" s="520">
        <f>VLOOKUP($I423,'Price List, Weapons &amp; Items'!A:E,5,0)</f>
        <v>0</v>
      </c>
      <c r="AK423" s="520">
        <f t="shared" si="87"/>
        <v>0</v>
      </c>
      <c r="AL423" s="520">
        <f t="shared" si="88"/>
        <v>0</v>
      </c>
      <c r="AM423" s="520">
        <f t="shared" si="89"/>
        <v>1</v>
      </c>
      <c r="AN423" s="521" t="str">
        <f>VLOOKUP($I423,'Price List, Weapons &amp; Items'!A:K,COLUMN('Price List, Weapons &amp; Items'!$I$1),0)</f>
        <v>Miscellaneous</v>
      </c>
      <c r="AO423" s="521" t="str">
        <f>IF(I423=".",".",VLOOKUP($I423,'Price List, Weapons &amp; Items'!A:I,3,0))</f>
        <v>Small Arms and Light Weapons (SALW) ammunition</v>
      </c>
      <c r="AP423" s="517" t="str">
        <f t="shared" ca="1" si="94"/>
        <v/>
      </c>
      <c r="AQ423" s="521">
        <f>VLOOKUP($I423,'Price List, Weapons &amp; Items'!A:K,COLUMN('Price List, Weapons &amp; Items'!$K$1),0)</f>
        <v>2</v>
      </c>
      <c r="AS423" s="521">
        <f t="shared" si="90"/>
        <v>1</v>
      </c>
      <c r="AT423" s="521">
        <f t="shared" si="91"/>
        <v>1</v>
      </c>
      <c r="AU423" s="521" t="str">
        <f t="shared" si="92"/>
        <v>Value is not in date format</v>
      </c>
      <c r="AV423" s="521" t="str">
        <f t="shared" si="93"/>
        <v>.</v>
      </c>
    </row>
    <row r="424" spans="1:48" ht="15" customHeight="1">
      <c r="A424" s="18" t="s">
        <v>1156</v>
      </c>
      <c r="B424" s="18" t="s">
        <v>1136</v>
      </c>
      <c r="C424" s="511" t="s">
        <v>1163</v>
      </c>
      <c r="D424" s="18" t="s">
        <v>252</v>
      </c>
      <c r="E424" s="18" t="s">
        <v>1157</v>
      </c>
      <c r="F424" s="816" t="s">
        <v>1158</v>
      </c>
      <c r="G424" s="39" t="s">
        <v>332</v>
      </c>
      <c r="H424" s="523">
        <v>1540932933</v>
      </c>
      <c r="I424" s="524" t="s">
        <v>1255</v>
      </c>
      <c r="J424" s="276" t="str">
        <f>VLOOKUP($I424,'Price List, Weapons &amp; Items'!A:B,2,0)</f>
        <v>Ammunition for heavy weapon</v>
      </c>
      <c r="K424" s="276" t="str">
        <f>IF(I424=".",I424,VLOOKUP($I424,'Price List, Weapons &amp; Items'!A:C,3,0))</f>
        <v>Anti-aircraft guns ammunition</v>
      </c>
      <c r="L424" s="514">
        <f>VLOOKUP(I424,'Price List, Weapons &amp; Items'!A:D,4,0)</f>
        <v>0</v>
      </c>
      <c r="M424" s="515">
        <v>6000</v>
      </c>
      <c r="N424" s="515">
        <v>6000</v>
      </c>
      <c r="O424" s="516">
        <f>VLOOKUP($I424,'Price List, Weapons &amp; Items'!A:F,6,0)</f>
        <v>266.94</v>
      </c>
      <c r="P424" s="513">
        <f t="shared" si="95"/>
        <v>1601640</v>
      </c>
      <c r="Q424" s="513">
        <f t="shared" si="96"/>
        <v>1601640</v>
      </c>
      <c r="R424" s="513" t="str">
        <f t="shared" si="86"/>
        <v/>
      </c>
      <c r="S424" s="513" t="str">
        <f>IF(AND(AD424=1,R424&lt;&gt;".")=TRUE,R424/VLOOKUP(G424,'Exchange rates'!B:C,2,0),IF(R424=".",".",""))</f>
        <v/>
      </c>
      <c r="T424" s="513" t="str">
        <f>IF(AD424=1,IF(AF424="Value is not given at all",".",IF(AF424="Value is given by the source",S424,IF(AF424="Value is calculated with prices",(IF(SUMIFS(Q:Q,A:A,A424)&gt;0,SUMIFS(Q:Q,A:A,A424),"."))/VLOOKUP("USD",'Exchange rates'!B:C,2,0),"Error with coding"))),"")</f>
        <v/>
      </c>
      <c r="U424" s="39" t="s">
        <v>233</v>
      </c>
      <c r="V424" s="376" t="s">
        <v>1160</v>
      </c>
      <c r="W424" s="376" t="s">
        <v>1161</v>
      </c>
      <c r="X424" s="376" t="s">
        <v>1162</v>
      </c>
      <c r="Y424" s="376" t="s">
        <v>232</v>
      </c>
      <c r="Z424" s="39">
        <v>0</v>
      </c>
      <c r="AA424" s="518">
        <v>0</v>
      </c>
      <c r="AB424" s="395" t="s">
        <v>1161</v>
      </c>
      <c r="AC424" s="519" t="str">
        <f>""</f>
        <v/>
      </c>
      <c r="AD424" s="522">
        <v>0</v>
      </c>
      <c r="AE424" s="522" t="s">
        <v>236</v>
      </c>
      <c r="AF424" s="522" t="s">
        <v>237</v>
      </c>
      <c r="AG424" s="522">
        <v>0</v>
      </c>
      <c r="AH424" s="522">
        <v>0</v>
      </c>
      <c r="AI424" s="522">
        <v>0</v>
      </c>
      <c r="AJ424" s="520">
        <f>VLOOKUP($I424,'Price List, Weapons &amp; Items'!A:E,5,0)</f>
        <v>0</v>
      </c>
      <c r="AK424" s="520">
        <f t="shared" si="87"/>
        <v>0</v>
      </c>
      <c r="AL424" s="520">
        <f t="shared" si="88"/>
        <v>0</v>
      </c>
      <c r="AM424" s="520">
        <f t="shared" si="89"/>
        <v>1</v>
      </c>
      <c r="AN424" s="521" t="str">
        <f>VLOOKUP($I424,'Price List, Weapons &amp; Items'!A:K,COLUMN('Price List, Weapons &amp; Items'!$I$1),0)</f>
        <v>Miscellaneous</v>
      </c>
      <c r="AO424" s="521" t="str">
        <f>IF(I424=".",".",VLOOKUP($I424,'Price List, Weapons &amp; Items'!A:I,3,0))</f>
        <v>Anti-aircraft guns ammunition</v>
      </c>
      <c r="AP424" s="517" t="str">
        <f t="shared" ca="1" si="94"/>
        <v/>
      </c>
      <c r="AQ424" s="521">
        <f>VLOOKUP($I424,'Price List, Weapons &amp; Items'!A:K,COLUMN('Price List, Weapons &amp; Items'!$K$1),0)</f>
        <v>2</v>
      </c>
      <c r="AS424" s="521">
        <f t="shared" si="90"/>
        <v>1</v>
      </c>
      <c r="AT424" s="521">
        <f t="shared" si="91"/>
        <v>1</v>
      </c>
      <c r="AU424" s="521" t="str">
        <f t="shared" si="92"/>
        <v>Value is not in date format</v>
      </c>
      <c r="AV424" s="521" t="str">
        <f t="shared" si="93"/>
        <v>.</v>
      </c>
    </row>
    <row r="425" spans="1:48" ht="15" customHeight="1">
      <c r="A425" s="18" t="s">
        <v>1156</v>
      </c>
      <c r="B425" s="18" t="s">
        <v>1136</v>
      </c>
      <c r="C425" s="511" t="s">
        <v>1163</v>
      </c>
      <c r="D425" s="18" t="s">
        <v>252</v>
      </c>
      <c r="E425" s="18" t="s">
        <v>1157</v>
      </c>
      <c r="F425" s="816" t="s">
        <v>1158</v>
      </c>
      <c r="G425" s="39" t="s">
        <v>332</v>
      </c>
      <c r="H425" s="523">
        <v>1540932933</v>
      </c>
      <c r="I425" s="524" t="s">
        <v>1256</v>
      </c>
      <c r="J425" s="276" t="str">
        <f>VLOOKUP($I425,'Price List, Weapons &amp; Items'!A:B,2,0)</f>
        <v>Ammunition for heavy weapon</v>
      </c>
      <c r="K425" s="276" t="str">
        <f>IF(I425=".",I425,VLOOKUP($I425,'Price List, Weapons &amp; Items'!A:C,3,0))</f>
        <v>Anti-aircraft guns ammunition</v>
      </c>
      <c r="L425" s="514">
        <f>VLOOKUP(I425,'Price List, Weapons &amp; Items'!A:D,4,0)</f>
        <v>0</v>
      </c>
      <c r="M425" s="515">
        <v>4000</v>
      </c>
      <c r="N425" s="515">
        <v>4000</v>
      </c>
      <c r="O425" s="516">
        <f>VLOOKUP($I425,'Price List, Weapons &amp; Items'!A:F,6,0)</f>
        <v>266.94</v>
      </c>
      <c r="P425" s="513">
        <f t="shared" si="95"/>
        <v>1067760</v>
      </c>
      <c r="Q425" s="513">
        <f t="shared" si="96"/>
        <v>1067760</v>
      </c>
      <c r="R425" s="513" t="str">
        <f t="shared" si="86"/>
        <v/>
      </c>
      <c r="S425" s="513" t="str">
        <f>IF(AND(AD425=1,R425&lt;&gt;".")=TRUE,R425/VLOOKUP(G425,'Exchange rates'!B:C,2,0),IF(R425=".",".",""))</f>
        <v/>
      </c>
      <c r="T425" s="513" t="str">
        <f>IF(AD425=1,IF(AF425="Value is not given at all",".",IF(AF425="Value is given by the source",S425,IF(AF425="Value is calculated with prices",(IF(SUMIFS(Q:Q,A:A,A425)&gt;0,SUMIFS(Q:Q,A:A,A425),"."))/VLOOKUP("USD",'Exchange rates'!B:C,2,0),"Error with coding"))),"")</f>
        <v/>
      </c>
      <c r="U425" s="39" t="s">
        <v>233</v>
      </c>
      <c r="V425" s="376" t="s">
        <v>1160</v>
      </c>
      <c r="W425" s="376" t="s">
        <v>1161</v>
      </c>
      <c r="X425" s="376" t="s">
        <v>1162</v>
      </c>
      <c r="Y425" s="376" t="s">
        <v>232</v>
      </c>
      <c r="Z425" s="39">
        <v>0</v>
      </c>
      <c r="AA425" s="518">
        <v>0</v>
      </c>
      <c r="AB425" s="395" t="s">
        <v>1161</v>
      </c>
      <c r="AC425" s="519" t="str">
        <f>""</f>
        <v/>
      </c>
      <c r="AD425" s="522">
        <v>0</v>
      </c>
      <c r="AE425" s="522" t="s">
        <v>236</v>
      </c>
      <c r="AF425" s="522" t="s">
        <v>237</v>
      </c>
      <c r="AG425" s="522">
        <v>0</v>
      </c>
      <c r="AH425" s="522">
        <v>0</v>
      </c>
      <c r="AI425" s="522">
        <v>0</v>
      </c>
      <c r="AJ425" s="520">
        <f>VLOOKUP($I425,'Price List, Weapons &amp; Items'!A:E,5,0)</f>
        <v>0</v>
      </c>
      <c r="AK425" s="520">
        <f t="shared" si="87"/>
        <v>0</v>
      </c>
      <c r="AL425" s="520">
        <f t="shared" si="88"/>
        <v>0</v>
      </c>
      <c r="AM425" s="520">
        <f t="shared" si="89"/>
        <v>1</v>
      </c>
      <c r="AN425" s="521" t="str">
        <f>VLOOKUP($I425,'Price List, Weapons &amp; Items'!A:K,COLUMN('Price List, Weapons &amp; Items'!$I$1),0)</f>
        <v>Miscellaneous</v>
      </c>
      <c r="AO425" s="521" t="str">
        <f>IF(I425=".",".",VLOOKUP($I425,'Price List, Weapons &amp; Items'!A:I,3,0))</f>
        <v>Anti-aircraft guns ammunition</v>
      </c>
      <c r="AP425" s="517" t="str">
        <f t="shared" ca="1" si="94"/>
        <v/>
      </c>
      <c r="AQ425" s="521">
        <f>VLOOKUP($I425,'Price List, Weapons &amp; Items'!A:K,COLUMN('Price List, Weapons &amp; Items'!$K$1),0)</f>
        <v>2</v>
      </c>
      <c r="AS425" s="521">
        <f t="shared" si="90"/>
        <v>1</v>
      </c>
      <c r="AT425" s="521">
        <f t="shared" si="91"/>
        <v>1</v>
      </c>
      <c r="AU425" s="521" t="str">
        <f t="shared" si="92"/>
        <v>Value is not in date format</v>
      </c>
      <c r="AV425" s="521" t="str">
        <f t="shared" si="93"/>
        <v>.</v>
      </c>
    </row>
    <row r="426" spans="1:48" ht="15" customHeight="1">
      <c r="A426" s="18" t="s">
        <v>1156</v>
      </c>
      <c r="B426" s="18" t="s">
        <v>1136</v>
      </c>
      <c r="C426" s="511" t="s">
        <v>1163</v>
      </c>
      <c r="D426" s="18" t="s">
        <v>252</v>
      </c>
      <c r="E426" s="18" t="s">
        <v>1157</v>
      </c>
      <c r="F426" s="816" t="s">
        <v>1158</v>
      </c>
      <c r="G426" s="39" t="s">
        <v>332</v>
      </c>
      <c r="H426" s="523">
        <v>1540932933</v>
      </c>
      <c r="I426" s="524" t="s">
        <v>318</v>
      </c>
      <c r="J426" s="276" t="str">
        <f>VLOOKUP($I426,'Price List, Weapons &amp; Items'!A:B,2,0)</f>
        <v>Humanitarian</v>
      </c>
      <c r="K426" s="276" t="str">
        <f>IF(I426=".",I426,VLOOKUP($I426,'Price List, Weapons &amp; Items'!A:C,3,0))</f>
        <v>.</v>
      </c>
      <c r="L426" s="514">
        <f>VLOOKUP(I426,'Price List, Weapons &amp; Items'!A:D,4,0)</f>
        <v>0</v>
      </c>
      <c r="M426" s="515">
        <v>600</v>
      </c>
      <c r="N426" s="515">
        <v>600</v>
      </c>
      <c r="O426" s="516">
        <f>VLOOKUP($I426,'Price List, Weapons &amp; Items'!A:F,6,0)</f>
        <v>10</v>
      </c>
      <c r="P426" s="513">
        <f t="shared" si="95"/>
        <v>6000</v>
      </c>
      <c r="Q426" s="513">
        <f t="shared" si="96"/>
        <v>6000</v>
      </c>
      <c r="R426" s="513" t="str">
        <f t="shared" si="86"/>
        <v/>
      </c>
      <c r="S426" s="513" t="str">
        <f>IF(AND(AD426=1,R426&lt;&gt;".")=TRUE,R426/VLOOKUP(G426,'Exchange rates'!B:C,2,0),IF(R426=".",".",""))</f>
        <v/>
      </c>
      <c r="T426" s="513" t="str">
        <f>IF(AD426=1,IF(AF426="Value is not given at all",".",IF(AF426="Value is given by the source",S426,IF(AF426="Value is calculated with prices",(IF(SUMIFS(Q:Q,A:A,A426)&gt;0,SUMIFS(Q:Q,A:A,A426),"."))/VLOOKUP("USD",'Exchange rates'!B:C,2,0),"Error with coding"))),"")</f>
        <v/>
      </c>
      <c r="U426" s="39" t="s">
        <v>233</v>
      </c>
      <c r="V426" s="376" t="s">
        <v>1160</v>
      </c>
      <c r="W426" s="376" t="s">
        <v>1161</v>
      </c>
      <c r="X426" s="376" t="s">
        <v>1162</v>
      </c>
      <c r="Y426" s="376" t="s">
        <v>232</v>
      </c>
      <c r="Z426" s="39">
        <v>0</v>
      </c>
      <c r="AA426" s="518">
        <v>0</v>
      </c>
      <c r="AB426" s="395" t="s">
        <v>1161</v>
      </c>
      <c r="AC426" s="519" t="str">
        <f>""</f>
        <v/>
      </c>
      <c r="AD426" s="522">
        <v>0</v>
      </c>
      <c r="AE426" s="522" t="s">
        <v>236</v>
      </c>
      <c r="AF426" s="522" t="s">
        <v>237</v>
      </c>
      <c r="AG426" s="522">
        <v>0</v>
      </c>
      <c r="AH426" s="522">
        <v>0</v>
      </c>
      <c r="AI426" s="522">
        <v>0</v>
      </c>
      <c r="AJ426" s="520">
        <f>VLOOKUP($I426,'Price List, Weapons &amp; Items'!A:E,5,0)</f>
        <v>0</v>
      </c>
      <c r="AK426" s="520">
        <f t="shared" si="87"/>
        <v>0</v>
      </c>
      <c r="AL426" s="520">
        <f t="shared" si="88"/>
        <v>0</v>
      </c>
      <c r="AM426" s="520">
        <f t="shared" si="89"/>
        <v>0</v>
      </c>
      <c r="AN426" s="521" t="str">
        <f>VLOOKUP($I426,'Price List, Weapons &amp; Items'!A:K,COLUMN('Price List, Weapons &amp; Items'!$I$1),0)</f>
        <v>Online marketplaces and stores</v>
      </c>
      <c r="AO426" s="521" t="str">
        <f>IF(I426=".",".",VLOOKUP($I426,'Price List, Weapons &amp; Items'!A:I,3,0))</f>
        <v>.</v>
      </c>
      <c r="AP426" s="517" t="str">
        <f t="shared" ca="1" si="94"/>
        <v/>
      </c>
      <c r="AQ426" s="521">
        <f>VLOOKUP($I426,'Price List, Weapons &amp; Items'!A:K,COLUMN('Price List, Weapons &amp; Items'!$K$1),0)</f>
        <v>0</v>
      </c>
      <c r="AS426" s="521">
        <f t="shared" si="90"/>
        <v>1</v>
      </c>
      <c r="AT426" s="521">
        <f t="shared" si="91"/>
        <v>1</v>
      </c>
      <c r="AU426" s="521" t="str">
        <f t="shared" si="92"/>
        <v>Value is not in date format</v>
      </c>
      <c r="AV426" s="521" t="str">
        <f t="shared" si="93"/>
        <v>.</v>
      </c>
    </row>
    <row r="427" spans="1:48" ht="15" customHeight="1">
      <c r="A427" s="18" t="s">
        <v>1156</v>
      </c>
      <c r="B427" s="18" t="s">
        <v>1136</v>
      </c>
      <c r="C427" s="511" t="s">
        <v>1163</v>
      </c>
      <c r="D427" s="18" t="s">
        <v>252</v>
      </c>
      <c r="E427" s="18" t="s">
        <v>1157</v>
      </c>
      <c r="F427" s="816" t="s">
        <v>1158</v>
      </c>
      <c r="G427" s="39" t="s">
        <v>332</v>
      </c>
      <c r="H427" s="523">
        <v>1540932933</v>
      </c>
      <c r="I427" s="427" t="s">
        <v>1257</v>
      </c>
      <c r="J427" s="276" t="str">
        <f>VLOOKUP($I427,'Price List, Weapons &amp; Items'!A:B,2,0)</f>
        <v>Heavy weapon</v>
      </c>
      <c r="K427" s="276" t="str">
        <f>IF(I427=".",I427,VLOOKUP($I427,'Price List, Weapons &amp; Items'!A:C,3,0))</f>
        <v>Self-propelled anti-aircraft weapon</v>
      </c>
      <c r="L427" s="514">
        <f>VLOOKUP(I427,'Price List, Weapons &amp; Items'!A:D,4,0)</f>
        <v>0</v>
      </c>
      <c r="M427" s="515">
        <v>30</v>
      </c>
      <c r="N427" s="515">
        <v>30</v>
      </c>
      <c r="O427" s="516">
        <f>VLOOKUP($I427,'Price List, Weapons &amp; Items'!A:F,6,0)</f>
        <v>1190651.93</v>
      </c>
      <c r="P427" s="513">
        <f t="shared" si="95"/>
        <v>35719557.899999999</v>
      </c>
      <c r="Q427" s="513">
        <f t="shared" si="96"/>
        <v>35719557.899999999</v>
      </c>
      <c r="R427" s="513" t="str">
        <f t="shared" si="86"/>
        <v/>
      </c>
      <c r="S427" s="513" t="str">
        <f>IF(AND(AD427=1,R427&lt;&gt;".")=TRUE,R427/VLOOKUP(G427,'Exchange rates'!B:C,2,0),IF(R427=".",".",""))</f>
        <v/>
      </c>
      <c r="T427" s="513" t="str">
        <f>IF(AD427=1,IF(AF427="Value is not given at all",".",IF(AF427="Value is given by the source",S427,IF(AF427="Value is calculated with prices",(IF(SUMIFS(Q:Q,A:A,A427)&gt;0,SUMIFS(Q:Q,A:A,A427),"."))/VLOOKUP("USD",'Exchange rates'!B:C,2,0),"Error with coding"))),"")</f>
        <v/>
      </c>
      <c r="U427" s="39" t="s">
        <v>233</v>
      </c>
      <c r="V427" s="376" t="s">
        <v>1160</v>
      </c>
      <c r="W427" s="376" t="s">
        <v>1161</v>
      </c>
      <c r="X427" s="376" t="s">
        <v>1162</v>
      </c>
      <c r="Y427" s="376" t="s">
        <v>232</v>
      </c>
      <c r="Z427" s="39">
        <v>0</v>
      </c>
      <c r="AA427" s="518">
        <v>0</v>
      </c>
      <c r="AB427" s="395" t="s">
        <v>1161</v>
      </c>
      <c r="AC427" s="519" t="str">
        <f>""</f>
        <v/>
      </c>
      <c r="AD427" s="522">
        <v>0</v>
      </c>
      <c r="AE427" s="522" t="s">
        <v>236</v>
      </c>
      <c r="AF427" s="522" t="s">
        <v>237</v>
      </c>
      <c r="AG427" s="522">
        <v>0</v>
      </c>
      <c r="AH427" s="522">
        <v>0</v>
      </c>
      <c r="AI427" s="522">
        <v>0</v>
      </c>
      <c r="AJ427" s="520">
        <f>VLOOKUP($I427,'Price List, Weapons &amp; Items'!A:E,5,0)</f>
        <v>0</v>
      </c>
      <c r="AK427" s="520">
        <f t="shared" si="87"/>
        <v>0</v>
      </c>
      <c r="AL427" s="520">
        <f t="shared" si="88"/>
        <v>0</v>
      </c>
      <c r="AM427" s="520">
        <f t="shared" si="89"/>
        <v>0</v>
      </c>
      <c r="AN427" s="521" t="str">
        <f>VLOOKUP($I427,'Price List, Weapons &amp; Items'!A:K,COLUMN('Price List, Weapons &amp; Items'!$I$1),0)</f>
        <v>Military media (incl. websites)</v>
      </c>
      <c r="AO427" s="521" t="str">
        <f>IF(I427=".",".",VLOOKUP($I427,'Price List, Weapons &amp; Items'!A:I,3,0))</f>
        <v>Self-propelled anti-aircraft weapon</v>
      </c>
      <c r="AP427" s="517" t="str">
        <f t="shared" ca="1" si="94"/>
        <v/>
      </c>
      <c r="AQ427" s="521">
        <f>VLOOKUP($I427,'Price List, Weapons &amp; Items'!A:K,COLUMN('Price List, Weapons &amp; Items'!$K$1),0)</f>
        <v>2</v>
      </c>
      <c r="AS427" s="521">
        <f t="shared" si="90"/>
        <v>1</v>
      </c>
      <c r="AT427" s="521">
        <f t="shared" si="91"/>
        <v>1</v>
      </c>
      <c r="AU427" s="521" t="str">
        <f t="shared" si="92"/>
        <v>Value is not in date format</v>
      </c>
      <c r="AV427" s="521" t="str">
        <f t="shared" si="93"/>
        <v>.</v>
      </c>
    </row>
    <row r="428" spans="1:48" ht="15" customHeight="1">
      <c r="A428" s="18" t="s">
        <v>1156</v>
      </c>
      <c r="B428" s="18" t="s">
        <v>1136</v>
      </c>
      <c r="C428" s="511" t="s">
        <v>1163</v>
      </c>
      <c r="D428" s="18" t="s">
        <v>252</v>
      </c>
      <c r="E428" s="18" t="s">
        <v>1157</v>
      </c>
      <c r="F428" s="816" t="s">
        <v>1158</v>
      </c>
      <c r="G428" s="39" t="s">
        <v>332</v>
      </c>
      <c r="H428" s="523">
        <v>1540932933</v>
      </c>
      <c r="I428" s="524" t="s">
        <v>1258</v>
      </c>
      <c r="J428" s="276" t="str">
        <f>VLOOKUP($I428,'Price List, Weapons &amp; Items'!A:B,2,0)</f>
        <v>Military equipment</v>
      </c>
      <c r="K428" s="276" t="str">
        <f>IF(I428=".",I428,VLOOKUP($I428,'Price List, Weapons &amp; Items'!A:C,3,0))</f>
        <v>.</v>
      </c>
      <c r="L428" s="514">
        <f>VLOOKUP(I428,'Price List, Weapons &amp; Items'!A:D,4,0)</f>
        <v>0</v>
      </c>
      <c r="M428" s="515">
        <v>14</v>
      </c>
      <c r="N428" s="515">
        <v>0</v>
      </c>
      <c r="O428" s="516" t="str">
        <f>VLOOKUP($I428,'Price List, Weapons &amp; Items'!A:F,6,0)</f>
        <v>.</v>
      </c>
      <c r="P428" s="513" t="str">
        <f t="shared" si="95"/>
        <v>No price</v>
      </c>
      <c r="Q428" s="513" t="str">
        <f t="shared" si="96"/>
        <v>No price</v>
      </c>
      <c r="R428" s="513" t="str">
        <f t="shared" si="86"/>
        <v/>
      </c>
      <c r="S428" s="513" t="str">
        <f>IF(AND(AD428=1,R428&lt;&gt;".")=TRUE,R428/VLOOKUP(G428,'Exchange rates'!B:C,2,0),IF(R428=".",".",""))</f>
        <v/>
      </c>
      <c r="T428" s="513" t="str">
        <f>IF(AD428=1,IF(AF428="Value is not given at all",".",IF(AF428="Value is given by the source",S428,IF(AF428="Value is calculated with prices",(IF(SUMIFS(Q:Q,A:A,A428)&gt;0,SUMIFS(Q:Q,A:A,A428),"."))/VLOOKUP("USD",'Exchange rates'!B:C,2,0),"Error with coding"))),"")</f>
        <v/>
      </c>
      <c r="U428" s="39" t="s">
        <v>233</v>
      </c>
      <c r="V428" s="376" t="s">
        <v>1160</v>
      </c>
      <c r="W428" s="376" t="s">
        <v>1161</v>
      </c>
      <c r="X428" s="376" t="s">
        <v>1162</v>
      </c>
      <c r="Y428" s="376" t="s">
        <v>232</v>
      </c>
      <c r="Z428" s="39">
        <v>0</v>
      </c>
      <c r="AA428" s="518">
        <v>1</v>
      </c>
      <c r="AB428" s="395" t="s">
        <v>1259</v>
      </c>
      <c r="AC428" s="519" t="str">
        <f>""</f>
        <v/>
      </c>
      <c r="AD428" s="522">
        <v>0</v>
      </c>
      <c r="AE428" s="522" t="s">
        <v>236</v>
      </c>
      <c r="AF428" s="522" t="s">
        <v>237</v>
      </c>
      <c r="AG428" s="522">
        <v>0</v>
      </c>
      <c r="AH428" s="522">
        <v>0</v>
      </c>
      <c r="AI428" s="522">
        <v>0</v>
      </c>
      <c r="AJ428" s="520">
        <f>VLOOKUP($I428,'Price List, Weapons &amp; Items'!A:E,5,0)</f>
        <v>0</v>
      </c>
      <c r="AK428" s="520">
        <f t="shared" si="87"/>
        <v>0</v>
      </c>
      <c r="AL428" s="520">
        <f t="shared" si="88"/>
        <v>0</v>
      </c>
      <c r="AM428" s="520">
        <f t="shared" si="89"/>
        <v>0</v>
      </c>
      <c r="AN428" s="521" t="str">
        <f>VLOOKUP($I428,'Price List, Weapons &amp; Items'!A:K,COLUMN('Price List, Weapons &amp; Items'!$I$1),0)</f>
        <v>.</v>
      </c>
      <c r="AO428" s="521" t="str">
        <f>IF(I428=".",".",VLOOKUP($I428,'Price List, Weapons &amp; Items'!A:I,3,0))</f>
        <v>.</v>
      </c>
      <c r="AP428" s="517" t="str">
        <f t="shared" ca="1" si="94"/>
        <v/>
      </c>
      <c r="AQ428" s="521">
        <f>VLOOKUP($I428,'Price List, Weapons &amp; Items'!A:K,COLUMN('Price List, Weapons &amp; Items'!$K$1),0)</f>
        <v>0</v>
      </c>
      <c r="AS428" s="521">
        <f t="shared" si="90"/>
        <v>1</v>
      </c>
      <c r="AT428" s="521">
        <f t="shared" si="91"/>
        <v>1</v>
      </c>
      <c r="AU428" s="521" t="str">
        <f t="shared" si="92"/>
        <v>Value is not in date format</v>
      </c>
      <c r="AV428" s="521" t="str">
        <f t="shared" si="93"/>
        <v>.</v>
      </c>
    </row>
    <row r="429" spans="1:48" ht="15" customHeight="1">
      <c r="A429" s="18" t="s">
        <v>1156</v>
      </c>
      <c r="B429" s="18" t="s">
        <v>1136</v>
      </c>
      <c r="C429" s="511" t="s">
        <v>1163</v>
      </c>
      <c r="D429" s="18" t="s">
        <v>252</v>
      </c>
      <c r="E429" s="18" t="s">
        <v>1157</v>
      </c>
      <c r="F429" s="816" t="s">
        <v>1158</v>
      </c>
      <c r="G429" s="39" t="s">
        <v>332</v>
      </c>
      <c r="H429" s="523">
        <v>1540932933</v>
      </c>
      <c r="I429" s="524" t="s">
        <v>322</v>
      </c>
      <c r="J429" s="276" t="str">
        <f>VLOOKUP($I429,'Price List, Weapons &amp; Items'!A:B,2,0)</f>
        <v>Humanitarian</v>
      </c>
      <c r="K429" s="276" t="str">
        <f>IF(I429=".",I429,VLOOKUP($I429,'Price List, Weapons &amp; Items'!A:C,3,0))</f>
        <v>.</v>
      </c>
      <c r="L429" s="514">
        <f>VLOOKUP(I429,'Price List, Weapons &amp; Items'!A:D,4,0)</f>
        <v>0</v>
      </c>
      <c r="M429" s="515">
        <v>14000</v>
      </c>
      <c r="N429" s="515">
        <v>10000</v>
      </c>
      <c r="O429" s="516">
        <f>VLOOKUP($I429,'Price List, Weapons &amp; Items'!A:F,6,0)</f>
        <v>150</v>
      </c>
      <c r="P429" s="513">
        <f t="shared" si="95"/>
        <v>2100000</v>
      </c>
      <c r="Q429" s="513">
        <f t="shared" si="96"/>
        <v>1500000</v>
      </c>
      <c r="R429" s="513" t="str">
        <f t="shared" si="86"/>
        <v/>
      </c>
      <c r="S429" s="513" t="str">
        <f>IF(AND(AD429=1,R429&lt;&gt;".")=TRUE,R429/VLOOKUP(G429,'Exchange rates'!B:C,2,0),IF(R429=".",".",""))</f>
        <v/>
      </c>
      <c r="T429" s="513" t="str">
        <f>IF(AD429=1,IF(AF429="Value is not given at all",".",IF(AF429="Value is given by the source",S429,IF(AF429="Value is calculated with prices",(IF(SUMIFS(Q:Q,A:A,A429)&gt;0,SUMIFS(Q:Q,A:A,A429),"."))/VLOOKUP("USD",'Exchange rates'!B:C,2,0),"Error with coding"))),"")</f>
        <v/>
      </c>
      <c r="U429" s="39" t="s">
        <v>233</v>
      </c>
      <c r="V429" s="376" t="s">
        <v>1160</v>
      </c>
      <c r="W429" s="376" t="s">
        <v>1161</v>
      </c>
      <c r="X429" s="376" t="s">
        <v>1162</v>
      </c>
      <c r="Y429" s="376" t="s">
        <v>232</v>
      </c>
      <c r="Z429" s="39">
        <v>0</v>
      </c>
      <c r="AA429" s="518">
        <v>0</v>
      </c>
      <c r="AB429" s="395" t="s">
        <v>1161</v>
      </c>
      <c r="AC429" s="519" t="str">
        <f>""</f>
        <v/>
      </c>
      <c r="AD429" s="522">
        <v>0</v>
      </c>
      <c r="AE429" s="522" t="s">
        <v>236</v>
      </c>
      <c r="AF429" s="522" t="s">
        <v>237</v>
      </c>
      <c r="AG429" s="522">
        <v>0</v>
      </c>
      <c r="AH429" s="522">
        <v>0</v>
      </c>
      <c r="AI429" s="522">
        <v>0</v>
      </c>
      <c r="AJ429" s="520">
        <f>VLOOKUP($I429,'Price List, Weapons &amp; Items'!A:E,5,0)</f>
        <v>0</v>
      </c>
      <c r="AK429" s="520">
        <f t="shared" si="87"/>
        <v>0</v>
      </c>
      <c r="AL429" s="520">
        <f t="shared" si="88"/>
        <v>0</v>
      </c>
      <c r="AM429" s="520">
        <f t="shared" si="89"/>
        <v>0</v>
      </c>
      <c r="AN429" s="521" t="str">
        <f>VLOOKUP($I429,'Price List, Weapons &amp; Items'!A:K,COLUMN('Price List, Weapons &amp; Items'!$I$1),0)</f>
        <v>Miscellaneous</v>
      </c>
      <c r="AO429" s="521" t="str">
        <f>IF(I429=".",".",VLOOKUP($I429,'Price List, Weapons &amp; Items'!A:I,3,0))</f>
        <v>.</v>
      </c>
      <c r="AP429" s="517" t="str">
        <f t="shared" ca="1" si="94"/>
        <v/>
      </c>
      <c r="AQ429" s="521">
        <f>VLOOKUP($I429,'Price List, Weapons &amp; Items'!A:K,COLUMN('Price List, Weapons &amp; Items'!$K$1),0)</f>
        <v>0</v>
      </c>
      <c r="AS429" s="521">
        <f t="shared" si="90"/>
        <v>1</v>
      </c>
      <c r="AT429" s="521">
        <f t="shared" si="91"/>
        <v>1</v>
      </c>
      <c r="AU429" s="521" t="str">
        <f t="shared" si="92"/>
        <v>Value is not in date format</v>
      </c>
      <c r="AV429" s="521" t="str">
        <f t="shared" si="93"/>
        <v>.</v>
      </c>
    </row>
    <row r="430" spans="1:48" ht="15" customHeight="1">
      <c r="A430" s="18" t="s">
        <v>1156</v>
      </c>
      <c r="B430" s="18" t="s">
        <v>1136</v>
      </c>
      <c r="C430" s="511" t="s">
        <v>1163</v>
      </c>
      <c r="D430" s="18" t="s">
        <v>252</v>
      </c>
      <c r="E430" s="18" t="s">
        <v>1157</v>
      </c>
      <c r="F430" s="816" t="s">
        <v>1158</v>
      </c>
      <c r="G430" s="39" t="s">
        <v>332</v>
      </c>
      <c r="H430" s="523">
        <v>1540932933</v>
      </c>
      <c r="I430" s="524" t="s">
        <v>1260</v>
      </c>
      <c r="J430" s="276" t="str">
        <f>VLOOKUP($I430,'Price List, Weapons &amp; Items'!A:B,2,0)</f>
        <v>military equipment</v>
      </c>
      <c r="K430" s="276" t="str">
        <f>IF(I430=".",I430,VLOOKUP($I430,'Price List, Weapons &amp; Items'!A:C,3,0))</f>
        <v>spare parts</v>
      </c>
      <c r="L430" s="514">
        <f>VLOOKUP(I430,'Price List, Weapons &amp; Items'!A:D,4,0)</f>
        <v>0</v>
      </c>
      <c r="M430" s="515">
        <v>500</v>
      </c>
      <c r="N430" s="515">
        <v>500</v>
      </c>
      <c r="O430" s="516" t="str">
        <f>VLOOKUP($I430,'Price List, Weapons &amp; Items'!A:F,6,0)</f>
        <v>.</v>
      </c>
      <c r="P430" s="513" t="str">
        <f t="shared" si="95"/>
        <v>No price</v>
      </c>
      <c r="Q430" s="513" t="str">
        <f t="shared" si="96"/>
        <v>No price</v>
      </c>
      <c r="R430" s="513" t="str">
        <f t="shared" si="86"/>
        <v/>
      </c>
      <c r="S430" s="513" t="str">
        <f>IF(AND(AD430=1,R430&lt;&gt;".")=TRUE,R430/VLOOKUP(G430,'Exchange rates'!B:C,2,0),IF(R430=".",".",""))</f>
        <v/>
      </c>
      <c r="T430" s="513" t="str">
        <f>IF(AD430=1,IF(AF430="Value is not given at all",".",IF(AF430="Value is given by the source",S430,IF(AF430="Value is calculated with prices",(IF(SUMIFS(Q:Q,A:A,A430)&gt;0,SUMIFS(Q:Q,A:A,A430),"."))/VLOOKUP("USD",'Exchange rates'!B:C,2,0),"Error with coding"))),"")</f>
        <v/>
      </c>
      <c r="U430" s="39" t="s">
        <v>233</v>
      </c>
      <c r="V430" s="376" t="s">
        <v>1160</v>
      </c>
      <c r="W430" s="376" t="s">
        <v>1161</v>
      </c>
      <c r="X430" s="376" t="s">
        <v>1162</v>
      </c>
      <c r="Y430" s="376" t="s">
        <v>232</v>
      </c>
      <c r="Z430" s="39">
        <v>0</v>
      </c>
      <c r="AA430" s="518">
        <v>0</v>
      </c>
      <c r="AB430" s="395" t="s">
        <v>1161</v>
      </c>
      <c r="AC430" s="519" t="str">
        <f>""</f>
        <v/>
      </c>
      <c r="AD430" s="522">
        <v>0</v>
      </c>
      <c r="AE430" s="522" t="s">
        <v>236</v>
      </c>
      <c r="AF430" s="522" t="s">
        <v>237</v>
      </c>
      <c r="AG430" s="522">
        <v>0</v>
      </c>
      <c r="AH430" s="522">
        <v>0</v>
      </c>
      <c r="AI430" s="522">
        <v>0</v>
      </c>
      <c r="AJ430" s="520">
        <f>VLOOKUP($I430,'Price List, Weapons &amp; Items'!A:E,5,0)</f>
        <v>0</v>
      </c>
      <c r="AK430" s="520">
        <f t="shared" si="87"/>
        <v>0</v>
      </c>
      <c r="AL430" s="520">
        <f t="shared" si="88"/>
        <v>0</v>
      </c>
      <c r="AM430" s="520">
        <f t="shared" si="89"/>
        <v>0</v>
      </c>
      <c r="AN430" s="521" t="str">
        <f>VLOOKUP($I430,'Price List, Weapons &amp; Items'!A:K,COLUMN('Price List, Weapons &amp; Items'!$I$1),0)</f>
        <v>.</v>
      </c>
      <c r="AO430" s="521" t="str">
        <f>IF(I430=".",".",VLOOKUP($I430,'Price List, Weapons &amp; Items'!A:I,3,0))</f>
        <v>spare parts</v>
      </c>
      <c r="AP430" s="517" t="str">
        <f t="shared" ca="1" si="94"/>
        <v/>
      </c>
      <c r="AQ430" s="521">
        <f>VLOOKUP($I430,'Price List, Weapons &amp; Items'!A:K,COLUMN('Price List, Weapons &amp; Items'!$K$1),0)</f>
        <v>0</v>
      </c>
      <c r="AS430" s="521">
        <f t="shared" si="90"/>
        <v>1</v>
      </c>
      <c r="AT430" s="521">
        <f t="shared" si="91"/>
        <v>1</v>
      </c>
      <c r="AU430" s="521" t="str">
        <f t="shared" si="92"/>
        <v>Value is not in date format</v>
      </c>
      <c r="AV430" s="521" t="str">
        <f t="shared" si="93"/>
        <v>.</v>
      </c>
    </row>
    <row r="431" spans="1:48" ht="15" customHeight="1">
      <c r="A431" s="18" t="s">
        <v>1156</v>
      </c>
      <c r="B431" s="18" t="s">
        <v>1136</v>
      </c>
      <c r="C431" s="511" t="s">
        <v>1163</v>
      </c>
      <c r="D431" s="18" t="s">
        <v>252</v>
      </c>
      <c r="E431" s="18" t="s">
        <v>1157</v>
      </c>
      <c r="F431" s="816" t="s">
        <v>1158</v>
      </c>
      <c r="G431" s="39" t="s">
        <v>332</v>
      </c>
      <c r="H431" s="523">
        <v>1540932933</v>
      </c>
      <c r="I431" s="524" t="s">
        <v>1261</v>
      </c>
      <c r="J431" s="276" t="str">
        <f>VLOOKUP($I431,'Price List, Weapons &amp; Items'!A:B,2,0)</f>
        <v>military equipment</v>
      </c>
      <c r="K431" s="276" t="str">
        <f>IF(I431=".",I431,VLOOKUP($I431,'Price List, Weapons &amp; Items'!A:C,3,0))</f>
        <v>spare parts</v>
      </c>
      <c r="L431" s="514">
        <f>VLOOKUP(I431,'Price List, Weapons &amp; Items'!A:D,4,0)</f>
        <v>0</v>
      </c>
      <c r="M431" s="515" t="s">
        <v>264</v>
      </c>
      <c r="N431" s="515" t="s">
        <v>264</v>
      </c>
      <c r="O431" s="516" t="str">
        <f>VLOOKUP($I431,'Price List, Weapons &amp; Items'!A:F,6,0)</f>
        <v>.</v>
      </c>
      <c r="P431" s="513" t="str">
        <f t="shared" si="95"/>
        <v>.</v>
      </c>
      <c r="Q431" s="513" t="str">
        <f t="shared" si="96"/>
        <v>.</v>
      </c>
      <c r="R431" s="513" t="str">
        <f t="shared" si="86"/>
        <v/>
      </c>
      <c r="S431" s="513" t="str">
        <f>IF(AND(AD431=1,R431&lt;&gt;".")=TRUE,R431/VLOOKUP(G431,'Exchange rates'!B:C,2,0),IF(R431=".",".",""))</f>
        <v/>
      </c>
      <c r="T431" s="513" t="str">
        <f>IF(AD431=1,IF(AF431="Value is not given at all",".",IF(AF431="Value is given by the source",S431,IF(AF431="Value is calculated with prices",(IF(SUMIFS(Q:Q,A:A,A431)&gt;0,SUMIFS(Q:Q,A:A,A431),"."))/VLOOKUP("USD",'Exchange rates'!B:C,2,0),"Error with coding"))),"")</f>
        <v/>
      </c>
      <c r="U431" s="39" t="s">
        <v>233</v>
      </c>
      <c r="V431" s="376" t="s">
        <v>1160</v>
      </c>
      <c r="W431" s="376" t="s">
        <v>1161</v>
      </c>
      <c r="X431" s="376" t="s">
        <v>1162</v>
      </c>
      <c r="Y431" s="376" t="s">
        <v>232</v>
      </c>
      <c r="Z431" s="39">
        <v>0</v>
      </c>
      <c r="AA431" s="518">
        <v>0</v>
      </c>
      <c r="AB431" s="395" t="s">
        <v>1161</v>
      </c>
      <c r="AC431" s="519" t="str">
        <f>""</f>
        <v/>
      </c>
      <c r="AD431" s="522">
        <v>0</v>
      </c>
      <c r="AE431" s="522" t="s">
        <v>236</v>
      </c>
      <c r="AF431" s="522" t="s">
        <v>237</v>
      </c>
      <c r="AG431" s="522">
        <v>0</v>
      </c>
      <c r="AH431" s="522">
        <v>0</v>
      </c>
      <c r="AI431" s="522">
        <v>0</v>
      </c>
      <c r="AJ431" s="520">
        <f>VLOOKUP($I431,'Price List, Weapons &amp; Items'!A:E,5,0)</f>
        <v>0</v>
      </c>
      <c r="AK431" s="520">
        <f t="shared" si="87"/>
        <v>0</v>
      </c>
      <c r="AL431" s="520">
        <f t="shared" si="88"/>
        <v>0</v>
      </c>
      <c r="AM431" s="520">
        <f t="shared" si="89"/>
        <v>0</v>
      </c>
      <c r="AN431" s="521" t="str">
        <f>VLOOKUP($I431,'Price List, Weapons &amp; Items'!A:K,COLUMN('Price List, Weapons &amp; Items'!$I$1),0)</f>
        <v>.</v>
      </c>
      <c r="AO431" s="521" t="str">
        <f>IF(I431=".",".",VLOOKUP($I431,'Price List, Weapons &amp; Items'!A:I,3,0))</f>
        <v>spare parts</v>
      </c>
      <c r="AP431" s="517" t="str">
        <f t="shared" ca="1" si="94"/>
        <v/>
      </c>
      <c r="AQ431" s="521" t="str">
        <f>VLOOKUP($I431,'Price List, Weapons &amp; Items'!A:K,COLUMN('Price List, Weapons &amp; Items'!$K$1),0)</f>
        <v>no price, 0 count</v>
      </c>
      <c r="AS431" s="521">
        <f t="shared" si="90"/>
        <v>1</v>
      </c>
      <c r="AT431" s="521">
        <f t="shared" si="91"/>
        <v>1</v>
      </c>
      <c r="AU431" s="521" t="str">
        <f t="shared" si="92"/>
        <v>Value is not in date format</v>
      </c>
      <c r="AV431" s="521" t="str">
        <f t="shared" si="93"/>
        <v>.</v>
      </c>
    </row>
    <row r="432" spans="1:48" ht="15" customHeight="1">
      <c r="A432" s="18" t="s">
        <v>1156</v>
      </c>
      <c r="B432" s="18" t="s">
        <v>1136</v>
      </c>
      <c r="C432" s="511" t="s">
        <v>1163</v>
      </c>
      <c r="D432" s="18" t="s">
        <v>252</v>
      </c>
      <c r="E432" s="18" t="s">
        <v>1157</v>
      </c>
      <c r="F432" s="816" t="s">
        <v>1158</v>
      </c>
      <c r="G432" s="39" t="s">
        <v>332</v>
      </c>
      <c r="H432" s="523">
        <v>1540932933</v>
      </c>
      <c r="I432" s="524" t="s">
        <v>803</v>
      </c>
      <c r="J432" s="276" t="str">
        <f>VLOOKUP($I432,'Price List, Weapons &amp; Items'!A:B,2,0)</f>
        <v>Portable defence system</v>
      </c>
      <c r="K432" s="276" t="str">
        <f>IF(I432=".",I432,VLOOKUP($I432,'Price List, Weapons &amp; Items'!A:C,3,0))</f>
        <v>MANPADS</v>
      </c>
      <c r="L432" s="514">
        <f>VLOOKUP(I432,'Price List, Weapons &amp; Items'!A:D,4,0)</f>
        <v>0</v>
      </c>
      <c r="M432" s="515">
        <v>500</v>
      </c>
      <c r="N432" s="515">
        <v>500</v>
      </c>
      <c r="O432" s="516">
        <f>VLOOKUP($I432,'Price List, Weapons &amp; Items'!A:F,6,0)</f>
        <v>119000</v>
      </c>
      <c r="P432" s="513">
        <f t="shared" si="95"/>
        <v>59500000</v>
      </c>
      <c r="Q432" s="513">
        <f t="shared" si="96"/>
        <v>59500000</v>
      </c>
      <c r="R432" s="513" t="str">
        <f t="shared" si="86"/>
        <v/>
      </c>
      <c r="S432" s="513" t="str">
        <f>IF(AND(AD432=1,R432&lt;&gt;".")=TRUE,R432/VLOOKUP(G432,'Exchange rates'!B:C,2,0),IF(R432=".",".",""))</f>
        <v/>
      </c>
      <c r="T432" s="513" t="str">
        <f>IF(AD432=1,IF(AF432="Value is not given at all",".",IF(AF432="Value is given by the source",S432,IF(AF432="Value is calculated with prices",(IF(SUMIFS(Q:Q,A:A,A432)&gt;0,SUMIFS(Q:Q,A:A,A432),"."))/VLOOKUP("USD",'Exchange rates'!B:C,2,0),"Error with coding"))),"")</f>
        <v/>
      </c>
      <c r="U432" s="39" t="s">
        <v>233</v>
      </c>
      <c r="V432" s="376" t="s">
        <v>1160</v>
      </c>
      <c r="W432" s="376" t="s">
        <v>1161</v>
      </c>
      <c r="X432" s="376" t="s">
        <v>1162</v>
      </c>
      <c r="Y432" s="376" t="s">
        <v>232</v>
      </c>
      <c r="Z432" s="39">
        <v>0</v>
      </c>
      <c r="AA432" s="518">
        <v>0</v>
      </c>
      <c r="AB432" s="395" t="s">
        <v>1161</v>
      </c>
      <c r="AC432" s="519" t="str">
        <f>""</f>
        <v/>
      </c>
      <c r="AD432" s="522">
        <v>0</v>
      </c>
      <c r="AE432" s="522" t="s">
        <v>236</v>
      </c>
      <c r="AF432" s="522" t="s">
        <v>237</v>
      </c>
      <c r="AG432" s="522">
        <v>0</v>
      </c>
      <c r="AH432" s="522">
        <v>0</v>
      </c>
      <c r="AI432" s="522">
        <v>0</v>
      </c>
      <c r="AJ432" s="520">
        <f>VLOOKUP($I432,'Price List, Weapons &amp; Items'!A:E,5,0)</f>
        <v>0</v>
      </c>
      <c r="AK432" s="520">
        <f t="shared" si="87"/>
        <v>0</v>
      </c>
      <c r="AL432" s="520">
        <f t="shared" si="88"/>
        <v>0</v>
      </c>
      <c r="AM432" s="520">
        <f t="shared" si="89"/>
        <v>0</v>
      </c>
      <c r="AN432" s="521" t="str">
        <f>VLOOKUP($I432,'Price List, Weapons &amp; Items'!A:K,COLUMN('Price List, Weapons &amp; Items'!$I$1),0)</f>
        <v>Miscellaneous</v>
      </c>
      <c r="AO432" s="521" t="str">
        <f>IF(I432=".",".",VLOOKUP($I432,'Price List, Weapons &amp; Items'!A:I,3,0))</f>
        <v>MANPADS</v>
      </c>
      <c r="AP432" s="517" t="str">
        <f t="shared" ca="1" si="94"/>
        <v/>
      </c>
      <c r="AQ432" s="521">
        <f>VLOOKUP($I432,'Price List, Weapons &amp; Items'!A:K,COLUMN('Price List, Weapons &amp; Items'!$K$1),0)</f>
        <v>2</v>
      </c>
      <c r="AS432" s="521">
        <f t="shared" si="90"/>
        <v>1</v>
      </c>
      <c r="AT432" s="521">
        <f t="shared" si="91"/>
        <v>1</v>
      </c>
      <c r="AU432" s="521" t="str">
        <f t="shared" si="92"/>
        <v>Value is not in date format</v>
      </c>
      <c r="AV432" s="521" t="str">
        <f t="shared" si="93"/>
        <v>.</v>
      </c>
    </row>
    <row r="433" spans="1:48" ht="15" customHeight="1">
      <c r="A433" s="18" t="s">
        <v>1156</v>
      </c>
      <c r="B433" s="18" t="s">
        <v>1136</v>
      </c>
      <c r="C433" s="511" t="s">
        <v>1163</v>
      </c>
      <c r="D433" s="18" t="s">
        <v>252</v>
      </c>
      <c r="E433" s="18" t="s">
        <v>1157</v>
      </c>
      <c r="F433" s="816" t="s">
        <v>1158</v>
      </c>
      <c r="G433" s="39" t="s">
        <v>332</v>
      </c>
      <c r="H433" s="523">
        <v>1540932933</v>
      </c>
      <c r="I433" s="524" t="s">
        <v>1262</v>
      </c>
      <c r="J433" s="276" t="str">
        <f>VLOOKUP($I433,'Price List, Weapons &amp; Items'!A:B,2,0)</f>
        <v>Portable defence system</v>
      </c>
      <c r="K433" s="276" t="str">
        <f>IF(I433=".",I433,VLOOKUP($I433,'Price List, Weapons &amp; Items'!A:C,3,0))</f>
        <v>Light Anti-armor Weapon (LAW)</v>
      </c>
      <c r="L433" s="514">
        <f>VLOOKUP(I433,'Price List, Weapons &amp; Items'!A:D,4,0)</f>
        <v>0</v>
      </c>
      <c r="M433" s="515">
        <v>2700</v>
      </c>
      <c r="N433" s="515">
        <v>2700</v>
      </c>
      <c r="O433" s="516">
        <f>VLOOKUP($I433,'Price List, Weapons &amp; Items'!A:F,6,0)</f>
        <v>120000</v>
      </c>
      <c r="P433" s="513">
        <f t="shared" si="95"/>
        <v>324000000</v>
      </c>
      <c r="Q433" s="513">
        <f t="shared" si="96"/>
        <v>324000000</v>
      </c>
      <c r="R433" s="513" t="str">
        <f t="shared" si="86"/>
        <v/>
      </c>
      <c r="S433" s="513" t="str">
        <f>IF(AND(AD433=1,R433&lt;&gt;".")=TRUE,R433/VLOOKUP(G433,'Exchange rates'!B:C,2,0),IF(R433=".",".",""))</f>
        <v/>
      </c>
      <c r="T433" s="513" t="str">
        <f>IF(AD433=1,IF(AF433="Value is not given at all",".",IF(AF433="Value is given by the source",S433,IF(AF433="Value is calculated with prices",(IF(SUMIFS(Q:Q,A:A,A433)&gt;0,SUMIFS(Q:Q,A:A,A433),"."))/VLOOKUP("USD",'Exchange rates'!B:C,2,0),"Error with coding"))),"")</f>
        <v/>
      </c>
      <c r="U433" s="39" t="s">
        <v>233</v>
      </c>
      <c r="V433" s="376" t="s">
        <v>1160</v>
      </c>
      <c r="W433" s="376" t="s">
        <v>1161</v>
      </c>
      <c r="X433" s="376" t="s">
        <v>1162</v>
      </c>
      <c r="Y433" s="376" t="s">
        <v>232</v>
      </c>
      <c r="Z433" s="39">
        <v>0</v>
      </c>
      <c r="AA433" s="518">
        <v>1</v>
      </c>
      <c r="AB433" s="395" t="s">
        <v>1161</v>
      </c>
      <c r="AC433" s="519" t="str">
        <f>""</f>
        <v/>
      </c>
      <c r="AD433" s="522">
        <v>0</v>
      </c>
      <c r="AE433" s="522" t="s">
        <v>236</v>
      </c>
      <c r="AF433" s="522" t="s">
        <v>237</v>
      </c>
      <c r="AG433" s="522">
        <v>0</v>
      </c>
      <c r="AH433" s="522">
        <v>0</v>
      </c>
      <c r="AI433" s="522">
        <v>0</v>
      </c>
      <c r="AJ433" s="520">
        <f>VLOOKUP($I433,'Price List, Weapons &amp; Items'!A:E,5,0)</f>
        <v>1</v>
      </c>
      <c r="AK433" s="520">
        <f t="shared" si="87"/>
        <v>0</v>
      </c>
      <c r="AL433" s="520">
        <f t="shared" si="88"/>
        <v>0</v>
      </c>
      <c r="AM433" s="520">
        <f t="shared" si="89"/>
        <v>0</v>
      </c>
      <c r="AN433" s="521" t="str">
        <f>VLOOKUP($I433,'Price List, Weapons &amp; Items'!A:K,COLUMN('Price List, Weapons &amp; Items'!$I$1),0)</f>
        <v>.</v>
      </c>
      <c r="AO433" s="521" t="str">
        <f>IF(I433=".",".",VLOOKUP($I433,'Price List, Weapons &amp; Items'!A:I,3,0))</f>
        <v>Light Anti-armor Weapon (LAW)</v>
      </c>
      <c r="AP433" s="517" t="str">
        <f t="shared" ca="1" si="94"/>
        <v/>
      </c>
      <c r="AQ433" s="521">
        <f>VLOOKUP($I433,'Price List, Weapons &amp; Items'!A:K,COLUMN('Price List, Weapons &amp; Items'!$K$1),0)</f>
        <v>2</v>
      </c>
      <c r="AS433" s="521">
        <f t="shared" si="90"/>
        <v>1</v>
      </c>
      <c r="AT433" s="521">
        <f t="shared" si="91"/>
        <v>1</v>
      </c>
      <c r="AU433" s="521" t="str">
        <f t="shared" si="92"/>
        <v>Value is not in date format</v>
      </c>
      <c r="AV433" s="521" t="str">
        <f t="shared" si="93"/>
        <v>.</v>
      </c>
    </row>
    <row r="434" spans="1:48" ht="15" customHeight="1">
      <c r="A434" s="18" t="s">
        <v>1156</v>
      </c>
      <c r="B434" s="18" t="s">
        <v>1136</v>
      </c>
      <c r="C434" s="511" t="s">
        <v>1163</v>
      </c>
      <c r="D434" s="18" t="s">
        <v>252</v>
      </c>
      <c r="E434" s="18" t="s">
        <v>1157</v>
      </c>
      <c r="F434" s="816" t="s">
        <v>1158</v>
      </c>
      <c r="G434" s="39" t="s">
        <v>332</v>
      </c>
      <c r="H434" s="523">
        <v>1540932933</v>
      </c>
      <c r="I434" s="524" t="s">
        <v>1263</v>
      </c>
      <c r="J434" s="276" t="str">
        <f>VLOOKUP($I434,'Price List, Weapons &amp; Items'!A:B,2,0)</f>
        <v>Military equipment</v>
      </c>
      <c r="K434" s="276" t="str">
        <f>IF(I434=".",I434,VLOOKUP($I434,'Price List, Weapons &amp; Items'!A:C,3,0))</f>
        <v>.</v>
      </c>
      <c r="L434" s="514">
        <f>VLOOKUP(I434,'Price List, Weapons &amp; Items'!A:D,4,0)</f>
        <v>0</v>
      </c>
      <c r="M434" s="515">
        <v>60</v>
      </c>
      <c r="N434" s="515">
        <v>60</v>
      </c>
      <c r="O434" s="516">
        <f>VLOOKUP($I434,'Price List, Weapons &amp; Items'!A:F,6,0)</f>
        <v>19500</v>
      </c>
      <c r="P434" s="513">
        <f t="shared" si="95"/>
        <v>1170000</v>
      </c>
      <c r="Q434" s="513">
        <f t="shared" si="96"/>
        <v>1170000</v>
      </c>
      <c r="R434" s="513" t="str">
        <f t="shared" si="86"/>
        <v/>
      </c>
      <c r="S434" s="513" t="str">
        <f>IF(AND(AD434=1,R434&lt;&gt;".")=TRUE,R434/VLOOKUP(G434,'Exchange rates'!B:C,2,0),IF(R434=".",".",""))</f>
        <v/>
      </c>
      <c r="T434" s="513" t="str">
        <f>IF(AD434=1,IF(AF434="Value is not given at all",".",IF(AF434="Value is given by the source",S434,IF(AF434="Value is calculated with prices",(IF(SUMIFS(Q:Q,A:A,A434)&gt;0,SUMIFS(Q:Q,A:A,A434),"."))/VLOOKUP("USD",'Exchange rates'!B:C,2,0),"Error with coding"))),"")</f>
        <v/>
      </c>
      <c r="U434" s="39" t="s">
        <v>233</v>
      </c>
      <c r="V434" s="376" t="s">
        <v>1160</v>
      </c>
      <c r="W434" s="376" t="s">
        <v>1161</v>
      </c>
      <c r="X434" s="376" t="s">
        <v>1162</v>
      </c>
      <c r="Y434" s="376" t="s">
        <v>232</v>
      </c>
      <c r="Z434" s="39">
        <v>0</v>
      </c>
      <c r="AA434" s="518">
        <v>0</v>
      </c>
      <c r="AB434" s="395" t="s">
        <v>1161</v>
      </c>
      <c r="AC434" s="519" t="str">
        <f>""</f>
        <v/>
      </c>
      <c r="AD434" s="522">
        <v>0</v>
      </c>
      <c r="AE434" s="522" t="s">
        <v>236</v>
      </c>
      <c r="AF434" s="522" t="s">
        <v>237</v>
      </c>
      <c r="AG434" s="522">
        <v>0</v>
      </c>
      <c r="AH434" s="522">
        <v>0</v>
      </c>
      <c r="AI434" s="522">
        <v>0</v>
      </c>
      <c r="AJ434" s="520">
        <f>VLOOKUP($I434,'Price List, Weapons &amp; Items'!A:E,5,0)</f>
        <v>0</v>
      </c>
      <c r="AK434" s="520">
        <f t="shared" si="87"/>
        <v>0</v>
      </c>
      <c r="AL434" s="520">
        <f t="shared" si="88"/>
        <v>0</v>
      </c>
      <c r="AM434" s="520">
        <f t="shared" si="89"/>
        <v>0</v>
      </c>
      <c r="AN434" s="521" t="str">
        <f>VLOOKUP($I434,'Price List, Weapons &amp; Items'!A:K,COLUMN('Price List, Weapons &amp; Items'!$I$1),0)</f>
        <v>Government information</v>
      </c>
      <c r="AO434" s="521" t="str">
        <f>IF(I434=".",".",VLOOKUP($I434,'Price List, Weapons &amp; Items'!A:I,3,0))</f>
        <v>.</v>
      </c>
      <c r="AP434" s="517" t="str">
        <f t="shared" ca="1" si="94"/>
        <v/>
      </c>
      <c r="AQ434" s="521">
        <f>VLOOKUP($I434,'Price List, Weapons &amp; Items'!A:K,COLUMN('Price List, Weapons &amp; Items'!$K$1),0)</f>
        <v>2</v>
      </c>
      <c r="AS434" s="521">
        <f t="shared" si="90"/>
        <v>1</v>
      </c>
      <c r="AT434" s="521">
        <f t="shared" si="91"/>
        <v>1</v>
      </c>
      <c r="AU434" s="521" t="str">
        <f t="shared" si="92"/>
        <v>Value is not in date format</v>
      </c>
      <c r="AV434" s="521" t="str">
        <f t="shared" si="93"/>
        <v>.</v>
      </c>
    </row>
    <row r="435" spans="1:48" ht="15" customHeight="1">
      <c r="A435" s="18" t="s">
        <v>1156</v>
      </c>
      <c r="B435" s="18" t="s">
        <v>1136</v>
      </c>
      <c r="C435" s="511" t="s">
        <v>1163</v>
      </c>
      <c r="D435" s="18" t="s">
        <v>252</v>
      </c>
      <c r="E435" s="18" t="s">
        <v>1157</v>
      </c>
      <c r="F435" s="816" t="s">
        <v>1158</v>
      </c>
      <c r="G435" s="39" t="s">
        <v>332</v>
      </c>
      <c r="H435" s="523">
        <v>1540932933</v>
      </c>
      <c r="I435" s="524" t="s">
        <v>1264</v>
      </c>
      <c r="J435" s="276" t="str">
        <f>VLOOKUP($I435,'Price List, Weapons &amp; Items'!A:B,2,0)</f>
        <v>Humanitarian</v>
      </c>
      <c r="K435" s="276" t="str">
        <f>IF(I435=".",I435,VLOOKUP($I435,'Price List, Weapons &amp; Items'!A:C,3,0))</f>
        <v>.</v>
      </c>
      <c r="L435" s="514">
        <f>VLOOKUP(I435,'Price List, Weapons &amp; Items'!A:D,4,0)</f>
        <v>0</v>
      </c>
      <c r="M435" s="515" t="s">
        <v>264</v>
      </c>
      <c r="N435" s="515" t="s">
        <v>264</v>
      </c>
      <c r="O435" s="516">
        <f>VLOOKUP($I435,'Price List, Weapons &amp; Items'!A:F,6,0)</f>
        <v>0.24</v>
      </c>
      <c r="P435" s="513" t="str">
        <f t="shared" si="95"/>
        <v>.</v>
      </c>
      <c r="Q435" s="513" t="str">
        <f t="shared" si="96"/>
        <v>.</v>
      </c>
      <c r="R435" s="513" t="str">
        <f t="shared" si="86"/>
        <v/>
      </c>
      <c r="S435" s="513" t="str">
        <f>IF(AND(AD435=1,R435&lt;&gt;".")=TRUE,R435/VLOOKUP(G435,'Exchange rates'!B:C,2,0),IF(R435=".",".",""))</f>
        <v/>
      </c>
      <c r="T435" s="513" t="str">
        <f>IF(AD435=1,IF(AF435="Value is not given at all",".",IF(AF435="Value is given by the source",S435,IF(AF435="Value is calculated with prices",(IF(SUMIFS(Q:Q,A:A,A435)&gt;0,SUMIFS(Q:Q,A:A,A435),"."))/VLOOKUP("USD",'Exchange rates'!B:C,2,0),"Error with coding"))),"")</f>
        <v/>
      </c>
      <c r="U435" s="39" t="s">
        <v>233</v>
      </c>
      <c r="V435" s="376" t="s">
        <v>1160</v>
      </c>
      <c r="W435" s="376" t="s">
        <v>1161</v>
      </c>
      <c r="X435" s="376" t="s">
        <v>1162</v>
      </c>
      <c r="Y435" s="376" t="s">
        <v>232</v>
      </c>
      <c r="Z435" s="39">
        <v>0</v>
      </c>
      <c r="AA435" s="518">
        <v>0</v>
      </c>
      <c r="AB435" s="395" t="s">
        <v>1161</v>
      </c>
      <c r="AC435" s="519" t="str">
        <f>""</f>
        <v/>
      </c>
      <c r="AD435" s="522">
        <v>0</v>
      </c>
      <c r="AE435" s="522" t="s">
        <v>236</v>
      </c>
      <c r="AF435" s="522" t="s">
        <v>237</v>
      </c>
      <c r="AG435" s="522">
        <v>0</v>
      </c>
      <c r="AH435" s="522">
        <v>0</v>
      </c>
      <c r="AI435" s="522">
        <v>0</v>
      </c>
      <c r="AJ435" s="520">
        <f>VLOOKUP($I435,'Price List, Weapons &amp; Items'!A:E,5,0)</f>
        <v>0</v>
      </c>
      <c r="AK435" s="520">
        <f t="shared" si="87"/>
        <v>0</v>
      </c>
      <c r="AL435" s="520">
        <f t="shared" si="88"/>
        <v>0</v>
      </c>
      <c r="AM435" s="520">
        <f t="shared" si="89"/>
        <v>0</v>
      </c>
      <c r="AN435" s="521" t="str">
        <f>VLOOKUP($I435,'Price List, Weapons &amp; Items'!A:K,COLUMN('Price List, Weapons &amp; Items'!$I$1),0)</f>
        <v>Online marketplaces and stores</v>
      </c>
      <c r="AO435" s="521" t="str">
        <f>IF(I435=".",".",VLOOKUP($I435,'Price List, Weapons &amp; Items'!A:I,3,0))</f>
        <v>.</v>
      </c>
      <c r="AP435" s="517" t="str">
        <f t="shared" ca="1" si="94"/>
        <v/>
      </c>
      <c r="AQ435" s="521">
        <f>VLOOKUP($I435,'Price List, Weapons &amp; Items'!A:K,COLUMN('Price List, Weapons &amp; Items'!$K$1),0)</f>
        <v>0</v>
      </c>
      <c r="AS435" s="521">
        <f t="shared" si="90"/>
        <v>1</v>
      </c>
      <c r="AT435" s="521">
        <f t="shared" si="91"/>
        <v>1</v>
      </c>
      <c r="AU435" s="521" t="str">
        <f t="shared" si="92"/>
        <v>Value is not in date format</v>
      </c>
      <c r="AV435" s="521" t="str">
        <f t="shared" si="93"/>
        <v>.</v>
      </c>
    </row>
    <row r="436" spans="1:48" ht="15" customHeight="1">
      <c r="A436" s="18" t="s">
        <v>1156</v>
      </c>
      <c r="B436" s="18" t="s">
        <v>1136</v>
      </c>
      <c r="C436" s="511" t="s">
        <v>1163</v>
      </c>
      <c r="D436" s="18" t="s">
        <v>252</v>
      </c>
      <c r="E436" s="18" t="s">
        <v>1157</v>
      </c>
      <c r="F436" s="816" t="s">
        <v>1158</v>
      </c>
      <c r="G436" s="39" t="s">
        <v>332</v>
      </c>
      <c r="H436" s="523">
        <v>1540932933</v>
      </c>
      <c r="I436" s="524" t="s">
        <v>1265</v>
      </c>
      <c r="J436" s="276" t="str">
        <f>VLOOKUP($I436,'Price List, Weapons &amp; Items'!A:B,2,0)</f>
        <v>Military equipment</v>
      </c>
      <c r="K436" s="276" t="str">
        <f>IF(I436=".",I436,VLOOKUP($I436,'Price List, Weapons &amp; Items'!A:C,3,0))</f>
        <v>Armoured Utility Vehicle (AUV)</v>
      </c>
      <c r="L436" s="514">
        <f>VLOOKUP(I436,'Price List, Weapons &amp; Items'!A:D,4,0)</f>
        <v>0</v>
      </c>
      <c r="M436" s="515">
        <v>12</v>
      </c>
      <c r="N436" s="515">
        <v>10</v>
      </c>
      <c r="O436" s="516">
        <f>VLOOKUP($I436,'Price List, Weapons &amp; Items'!A:F,6,0)</f>
        <v>94550</v>
      </c>
      <c r="P436" s="513">
        <f t="shared" si="95"/>
        <v>1134600</v>
      </c>
      <c r="Q436" s="513">
        <f t="shared" si="96"/>
        <v>945500</v>
      </c>
      <c r="R436" s="513" t="str">
        <f t="shared" si="86"/>
        <v/>
      </c>
      <c r="S436" s="513" t="str">
        <f>IF(AND(AD436=1,R436&lt;&gt;".")=TRUE,R436/VLOOKUP(G436,'Exchange rates'!B:C,2,0),IF(R436=".",".",""))</f>
        <v/>
      </c>
      <c r="T436" s="513" t="str">
        <f>IF(AD436=1,IF(AF436="Value is not given at all",".",IF(AF436="Value is given by the source",S436,IF(AF436="Value is calculated with prices",(IF(SUMIFS(Q:Q,A:A,A436)&gt;0,SUMIFS(Q:Q,A:A,A436),"."))/VLOOKUP("USD",'Exchange rates'!B:C,2,0),"Error with coding"))),"")</f>
        <v/>
      </c>
      <c r="U436" s="39" t="s">
        <v>233</v>
      </c>
      <c r="V436" s="376" t="s">
        <v>1160</v>
      </c>
      <c r="W436" s="376" t="s">
        <v>1161</v>
      </c>
      <c r="X436" s="376" t="s">
        <v>1162</v>
      </c>
      <c r="Y436" s="376" t="s">
        <v>232</v>
      </c>
      <c r="Z436" s="39">
        <v>0</v>
      </c>
      <c r="AA436" s="518">
        <v>1</v>
      </c>
      <c r="AB436" s="395" t="s">
        <v>1161</v>
      </c>
      <c r="AC436" s="519" t="str">
        <f>""</f>
        <v/>
      </c>
      <c r="AD436" s="522">
        <v>0</v>
      </c>
      <c r="AE436" s="522" t="s">
        <v>236</v>
      </c>
      <c r="AF436" s="522" t="s">
        <v>237</v>
      </c>
      <c r="AG436" s="522">
        <v>1</v>
      </c>
      <c r="AH436" s="520">
        <v>6</v>
      </c>
      <c r="AI436" s="520">
        <v>0</v>
      </c>
      <c r="AJ436" s="520">
        <f>VLOOKUP($I436,'Price List, Weapons &amp; Items'!A:E,5,0)</f>
        <v>1</v>
      </c>
      <c r="AK436" s="520">
        <f t="shared" si="87"/>
        <v>0</v>
      </c>
      <c r="AL436" s="520">
        <f t="shared" si="88"/>
        <v>0</v>
      </c>
      <c r="AM436" s="520">
        <f t="shared" si="89"/>
        <v>0</v>
      </c>
      <c r="AN436" s="521" t="str">
        <f>VLOOKUP($I436,'Price List, Weapons &amp; Items'!A:K,COLUMN('Price List, Weapons &amp; Items'!$I$1),0)</f>
        <v>Online marketplaces and stores</v>
      </c>
      <c r="AO436" s="521" t="str">
        <f>IF(I436=".",".",VLOOKUP($I436,'Price List, Weapons &amp; Items'!A:I,3,0))</f>
        <v>Armoured Utility Vehicle (AUV)</v>
      </c>
      <c r="AP436" s="517" t="str">
        <f t="shared" ca="1" si="94"/>
        <v/>
      </c>
      <c r="AQ436" s="521">
        <f>VLOOKUP($I436,'Price List, Weapons &amp; Items'!A:K,COLUMN('Price List, Weapons &amp; Items'!$K$1),0)</f>
        <v>2</v>
      </c>
      <c r="AS436" s="521">
        <f t="shared" si="90"/>
        <v>1</v>
      </c>
      <c r="AT436" s="521">
        <f t="shared" si="91"/>
        <v>1</v>
      </c>
      <c r="AU436" s="521" t="str">
        <f t="shared" si="92"/>
        <v>Value is not in date format</v>
      </c>
      <c r="AV436" s="521" t="str">
        <f t="shared" si="93"/>
        <v>.</v>
      </c>
    </row>
    <row r="437" spans="1:48" ht="15" customHeight="1">
      <c r="A437" s="18" t="s">
        <v>1156</v>
      </c>
      <c r="B437" s="18" t="s">
        <v>1136</v>
      </c>
      <c r="C437" s="511" t="s">
        <v>1163</v>
      </c>
      <c r="D437" s="18" t="s">
        <v>252</v>
      </c>
      <c r="E437" s="18" t="s">
        <v>1157</v>
      </c>
      <c r="F437" s="816" t="s">
        <v>1158</v>
      </c>
      <c r="G437" s="39" t="s">
        <v>332</v>
      </c>
      <c r="H437" s="523">
        <v>1540932933</v>
      </c>
      <c r="I437" s="524" t="s">
        <v>1266</v>
      </c>
      <c r="J437" s="276" t="str">
        <f>VLOOKUP($I437,'Price List, Weapons &amp; Items'!A:B,2,0)</f>
        <v>Military equipment</v>
      </c>
      <c r="K437" s="276" t="str">
        <f>IF(I437=".",I437,VLOOKUP($I437,'Price List, Weapons &amp; Items'!A:C,3,0))</f>
        <v>.</v>
      </c>
      <c r="L437" s="514">
        <f>VLOOKUP(I437,'Price List, Weapons &amp; Items'!A:D,4,0)</f>
        <v>0</v>
      </c>
      <c r="M437" s="515">
        <v>200</v>
      </c>
      <c r="N437" s="515">
        <v>200</v>
      </c>
      <c r="O437" s="516">
        <f>VLOOKUP($I437,'Price List, Weapons &amp; Items'!A:F,6,0)</f>
        <v>70</v>
      </c>
      <c r="P437" s="513">
        <f t="shared" si="95"/>
        <v>14000</v>
      </c>
      <c r="Q437" s="513">
        <f t="shared" si="96"/>
        <v>14000</v>
      </c>
      <c r="R437" s="513" t="str">
        <f t="shared" si="86"/>
        <v/>
      </c>
      <c r="S437" s="513" t="str">
        <f>IF(AND(AD437=1,R437&lt;&gt;".")=TRUE,R437/VLOOKUP(G437,'Exchange rates'!B:C,2,0),IF(R437=".",".",""))</f>
        <v/>
      </c>
      <c r="T437" s="513" t="str">
        <f>IF(AD437=1,IF(AF437="Value is not given at all",".",IF(AF437="Value is given by the source",S437,IF(AF437="Value is calculated with prices",(IF(SUMIFS(Q:Q,A:A,A437)&gt;0,SUMIFS(Q:Q,A:A,A437),"."))/VLOOKUP("USD",'Exchange rates'!B:C,2,0),"Error with coding"))),"")</f>
        <v/>
      </c>
      <c r="U437" s="39" t="s">
        <v>233</v>
      </c>
      <c r="V437" s="376" t="s">
        <v>1160</v>
      </c>
      <c r="W437" s="376" t="s">
        <v>1161</v>
      </c>
      <c r="X437" s="376" t="s">
        <v>1162</v>
      </c>
      <c r="Y437" s="376" t="s">
        <v>232</v>
      </c>
      <c r="Z437" s="39">
        <v>0</v>
      </c>
      <c r="AA437" s="518">
        <v>0</v>
      </c>
      <c r="AB437" s="395" t="s">
        <v>1161</v>
      </c>
      <c r="AC437" s="519" t="str">
        <f>""</f>
        <v/>
      </c>
      <c r="AD437" s="522">
        <v>0</v>
      </c>
      <c r="AE437" s="522" t="s">
        <v>236</v>
      </c>
      <c r="AF437" s="522" t="s">
        <v>237</v>
      </c>
      <c r="AG437" s="522">
        <v>0</v>
      </c>
      <c r="AH437" s="522">
        <v>0</v>
      </c>
      <c r="AI437" s="522">
        <v>0</v>
      </c>
      <c r="AJ437" s="520">
        <f>VLOOKUP($I437,'Price List, Weapons &amp; Items'!A:E,5,0)</f>
        <v>0</v>
      </c>
      <c r="AK437" s="520">
        <f t="shared" si="87"/>
        <v>0</v>
      </c>
      <c r="AL437" s="520">
        <f t="shared" si="88"/>
        <v>0</v>
      </c>
      <c r="AM437" s="520">
        <f t="shared" si="89"/>
        <v>0</v>
      </c>
      <c r="AN437" s="521" t="str">
        <f>VLOOKUP($I437,'Price List, Weapons &amp; Items'!A:K,COLUMN('Price List, Weapons &amp; Items'!$I$1),0)</f>
        <v>Online marketplaces and stores</v>
      </c>
      <c r="AO437" s="521" t="str">
        <f>IF(I437=".",".",VLOOKUP($I437,'Price List, Weapons &amp; Items'!A:I,3,0))</f>
        <v>.</v>
      </c>
      <c r="AP437" s="517" t="str">
        <f t="shared" ca="1" si="94"/>
        <v/>
      </c>
      <c r="AQ437" s="521">
        <f>VLOOKUP($I437,'Price List, Weapons &amp; Items'!A:K,COLUMN('Price List, Weapons &amp; Items'!$K$1),0)</f>
        <v>1</v>
      </c>
      <c r="AS437" s="521">
        <f t="shared" si="90"/>
        <v>1</v>
      </c>
      <c r="AT437" s="521">
        <f t="shared" si="91"/>
        <v>1</v>
      </c>
      <c r="AU437" s="521" t="str">
        <f t="shared" si="92"/>
        <v>Value is not in date format</v>
      </c>
      <c r="AV437" s="521" t="str">
        <f t="shared" si="93"/>
        <v>.</v>
      </c>
    </row>
    <row r="438" spans="1:48" ht="15" customHeight="1">
      <c r="A438" s="18" t="s">
        <v>1156</v>
      </c>
      <c r="B438" s="18" t="s">
        <v>1136</v>
      </c>
      <c r="C438" s="511" t="s">
        <v>1163</v>
      </c>
      <c r="D438" s="18" t="s">
        <v>252</v>
      </c>
      <c r="E438" s="18" t="s">
        <v>1157</v>
      </c>
      <c r="F438" s="816" t="s">
        <v>1158</v>
      </c>
      <c r="G438" s="39" t="s">
        <v>332</v>
      </c>
      <c r="H438" s="523">
        <v>1540932933</v>
      </c>
      <c r="I438" s="524" t="s">
        <v>1267</v>
      </c>
      <c r="J438" s="276" t="str">
        <f>VLOOKUP($I438,'Price List, Weapons &amp; Items'!A:B,2,0)</f>
        <v>Military equipment</v>
      </c>
      <c r="K438" s="276" t="str">
        <f>IF(I438=".",I438,VLOOKUP($I438,'Price List, Weapons &amp; Items'!A:C,3,0))</f>
        <v>radar and imagery systems</v>
      </c>
      <c r="L438" s="514">
        <f>VLOOKUP(I438,'Price List, Weapons &amp; Items'!A:D,4,0)</f>
        <v>0</v>
      </c>
      <c r="M438" s="515">
        <v>4</v>
      </c>
      <c r="N438" s="515">
        <v>4</v>
      </c>
      <c r="O438" s="516">
        <f>VLOOKUP($I438,'Price List, Weapons &amp; Items'!A:F,6,0)</f>
        <v>5000</v>
      </c>
      <c r="P438" s="513">
        <f t="shared" si="95"/>
        <v>20000</v>
      </c>
      <c r="Q438" s="513">
        <f t="shared" si="96"/>
        <v>20000</v>
      </c>
      <c r="R438" s="513" t="str">
        <f t="shared" si="86"/>
        <v/>
      </c>
      <c r="S438" s="513" t="str">
        <f>IF(AND(AD438=1,R438&lt;&gt;".")=TRUE,R438/VLOOKUP(G438,'Exchange rates'!B:C,2,0),IF(R438=".",".",""))</f>
        <v/>
      </c>
      <c r="T438" s="513" t="str">
        <f>IF(AD438=1,IF(AF438="Value is not given at all",".",IF(AF438="Value is given by the source",S438,IF(AF438="Value is calculated with prices",(IF(SUMIFS(Q:Q,A:A,A438)&gt;0,SUMIFS(Q:Q,A:A,A438),"."))/VLOOKUP("USD",'Exchange rates'!B:C,2,0),"Error with coding"))),"")</f>
        <v/>
      </c>
      <c r="U438" s="39" t="s">
        <v>233</v>
      </c>
      <c r="V438" s="376" t="s">
        <v>1160</v>
      </c>
      <c r="W438" s="376" t="s">
        <v>1161</v>
      </c>
      <c r="X438" s="376" t="s">
        <v>1162</v>
      </c>
      <c r="Y438" s="376" t="s">
        <v>232</v>
      </c>
      <c r="Z438" s="39">
        <v>0</v>
      </c>
      <c r="AA438" s="518">
        <v>1</v>
      </c>
      <c r="AB438" s="395" t="s">
        <v>1184</v>
      </c>
      <c r="AC438" s="519" t="str">
        <f>""</f>
        <v/>
      </c>
      <c r="AD438" s="522">
        <v>0</v>
      </c>
      <c r="AE438" s="522" t="s">
        <v>236</v>
      </c>
      <c r="AF438" s="522" t="s">
        <v>237</v>
      </c>
      <c r="AG438" s="522">
        <v>0</v>
      </c>
      <c r="AH438" s="522">
        <v>0</v>
      </c>
      <c r="AI438" s="522">
        <v>0</v>
      </c>
      <c r="AJ438" s="520">
        <f>VLOOKUP($I438,'Price List, Weapons &amp; Items'!A:E,5,0)</f>
        <v>0</v>
      </c>
      <c r="AK438" s="520">
        <f t="shared" si="87"/>
        <v>0</v>
      </c>
      <c r="AL438" s="520">
        <f t="shared" si="88"/>
        <v>0</v>
      </c>
      <c r="AM438" s="520">
        <f t="shared" si="89"/>
        <v>0</v>
      </c>
      <c r="AN438" s="521" t="str">
        <f>VLOOKUP($I438,'Price List, Weapons &amp; Items'!A:K,COLUMN('Price List, Weapons &amp; Items'!$I$1),0)</f>
        <v>Miscellaneous</v>
      </c>
      <c r="AO438" s="521" t="str">
        <f>IF(I438=".",".",VLOOKUP($I438,'Price List, Weapons &amp; Items'!A:I,3,0))</f>
        <v>radar and imagery systems</v>
      </c>
      <c r="AP438" s="517" t="str">
        <f t="shared" ca="1" si="94"/>
        <v/>
      </c>
      <c r="AQ438" s="521">
        <f>VLOOKUP($I438,'Price List, Weapons &amp; Items'!A:K,COLUMN('Price List, Weapons &amp; Items'!$K$1),0)</f>
        <v>1</v>
      </c>
      <c r="AS438" s="521">
        <f t="shared" si="90"/>
        <v>1</v>
      </c>
      <c r="AT438" s="521">
        <f t="shared" si="91"/>
        <v>1</v>
      </c>
      <c r="AU438" s="521" t="str">
        <f t="shared" si="92"/>
        <v>Value is not in date format</v>
      </c>
      <c r="AV438" s="521" t="str">
        <f t="shared" si="93"/>
        <v>.</v>
      </c>
    </row>
    <row r="439" spans="1:48" ht="15" customHeight="1">
      <c r="A439" s="18" t="s">
        <v>1156</v>
      </c>
      <c r="B439" s="18" t="s">
        <v>1136</v>
      </c>
      <c r="C439" s="511" t="s">
        <v>1163</v>
      </c>
      <c r="D439" s="18" t="s">
        <v>252</v>
      </c>
      <c r="E439" s="18" t="s">
        <v>1157</v>
      </c>
      <c r="F439" s="816" t="s">
        <v>1158</v>
      </c>
      <c r="G439" s="39" t="s">
        <v>332</v>
      </c>
      <c r="H439" s="523">
        <v>1540932933</v>
      </c>
      <c r="I439" s="524" t="s">
        <v>1268</v>
      </c>
      <c r="J439" s="276" t="str">
        <f>VLOOKUP($I439,'Price List, Weapons &amp; Items'!A:B,2,0)</f>
        <v>Military equipment</v>
      </c>
      <c r="K439" s="276" t="str">
        <f>IF(I439=".",I439,VLOOKUP($I439,'Price List, Weapons &amp; Items'!A:C,3,0))</f>
        <v>Armoured Utility Vehicle (AUV)</v>
      </c>
      <c r="L439" s="514">
        <f>VLOOKUP(I439,'Price List, Weapons &amp; Items'!A:D,4,0)</f>
        <v>0</v>
      </c>
      <c r="M439" s="515">
        <v>2</v>
      </c>
      <c r="N439" s="515">
        <v>0</v>
      </c>
      <c r="O439" s="516" t="str">
        <f>VLOOKUP($I439,'Price List, Weapons &amp; Items'!A:F,6,0)</f>
        <v>.</v>
      </c>
      <c r="P439" s="513" t="str">
        <f t="shared" si="95"/>
        <v>No price</v>
      </c>
      <c r="Q439" s="513" t="str">
        <f t="shared" si="96"/>
        <v>No price</v>
      </c>
      <c r="R439" s="513" t="str">
        <f t="shared" si="86"/>
        <v/>
      </c>
      <c r="S439" s="513" t="str">
        <f>IF(AND(AD439=1,R439&lt;&gt;".")=TRUE,R439/VLOOKUP(G439,'Exchange rates'!B:C,2,0),IF(R439=".",".",""))</f>
        <v/>
      </c>
      <c r="T439" s="513" t="str">
        <f>IF(AD439=1,IF(AF439="Value is not given at all",".",IF(AF439="Value is given by the source",S439,IF(AF439="Value is calculated with prices",(IF(SUMIFS(Q:Q,A:A,A439)&gt;0,SUMIFS(Q:Q,A:A,A439),"."))/VLOOKUP("USD",'Exchange rates'!B:C,2,0),"Error with coding"))),"")</f>
        <v/>
      </c>
      <c r="U439" s="39" t="s">
        <v>233</v>
      </c>
      <c r="V439" s="376" t="s">
        <v>1160</v>
      </c>
      <c r="W439" s="376" t="s">
        <v>1161</v>
      </c>
      <c r="X439" s="376" t="s">
        <v>1162</v>
      </c>
      <c r="Y439" s="376" t="s">
        <v>232</v>
      </c>
      <c r="Z439" s="39">
        <v>0</v>
      </c>
      <c r="AA439" s="518">
        <v>1</v>
      </c>
      <c r="AB439" s="395" t="s">
        <v>1230</v>
      </c>
      <c r="AC439" s="519" t="str">
        <f>""</f>
        <v/>
      </c>
      <c r="AD439" s="522">
        <v>0</v>
      </c>
      <c r="AE439" s="522" t="s">
        <v>236</v>
      </c>
      <c r="AF439" s="522" t="s">
        <v>237</v>
      </c>
      <c r="AG439" s="522">
        <v>0</v>
      </c>
      <c r="AH439" s="522">
        <v>0</v>
      </c>
      <c r="AI439" s="522">
        <v>0</v>
      </c>
      <c r="AJ439" s="520">
        <f>VLOOKUP($I439,'Price List, Weapons &amp; Items'!A:E,5,0)</f>
        <v>1</v>
      </c>
      <c r="AK439" s="520">
        <f t="shared" si="87"/>
        <v>0</v>
      </c>
      <c r="AL439" s="520">
        <f t="shared" si="88"/>
        <v>0</v>
      </c>
      <c r="AM439" s="520">
        <f t="shared" si="89"/>
        <v>0</v>
      </c>
      <c r="AN439" s="521" t="str">
        <f>VLOOKUP($I439,'Price List, Weapons &amp; Items'!A:K,COLUMN('Price List, Weapons &amp; Items'!$I$1),0)</f>
        <v>.</v>
      </c>
      <c r="AO439" s="521" t="str">
        <f>IF(I439=".",".",VLOOKUP($I439,'Price List, Weapons &amp; Items'!A:I,3,0))</f>
        <v>Armoured Utility Vehicle (AUV)</v>
      </c>
      <c r="AP439" s="517" t="str">
        <f t="shared" ca="1" si="94"/>
        <v/>
      </c>
      <c r="AQ439" s="521">
        <f>VLOOKUP($I439,'Price List, Weapons &amp; Items'!A:K,COLUMN('Price List, Weapons &amp; Items'!$K$1),0)</f>
        <v>0</v>
      </c>
      <c r="AS439" s="521">
        <f t="shared" si="90"/>
        <v>1</v>
      </c>
      <c r="AT439" s="521">
        <f t="shared" si="91"/>
        <v>1</v>
      </c>
      <c r="AU439" s="521" t="str">
        <f t="shared" si="92"/>
        <v>Value is not in date format</v>
      </c>
      <c r="AV439" s="521" t="str">
        <f t="shared" si="93"/>
        <v>.</v>
      </c>
    </row>
    <row r="440" spans="1:48" ht="15" customHeight="1">
      <c r="A440" s="18" t="s">
        <v>1156</v>
      </c>
      <c r="B440" s="18" t="s">
        <v>1136</v>
      </c>
      <c r="C440" s="511" t="s">
        <v>1163</v>
      </c>
      <c r="D440" s="18" t="s">
        <v>252</v>
      </c>
      <c r="E440" s="18" t="s">
        <v>1157</v>
      </c>
      <c r="F440" s="816" t="s">
        <v>1158</v>
      </c>
      <c r="G440" s="39" t="s">
        <v>332</v>
      </c>
      <c r="H440" s="523">
        <v>1540932933</v>
      </c>
      <c r="I440" s="524" t="s">
        <v>1269</v>
      </c>
      <c r="J440" s="276" t="str">
        <f>VLOOKUP($I440,'Price List, Weapons &amp; Items'!A:B,2,0)</f>
        <v>Military equipment</v>
      </c>
      <c r="K440" s="276" t="str">
        <f>IF(I440=".",I440,VLOOKUP($I440,'Price List, Weapons &amp; Items'!A:C,3,0))</f>
        <v>.</v>
      </c>
      <c r="L440" s="514">
        <f>VLOOKUP(I440,'Price List, Weapons &amp; Items'!A:D,4,0)</f>
        <v>0</v>
      </c>
      <c r="M440" s="515">
        <v>4</v>
      </c>
      <c r="N440" s="515">
        <v>0</v>
      </c>
      <c r="O440" s="516" t="str">
        <f>VLOOKUP($I440,'Price List, Weapons &amp; Items'!A:F,6,0)</f>
        <v>.</v>
      </c>
      <c r="P440" s="513" t="str">
        <f t="shared" si="95"/>
        <v>No price</v>
      </c>
      <c r="Q440" s="513" t="str">
        <f t="shared" si="96"/>
        <v>No price</v>
      </c>
      <c r="R440" s="513" t="str">
        <f t="shared" si="86"/>
        <v/>
      </c>
      <c r="S440" s="513" t="str">
        <f>IF(AND(AD440=1,R440&lt;&gt;".")=TRUE,R440/VLOOKUP(G440,'Exchange rates'!B:C,2,0),IF(R440=".",".",""))</f>
        <v/>
      </c>
      <c r="T440" s="513" t="str">
        <f>IF(AD440=1,IF(AF440="Value is not given at all",".",IF(AF440="Value is given by the source",S440,IF(AF440="Value is calculated with prices",(IF(SUMIFS(Q:Q,A:A,A440)&gt;0,SUMIFS(Q:Q,A:A,A440),"."))/VLOOKUP("USD",'Exchange rates'!B:C,2,0),"Error with coding"))),"")</f>
        <v/>
      </c>
      <c r="U440" s="39" t="s">
        <v>233</v>
      </c>
      <c r="V440" s="376" t="s">
        <v>1160</v>
      </c>
      <c r="W440" s="376" t="s">
        <v>1161</v>
      </c>
      <c r="X440" s="376" t="s">
        <v>1162</v>
      </c>
      <c r="Y440" s="376" t="s">
        <v>232</v>
      </c>
      <c r="Z440" s="39">
        <v>0</v>
      </c>
      <c r="AA440" s="518">
        <v>1</v>
      </c>
      <c r="AB440" s="395" t="s">
        <v>1184</v>
      </c>
      <c r="AC440" s="519" t="str">
        <f>""</f>
        <v/>
      </c>
      <c r="AD440" s="522">
        <v>0</v>
      </c>
      <c r="AE440" s="522" t="s">
        <v>236</v>
      </c>
      <c r="AF440" s="522" t="s">
        <v>237</v>
      </c>
      <c r="AG440" s="522">
        <v>0</v>
      </c>
      <c r="AH440" s="522">
        <v>0</v>
      </c>
      <c r="AI440" s="522">
        <v>0</v>
      </c>
      <c r="AJ440" s="520">
        <f>VLOOKUP($I440,'Price List, Weapons &amp; Items'!A:E,5,0)</f>
        <v>0</v>
      </c>
      <c r="AK440" s="520">
        <f t="shared" si="87"/>
        <v>0</v>
      </c>
      <c r="AL440" s="520">
        <f t="shared" si="88"/>
        <v>0</v>
      </c>
      <c r="AM440" s="520">
        <f t="shared" si="89"/>
        <v>0</v>
      </c>
      <c r="AN440" s="521" t="str">
        <f>VLOOKUP($I440,'Price List, Weapons &amp; Items'!A:K,COLUMN('Price List, Weapons &amp; Items'!$I$1),0)</f>
        <v>.</v>
      </c>
      <c r="AO440" s="521" t="str">
        <f>IF(I440=".",".",VLOOKUP($I440,'Price List, Weapons &amp; Items'!A:I,3,0))</f>
        <v>.</v>
      </c>
      <c r="AP440" s="517" t="str">
        <f t="shared" ca="1" si="94"/>
        <v/>
      </c>
      <c r="AQ440" s="521">
        <f>VLOOKUP($I440,'Price List, Weapons &amp; Items'!A:K,COLUMN('Price List, Weapons &amp; Items'!$K$1),0)</f>
        <v>0</v>
      </c>
      <c r="AS440" s="521">
        <f t="shared" si="90"/>
        <v>1</v>
      </c>
      <c r="AT440" s="521">
        <f t="shared" si="91"/>
        <v>1</v>
      </c>
      <c r="AU440" s="521" t="str">
        <f t="shared" si="92"/>
        <v>Value is not in date format</v>
      </c>
      <c r="AV440" s="521" t="str">
        <f t="shared" si="93"/>
        <v>.</v>
      </c>
    </row>
    <row r="441" spans="1:48" ht="15" customHeight="1">
      <c r="A441" s="18" t="s">
        <v>1156</v>
      </c>
      <c r="B441" s="18" t="s">
        <v>1136</v>
      </c>
      <c r="C441" s="511" t="s">
        <v>1163</v>
      </c>
      <c r="D441" s="18" t="s">
        <v>252</v>
      </c>
      <c r="E441" s="18" t="s">
        <v>1157</v>
      </c>
      <c r="F441" s="816" t="s">
        <v>1158</v>
      </c>
      <c r="G441" s="39" t="s">
        <v>332</v>
      </c>
      <c r="H441" s="523">
        <v>1540932933</v>
      </c>
      <c r="I441" s="524" t="s">
        <v>1035</v>
      </c>
      <c r="J441" s="276" t="str">
        <f>VLOOKUP($I441,'Price List, Weapons &amp; Items'!A:B,2,0)</f>
        <v>Military equipment</v>
      </c>
      <c r="K441" s="276" t="str">
        <f>IF(I441=".",I441,VLOOKUP($I441,'Price List, Weapons &amp; Items'!A:C,3,0))</f>
        <v>.</v>
      </c>
      <c r="L441" s="514">
        <f>VLOOKUP(I441,'Price List, Weapons &amp; Items'!A:D,4,0)</f>
        <v>0</v>
      </c>
      <c r="M441" s="515">
        <v>200</v>
      </c>
      <c r="N441" s="515">
        <v>0</v>
      </c>
      <c r="O441" s="516">
        <f>VLOOKUP($I441,'Price List, Weapons &amp; Items'!A:F,6,0)</f>
        <v>350000</v>
      </c>
      <c r="P441" s="513">
        <f t="shared" si="95"/>
        <v>70000000</v>
      </c>
      <c r="Q441" s="513">
        <f t="shared" si="96"/>
        <v>0</v>
      </c>
      <c r="R441" s="513" t="str">
        <f t="shared" si="86"/>
        <v/>
      </c>
      <c r="S441" s="513" t="str">
        <f>IF(AND(AD441=1,R441&lt;&gt;".")=TRUE,R441/VLOOKUP(G441,'Exchange rates'!B:C,2,0),IF(R441=".",".",""))</f>
        <v/>
      </c>
      <c r="T441" s="513" t="str">
        <f>IF(AD441=1,IF(AF441="Value is not given at all",".",IF(AF441="Value is given by the source",S441,IF(AF441="Value is calculated with prices",(IF(SUMIFS(Q:Q,A:A,A441)&gt;0,SUMIFS(Q:Q,A:A,A441),"."))/VLOOKUP("USD",'Exchange rates'!B:C,2,0),"Error with coding"))),"")</f>
        <v/>
      </c>
      <c r="U441" s="39" t="s">
        <v>233</v>
      </c>
      <c r="V441" s="376" t="s">
        <v>1160</v>
      </c>
      <c r="W441" s="376" t="s">
        <v>1161</v>
      </c>
      <c r="X441" s="376" t="s">
        <v>1162</v>
      </c>
      <c r="Y441" s="376" t="s">
        <v>232</v>
      </c>
      <c r="Z441" s="39">
        <v>0</v>
      </c>
      <c r="AA441" s="518">
        <v>1</v>
      </c>
      <c r="AB441" s="395" t="s">
        <v>1210</v>
      </c>
      <c r="AC441" s="519" t="str">
        <f>""</f>
        <v/>
      </c>
      <c r="AD441" s="522">
        <v>0</v>
      </c>
      <c r="AE441" s="522" t="s">
        <v>236</v>
      </c>
      <c r="AF441" s="522" t="s">
        <v>237</v>
      </c>
      <c r="AG441" s="522">
        <v>0</v>
      </c>
      <c r="AH441" s="522">
        <v>0</v>
      </c>
      <c r="AI441" s="522">
        <v>0</v>
      </c>
      <c r="AJ441" s="520">
        <f>VLOOKUP($I441,'Price List, Weapons &amp; Items'!A:E,5,0)</f>
        <v>0</v>
      </c>
      <c r="AK441" s="520">
        <f t="shared" si="87"/>
        <v>0</v>
      </c>
      <c r="AL441" s="520">
        <f t="shared" si="88"/>
        <v>0</v>
      </c>
      <c r="AM441" s="520">
        <f t="shared" si="89"/>
        <v>0</v>
      </c>
      <c r="AN441" s="521" t="str">
        <f>VLOOKUP($I441,'Price List, Weapons &amp; Items'!A:K,COLUMN('Price List, Weapons &amp; Items'!$I$1),0)</f>
        <v>Media reports (incl. social media)</v>
      </c>
      <c r="AO441" s="521" t="str">
        <f>IF(I441=".",".",VLOOKUP($I441,'Price List, Weapons &amp; Items'!A:I,3,0))</f>
        <v>.</v>
      </c>
      <c r="AP441" s="517" t="str">
        <f t="shared" ca="1" si="94"/>
        <v/>
      </c>
      <c r="AQ441" s="521">
        <f>VLOOKUP($I441,'Price List, Weapons &amp; Items'!A:K,COLUMN('Price List, Weapons &amp; Items'!$K$1),0)</f>
        <v>2</v>
      </c>
      <c r="AS441" s="521">
        <f t="shared" si="90"/>
        <v>1</v>
      </c>
      <c r="AT441" s="521">
        <f t="shared" si="91"/>
        <v>1</v>
      </c>
      <c r="AU441" s="521" t="str">
        <f t="shared" si="92"/>
        <v>Value is not in date format</v>
      </c>
      <c r="AV441" s="521" t="str">
        <f t="shared" si="93"/>
        <v>.</v>
      </c>
    </row>
    <row r="442" spans="1:48" ht="15" customHeight="1">
      <c r="A442" s="18" t="s">
        <v>1156</v>
      </c>
      <c r="B442" s="18" t="s">
        <v>1136</v>
      </c>
      <c r="C442" s="511" t="s">
        <v>1163</v>
      </c>
      <c r="D442" s="18" t="s">
        <v>252</v>
      </c>
      <c r="E442" s="18" t="s">
        <v>1157</v>
      </c>
      <c r="F442" s="816" t="s">
        <v>1158</v>
      </c>
      <c r="G442" s="39" t="s">
        <v>332</v>
      </c>
      <c r="H442" s="523">
        <v>1540932933</v>
      </c>
      <c r="I442" s="524" t="s">
        <v>1270</v>
      </c>
      <c r="J442" s="276" t="str">
        <f>VLOOKUP($I442,'Price List, Weapons &amp; Items'!A:B,2,0)</f>
        <v>Military equipment</v>
      </c>
      <c r="K442" s="276" t="str">
        <f>IF(I442=".",I442,VLOOKUP($I442,'Price List, Weapons &amp; Items'!A:C,3,0))</f>
        <v>Armoured Utility Vehicle (AUV)</v>
      </c>
      <c r="L442" s="514">
        <f>VLOOKUP(I442,'Price List, Weapons &amp; Items'!A:D,4,0)</f>
        <v>0</v>
      </c>
      <c r="M442" s="515">
        <v>14</v>
      </c>
      <c r="N442" s="515">
        <v>0</v>
      </c>
      <c r="O442" s="516">
        <f>VLOOKUP($I442,'Price List, Weapons &amp; Items'!A:F,6,0)</f>
        <v>120000</v>
      </c>
      <c r="P442" s="513">
        <f t="shared" si="95"/>
        <v>1680000</v>
      </c>
      <c r="Q442" s="513">
        <f t="shared" si="96"/>
        <v>0</v>
      </c>
      <c r="R442" s="513" t="str">
        <f t="shared" si="86"/>
        <v/>
      </c>
      <c r="S442" s="513" t="str">
        <f>IF(AND(AD442=1,R442&lt;&gt;".")=TRUE,R442/VLOOKUP(G442,'Exchange rates'!B:C,2,0),IF(R442=".",".",""))</f>
        <v/>
      </c>
      <c r="T442" s="513" t="str">
        <f>IF(AD442=1,IF(AF442="Value is not given at all",".",IF(AF442="Value is given by the source",S442,IF(AF442="Value is calculated with prices",(IF(SUMIFS(Q:Q,A:A,A442)&gt;0,SUMIFS(Q:Q,A:A,A442),"."))/VLOOKUP("USD",'Exchange rates'!B:C,2,0),"Error with coding"))),"")</f>
        <v/>
      </c>
      <c r="U442" s="39" t="s">
        <v>233</v>
      </c>
      <c r="V442" s="376" t="s">
        <v>1160</v>
      </c>
      <c r="W442" s="376" t="s">
        <v>1161</v>
      </c>
      <c r="X442" s="376" t="s">
        <v>1162</v>
      </c>
      <c r="Y442" s="376" t="s">
        <v>232</v>
      </c>
      <c r="Z442" s="39">
        <v>0</v>
      </c>
      <c r="AA442" s="518">
        <v>1</v>
      </c>
      <c r="AB442" s="395" t="s">
        <v>1233</v>
      </c>
      <c r="AC442" s="519" t="str">
        <f>""</f>
        <v/>
      </c>
      <c r="AD442" s="522">
        <v>0</v>
      </c>
      <c r="AE442" s="522" t="s">
        <v>236</v>
      </c>
      <c r="AF442" s="522" t="s">
        <v>237</v>
      </c>
      <c r="AG442" s="522">
        <v>0</v>
      </c>
      <c r="AH442" s="522">
        <v>0</v>
      </c>
      <c r="AI442" s="522">
        <v>0</v>
      </c>
      <c r="AJ442" s="520">
        <f>VLOOKUP($I442,'Price List, Weapons &amp; Items'!A:E,5,0)</f>
        <v>1</v>
      </c>
      <c r="AK442" s="520">
        <f t="shared" si="87"/>
        <v>0</v>
      </c>
      <c r="AL442" s="520">
        <f t="shared" si="88"/>
        <v>0</v>
      </c>
      <c r="AM442" s="520">
        <f t="shared" si="89"/>
        <v>0</v>
      </c>
      <c r="AN442" s="521" t="str">
        <f>VLOOKUP($I442,'Price List, Weapons &amp; Items'!A:K,COLUMN('Price List, Weapons &amp; Items'!$I$1),0)</f>
        <v>Online marketplaces and stores</v>
      </c>
      <c r="AO442" s="521" t="str">
        <f>IF(I442=".",".",VLOOKUP($I442,'Price List, Weapons &amp; Items'!A:I,3,0))</f>
        <v>Armoured Utility Vehicle (AUV)</v>
      </c>
      <c r="AP442" s="517" t="str">
        <f t="shared" ca="1" si="94"/>
        <v/>
      </c>
      <c r="AQ442" s="521">
        <f>VLOOKUP($I442,'Price List, Weapons &amp; Items'!A:K,COLUMN('Price List, Weapons &amp; Items'!$K$1),0)</f>
        <v>2</v>
      </c>
      <c r="AS442" s="521">
        <f t="shared" si="90"/>
        <v>1</v>
      </c>
      <c r="AT442" s="521">
        <f t="shared" si="91"/>
        <v>1</v>
      </c>
      <c r="AU442" s="521" t="str">
        <f t="shared" si="92"/>
        <v>Value is not in date format</v>
      </c>
      <c r="AV442" s="521" t="str">
        <f t="shared" si="93"/>
        <v>.</v>
      </c>
    </row>
    <row r="443" spans="1:48" ht="15" customHeight="1">
      <c r="A443" s="18" t="s">
        <v>1156</v>
      </c>
      <c r="B443" s="18" t="s">
        <v>1136</v>
      </c>
      <c r="C443" s="511" t="s">
        <v>1163</v>
      </c>
      <c r="D443" s="18" t="s">
        <v>252</v>
      </c>
      <c r="E443" s="18" t="s">
        <v>1157</v>
      </c>
      <c r="F443" s="816" t="s">
        <v>1158</v>
      </c>
      <c r="G443" s="39" t="s">
        <v>332</v>
      </c>
      <c r="H443" s="523">
        <v>1540932933</v>
      </c>
      <c r="I443" s="524" t="s">
        <v>1271</v>
      </c>
      <c r="J443" s="276" t="str">
        <f>VLOOKUP($I443,'Price List, Weapons &amp; Items'!A:B,2,0)</f>
        <v>Heavy weapon</v>
      </c>
      <c r="K443" s="276" t="str">
        <f>IF(I443=".",I443,VLOOKUP($I443,'Price List, Weapons &amp; Items'!A:C,3,0))</f>
        <v>Patrol and coastal combatants</v>
      </c>
      <c r="L443" s="514">
        <f>VLOOKUP(I443,'Price List, Weapons &amp; Items'!A:D,4,0)</f>
        <v>0</v>
      </c>
      <c r="M443" s="515">
        <v>10</v>
      </c>
      <c r="N443" s="515">
        <v>2</v>
      </c>
      <c r="O443" s="516">
        <f>VLOOKUP($I443,'Price List, Weapons &amp; Items'!A:F,6,0)</f>
        <v>2548204.5789999999</v>
      </c>
      <c r="P443" s="513">
        <f t="shared" si="95"/>
        <v>25482045.789999999</v>
      </c>
      <c r="Q443" s="513">
        <f t="shared" si="96"/>
        <v>5096409.1579999998</v>
      </c>
      <c r="R443" s="513" t="str">
        <f t="shared" si="86"/>
        <v/>
      </c>
      <c r="S443" s="513" t="str">
        <f>IF(AND(AD443=1,R443&lt;&gt;".")=TRUE,R443/VLOOKUP(G443,'Exchange rates'!B:C,2,0),IF(R443=".",".",""))</f>
        <v/>
      </c>
      <c r="T443" s="513" t="str">
        <f>IF(AD443=1,IF(AF443="Value is not given at all",".",IF(AF443="Value is given by the source",S443,IF(AF443="Value is calculated with prices",(IF(SUMIFS(Q:Q,A:A,A443)&gt;0,SUMIFS(Q:Q,A:A,A443),"."))/VLOOKUP("USD",'Exchange rates'!B:C,2,0),"Error with coding"))),"")</f>
        <v/>
      </c>
      <c r="U443" s="39" t="s">
        <v>233</v>
      </c>
      <c r="V443" s="376" t="s">
        <v>1160</v>
      </c>
      <c r="W443" s="376" t="s">
        <v>1161</v>
      </c>
      <c r="X443" s="376" t="s">
        <v>1162</v>
      </c>
      <c r="Y443" s="376" t="s">
        <v>232</v>
      </c>
      <c r="Z443" s="39">
        <v>0</v>
      </c>
      <c r="AA443" s="518">
        <v>0</v>
      </c>
      <c r="AB443" s="395" t="s">
        <v>1161</v>
      </c>
      <c r="AC443" s="519" t="str">
        <f>""</f>
        <v/>
      </c>
      <c r="AD443" s="522">
        <v>0</v>
      </c>
      <c r="AE443" s="522" t="s">
        <v>236</v>
      </c>
      <c r="AF443" s="522" t="s">
        <v>237</v>
      </c>
      <c r="AG443" s="522">
        <v>0</v>
      </c>
      <c r="AH443" s="522">
        <v>0</v>
      </c>
      <c r="AI443" s="522">
        <v>0</v>
      </c>
      <c r="AJ443" s="520">
        <f>VLOOKUP($I443,'Price List, Weapons &amp; Items'!A:E,5,0)</f>
        <v>0</v>
      </c>
      <c r="AK443" s="520">
        <f t="shared" si="87"/>
        <v>0</v>
      </c>
      <c r="AL443" s="520">
        <f t="shared" si="88"/>
        <v>0</v>
      </c>
      <c r="AM443" s="520">
        <f t="shared" si="89"/>
        <v>0</v>
      </c>
      <c r="AN443" s="521" t="str">
        <f>VLOOKUP($I443,'Price List, Weapons &amp; Items'!A:K,COLUMN('Price List, Weapons &amp; Items'!$I$1),0)</f>
        <v>Government information</v>
      </c>
      <c r="AO443" s="521" t="str">
        <f>IF(I443=".",".",VLOOKUP($I443,'Price List, Weapons &amp; Items'!A:I,3,0))</f>
        <v>Patrol and coastal combatants</v>
      </c>
      <c r="AP443" s="517" t="str">
        <f t="shared" ca="1" si="94"/>
        <v/>
      </c>
      <c r="AQ443" s="521">
        <f>VLOOKUP($I443,'Price List, Weapons &amp; Items'!A:K,COLUMN('Price List, Weapons &amp; Items'!$K$1),0)</f>
        <v>2</v>
      </c>
      <c r="AS443" s="521">
        <f t="shared" si="90"/>
        <v>1</v>
      </c>
      <c r="AT443" s="521">
        <f t="shared" si="91"/>
        <v>1</v>
      </c>
      <c r="AU443" s="521" t="str">
        <f t="shared" si="92"/>
        <v>Value is not in date format</v>
      </c>
      <c r="AV443" s="521" t="str">
        <f t="shared" si="93"/>
        <v>.</v>
      </c>
    </row>
    <row r="444" spans="1:48" ht="15" customHeight="1">
      <c r="A444" s="18" t="s">
        <v>1156</v>
      </c>
      <c r="B444" s="18" t="s">
        <v>1136</v>
      </c>
      <c r="C444" s="511" t="s">
        <v>1163</v>
      </c>
      <c r="D444" s="18" t="s">
        <v>252</v>
      </c>
      <c r="E444" s="18" t="s">
        <v>1157</v>
      </c>
      <c r="F444" s="816" t="s">
        <v>1158</v>
      </c>
      <c r="G444" s="39" t="s">
        <v>332</v>
      </c>
      <c r="H444" s="523">
        <v>1540932933</v>
      </c>
      <c r="I444" s="524" t="s">
        <v>1272</v>
      </c>
      <c r="J444" s="276" t="str">
        <f>VLOOKUP($I444,'Price List, Weapons &amp; Items'!A:B,2,0)</f>
        <v>military</v>
      </c>
      <c r="K444" s="276" t="str">
        <f>IF(I444=".",I444,VLOOKUP($I444,'Price List, Weapons &amp; Items'!A:C,3,0))</f>
        <v>.</v>
      </c>
      <c r="L444" s="514">
        <f>VLOOKUP(I444,'Price List, Weapons &amp; Items'!A:D,4,0)</f>
        <v>0</v>
      </c>
      <c r="M444" s="515">
        <v>280</v>
      </c>
      <c r="N444" s="515">
        <v>0</v>
      </c>
      <c r="O444" s="516">
        <f>VLOOKUP($I444,'Price List, Weapons &amp; Items'!A:F,6,0)</f>
        <v>31500</v>
      </c>
      <c r="P444" s="513">
        <f t="shared" si="95"/>
        <v>8820000</v>
      </c>
      <c r="Q444" s="513">
        <f t="shared" si="96"/>
        <v>0</v>
      </c>
      <c r="R444" s="513" t="str">
        <f t="shared" si="86"/>
        <v/>
      </c>
      <c r="S444" s="513" t="str">
        <f>IF(AND(AD444=1,R444&lt;&gt;".")=TRUE,R444/VLOOKUP(G444,'Exchange rates'!B:C,2,0),IF(R444=".",".",""))</f>
        <v/>
      </c>
      <c r="T444" s="513" t="str">
        <f>IF(AD444=1,IF(AF444="Value is not given at all",".",IF(AF444="Value is given by the source",S444,IF(AF444="Value is calculated with prices",(IF(SUMIFS(Q:Q,A:A,A444)&gt;0,SUMIFS(Q:Q,A:A,A444),"."))/VLOOKUP("USD",'Exchange rates'!B:C,2,0),"Error with coding"))),"")</f>
        <v/>
      </c>
      <c r="U444" s="39" t="s">
        <v>233</v>
      </c>
      <c r="V444" s="376" t="s">
        <v>1160</v>
      </c>
      <c r="W444" s="376" t="s">
        <v>1161</v>
      </c>
      <c r="X444" s="376" t="s">
        <v>1162</v>
      </c>
      <c r="Y444" s="376" t="s">
        <v>232</v>
      </c>
      <c r="Z444" s="39">
        <v>0</v>
      </c>
      <c r="AA444" s="518">
        <v>1</v>
      </c>
      <c r="AB444" s="395" t="s">
        <v>1161</v>
      </c>
      <c r="AC444" s="519" t="str">
        <f>""</f>
        <v/>
      </c>
      <c r="AD444" s="522">
        <v>0</v>
      </c>
      <c r="AE444" s="522" t="s">
        <v>236</v>
      </c>
      <c r="AF444" s="522" t="s">
        <v>237</v>
      </c>
      <c r="AG444" s="522">
        <v>0</v>
      </c>
      <c r="AH444" s="522">
        <v>0</v>
      </c>
      <c r="AI444" s="522">
        <v>0</v>
      </c>
      <c r="AJ444" s="520">
        <f>VLOOKUP($I444,'Price List, Weapons &amp; Items'!A:E,5,0)</f>
        <v>0</v>
      </c>
      <c r="AK444" s="520">
        <f t="shared" si="87"/>
        <v>0</v>
      </c>
      <c r="AL444" s="520">
        <f t="shared" si="88"/>
        <v>0</v>
      </c>
      <c r="AM444" s="520">
        <f t="shared" si="89"/>
        <v>0</v>
      </c>
      <c r="AN444" s="521" t="str">
        <f>VLOOKUP($I444,'Price List, Weapons &amp; Items'!A:K,COLUMN('Price List, Weapons &amp; Items'!$I$1),0)</f>
        <v>Online marketplaces and stores</v>
      </c>
      <c r="AO444" s="521" t="str">
        <f>IF(I444=".",".",VLOOKUP($I444,'Price List, Weapons &amp; Items'!A:I,3,0))</f>
        <v>.</v>
      </c>
      <c r="AP444" s="517" t="str">
        <f t="shared" ca="1" si="94"/>
        <v/>
      </c>
      <c r="AQ444" s="521" t="str">
        <f>VLOOKUP($I444,'Price List, Weapons &amp; Items'!A:K,COLUMN('Price List, Weapons &amp; Items'!$K$1),0)</f>
        <v>.</v>
      </c>
      <c r="AS444" s="521">
        <f t="shared" si="90"/>
        <v>1</v>
      </c>
      <c r="AT444" s="521">
        <f t="shared" si="91"/>
        <v>1</v>
      </c>
      <c r="AU444" s="521" t="str">
        <f t="shared" si="92"/>
        <v>Value is not in date format</v>
      </c>
      <c r="AV444" s="521" t="str">
        <f t="shared" si="93"/>
        <v>.</v>
      </c>
    </row>
    <row r="445" spans="1:48" ht="15" customHeight="1">
      <c r="A445" s="18" t="s">
        <v>1156</v>
      </c>
      <c r="B445" s="18" t="s">
        <v>1136</v>
      </c>
      <c r="C445" s="511" t="s">
        <v>1163</v>
      </c>
      <c r="D445" s="18" t="s">
        <v>252</v>
      </c>
      <c r="E445" s="18" t="s">
        <v>1157</v>
      </c>
      <c r="F445" s="816" t="s">
        <v>1158</v>
      </c>
      <c r="G445" s="39" t="s">
        <v>332</v>
      </c>
      <c r="H445" s="523">
        <v>1540932933</v>
      </c>
      <c r="I445" s="524" t="s">
        <v>1273</v>
      </c>
      <c r="J445" s="276" t="str">
        <f>VLOOKUP($I445,'Price List, Weapons &amp; Items'!A:B,2,0)</f>
        <v>humanitarian</v>
      </c>
      <c r="K445" s="276" t="str">
        <f>IF(I445=".",I445,VLOOKUP($I445,'Price List, Weapons &amp; Items'!A:C,3,0))</f>
        <v>.</v>
      </c>
      <c r="L445" s="514">
        <f>VLOOKUP(I445,'Price List, Weapons &amp; Items'!A:D,4,0)</f>
        <v>0</v>
      </c>
      <c r="M445" s="515" t="s">
        <v>264</v>
      </c>
      <c r="N445" s="515">
        <v>0</v>
      </c>
      <c r="O445" s="516">
        <f>VLOOKUP($I445,'Price List, Weapons &amp; Items'!A:F,6,0)</f>
        <v>600000</v>
      </c>
      <c r="P445" s="513" t="str">
        <f t="shared" si="95"/>
        <v>.</v>
      </c>
      <c r="Q445" s="513">
        <f t="shared" si="96"/>
        <v>0</v>
      </c>
      <c r="R445" s="513" t="str">
        <f t="shared" si="86"/>
        <v/>
      </c>
      <c r="S445" s="513" t="str">
        <f>IF(AND(AD445=1,R445&lt;&gt;".")=TRUE,R445/VLOOKUP(G445,'Exchange rates'!B:C,2,0),IF(R445=".",".",""))</f>
        <v/>
      </c>
      <c r="T445" s="513" t="str">
        <f>IF(AD445=1,IF(AF445="Value is not given at all",".",IF(AF445="Value is given by the source",S445,IF(AF445="Value is calculated with prices",(IF(SUMIFS(Q:Q,A:A,A445)&gt;0,SUMIFS(Q:Q,A:A,A445),"."))/VLOOKUP("USD",'Exchange rates'!B:C,2,0),"Error with coding"))),"")</f>
        <v/>
      </c>
      <c r="U445" s="39" t="s">
        <v>233</v>
      </c>
      <c r="V445" s="376" t="s">
        <v>1160</v>
      </c>
      <c r="W445" s="376" t="s">
        <v>1161</v>
      </c>
      <c r="X445" s="376" t="s">
        <v>1162</v>
      </c>
      <c r="Y445" s="376" t="s">
        <v>232</v>
      </c>
      <c r="Z445" s="39">
        <v>0</v>
      </c>
      <c r="AA445" s="518">
        <v>1</v>
      </c>
      <c r="AB445" s="395" t="s">
        <v>1203</v>
      </c>
      <c r="AC445" s="519" t="str">
        <f>""</f>
        <v/>
      </c>
      <c r="AD445" s="522">
        <v>0</v>
      </c>
      <c r="AE445" s="522" t="s">
        <v>236</v>
      </c>
      <c r="AF445" s="522" t="s">
        <v>237</v>
      </c>
      <c r="AG445" s="522">
        <v>0</v>
      </c>
      <c r="AH445" s="522">
        <v>0</v>
      </c>
      <c r="AI445" s="522">
        <v>0</v>
      </c>
      <c r="AJ445" s="520">
        <f>VLOOKUP($I445,'Price List, Weapons &amp; Items'!A:E,5,0)</f>
        <v>0</v>
      </c>
      <c r="AK445" s="520">
        <f t="shared" si="87"/>
        <v>0</v>
      </c>
      <c r="AL445" s="520">
        <f t="shared" si="88"/>
        <v>0</v>
      </c>
      <c r="AM445" s="520">
        <f t="shared" si="89"/>
        <v>0</v>
      </c>
      <c r="AN445" s="521" t="str">
        <f>VLOOKUP($I445,'Price List, Weapons &amp; Items'!A:K,COLUMN('Price List, Weapons &amp; Items'!$I$1),0)</f>
        <v>Government information</v>
      </c>
      <c r="AO445" s="521" t="str">
        <f>IF(I445=".",".",VLOOKUP($I445,'Price List, Weapons &amp; Items'!A:I,3,0))</f>
        <v>.</v>
      </c>
      <c r="AP445" s="517" t="str">
        <f t="shared" ca="1" si="94"/>
        <v/>
      </c>
      <c r="AQ445" s="521">
        <f>VLOOKUP($I445,'Price List, Weapons &amp; Items'!A:K,COLUMN('Price List, Weapons &amp; Items'!$K$1),0)</f>
        <v>0</v>
      </c>
      <c r="AS445" s="521">
        <f t="shared" si="90"/>
        <v>1</v>
      </c>
      <c r="AT445" s="521">
        <f t="shared" si="91"/>
        <v>1</v>
      </c>
      <c r="AU445" s="521" t="str">
        <f t="shared" si="92"/>
        <v>Value is not in date format</v>
      </c>
      <c r="AV445" s="521" t="str">
        <f t="shared" si="93"/>
        <v>.</v>
      </c>
    </row>
    <row r="446" spans="1:48" ht="15" customHeight="1">
      <c r="A446" s="18" t="s">
        <v>1156</v>
      </c>
      <c r="B446" s="18" t="s">
        <v>1136</v>
      </c>
      <c r="C446" s="511" t="s">
        <v>1163</v>
      </c>
      <c r="D446" s="18" t="s">
        <v>252</v>
      </c>
      <c r="E446" s="18" t="s">
        <v>1157</v>
      </c>
      <c r="F446" s="816" t="s">
        <v>1158</v>
      </c>
      <c r="G446" s="39" t="s">
        <v>332</v>
      </c>
      <c r="H446" s="523">
        <v>1540932933</v>
      </c>
      <c r="I446" s="524" t="s">
        <v>1274</v>
      </c>
      <c r="J446" s="276" t="str">
        <f>VLOOKUP($I446,'Price List, Weapons &amp; Items'!A:B,2,0)</f>
        <v>humanitarian</v>
      </c>
      <c r="K446" s="276" t="str">
        <f>IF(I446=".",I446,VLOOKUP($I446,'Price List, Weapons &amp; Items'!A:C,3,0))</f>
        <v>.</v>
      </c>
      <c r="L446" s="514">
        <f>VLOOKUP(I446,'Price List, Weapons &amp; Items'!A:D,4,0)</f>
        <v>0</v>
      </c>
      <c r="M446" s="515">
        <v>240000</v>
      </c>
      <c r="N446" s="515">
        <v>240000</v>
      </c>
      <c r="O446" s="516" t="str">
        <f>VLOOKUP($I446,'Price List, Weapons &amp; Items'!A:F,6,0)</f>
        <v>.</v>
      </c>
      <c r="P446" s="513" t="str">
        <f t="shared" si="95"/>
        <v>No price</v>
      </c>
      <c r="Q446" s="513" t="str">
        <f t="shared" si="96"/>
        <v>No price</v>
      </c>
      <c r="R446" s="513" t="str">
        <f t="shared" si="86"/>
        <v/>
      </c>
      <c r="S446" s="513" t="str">
        <f>IF(AND(AD446=1,R446&lt;&gt;".")=TRUE,R446/VLOOKUP(G446,'Exchange rates'!B:C,2,0),IF(R446=".",".",""))</f>
        <v/>
      </c>
      <c r="T446" s="513" t="str">
        <f>IF(AD446=1,IF(AF446="Value is not given at all",".",IF(AF446="Value is given by the source",S446,IF(AF446="Value is calculated with prices",(IF(SUMIFS(Q:Q,A:A,A446)&gt;0,SUMIFS(Q:Q,A:A,A446),"."))/VLOOKUP("USD",'Exchange rates'!B:C,2,0),"Error with coding"))),"")</f>
        <v/>
      </c>
      <c r="U446" s="39" t="s">
        <v>233</v>
      </c>
      <c r="V446" s="376" t="s">
        <v>1160</v>
      </c>
      <c r="W446" s="376" t="s">
        <v>1161</v>
      </c>
      <c r="X446" s="376" t="s">
        <v>1162</v>
      </c>
      <c r="Y446" s="376" t="s">
        <v>232</v>
      </c>
      <c r="Z446" s="39">
        <v>0</v>
      </c>
      <c r="AA446" s="518">
        <v>0</v>
      </c>
      <c r="AB446" s="395" t="s">
        <v>1161</v>
      </c>
      <c r="AC446" s="519" t="str">
        <f>""</f>
        <v/>
      </c>
      <c r="AD446" s="522">
        <v>0</v>
      </c>
      <c r="AE446" s="522" t="s">
        <v>236</v>
      </c>
      <c r="AF446" s="522" t="s">
        <v>237</v>
      </c>
      <c r="AG446" s="522">
        <v>0</v>
      </c>
      <c r="AH446" s="522">
        <v>0</v>
      </c>
      <c r="AI446" s="522">
        <v>0</v>
      </c>
      <c r="AJ446" s="520">
        <f>VLOOKUP($I446,'Price List, Weapons &amp; Items'!A:E,5,0)</f>
        <v>0</v>
      </c>
      <c r="AK446" s="520">
        <f t="shared" si="87"/>
        <v>0</v>
      </c>
      <c r="AL446" s="520">
        <f t="shared" si="88"/>
        <v>0</v>
      </c>
      <c r="AM446" s="520">
        <f t="shared" si="89"/>
        <v>0</v>
      </c>
      <c r="AN446" s="521" t="str">
        <f>VLOOKUP($I446,'Price List, Weapons &amp; Items'!A:K,COLUMN('Price List, Weapons &amp; Items'!$I$1),0)</f>
        <v>.</v>
      </c>
      <c r="AO446" s="521" t="str">
        <f>IF(I446=".",".",VLOOKUP($I446,'Price List, Weapons &amp; Items'!A:I,3,0))</f>
        <v>.</v>
      </c>
      <c r="AP446" s="517" t="str">
        <f t="shared" ca="1" si="94"/>
        <v/>
      </c>
      <c r="AQ446" s="521">
        <f>VLOOKUP($I446,'Price List, Weapons &amp; Items'!A:K,COLUMN('Price List, Weapons &amp; Items'!$K$1),0)</f>
        <v>0</v>
      </c>
      <c r="AS446" s="521">
        <f t="shared" si="90"/>
        <v>1</v>
      </c>
      <c r="AT446" s="521">
        <f t="shared" si="91"/>
        <v>1</v>
      </c>
      <c r="AU446" s="521" t="str">
        <f t="shared" si="92"/>
        <v>Value is not in date format</v>
      </c>
      <c r="AV446" s="521" t="str">
        <f t="shared" si="93"/>
        <v>.</v>
      </c>
    </row>
    <row r="447" spans="1:48" ht="15" customHeight="1">
      <c r="A447" s="18" t="s">
        <v>1156</v>
      </c>
      <c r="B447" s="18" t="s">
        <v>1136</v>
      </c>
      <c r="C447" s="511" t="s">
        <v>1163</v>
      </c>
      <c r="D447" s="18" t="s">
        <v>252</v>
      </c>
      <c r="E447" s="18" t="s">
        <v>1157</v>
      </c>
      <c r="F447" s="816" t="s">
        <v>1158</v>
      </c>
      <c r="G447" s="39" t="s">
        <v>332</v>
      </c>
      <c r="H447" s="523">
        <v>1540932933</v>
      </c>
      <c r="I447" s="524" t="s">
        <v>1275</v>
      </c>
      <c r="J447" s="276" t="str">
        <f>VLOOKUP($I447,'Price List, Weapons &amp; Items'!A:B,2,0)</f>
        <v>humanitarian</v>
      </c>
      <c r="K447" s="276" t="str">
        <f>IF(I447=".",I447,VLOOKUP($I447,'Price List, Weapons &amp; Items'!A:C,3,0))</f>
        <v>.</v>
      </c>
      <c r="L447" s="514">
        <f>VLOOKUP(I447,'Price List, Weapons &amp; Items'!A:D,4,0)</f>
        <v>0</v>
      </c>
      <c r="M447" s="515">
        <v>116000</v>
      </c>
      <c r="N447" s="515">
        <v>116000</v>
      </c>
      <c r="O447" s="516" t="str">
        <f>VLOOKUP($I447,'Price List, Weapons &amp; Items'!A:F,6,0)</f>
        <v>.</v>
      </c>
      <c r="P447" s="513" t="str">
        <f t="shared" si="95"/>
        <v>No price</v>
      </c>
      <c r="Q447" s="513" t="str">
        <f t="shared" si="96"/>
        <v>No price</v>
      </c>
      <c r="R447" s="513" t="str">
        <f t="shared" si="86"/>
        <v/>
      </c>
      <c r="S447" s="513" t="str">
        <f>IF(AND(AD447=1,R447&lt;&gt;".")=TRUE,R447/VLOOKUP(G447,'Exchange rates'!B:C,2,0),IF(R447=".",".",""))</f>
        <v/>
      </c>
      <c r="T447" s="513" t="str">
        <f>IF(AD447=1,IF(AF447="Value is not given at all",".",IF(AF447="Value is given by the source",S447,IF(AF447="Value is calculated with prices",(IF(SUMIFS(Q:Q,A:A,A447)&gt;0,SUMIFS(Q:Q,A:A,A447),"."))/VLOOKUP("USD",'Exchange rates'!B:C,2,0),"Error with coding"))),"")</f>
        <v/>
      </c>
      <c r="U447" s="39" t="s">
        <v>233</v>
      </c>
      <c r="V447" s="376" t="s">
        <v>1160</v>
      </c>
      <c r="W447" s="376" t="s">
        <v>1161</v>
      </c>
      <c r="X447" s="376" t="s">
        <v>1162</v>
      </c>
      <c r="Y447" s="376" t="s">
        <v>232</v>
      </c>
      <c r="Z447" s="39">
        <v>0</v>
      </c>
      <c r="AA447" s="518">
        <v>1</v>
      </c>
      <c r="AB447" s="395" t="s">
        <v>1161</v>
      </c>
      <c r="AC447" s="519" t="str">
        <f>""</f>
        <v/>
      </c>
      <c r="AD447" s="522">
        <v>0</v>
      </c>
      <c r="AE447" s="522" t="s">
        <v>236</v>
      </c>
      <c r="AF447" s="522" t="s">
        <v>237</v>
      </c>
      <c r="AG447" s="522">
        <v>0</v>
      </c>
      <c r="AH447" s="522">
        <v>0</v>
      </c>
      <c r="AI447" s="522">
        <v>0</v>
      </c>
      <c r="AJ447" s="520">
        <f>VLOOKUP($I447,'Price List, Weapons &amp; Items'!A:E,5,0)</f>
        <v>0</v>
      </c>
      <c r="AK447" s="520">
        <f t="shared" si="87"/>
        <v>0</v>
      </c>
      <c r="AL447" s="520">
        <f t="shared" si="88"/>
        <v>0</v>
      </c>
      <c r="AM447" s="520">
        <f t="shared" si="89"/>
        <v>0</v>
      </c>
      <c r="AN447" s="521" t="str">
        <f>VLOOKUP($I447,'Price List, Weapons &amp; Items'!A:K,COLUMN('Price List, Weapons &amp; Items'!$I$1),0)</f>
        <v>.</v>
      </c>
      <c r="AO447" s="521" t="str">
        <f>IF(I447=".",".",VLOOKUP($I447,'Price List, Weapons &amp; Items'!A:I,3,0))</f>
        <v>.</v>
      </c>
      <c r="AP447" s="517" t="str">
        <f t="shared" ca="1" si="94"/>
        <v/>
      </c>
      <c r="AQ447" s="521">
        <f>VLOOKUP($I447,'Price List, Weapons &amp; Items'!A:K,COLUMN('Price List, Weapons &amp; Items'!$K$1),0)</f>
        <v>0</v>
      </c>
      <c r="AS447" s="521">
        <f t="shared" si="90"/>
        <v>1</v>
      </c>
      <c r="AT447" s="521">
        <f t="shared" si="91"/>
        <v>1</v>
      </c>
      <c r="AU447" s="521" t="str">
        <f t="shared" si="92"/>
        <v>Value is not in date format</v>
      </c>
      <c r="AV447" s="521" t="str">
        <f t="shared" si="93"/>
        <v>.</v>
      </c>
    </row>
    <row r="448" spans="1:48" ht="15" customHeight="1">
      <c r="A448" s="18" t="s">
        <v>1156</v>
      </c>
      <c r="B448" s="18" t="s">
        <v>1136</v>
      </c>
      <c r="C448" s="511" t="s">
        <v>1163</v>
      </c>
      <c r="D448" s="18" t="s">
        <v>252</v>
      </c>
      <c r="E448" s="18" t="s">
        <v>1157</v>
      </c>
      <c r="F448" s="816" t="s">
        <v>1158</v>
      </c>
      <c r="G448" s="39" t="s">
        <v>332</v>
      </c>
      <c r="H448" s="523">
        <v>1540932933</v>
      </c>
      <c r="I448" s="524" t="s">
        <v>1276</v>
      </c>
      <c r="J448" s="276" t="str">
        <f>VLOOKUP($I448,'Price List, Weapons &amp; Items'!A:B,2,0)</f>
        <v>humanitarian</v>
      </c>
      <c r="K448" s="276" t="str">
        <f>IF(I448=".",I448,VLOOKUP($I448,'Price List, Weapons &amp; Items'!A:C,3,0))</f>
        <v>.</v>
      </c>
      <c r="L448" s="514">
        <f>VLOOKUP(I448,'Price List, Weapons &amp; Items'!A:D,4,0)</f>
        <v>0</v>
      </c>
      <c r="M448" s="515">
        <v>80000</v>
      </c>
      <c r="N448" s="515">
        <v>80000</v>
      </c>
      <c r="O448" s="516" t="str">
        <f>VLOOKUP($I448,'Price List, Weapons &amp; Items'!A:F,6,0)</f>
        <v>.</v>
      </c>
      <c r="P448" s="513" t="str">
        <f t="shared" si="95"/>
        <v>No price</v>
      </c>
      <c r="Q448" s="513" t="str">
        <f t="shared" si="96"/>
        <v>No price</v>
      </c>
      <c r="R448" s="513" t="str">
        <f t="shared" si="86"/>
        <v/>
      </c>
      <c r="S448" s="513" t="str">
        <f>IF(AND(AD448=1,R448&lt;&gt;".")=TRUE,R448/VLOOKUP(G448,'Exchange rates'!B:C,2,0),IF(R448=".",".",""))</f>
        <v/>
      </c>
      <c r="T448" s="513" t="str">
        <f>IF(AD448=1,IF(AF448="Value is not given at all",".",IF(AF448="Value is given by the source",S448,IF(AF448="Value is calculated with prices",(IF(SUMIFS(Q:Q,A:A,A448)&gt;0,SUMIFS(Q:Q,A:A,A448),"."))/VLOOKUP("USD",'Exchange rates'!B:C,2,0),"Error with coding"))),"")</f>
        <v/>
      </c>
      <c r="U448" s="39" t="s">
        <v>233</v>
      </c>
      <c r="V448" s="376" t="s">
        <v>1160</v>
      </c>
      <c r="W448" s="376" t="s">
        <v>1161</v>
      </c>
      <c r="X448" s="376" t="s">
        <v>1162</v>
      </c>
      <c r="Y448" s="376" t="s">
        <v>232</v>
      </c>
      <c r="Z448" s="39">
        <v>0</v>
      </c>
      <c r="AA448" s="518">
        <v>0</v>
      </c>
      <c r="AB448" s="395" t="s">
        <v>1161</v>
      </c>
      <c r="AC448" s="519" t="str">
        <f>""</f>
        <v/>
      </c>
      <c r="AD448" s="522">
        <v>0</v>
      </c>
      <c r="AE448" s="522" t="s">
        <v>236</v>
      </c>
      <c r="AF448" s="522" t="s">
        <v>237</v>
      </c>
      <c r="AG448" s="522">
        <v>0</v>
      </c>
      <c r="AH448" s="522">
        <v>0</v>
      </c>
      <c r="AI448" s="522">
        <v>0</v>
      </c>
      <c r="AJ448" s="520">
        <f>VLOOKUP($I448,'Price List, Weapons &amp; Items'!A:E,5,0)</f>
        <v>0</v>
      </c>
      <c r="AK448" s="520">
        <f t="shared" si="87"/>
        <v>0</v>
      </c>
      <c r="AL448" s="520">
        <f t="shared" si="88"/>
        <v>0</v>
      </c>
      <c r="AM448" s="520">
        <f t="shared" si="89"/>
        <v>0</v>
      </c>
      <c r="AN448" s="521" t="str">
        <f>VLOOKUP($I448,'Price List, Weapons &amp; Items'!A:K,COLUMN('Price List, Weapons &amp; Items'!$I$1),0)</f>
        <v>.</v>
      </c>
      <c r="AO448" s="521" t="str">
        <f>IF(I448=".",".",VLOOKUP($I448,'Price List, Weapons &amp; Items'!A:I,3,0))</f>
        <v>.</v>
      </c>
      <c r="AP448" s="517" t="str">
        <f t="shared" ca="1" si="94"/>
        <v/>
      </c>
      <c r="AQ448" s="521">
        <f>VLOOKUP($I448,'Price List, Weapons &amp; Items'!A:K,COLUMN('Price List, Weapons &amp; Items'!$K$1),0)</f>
        <v>0</v>
      </c>
      <c r="AS448" s="521">
        <f t="shared" si="90"/>
        <v>1</v>
      </c>
      <c r="AT448" s="521">
        <f t="shared" si="91"/>
        <v>1</v>
      </c>
      <c r="AU448" s="521" t="str">
        <f t="shared" si="92"/>
        <v>Value is not in date format</v>
      </c>
      <c r="AV448" s="521" t="str">
        <f t="shared" si="93"/>
        <v>.</v>
      </c>
    </row>
    <row r="449" spans="1:48" ht="15" customHeight="1">
      <c r="A449" s="18" t="s">
        <v>1156</v>
      </c>
      <c r="B449" s="18" t="s">
        <v>1136</v>
      </c>
      <c r="C449" s="511" t="s">
        <v>1163</v>
      </c>
      <c r="D449" s="18" t="s">
        <v>252</v>
      </c>
      <c r="E449" s="18" t="s">
        <v>1157</v>
      </c>
      <c r="F449" s="816" t="s">
        <v>1158</v>
      </c>
      <c r="G449" s="39" t="s">
        <v>332</v>
      </c>
      <c r="H449" s="523">
        <v>1540932940</v>
      </c>
      <c r="I449" s="41" t="s">
        <v>824</v>
      </c>
      <c r="J449" s="276" t="str">
        <f>VLOOKUP($I449,'Price List, Weapons &amp; Items'!A:B,2,0)</f>
        <v>Heavy weapon</v>
      </c>
      <c r="K449" s="276" t="str">
        <f>IF(I449=".",I449,VLOOKUP($I449,'Price List, Weapons &amp; Items'!A:C,3,0))</f>
        <v>155mm howitzer</v>
      </c>
      <c r="L449" s="514">
        <f>VLOOKUP(I449,'Price List, Weapons &amp; Items'!A:D,4,0)</f>
        <v>1</v>
      </c>
      <c r="M449" s="515">
        <v>5</v>
      </c>
      <c r="N449" s="515">
        <v>0</v>
      </c>
      <c r="O449" s="516">
        <f>VLOOKUP($I449,'Price List, Weapons &amp; Items'!A:F,6,0)</f>
        <v>8661378.4511823338</v>
      </c>
      <c r="P449" s="513">
        <f t="shared" si="95"/>
        <v>43306892.255911671</v>
      </c>
      <c r="Q449" s="513">
        <f t="shared" si="96"/>
        <v>0</v>
      </c>
      <c r="R449" s="513" t="str">
        <f t="shared" si="86"/>
        <v/>
      </c>
      <c r="S449" s="513" t="str">
        <f>IF(AND(AD449=1,R449&lt;&gt;".")=TRUE,R449/VLOOKUP(G449,'Exchange rates'!B:C,2,0),IF(R449=".",".",""))</f>
        <v/>
      </c>
      <c r="T449" s="513" t="str">
        <f>IF(AD449=1,IF(AF449="Value is not given at all",".",IF(AF449="Value is given by the source",S449,IF(AF449="Value is calculated with prices",(IF(SUMIFS(Q:Q,A:A,A449)&gt;0,SUMIFS(Q:Q,A:A,A449),"."))/VLOOKUP("USD",'Exchange rates'!B:C,2,0),"Error with coding"))),"")</f>
        <v/>
      </c>
      <c r="U449" s="39" t="s">
        <v>233</v>
      </c>
      <c r="V449" s="376" t="s">
        <v>1160</v>
      </c>
      <c r="W449" s="376" t="s">
        <v>1277</v>
      </c>
      <c r="X449" s="376" t="s">
        <v>1162</v>
      </c>
      <c r="Y449" s="376" t="s">
        <v>232</v>
      </c>
      <c r="Z449" s="39">
        <v>0</v>
      </c>
      <c r="AA449" s="518">
        <v>1</v>
      </c>
      <c r="AB449" s="395" t="s">
        <v>1278</v>
      </c>
      <c r="AC449" s="519" t="str">
        <f>""</f>
        <v/>
      </c>
      <c r="AD449" s="522">
        <v>0</v>
      </c>
      <c r="AE449" s="522" t="s">
        <v>236</v>
      </c>
      <c r="AF449" s="522" t="s">
        <v>237</v>
      </c>
      <c r="AG449" s="522">
        <v>0</v>
      </c>
      <c r="AH449" s="522">
        <v>0</v>
      </c>
      <c r="AI449" s="522">
        <v>0</v>
      </c>
      <c r="AJ449" s="520">
        <f>VLOOKUP($I449,'Price List, Weapons &amp; Items'!A:E,5,0)</f>
        <v>1</v>
      </c>
      <c r="AK449" s="520">
        <f t="shared" si="87"/>
        <v>0</v>
      </c>
      <c r="AL449" s="520">
        <f t="shared" si="88"/>
        <v>0</v>
      </c>
      <c r="AM449" s="520">
        <f t="shared" si="89"/>
        <v>0</v>
      </c>
      <c r="AN449" s="521" t="str">
        <f>VLOOKUP($I449,'Price List, Weapons &amp; Items'!A:K,COLUMN('Price List, Weapons &amp; Items'!$I$1),0)</f>
        <v>Government information</v>
      </c>
      <c r="AO449" s="521" t="str">
        <f>IF(I449=".",".",VLOOKUP($I449,'Price List, Weapons &amp; Items'!A:I,3,0))</f>
        <v>155mm howitzer</v>
      </c>
      <c r="AP449" s="517" t="str">
        <f t="shared" ca="1" si="94"/>
        <v/>
      </c>
      <c r="AQ449" s="521">
        <f>VLOOKUP($I449,'Price List, Weapons &amp; Items'!A:K,COLUMN('Price List, Weapons &amp; Items'!$K$1),0)</f>
        <v>2</v>
      </c>
      <c r="AS449" s="521">
        <f t="shared" si="90"/>
        <v>1</v>
      </c>
      <c r="AT449" s="521">
        <f t="shared" si="91"/>
        <v>1</v>
      </c>
      <c r="AU449" s="521" t="str">
        <f t="shared" si="92"/>
        <v>Value is not in date format</v>
      </c>
      <c r="AV449" s="521" t="str">
        <f t="shared" si="93"/>
        <v>.</v>
      </c>
    </row>
    <row r="450" spans="1:48" ht="15" customHeight="1">
      <c r="A450" s="18" t="s">
        <v>1279</v>
      </c>
      <c r="B450" s="18" t="s">
        <v>1136</v>
      </c>
      <c r="C450" s="511">
        <v>44836</v>
      </c>
      <c r="D450" s="18" t="s">
        <v>252</v>
      </c>
      <c r="E450" s="18" t="s">
        <v>1280</v>
      </c>
      <c r="F450" s="512" t="s">
        <v>1281</v>
      </c>
      <c r="G450" s="39" t="s">
        <v>332</v>
      </c>
      <c r="H450" s="513" t="s">
        <v>309</v>
      </c>
      <c r="I450" s="41" t="s">
        <v>232</v>
      </c>
      <c r="J450" s="276" t="str">
        <f>VLOOKUP($I450,'Price List, Weapons &amp; Items'!A:B,2,0)</f>
        <v>.</v>
      </c>
      <c r="K450" s="276" t="str">
        <f>IF(I450=".",I450,VLOOKUP($I450,'Price List, Weapons &amp; Items'!A:C,3,0))</f>
        <v>.</v>
      </c>
      <c r="L450" s="514">
        <f>VLOOKUP(I450,'Price List, Weapons &amp; Items'!A:D,4,0)</f>
        <v>0</v>
      </c>
      <c r="M450" s="526" t="s">
        <v>232</v>
      </c>
      <c r="N450" s="515" t="s">
        <v>232</v>
      </c>
      <c r="O450" s="516" t="str">
        <f>VLOOKUP($I450,'Price List, Weapons &amp; Items'!A:F,6,0)</f>
        <v>.</v>
      </c>
      <c r="P450" s="513" t="str">
        <f t="shared" ref="P450:P508" si="97">IF(TYPE(M450)=1,IF(TYPE(O450)=1,M450*O450,"No price"),".")</f>
        <v>.</v>
      </c>
      <c r="Q450" s="513" t="str">
        <f t="shared" ref="Q450:Q508" si="98">IF(TYPE(N450)=1,IF(TYPE(O450)=1,N450*O450,"No price"),".")</f>
        <v>.</v>
      </c>
      <c r="R450" s="513" t="str">
        <f t="shared" ref="R450:R513" si="99">IF(AD450=1,IF(H450&lt;&gt;"Not given",H450,IF(TYPE(H450)=2,IF(SUMIFS(P:P,A:A,A450)&gt;0,SUMIFS(P:P,A:A,A450),"."),"Format error")),"")</f>
        <v>.</v>
      </c>
      <c r="S450" s="513" t="str">
        <f>IF(AND(AD450=1,R450&lt;&gt;".")=TRUE,R450/VLOOKUP(G450,'Exchange rates'!B:C,2,0),IF(R450=".",".",""))</f>
        <v>.</v>
      </c>
      <c r="T450" s="513" t="str">
        <f>IF(AD450=1,IF(AF450="Value is not given at all",".",IF(AF450="Value is given by the source",S450,IF(AF450="Value is calculated with prices",(IF(SUMIFS(Q:Q,A:A,A450)&gt;0,SUMIFS(Q:Q,A:A,A450),"."))/VLOOKUP("USD",'Exchange rates'!B:C,2,0),"Error with coding"))),"")</f>
        <v>.</v>
      </c>
      <c r="U450" s="39" t="s">
        <v>233</v>
      </c>
      <c r="V450" s="376" t="s">
        <v>1282</v>
      </c>
      <c r="W450" s="376" t="s">
        <v>1283</v>
      </c>
      <c r="X450" s="376" t="s">
        <v>1284</v>
      </c>
      <c r="Y450" s="377" t="s">
        <v>1285</v>
      </c>
      <c r="Z450" s="39">
        <v>0</v>
      </c>
      <c r="AA450" s="518">
        <v>0</v>
      </c>
      <c r="AB450" s="523" t="s">
        <v>232</v>
      </c>
      <c r="AC450" s="519" t="str">
        <f>""</f>
        <v/>
      </c>
      <c r="AD450" s="522">
        <v>1</v>
      </c>
      <c r="AE450" s="522" t="s">
        <v>236</v>
      </c>
      <c r="AF450" s="522" t="s">
        <v>237</v>
      </c>
      <c r="AG450" s="522">
        <v>1</v>
      </c>
      <c r="AH450" s="522">
        <v>10</v>
      </c>
      <c r="AI450" s="522">
        <v>0</v>
      </c>
      <c r="AJ450" s="520">
        <f>VLOOKUP($I450,'Price List, Weapons &amp; Items'!A:E,5,0)</f>
        <v>0</v>
      </c>
      <c r="AK450" s="520">
        <f t="shared" si="87"/>
        <v>0</v>
      </c>
      <c r="AL450" s="520">
        <f t="shared" si="88"/>
        <v>0</v>
      </c>
      <c r="AM450" s="520">
        <f t="shared" si="89"/>
        <v>0</v>
      </c>
      <c r="AN450" s="521" t="str">
        <f>VLOOKUP($I450,'Price List, Weapons &amp; Items'!A:K,COLUMN('Price List, Weapons &amp; Items'!$I$1),0)</f>
        <v>.</v>
      </c>
      <c r="AO450" s="521" t="str">
        <f>IF(I450=".",".",VLOOKUP($I450,'Price List, Weapons &amp; Items'!A:I,3,0))</f>
        <v>.</v>
      </c>
      <c r="AP450" s="517" t="str">
        <f t="shared" ca="1" si="94"/>
        <v>.</v>
      </c>
      <c r="AQ450" s="521" t="str">
        <f>VLOOKUP($I450,'Price List, Weapons &amp; Items'!A:K,COLUMN('Price List, Weapons &amp; Items'!$K$1),0)</f>
        <v>no price, 0 count</v>
      </c>
      <c r="AS450" s="521">
        <f t="shared" si="90"/>
        <v>1</v>
      </c>
      <c r="AT450" s="521">
        <f t="shared" si="91"/>
        <v>0</v>
      </c>
      <c r="AU450" s="521">
        <f t="shared" si="92"/>
        <v>1</v>
      </c>
      <c r="AV450" s="521" t="str">
        <f t="shared" si="93"/>
        <v>.</v>
      </c>
    </row>
    <row r="451" spans="1:48" ht="15" customHeight="1">
      <c r="A451" s="41" t="s">
        <v>1286</v>
      </c>
      <c r="B451" s="41" t="s">
        <v>1136</v>
      </c>
      <c r="C451" s="511">
        <v>44686</v>
      </c>
      <c r="D451" s="18" t="s">
        <v>366</v>
      </c>
      <c r="E451" s="18" t="s">
        <v>453</v>
      </c>
      <c r="F451" s="512" t="s">
        <v>1287</v>
      </c>
      <c r="G451" s="39" t="s">
        <v>332</v>
      </c>
      <c r="H451" s="513">
        <v>150000000</v>
      </c>
      <c r="I451" s="41" t="s">
        <v>232</v>
      </c>
      <c r="J451" s="276" t="str">
        <f>VLOOKUP($I451,'Price List, Weapons &amp; Items'!A:B,2,0)</f>
        <v>.</v>
      </c>
      <c r="K451" s="276" t="str">
        <f>IF(I451=".",I451,VLOOKUP($I451,'Price List, Weapons &amp; Items'!A:C,3,0))</f>
        <v>.</v>
      </c>
      <c r="L451" s="514">
        <f>VLOOKUP(I451,'Price List, Weapons &amp; Items'!A:D,4,0)</f>
        <v>0</v>
      </c>
      <c r="M451" s="515" t="s">
        <v>232</v>
      </c>
      <c r="N451" s="515" t="s">
        <v>232</v>
      </c>
      <c r="O451" s="516" t="str">
        <f>VLOOKUP($I451,'Price List, Weapons &amp; Items'!A:F,6,0)</f>
        <v>.</v>
      </c>
      <c r="P451" s="513" t="str">
        <f t="shared" si="97"/>
        <v>.</v>
      </c>
      <c r="Q451" s="513" t="str">
        <f t="shared" si="98"/>
        <v>.</v>
      </c>
      <c r="R451" s="513">
        <f t="shared" si="99"/>
        <v>150000000</v>
      </c>
      <c r="S451" s="513">
        <f>IF(AND(AD451=1,R451&lt;&gt;".")=TRUE,R451/VLOOKUP(G451,'Exchange rates'!B:C,2,0),IF(R451=".",".",""))</f>
        <v>150000000</v>
      </c>
      <c r="T451" s="513" t="str">
        <f>IF(AD451=1,IF(AF451="Value is not given at all",".",IF(AF451="Value is given by the source",S451,IF(AF451="Value is calculated with prices",(IF(SUMIFS(Q:Q,A:A,A451)&gt;0,SUMIFS(Q:Q,A:A,A451),"."))/VLOOKUP("USD",'Exchange rates'!B:C,2,0),"Error with coding"))),"")</f>
        <v>.</v>
      </c>
      <c r="U451" s="39" t="s">
        <v>372</v>
      </c>
      <c r="V451" s="42" t="s">
        <v>1148</v>
      </c>
      <c r="W451" s="517" t="s">
        <v>232</v>
      </c>
      <c r="X451" s="517" t="s">
        <v>232</v>
      </c>
      <c r="Y451" s="517" t="s">
        <v>232</v>
      </c>
      <c r="Z451" s="39">
        <v>0</v>
      </c>
      <c r="AA451" s="518">
        <v>0</v>
      </c>
      <c r="AB451" s="38" t="s">
        <v>232</v>
      </c>
      <c r="AC451" s="519" t="str">
        <f>""</f>
        <v/>
      </c>
      <c r="AD451" s="520">
        <v>1</v>
      </c>
      <c r="AE451" s="520" t="s">
        <v>236</v>
      </c>
      <c r="AF451" s="520" t="s">
        <v>237</v>
      </c>
      <c r="AG451" s="520">
        <v>1</v>
      </c>
      <c r="AH451" s="520">
        <v>5</v>
      </c>
      <c r="AI451" s="520">
        <v>0</v>
      </c>
      <c r="AJ451" s="520">
        <f>VLOOKUP($I451,'Price List, Weapons &amp; Items'!A:E,5,0)</f>
        <v>0</v>
      </c>
      <c r="AK451" s="520">
        <f t="shared" ref="AK451:AK514" si="100">IF(AND(AJ451=1,M451="undisclosed")=TRUE,1,0)</f>
        <v>0</v>
      </c>
      <c r="AL451" s="520">
        <f t="shared" ref="AL451:AL514" si="101">IF(AND(AJ451=1,N451="undisclosed")=TRUE,1,0)</f>
        <v>0</v>
      </c>
      <c r="AM451" s="520">
        <f t="shared" ref="AM451:AM514" si="102">IFERROR(IF(SEARCH("ammuni",I451,1)&gt;0,1,0),0)</f>
        <v>0</v>
      </c>
      <c r="AN451" s="521" t="str">
        <f>VLOOKUP($I451,'Price List, Weapons &amp; Items'!A:K,COLUMN('Price List, Weapons &amp; Items'!$I$1),0)</f>
        <v>.</v>
      </c>
      <c r="AO451" s="521" t="str">
        <f>IF(I451=".",".",VLOOKUP($I451,'Price List, Weapons &amp; Items'!A:I,3,0))</f>
        <v>.</v>
      </c>
      <c r="AP451" s="517" t="str">
        <f t="shared" ca="1" si="94"/>
        <v>.</v>
      </c>
      <c r="AQ451" s="521" t="str">
        <f>VLOOKUP($I451,'Price List, Weapons &amp; Items'!A:K,COLUMN('Price List, Weapons &amp; Items'!$K$1),0)</f>
        <v>no price, 0 count</v>
      </c>
      <c r="AS451" s="521">
        <f t="shared" ref="AS451:AS514" si="103">IF(U451="Yes",1,0)</f>
        <v>0</v>
      </c>
      <c r="AT451" s="521">
        <f t="shared" ref="AT451:AT514" si="104">IF(OR((E451="Weapons"),(E451="Weapons and equipment"),(E451="Weapons and training"),(E451="Weapons and Assistance"),(E451="Military Equipment"))=FALSE,0,1)</f>
        <v>0</v>
      </c>
      <c r="AU451" s="521">
        <f t="shared" ref="AU451:AU514" si="105">IFERROR(IF(VALUE(TEXT(C451,"mm"))=AH451,".",1),"Value is not in date format")</f>
        <v>1</v>
      </c>
      <c r="AV451" s="521" t="str">
        <f t="shared" si="93"/>
        <v>.</v>
      </c>
    </row>
    <row r="452" spans="1:48" ht="15" customHeight="1">
      <c r="A452" s="41" t="s">
        <v>1288</v>
      </c>
      <c r="B452" s="41" t="s">
        <v>1136</v>
      </c>
      <c r="C452" s="511">
        <v>44700</v>
      </c>
      <c r="D452" s="18" t="s">
        <v>366</v>
      </c>
      <c r="E452" s="18" t="s">
        <v>330</v>
      </c>
      <c r="F452" s="512" t="s">
        <v>1289</v>
      </c>
      <c r="G452" s="39" t="s">
        <v>332</v>
      </c>
      <c r="H452" s="513">
        <v>1000000000</v>
      </c>
      <c r="I452" s="41" t="s">
        <v>232</v>
      </c>
      <c r="J452" s="276" t="str">
        <f>VLOOKUP($I452,'Price List, Weapons &amp; Items'!A:B,2,0)</f>
        <v>.</v>
      </c>
      <c r="K452" s="276" t="str">
        <f>IF(I452=".",I452,VLOOKUP($I452,'Price List, Weapons &amp; Items'!A:C,3,0))</f>
        <v>.</v>
      </c>
      <c r="L452" s="514">
        <f>VLOOKUP(I452,'Price List, Weapons &amp; Items'!A:D,4,0)</f>
        <v>0</v>
      </c>
      <c r="M452" s="515" t="s">
        <v>232</v>
      </c>
      <c r="N452" s="515" t="s">
        <v>232</v>
      </c>
      <c r="O452" s="516" t="str">
        <f>VLOOKUP($I452,'Price List, Weapons &amp; Items'!A:F,6,0)</f>
        <v>.</v>
      </c>
      <c r="P452" s="513" t="str">
        <f t="shared" si="97"/>
        <v>.</v>
      </c>
      <c r="Q452" s="513" t="str">
        <f t="shared" si="98"/>
        <v>.</v>
      </c>
      <c r="R452" s="513">
        <f t="shared" si="99"/>
        <v>1000000000</v>
      </c>
      <c r="S452" s="513">
        <f>IF(AND(AD452=1,R452&lt;&gt;".")=TRUE,R452/VLOOKUP(G452,'Exchange rates'!B:C,2,0),IF(R452=".",".",""))</f>
        <v>1000000000</v>
      </c>
      <c r="T452" s="513" t="str">
        <f>IF(AD452=1,IF(AF452="Value is not given at all",".",IF(AF452="Value is given by the source",S452,IF(AF452="Value is calculated with prices",(IF(SUMIFS(Q:Q,A:A,A452)&gt;0,SUMIFS(Q:Q,A:A,A452),"."))/VLOOKUP("USD",'Exchange rates'!B:C,2,0),"Error with coding"))),"")</f>
        <v>.</v>
      </c>
      <c r="U452" s="39" t="s">
        <v>372</v>
      </c>
      <c r="V452" s="42" t="s">
        <v>1290</v>
      </c>
      <c r="W452" s="42" t="s">
        <v>1291</v>
      </c>
      <c r="X452" s="42" t="s">
        <v>1292</v>
      </c>
      <c r="Y452" s="517" t="s">
        <v>232</v>
      </c>
      <c r="Z452" s="39">
        <v>0</v>
      </c>
      <c r="AA452" s="518">
        <v>0</v>
      </c>
      <c r="AB452" s="521" t="s">
        <v>232</v>
      </c>
      <c r="AC452" s="519" t="str">
        <f>""</f>
        <v/>
      </c>
      <c r="AD452" s="520">
        <v>1</v>
      </c>
      <c r="AE452" s="520" t="s">
        <v>236</v>
      </c>
      <c r="AF452" s="520" t="s">
        <v>237</v>
      </c>
      <c r="AG452" s="520">
        <v>1</v>
      </c>
      <c r="AH452" s="520">
        <v>5</v>
      </c>
      <c r="AI452" s="520">
        <v>0</v>
      </c>
      <c r="AJ452" s="520">
        <f>VLOOKUP($I452,'Price List, Weapons &amp; Items'!A:E,5,0)</f>
        <v>0</v>
      </c>
      <c r="AK452" s="520">
        <f t="shared" si="100"/>
        <v>0</v>
      </c>
      <c r="AL452" s="520">
        <f t="shared" si="101"/>
        <v>0</v>
      </c>
      <c r="AM452" s="520">
        <f t="shared" si="102"/>
        <v>0</v>
      </c>
      <c r="AN452" s="521" t="str">
        <f>VLOOKUP($I452,'Price List, Weapons &amp; Items'!A:K,COLUMN('Price List, Weapons &amp; Items'!$I$1),0)</f>
        <v>.</v>
      </c>
      <c r="AO452" s="521" t="str">
        <f>IF(I452=".",".",VLOOKUP($I452,'Price List, Weapons &amp; Items'!A:I,3,0))</f>
        <v>.</v>
      </c>
      <c r="AP452" s="517" t="str">
        <f t="shared" ca="1" si="94"/>
        <v>.</v>
      </c>
      <c r="AQ452" s="521" t="str">
        <f>VLOOKUP($I452,'Price List, Weapons &amp; Items'!A:K,COLUMN('Price List, Weapons &amp; Items'!$K$1),0)</f>
        <v>no price, 0 count</v>
      </c>
      <c r="AS452" s="521">
        <f t="shared" si="103"/>
        <v>0</v>
      </c>
      <c r="AT452" s="521">
        <f t="shared" si="104"/>
        <v>0</v>
      </c>
      <c r="AU452" s="521">
        <f t="shared" si="105"/>
        <v>1</v>
      </c>
      <c r="AV452" s="521" t="str">
        <f t="shared" ref="AV452:AV515" si="106">IF(AND(A452=A451,C452=C451)=TRUE,IF(F452=F451,".","1"),".")</f>
        <v>.</v>
      </c>
    </row>
    <row r="453" spans="1:48" ht="15" customHeight="1">
      <c r="A453" s="41" t="s">
        <v>1293</v>
      </c>
      <c r="B453" s="41" t="s">
        <v>1294</v>
      </c>
      <c r="C453" s="511">
        <v>44619</v>
      </c>
      <c r="D453" s="18" t="s">
        <v>228</v>
      </c>
      <c r="E453" s="18" t="s">
        <v>239</v>
      </c>
      <c r="F453" s="512" t="s">
        <v>1295</v>
      </c>
      <c r="G453" s="39" t="s">
        <v>232</v>
      </c>
      <c r="H453" s="513" t="s">
        <v>309</v>
      </c>
      <c r="I453" s="41" t="s">
        <v>232</v>
      </c>
      <c r="J453" s="276" t="str">
        <f>VLOOKUP($I453,'Price List, Weapons &amp; Items'!A:B,2,0)</f>
        <v>.</v>
      </c>
      <c r="K453" s="276" t="str">
        <f>IF(I453=".",I453,VLOOKUP($I453,'Price List, Weapons &amp; Items'!A:C,3,0))</f>
        <v>.</v>
      </c>
      <c r="L453" s="514">
        <f>VLOOKUP(I453,'Price List, Weapons &amp; Items'!A:D,4,0)</f>
        <v>0</v>
      </c>
      <c r="M453" s="515" t="s">
        <v>232</v>
      </c>
      <c r="N453" s="515" t="s">
        <v>232</v>
      </c>
      <c r="O453" s="516" t="str">
        <f>VLOOKUP($I453,'Price List, Weapons &amp; Items'!A:F,6,0)</f>
        <v>.</v>
      </c>
      <c r="P453" s="513" t="str">
        <f t="shared" si="97"/>
        <v>.</v>
      </c>
      <c r="Q453" s="513" t="str">
        <f t="shared" si="98"/>
        <v>.</v>
      </c>
      <c r="R453" s="513" t="str">
        <f t="shared" si="99"/>
        <v>.</v>
      </c>
      <c r="S453" s="513" t="str">
        <f>IF(AND(AD453=1,R453&lt;&gt;".")=TRUE,R453/VLOOKUP(G453,'Exchange rates'!B:C,2,0),IF(R453=".",".",""))</f>
        <v>.</v>
      </c>
      <c r="T453" s="513" t="str">
        <f>IF(AD453=1,IF(AF453="Value is not given at all",".",IF(AF453="Value is given by the source",S453,IF(AF453="Value is calculated with prices",(IF(SUMIFS(Q:Q,A:A,A453)&gt;0,SUMIFS(Q:Q,A:A,A453),"."))/VLOOKUP("USD",'Exchange rates'!B:C,2,0),"Error with coding"))),"")</f>
        <v>.</v>
      </c>
      <c r="U453" s="39" t="s">
        <v>233</v>
      </c>
      <c r="V453" s="42" t="s">
        <v>1296</v>
      </c>
      <c r="W453" s="531" t="s">
        <v>1297</v>
      </c>
      <c r="X453" s="512" t="s">
        <v>232</v>
      </c>
      <c r="Y453" s="512" t="s">
        <v>232</v>
      </c>
      <c r="Z453" s="39">
        <v>0</v>
      </c>
      <c r="AA453" s="39">
        <v>0</v>
      </c>
      <c r="AB453" s="523" t="s">
        <v>232</v>
      </c>
      <c r="AC453" s="519" t="str">
        <f>""</f>
        <v/>
      </c>
      <c r="AD453" s="522">
        <v>1</v>
      </c>
      <c r="AE453" s="522" t="s">
        <v>237</v>
      </c>
      <c r="AF453" s="522" t="s">
        <v>237</v>
      </c>
      <c r="AG453" s="522">
        <v>1</v>
      </c>
      <c r="AH453" s="520">
        <v>2</v>
      </c>
      <c r="AI453" s="520">
        <v>0</v>
      </c>
      <c r="AJ453" s="520">
        <f>VLOOKUP($I453,'Price List, Weapons &amp; Items'!A:E,5,0)</f>
        <v>0</v>
      </c>
      <c r="AK453" s="520">
        <f t="shared" si="100"/>
        <v>0</v>
      </c>
      <c r="AL453" s="520">
        <f t="shared" si="101"/>
        <v>0</v>
      </c>
      <c r="AM453" s="520">
        <f t="shared" si="102"/>
        <v>0</v>
      </c>
      <c r="AN453" s="521" t="str">
        <f>VLOOKUP($I453,'Price List, Weapons &amp; Items'!A:K,COLUMN('Price List, Weapons &amp; Items'!$I$1),0)</f>
        <v>.</v>
      </c>
      <c r="AO453" s="521" t="str">
        <f>IF(I453=".",".",VLOOKUP($I453,'Price List, Weapons &amp; Items'!A:I,3,0))</f>
        <v>.</v>
      </c>
      <c r="AP453" s="517" t="str">
        <f t="shared" ca="1" si="94"/>
        <v>.</v>
      </c>
      <c r="AQ453" s="521" t="str">
        <f>VLOOKUP($I453,'Price List, Weapons &amp; Items'!A:K,COLUMN('Price List, Weapons &amp; Items'!$K$1),0)</f>
        <v>no price, 0 count</v>
      </c>
      <c r="AS453" s="521">
        <f t="shared" si="103"/>
        <v>1</v>
      </c>
      <c r="AT453" s="521">
        <f t="shared" si="104"/>
        <v>0</v>
      </c>
      <c r="AU453" s="521">
        <f t="shared" si="105"/>
        <v>1</v>
      </c>
      <c r="AV453" s="521" t="str">
        <f t="shared" si="106"/>
        <v>.</v>
      </c>
    </row>
    <row r="454" spans="1:48" ht="15" customHeight="1">
      <c r="A454" s="41" t="s">
        <v>1298</v>
      </c>
      <c r="B454" s="41" t="s">
        <v>1294</v>
      </c>
      <c r="C454" s="511">
        <v>44638</v>
      </c>
      <c r="D454" s="18" t="s">
        <v>228</v>
      </c>
      <c r="E454" s="18" t="s">
        <v>239</v>
      </c>
      <c r="F454" s="512" t="s">
        <v>1299</v>
      </c>
      <c r="G454" s="39" t="s">
        <v>232</v>
      </c>
      <c r="H454" s="513" t="s">
        <v>309</v>
      </c>
      <c r="I454" s="41" t="s">
        <v>232</v>
      </c>
      <c r="J454" s="276" t="str">
        <f>VLOOKUP($I454,'Price List, Weapons &amp; Items'!A:B,2,0)</f>
        <v>.</v>
      </c>
      <c r="K454" s="276" t="str">
        <f>IF(I454=".",I454,VLOOKUP($I454,'Price List, Weapons &amp; Items'!A:C,3,0))</f>
        <v>.</v>
      </c>
      <c r="L454" s="514">
        <f>VLOOKUP(I454,'Price List, Weapons &amp; Items'!A:D,4,0)</f>
        <v>0</v>
      </c>
      <c r="M454" s="515" t="s">
        <v>232</v>
      </c>
      <c r="N454" s="515" t="s">
        <v>232</v>
      </c>
      <c r="O454" s="516" t="str">
        <f>VLOOKUP($I454,'Price List, Weapons &amp; Items'!A:F,6,0)</f>
        <v>.</v>
      </c>
      <c r="P454" s="513" t="str">
        <f t="shared" si="97"/>
        <v>.</v>
      </c>
      <c r="Q454" s="513" t="str">
        <f t="shared" si="98"/>
        <v>.</v>
      </c>
      <c r="R454" s="513" t="str">
        <f t="shared" si="99"/>
        <v>.</v>
      </c>
      <c r="S454" s="513" t="str">
        <f>IF(AND(AD454=1,R454&lt;&gt;".")=TRUE,R454/VLOOKUP(G454,'Exchange rates'!B:C,2,0),IF(R454=".",".",""))</f>
        <v>.</v>
      </c>
      <c r="T454" s="513" t="str">
        <f>IF(AD454=1,IF(AF454="Value is not given at all",".",IF(AF454="Value is given by the source",S454,IF(AF454="Value is calculated with prices",(IF(SUMIFS(Q:Q,A:A,A454)&gt;0,SUMIFS(Q:Q,A:A,A454),"."))/VLOOKUP("USD",'Exchange rates'!B:C,2,0),"Error with coding"))),"")</f>
        <v>.</v>
      </c>
      <c r="U454" s="39" t="s">
        <v>233</v>
      </c>
      <c r="V454" s="42" t="s">
        <v>1300</v>
      </c>
      <c r="W454" s="42" t="s">
        <v>1301</v>
      </c>
      <c r="X454" s="512" t="s">
        <v>232</v>
      </c>
      <c r="Y454" s="512" t="s">
        <v>232</v>
      </c>
      <c r="Z454" s="39">
        <v>0</v>
      </c>
      <c r="AA454" s="518">
        <v>0</v>
      </c>
      <c r="AB454" s="523" t="s">
        <v>232</v>
      </c>
      <c r="AC454" s="519" t="str">
        <f>""</f>
        <v/>
      </c>
      <c r="AD454" s="522">
        <v>1</v>
      </c>
      <c r="AE454" s="522" t="s">
        <v>237</v>
      </c>
      <c r="AF454" s="522" t="s">
        <v>237</v>
      </c>
      <c r="AG454" s="522">
        <v>1</v>
      </c>
      <c r="AH454" s="520">
        <v>3</v>
      </c>
      <c r="AI454" s="520">
        <v>0</v>
      </c>
      <c r="AJ454" s="520">
        <f>VLOOKUP($I454,'Price List, Weapons &amp; Items'!A:E,5,0)</f>
        <v>0</v>
      </c>
      <c r="AK454" s="520">
        <f t="shared" si="100"/>
        <v>0</v>
      </c>
      <c r="AL454" s="520">
        <f t="shared" si="101"/>
        <v>0</v>
      </c>
      <c r="AM454" s="520">
        <f t="shared" si="102"/>
        <v>0</v>
      </c>
      <c r="AN454" s="521" t="str">
        <f>VLOOKUP($I454,'Price List, Weapons &amp; Items'!A:K,COLUMN('Price List, Weapons &amp; Items'!$I$1),0)</f>
        <v>.</v>
      </c>
      <c r="AO454" s="521" t="str">
        <f>IF(I454=".",".",VLOOKUP($I454,'Price List, Weapons &amp; Items'!A:I,3,0))</f>
        <v>.</v>
      </c>
      <c r="AP454" s="517" t="str">
        <f t="shared" ca="1" si="94"/>
        <v>.</v>
      </c>
      <c r="AQ454" s="521" t="str">
        <f>VLOOKUP($I454,'Price List, Weapons &amp; Items'!A:K,COLUMN('Price List, Weapons &amp; Items'!$K$1),0)</f>
        <v>no price, 0 count</v>
      </c>
      <c r="AS454" s="521">
        <f t="shared" si="103"/>
        <v>1</v>
      </c>
      <c r="AT454" s="521">
        <f t="shared" si="104"/>
        <v>0</v>
      </c>
      <c r="AU454" s="521">
        <f t="shared" si="105"/>
        <v>1</v>
      </c>
      <c r="AV454" s="521" t="str">
        <f t="shared" si="106"/>
        <v>.</v>
      </c>
    </row>
    <row r="455" spans="1:48" ht="15" customHeight="1">
      <c r="A455" s="41" t="s">
        <v>1302</v>
      </c>
      <c r="B455" s="41" t="s">
        <v>1294</v>
      </c>
      <c r="C455" s="511">
        <v>44654</v>
      </c>
      <c r="D455" s="18" t="s">
        <v>228</v>
      </c>
      <c r="E455" s="18" t="s">
        <v>239</v>
      </c>
      <c r="F455" s="512" t="s">
        <v>1303</v>
      </c>
      <c r="G455" s="39" t="s">
        <v>232</v>
      </c>
      <c r="H455" s="513" t="s">
        <v>309</v>
      </c>
      <c r="I455" s="41" t="s">
        <v>232</v>
      </c>
      <c r="J455" s="276" t="str">
        <f>VLOOKUP($I455,'Price List, Weapons &amp; Items'!A:B,2,0)</f>
        <v>.</v>
      </c>
      <c r="K455" s="276" t="str">
        <f>IF(I455=".",I455,VLOOKUP($I455,'Price List, Weapons &amp; Items'!A:C,3,0))</f>
        <v>.</v>
      </c>
      <c r="L455" s="514">
        <f>VLOOKUP(I455,'Price List, Weapons &amp; Items'!A:D,4,0)</f>
        <v>0</v>
      </c>
      <c r="M455" s="515" t="s">
        <v>232</v>
      </c>
      <c r="N455" s="515" t="s">
        <v>232</v>
      </c>
      <c r="O455" s="516" t="str">
        <f>VLOOKUP($I455,'Price List, Weapons &amp; Items'!A:F,6,0)</f>
        <v>.</v>
      </c>
      <c r="P455" s="513" t="str">
        <f t="shared" si="97"/>
        <v>.</v>
      </c>
      <c r="Q455" s="513" t="str">
        <f t="shared" si="98"/>
        <v>.</v>
      </c>
      <c r="R455" s="513" t="str">
        <f t="shared" si="99"/>
        <v>.</v>
      </c>
      <c r="S455" s="513" t="str">
        <f>IF(AND(AD455=1,R455&lt;&gt;".")=TRUE,R455/VLOOKUP(G455,'Exchange rates'!B:C,2,0),IF(R455=".",".",""))</f>
        <v>.</v>
      </c>
      <c r="T455" s="513" t="str">
        <f>IF(AD455=1,IF(AF455="Value is not given at all",".",IF(AF455="Value is given by the source",S455,IF(AF455="Value is calculated with prices",(IF(SUMIFS(Q:Q,A:A,A455)&gt;0,SUMIFS(Q:Q,A:A,A455),"."))/VLOOKUP("USD",'Exchange rates'!B:C,2,0),"Error with coding"))),"")</f>
        <v>.</v>
      </c>
      <c r="U455" s="39" t="s">
        <v>233</v>
      </c>
      <c r="V455" s="42" t="s">
        <v>1304</v>
      </c>
      <c r="W455" s="42" t="s">
        <v>1305</v>
      </c>
      <c r="X455" s="512" t="s">
        <v>232</v>
      </c>
      <c r="Y455" s="512" t="s">
        <v>232</v>
      </c>
      <c r="Z455" s="39">
        <v>0</v>
      </c>
      <c r="AA455" s="39">
        <v>0</v>
      </c>
      <c r="AB455" s="523" t="s">
        <v>232</v>
      </c>
      <c r="AC455" s="519" t="str">
        <f>""</f>
        <v/>
      </c>
      <c r="AD455" s="522">
        <v>1</v>
      </c>
      <c r="AE455" s="522" t="s">
        <v>237</v>
      </c>
      <c r="AF455" s="522" t="s">
        <v>237</v>
      </c>
      <c r="AG455" s="522">
        <v>1</v>
      </c>
      <c r="AH455" s="520">
        <v>4</v>
      </c>
      <c r="AI455" s="520">
        <v>0</v>
      </c>
      <c r="AJ455" s="520">
        <f>VLOOKUP($I455,'Price List, Weapons &amp; Items'!A:E,5,0)</f>
        <v>0</v>
      </c>
      <c r="AK455" s="520">
        <f t="shared" si="100"/>
        <v>0</v>
      </c>
      <c r="AL455" s="520">
        <f t="shared" si="101"/>
        <v>0</v>
      </c>
      <c r="AM455" s="520">
        <f t="shared" si="102"/>
        <v>0</v>
      </c>
      <c r="AN455" s="521" t="str">
        <f>VLOOKUP($I455,'Price List, Weapons &amp; Items'!A:K,COLUMN('Price List, Weapons &amp; Items'!$I$1),0)</f>
        <v>.</v>
      </c>
      <c r="AO455" s="521" t="str">
        <f>IF(I455=".",".",VLOOKUP($I455,'Price List, Weapons &amp; Items'!A:I,3,0))</f>
        <v>.</v>
      </c>
      <c r="AP455" s="517" t="str">
        <f t="shared" ca="1" si="94"/>
        <v>.</v>
      </c>
      <c r="AQ455" s="521" t="str">
        <f>VLOOKUP($I455,'Price List, Weapons &amp; Items'!A:K,COLUMN('Price List, Weapons &amp; Items'!$K$1),0)</f>
        <v>no price, 0 count</v>
      </c>
      <c r="AS455" s="521">
        <f t="shared" si="103"/>
        <v>1</v>
      </c>
      <c r="AT455" s="521">
        <f t="shared" si="104"/>
        <v>0</v>
      </c>
      <c r="AU455" s="521">
        <f t="shared" si="105"/>
        <v>1</v>
      </c>
      <c r="AV455" s="521" t="str">
        <f t="shared" si="106"/>
        <v>.</v>
      </c>
    </row>
    <row r="456" spans="1:48" ht="15" customHeight="1">
      <c r="A456" s="41" t="s">
        <v>1306</v>
      </c>
      <c r="B456" s="41" t="s">
        <v>1294</v>
      </c>
      <c r="C456" s="511">
        <v>44662</v>
      </c>
      <c r="D456" s="18" t="s">
        <v>228</v>
      </c>
      <c r="E456" s="18" t="s">
        <v>239</v>
      </c>
      <c r="F456" s="512" t="s">
        <v>1307</v>
      </c>
      <c r="G456" s="39" t="s">
        <v>232</v>
      </c>
      <c r="H456" s="513" t="s">
        <v>309</v>
      </c>
      <c r="I456" s="41" t="s">
        <v>232</v>
      </c>
      <c r="J456" s="276" t="str">
        <f>VLOOKUP($I456,'Price List, Weapons &amp; Items'!A:B,2,0)</f>
        <v>.</v>
      </c>
      <c r="K456" s="276" t="str">
        <f>IF(I456=".",I456,VLOOKUP($I456,'Price List, Weapons &amp; Items'!A:C,3,0))</f>
        <v>.</v>
      </c>
      <c r="L456" s="514">
        <f>VLOOKUP(I456,'Price List, Weapons &amp; Items'!A:D,4,0)</f>
        <v>0</v>
      </c>
      <c r="M456" s="515" t="s">
        <v>232</v>
      </c>
      <c r="N456" s="515" t="s">
        <v>232</v>
      </c>
      <c r="O456" s="516" t="str">
        <f>VLOOKUP($I456,'Price List, Weapons &amp; Items'!A:F,6,0)</f>
        <v>.</v>
      </c>
      <c r="P456" s="513" t="str">
        <f t="shared" si="97"/>
        <v>.</v>
      </c>
      <c r="Q456" s="513" t="str">
        <f t="shared" si="98"/>
        <v>.</v>
      </c>
      <c r="R456" s="513" t="str">
        <f t="shared" si="99"/>
        <v>.</v>
      </c>
      <c r="S456" s="513" t="str">
        <f>IF(AND(AD456=1,R456&lt;&gt;".")=TRUE,R456/VLOOKUP(G456,'Exchange rates'!B:C,2,0),IF(R456=".",".",""))</f>
        <v>.</v>
      </c>
      <c r="T456" s="513" t="str">
        <f>IF(AD456=1,IF(AF456="Value is not given at all",".",IF(AF456="Value is given by the source",S456,IF(AF456="Value is calculated with prices",(IF(SUMIFS(Q:Q,A:A,A456)&gt;0,SUMIFS(Q:Q,A:A,A456),"."))/VLOOKUP("USD",'Exchange rates'!B:C,2,0),"Error with coding"))),"")</f>
        <v>.</v>
      </c>
      <c r="U456" s="39" t="s">
        <v>233</v>
      </c>
      <c r="V456" s="42" t="s">
        <v>1308</v>
      </c>
      <c r="W456" s="512" t="s">
        <v>232</v>
      </c>
      <c r="X456" s="512" t="s">
        <v>232</v>
      </c>
      <c r="Y456" s="512" t="s">
        <v>232</v>
      </c>
      <c r="Z456" s="39">
        <v>0</v>
      </c>
      <c r="AA456" s="39">
        <v>0</v>
      </c>
      <c r="AB456" s="523" t="s">
        <v>232</v>
      </c>
      <c r="AC456" s="519" t="str">
        <f>""</f>
        <v/>
      </c>
      <c r="AD456" s="522">
        <v>1</v>
      </c>
      <c r="AE456" s="522" t="s">
        <v>237</v>
      </c>
      <c r="AF456" s="522" t="s">
        <v>237</v>
      </c>
      <c r="AG456" s="522">
        <v>1</v>
      </c>
      <c r="AH456" s="520">
        <v>4</v>
      </c>
      <c r="AI456" s="520">
        <v>0</v>
      </c>
      <c r="AJ456" s="520">
        <f>VLOOKUP($I456,'Price List, Weapons &amp; Items'!A:E,5,0)</f>
        <v>0</v>
      </c>
      <c r="AK456" s="520">
        <f t="shared" si="100"/>
        <v>0</v>
      </c>
      <c r="AL456" s="520">
        <f t="shared" si="101"/>
        <v>0</v>
      </c>
      <c r="AM456" s="520">
        <f t="shared" si="102"/>
        <v>0</v>
      </c>
      <c r="AN456" s="521" t="str">
        <f>VLOOKUP($I456,'Price List, Weapons &amp; Items'!A:K,COLUMN('Price List, Weapons &amp; Items'!$I$1),0)</f>
        <v>.</v>
      </c>
      <c r="AO456" s="521" t="str">
        <f>IF(I456=".",".",VLOOKUP($I456,'Price List, Weapons &amp; Items'!A:I,3,0))</f>
        <v>.</v>
      </c>
      <c r="AP456" s="517" t="str">
        <f t="shared" ca="1" si="94"/>
        <v>.</v>
      </c>
      <c r="AQ456" s="521" t="str">
        <f>VLOOKUP($I456,'Price List, Weapons &amp; Items'!A:K,COLUMN('Price List, Weapons &amp; Items'!$K$1),0)</f>
        <v>no price, 0 count</v>
      </c>
      <c r="AS456" s="521">
        <f t="shared" si="103"/>
        <v>1</v>
      </c>
      <c r="AT456" s="521">
        <f t="shared" si="104"/>
        <v>0</v>
      </c>
      <c r="AU456" s="521">
        <f t="shared" si="105"/>
        <v>1</v>
      </c>
      <c r="AV456" s="521" t="str">
        <f t="shared" si="106"/>
        <v>.</v>
      </c>
    </row>
    <row r="457" spans="1:48" ht="15" customHeight="1">
      <c r="A457" s="18" t="s">
        <v>1309</v>
      </c>
      <c r="B457" s="18" t="s">
        <v>1294</v>
      </c>
      <c r="C457" s="511" t="s">
        <v>1310</v>
      </c>
      <c r="D457" s="18" t="s">
        <v>252</v>
      </c>
      <c r="E457" s="18" t="s">
        <v>307</v>
      </c>
      <c r="F457" s="512" t="s">
        <v>1311</v>
      </c>
      <c r="G457" s="39" t="s">
        <v>314</v>
      </c>
      <c r="H457" s="513" t="s">
        <v>309</v>
      </c>
      <c r="I457" s="41" t="s">
        <v>1312</v>
      </c>
      <c r="J457" s="276" t="str">
        <f>VLOOKUP($I457,'Price List, Weapons &amp; Items'!A:B,2,0)</f>
        <v>Light armaments &amp; infantry</v>
      </c>
      <c r="K457" s="276" t="str">
        <f>IF(I457=".",I457,VLOOKUP($I457,'Price List, Weapons &amp; Items'!A:C,3,0))</f>
        <v>Small Arms and Light Weapons (SALW)</v>
      </c>
      <c r="L457" s="514">
        <f>VLOOKUP(I457,'Price List, Weapons &amp; Items'!A:D,4,0)</f>
        <v>1</v>
      </c>
      <c r="M457" s="515">
        <v>20000</v>
      </c>
      <c r="N457" s="515">
        <v>20000</v>
      </c>
      <c r="O457" s="516">
        <f>VLOOKUP($I457,'Price List, Weapons &amp; Items'!A:F,6,0)</f>
        <v>850</v>
      </c>
      <c r="P457" s="513">
        <f t="shared" si="97"/>
        <v>17000000</v>
      </c>
      <c r="Q457" s="513">
        <f t="shared" si="98"/>
        <v>17000000</v>
      </c>
      <c r="R457" s="513">
        <f t="shared" si="99"/>
        <v>17291259.199999999</v>
      </c>
      <c r="S457" s="513">
        <f>IF(AND(AD457=1,R457&lt;&gt;".")=TRUE,R457/VLOOKUP(G457,'Exchange rates'!B:C,2,0),IF(R457=".",".",""))</f>
        <v>17230950.871948179</v>
      </c>
      <c r="T457" s="513">
        <f>IF(AD457=1,IF(AF457="Value is not given at all",".",IF(AF457="Value is given by the source",S457,IF(AF457="Value is calculated with prices",(IF(SUMIFS(Q:Q,A:A,A457)&gt;0,SUMIFS(Q:Q,A:A,A457),"."))/VLOOKUP("USD",'Exchange rates'!B:C,2,0),"Error with coding"))),"")</f>
        <v>17230950.871948179</v>
      </c>
      <c r="U457" s="39" t="s">
        <v>233</v>
      </c>
      <c r="V457" s="376" t="s">
        <v>1313</v>
      </c>
      <c r="W457" s="376" t="s">
        <v>1314</v>
      </c>
      <c r="X457" s="521" t="s">
        <v>232</v>
      </c>
      <c r="Y457" s="528" t="s">
        <v>232</v>
      </c>
      <c r="Z457" s="39">
        <v>0</v>
      </c>
      <c r="AA457" s="518">
        <v>0</v>
      </c>
      <c r="AB457" s="395" t="s">
        <v>1315</v>
      </c>
      <c r="AC457" s="519" t="str">
        <f>""</f>
        <v/>
      </c>
      <c r="AD457" s="520">
        <v>1</v>
      </c>
      <c r="AE457" s="520" t="s">
        <v>300</v>
      </c>
      <c r="AF457" s="520" t="s">
        <v>300</v>
      </c>
      <c r="AG457" s="520">
        <v>1</v>
      </c>
      <c r="AH457" s="520">
        <v>3</v>
      </c>
      <c r="AI457" s="520">
        <v>0</v>
      </c>
      <c r="AJ457" s="520">
        <f>VLOOKUP($I457,'Price List, Weapons &amp; Items'!A:E,5,0)</f>
        <v>0</v>
      </c>
      <c r="AK457" s="520">
        <f t="shared" si="100"/>
        <v>0</v>
      </c>
      <c r="AL457" s="520">
        <f t="shared" si="101"/>
        <v>0</v>
      </c>
      <c r="AM457" s="520">
        <f t="shared" si="102"/>
        <v>0</v>
      </c>
      <c r="AN457" s="521" t="str">
        <f>VLOOKUP($I457,'Price List, Weapons &amp; Items'!A:K,COLUMN('Price List, Weapons &amp; Items'!$I$1),0)</f>
        <v>Miscellaneous</v>
      </c>
      <c r="AO457" s="521" t="str">
        <f>IF(I457=".",".",VLOOKUP($I457,'Price List, Weapons &amp; Items'!A:I,3,0))</f>
        <v>Small Arms and Light Weapons (SALW)</v>
      </c>
      <c r="AP457" s="517" t="str">
        <f t="shared" ca="1" si="94"/>
        <v>AK-47-type assault rifle; Soviet-made RPG-18 anti-tank missile launcher; missile for Czech-made RM-70 multiple rocket launcher</v>
      </c>
      <c r="AQ457" s="521">
        <f>VLOOKUP($I457,'Price List, Weapons &amp; Items'!A:K,COLUMN('Price List, Weapons &amp; Items'!$K$1),0)</f>
        <v>2</v>
      </c>
      <c r="AS457" s="521">
        <f t="shared" si="103"/>
        <v>1</v>
      </c>
      <c r="AT457" s="521">
        <f t="shared" si="104"/>
        <v>1</v>
      </c>
      <c r="AU457" s="521" t="str">
        <f t="shared" si="105"/>
        <v>Value is not in date format</v>
      </c>
      <c r="AV457" s="521" t="str">
        <f t="shared" si="106"/>
        <v>.</v>
      </c>
    </row>
    <row r="458" spans="1:48" ht="15" customHeight="1">
      <c r="A458" s="18" t="s">
        <v>1309</v>
      </c>
      <c r="B458" s="18" t="s">
        <v>1294</v>
      </c>
      <c r="C458" s="511" t="s">
        <v>1310</v>
      </c>
      <c r="D458" s="18" t="s">
        <v>252</v>
      </c>
      <c r="E458" s="18" t="s">
        <v>307</v>
      </c>
      <c r="F458" s="512" t="s">
        <v>1311</v>
      </c>
      <c r="G458" s="39" t="s">
        <v>314</v>
      </c>
      <c r="H458" s="513" t="s">
        <v>309</v>
      </c>
      <c r="I458" s="41" t="s">
        <v>1316</v>
      </c>
      <c r="J458" s="276" t="str">
        <f>VLOOKUP($I458,'Price List, Weapons &amp; Items'!A:B,2,0)</f>
        <v>Portable defence system</v>
      </c>
      <c r="K458" s="276" t="str">
        <f>IF(I458=".",I458,VLOOKUP($I458,'Price List, Weapons &amp; Items'!A:C,3,0))</f>
        <v>Light Anti-armor Weapon (LAW)</v>
      </c>
      <c r="L458" s="514">
        <f>VLOOKUP(I458,'Price List, Weapons &amp; Items'!A:D,4,0)</f>
        <v>1</v>
      </c>
      <c r="M458" s="515">
        <v>815</v>
      </c>
      <c r="N458" s="515">
        <v>815</v>
      </c>
      <c r="O458" s="516">
        <f>VLOOKUP($I458,'Price List, Weapons &amp; Items'!A:F,6,0)</f>
        <v>207.68</v>
      </c>
      <c r="P458" s="513">
        <f t="shared" si="97"/>
        <v>169259.2</v>
      </c>
      <c r="Q458" s="513">
        <f t="shared" si="98"/>
        <v>169259.2</v>
      </c>
      <c r="R458" s="513" t="str">
        <f t="shared" si="99"/>
        <v/>
      </c>
      <c r="S458" s="513" t="str">
        <f>IF(AND(AD458=1,R458&lt;&gt;".")=TRUE,R458/VLOOKUP(G458,'Exchange rates'!B:C,2,0),IF(R458=".",".",""))</f>
        <v/>
      </c>
      <c r="T458" s="513" t="str">
        <f>IF(AD458=1,IF(AF458="Value is not given at all",".",IF(AF458="Value is given by the source",S458,IF(AF458="Value is calculated with prices",(IF(SUMIFS(Q:Q,A:A,A458)&gt;0,SUMIFS(Q:Q,A:A,A458),"."))/VLOOKUP("USD",'Exchange rates'!B:C,2,0),"Error with coding"))),"")</f>
        <v/>
      </c>
      <c r="U458" s="39" t="s">
        <v>233</v>
      </c>
      <c r="V458" s="376" t="s">
        <v>1313</v>
      </c>
      <c r="W458" s="376" t="s">
        <v>1314</v>
      </c>
      <c r="X458" s="521" t="s">
        <v>232</v>
      </c>
      <c r="Y458" s="528" t="s">
        <v>232</v>
      </c>
      <c r="Z458" s="39">
        <v>0</v>
      </c>
      <c r="AA458" s="518">
        <v>0</v>
      </c>
      <c r="AB458" s="395" t="s">
        <v>1317</v>
      </c>
      <c r="AC458" s="519" t="str">
        <f>""</f>
        <v/>
      </c>
      <c r="AD458" s="520">
        <v>0</v>
      </c>
      <c r="AE458" s="520" t="s">
        <v>300</v>
      </c>
      <c r="AF458" s="520" t="s">
        <v>300</v>
      </c>
      <c r="AG458" s="520">
        <v>1</v>
      </c>
      <c r="AH458" s="520">
        <v>3</v>
      </c>
      <c r="AI458" s="520">
        <v>0</v>
      </c>
      <c r="AJ458" s="520">
        <f>VLOOKUP($I458,'Price List, Weapons &amp; Items'!A:E,5,0)</f>
        <v>0</v>
      </c>
      <c r="AK458" s="520">
        <f t="shared" si="100"/>
        <v>0</v>
      </c>
      <c r="AL458" s="520">
        <f t="shared" si="101"/>
        <v>0</v>
      </c>
      <c r="AM458" s="520">
        <f t="shared" si="102"/>
        <v>0</v>
      </c>
      <c r="AN458" s="521" t="str">
        <f>VLOOKUP($I458,'Price List, Weapons &amp; Items'!A:K,COLUMN('Price List, Weapons &amp; Items'!$I$1),0)</f>
        <v>Online marketplaces and stores</v>
      </c>
      <c r="AO458" s="521" t="str">
        <f>IF(I458=".",".",VLOOKUP($I458,'Price List, Weapons &amp; Items'!A:I,3,0))</f>
        <v>Light Anti-armor Weapon (LAW)</v>
      </c>
      <c r="AP458" s="517" t="str">
        <f t="shared" ca="1" si="94"/>
        <v/>
      </c>
      <c r="AQ458" s="521">
        <f>VLOOKUP($I458,'Price List, Weapons &amp; Items'!A:K,COLUMN('Price List, Weapons &amp; Items'!$K$1),0)</f>
        <v>1</v>
      </c>
      <c r="AS458" s="521">
        <f t="shared" si="103"/>
        <v>1</v>
      </c>
      <c r="AT458" s="521">
        <f t="shared" si="104"/>
        <v>1</v>
      </c>
      <c r="AU458" s="521" t="str">
        <f t="shared" si="105"/>
        <v>Value is not in date format</v>
      </c>
      <c r="AV458" s="521" t="str">
        <f t="shared" si="106"/>
        <v>.</v>
      </c>
    </row>
    <row r="459" spans="1:48" ht="15" customHeight="1">
      <c r="A459" s="18" t="s">
        <v>1309</v>
      </c>
      <c r="B459" s="18" t="s">
        <v>1294</v>
      </c>
      <c r="C459" s="511" t="s">
        <v>1310</v>
      </c>
      <c r="D459" s="18" t="s">
        <v>252</v>
      </c>
      <c r="E459" s="18" t="s">
        <v>307</v>
      </c>
      <c r="F459" s="512" t="s">
        <v>1311</v>
      </c>
      <c r="G459" s="39" t="s">
        <v>314</v>
      </c>
      <c r="H459" s="513" t="s">
        <v>309</v>
      </c>
      <c r="I459" s="41" t="s">
        <v>1318</v>
      </c>
      <c r="J459" s="276" t="str">
        <f>VLOOKUP($I459,'Price List, Weapons &amp; Items'!A:B,2,0)</f>
        <v>Ammunition for heavy weapon</v>
      </c>
      <c r="K459" s="276" t="str">
        <f>IF(I459=".",I459,VLOOKUP($I459,'Price List, Weapons &amp; Items'!A:C,3,0))</f>
        <v>122mm MLRS ammunition</v>
      </c>
      <c r="L459" s="514">
        <f>VLOOKUP(I459,'Price List, Weapons &amp; Items'!A:D,4,0)</f>
        <v>1</v>
      </c>
      <c r="M459" s="515">
        <v>122</v>
      </c>
      <c r="N459" s="515">
        <v>122</v>
      </c>
      <c r="O459" s="516">
        <f>VLOOKUP($I459,'Price List, Weapons &amp; Items'!A:F,6,0)</f>
        <v>1000</v>
      </c>
      <c r="P459" s="513">
        <f t="shared" si="97"/>
        <v>122000</v>
      </c>
      <c r="Q459" s="513">
        <f t="shared" si="98"/>
        <v>122000</v>
      </c>
      <c r="R459" s="513" t="str">
        <f t="shared" si="99"/>
        <v/>
      </c>
      <c r="S459" s="513" t="str">
        <f>IF(AND(AD459=1,R459&lt;&gt;".")=TRUE,R459/VLOOKUP(G459,'Exchange rates'!B:C,2,0),IF(R459=".",".",""))</f>
        <v/>
      </c>
      <c r="T459" s="513" t="str">
        <f>IF(AD459=1,IF(AF459="Value is not given at all",".",IF(AF459="Value is given by the source",S459,IF(AF459="Value is calculated with prices",(IF(SUMIFS(Q:Q,A:A,A459)&gt;0,SUMIFS(Q:Q,A:A,A459),"."))/VLOOKUP("USD",'Exchange rates'!B:C,2,0),"Error with coding"))),"")</f>
        <v/>
      </c>
      <c r="U459" s="39" t="s">
        <v>233</v>
      </c>
      <c r="V459" s="376" t="s">
        <v>1313</v>
      </c>
      <c r="W459" s="376" t="s">
        <v>1314</v>
      </c>
      <c r="X459" s="521" t="s">
        <v>232</v>
      </c>
      <c r="Y459" s="528" t="s">
        <v>232</v>
      </c>
      <c r="Z459" s="39">
        <v>0</v>
      </c>
      <c r="AA459" s="518">
        <v>0</v>
      </c>
      <c r="AB459" s="395" t="s">
        <v>1319</v>
      </c>
      <c r="AC459" s="519" t="str">
        <f>""</f>
        <v/>
      </c>
      <c r="AD459" s="520">
        <v>0</v>
      </c>
      <c r="AE459" s="520" t="s">
        <v>300</v>
      </c>
      <c r="AF459" s="520" t="s">
        <v>300</v>
      </c>
      <c r="AG459" s="520">
        <v>1</v>
      </c>
      <c r="AH459" s="520">
        <v>3</v>
      </c>
      <c r="AI459" s="520">
        <v>0</v>
      </c>
      <c r="AJ459" s="520">
        <f>VLOOKUP($I459,'Price List, Weapons &amp; Items'!A:E,5,0)</f>
        <v>1</v>
      </c>
      <c r="AK459" s="520">
        <f t="shared" si="100"/>
        <v>0</v>
      </c>
      <c r="AL459" s="520">
        <f t="shared" si="101"/>
        <v>0</v>
      </c>
      <c r="AM459" s="520">
        <f t="shared" si="102"/>
        <v>0</v>
      </c>
      <c r="AN459" s="521" t="str">
        <f>VLOOKUP($I459,'Price List, Weapons &amp; Items'!A:K,COLUMN('Price List, Weapons &amp; Items'!$I$1),0)</f>
        <v>Media reports (incl. social media)</v>
      </c>
      <c r="AO459" s="521" t="str">
        <f>IF(I459=".",".",VLOOKUP($I459,'Price List, Weapons &amp; Items'!A:I,3,0))</f>
        <v>122mm MLRS ammunition</v>
      </c>
      <c r="AP459" s="517" t="str">
        <f t="shared" ca="1" si="94"/>
        <v/>
      </c>
      <c r="AQ459" s="521">
        <f>VLOOKUP($I459,'Price List, Weapons &amp; Items'!A:K,COLUMN('Price List, Weapons &amp; Items'!$K$1),0)</f>
        <v>2</v>
      </c>
      <c r="AS459" s="521">
        <f t="shared" si="103"/>
        <v>1</v>
      </c>
      <c r="AT459" s="521">
        <f t="shared" si="104"/>
        <v>1</v>
      </c>
      <c r="AU459" s="521" t="str">
        <f t="shared" si="105"/>
        <v>Value is not in date format</v>
      </c>
      <c r="AV459" s="521" t="str">
        <f t="shared" si="106"/>
        <v>.</v>
      </c>
    </row>
    <row r="460" spans="1:48" ht="15" customHeight="1">
      <c r="A460" s="18" t="s">
        <v>1320</v>
      </c>
      <c r="B460" s="18" t="s">
        <v>1294</v>
      </c>
      <c r="C460" s="511">
        <v>44707</v>
      </c>
      <c r="D460" s="18" t="s">
        <v>252</v>
      </c>
      <c r="E460" s="18" t="s">
        <v>307</v>
      </c>
      <c r="F460" s="512" t="s">
        <v>1321</v>
      </c>
      <c r="G460" s="39" t="s">
        <v>314</v>
      </c>
      <c r="H460" s="513" t="s">
        <v>309</v>
      </c>
      <c r="I460" s="41" t="s">
        <v>1322</v>
      </c>
      <c r="J460" s="276" t="str">
        <f>VLOOKUP($I460,'Price List, Weapons &amp; Items'!A:B,2,0)</f>
        <v>Ammunition for portable defence system</v>
      </c>
      <c r="K460" s="276" t="str">
        <f>IF(I460=".",I460,VLOOKUP($I460,'Price List, Weapons &amp; Items'!A:C,3,0))</f>
        <v>MANPADS ammunition</v>
      </c>
      <c r="L460" s="514">
        <f>VLOOKUP(I460,'Price List, Weapons &amp; Items'!A:D,4,0)</f>
        <v>0</v>
      </c>
      <c r="M460" s="515">
        <v>15000</v>
      </c>
      <c r="N460" s="515" t="s">
        <v>232</v>
      </c>
      <c r="O460" s="516">
        <f>VLOOKUP($I460,'Price List, Weapons &amp; Items'!A:F,6,0)</f>
        <v>2500</v>
      </c>
      <c r="P460" s="513">
        <f t="shared" si="97"/>
        <v>37500000</v>
      </c>
      <c r="Q460" s="513" t="str">
        <f t="shared" si="98"/>
        <v>.</v>
      </c>
      <c r="R460" s="513">
        <f t="shared" si="99"/>
        <v>152084448</v>
      </c>
      <c r="S460" s="513">
        <f>IF(AND(AD460=1,R460&lt;&gt;".")=TRUE,R460/VLOOKUP(G460,'Exchange rates'!B:C,2,0),IF(R460=".",".",""))</f>
        <v>151554008.96860987</v>
      </c>
      <c r="T460" s="513" t="str">
        <f>IF(AD460=1,IF(AF460="Value is not given at all",".",IF(AF460="Value is given by the source",S460,IF(AF460="Value is calculated with prices",(IF(SUMIFS(Q:Q,A:A,A460)&gt;0,SUMIFS(Q:Q,A:A,A460),"."))/VLOOKUP("USD",'Exchange rates'!B:C,2,0),"Error with coding"))),"")</f>
        <v>.</v>
      </c>
      <c r="U460" s="39" t="s">
        <v>372</v>
      </c>
      <c r="V460" s="376" t="s">
        <v>1323</v>
      </c>
      <c r="W460" s="376" t="s">
        <v>1324</v>
      </c>
      <c r="X460" s="376" t="s">
        <v>1325</v>
      </c>
      <c r="Y460" s="376" t="s">
        <v>232</v>
      </c>
      <c r="Z460" s="518">
        <v>0</v>
      </c>
      <c r="AA460" s="518">
        <v>0</v>
      </c>
      <c r="AB460" s="395" t="s">
        <v>232</v>
      </c>
      <c r="AC460" s="519" t="str">
        <f>""</f>
        <v/>
      </c>
      <c r="AD460" s="520">
        <v>1</v>
      </c>
      <c r="AE460" s="520" t="s">
        <v>300</v>
      </c>
      <c r="AF460" s="520" t="s">
        <v>237</v>
      </c>
      <c r="AG460" s="520">
        <v>1</v>
      </c>
      <c r="AH460" s="520">
        <v>5</v>
      </c>
      <c r="AI460" s="520">
        <v>0</v>
      </c>
      <c r="AJ460" s="520">
        <f>VLOOKUP($I460,'Price List, Weapons &amp; Items'!A:E,5,0)</f>
        <v>0</v>
      </c>
      <c r="AK460" s="520">
        <f t="shared" si="100"/>
        <v>0</v>
      </c>
      <c r="AL460" s="520">
        <f t="shared" si="101"/>
        <v>0</v>
      </c>
      <c r="AM460" s="520">
        <f t="shared" si="102"/>
        <v>0</v>
      </c>
      <c r="AN460" s="521" t="str">
        <f>VLOOKUP($I460,'Price List, Weapons &amp; Items'!A:K,COLUMN('Price List, Weapons &amp; Items'!$I$1),0)</f>
        <v>Miscellaneous</v>
      </c>
      <c r="AO460" s="521" t="str">
        <f>IF(I460=".",".",VLOOKUP($I460,'Price List, Weapons &amp; Items'!A:I,3,0))</f>
        <v>MANPADS ammunition</v>
      </c>
      <c r="AP460" s="517" t="str">
        <f t="shared" ca="1" si="94"/>
        <v>73mm missile; missile for Czech-made RM-70 multiple rocket launcher; 7.62mm cartridge; AK-47-type assault rifle; Stinger missile; round of ammunition for 155mm howitzer; Soviet-made RPG-18 anti-tank missile launcher</v>
      </c>
      <c r="AQ460" s="521">
        <f>VLOOKUP($I460,'Price List, Weapons &amp; Items'!A:K,COLUMN('Price List, Weapons &amp; Items'!$K$1),0)</f>
        <v>2</v>
      </c>
      <c r="AS460" s="521">
        <f t="shared" si="103"/>
        <v>0</v>
      </c>
      <c r="AT460" s="521">
        <f t="shared" si="104"/>
        <v>1</v>
      </c>
      <c r="AU460" s="521">
        <f t="shared" si="105"/>
        <v>1</v>
      </c>
      <c r="AV460" s="521" t="str">
        <f t="shared" si="106"/>
        <v>.</v>
      </c>
    </row>
    <row r="461" spans="1:48" ht="15" customHeight="1">
      <c r="A461" s="18" t="s">
        <v>1320</v>
      </c>
      <c r="B461" s="18" t="s">
        <v>1294</v>
      </c>
      <c r="C461" s="511">
        <v>44707</v>
      </c>
      <c r="D461" s="18" t="s">
        <v>252</v>
      </c>
      <c r="E461" s="18" t="s">
        <v>307</v>
      </c>
      <c r="F461" s="512" t="s">
        <v>1321</v>
      </c>
      <c r="G461" s="39" t="s">
        <v>314</v>
      </c>
      <c r="H461" s="513" t="s">
        <v>309</v>
      </c>
      <c r="I461" s="41" t="s">
        <v>1318</v>
      </c>
      <c r="J461" s="276" t="str">
        <f>VLOOKUP($I461,'Price List, Weapons &amp; Items'!A:B,2,0)</f>
        <v>Ammunition for heavy weapon</v>
      </c>
      <c r="K461" s="276" t="str">
        <f>IF(I461=".",I461,VLOOKUP($I461,'Price List, Weapons &amp; Items'!A:C,3,0))</f>
        <v>122mm MLRS ammunition</v>
      </c>
      <c r="L461" s="514">
        <f>VLOOKUP(I461,'Price List, Weapons &amp; Items'!A:D,4,0)</f>
        <v>1</v>
      </c>
      <c r="M461" s="515">
        <v>2100</v>
      </c>
      <c r="N461" s="515" t="s">
        <v>232</v>
      </c>
      <c r="O461" s="516">
        <f>VLOOKUP($I461,'Price List, Weapons &amp; Items'!A:F,6,0)</f>
        <v>1000</v>
      </c>
      <c r="P461" s="513">
        <f t="shared" si="97"/>
        <v>2100000</v>
      </c>
      <c r="Q461" s="513" t="str">
        <f t="shared" si="98"/>
        <v>.</v>
      </c>
      <c r="R461" s="513" t="str">
        <f t="shared" si="99"/>
        <v/>
      </c>
      <c r="S461" s="513" t="str">
        <f>IF(AND(AD461=1,R461&lt;&gt;".")=TRUE,R461/VLOOKUP(G461,'Exchange rates'!B:C,2,0),IF(R461=".",".",""))</f>
        <v/>
      </c>
      <c r="T461" s="513" t="str">
        <f>IF(AD461=1,IF(AF461="Value is not given at all",".",IF(AF461="Value is given by the source",S461,IF(AF461="Value is calculated with prices",(IF(SUMIFS(Q:Q,A:A,A461)&gt;0,SUMIFS(Q:Q,A:A,A461),"."))/VLOOKUP("USD",'Exchange rates'!B:C,2,0),"Error with coding"))),"")</f>
        <v/>
      </c>
      <c r="U461" s="39" t="s">
        <v>372</v>
      </c>
      <c r="V461" s="376" t="s">
        <v>1323</v>
      </c>
      <c r="W461" s="376" t="s">
        <v>1324</v>
      </c>
      <c r="X461" s="376" t="s">
        <v>1325</v>
      </c>
      <c r="Y461" s="376" t="s">
        <v>232</v>
      </c>
      <c r="Z461" s="518">
        <v>0</v>
      </c>
      <c r="AA461" s="518">
        <v>0</v>
      </c>
      <c r="AB461" s="395" t="s">
        <v>232</v>
      </c>
      <c r="AC461" s="519" t="str">
        <f>""</f>
        <v/>
      </c>
      <c r="AD461" s="520">
        <v>0</v>
      </c>
      <c r="AE461" s="520" t="s">
        <v>300</v>
      </c>
      <c r="AF461" s="520" t="s">
        <v>237</v>
      </c>
      <c r="AG461" s="520">
        <v>1</v>
      </c>
      <c r="AH461" s="520">
        <v>5</v>
      </c>
      <c r="AI461" s="520">
        <v>0</v>
      </c>
      <c r="AJ461" s="520">
        <f>VLOOKUP($I461,'Price List, Weapons &amp; Items'!A:E,5,0)</f>
        <v>1</v>
      </c>
      <c r="AK461" s="520">
        <f t="shared" si="100"/>
        <v>0</v>
      </c>
      <c r="AL461" s="520">
        <f t="shared" si="101"/>
        <v>0</v>
      </c>
      <c r="AM461" s="520">
        <f t="shared" si="102"/>
        <v>0</v>
      </c>
      <c r="AN461" s="521" t="str">
        <f>VLOOKUP($I461,'Price List, Weapons &amp; Items'!A:K,COLUMN('Price List, Weapons &amp; Items'!$I$1),0)</f>
        <v>Media reports (incl. social media)</v>
      </c>
      <c r="AO461" s="521" t="str">
        <f>IF(I461=".",".",VLOOKUP($I461,'Price List, Weapons &amp; Items'!A:I,3,0))</f>
        <v>122mm MLRS ammunition</v>
      </c>
      <c r="AP461" s="517" t="str">
        <f t="shared" ca="1" si="94"/>
        <v/>
      </c>
      <c r="AQ461" s="521">
        <f>VLOOKUP($I461,'Price List, Weapons &amp; Items'!A:K,COLUMN('Price List, Weapons &amp; Items'!$K$1),0)</f>
        <v>2</v>
      </c>
      <c r="AS461" s="521">
        <f t="shared" si="103"/>
        <v>0</v>
      </c>
      <c r="AT461" s="521">
        <f t="shared" si="104"/>
        <v>1</v>
      </c>
      <c r="AU461" s="521">
        <f t="shared" si="105"/>
        <v>1</v>
      </c>
      <c r="AV461" s="521" t="str">
        <f t="shared" si="106"/>
        <v>.</v>
      </c>
    </row>
    <row r="462" spans="1:48" ht="15" customHeight="1">
      <c r="A462" s="18" t="s">
        <v>1320</v>
      </c>
      <c r="B462" s="18" t="s">
        <v>1294</v>
      </c>
      <c r="C462" s="511">
        <v>44707</v>
      </c>
      <c r="D462" s="18" t="s">
        <v>252</v>
      </c>
      <c r="E462" s="18" t="s">
        <v>307</v>
      </c>
      <c r="F462" s="512" t="s">
        <v>1321</v>
      </c>
      <c r="G462" s="39" t="s">
        <v>314</v>
      </c>
      <c r="H462" s="513" t="s">
        <v>309</v>
      </c>
      <c r="I462" s="41" t="s">
        <v>1326</v>
      </c>
      <c r="J462" s="276" t="str">
        <f>VLOOKUP($I462,'Price List, Weapons &amp; Items'!A:B,2,0)</f>
        <v>Ammunition for light infantry</v>
      </c>
      <c r="K462" s="276" t="str">
        <f>IF(I462=".",I462,VLOOKUP($I462,'Price List, Weapons &amp; Items'!A:C,3,0))</f>
        <v>Small Arms and Light Weapons (SALW) ammunition</v>
      </c>
      <c r="L462" s="514">
        <f>VLOOKUP(I462,'Price List, Weapons &amp; Items'!A:D,4,0)</f>
        <v>0</v>
      </c>
      <c r="M462" s="515">
        <v>3200000</v>
      </c>
      <c r="N462" s="515" t="s">
        <v>232</v>
      </c>
      <c r="O462" s="516">
        <f>VLOOKUP($I462,'Price List, Weapons &amp; Items'!A:F,6,0)</f>
        <v>0.57999999999999996</v>
      </c>
      <c r="P462" s="513">
        <f t="shared" si="97"/>
        <v>1855999.9999999998</v>
      </c>
      <c r="Q462" s="513" t="str">
        <f t="shared" si="98"/>
        <v>.</v>
      </c>
      <c r="R462" s="513" t="str">
        <f t="shared" si="99"/>
        <v/>
      </c>
      <c r="S462" s="513" t="str">
        <f>IF(AND(AD462=1,R462&lt;&gt;".")=TRUE,R462/VLOOKUP(G462,'Exchange rates'!B:C,2,0),IF(R462=".",".",""))</f>
        <v/>
      </c>
      <c r="T462" s="513" t="str">
        <f>IF(AD462=1,IF(AF462="Value is not given at all",".",IF(AF462="Value is given by the source",S462,IF(AF462="Value is calculated with prices",(IF(SUMIFS(Q:Q,A:A,A462)&gt;0,SUMIFS(Q:Q,A:A,A462),"."))/VLOOKUP("USD",'Exchange rates'!B:C,2,0),"Error with coding"))),"")</f>
        <v/>
      </c>
      <c r="U462" s="39" t="s">
        <v>372</v>
      </c>
      <c r="V462" s="376" t="s">
        <v>1323</v>
      </c>
      <c r="W462" s="376" t="s">
        <v>1324</v>
      </c>
      <c r="X462" s="376" t="s">
        <v>1325</v>
      </c>
      <c r="Y462" s="376" t="s">
        <v>232</v>
      </c>
      <c r="Z462" s="518">
        <v>0</v>
      </c>
      <c r="AA462" s="518">
        <v>0</v>
      </c>
      <c r="AB462" s="395" t="s">
        <v>232</v>
      </c>
      <c r="AC462" s="519" t="str">
        <f>""</f>
        <v/>
      </c>
      <c r="AD462" s="520">
        <v>0</v>
      </c>
      <c r="AE462" s="520" t="s">
        <v>300</v>
      </c>
      <c r="AF462" s="520" t="s">
        <v>237</v>
      </c>
      <c r="AG462" s="520">
        <v>1</v>
      </c>
      <c r="AH462" s="520">
        <v>5</v>
      </c>
      <c r="AI462" s="520">
        <v>0</v>
      </c>
      <c r="AJ462" s="520">
        <f>VLOOKUP($I462,'Price List, Weapons &amp; Items'!A:E,5,0)</f>
        <v>0</v>
      </c>
      <c r="AK462" s="520">
        <f t="shared" si="100"/>
        <v>0</v>
      </c>
      <c r="AL462" s="520">
        <f t="shared" si="101"/>
        <v>0</v>
      </c>
      <c r="AM462" s="520">
        <f t="shared" si="102"/>
        <v>0</v>
      </c>
      <c r="AN462" s="521" t="str">
        <f>VLOOKUP($I462,'Price List, Weapons &amp; Items'!A:K,COLUMN('Price List, Weapons &amp; Items'!$I$1),0)</f>
        <v>Online marketplaces and stores</v>
      </c>
      <c r="AO462" s="521" t="str">
        <f>IF(I462=".",".",VLOOKUP($I462,'Price List, Weapons &amp; Items'!A:I,3,0))</f>
        <v>Small Arms and Light Weapons (SALW) ammunition</v>
      </c>
      <c r="AP462" s="517" t="str">
        <f t="shared" ca="1" si="94"/>
        <v/>
      </c>
      <c r="AQ462" s="521">
        <f>VLOOKUP($I462,'Price List, Weapons &amp; Items'!A:K,COLUMN('Price List, Weapons &amp; Items'!$K$1),0)</f>
        <v>2</v>
      </c>
      <c r="AS462" s="521">
        <f t="shared" si="103"/>
        <v>0</v>
      </c>
      <c r="AT462" s="521">
        <f t="shared" si="104"/>
        <v>1</v>
      </c>
      <c r="AU462" s="521">
        <f t="shared" si="105"/>
        <v>1</v>
      </c>
      <c r="AV462" s="521" t="str">
        <f t="shared" si="106"/>
        <v>.</v>
      </c>
    </row>
    <row r="463" spans="1:48" ht="15" customHeight="1">
      <c r="A463" s="18" t="s">
        <v>1320</v>
      </c>
      <c r="B463" s="18" t="s">
        <v>1294</v>
      </c>
      <c r="C463" s="511">
        <v>44707</v>
      </c>
      <c r="D463" s="18" t="s">
        <v>252</v>
      </c>
      <c r="E463" s="18" t="s">
        <v>307</v>
      </c>
      <c r="F463" s="512" t="s">
        <v>1321</v>
      </c>
      <c r="G463" s="39" t="s">
        <v>314</v>
      </c>
      <c r="H463" s="513" t="s">
        <v>309</v>
      </c>
      <c r="I463" s="41" t="s">
        <v>1312</v>
      </c>
      <c r="J463" s="276" t="str">
        <f>VLOOKUP($I463,'Price List, Weapons &amp; Items'!A:B,2,0)</f>
        <v>Light armaments &amp; infantry</v>
      </c>
      <c r="K463" s="276" t="str">
        <f>IF(I463=".",I463,VLOOKUP($I463,'Price List, Weapons &amp; Items'!A:C,3,0))</f>
        <v>Small Arms and Light Weapons (SALW)</v>
      </c>
      <c r="L463" s="514">
        <f>VLOOKUP(I463,'Price List, Weapons &amp; Items'!A:D,4,0)</f>
        <v>1</v>
      </c>
      <c r="M463" s="515">
        <v>20000</v>
      </c>
      <c r="N463" s="515" t="s">
        <v>232</v>
      </c>
      <c r="O463" s="516">
        <f>VLOOKUP($I463,'Price List, Weapons &amp; Items'!A:F,6,0)</f>
        <v>850</v>
      </c>
      <c r="P463" s="513">
        <f t="shared" si="97"/>
        <v>17000000</v>
      </c>
      <c r="Q463" s="513" t="str">
        <f t="shared" si="98"/>
        <v>.</v>
      </c>
      <c r="R463" s="513" t="str">
        <f t="shared" si="99"/>
        <v/>
      </c>
      <c r="S463" s="513" t="str">
        <f>IF(AND(AD463=1,R463&lt;&gt;".")=TRUE,R463/VLOOKUP(G463,'Exchange rates'!B:C,2,0),IF(R463=".",".",""))</f>
        <v/>
      </c>
      <c r="T463" s="513" t="str">
        <f>IF(AD463=1,IF(AF463="Value is not given at all",".",IF(AF463="Value is given by the source",S463,IF(AF463="Value is calculated with prices",(IF(SUMIFS(Q:Q,A:A,A463)&gt;0,SUMIFS(Q:Q,A:A,A463),"."))/VLOOKUP("USD",'Exchange rates'!B:C,2,0),"Error with coding"))),"")</f>
        <v/>
      </c>
      <c r="U463" s="39" t="s">
        <v>372</v>
      </c>
      <c r="V463" s="376" t="s">
        <v>1323</v>
      </c>
      <c r="W463" s="376" t="s">
        <v>1324</v>
      </c>
      <c r="X463" s="376" t="s">
        <v>1325</v>
      </c>
      <c r="Y463" s="376" t="s">
        <v>232</v>
      </c>
      <c r="Z463" s="518">
        <v>0</v>
      </c>
      <c r="AA463" s="518">
        <v>0</v>
      </c>
      <c r="AB463" s="395" t="s">
        <v>232</v>
      </c>
      <c r="AC463" s="519" t="str">
        <f>""</f>
        <v/>
      </c>
      <c r="AD463" s="520">
        <v>0</v>
      </c>
      <c r="AE463" s="520" t="s">
        <v>300</v>
      </c>
      <c r="AF463" s="520" t="s">
        <v>237</v>
      </c>
      <c r="AG463" s="520">
        <v>1</v>
      </c>
      <c r="AH463" s="520">
        <v>5</v>
      </c>
      <c r="AI463" s="520">
        <v>0</v>
      </c>
      <c r="AJ463" s="520">
        <f>VLOOKUP($I463,'Price List, Weapons &amp; Items'!A:E,5,0)</f>
        <v>0</v>
      </c>
      <c r="AK463" s="520">
        <f t="shared" si="100"/>
        <v>0</v>
      </c>
      <c r="AL463" s="520">
        <f t="shared" si="101"/>
        <v>0</v>
      </c>
      <c r="AM463" s="520">
        <f t="shared" si="102"/>
        <v>0</v>
      </c>
      <c r="AN463" s="521" t="str">
        <f>VLOOKUP($I463,'Price List, Weapons &amp; Items'!A:K,COLUMN('Price List, Weapons &amp; Items'!$I$1),0)</f>
        <v>Miscellaneous</v>
      </c>
      <c r="AO463" s="521" t="str">
        <f>IF(I463=".",".",VLOOKUP($I463,'Price List, Weapons &amp; Items'!A:I,3,0))</f>
        <v>Small Arms and Light Weapons (SALW)</v>
      </c>
      <c r="AP463" s="517" t="str">
        <f t="shared" ca="1" si="94"/>
        <v/>
      </c>
      <c r="AQ463" s="521">
        <f>VLOOKUP($I463,'Price List, Weapons &amp; Items'!A:K,COLUMN('Price List, Weapons &amp; Items'!$K$1),0)</f>
        <v>2</v>
      </c>
      <c r="AS463" s="521">
        <f t="shared" si="103"/>
        <v>0</v>
      </c>
      <c r="AT463" s="521">
        <f t="shared" si="104"/>
        <v>1</v>
      </c>
      <c r="AU463" s="521">
        <f t="shared" si="105"/>
        <v>1</v>
      </c>
      <c r="AV463" s="521" t="str">
        <f t="shared" si="106"/>
        <v>.</v>
      </c>
    </row>
    <row r="464" spans="1:48" ht="15" customHeight="1">
      <c r="A464" s="18" t="s">
        <v>1320</v>
      </c>
      <c r="B464" s="18" t="s">
        <v>1294</v>
      </c>
      <c r="C464" s="511">
        <v>44707</v>
      </c>
      <c r="D464" s="18" t="s">
        <v>252</v>
      </c>
      <c r="E464" s="18" t="s">
        <v>307</v>
      </c>
      <c r="F464" s="512" t="s">
        <v>1321</v>
      </c>
      <c r="G464" s="39" t="s">
        <v>314</v>
      </c>
      <c r="H464" s="513" t="s">
        <v>309</v>
      </c>
      <c r="I464" s="41" t="s">
        <v>1327</v>
      </c>
      <c r="J464" s="276" t="str">
        <f>VLOOKUP($I464,'Price List, Weapons &amp; Items'!A:B,2,0)</f>
        <v>Ammunition for portable defence system</v>
      </c>
      <c r="K464" s="276" t="str">
        <f>IF(I464=".",I464,VLOOKUP($I464,'Price List, Weapons &amp; Items'!A:C,3,0))</f>
        <v>MANPADS ammunition</v>
      </c>
      <c r="L464" s="514">
        <f>VLOOKUP(I464,'Price List, Weapons &amp; Items'!A:D,4,0)</f>
        <v>0</v>
      </c>
      <c r="M464" s="515">
        <v>60</v>
      </c>
      <c r="N464" s="515" t="s">
        <v>232</v>
      </c>
      <c r="O464" s="516">
        <f>VLOOKUP($I464,'Price List, Weapons &amp; Items'!A:F,6,0)</f>
        <v>480000</v>
      </c>
      <c r="P464" s="513">
        <f t="shared" si="97"/>
        <v>28800000</v>
      </c>
      <c r="Q464" s="513" t="str">
        <f t="shared" si="98"/>
        <v>.</v>
      </c>
      <c r="R464" s="513" t="str">
        <f t="shared" si="99"/>
        <v/>
      </c>
      <c r="S464" s="513" t="str">
        <f>IF(AND(AD464=1,R464&lt;&gt;".")=TRUE,R464/VLOOKUP(G464,'Exchange rates'!B:C,2,0),IF(R464=".",".",""))</f>
        <v/>
      </c>
      <c r="T464" s="513" t="str">
        <f>IF(AD464=1,IF(AF464="Value is not given at all",".",IF(AF464="Value is given by the source",S464,IF(AF464="Value is calculated with prices",(IF(SUMIFS(Q:Q,A:A,A464)&gt;0,SUMIFS(Q:Q,A:A,A464),"."))/VLOOKUP("USD",'Exchange rates'!B:C,2,0),"Error with coding"))),"")</f>
        <v/>
      </c>
      <c r="U464" s="39" t="s">
        <v>372</v>
      </c>
      <c r="V464" s="376" t="s">
        <v>1323</v>
      </c>
      <c r="W464" s="376" t="s">
        <v>1324</v>
      </c>
      <c r="X464" s="376" t="s">
        <v>1325</v>
      </c>
      <c r="Y464" s="376" t="s">
        <v>232</v>
      </c>
      <c r="Z464" s="518">
        <v>0</v>
      </c>
      <c r="AA464" s="518">
        <v>0</v>
      </c>
      <c r="AB464" s="395" t="s">
        <v>232</v>
      </c>
      <c r="AC464" s="519" t="str">
        <f>""</f>
        <v/>
      </c>
      <c r="AD464" s="520">
        <v>0</v>
      </c>
      <c r="AE464" s="520" t="s">
        <v>300</v>
      </c>
      <c r="AF464" s="520" t="s">
        <v>237</v>
      </c>
      <c r="AG464" s="520">
        <v>1</v>
      </c>
      <c r="AH464" s="520">
        <v>5</v>
      </c>
      <c r="AI464" s="520">
        <v>0</v>
      </c>
      <c r="AJ464" s="520">
        <f>VLOOKUP($I464,'Price List, Weapons &amp; Items'!A:E,5,0)</f>
        <v>0</v>
      </c>
      <c r="AK464" s="520">
        <f t="shared" si="100"/>
        <v>0</v>
      </c>
      <c r="AL464" s="520">
        <f t="shared" si="101"/>
        <v>0</v>
      </c>
      <c r="AM464" s="520">
        <f t="shared" si="102"/>
        <v>0</v>
      </c>
      <c r="AN464" s="521" t="str">
        <f>VLOOKUP($I464,'Price List, Weapons &amp; Items'!A:K,COLUMN('Price List, Weapons &amp; Items'!$I$1),0)</f>
        <v>Media reports (incl. social media)</v>
      </c>
      <c r="AO464" s="521" t="str">
        <f>IF(I464=".",".",VLOOKUP($I464,'Price List, Weapons &amp; Items'!A:I,3,0))</f>
        <v>MANPADS ammunition</v>
      </c>
      <c r="AP464" s="517" t="str">
        <f t="shared" ca="1" si="94"/>
        <v/>
      </c>
      <c r="AQ464" s="521">
        <f>VLOOKUP($I464,'Price List, Weapons &amp; Items'!A:K,COLUMN('Price List, Weapons &amp; Items'!$K$1),0)</f>
        <v>2</v>
      </c>
      <c r="AS464" s="521">
        <f t="shared" si="103"/>
        <v>0</v>
      </c>
      <c r="AT464" s="521">
        <f t="shared" si="104"/>
        <v>1</v>
      </c>
      <c r="AU464" s="521">
        <f t="shared" si="105"/>
        <v>1</v>
      </c>
      <c r="AV464" s="521" t="str">
        <f t="shared" si="106"/>
        <v>.</v>
      </c>
    </row>
    <row r="465" spans="1:48" ht="15" customHeight="1">
      <c r="A465" s="18" t="s">
        <v>1320</v>
      </c>
      <c r="B465" s="18" t="s">
        <v>1294</v>
      </c>
      <c r="C465" s="511">
        <v>44707</v>
      </c>
      <c r="D465" s="18" t="s">
        <v>252</v>
      </c>
      <c r="E465" s="18" t="s">
        <v>307</v>
      </c>
      <c r="F465" s="512" t="s">
        <v>1321</v>
      </c>
      <c r="G465" s="39" t="s">
        <v>314</v>
      </c>
      <c r="H465" s="513" t="s">
        <v>309</v>
      </c>
      <c r="I465" s="41" t="s">
        <v>555</v>
      </c>
      <c r="J465" s="276" t="str">
        <f>VLOOKUP($I465,'Price List, Weapons &amp; Items'!A:B,2,0)</f>
        <v>Ammunition for heavy weapon</v>
      </c>
      <c r="K465" s="276" t="str">
        <f>IF(I465=".",I465,VLOOKUP($I465,'Price List, Weapons &amp; Items'!A:C,3,0))</f>
        <v>155mm howitzer ammunition</v>
      </c>
      <c r="L465" s="514">
        <f>VLOOKUP(I465,'Price List, Weapons &amp; Items'!A:D,4,0)</f>
        <v>0</v>
      </c>
      <c r="M465" s="515">
        <v>17000</v>
      </c>
      <c r="N465" s="515" t="s">
        <v>232</v>
      </c>
      <c r="O465" s="516">
        <f>VLOOKUP($I465,'Price List, Weapons &amp; Items'!A:F,6,0)</f>
        <v>3800</v>
      </c>
      <c r="P465" s="513">
        <f t="shared" si="97"/>
        <v>64600000</v>
      </c>
      <c r="Q465" s="513" t="str">
        <f t="shared" si="98"/>
        <v>.</v>
      </c>
      <c r="R465" s="513" t="str">
        <f t="shared" si="99"/>
        <v/>
      </c>
      <c r="S465" s="513" t="str">
        <f>IF(AND(AD465=1,R465&lt;&gt;".")=TRUE,R465/VLOOKUP(G465,'Exchange rates'!B:C,2,0),IF(R465=".",".",""))</f>
        <v/>
      </c>
      <c r="T465" s="513" t="str">
        <f>IF(AD465=1,IF(AF465="Value is not given at all",".",IF(AF465="Value is given by the source",S465,IF(AF465="Value is calculated with prices",(IF(SUMIFS(Q:Q,A:A,A465)&gt;0,SUMIFS(Q:Q,A:A,A465),"."))/VLOOKUP("USD",'Exchange rates'!B:C,2,0),"Error with coding"))),"")</f>
        <v/>
      </c>
      <c r="U465" s="39" t="s">
        <v>372</v>
      </c>
      <c r="V465" s="376" t="s">
        <v>1323</v>
      </c>
      <c r="W465" s="376" t="s">
        <v>1324</v>
      </c>
      <c r="X465" s="376" t="s">
        <v>1325</v>
      </c>
      <c r="Y465" s="376" t="s">
        <v>232</v>
      </c>
      <c r="Z465" s="518">
        <v>0</v>
      </c>
      <c r="AA465" s="518">
        <v>0</v>
      </c>
      <c r="AB465" s="395" t="s">
        <v>232</v>
      </c>
      <c r="AC465" s="519" t="str">
        <f>""</f>
        <v/>
      </c>
      <c r="AD465" s="520">
        <v>0</v>
      </c>
      <c r="AE465" s="520" t="s">
        <v>300</v>
      </c>
      <c r="AF465" s="520" t="s">
        <v>237</v>
      </c>
      <c r="AG465" s="520">
        <v>1</v>
      </c>
      <c r="AH465" s="520">
        <v>5</v>
      </c>
      <c r="AI465" s="520">
        <v>0</v>
      </c>
      <c r="AJ465" s="520">
        <f>VLOOKUP($I465,'Price List, Weapons &amp; Items'!A:E,5,0)</f>
        <v>1</v>
      </c>
      <c r="AK465" s="520">
        <f t="shared" si="100"/>
        <v>0</v>
      </c>
      <c r="AL465" s="520">
        <f t="shared" si="101"/>
        <v>0</v>
      </c>
      <c r="AM465" s="520">
        <f t="shared" si="102"/>
        <v>1</v>
      </c>
      <c r="AN465" s="521" t="str">
        <f>VLOOKUP($I465,'Price List, Weapons &amp; Items'!A:K,COLUMN('Price List, Weapons &amp; Items'!$I$1),0)</f>
        <v>Government information</v>
      </c>
      <c r="AO465" s="521" t="str">
        <f>IF(I465=".",".",VLOOKUP($I465,'Price List, Weapons &amp; Items'!A:I,3,0))</f>
        <v>155mm howitzer ammunition</v>
      </c>
      <c r="AP465" s="517" t="str">
        <f t="shared" ca="1" si="94"/>
        <v/>
      </c>
      <c r="AQ465" s="521">
        <f>VLOOKUP($I465,'Price List, Weapons &amp; Items'!A:K,COLUMN('Price List, Weapons &amp; Items'!$K$1),0)</f>
        <v>2</v>
      </c>
      <c r="AS465" s="521">
        <f t="shared" si="103"/>
        <v>0</v>
      </c>
      <c r="AT465" s="521">
        <f t="shared" si="104"/>
        <v>1</v>
      </c>
      <c r="AU465" s="521">
        <f t="shared" si="105"/>
        <v>1</v>
      </c>
      <c r="AV465" s="521" t="str">
        <f t="shared" si="106"/>
        <v>.</v>
      </c>
    </row>
    <row r="466" spans="1:48" ht="15" customHeight="1">
      <c r="A466" s="18" t="s">
        <v>1320</v>
      </c>
      <c r="B466" s="18" t="s">
        <v>1294</v>
      </c>
      <c r="C466" s="511">
        <v>44707</v>
      </c>
      <c r="D466" s="18" t="s">
        <v>252</v>
      </c>
      <c r="E466" s="18" t="s">
        <v>307</v>
      </c>
      <c r="F466" s="512" t="s">
        <v>1321</v>
      </c>
      <c r="G466" s="39" t="s">
        <v>314</v>
      </c>
      <c r="H466" s="513" t="s">
        <v>309</v>
      </c>
      <c r="I466" s="41" t="s">
        <v>1316</v>
      </c>
      <c r="J466" s="276" t="str">
        <f>VLOOKUP($I466,'Price List, Weapons &amp; Items'!A:B,2,0)</f>
        <v>Portable defence system</v>
      </c>
      <c r="K466" s="276" t="str">
        <f>IF(I466=".",I466,VLOOKUP($I466,'Price List, Weapons &amp; Items'!A:C,3,0))</f>
        <v>Light Anti-armor Weapon (LAW)</v>
      </c>
      <c r="L466" s="514">
        <f>VLOOKUP(I466,'Price List, Weapons &amp; Items'!A:D,4,0)</f>
        <v>1</v>
      </c>
      <c r="M466" s="515">
        <v>1100</v>
      </c>
      <c r="N466" s="515" t="s">
        <v>232</v>
      </c>
      <c r="O466" s="516">
        <f>VLOOKUP($I466,'Price List, Weapons &amp; Items'!A:F,6,0)</f>
        <v>207.68</v>
      </c>
      <c r="P466" s="513">
        <f t="shared" si="97"/>
        <v>228448</v>
      </c>
      <c r="Q466" s="513" t="str">
        <f t="shared" si="98"/>
        <v>.</v>
      </c>
      <c r="R466" s="513" t="str">
        <f t="shared" si="99"/>
        <v/>
      </c>
      <c r="S466" s="513" t="str">
        <f>IF(AND(AD466=1,R466&lt;&gt;".")=TRUE,R466/VLOOKUP(G466,'Exchange rates'!B:C,2,0),IF(R466=".",".",""))</f>
        <v/>
      </c>
      <c r="T466" s="513" t="str">
        <f>IF(AD466=1,IF(AF466="Value is not given at all",".",IF(AF466="Value is given by the source",S466,IF(AF466="Value is calculated with prices",(IF(SUMIFS(Q:Q,A:A,A466)&gt;0,SUMIFS(Q:Q,A:A,A466),"."))/VLOOKUP("USD",'Exchange rates'!B:C,2,0),"Error with coding"))),"")</f>
        <v/>
      </c>
      <c r="U466" s="39" t="s">
        <v>372</v>
      </c>
      <c r="V466" s="376" t="s">
        <v>1323</v>
      </c>
      <c r="W466" s="376" t="s">
        <v>1324</v>
      </c>
      <c r="X466" s="376" t="s">
        <v>1325</v>
      </c>
      <c r="Y466" s="376" t="s">
        <v>232</v>
      </c>
      <c r="Z466" s="518">
        <v>0</v>
      </c>
      <c r="AA466" s="518">
        <v>0</v>
      </c>
      <c r="AB466" s="395" t="s">
        <v>232</v>
      </c>
      <c r="AC466" s="519" t="str">
        <f>""</f>
        <v/>
      </c>
      <c r="AD466" s="520">
        <v>0</v>
      </c>
      <c r="AE466" s="520" t="s">
        <v>300</v>
      </c>
      <c r="AF466" s="520" t="s">
        <v>237</v>
      </c>
      <c r="AG466" s="520">
        <v>1</v>
      </c>
      <c r="AH466" s="520">
        <v>5</v>
      </c>
      <c r="AI466" s="520">
        <v>0</v>
      </c>
      <c r="AJ466" s="520">
        <f>VLOOKUP($I466,'Price List, Weapons &amp; Items'!A:E,5,0)</f>
        <v>0</v>
      </c>
      <c r="AK466" s="520">
        <f t="shared" si="100"/>
        <v>0</v>
      </c>
      <c r="AL466" s="520">
        <f t="shared" si="101"/>
        <v>0</v>
      </c>
      <c r="AM466" s="520">
        <f t="shared" si="102"/>
        <v>0</v>
      </c>
      <c r="AN466" s="521" t="str">
        <f>VLOOKUP($I466,'Price List, Weapons &amp; Items'!A:K,COLUMN('Price List, Weapons &amp; Items'!$I$1),0)</f>
        <v>Online marketplaces and stores</v>
      </c>
      <c r="AO466" s="521" t="str">
        <f>IF(I466=".",".",VLOOKUP($I466,'Price List, Weapons &amp; Items'!A:I,3,0))</f>
        <v>Light Anti-armor Weapon (LAW)</v>
      </c>
      <c r="AP466" s="517" t="str">
        <f t="shared" ca="1" si="94"/>
        <v/>
      </c>
      <c r="AQ466" s="521">
        <f>VLOOKUP($I466,'Price List, Weapons &amp; Items'!A:K,COLUMN('Price List, Weapons &amp; Items'!$K$1),0)</f>
        <v>1</v>
      </c>
      <c r="AS466" s="521">
        <f t="shared" si="103"/>
        <v>0</v>
      </c>
      <c r="AT466" s="521">
        <f t="shared" si="104"/>
        <v>1</v>
      </c>
      <c r="AU466" s="521">
        <f t="shared" si="105"/>
        <v>1</v>
      </c>
      <c r="AV466" s="521" t="str">
        <f t="shared" si="106"/>
        <v>.</v>
      </c>
    </row>
    <row r="467" spans="1:48" ht="15" customHeight="1">
      <c r="A467" s="18" t="s">
        <v>1328</v>
      </c>
      <c r="B467" s="18" t="s">
        <v>1294</v>
      </c>
      <c r="C467" s="511">
        <v>44822</v>
      </c>
      <c r="D467" s="18" t="s">
        <v>252</v>
      </c>
      <c r="E467" s="18" t="s">
        <v>307</v>
      </c>
      <c r="F467" s="512" t="s">
        <v>1329</v>
      </c>
      <c r="G467" s="39" t="s">
        <v>314</v>
      </c>
      <c r="H467" s="513" t="s">
        <v>309</v>
      </c>
      <c r="I467" s="41" t="s">
        <v>1330</v>
      </c>
      <c r="J467" s="276" t="str">
        <f>VLOOKUP($I467,'Price List, Weapons &amp; Items'!A:B,2,0)</f>
        <v>Heavy weapon</v>
      </c>
      <c r="K467" s="276" t="str">
        <f>IF(I467=".",I467,VLOOKUP($I467,'Price List, Weapons &amp; Items'!A:C,3,0))</f>
        <v>Infantry fighting vehicle (IFV)</v>
      </c>
      <c r="L467" s="514">
        <f>VLOOKUP(I467,'Price List, Weapons &amp; Items'!A:D,4,0)</f>
        <v>1</v>
      </c>
      <c r="M467" s="515">
        <v>40</v>
      </c>
      <c r="N467" s="515">
        <v>40</v>
      </c>
      <c r="O467" s="516">
        <f>VLOOKUP($I467,'Price List, Weapons &amp; Items'!A:F,6,0)</f>
        <v>561542.53</v>
      </c>
      <c r="P467" s="513">
        <f t="shared" si="97"/>
        <v>22461701.200000003</v>
      </c>
      <c r="Q467" s="513">
        <f t="shared" si="98"/>
        <v>22461701.200000003</v>
      </c>
      <c r="R467" s="513">
        <f t="shared" si="99"/>
        <v>22461701.200000003</v>
      </c>
      <c r="S467" s="513">
        <f>IF(AND(AD467=1,R467&lt;&gt;".")=TRUE,R467/VLOOKUP(G467,'Exchange rates'!B:C,2,0),IF(R467=".",".",""))</f>
        <v>22383359.441953167</v>
      </c>
      <c r="T467" s="513">
        <f>IF(AD467=1,IF(AF467="Value is not given at all",".",IF(AF467="Value is given by the source",S467,IF(AF467="Value is calculated with prices",(IF(SUMIFS(Q:Q,A:A,A467)&gt;0,SUMIFS(Q:Q,A:A,A467),"."))/VLOOKUP("USD",'Exchange rates'!B:C,2,0),"Error with coding"))),"")</f>
        <v>22383359.441953167</v>
      </c>
      <c r="U467" s="39" t="s">
        <v>233</v>
      </c>
      <c r="V467" s="376" t="s">
        <v>1331</v>
      </c>
      <c r="W467" s="376" t="s">
        <v>1332</v>
      </c>
      <c r="X467" s="376" t="s">
        <v>232</v>
      </c>
      <c r="Y467" s="376" t="s">
        <v>232</v>
      </c>
      <c r="Z467" s="518">
        <v>0</v>
      </c>
      <c r="AA467" s="518">
        <v>0</v>
      </c>
      <c r="AB467" s="395" t="s">
        <v>1333</v>
      </c>
      <c r="AC467" s="519" t="str">
        <f>""</f>
        <v/>
      </c>
      <c r="AD467" s="520">
        <v>1</v>
      </c>
      <c r="AE467" s="520" t="s">
        <v>300</v>
      </c>
      <c r="AF467" s="520" t="s">
        <v>300</v>
      </c>
      <c r="AG467" s="520">
        <v>1</v>
      </c>
      <c r="AH467" s="520">
        <v>9</v>
      </c>
      <c r="AI467" s="520">
        <v>0</v>
      </c>
      <c r="AJ467" s="520">
        <f>VLOOKUP($I467,'Price List, Weapons &amp; Items'!A:E,5,0)</f>
        <v>1</v>
      </c>
      <c r="AK467" s="520">
        <f t="shared" si="100"/>
        <v>0</v>
      </c>
      <c r="AL467" s="520">
        <f t="shared" si="101"/>
        <v>0</v>
      </c>
      <c r="AM467" s="520">
        <f t="shared" si="102"/>
        <v>0</v>
      </c>
      <c r="AN467" s="521" t="str">
        <f>VLOOKUP($I467,'Price List, Weapons &amp; Items'!A:K,COLUMN('Price List, Weapons &amp; Items'!$I$1),0)</f>
        <v>Contracts</v>
      </c>
      <c r="AO467" s="521" t="str">
        <f>IF(I467=".",".",VLOOKUP($I467,'Price List, Weapons &amp; Items'!A:I,3,0))</f>
        <v>Infantry fighting vehicle (IFV)</v>
      </c>
      <c r="AP467" s="517" t="str">
        <f t="shared" ca="1" si="94"/>
        <v>BMP-1</v>
      </c>
      <c r="AQ467" s="521">
        <f>VLOOKUP($I467,'Price List, Weapons &amp; Items'!A:K,COLUMN('Price List, Weapons &amp; Items'!$K$1),0)</f>
        <v>2</v>
      </c>
      <c r="AS467" s="521">
        <f t="shared" si="103"/>
        <v>1</v>
      </c>
      <c r="AT467" s="521">
        <f t="shared" si="104"/>
        <v>1</v>
      </c>
      <c r="AU467" s="521">
        <f t="shared" si="105"/>
        <v>1</v>
      </c>
      <c r="AV467" s="521" t="str">
        <f t="shared" si="106"/>
        <v>.</v>
      </c>
    </row>
    <row r="468" spans="1:48" ht="15" customHeight="1">
      <c r="A468" s="18" t="s">
        <v>1334</v>
      </c>
      <c r="B468" s="18" t="s">
        <v>1335</v>
      </c>
      <c r="C468" s="511">
        <v>44619</v>
      </c>
      <c r="D468" s="18" t="s">
        <v>228</v>
      </c>
      <c r="E468" s="18" t="s">
        <v>239</v>
      </c>
      <c r="F468" s="512" t="s">
        <v>1336</v>
      </c>
      <c r="G468" s="39" t="s">
        <v>314</v>
      </c>
      <c r="H468" s="513" t="s">
        <v>309</v>
      </c>
      <c r="I468" s="41" t="s">
        <v>1337</v>
      </c>
      <c r="J468" s="276" t="str">
        <f>VLOOKUP($I468,'Price List, Weapons &amp; Items'!A:B,2,0)</f>
        <v>Humanitarian</v>
      </c>
      <c r="K468" s="276" t="str">
        <f>IF(I468=".",I468,VLOOKUP($I468,'Price List, Weapons &amp; Items'!A:C,3,0))</f>
        <v>.</v>
      </c>
      <c r="L468" s="514">
        <f>VLOOKUP(I468,'Price List, Weapons &amp; Items'!A:D,4,0)</f>
        <v>0</v>
      </c>
      <c r="M468" s="515">
        <v>32000</v>
      </c>
      <c r="N468" s="515" t="s">
        <v>232</v>
      </c>
      <c r="O468" s="516">
        <f>VLOOKUP($I468,'Price List, Weapons &amp; Items'!A:F,6,0)</f>
        <v>1.35</v>
      </c>
      <c r="P468" s="513">
        <f t="shared" si="97"/>
        <v>43200</v>
      </c>
      <c r="Q468" s="513" t="str">
        <f t="shared" si="98"/>
        <v>.</v>
      </c>
      <c r="R468" s="513">
        <f t="shared" si="99"/>
        <v>198960</v>
      </c>
      <c r="S468" s="513">
        <f>IF(AND(AD468=1,R468&lt;&gt;".")=TRUE,R468/VLOOKUP(G468,'Exchange rates'!B:C,2,0),IF(R468=".",".",""))</f>
        <v>198266.06875934228</v>
      </c>
      <c r="T468" s="513" t="str">
        <f>IF(AD468=1,IF(AF468="Value is not given at all",".",IF(AF468="Value is given by the source",S468,IF(AF468="Value is calculated with prices",(IF(SUMIFS(Q:Q,A:A,A468)&gt;0,SUMIFS(Q:Q,A:A,A468),"."))/VLOOKUP("USD",'Exchange rates'!B:C,2,0),"Error with coding"))),"")</f>
        <v>.</v>
      </c>
      <c r="U468" s="39" t="s">
        <v>372</v>
      </c>
      <c r="V468" s="376" t="s">
        <v>1338</v>
      </c>
      <c r="W468" s="376" t="s">
        <v>1339</v>
      </c>
      <c r="X468" s="530" t="s">
        <v>232</v>
      </c>
      <c r="Y468" s="530" t="s">
        <v>232</v>
      </c>
      <c r="Z468" s="39">
        <v>0</v>
      </c>
      <c r="AA468" s="518">
        <v>0</v>
      </c>
      <c r="AB468" s="38" t="s">
        <v>232</v>
      </c>
      <c r="AC468" s="519" t="str">
        <f>""</f>
        <v/>
      </c>
      <c r="AD468" s="520">
        <v>1</v>
      </c>
      <c r="AE468" s="520" t="s">
        <v>300</v>
      </c>
      <c r="AF468" s="520" t="s">
        <v>237</v>
      </c>
      <c r="AG468" s="520">
        <v>1</v>
      </c>
      <c r="AH468" s="520">
        <v>2</v>
      </c>
      <c r="AI468" s="520">
        <v>0</v>
      </c>
      <c r="AJ468" s="520">
        <f>VLOOKUP($I468,'Price List, Weapons &amp; Items'!A:E,5,0)</f>
        <v>0</v>
      </c>
      <c r="AK468" s="520">
        <f t="shared" si="100"/>
        <v>0</v>
      </c>
      <c r="AL468" s="520">
        <f t="shared" si="101"/>
        <v>0</v>
      </c>
      <c r="AM468" s="520">
        <f t="shared" si="102"/>
        <v>0</v>
      </c>
      <c r="AN468" s="521" t="str">
        <f>VLOOKUP($I468,'Price List, Weapons &amp; Items'!A:K,COLUMN('Price List, Weapons &amp; Items'!$I$1),0)</f>
        <v>Miscellaneous</v>
      </c>
      <c r="AO468" s="521" t="str">
        <f>IF(I468=".",".",VLOOKUP($I468,'Price List, Weapons &amp; Items'!A:I,3,0))</f>
        <v>.</v>
      </c>
      <c r="AP468" s="517" t="str">
        <f t="shared" ca="1" si="94"/>
        <v>liter of diesel H; liter of fuel H; ton of food</v>
      </c>
      <c r="AQ468" s="521">
        <f>VLOOKUP($I468,'Price List, Weapons &amp; Items'!A:K,COLUMN('Price List, Weapons &amp; Items'!$K$1),0)</f>
        <v>0</v>
      </c>
      <c r="AS468" s="521">
        <f t="shared" si="103"/>
        <v>0</v>
      </c>
      <c r="AT468" s="521">
        <f t="shared" si="104"/>
        <v>0</v>
      </c>
      <c r="AU468" s="521">
        <f t="shared" si="105"/>
        <v>1</v>
      </c>
      <c r="AV468" s="521" t="str">
        <f t="shared" si="106"/>
        <v>.</v>
      </c>
    </row>
    <row r="469" spans="1:48" ht="15" customHeight="1">
      <c r="A469" s="18" t="s">
        <v>1334</v>
      </c>
      <c r="B469" s="18" t="s">
        <v>1335</v>
      </c>
      <c r="C469" s="511">
        <v>44619</v>
      </c>
      <c r="D469" s="18" t="s">
        <v>228</v>
      </c>
      <c r="E469" s="18" t="s">
        <v>239</v>
      </c>
      <c r="F469" s="512" t="s">
        <v>1336</v>
      </c>
      <c r="G469" s="39" t="s">
        <v>314</v>
      </c>
      <c r="H469" s="513" t="s">
        <v>309</v>
      </c>
      <c r="I469" s="41" t="s">
        <v>1340</v>
      </c>
      <c r="J469" s="276" t="str">
        <f>VLOOKUP($I469,'Price List, Weapons &amp; Items'!A:B,2,0)</f>
        <v>Humanitarian</v>
      </c>
      <c r="K469" s="276" t="str">
        <f>IF(I469=".",I469,VLOOKUP($I469,'Price List, Weapons &amp; Items'!A:C,3,0))</f>
        <v>.</v>
      </c>
      <c r="L469" s="514">
        <f>VLOOKUP(I469,'Price List, Weapons &amp; Items'!A:D,4,0)</f>
        <v>0</v>
      </c>
      <c r="M469" s="515">
        <v>68000</v>
      </c>
      <c r="N469" s="515" t="s">
        <v>232</v>
      </c>
      <c r="O469" s="516">
        <f>VLOOKUP($I469,'Price List, Weapons &amp; Items'!A:F,6,0)</f>
        <v>1.29</v>
      </c>
      <c r="P469" s="513">
        <f t="shared" si="97"/>
        <v>87720</v>
      </c>
      <c r="Q469" s="513" t="str">
        <f t="shared" si="98"/>
        <v>.</v>
      </c>
      <c r="R469" s="513" t="str">
        <f t="shared" si="99"/>
        <v/>
      </c>
      <c r="S469" s="513" t="str">
        <f>IF(AND(AD469=1,R469&lt;&gt;".")=TRUE,R469/VLOOKUP(G469,'Exchange rates'!B:C,2,0),IF(R469=".",".",""))</f>
        <v/>
      </c>
      <c r="T469" s="513" t="str">
        <f>IF(AD469=1,IF(AF469="Value is not given at all",".",IF(AF469="Value is given by the source",S469,IF(AF469="Value is calculated with prices",(IF(SUMIFS(Q:Q,A:A,A469)&gt;0,SUMIFS(Q:Q,A:A,A469),"."))/VLOOKUP("USD",'Exchange rates'!B:C,2,0),"Error with coding"))),"")</f>
        <v/>
      </c>
      <c r="U469" s="39" t="s">
        <v>372</v>
      </c>
      <c r="V469" s="376" t="s">
        <v>1338</v>
      </c>
      <c r="W469" s="376" t="s">
        <v>1339</v>
      </c>
      <c r="X469" s="530" t="s">
        <v>232</v>
      </c>
      <c r="Y469" s="530" t="s">
        <v>232</v>
      </c>
      <c r="Z469" s="39">
        <v>0</v>
      </c>
      <c r="AA469" s="518">
        <v>0</v>
      </c>
      <c r="AB469" s="38" t="s">
        <v>232</v>
      </c>
      <c r="AC469" s="519" t="str">
        <f>""</f>
        <v/>
      </c>
      <c r="AD469" s="520">
        <v>0</v>
      </c>
      <c r="AE469" s="520" t="s">
        <v>300</v>
      </c>
      <c r="AF469" s="520" t="s">
        <v>237</v>
      </c>
      <c r="AG469" s="520">
        <v>1</v>
      </c>
      <c r="AH469" s="520">
        <v>2</v>
      </c>
      <c r="AI469" s="520">
        <v>0</v>
      </c>
      <c r="AJ469" s="520">
        <f>VLOOKUP($I469,'Price List, Weapons &amp; Items'!A:E,5,0)</f>
        <v>0</v>
      </c>
      <c r="AK469" s="520">
        <f t="shared" si="100"/>
        <v>0</v>
      </c>
      <c r="AL469" s="520">
        <f t="shared" si="101"/>
        <v>0</v>
      </c>
      <c r="AM469" s="520">
        <f t="shared" si="102"/>
        <v>0</v>
      </c>
      <c r="AN469" s="521" t="str">
        <f>VLOOKUP($I469,'Price List, Weapons &amp; Items'!A:K,COLUMN('Price List, Weapons &amp; Items'!$I$1),0)</f>
        <v>Miscellaneous</v>
      </c>
      <c r="AO469" s="521" t="str">
        <f>IF(I469=".",".",VLOOKUP($I469,'Price List, Weapons &amp; Items'!A:I,3,0))</f>
        <v>.</v>
      </c>
      <c r="AP469" s="517" t="str">
        <f t="shared" ca="1" si="94"/>
        <v/>
      </c>
      <c r="AQ469" s="521">
        <f>VLOOKUP($I469,'Price List, Weapons &amp; Items'!A:K,COLUMN('Price List, Weapons &amp; Items'!$K$1),0)</f>
        <v>0</v>
      </c>
      <c r="AS469" s="521">
        <f t="shared" si="103"/>
        <v>0</v>
      </c>
      <c r="AT469" s="521">
        <f t="shared" si="104"/>
        <v>0</v>
      </c>
      <c r="AU469" s="521">
        <f t="shared" si="105"/>
        <v>1</v>
      </c>
      <c r="AV469" s="521" t="str">
        <f t="shared" si="106"/>
        <v>.</v>
      </c>
    </row>
    <row r="470" spans="1:48" ht="15" customHeight="1">
      <c r="A470" s="18" t="s">
        <v>1334</v>
      </c>
      <c r="B470" s="18" t="s">
        <v>1335</v>
      </c>
      <c r="C470" s="511">
        <v>44619</v>
      </c>
      <c r="D470" s="18" t="s">
        <v>228</v>
      </c>
      <c r="E470" s="18" t="s">
        <v>239</v>
      </c>
      <c r="F470" s="512" t="s">
        <v>1336</v>
      </c>
      <c r="G470" s="39" t="s">
        <v>314</v>
      </c>
      <c r="H470" s="513" t="s">
        <v>309</v>
      </c>
      <c r="I470" s="41" t="s">
        <v>620</v>
      </c>
      <c r="J470" s="276" t="str">
        <f>VLOOKUP($I470,'Price List, Weapons &amp; Items'!A:B,2,0)</f>
        <v>Humanitarian</v>
      </c>
      <c r="K470" s="276" t="str">
        <f>IF(I470=".",I470,VLOOKUP($I470,'Price List, Weapons &amp; Items'!A:C,3,0))</f>
        <v>.</v>
      </c>
      <c r="L470" s="514">
        <f>VLOOKUP(I470,'Price List, Weapons &amp; Items'!A:D,4,0)</f>
        <v>0</v>
      </c>
      <c r="M470" s="515">
        <v>28</v>
      </c>
      <c r="N470" s="515" t="s">
        <v>232</v>
      </c>
      <c r="O470" s="516">
        <f>VLOOKUP($I470,'Price List, Weapons &amp; Items'!A:F,6,0)</f>
        <v>2430</v>
      </c>
      <c r="P470" s="513">
        <f t="shared" si="97"/>
        <v>68040</v>
      </c>
      <c r="Q470" s="513" t="str">
        <f t="shared" si="98"/>
        <v>.</v>
      </c>
      <c r="R470" s="513" t="str">
        <f t="shared" si="99"/>
        <v/>
      </c>
      <c r="S470" s="513" t="str">
        <f>IF(AND(AD470=1,R470&lt;&gt;".")=TRUE,R470/VLOOKUP(G470,'Exchange rates'!B:C,2,0),IF(R470=".",".",""))</f>
        <v/>
      </c>
      <c r="T470" s="513" t="str">
        <f>IF(AD470=1,IF(AF470="Value is not given at all",".",IF(AF470="Value is given by the source",S470,IF(AF470="Value is calculated with prices",(IF(SUMIFS(Q:Q,A:A,A470)&gt;0,SUMIFS(Q:Q,A:A,A470),"."))/VLOOKUP("USD",'Exchange rates'!B:C,2,0),"Error with coding"))),"")</f>
        <v/>
      </c>
      <c r="U470" s="39" t="s">
        <v>372</v>
      </c>
      <c r="V470" s="376" t="s">
        <v>1338</v>
      </c>
      <c r="W470" s="376" t="s">
        <v>1339</v>
      </c>
      <c r="X470" s="530" t="s">
        <v>232</v>
      </c>
      <c r="Y470" s="530" t="s">
        <v>232</v>
      </c>
      <c r="Z470" s="39">
        <v>0</v>
      </c>
      <c r="AA470" s="518">
        <v>0</v>
      </c>
      <c r="AB470" s="38" t="s">
        <v>232</v>
      </c>
      <c r="AC470" s="519" t="str">
        <f>""</f>
        <v/>
      </c>
      <c r="AD470" s="520">
        <v>0</v>
      </c>
      <c r="AE470" s="520" t="s">
        <v>300</v>
      </c>
      <c r="AF470" s="520" t="s">
        <v>237</v>
      </c>
      <c r="AG470" s="520">
        <v>1</v>
      </c>
      <c r="AH470" s="520">
        <v>2</v>
      </c>
      <c r="AI470" s="520">
        <v>0</v>
      </c>
      <c r="AJ470" s="520">
        <f>VLOOKUP($I470,'Price List, Weapons &amp; Items'!A:E,5,0)</f>
        <v>0</v>
      </c>
      <c r="AK470" s="520">
        <f t="shared" si="100"/>
        <v>0</v>
      </c>
      <c r="AL470" s="520">
        <f t="shared" si="101"/>
        <v>0</v>
      </c>
      <c r="AM470" s="520">
        <f t="shared" si="102"/>
        <v>0</v>
      </c>
      <c r="AN470" s="521" t="str">
        <f>VLOOKUP($I470,'Price List, Weapons &amp; Items'!A:K,COLUMN('Price List, Weapons &amp; Items'!$I$1),0)</f>
        <v>Government information</v>
      </c>
      <c r="AO470" s="521" t="str">
        <f>IF(I470=".",".",VLOOKUP($I470,'Price List, Weapons &amp; Items'!A:I,3,0))</f>
        <v>.</v>
      </c>
      <c r="AP470" s="517" t="str">
        <f t="shared" ca="1" si="94"/>
        <v/>
      </c>
      <c r="AQ470" s="521">
        <f>VLOOKUP($I470,'Price List, Weapons &amp; Items'!A:K,COLUMN('Price List, Weapons &amp; Items'!$K$1),0)</f>
        <v>0</v>
      </c>
      <c r="AS470" s="521">
        <f t="shared" si="103"/>
        <v>0</v>
      </c>
      <c r="AT470" s="521">
        <f t="shared" si="104"/>
        <v>0</v>
      </c>
      <c r="AU470" s="521">
        <f t="shared" si="105"/>
        <v>1</v>
      </c>
      <c r="AV470" s="521" t="str">
        <f t="shared" si="106"/>
        <v>.</v>
      </c>
    </row>
    <row r="471" spans="1:48" ht="15" customHeight="1">
      <c r="A471" s="18" t="s">
        <v>1341</v>
      </c>
      <c r="B471" s="18" t="s">
        <v>1335</v>
      </c>
      <c r="C471" s="511">
        <v>44641</v>
      </c>
      <c r="D471" s="18" t="s">
        <v>228</v>
      </c>
      <c r="E471" s="18" t="s">
        <v>239</v>
      </c>
      <c r="F471" s="512" t="s">
        <v>1342</v>
      </c>
      <c r="G471" s="39" t="s">
        <v>314</v>
      </c>
      <c r="H471" s="513" t="s">
        <v>309</v>
      </c>
      <c r="I471" s="41" t="s">
        <v>1343</v>
      </c>
      <c r="J471" s="276" t="str">
        <f>VLOOKUP($I471,'Price List, Weapons &amp; Items'!A:B,2,0)</f>
        <v>Humanitarian</v>
      </c>
      <c r="K471" s="276" t="str">
        <f>IF(I471=".",I471,VLOOKUP($I471,'Price List, Weapons &amp; Items'!A:C,3,0))</f>
        <v>.</v>
      </c>
      <c r="L471" s="514">
        <f>VLOOKUP(I471,'Price List, Weapons &amp; Items'!A:D,4,0)</f>
        <v>0</v>
      </c>
      <c r="M471" s="515">
        <v>200</v>
      </c>
      <c r="N471" s="515" t="s">
        <v>232</v>
      </c>
      <c r="O471" s="516">
        <f>VLOOKUP($I471,'Price List, Weapons &amp; Items'!A:F,6,0)</f>
        <v>27500</v>
      </c>
      <c r="P471" s="513">
        <f t="shared" si="97"/>
        <v>5500000</v>
      </c>
      <c r="Q471" s="513" t="str">
        <f t="shared" si="98"/>
        <v>.</v>
      </c>
      <c r="R471" s="513">
        <f t="shared" si="99"/>
        <v>6549500</v>
      </c>
      <c r="S471" s="513">
        <f>IF(AND(AD471=1,R471&lt;&gt;".")=TRUE,R471/VLOOKUP(G471,'Exchange rates'!B:C,2,0),IF(R471=".",".",""))</f>
        <v>6526656.7015445931</v>
      </c>
      <c r="T471" s="513" t="str">
        <f>IF(AD471=1,IF(AF471="Value is not given at all",".",IF(AF471="Value is given by the source",S471,IF(AF471="Value is calculated with prices",(IF(SUMIFS(Q:Q,A:A,A471)&gt;0,SUMIFS(Q:Q,A:A,A471),"."))/VLOOKUP("USD",'Exchange rates'!B:C,2,0),"Error with coding"))),"")</f>
        <v>.</v>
      </c>
      <c r="U471" s="39" t="s">
        <v>233</v>
      </c>
      <c r="V471" s="376" t="s">
        <v>1344</v>
      </c>
      <c r="W471" s="376" t="s">
        <v>1345</v>
      </c>
      <c r="X471" s="530" t="s">
        <v>232</v>
      </c>
      <c r="Y471" s="530" t="s">
        <v>232</v>
      </c>
      <c r="Z471" s="39">
        <v>0</v>
      </c>
      <c r="AA471" s="518">
        <v>0</v>
      </c>
      <c r="AB471" s="38" t="s">
        <v>232</v>
      </c>
      <c r="AC471" s="519" t="str">
        <f>""</f>
        <v/>
      </c>
      <c r="AD471" s="520">
        <v>1</v>
      </c>
      <c r="AE471" s="520" t="s">
        <v>300</v>
      </c>
      <c r="AF471" s="520" t="s">
        <v>237</v>
      </c>
      <c r="AG471" s="520">
        <v>1</v>
      </c>
      <c r="AH471" s="520">
        <v>3</v>
      </c>
      <c r="AI471" s="520">
        <v>0</v>
      </c>
      <c r="AJ471" s="520">
        <f>VLOOKUP($I471,'Price List, Weapons &amp; Items'!A:E,5,0)</f>
        <v>0</v>
      </c>
      <c r="AK471" s="520">
        <f t="shared" si="100"/>
        <v>0</v>
      </c>
      <c r="AL471" s="520">
        <f t="shared" si="101"/>
        <v>0</v>
      </c>
      <c r="AM471" s="520">
        <f t="shared" si="102"/>
        <v>0</v>
      </c>
      <c r="AN471" s="521" t="str">
        <f>VLOOKUP($I471,'Price List, Weapons &amp; Items'!A:K,COLUMN('Price List, Weapons &amp; Items'!$I$1),0)</f>
        <v>Miscellaneous</v>
      </c>
      <c r="AO471" s="521" t="str">
        <f>IF(I471=".",".",VLOOKUP($I471,'Price List, Weapons &amp; Items'!A:I,3,0))</f>
        <v>.</v>
      </c>
      <c r="AP471" s="517" t="str">
        <f t="shared" ca="1" si="94"/>
        <v>ventilator; patient monitor; central monitor; infusion pump and blood bag</v>
      </c>
      <c r="AQ471" s="521">
        <f>VLOOKUP($I471,'Price List, Weapons &amp; Items'!A:K,COLUMN('Price List, Weapons &amp; Items'!$K$1),0)</f>
        <v>0</v>
      </c>
      <c r="AS471" s="521">
        <f t="shared" si="103"/>
        <v>1</v>
      </c>
      <c r="AT471" s="521">
        <f t="shared" si="104"/>
        <v>0</v>
      </c>
      <c r="AU471" s="521">
        <f t="shared" si="105"/>
        <v>1</v>
      </c>
      <c r="AV471" s="521" t="str">
        <f t="shared" si="106"/>
        <v>.</v>
      </c>
    </row>
    <row r="472" spans="1:48" ht="15" customHeight="1">
      <c r="A472" s="18" t="s">
        <v>1341</v>
      </c>
      <c r="B472" s="18" t="s">
        <v>1335</v>
      </c>
      <c r="C472" s="511">
        <v>44641</v>
      </c>
      <c r="D472" s="18" t="s">
        <v>228</v>
      </c>
      <c r="E472" s="18" t="s">
        <v>239</v>
      </c>
      <c r="F472" s="512" t="s">
        <v>1342</v>
      </c>
      <c r="G472" s="39" t="s">
        <v>314</v>
      </c>
      <c r="H472" s="513" t="s">
        <v>309</v>
      </c>
      <c r="I472" s="41" t="s">
        <v>1346</v>
      </c>
      <c r="J472" s="276" t="str">
        <f>VLOOKUP($I472,'Price List, Weapons &amp; Items'!A:B,2,0)</f>
        <v>Humanitarian</v>
      </c>
      <c r="K472" s="276" t="str">
        <f>IF(I472=".",I472,VLOOKUP($I472,'Price List, Weapons &amp; Items'!A:C,3,0))</f>
        <v>.</v>
      </c>
      <c r="L472" s="514">
        <f>VLOOKUP(I472,'Price List, Weapons &amp; Items'!A:D,4,0)</f>
        <v>0</v>
      </c>
      <c r="M472" s="515">
        <v>250</v>
      </c>
      <c r="N472" s="515" t="s">
        <v>232</v>
      </c>
      <c r="O472" s="516">
        <f>VLOOKUP($I472,'Price List, Weapons &amp; Items'!A:F,6,0)</f>
        <v>4173</v>
      </c>
      <c r="P472" s="513">
        <f t="shared" si="97"/>
        <v>1043250</v>
      </c>
      <c r="Q472" s="513" t="str">
        <f t="shared" si="98"/>
        <v>.</v>
      </c>
      <c r="R472" s="513" t="str">
        <f t="shared" si="99"/>
        <v/>
      </c>
      <c r="S472" s="513" t="str">
        <f>IF(AND(AD472=1,R472&lt;&gt;".")=TRUE,R472/VLOOKUP(G472,'Exchange rates'!B:C,2,0),IF(R472=".",".",""))</f>
        <v/>
      </c>
      <c r="T472" s="513" t="str">
        <f>IF(AD472=1,IF(AF472="Value is not given at all",".",IF(AF472="Value is given by the source",S472,IF(AF472="Value is calculated with prices",(IF(SUMIFS(Q:Q,A:A,A472)&gt;0,SUMIFS(Q:Q,A:A,A472),"."))/VLOOKUP("USD",'Exchange rates'!B:C,2,0),"Error with coding"))),"")</f>
        <v/>
      </c>
      <c r="U472" s="39" t="s">
        <v>233</v>
      </c>
      <c r="V472" s="376" t="s">
        <v>1344</v>
      </c>
      <c r="W472" s="376" t="s">
        <v>1345</v>
      </c>
      <c r="X472" s="530" t="s">
        <v>232</v>
      </c>
      <c r="Y472" s="530" t="s">
        <v>232</v>
      </c>
      <c r="Z472" s="39">
        <v>0</v>
      </c>
      <c r="AA472" s="518">
        <v>0</v>
      </c>
      <c r="AB472" s="38" t="s">
        <v>232</v>
      </c>
      <c r="AC472" s="519" t="str">
        <f>""</f>
        <v/>
      </c>
      <c r="AD472" s="520">
        <v>0</v>
      </c>
      <c r="AE472" s="520" t="s">
        <v>300</v>
      </c>
      <c r="AF472" s="520" t="s">
        <v>237</v>
      </c>
      <c r="AG472" s="520">
        <v>1</v>
      </c>
      <c r="AH472" s="520">
        <v>3</v>
      </c>
      <c r="AI472" s="520">
        <v>0</v>
      </c>
      <c r="AJ472" s="520">
        <f>VLOOKUP($I472,'Price List, Weapons &amp; Items'!A:E,5,0)</f>
        <v>0</v>
      </c>
      <c r="AK472" s="520">
        <f t="shared" si="100"/>
        <v>0</v>
      </c>
      <c r="AL472" s="520">
        <f t="shared" si="101"/>
        <v>0</v>
      </c>
      <c r="AM472" s="520">
        <f t="shared" si="102"/>
        <v>0</v>
      </c>
      <c r="AN472" s="521" t="str">
        <f>VLOOKUP($I472,'Price List, Weapons &amp; Items'!A:K,COLUMN('Price List, Weapons &amp; Items'!$I$1),0)</f>
        <v>Miscellaneous</v>
      </c>
      <c r="AO472" s="521" t="str">
        <f>IF(I472=".",".",VLOOKUP($I472,'Price List, Weapons &amp; Items'!A:I,3,0))</f>
        <v>.</v>
      </c>
      <c r="AP472" s="517" t="str">
        <f t="shared" ref="AP472:AP535" ca="1" si="107">IF(AD472=1,_xlfn.ARRAYTOTEXT(OFFSET(I472,0,0,COUNTIF(A:A,A472),1)),"")</f>
        <v/>
      </c>
      <c r="AQ472" s="521">
        <f>VLOOKUP($I472,'Price List, Weapons &amp; Items'!A:K,COLUMN('Price List, Weapons &amp; Items'!$K$1),0)</f>
        <v>0</v>
      </c>
      <c r="AS472" s="521">
        <f t="shared" si="103"/>
        <v>1</v>
      </c>
      <c r="AT472" s="521">
        <f t="shared" si="104"/>
        <v>0</v>
      </c>
      <c r="AU472" s="521">
        <f t="shared" si="105"/>
        <v>1</v>
      </c>
      <c r="AV472" s="521" t="str">
        <f t="shared" si="106"/>
        <v>.</v>
      </c>
    </row>
    <row r="473" spans="1:48" ht="15" customHeight="1">
      <c r="A473" s="18" t="s">
        <v>1341</v>
      </c>
      <c r="B473" s="18" t="s">
        <v>1335</v>
      </c>
      <c r="C473" s="511">
        <v>44641</v>
      </c>
      <c r="D473" s="18" t="s">
        <v>228</v>
      </c>
      <c r="E473" s="18" t="s">
        <v>239</v>
      </c>
      <c r="F473" s="512" t="s">
        <v>1342</v>
      </c>
      <c r="G473" s="39" t="s">
        <v>314</v>
      </c>
      <c r="H473" s="513" t="s">
        <v>309</v>
      </c>
      <c r="I473" s="41" t="s">
        <v>1347</v>
      </c>
      <c r="J473" s="276" t="str">
        <f>VLOOKUP($I473,'Price List, Weapons &amp; Items'!A:B,2,0)</f>
        <v>Humanitarian</v>
      </c>
      <c r="K473" s="276" t="str">
        <f>IF(I473=".",I473,VLOOKUP($I473,'Price List, Weapons &amp; Items'!A:C,3,0))</f>
        <v>.</v>
      </c>
      <c r="L473" s="514">
        <f>VLOOKUP(I473,'Price List, Weapons &amp; Items'!A:D,4,0)</f>
        <v>0</v>
      </c>
      <c r="M473" s="515">
        <v>25</v>
      </c>
      <c r="N473" s="515" t="s">
        <v>232</v>
      </c>
      <c r="O473" s="516">
        <f>VLOOKUP($I473,'Price List, Weapons &amp; Items'!A:F,6,0)</f>
        <v>250</v>
      </c>
      <c r="P473" s="513">
        <f t="shared" si="97"/>
        <v>6250</v>
      </c>
      <c r="Q473" s="513" t="str">
        <f t="shared" si="98"/>
        <v>.</v>
      </c>
      <c r="R473" s="513" t="str">
        <f t="shared" si="99"/>
        <v/>
      </c>
      <c r="S473" s="513" t="str">
        <f>IF(AND(AD473=1,R473&lt;&gt;".")=TRUE,R473/VLOOKUP(G473,'Exchange rates'!B:C,2,0),IF(R473=".",".",""))</f>
        <v/>
      </c>
      <c r="T473" s="513" t="str">
        <f>IF(AD473=1,IF(AF473="Value is not given at all",".",IF(AF473="Value is given by the source",S473,IF(AF473="Value is calculated with prices",(IF(SUMIFS(Q:Q,A:A,A473)&gt;0,SUMIFS(Q:Q,A:A,A473),"."))/VLOOKUP("USD",'Exchange rates'!B:C,2,0),"Error with coding"))),"")</f>
        <v/>
      </c>
      <c r="U473" s="39" t="s">
        <v>233</v>
      </c>
      <c r="V473" s="376" t="s">
        <v>1344</v>
      </c>
      <c r="W473" s="376" t="s">
        <v>1345</v>
      </c>
      <c r="X473" s="530" t="s">
        <v>232</v>
      </c>
      <c r="Y473" s="530" t="s">
        <v>232</v>
      </c>
      <c r="Z473" s="39">
        <v>0</v>
      </c>
      <c r="AA473" s="518">
        <v>0</v>
      </c>
      <c r="AB473" s="38" t="s">
        <v>232</v>
      </c>
      <c r="AC473" s="519" t="str">
        <f>""</f>
        <v/>
      </c>
      <c r="AD473" s="520">
        <v>0</v>
      </c>
      <c r="AE473" s="520" t="s">
        <v>300</v>
      </c>
      <c r="AF473" s="520" t="s">
        <v>237</v>
      </c>
      <c r="AG473" s="520">
        <v>1</v>
      </c>
      <c r="AH473" s="520">
        <v>3</v>
      </c>
      <c r="AI473" s="520">
        <v>0</v>
      </c>
      <c r="AJ473" s="520">
        <f>VLOOKUP($I473,'Price List, Weapons &amp; Items'!A:E,5,0)</f>
        <v>0</v>
      </c>
      <c r="AK473" s="520">
        <f t="shared" si="100"/>
        <v>0</v>
      </c>
      <c r="AL473" s="520">
        <f t="shared" si="101"/>
        <v>0</v>
      </c>
      <c r="AM473" s="520">
        <f t="shared" si="102"/>
        <v>0</v>
      </c>
      <c r="AN473" s="521" t="str">
        <f>VLOOKUP($I473,'Price List, Weapons &amp; Items'!A:K,COLUMN('Price List, Weapons &amp; Items'!$I$1),0)</f>
        <v>Miscellaneous</v>
      </c>
      <c r="AO473" s="521" t="str">
        <f>IF(I473=".",".",VLOOKUP($I473,'Price List, Weapons &amp; Items'!A:I,3,0))</f>
        <v>.</v>
      </c>
      <c r="AP473" s="517" t="str">
        <f t="shared" ca="1" si="107"/>
        <v/>
      </c>
      <c r="AQ473" s="521">
        <f>VLOOKUP($I473,'Price List, Weapons &amp; Items'!A:K,COLUMN('Price List, Weapons &amp; Items'!$K$1),0)</f>
        <v>0</v>
      </c>
      <c r="AS473" s="521">
        <f t="shared" si="103"/>
        <v>1</v>
      </c>
      <c r="AT473" s="521">
        <f t="shared" si="104"/>
        <v>0</v>
      </c>
      <c r="AU473" s="521">
        <f t="shared" si="105"/>
        <v>1</v>
      </c>
      <c r="AV473" s="521" t="str">
        <f t="shared" si="106"/>
        <v>.</v>
      </c>
    </row>
    <row r="474" spans="1:48" ht="15" customHeight="1">
      <c r="A474" s="18" t="s">
        <v>1341</v>
      </c>
      <c r="B474" s="18" t="s">
        <v>1335</v>
      </c>
      <c r="C474" s="511">
        <v>44641</v>
      </c>
      <c r="D474" s="18" t="s">
        <v>228</v>
      </c>
      <c r="E474" s="18" t="s">
        <v>239</v>
      </c>
      <c r="F474" s="512" t="s">
        <v>1342</v>
      </c>
      <c r="G474" s="39" t="s">
        <v>314</v>
      </c>
      <c r="H474" s="513" t="s">
        <v>309</v>
      </c>
      <c r="I474" s="41" t="s">
        <v>1348</v>
      </c>
      <c r="J474" s="276" t="str">
        <f>VLOOKUP($I474,'Price List, Weapons &amp; Items'!A:B,2,0)</f>
        <v>Humanitarian</v>
      </c>
      <c r="K474" s="276" t="str">
        <f>IF(I474=".",I474,VLOOKUP($I474,'Price List, Weapons &amp; Items'!A:C,3,0))</f>
        <v>.</v>
      </c>
      <c r="L474" s="514">
        <f>VLOOKUP(I474,'Price List, Weapons &amp; Items'!A:D,4,0)</f>
        <v>0</v>
      </c>
      <c r="M474" s="515">
        <v>100</v>
      </c>
      <c r="N474" s="515" t="s">
        <v>232</v>
      </c>
      <c r="O474" s="516" t="str">
        <f>VLOOKUP($I474,'Price List, Weapons &amp; Items'!A:F,6,0)</f>
        <v>.</v>
      </c>
      <c r="P474" s="513" t="str">
        <f t="shared" si="97"/>
        <v>No price</v>
      </c>
      <c r="Q474" s="513" t="str">
        <f t="shared" si="98"/>
        <v>.</v>
      </c>
      <c r="R474" s="513" t="str">
        <f t="shared" si="99"/>
        <v/>
      </c>
      <c r="S474" s="513" t="str">
        <f>IF(AND(AD474=1,R474&lt;&gt;".")=TRUE,R474/VLOOKUP(G474,'Exchange rates'!B:C,2,0),IF(R474=".",".",""))</f>
        <v/>
      </c>
      <c r="T474" s="513" t="str">
        <f>IF(AD474=1,IF(AF474="Value is not given at all",".",IF(AF474="Value is given by the source",S474,IF(AF474="Value is calculated with prices",(IF(SUMIFS(Q:Q,A:A,A474)&gt;0,SUMIFS(Q:Q,A:A,A474),"."))/VLOOKUP("USD",'Exchange rates'!B:C,2,0),"Error with coding"))),"")</f>
        <v/>
      </c>
      <c r="U474" s="39" t="s">
        <v>233</v>
      </c>
      <c r="V474" s="376" t="s">
        <v>1344</v>
      </c>
      <c r="W474" s="376" t="s">
        <v>1345</v>
      </c>
      <c r="X474" s="530" t="s">
        <v>232</v>
      </c>
      <c r="Y474" s="530" t="s">
        <v>232</v>
      </c>
      <c r="Z474" s="39">
        <v>0</v>
      </c>
      <c r="AA474" s="518">
        <v>0</v>
      </c>
      <c r="AB474" s="38" t="s">
        <v>232</v>
      </c>
      <c r="AC474" s="519" t="str">
        <f>""</f>
        <v/>
      </c>
      <c r="AD474" s="520">
        <v>0</v>
      </c>
      <c r="AE474" s="520" t="s">
        <v>300</v>
      </c>
      <c r="AF474" s="520" t="s">
        <v>237</v>
      </c>
      <c r="AG474" s="520">
        <v>1</v>
      </c>
      <c r="AH474" s="520">
        <v>3</v>
      </c>
      <c r="AI474" s="520">
        <v>0</v>
      </c>
      <c r="AJ474" s="520">
        <f>VLOOKUP($I474,'Price List, Weapons &amp; Items'!A:E,5,0)</f>
        <v>0</v>
      </c>
      <c r="AK474" s="520">
        <f t="shared" si="100"/>
        <v>0</v>
      </c>
      <c r="AL474" s="520">
        <f t="shared" si="101"/>
        <v>0</v>
      </c>
      <c r="AM474" s="520">
        <f t="shared" si="102"/>
        <v>0</v>
      </c>
      <c r="AN474" s="521" t="str">
        <f>VLOOKUP($I474,'Price List, Weapons &amp; Items'!A:K,COLUMN('Price List, Weapons &amp; Items'!$I$1),0)</f>
        <v>.</v>
      </c>
      <c r="AO474" s="521" t="str">
        <f>IF(I474=".",".",VLOOKUP($I474,'Price List, Weapons &amp; Items'!A:I,3,0))</f>
        <v>.</v>
      </c>
      <c r="AP474" s="517" t="str">
        <f t="shared" ca="1" si="107"/>
        <v/>
      </c>
      <c r="AQ474" s="521">
        <f>VLOOKUP($I474,'Price List, Weapons &amp; Items'!A:K,COLUMN('Price List, Weapons &amp; Items'!$K$1),0)</f>
        <v>0</v>
      </c>
      <c r="AS474" s="521">
        <f t="shared" si="103"/>
        <v>1</v>
      </c>
      <c r="AT474" s="521">
        <f t="shared" si="104"/>
        <v>0</v>
      </c>
      <c r="AU474" s="521">
        <f t="shared" si="105"/>
        <v>1</v>
      </c>
      <c r="AV474" s="521" t="str">
        <f t="shared" si="106"/>
        <v>.</v>
      </c>
    </row>
    <row r="475" spans="1:48" ht="15" customHeight="1">
      <c r="A475" s="41" t="s">
        <v>1349</v>
      </c>
      <c r="B475" s="41" t="s">
        <v>1335</v>
      </c>
      <c r="C475" s="511">
        <v>44641</v>
      </c>
      <c r="D475" s="18" t="s">
        <v>228</v>
      </c>
      <c r="E475" s="18" t="s">
        <v>239</v>
      </c>
      <c r="F475" s="512" t="s">
        <v>1350</v>
      </c>
      <c r="G475" s="39" t="s">
        <v>232</v>
      </c>
      <c r="H475" s="513" t="s">
        <v>309</v>
      </c>
      <c r="I475" s="41" t="s">
        <v>232</v>
      </c>
      <c r="J475" s="276" t="str">
        <f>VLOOKUP($I475,'Price List, Weapons &amp; Items'!A:B,2,0)</f>
        <v>.</v>
      </c>
      <c r="K475" s="276" t="str">
        <f>IF(I475=".",I475,VLOOKUP($I475,'Price List, Weapons &amp; Items'!A:C,3,0))</f>
        <v>.</v>
      </c>
      <c r="L475" s="514">
        <f>VLOOKUP(I475,'Price List, Weapons &amp; Items'!A:D,4,0)</f>
        <v>0</v>
      </c>
      <c r="M475" s="515" t="s">
        <v>232</v>
      </c>
      <c r="N475" s="515" t="s">
        <v>232</v>
      </c>
      <c r="O475" s="516" t="str">
        <f>VLOOKUP($I475,'Price List, Weapons &amp; Items'!A:F,6,0)</f>
        <v>.</v>
      </c>
      <c r="P475" s="513" t="str">
        <f t="shared" si="97"/>
        <v>.</v>
      </c>
      <c r="Q475" s="513" t="str">
        <f t="shared" si="98"/>
        <v>.</v>
      </c>
      <c r="R475" s="513" t="str">
        <f t="shared" si="99"/>
        <v>.</v>
      </c>
      <c r="S475" s="513" t="str">
        <f>IF(AND(AD475=1,R475&lt;&gt;".")=TRUE,R475/VLOOKUP(G475,'Exchange rates'!B:C,2,0),IF(R475=".",".",""))</f>
        <v>.</v>
      </c>
      <c r="T475" s="513" t="str">
        <f>IF(AD475=1,IF(AF475="Value is not given at all",".",IF(AF475="Value is given by the source",S475,IF(AF475="Value is calculated with prices",(IF(SUMIFS(Q:Q,A:A,A475)&gt;0,SUMIFS(Q:Q,A:A,A475),"."))/VLOOKUP("USD",'Exchange rates'!B:C,2,0),"Error with coding"))),"")</f>
        <v>.</v>
      </c>
      <c r="U475" s="39" t="s">
        <v>233</v>
      </c>
      <c r="V475" s="42" t="s">
        <v>1344</v>
      </c>
      <c r="W475" s="42" t="s">
        <v>1351</v>
      </c>
      <c r="X475" s="517" t="s">
        <v>232</v>
      </c>
      <c r="Y475" s="517" t="s">
        <v>232</v>
      </c>
      <c r="Z475" s="39">
        <v>0</v>
      </c>
      <c r="AA475" s="518">
        <v>0</v>
      </c>
      <c r="AB475" s="38" t="s">
        <v>232</v>
      </c>
      <c r="AC475" s="519" t="str">
        <f>""</f>
        <v/>
      </c>
      <c r="AD475" s="520">
        <v>1</v>
      </c>
      <c r="AE475" s="520" t="s">
        <v>237</v>
      </c>
      <c r="AF475" s="520" t="s">
        <v>237</v>
      </c>
      <c r="AG475" s="520">
        <v>1</v>
      </c>
      <c r="AH475" s="520">
        <v>3</v>
      </c>
      <c r="AI475" s="520">
        <v>0</v>
      </c>
      <c r="AJ475" s="520">
        <f>VLOOKUP($I475,'Price List, Weapons &amp; Items'!A:E,5,0)</f>
        <v>0</v>
      </c>
      <c r="AK475" s="520">
        <f t="shared" si="100"/>
        <v>0</v>
      </c>
      <c r="AL475" s="520">
        <f t="shared" si="101"/>
        <v>0</v>
      </c>
      <c r="AM475" s="520">
        <f t="shared" si="102"/>
        <v>0</v>
      </c>
      <c r="AN475" s="521" t="str">
        <f>VLOOKUP($I475,'Price List, Weapons &amp; Items'!A:K,COLUMN('Price List, Weapons &amp; Items'!$I$1),0)</f>
        <v>.</v>
      </c>
      <c r="AO475" s="521" t="str">
        <f>IF(I475=".",".",VLOOKUP($I475,'Price List, Weapons &amp; Items'!A:I,3,0))</f>
        <v>.</v>
      </c>
      <c r="AP475" s="517" t="str">
        <f t="shared" ca="1" si="107"/>
        <v>.</v>
      </c>
      <c r="AQ475" s="521" t="str">
        <f>VLOOKUP($I475,'Price List, Weapons &amp; Items'!A:K,COLUMN('Price List, Weapons &amp; Items'!$K$1),0)</f>
        <v>no price, 0 count</v>
      </c>
      <c r="AS475" s="521">
        <f t="shared" si="103"/>
        <v>1</v>
      </c>
      <c r="AT475" s="521">
        <f t="shared" si="104"/>
        <v>0</v>
      </c>
      <c r="AU475" s="521">
        <f t="shared" si="105"/>
        <v>1</v>
      </c>
      <c r="AV475" s="521" t="str">
        <f t="shared" si="106"/>
        <v>.</v>
      </c>
    </row>
    <row r="476" spans="1:48" ht="15" customHeight="1">
      <c r="A476" s="41" t="s">
        <v>1352</v>
      </c>
      <c r="B476" s="41" t="s">
        <v>1335</v>
      </c>
      <c r="C476" s="511">
        <v>44643</v>
      </c>
      <c r="D476" s="18" t="s">
        <v>228</v>
      </c>
      <c r="E476" s="18" t="s">
        <v>229</v>
      </c>
      <c r="F476" s="512" t="s">
        <v>1353</v>
      </c>
      <c r="G476" s="39" t="s">
        <v>1354</v>
      </c>
      <c r="H476" s="513">
        <v>66000000</v>
      </c>
      <c r="I476" s="41" t="s">
        <v>232</v>
      </c>
      <c r="J476" s="276" t="str">
        <f>VLOOKUP($I476,'Price List, Weapons &amp; Items'!A:B,2,0)</f>
        <v>.</v>
      </c>
      <c r="K476" s="276" t="str">
        <f>IF(I476=".",I476,VLOOKUP($I476,'Price List, Weapons &amp; Items'!A:C,3,0))</f>
        <v>.</v>
      </c>
      <c r="L476" s="514">
        <f>VLOOKUP(I476,'Price List, Weapons &amp; Items'!A:D,4,0)</f>
        <v>0</v>
      </c>
      <c r="M476" s="515" t="s">
        <v>232</v>
      </c>
      <c r="N476" s="515" t="s">
        <v>232</v>
      </c>
      <c r="O476" s="516" t="str">
        <f>VLOOKUP($I476,'Price List, Weapons &amp; Items'!A:F,6,0)</f>
        <v>.</v>
      </c>
      <c r="P476" s="513" t="str">
        <f t="shared" si="97"/>
        <v>.</v>
      </c>
      <c r="Q476" s="513" t="str">
        <f t="shared" si="98"/>
        <v>.</v>
      </c>
      <c r="R476" s="513">
        <f t="shared" si="99"/>
        <v>66000000</v>
      </c>
      <c r="S476" s="513">
        <f>IF(AND(AD476=1,R476&lt;&gt;".")=TRUE,R476/VLOOKUP(G476,'Exchange rates'!B:C,2,0),IF(R476=".",".",""))</f>
        <v>161939.34635391107</v>
      </c>
      <c r="T476" s="513" t="str">
        <f>IF(AD476=1,IF(AF476="Value is not given at all",".",IF(AF476="Value is given by the source",S476,IF(AF476="Value is calculated with prices",(IF(SUMIFS(Q:Q,A:A,A476)&gt;0,SUMIFS(Q:Q,A:A,A476),"."))/VLOOKUP("USD",'Exchange rates'!B:C,2,0),"Error with coding"))),"")</f>
        <v>.</v>
      </c>
      <c r="U476" s="39" t="s">
        <v>233</v>
      </c>
      <c r="V476" s="42" t="s">
        <v>1355</v>
      </c>
      <c r="W476" s="517" t="s">
        <v>232</v>
      </c>
      <c r="X476" s="517" t="s">
        <v>232</v>
      </c>
      <c r="Y476" s="517" t="s">
        <v>232</v>
      </c>
      <c r="Z476" s="39">
        <v>0</v>
      </c>
      <c r="AA476" s="518">
        <v>0</v>
      </c>
      <c r="AB476" s="38" t="s">
        <v>232</v>
      </c>
      <c r="AC476" s="519" t="str">
        <f>""</f>
        <v/>
      </c>
      <c r="AD476" s="520">
        <v>1</v>
      </c>
      <c r="AE476" s="520" t="s">
        <v>236</v>
      </c>
      <c r="AF476" s="520" t="s">
        <v>237</v>
      </c>
      <c r="AG476" s="520">
        <v>1</v>
      </c>
      <c r="AH476" s="520">
        <v>3</v>
      </c>
      <c r="AI476" s="520">
        <v>0</v>
      </c>
      <c r="AJ476" s="520">
        <f>VLOOKUP($I476,'Price List, Weapons &amp; Items'!A:E,5,0)</f>
        <v>0</v>
      </c>
      <c r="AK476" s="520">
        <f t="shared" si="100"/>
        <v>0</v>
      </c>
      <c r="AL476" s="520">
        <f t="shared" si="101"/>
        <v>0</v>
      </c>
      <c r="AM476" s="520">
        <f t="shared" si="102"/>
        <v>0</v>
      </c>
      <c r="AN476" s="521" t="str">
        <f>VLOOKUP($I476,'Price List, Weapons &amp; Items'!A:K,COLUMN('Price List, Weapons &amp; Items'!$I$1),0)</f>
        <v>.</v>
      </c>
      <c r="AO476" s="521" t="str">
        <f>IF(I476=".",".",VLOOKUP($I476,'Price List, Weapons &amp; Items'!A:I,3,0))</f>
        <v>.</v>
      </c>
      <c r="AP476" s="517" t="str">
        <f t="shared" ca="1" si="107"/>
        <v>.</v>
      </c>
      <c r="AQ476" s="521" t="str">
        <f>VLOOKUP($I476,'Price List, Weapons &amp; Items'!A:K,COLUMN('Price List, Weapons &amp; Items'!$K$1),0)</f>
        <v>no price, 0 count</v>
      </c>
      <c r="AS476" s="521">
        <f t="shared" si="103"/>
        <v>1</v>
      </c>
      <c r="AT476" s="521">
        <f t="shared" si="104"/>
        <v>0</v>
      </c>
      <c r="AU476" s="521">
        <f t="shared" si="105"/>
        <v>1</v>
      </c>
      <c r="AV476" s="521" t="str">
        <f t="shared" si="106"/>
        <v>.</v>
      </c>
    </row>
    <row r="477" spans="1:48" ht="15" customHeight="1">
      <c r="A477" s="41" t="s">
        <v>1356</v>
      </c>
      <c r="B477" s="41" t="s">
        <v>1335</v>
      </c>
      <c r="C477" s="511" t="s">
        <v>1357</v>
      </c>
      <c r="D477" s="18" t="s">
        <v>228</v>
      </c>
      <c r="E477" s="18" t="s">
        <v>239</v>
      </c>
      <c r="F477" s="512" t="s">
        <v>1358</v>
      </c>
      <c r="G477" s="39" t="s">
        <v>314</v>
      </c>
      <c r="H477" s="513" t="s">
        <v>309</v>
      </c>
      <c r="I477" s="41" t="s">
        <v>1359</v>
      </c>
      <c r="J477" s="276" t="str">
        <f>VLOOKUP($I477,'Price List, Weapons &amp; Items'!A:B,2,0)</f>
        <v>Humanitarian</v>
      </c>
      <c r="K477" s="276" t="str">
        <f>IF(I477=".",I477,VLOOKUP($I477,'Price List, Weapons &amp; Items'!A:C,3,0))</f>
        <v>.</v>
      </c>
      <c r="L477" s="514">
        <f>VLOOKUP(I477,'Price List, Weapons &amp; Items'!A:D,4,0)</f>
        <v>0</v>
      </c>
      <c r="M477" s="515">
        <f>((1300*6000)-6500000)/6000</f>
        <v>216.66666666666666</v>
      </c>
      <c r="N477" s="515" t="s">
        <v>232</v>
      </c>
      <c r="O477" s="516">
        <f>VLOOKUP($I477,'Price List, Weapons &amp; Items'!A:F,6,0)</f>
        <v>10000</v>
      </c>
      <c r="P477" s="513">
        <f t="shared" si="97"/>
        <v>2166666.6666666665</v>
      </c>
      <c r="Q477" s="513" t="str">
        <f t="shared" si="98"/>
        <v>.</v>
      </c>
      <c r="R477" s="513">
        <f t="shared" si="99"/>
        <v>2166666.6666666665</v>
      </c>
      <c r="S477" s="513">
        <f>IF(AND(AD477=1,R477&lt;&gt;".")=TRUE,R477/VLOOKUP(G477,'Exchange rates'!B:C,2,0),IF(R477=".",".",""))</f>
        <v>2159109.7824281678</v>
      </c>
      <c r="T477" s="513" t="str">
        <f>IF(AD477=1,IF(AF477="Value is not given at all",".",IF(AF477="Value is given by the source",S477,IF(AF477="Value is calculated with prices",(IF(SUMIFS(Q:Q,A:A,A477)&gt;0,SUMIFS(Q:Q,A:A,A477),"."))/VLOOKUP("USD",'Exchange rates'!B:C,2,0),"Error with coding"))),"")</f>
        <v>.</v>
      </c>
      <c r="U477" s="39" t="s">
        <v>372</v>
      </c>
      <c r="V477" s="42" t="s">
        <v>1360</v>
      </c>
      <c r="W477" s="517" t="s">
        <v>232</v>
      </c>
      <c r="X477" s="517" t="s">
        <v>232</v>
      </c>
      <c r="Y477" s="517" t="s">
        <v>232</v>
      </c>
      <c r="Z477" s="39">
        <v>0</v>
      </c>
      <c r="AA477" s="518">
        <v>0</v>
      </c>
      <c r="AB477" s="38" t="s">
        <v>232</v>
      </c>
      <c r="AC477" s="519" t="str">
        <f>""</f>
        <v/>
      </c>
      <c r="AD477" s="522">
        <v>1</v>
      </c>
      <c r="AE477" s="522" t="s">
        <v>300</v>
      </c>
      <c r="AF477" s="522" t="s">
        <v>237</v>
      </c>
      <c r="AG477" s="522">
        <v>0</v>
      </c>
      <c r="AH477" s="520">
        <v>0</v>
      </c>
      <c r="AI477" s="520">
        <v>0</v>
      </c>
      <c r="AJ477" s="520">
        <f>VLOOKUP($I477,'Price List, Weapons &amp; Items'!A:E,5,0)</f>
        <v>0</v>
      </c>
      <c r="AK477" s="520">
        <f t="shared" si="100"/>
        <v>0</v>
      </c>
      <c r="AL477" s="520">
        <f t="shared" si="101"/>
        <v>0</v>
      </c>
      <c r="AM477" s="520">
        <f t="shared" si="102"/>
        <v>0</v>
      </c>
      <c r="AN477" s="521" t="str">
        <f>VLOOKUP($I477,'Price List, Weapons &amp; Items'!A:K,COLUMN('Price List, Weapons &amp; Items'!$I$1),0)</f>
        <v>Miscellaneous</v>
      </c>
      <c r="AO477" s="521" t="str">
        <f>IF(I477=".",".",VLOOKUP($I477,'Price List, Weapons &amp; Items'!A:I,3,0))</f>
        <v>.</v>
      </c>
      <c r="AP477" s="517" t="str">
        <f t="shared" ca="1" si="107"/>
        <v>ton of necessity items</v>
      </c>
      <c r="AQ477" s="521">
        <f>VLOOKUP($I477,'Price List, Weapons &amp; Items'!A:K,COLUMN('Price List, Weapons &amp; Items'!$K$1),0)</f>
        <v>0</v>
      </c>
      <c r="AS477" s="521">
        <f t="shared" si="103"/>
        <v>0</v>
      </c>
      <c r="AT477" s="521">
        <f t="shared" si="104"/>
        <v>0</v>
      </c>
      <c r="AU477" s="521" t="str">
        <f t="shared" si="105"/>
        <v>Value is not in date format</v>
      </c>
      <c r="AV477" s="521" t="str">
        <f t="shared" si="106"/>
        <v>.</v>
      </c>
    </row>
    <row r="478" spans="1:48" ht="15" customHeight="1">
      <c r="A478" s="41" t="s">
        <v>1361</v>
      </c>
      <c r="B478" s="41" t="s">
        <v>1335</v>
      </c>
      <c r="C478" s="511">
        <v>44685</v>
      </c>
      <c r="D478" s="18" t="s">
        <v>228</v>
      </c>
      <c r="E478" s="18" t="s">
        <v>239</v>
      </c>
      <c r="F478" s="512" t="s">
        <v>1362</v>
      </c>
      <c r="G478" s="39" t="s">
        <v>1354</v>
      </c>
      <c r="H478" s="513">
        <v>262000000</v>
      </c>
      <c r="I478" s="41" t="s">
        <v>232</v>
      </c>
      <c r="J478" s="276" t="str">
        <f>VLOOKUP($I478,'Price List, Weapons &amp; Items'!A:B,2,0)</f>
        <v>.</v>
      </c>
      <c r="K478" s="276" t="str">
        <f>IF(I478=".",I478,VLOOKUP($I478,'Price List, Weapons &amp; Items'!A:C,3,0))</f>
        <v>.</v>
      </c>
      <c r="L478" s="514">
        <f>VLOOKUP(I478,'Price List, Weapons &amp; Items'!A:D,4,0)</f>
        <v>0</v>
      </c>
      <c r="M478" s="515" t="s">
        <v>232</v>
      </c>
      <c r="N478" s="515" t="s">
        <v>232</v>
      </c>
      <c r="O478" s="516" t="str">
        <f>VLOOKUP($I478,'Price List, Weapons &amp; Items'!A:F,6,0)</f>
        <v>.</v>
      </c>
      <c r="P478" s="513" t="str">
        <f t="shared" si="97"/>
        <v>.</v>
      </c>
      <c r="Q478" s="513" t="str">
        <f t="shared" si="98"/>
        <v>.</v>
      </c>
      <c r="R478" s="513">
        <f t="shared" si="99"/>
        <v>262000000</v>
      </c>
      <c r="S478" s="513">
        <f>IF(AND(AD478=1,R478&lt;&gt;".")=TRUE,R478/VLOOKUP(G478,'Exchange rates'!B:C,2,0),IF(R478=".",".",""))</f>
        <v>642850.13249582879</v>
      </c>
      <c r="T478" s="513" t="str">
        <f>IF(AD478=1,IF(AF478="Value is not given at all",".",IF(AF478="Value is given by the source",S478,IF(AF478="Value is calculated with prices",(IF(SUMIFS(Q:Q,A:A,A478)&gt;0,SUMIFS(Q:Q,A:A,A478),"."))/VLOOKUP("USD",'Exchange rates'!B:C,2,0),"Error with coding"))),"")</f>
        <v>.</v>
      </c>
      <c r="U478" s="39" t="s">
        <v>372</v>
      </c>
      <c r="V478" s="42" t="s">
        <v>1363</v>
      </c>
      <c r="W478" s="517" t="s">
        <v>232</v>
      </c>
      <c r="X478" s="517" t="s">
        <v>232</v>
      </c>
      <c r="Y478" s="517" t="s">
        <v>232</v>
      </c>
      <c r="Z478" s="39">
        <v>0</v>
      </c>
      <c r="AA478" s="518">
        <v>0</v>
      </c>
      <c r="AB478" s="38" t="s">
        <v>232</v>
      </c>
      <c r="AC478" s="519" t="str">
        <f>""</f>
        <v/>
      </c>
      <c r="AD478" s="522">
        <v>1</v>
      </c>
      <c r="AE478" s="522" t="s">
        <v>236</v>
      </c>
      <c r="AF478" s="522" t="s">
        <v>237</v>
      </c>
      <c r="AG478" s="522">
        <v>1</v>
      </c>
      <c r="AH478" s="520">
        <v>5</v>
      </c>
      <c r="AI478" s="520">
        <v>0</v>
      </c>
      <c r="AJ478" s="520">
        <f>VLOOKUP($I478,'Price List, Weapons &amp; Items'!A:E,5,0)</f>
        <v>0</v>
      </c>
      <c r="AK478" s="520">
        <f t="shared" si="100"/>
        <v>0</v>
      </c>
      <c r="AL478" s="520">
        <f t="shared" si="101"/>
        <v>0</v>
      </c>
      <c r="AM478" s="520">
        <f t="shared" si="102"/>
        <v>0</v>
      </c>
      <c r="AN478" s="521" t="str">
        <f>VLOOKUP($I478,'Price List, Weapons &amp; Items'!A:K,COLUMN('Price List, Weapons &amp; Items'!$I$1),0)</f>
        <v>.</v>
      </c>
      <c r="AO478" s="521" t="str">
        <f>IF(I478=".",".",VLOOKUP($I478,'Price List, Weapons &amp; Items'!A:I,3,0))</f>
        <v>.</v>
      </c>
      <c r="AP478" s="517" t="str">
        <f t="shared" ca="1" si="107"/>
        <v>.</v>
      </c>
      <c r="AQ478" s="521" t="str">
        <f>VLOOKUP($I478,'Price List, Weapons &amp; Items'!A:K,COLUMN('Price List, Weapons &amp; Items'!$K$1),0)</f>
        <v>no price, 0 count</v>
      </c>
      <c r="AS478" s="521">
        <f t="shared" si="103"/>
        <v>0</v>
      </c>
      <c r="AT478" s="521">
        <f t="shared" si="104"/>
        <v>0</v>
      </c>
      <c r="AU478" s="521">
        <f t="shared" si="105"/>
        <v>1</v>
      </c>
      <c r="AV478" s="521" t="str">
        <f t="shared" si="106"/>
        <v>.</v>
      </c>
    </row>
    <row r="479" spans="1:48" ht="15" customHeight="1">
      <c r="A479" s="18" t="s">
        <v>1364</v>
      </c>
      <c r="B479" s="18" t="s">
        <v>1335</v>
      </c>
      <c r="C479" s="511">
        <v>44686</v>
      </c>
      <c r="D479" s="18" t="s">
        <v>228</v>
      </c>
      <c r="E479" s="18" t="s">
        <v>239</v>
      </c>
      <c r="F479" s="512" t="s">
        <v>1365</v>
      </c>
      <c r="G479" s="39" t="s">
        <v>332</v>
      </c>
      <c r="H479" s="513">
        <v>37000000</v>
      </c>
      <c r="I479" s="41" t="s">
        <v>1366</v>
      </c>
      <c r="J479" s="276" t="str">
        <f>VLOOKUP($I479,'Price List, Weapons &amp; Items'!A:B,2,0)</f>
        <v>Humanitarian</v>
      </c>
      <c r="K479" s="276" t="str">
        <f>IF(I479=".",I479,VLOOKUP($I479,'Price List, Weapons &amp; Items'!A:C,3,0))</f>
        <v>.</v>
      </c>
      <c r="L479" s="514">
        <f>VLOOKUP(I479,'Price List, Weapons &amp; Items'!A:D,4,0)</f>
        <v>0</v>
      </c>
      <c r="M479" s="515">
        <v>1</v>
      </c>
      <c r="N479" s="515" t="s">
        <v>232</v>
      </c>
      <c r="O479" s="516">
        <f>VLOOKUP($I479,'Price List, Weapons &amp; Items'!A:F,6,0)</f>
        <v>125000000</v>
      </c>
      <c r="P479" s="513">
        <f t="shared" si="97"/>
        <v>125000000</v>
      </c>
      <c r="Q479" s="513" t="str">
        <f t="shared" si="98"/>
        <v>.</v>
      </c>
      <c r="R479" s="513">
        <f t="shared" si="99"/>
        <v>37000000</v>
      </c>
      <c r="S479" s="513">
        <f>IF(AND(AD479=1,R479&lt;&gt;".")=TRUE,R479/VLOOKUP(G479,'Exchange rates'!B:C,2,0),IF(R479=".",".",""))</f>
        <v>37000000</v>
      </c>
      <c r="T479" s="513" t="str">
        <f>IF(AD479=1,IF(AF479="Value is not given at all",".",IF(AF479="Value is given by the source",S479,IF(AF479="Value is calculated with prices",(IF(SUMIFS(Q:Q,A:A,A479)&gt;0,SUMIFS(Q:Q,A:A,A479),"."))/VLOOKUP("USD",'Exchange rates'!B:C,2,0),"Error with coding"))),"")</f>
        <v>.</v>
      </c>
      <c r="U479" s="39" t="s">
        <v>233</v>
      </c>
      <c r="V479" s="376" t="s">
        <v>385</v>
      </c>
      <c r="W479" s="530" t="s">
        <v>232</v>
      </c>
      <c r="X479" s="530" t="s">
        <v>232</v>
      </c>
      <c r="Y479" s="530" t="s">
        <v>232</v>
      </c>
      <c r="Z479" s="39">
        <v>0</v>
      </c>
      <c r="AA479" s="518">
        <v>0</v>
      </c>
      <c r="AB479" s="521" t="s">
        <v>232</v>
      </c>
      <c r="AC479" s="519" t="str">
        <f>""</f>
        <v/>
      </c>
      <c r="AD479" s="522">
        <v>1</v>
      </c>
      <c r="AE479" s="522" t="s">
        <v>236</v>
      </c>
      <c r="AF479" s="522" t="s">
        <v>237</v>
      </c>
      <c r="AG479" s="522">
        <v>1</v>
      </c>
      <c r="AH479" s="522">
        <v>5</v>
      </c>
      <c r="AI479" s="522">
        <v>0</v>
      </c>
      <c r="AJ479" s="520">
        <f>VLOOKUP($I479,'Price List, Weapons &amp; Items'!A:E,5,0)</f>
        <v>0</v>
      </c>
      <c r="AK479" s="520">
        <f t="shared" si="100"/>
        <v>0</v>
      </c>
      <c r="AL479" s="520">
        <f t="shared" si="101"/>
        <v>0</v>
      </c>
      <c r="AM479" s="520">
        <f t="shared" si="102"/>
        <v>0</v>
      </c>
      <c r="AN479" s="521" t="str">
        <f>VLOOKUP($I479,'Price List, Weapons &amp; Items'!A:K,COLUMN('Price List, Weapons &amp; Items'!$I$1),0)</f>
        <v>Media reports (incl. social media)</v>
      </c>
      <c r="AO479" s="521" t="str">
        <f>IF(I479=".",".",VLOOKUP($I479,'Price List, Weapons &amp; Items'!A:I,3,0))</f>
        <v>.</v>
      </c>
      <c r="AP479" s="517" t="str">
        <f t="shared" ca="1" si="107"/>
        <v>hospital; school; mobile house</v>
      </c>
      <c r="AQ479" s="521">
        <f>VLOOKUP($I479,'Price List, Weapons &amp; Items'!A:K,COLUMN('Price List, Weapons &amp; Items'!$K$1),0)</f>
        <v>0</v>
      </c>
      <c r="AS479" s="521">
        <f t="shared" si="103"/>
        <v>1</v>
      </c>
      <c r="AT479" s="521">
        <f t="shared" si="104"/>
        <v>0</v>
      </c>
      <c r="AU479" s="521">
        <f t="shared" si="105"/>
        <v>1</v>
      </c>
      <c r="AV479" s="521" t="str">
        <f t="shared" si="106"/>
        <v>.</v>
      </c>
    </row>
    <row r="480" spans="1:48" ht="15" customHeight="1">
      <c r="A480" s="18" t="s">
        <v>1364</v>
      </c>
      <c r="B480" s="18" t="s">
        <v>1335</v>
      </c>
      <c r="C480" s="511">
        <v>44686</v>
      </c>
      <c r="D480" s="18" t="s">
        <v>228</v>
      </c>
      <c r="E480" s="18" t="s">
        <v>239</v>
      </c>
      <c r="F480" s="512" t="s">
        <v>1365</v>
      </c>
      <c r="G480" s="39" t="s">
        <v>332</v>
      </c>
      <c r="H480" s="513">
        <v>37000000</v>
      </c>
      <c r="I480" s="41" t="s">
        <v>906</v>
      </c>
      <c r="J480" s="276" t="str">
        <f>VLOOKUP($I480,'Price List, Weapons &amp; Items'!A:B,2,0)</f>
        <v>Humanitarian</v>
      </c>
      <c r="K480" s="276" t="str">
        <f>IF(I480=".",I480,VLOOKUP($I480,'Price List, Weapons &amp; Items'!A:C,3,0))</f>
        <v>.</v>
      </c>
      <c r="L480" s="514">
        <f>VLOOKUP(I480,'Price List, Weapons &amp; Items'!A:D,4,0)</f>
        <v>0</v>
      </c>
      <c r="M480" s="515">
        <v>1</v>
      </c>
      <c r="N480" s="515" t="s">
        <v>232</v>
      </c>
      <c r="O480" s="516" t="str">
        <f>VLOOKUP($I480,'Price List, Weapons &amp; Items'!A:F,6,0)</f>
        <v>.</v>
      </c>
      <c r="P480" s="513" t="str">
        <f t="shared" si="97"/>
        <v>No price</v>
      </c>
      <c r="Q480" s="513" t="str">
        <f t="shared" si="98"/>
        <v>.</v>
      </c>
      <c r="R480" s="513" t="str">
        <f t="shared" si="99"/>
        <v/>
      </c>
      <c r="S480" s="513" t="str">
        <f>IF(AND(AD480=1,R480&lt;&gt;".")=TRUE,R480/VLOOKUP(G480,'Exchange rates'!B:C,2,0),IF(R480=".",".",""))</f>
        <v/>
      </c>
      <c r="T480" s="513" t="str">
        <f>IF(AD480=1,IF(AF480="Value is not given at all",".",IF(AF480="Value is given by the source",S480,IF(AF480="Value is calculated with prices",(IF(SUMIFS(Q:Q,A:A,A480)&gt;0,SUMIFS(Q:Q,A:A,A480),"."))/VLOOKUP("USD",'Exchange rates'!B:C,2,0),"Error with coding"))),"")</f>
        <v/>
      </c>
      <c r="U480" s="39" t="s">
        <v>233</v>
      </c>
      <c r="V480" s="376" t="s">
        <v>385</v>
      </c>
      <c r="W480" s="530" t="s">
        <v>232</v>
      </c>
      <c r="X480" s="530" t="s">
        <v>232</v>
      </c>
      <c r="Y480" s="530" t="s">
        <v>232</v>
      </c>
      <c r="Z480" s="39">
        <v>0</v>
      </c>
      <c r="AA480" s="518">
        <v>0</v>
      </c>
      <c r="AB480" s="521" t="s">
        <v>232</v>
      </c>
      <c r="AC480" s="519" t="str">
        <f>""</f>
        <v/>
      </c>
      <c r="AD480" s="522">
        <v>0</v>
      </c>
      <c r="AE480" s="522" t="s">
        <v>236</v>
      </c>
      <c r="AF480" s="522" t="s">
        <v>237</v>
      </c>
      <c r="AG480" s="522">
        <v>1</v>
      </c>
      <c r="AH480" s="522">
        <v>5</v>
      </c>
      <c r="AI480" s="522">
        <v>0</v>
      </c>
      <c r="AJ480" s="520">
        <f>VLOOKUP($I480,'Price List, Weapons &amp; Items'!A:E,5,0)</f>
        <v>0</v>
      </c>
      <c r="AK480" s="520">
        <f t="shared" si="100"/>
        <v>0</v>
      </c>
      <c r="AL480" s="520">
        <f t="shared" si="101"/>
        <v>0</v>
      </c>
      <c r="AM480" s="520">
        <f t="shared" si="102"/>
        <v>0</v>
      </c>
      <c r="AN480" s="521" t="str">
        <f>VLOOKUP($I480,'Price List, Weapons &amp; Items'!A:K,COLUMN('Price List, Weapons &amp; Items'!$I$1),0)</f>
        <v>.</v>
      </c>
      <c r="AO480" s="521" t="str">
        <f>IF(I480=".",".",VLOOKUP($I480,'Price List, Weapons &amp; Items'!A:I,3,0))</f>
        <v>.</v>
      </c>
      <c r="AP480" s="517" t="str">
        <f t="shared" ca="1" si="107"/>
        <v/>
      </c>
      <c r="AQ480" s="521">
        <f>VLOOKUP($I480,'Price List, Weapons &amp; Items'!A:K,COLUMN('Price List, Weapons &amp; Items'!$K$1),0)</f>
        <v>0</v>
      </c>
      <c r="AS480" s="521">
        <f t="shared" si="103"/>
        <v>1</v>
      </c>
      <c r="AT480" s="521">
        <f t="shared" si="104"/>
        <v>0</v>
      </c>
      <c r="AU480" s="521">
        <f t="shared" si="105"/>
        <v>1</v>
      </c>
      <c r="AV480" s="521" t="str">
        <f t="shared" si="106"/>
        <v>.</v>
      </c>
    </row>
    <row r="481" spans="1:48" ht="15" customHeight="1">
      <c r="A481" s="18" t="s">
        <v>1364</v>
      </c>
      <c r="B481" s="18" t="s">
        <v>1335</v>
      </c>
      <c r="C481" s="511">
        <v>44686</v>
      </c>
      <c r="D481" s="18" t="s">
        <v>228</v>
      </c>
      <c r="E481" s="18" t="s">
        <v>239</v>
      </c>
      <c r="F481" s="512" t="s">
        <v>1365</v>
      </c>
      <c r="G481" s="39" t="s">
        <v>332</v>
      </c>
      <c r="H481" s="513">
        <v>37000000</v>
      </c>
      <c r="I481" s="41" t="s">
        <v>1367</v>
      </c>
      <c r="J481" s="276" t="str">
        <f>VLOOKUP($I481,'Price List, Weapons &amp; Items'!A:B,2,0)</f>
        <v>Humanitarian</v>
      </c>
      <c r="K481" s="276" t="str">
        <f>IF(I481=".",I481,VLOOKUP($I481,'Price List, Weapons &amp; Items'!A:C,3,0))</f>
        <v>.</v>
      </c>
      <c r="L481" s="514">
        <f>VLOOKUP(I481,'Price List, Weapons &amp; Items'!A:D,4,0)</f>
        <v>0</v>
      </c>
      <c r="M481" s="515" t="s">
        <v>264</v>
      </c>
      <c r="N481" s="515" t="s">
        <v>232</v>
      </c>
      <c r="O481" s="516">
        <f>VLOOKUP($I481,'Price List, Weapons &amp; Items'!A:F,6,0)</f>
        <v>76400</v>
      </c>
      <c r="P481" s="513" t="str">
        <f t="shared" si="97"/>
        <v>.</v>
      </c>
      <c r="Q481" s="513" t="str">
        <f t="shared" si="98"/>
        <v>.</v>
      </c>
      <c r="R481" s="513" t="str">
        <f t="shared" si="99"/>
        <v/>
      </c>
      <c r="S481" s="513" t="str">
        <f>IF(AND(AD481=1,R481&lt;&gt;".")=TRUE,R481/VLOOKUP(G481,'Exchange rates'!B:C,2,0),IF(R481=".",".",""))</f>
        <v/>
      </c>
      <c r="T481" s="513" t="str">
        <f>IF(AD481=1,IF(AF481="Value is not given at all",".",IF(AF481="Value is given by the source",S481,IF(AF481="Value is calculated with prices",(IF(SUMIFS(Q:Q,A:A,A481)&gt;0,SUMIFS(Q:Q,A:A,A481),"."))/VLOOKUP("USD",'Exchange rates'!B:C,2,0),"Error with coding"))),"")</f>
        <v/>
      </c>
      <c r="U481" s="39" t="s">
        <v>233</v>
      </c>
      <c r="V481" s="376" t="s">
        <v>385</v>
      </c>
      <c r="W481" s="530" t="s">
        <v>232</v>
      </c>
      <c r="X481" s="530" t="s">
        <v>232</v>
      </c>
      <c r="Y481" s="530" t="s">
        <v>232</v>
      </c>
      <c r="Z481" s="39">
        <v>0</v>
      </c>
      <c r="AA481" s="518">
        <v>0</v>
      </c>
      <c r="AB481" s="521" t="s">
        <v>232</v>
      </c>
      <c r="AC481" s="519" t="str">
        <f>""</f>
        <v/>
      </c>
      <c r="AD481" s="522">
        <v>0</v>
      </c>
      <c r="AE481" s="522" t="s">
        <v>236</v>
      </c>
      <c r="AF481" s="522" t="s">
        <v>237</v>
      </c>
      <c r="AG481" s="522">
        <v>1</v>
      </c>
      <c r="AH481" s="522">
        <v>5</v>
      </c>
      <c r="AI481" s="522">
        <v>0</v>
      </c>
      <c r="AJ481" s="520">
        <f>VLOOKUP($I481,'Price List, Weapons &amp; Items'!A:E,5,0)</f>
        <v>0</v>
      </c>
      <c r="AK481" s="520">
        <f t="shared" si="100"/>
        <v>0</v>
      </c>
      <c r="AL481" s="520">
        <f t="shared" si="101"/>
        <v>0</v>
      </c>
      <c r="AM481" s="520">
        <f t="shared" si="102"/>
        <v>0</v>
      </c>
      <c r="AN481" s="521" t="str">
        <f>VLOOKUP($I481,'Price List, Weapons &amp; Items'!A:K,COLUMN('Price List, Weapons &amp; Items'!$I$1),0)</f>
        <v>Media reports (incl. social media)</v>
      </c>
      <c r="AO481" s="521" t="str">
        <f>IF(I481=".",".",VLOOKUP($I481,'Price List, Weapons &amp; Items'!A:I,3,0))</f>
        <v>.</v>
      </c>
      <c r="AP481" s="517" t="str">
        <f t="shared" ca="1" si="107"/>
        <v/>
      </c>
      <c r="AQ481" s="521">
        <f>VLOOKUP($I481,'Price List, Weapons &amp; Items'!A:K,COLUMN('Price List, Weapons &amp; Items'!$K$1),0)</f>
        <v>0</v>
      </c>
      <c r="AS481" s="521">
        <f t="shared" si="103"/>
        <v>1</v>
      </c>
      <c r="AT481" s="521">
        <f t="shared" si="104"/>
        <v>0</v>
      </c>
      <c r="AU481" s="521">
        <f t="shared" si="105"/>
        <v>1</v>
      </c>
      <c r="AV481" s="521" t="str">
        <f t="shared" si="106"/>
        <v>.</v>
      </c>
    </row>
    <row r="482" spans="1:48" ht="15" customHeight="1">
      <c r="A482" s="41" t="s">
        <v>1368</v>
      </c>
      <c r="B482" s="41" t="s">
        <v>1369</v>
      </c>
      <c r="C482" s="511" t="s">
        <v>1370</v>
      </c>
      <c r="D482" s="18" t="s">
        <v>228</v>
      </c>
      <c r="E482" s="18" t="s">
        <v>229</v>
      </c>
      <c r="F482" s="512" t="s">
        <v>1371</v>
      </c>
      <c r="G482" s="39" t="s">
        <v>314</v>
      </c>
      <c r="H482" s="513" t="s">
        <v>309</v>
      </c>
      <c r="I482" s="41" t="s">
        <v>623</v>
      </c>
      <c r="J482" s="276" t="str">
        <f>VLOOKUP($I482,'Price List, Weapons &amp; Items'!A:B,2,0)</f>
        <v>Humanitarian</v>
      </c>
      <c r="K482" s="276" t="str">
        <f>IF(I482=".",I482,VLOOKUP($I482,'Price List, Weapons &amp; Items'!A:C,3,0))</f>
        <v>.</v>
      </c>
      <c r="L482" s="514">
        <f>VLOOKUP(I482,'Price List, Weapons &amp; Items'!A:D,4,0)</f>
        <v>0</v>
      </c>
      <c r="M482" s="515">
        <v>187</v>
      </c>
      <c r="N482" s="515" t="s">
        <v>232</v>
      </c>
      <c r="O482" s="516">
        <f>VLOOKUP($I482,'Price List, Weapons &amp; Items'!A:F,6,0)</f>
        <v>10000</v>
      </c>
      <c r="P482" s="513">
        <f t="shared" si="97"/>
        <v>1870000</v>
      </c>
      <c r="Q482" s="513" t="str">
        <f t="shared" si="98"/>
        <v>.</v>
      </c>
      <c r="R482" s="513">
        <f t="shared" si="99"/>
        <v>1870000</v>
      </c>
      <c r="S482" s="513">
        <f>IF(AND(AD482=1,R482&lt;&gt;".")=TRUE,R482/VLOOKUP(G482,'Exchange rates'!B:C,2,0),IF(R482=".",".",""))</f>
        <v>1863477.8276033881</v>
      </c>
      <c r="T482" s="513" t="str">
        <f>IF(AD482=1,IF(AF482="Value is not given at all",".",IF(AF482="Value is given by the source",S482,IF(AF482="Value is calculated with prices",(IF(SUMIFS(Q:Q,A:A,A482)&gt;0,SUMIFS(Q:Q,A:A,A482),"."))/VLOOKUP("USD",'Exchange rates'!B:C,2,0),"Error with coding"))),"")</f>
        <v>.</v>
      </c>
      <c r="U482" s="39" t="s">
        <v>233</v>
      </c>
      <c r="V482" s="531" t="s">
        <v>1372</v>
      </c>
      <c r="W482" s="42" t="s">
        <v>1373</v>
      </c>
      <c r="X482" s="42" t="s">
        <v>1374</v>
      </c>
      <c r="Y482" s="42" t="s">
        <v>1375</v>
      </c>
      <c r="Z482" s="39">
        <v>0</v>
      </c>
      <c r="AA482" s="39">
        <v>0</v>
      </c>
      <c r="AB482" s="523" t="s">
        <v>232</v>
      </c>
      <c r="AC482" s="519" t="str">
        <f>""</f>
        <v/>
      </c>
      <c r="AD482" s="522">
        <v>1</v>
      </c>
      <c r="AE482" s="522" t="s">
        <v>300</v>
      </c>
      <c r="AF482" s="522" t="s">
        <v>237</v>
      </c>
      <c r="AG482" s="522">
        <v>0</v>
      </c>
      <c r="AH482" s="520">
        <v>0</v>
      </c>
      <c r="AI482" s="520">
        <v>0</v>
      </c>
      <c r="AJ482" s="520">
        <f>VLOOKUP($I482,'Price List, Weapons &amp; Items'!A:E,5,0)</f>
        <v>0</v>
      </c>
      <c r="AK482" s="520">
        <f t="shared" si="100"/>
        <v>0</v>
      </c>
      <c r="AL482" s="520">
        <f t="shared" si="101"/>
        <v>0</v>
      </c>
      <c r="AM482" s="520">
        <f t="shared" si="102"/>
        <v>0</v>
      </c>
      <c r="AN482" s="521" t="str">
        <f>VLOOKUP($I482,'Price List, Weapons &amp; Items'!A:K,COLUMN('Price List, Weapons &amp; Items'!$I$1),0)</f>
        <v>Miscellaneous</v>
      </c>
      <c r="AO482" s="521" t="str">
        <f>IF(I482=".",".",VLOOKUP($I482,'Price List, Weapons &amp; Items'!A:I,3,0))</f>
        <v>.</v>
      </c>
      <c r="AP482" s="517" t="str">
        <f t="shared" ca="1" si="107"/>
        <v>ton of medical equipment</v>
      </c>
      <c r="AQ482" s="521">
        <f>VLOOKUP($I482,'Price List, Weapons &amp; Items'!A:K,COLUMN('Price List, Weapons &amp; Items'!$K$1),0)</f>
        <v>0</v>
      </c>
      <c r="AS482" s="521">
        <f t="shared" si="103"/>
        <v>1</v>
      </c>
      <c r="AT482" s="521">
        <f t="shared" si="104"/>
        <v>0</v>
      </c>
      <c r="AU482" s="521" t="str">
        <f t="shared" si="105"/>
        <v>Value is not in date format</v>
      </c>
      <c r="AV482" s="521" t="str">
        <f t="shared" si="106"/>
        <v>.</v>
      </c>
    </row>
    <row r="483" spans="1:48" ht="15" customHeight="1">
      <c r="A483" s="41" t="s">
        <v>1376</v>
      </c>
      <c r="B483" s="41" t="s">
        <v>1369</v>
      </c>
      <c r="C483" s="550">
        <v>44816</v>
      </c>
      <c r="D483" s="46" t="s">
        <v>228</v>
      </c>
      <c r="E483" s="46" t="s">
        <v>229</v>
      </c>
      <c r="F483" s="46" t="s">
        <v>1377</v>
      </c>
      <c r="G483" s="39" t="s">
        <v>314</v>
      </c>
      <c r="H483" s="513" t="s">
        <v>309</v>
      </c>
      <c r="I483" s="41" t="s">
        <v>623</v>
      </c>
      <c r="J483" s="276" t="str">
        <f>VLOOKUP($I483,'Price List, Weapons &amp; Items'!A:B,2,0)</f>
        <v>Humanitarian</v>
      </c>
      <c r="K483" s="276" t="str">
        <f>IF(I483=".",I483,VLOOKUP($I483,'Price List, Weapons &amp; Items'!A:C,3,0))</f>
        <v>.</v>
      </c>
      <c r="L483" s="514">
        <f>VLOOKUP(I483,'Price List, Weapons &amp; Items'!A:D,4,0)</f>
        <v>0</v>
      </c>
      <c r="M483" s="515">
        <v>7.7249999999999996</v>
      </c>
      <c r="N483" s="515" t="s">
        <v>232</v>
      </c>
      <c r="O483" s="516">
        <f>VLOOKUP($I483,'Price List, Weapons &amp; Items'!A:F,6,0)</f>
        <v>10000</v>
      </c>
      <c r="P483" s="513">
        <f t="shared" si="97"/>
        <v>77250</v>
      </c>
      <c r="Q483" s="513" t="str">
        <f t="shared" si="98"/>
        <v>.</v>
      </c>
      <c r="R483" s="513">
        <f t="shared" si="99"/>
        <v>77250</v>
      </c>
      <c r="S483" s="513">
        <f>IF(AND(AD483=1,R483&lt;&gt;".")=TRUE,R483/VLOOKUP(G483,'Exchange rates'!B:C,2,0),IF(R483=".",".",""))</f>
        <v>76980.568011958138</v>
      </c>
      <c r="T483" s="513" t="str">
        <f>IF(AD483=1,IF(AF483="Value is not given at all",".",IF(AF483="Value is given by the source",S483,IF(AF483="Value is calculated with prices",(IF(SUMIFS(Q:Q,A:A,A483)&gt;0,SUMIFS(Q:Q,A:A,A483),"."))/VLOOKUP("USD",'Exchange rates'!B:C,2,0),"Error with coding"))),"")</f>
        <v>.</v>
      </c>
      <c r="U483" s="39" t="s">
        <v>233</v>
      </c>
      <c r="V483" s="826" t="s">
        <v>1378</v>
      </c>
      <c r="W483" s="826" t="s">
        <v>1379</v>
      </c>
      <c r="X483" s="42" t="s">
        <v>1380</v>
      </c>
      <c r="Y483" s="42" t="s">
        <v>1381</v>
      </c>
      <c r="Z483" s="39">
        <v>0</v>
      </c>
      <c r="AA483" s="39">
        <v>0</v>
      </c>
      <c r="AB483" s="830" t="s">
        <v>1378</v>
      </c>
      <c r="AC483" s="519" t="str">
        <f>""</f>
        <v/>
      </c>
      <c r="AD483" s="522">
        <v>1</v>
      </c>
      <c r="AE483" s="522" t="s">
        <v>300</v>
      </c>
      <c r="AF483" s="522" t="s">
        <v>237</v>
      </c>
      <c r="AG483" s="522">
        <v>1</v>
      </c>
      <c r="AH483" s="520">
        <v>9</v>
      </c>
      <c r="AI483" s="520">
        <v>0</v>
      </c>
      <c r="AJ483" s="520">
        <f>VLOOKUP($I483,'Price List, Weapons &amp; Items'!A:E,5,0)</f>
        <v>0</v>
      </c>
      <c r="AK483" s="520">
        <f t="shared" si="100"/>
        <v>0</v>
      </c>
      <c r="AL483" s="520">
        <f t="shared" si="101"/>
        <v>0</v>
      </c>
      <c r="AM483" s="520">
        <f t="shared" si="102"/>
        <v>0</v>
      </c>
      <c r="AN483" s="521" t="str">
        <f>VLOOKUP($I483,'Price List, Weapons &amp; Items'!A:K,COLUMN('Price List, Weapons &amp; Items'!$I$1),0)</f>
        <v>Miscellaneous</v>
      </c>
      <c r="AO483" s="521" t="str">
        <f>IF(I483=".",".",VLOOKUP($I483,'Price List, Weapons &amp; Items'!A:I,3,0))</f>
        <v>.</v>
      </c>
      <c r="AP483" s="517" t="str">
        <f t="shared" ca="1" si="107"/>
        <v>ton of medical equipment</v>
      </c>
      <c r="AQ483" s="521">
        <f>VLOOKUP($I483,'Price List, Weapons &amp; Items'!A:K,COLUMN('Price List, Weapons &amp; Items'!$K$1),0)</f>
        <v>0</v>
      </c>
      <c r="AS483" s="521">
        <f t="shared" si="103"/>
        <v>1</v>
      </c>
      <c r="AT483" s="521">
        <f t="shared" si="104"/>
        <v>0</v>
      </c>
      <c r="AU483" s="521">
        <f t="shared" si="105"/>
        <v>1</v>
      </c>
      <c r="AV483" s="521" t="str">
        <f t="shared" si="106"/>
        <v>.</v>
      </c>
    </row>
    <row r="484" spans="1:48" ht="15" customHeight="1">
      <c r="A484" s="41" t="s">
        <v>1382</v>
      </c>
      <c r="B484" s="41" t="s">
        <v>1383</v>
      </c>
      <c r="C484" s="511">
        <v>44616</v>
      </c>
      <c r="D484" s="18" t="s">
        <v>228</v>
      </c>
      <c r="E484" s="18" t="s">
        <v>229</v>
      </c>
      <c r="F484" s="512" t="s">
        <v>1384</v>
      </c>
      <c r="G484" s="39" t="s">
        <v>332</v>
      </c>
      <c r="H484" s="513">
        <v>10000000</v>
      </c>
      <c r="I484" s="41" t="s">
        <v>232</v>
      </c>
      <c r="J484" s="276" t="str">
        <f>VLOOKUP($I484,'Price List, Weapons &amp; Items'!A:B,2,0)</f>
        <v>.</v>
      </c>
      <c r="K484" s="276" t="str">
        <f>IF(I484=".",I484,VLOOKUP($I484,'Price List, Weapons &amp; Items'!A:C,3,0))</f>
        <v>.</v>
      </c>
      <c r="L484" s="514">
        <f>VLOOKUP(I484,'Price List, Weapons &amp; Items'!A:D,4,0)</f>
        <v>0</v>
      </c>
      <c r="M484" s="515" t="s">
        <v>232</v>
      </c>
      <c r="N484" s="515" t="s">
        <v>232</v>
      </c>
      <c r="O484" s="516" t="str">
        <f>VLOOKUP($I484,'Price List, Weapons &amp; Items'!A:F,6,0)</f>
        <v>.</v>
      </c>
      <c r="P484" s="513" t="str">
        <f t="shared" si="97"/>
        <v>.</v>
      </c>
      <c r="Q484" s="513" t="str">
        <f t="shared" si="98"/>
        <v>.</v>
      </c>
      <c r="R484" s="513">
        <f t="shared" si="99"/>
        <v>10000000</v>
      </c>
      <c r="S484" s="513">
        <f>IF(AND(AD484=1,R484&lt;&gt;".")=TRUE,R484/VLOOKUP(G484,'Exchange rates'!B:C,2,0),IF(R484=".",".",""))</f>
        <v>10000000</v>
      </c>
      <c r="T484" s="513" t="str">
        <f>IF(AD484=1,IF(AF484="Value is not given at all",".",IF(AF484="Value is given by the source",S484,IF(AF484="Value is calculated with prices",(IF(SUMIFS(Q:Q,A:A,A484)&gt;0,SUMIFS(Q:Q,A:A,A484),"."))/VLOOKUP("USD",'Exchange rates'!B:C,2,0),"Error with coding"))),"")</f>
        <v>.</v>
      </c>
      <c r="U484" s="39" t="s">
        <v>372</v>
      </c>
      <c r="V484" s="42" t="s">
        <v>1385</v>
      </c>
      <c r="W484" s="517" t="s">
        <v>232</v>
      </c>
      <c r="X484" s="517" t="s">
        <v>232</v>
      </c>
      <c r="Y484" s="517" t="s">
        <v>232</v>
      </c>
      <c r="Z484" s="39">
        <v>0</v>
      </c>
      <c r="AA484" s="518">
        <v>0</v>
      </c>
      <c r="AB484" s="38" t="s">
        <v>232</v>
      </c>
      <c r="AC484" s="519" t="str">
        <f>""</f>
        <v/>
      </c>
      <c r="AD484" s="520">
        <v>1</v>
      </c>
      <c r="AE484" s="520" t="s">
        <v>236</v>
      </c>
      <c r="AF484" s="520" t="s">
        <v>237</v>
      </c>
      <c r="AG484" s="520">
        <v>1</v>
      </c>
      <c r="AH484" s="520">
        <v>2</v>
      </c>
      <c r="AI484" s="520">
        <v>0</v>
      </c>
      <c r="AJ484" s="520">
        <f>VLOOKUP($I484,'Price List, Weapons &amp; Items'!A:E,5,0)</f>
        <v>0</v>
      </c>
      <c r="AK484" s="520">
        <f t="shared" si="100"/>
        <v>0</v>
      </c>
      <c r="AL484" s="520">
        <f t="shared" si="101"/>
        <v>0</v>
      </c>
      <c r="AM484" s="520">
        <f t="shared" si="102"/>
        <v>0</v>
      </c>
      <c r="AN484" s="521" t="str">
        <f>VLOOKUP($I484,'Price List, Weapons &amp; Items'!A:K,COLUMN('Price List, Weapons &amp; Items'!$I$1),0)</f>
        <v>.</v>
      </c>
      <c r="AO484" s="521" t="str">
        <f>IF(I484=".",".",VLOOKUP($I484,'Price List, Weapons &amp; Items'!A:I,3,0))</f>
        <v>.</v>
      </c>
      <c r="AP484" s="517" t="str">
        <f t="shared" ca="1" si="107"/>
        <v>.</v>
      </c>
      <c r="AQ484" s="521" t="str">
        <f>VLOOKUP($I484,'Price List, Weapons &amp; Items'!A:K,COLUMN('Price List, Weapons &amp; Items'!$K$1),0)</f>
        <v>no price, 0 count</v>
      </c>
      <c r="AS484" s="521">
        <f t="shared" si="103"/>
        <v>0</v>
      </c>
      <c r="AT484" s="521">
        <f t="shared" si="104"/>
        <v>0</v>
      </c>
      <c r="AU484" s="521">
        <f t="shared" si="105"/>
        <v>1</v>
      </c>
      <c r="AV484" s="521" t="str">
        <f t="shared" si="106"/>
        <v>.</v>
      </c>
    </row>
    <row r="485" spans="1:48" ht="15" customHeight="1">
      <c r="A485" s="41" t="s">
        <v>1386</v>
      </c>
      <c r="B485" s="41" t="s">
        <v>1383</v>
      </c>
      <c r="C485" s="511">
        <v>44627</v>
      </c>
      <c r="D485" s="18" t="s">
        <v>228</v>
      </c>
      <c r="E485" s="18" t="s">
        <v>239</v>
      </c>
      <c r="F485" s="512" t="s">
        <v>1387</v>
      </c>
      <c r="G485" s="39" t="s">
        <v>232</v>
      </c>
      <c r="H485" s="513" t="s">
        <v>309</v>
      </c>
      <c r="I485" s="41" t="s">
        <v>1388</v>
      </c>
      <c r="J485" s="276" t="str">
        <f>VLOOKUP($I485,'Price List, Weapons &amp; Items'!A:B,2,0)</f>
        <v>Humanitarian</v>
      </c>
      <c r="K485" s="276" t="str">
        <f>IF(I485=".",I485,VLOOKUP($I485,'Price List, Weapons &amp; Items'!A:C,3,0))</f>
        <v>.</v>
      </c>
      <c r="L485" s="514">
        <f>VLOOKUP(I485,'Price List, Weapons &amp; Items'!A:D,4,0)</f>
        <v>0</v>
      </c>
      <c r="M485" s="515">
        <v>4000</v>
      </c>
      <c r="N485" s="515" t="s">
        <v>232</v>
      </c>
      <c r="O485" s="516" t="str">
        <f>VLOOKUP($I485,'Price List, Weapons &amp; Items'!A:F,6,0)</f>
        <v>.</v>
      </c>
      <c r="P485" s="513" t="str">
        <f t="shared" si="97"/>
        <v>No price</v>
      </c>
      <c r="Q485" s="513" t="str">
        <f t="shared" si="98"/>
        <v>.</v>
      </c>
      <c r="R485" s="513" t="str">
        <f t="shared" si="99"/>
        <v>.</v>
      </c>
      <c r="S485" s="513" t="str">
        <f>IF(AND(AD485=1,R485&lt;&gt;".")=TRUE,R485/VLOOKUP(G485,'Exchange rates'!B:C,2,0),IF(R485=".",".",""))</f>
        <v>.</v>
      </c>
      <c r="T485" s="513" t="str">
        <f>IF(AD485=1,IF(AF485="Value is not given at all",".",IF(AF485="Value is given by the source",S485,IF(AF485="Value is calculated with prices",(IF(SUMIFS(Q:Q,A:A,A485)&gt;0,SUMIFS(Q:Q,A:A,A485),"."))/VLOOKUP("USD",'Exchange rates'!B:C,2,0),"Error with coding"))),"")</f>
        <v>.</v>
      </c>
      <c r="U485" s="39" t="s">
        <v>233</v>
      </c>
      <c r="V485" s="42" t="s">
        <v>1389</v>
      </c>
      <c r="W485" s="42" t="s">
        <v>1390</v>
      </c>
      <c r="X485" s="517" t="s">
        <v>232</v>
      </c>
      <c r="Y485" s="517" t="s">
        <v>232</v>
      </c>
      <c r="Z485" s="39">
        <v>0</v>
      </c>
      <c r="AA485" s="518">
        <v>0</v>
      </c>
      <c r="AB485" s="38" t="s">
        <v>232</v>
      </c>
      <c r="AC485" s="519" t="str">
        <f>""</f>
        <v/>
      </c>
      <c r="AD485" s="520">
        <v>1</v>
      </c>
      <c r="AE485" s="520" t="s">
        <v>237</v>
      </c>
      <c r="AF485" s="520" t="s">
        <v>237</v>
      </c>
      <c r="AG485" s="520">
        <v>1</v>
      </c>
      <c r="AH485" s="520">
        <v>3</v>
      </c>
      <c r="AI485" s="520">
        <v>0</v>
      </c>
      <c r="AJ485" s="520">
        <f>VLOOKUP($I485,'Price List, Weapons &amp; Items'!A:E,5,0)</f>
        <v>0</v>
      </c>
      <c r="AK485" s="520">
        <f t="shared" si="100"/>
        <v>0</v>
      </c>
      <c r="AL485" s="520">
        <f t="shared" si="101"/>
        <v>0</v>
      </c>
      <c r="AM485" s="520">
        <f t="shared" si="102"/>
        <v>0</v>
      </c>
      <c r="AN485" s="521" t="str">
        <f>VLOOKUP($I485,'Price List, Weapons &amp; Items'!A:K,COLUMN('Price List, Weapons &amp; Items'!$I$1),0)</f>
        <v>.</v>
      </c>
      <c r="AO485" s="521" t="str">
        <f>IF(I485=".",".",VLOOKUP($I485,'Price List, Weapons &amp; Items'!A:I,3,0))</f>
        <v>.</v>
      </c>
      <c r="AP485" s="517" t="str">
        <f t="shared" ca="1" si="107"/>
        <v>blood bag</v>
      </c>
      <c r="AQ485" s="521">
        <f>VLOOKUP($I485,'Price List, Weapons &amp; Items'!A:K,COLUMN('Price List, Weapons &amp; Items'!$K$1),0)</f>
        <v>0</v>
      </c>
      <c r="AS485" s="521">
        <f t="shared" si="103"/>
        <v>1</v>
      </c>
      <c r="AT485" s="521">
        <f t="shared" si="104"/>
        <v>0</v>
      </c>
      <c r="AU485" s="521">
        <f t="shared" si="105"/>
        <v>1</v>
      </c>
      <c r="AV485" s="521" t="str">
        <f t="shared" si="106"/>
        <v>.</v>
      </c>
    </row>
    <row r="486" spans="1:48" ht="15" customHeight="1">
      <c r="A486" s="18" t="s">
        <v>1391</v>
      </c>
      <c r="B486" s="18" t="s">
        <v>1383</v>
      </c>
      <c r="C486" s="511">
        <v>44631</v>
      </c>
      <c r="D486" s="18" t="s">
        <v>228</v>
      </c>
      <c r="E486" s="18" t="s">
        <v>239</v>
      </c>
      <c r="F486" s="512" t="s">
        <v>1392</v>
      </c>
      <c r="G486" s="39" t="s">
        <v>314</v>
      </c>
      <c r="H486" s="513" t="s">
        <v>309</v>
      </c>
      <c r="I486" s="41" t="s">
        <v>1393</v>
      </c>
      <c r="J486" s="276" t="str">
        <f>VLOOKUP($I486,'Price List, Weapons &amp; Items'!A:B,2,0)</f>
        <v>Humanitarian</v>
      </c>
      <c r="K486" s="276" t="str">
        <f>IF(I486=".",I486,VLOOKUP($I486,'Price List, Weapons &amp; Items'!A:C,3,0))</f>
        <v>.</v>
      </c>
      <c r="L486" s="514">
        <f>VLOOKUP(I486,'Price List, Weapons &amp; Items'!A:D,4,0)</f>
        <v>0</v>
      </c>
      <c r="M486" s="515">
        <v>10000</v>
      </c>
      <c r="N486" s="515" t="s">
        <v>232</v>
      </c>
      <c r="O486" s="516">
        <f>VLOOKUP($I486,'Price List, Weapons &amp; Items'!A:F,6,0)</f>
        <v>10</v>
      </c>
      <c r="P486" s="513">
        <f t="shared" si="97"/>
        <v>100000</v>
      </c>
      <c r="Q486" s="513" t="str">
        <f t="shared" si="98"/>
        <v>.</v>
      </c>
      <c r="R486" s="513">
        <f t="shared" si="99"/>
        <v>142996</v>
      </c>
      <c r="S486" s="513">
        <f>IF(AND(AD486=1,R486&lt;&gt;".")=TRUE,R486/VLOOKUP(G486,'Exchange rates'!B:C,2,0),IF(R486=".",".",""))</f>
        <v>142497.25959142999</v>
      </c>
      <c r="T486" s="513" t="str">
        <f>IF(AD486=1,IF(AF486="Value is not given at all",".",IF(AF486="Value is given by the source",S486,IF(AF486="Value is calculated with prices",(IF(SUMIFS(Q:Q,A:A,A486)&gt;0,SUMIFS(Q:Q,A:A,A486),"."))/VLOOKUP("USD",'Exchange rates'!B:C,2,0),"Error with coding"))),"")</f>
        <v>.</v>
      </c>
      <c r="U486" s="39" t="s">
        <v>233</v>
      </c>
      <c r="V486" s="376" t="s">
        <v>1389</v>
      </c>
      <c r="W486" s="376" t="s">
        <v>1390</v>
      </c>
      <c r="X486" s="530" t="s">
        <v>232</v>
      </c>
      <c r="Y486" s="530" t="s">
        <v>232</v>
      </c>
      <c r="Z486" s="39">
        <v>0</v>
      </c>
      <c r="AA486" s="518">
        <v>0</v>
      </c>
      <c r="AB486" s="38" t="s">
        <v>232</v>
      </c>
      <c r="AC486" s="519" t="str">
        <f>""</f>
        <v/>
      </c>
      <c r="AD486" s="520">
        <v>1</v>
      </c>
      <c r="AE486" s="520" t="s">
        <v>300</v>
      </c>
      <c r="AF486" s="520" t="s">
        <v>237</v>
      </c>
      <c r="AG486" s="520">
        <v>1</v>
      </c>
      <c r="AH486" s="520">
        <v>3</v>
      </c>
      <c r="AI486" s="520">
        <v>0</v>
      </c>
      <c r="AJ486" s="520">
        <f>VLOOKUP($I486,'Price List, Weapons &amp; Items'!A:E,5,0)</f>
        <v>0</v>
      </c>
      <c r="AK486" s="520">
        <f t="shared" si="100"/>
        <v>0</v>
      </c>
      <c r="AL486" s="520">
        <f t="shared" si="101"/>
        <v>0</v>
      </c>
      <c r="AM486" s="520">
        <f t="shared" si="102"/>
        <v>0</v>
      </c>
      <c r="AN486" s="521" t="str">
        <f>VLOOKUP($I486,'Price List, Weapons &amp; Items'!A:K,COLUMN('Price List, Weapons &amp; Items'!$I$1),0)</f>
        <v>Online marketplaces and stores</v>
      </c>
      <c r="AO486" s="521" t="str">
        <f>IF(I486=".",".",VLOOKUP($I486,'Price List, Weapons &amp; Items'!A:I,3,0))</f>
        <v>.</v>
      </c>
      <c r="AP486" s="517" t="str">
        <f t="shared" ca="1" si="107"/>
        <v>bio protection suit; medical protective mask; liter of disinfectant</v>
      </c>
      <c r="AQ486" s="521">
        <f>VLOOKUP($I486,'Price List, Weapons &amp; Items'!A:K,COLUMN('Price List, Weapons &amp; Items'!$K$1),0)</f>
        <v>0</v>
      </c>
      <c r="AS486" s="521">
        <f t="shared" si="103"/>
        <v>1</v>
      </c>
      <c r="AT486" s="521">
        <f t="shared" si="104"/>
        <v>0</v>
      </c>
      <c r="AU486" s="521">
        <f t="shared" si="105"/>
        <v>1</v>
      </c>
      <c r="AV486" s="521" t="str">
        <f t="shared" si="106"/>
        <v>.</v>
      </c>
    </row>
    <row r="487" spans="1:48" ht="15" customHeight="1">
      <c r="A487" s="18" t="s">
        <v>1391</v>
      </c>
      <c r="B487" s="18" t="s">
        <v>1383</v>
      </c>
      <c r="C487" s="511">
        <v>44631</v>
      </c>
      <c r="D487" s="18" t="s">
        <v>228</v>
      </c>
      <c r="E487" s="18" t="s">
        <v>239</v>
      </c>
      <c r="F487" s="512" t="s">
        <v>1392</v>
      </c>
      <c r="G487" s="39" t="s">
        <v>314</v>
      </c>
      <c r="H487" s="513" t="s">
        <v>309</v>
      </c>
      <c r="I487" s="41" t="s">
        <v>319</v>
      </c>
      <c r="J487" s="276" t="str">
        <f>VLOOKUP($I487,'Price List, Weapons &amp; Items'!A:B,2,0)</f>
        <v>Humanitarian</v>
      </c>
      <c r="K487" s="276" t="str">
        <f>IF(I487=".",I487,VLOOKUP($I487,'Price List, Weapons &amp; Items'!A:C,3,0))</f>
        <v>.</v>
      </c>
      <c r="L487" s="514">
        <f>VLOOKUP(I487,'Price List, Weapons &amp; Items'!A:D,4,0)</f>
        <v>0</v>
      </c>
      <c r="M487" s="515">
        <v>50000</v>
      </c>
      <c r="N487" s="515" t="s">
        <v>232</v>
      </c>
      <c r="O487" s="516">
        <f>VLOOKUP($I487,'Price List, Weapons &amp; Items'!A:F,6,0)</f>
        <v>0.24</v>
      </c>
      <c r="P487" s="513">
        <f t="shared" si="97"/>
        <v>12000</v>
      </c>
      <c r="Q487" s="513" t="str">
        <f t="shared" si="98"/>
        <v>.</v>
      </c>
      <c r="R487" s="513" t="str">
        <f t="shared" si="99"/>
        <v/>
      </c>
      <c r="S487" s="513" t="str">
        <f>IF(AND(AD487=1,R487&lt;&gt;".")=TRUE,R487/VLOOKUP(G487,'Exchange rates'!B:C,2,0),IF(R487=".",".",""))</f>
        <v/>
      </c>
      <c r="T487" s="513" t="str">
        <f>IF(AD487=1,IF(AF487="Value is not given at all",".",IF(AF487="Value is given by the source",S487,IF(AF487="Value is calculated with prices",(IF(SUMIFS(Q:Q,A:A,A487)&gt;0,SUMIFS(Q:Q,A:A,A487),"."))/VLOOKUP("USD",'Exchange rates'!B:C,2,0),"Error with coding"))),"")</f>
        <v/>
      </c>
      <c r="U487" s="39" t="s">
        <v>233</v>
      </c>
      <c r="V487" s="376" t="s">
        <v>1389</v>
      </c>
      <c r="W487" s="376" t="s">
        <v>1390</v>
      </c>
      <c r="X487" s="530" t="s">
        <v>232</v>
      </c>
      <c r="Y487" s="530" t="s">
        <v>232</v>
      </c>
      <c r="Z487" s="39">
        <v>0</v>
      </c>
      <c r="AA487" s="518">
        <v>0</v>
      </c>
      <c r="AB487" s="38" t="s">
        <v>232</v>
      </c>
      <c r="AC487" s="519" t="str">
        <f>""</f>
        <v/>
      </c>
      <c r="AD487" s="520">
        <v>0</v>
      </c>
      <c r="AE487" s="520" t="s">
        <v>300</v>
      </c>
      <c r="AF487" s="520" t="s">
        <v>237</v>
      </c>
      <c r="AG487" s="520">
        <v>1</v>
      </c>
      <c r="AH487" s="520">
        <v>3</v>
      </c>
      <c r="AI487" s="520">
        <v>0</v>
      </c>
      <c r="AJ487" s="520">
        <f>VLOOKUP($I487,'Price List, Weapons &amp; Items'!A:E,5,0)</f>
        <v>0</v>
      </c>
      <c r="AK487" s="520">
        <f t="shared" si="100"/>
        <v>0</v>
      </c>
      <c r="AL487" s="520">
        <f t="shared" si="101"/>
        <v>0</v>
      </c>
      <c r="AM487" s="520">
        <f t="shared" si="102"/>
        <v>0</v>
      </c>
      <c r="AN487" s="521" t="str">
        <f>VLOOKUP($I487,'Price List, Weapons &amp; Items'!A:K,COLUMN('Price List, Weapons &amp; Items'!$I$1),0)</f>
        <v>Online marketplaces and stores</v>
      </c>
      <c r="AO487" s="521" t="str">
        <f>IF(I487=".",".",VLOOKUP($I487,'Price List, Weapons &amp; Items'!A:I,3,0))</f>
        <v>.</v>
      </c>
      <c r="AP487" s="517" t="str">
        <f t="shared" ca="1" si="107"/>
        <v/>
      </c>
      <c r="AQ487" s="521">
        <f>VLOOKUP($I487,'Price List, Weapons &amp; Items'!A:K,COLUMN('Price List, Weapons &amp; Items'!$K$1),0)</f>
        <v>0</v>
      </c>
      <c r="AS487" s="521">
        <f t="shared" si="103"/>
        <v>1</v>
      </c>
      <c r="AT487" s="521">
        <f t="shared" si="104"/>
        <v>0</v>
      </c>
      <c r="AU487" s="521">
        <f t="shared" si="105"/>
        <v>1</v>
      </c>
      <c r="AV487" s="521" t="str">
        <f t="shared" si="106"/>
        <v>.</v>
      </c>
    </row>
    <row r="488" spans="1:48" ht="15" customHeight="1">
      <c r="A488" s="18" t="s">
        <v>1391</v>
      </c>
      <c r="B488" s="18" t="s">
        <v>1383</v>
      </c>
      <c r="C488" s="511">
        <v>44631</v>
      </c>
      <c r="D488" s="18" t="s">
        <v>228</v>
      </c>
      <c r="E488" s="18" t="s">
        <v>239</v>
      </c>
      <c r="F488" s="512" t="s">
        <v>1392</v>
      </c>
      <c r="G488" s="39" t="s">
        <v>314</v>
      </c>
      <c r="H488" s="513" t="s">
        <v>309</v>
      </c>
      <c r="I488" s="41" t="s">
        <v>317</v>
      </c>
      <c r="J488" s="276" t="str">
        <f>VLOOKUP($I488,'Price List, Weapons &amp; Items'!A:B,2,0)</f>
        <v>Humanitarian</v>
      </c>
      <c r="K488" s="276" t="str">
        <f>IF(I488=".",I488,VLOOKUP($I488,'Price List, Weapons &amp; Items'!A:C,3,0))</f>
        <v>.</v>
      </c>
      <c r="L488" s="514">
        <f>VLOOKUP(I488,'Price List, Weapons &amp; Items'!A:D,4,0)</f>
        <v>0</v>
      </c>
      <c r="M488" s="515">
        <v>2583</v>
      </c>
      <c r="N488" s="515" t="s">
        <v>232</v>
      </c>
      <c r="O488" s="516">
        <f>VLOOKUP($I488,'Price List, Weapons &amp; Items'!A:F,6,0)</f>
        <v>12</v>
      </c>
      <c r="P488" s="513">
        <f t="shared" si="97"/>
        <v>30996</v>
      </c>
      <c r="Q488" s="513" t="str">
        <f t="shared" si="98"/>
        <v>.</v>
      </c>
      <c r="R488" s="513" t="str">
        <f t="shared" si="99"/>
        <v/>
      </c>
      <c r="S488" s="513" t="str">
        <f>IF(AND(AD488=1,R488&lt;&gt;".")=TRUE,R488/VLOOKUP(G488,'Exchange rates'!B:C,2,0),IF(R488=".",".",""))</f>
        <v/>
      </c>
      <c r="T488" s="513" t="str">
        <f>IF(AD488=1,IF(AF488="Value is not given at all",".",IF(AF488="Value is given by the source",S488,IF(AF488="Value is calculated with prices",(IF(SUMIFS(Q:Q,A:A,A488)&gt;0,SUMIFS(Q:Q,A:A,A488),"."))/VLOOKUP("USD",'Exchange rates'!B:C,2,0),"Error with coding"))),"")</f>
        <v/>
      </c>
      <c r="U488" s="39" t="s">
        <v>233</v>
      </c>
      <c r="V488" s="376" t="s">
        <v>1389</v>
      </c>
      <c r="W488" s="376" t="s">
        <v>1390</v>
      </c>
      <c r="X488" s="530" t="s">
        <v>232</v>
      </c>
      <c r="Y488" s="530" t="s">
        <v>232</v>
      </c>
      <c r="Z488" s="39">
        <v>0</v>
      </c>
      <c r="AA488" s="518">
        <v>0</v>
      </c>
      <c r="AB488" s="38" t="s">
        <v>232</v>
      </c>
      <c r="AC488" s="519" t="str">
        <f>""</f>
        <v/>
      </c>
      <c r="AD488" s="520">
        <v>0</v>
      </c>
      <c r="AE488" s="520" t="s">
        <v>300</v>
      </c>
      <c r="AF488" s="520" t="s">
        <v>237</v>
      </c>
      <c r="AG488" s="520">
        <v>1</v>
      </c>
      <c r="AH488" s="520">
        <v>3</v>
      </c>
      <c r="AI488" s="520">
        <v>0</v>
      </c>
      <c r="AJ488" s="520">
        <f>VLOOKUP($I488,'Price List, Weapons &amp; Items'!A:E,5,0)</f>
        <v>0</v>
      </c>
      <c r="AK488" s="520">
        <f t="shared" si="100"/>
        <v>0</v>
      </c>
      <c r="AL488" s="520">
        <f t="shared" si="101"/>
        <v>0</v>
      </c>
      <c r="AM488" s="520">
        <f t="shared" si="102"/>
        <v>0</v>
      </c>
      <c r="AN488" s="521" t="str">
        <f>VLOOKUP($I488,'Price List, Weapons &amp; Items'!A:K,COLUMN('Price List, Weapons &amp; Items'!$I$1),0)</f>
        <v>Online marketplaces and stores</v>
      </c>
      <c r="AO488" s="521" t="str">
        <f>IF(I488=".",".",VLOOKUP($I488,'Price List, Weapons &amp; Items'!A:I,3,0))</f>
        <v>.</v>
      </c>
      <c r="AP488" s="517" t="str">
        <f t="shared" ca="1" si="107"/>
        <v/>
      </c>
      <c r="AQ488" s="521">
        <f>VLOOKUP($I488,'Price List, Weapons &amp; Items'!A:K,COLUMN('Price List, Weapons &amp; Items'!$K$1),0)</f>
        <v>0</v>
      </c>
      <c r="AS488" s="521">
        <f t="shared" si="103"/>
        <v>1</v>
      </c>
      <c r="AT488" s="521">
        <f t="shared" si="104"/>
        <v>0</v>
      </c>
      <c r="AU488" s="521">
        <f t="shared" si="105"/>
        <v>1</v>
      </c>
      <c r="AV488" s="521" t="str">
        <f t="shared" si="106"/>
        <v>.</v>
      </c>
    </row>
    <row r="489" spans="1:48" ht="15" customHeight="1">
      <c r="A489" s="41" t="s">
        <v>1394</v>
      </c>
      <c r="B489" s="41" t="s">
        <v>1383</v>
      </c>
      <c r="C489" s="511" t="s">
        <v>1395</v>
      </c>
      <c r="D489" s="18" t="s">
        <v>228</v>
      </c>
      <c r="E489" s="18" t="s">
        <v>239</v>
      </c>
      <c r="F489" s="512" t="s">
        <v>1396</v>
      </c>
      <c r="G489" s="39" t="s">
        <v>314</v>
      </c>
      <c r="H489" s="513" t="s">
        <v>309</v>
      </c>
      <c r="I489" s="41" t="s">
        <v>326</v>
      </c>
      <c r="J489" s="276" t="str">
        <f>VLOOKUP($I489,'Price List, Weapons &amp; Items'!A:B,2,0)</f>
        <v>Humanitarian</v>
      </c>
      <c r="K489" s="276" t="str">
        <f>IF(I489=".",I489,VLOOKUP($I489,'Price List, Weapons &amp; Items'!A:C,3,0))</f>
        <v>.</v>
      </c>
      <c r="L489" s="514">
        <f>VLOOKUP(I489,'Price List, Weapons &amp; Items'!A:D,4,0)</f>
        <v>0</v>
      </c>
      <c r="M489" s="515">
        <v>9</v>
      </c>
      <c r="N489" s="515" t="s">
        <v>232</v>
      </c>
      <c r="O489" s="516">
        <f>VLOOKUP($I489,'Price List, Weapons &amp; Items'!A:F,6,0)</f>
        <v>317500</v>
      </c>
      <c r="P489" s="513">
        <f t="shared" si="97"/>
        <v>2857500</v>
      </c>
      <c r="Q489" s="513" t="str">
        <f t="shared" si="98"/>
        <v>.</v>
      </c>
      <c r="R489" s="513">
        <f t="shared" si="99"/>
        <v>2857500</v>
      </c>
      <c r="S489" s="513">
        <f>IF(AND(AD489=1,R489&lt;&gt;".")=TRUE,R489/VLOOKUP(G489,'Exchange rates'!B:C,2,0),IF(R489=".",".",""))</f>
        <v>2847533.6322869952</v>
      </c>
      <c r="T489" s="513" t="str">
        <f>IF(AD489=1,IF(AF489="Value is not given at all",".",IF(AF489="Value is given by the source",S489,IF(AF489="Value is calculated with prices",(IF(SUMIFS(Q:Q,A:A,A489)&gt;0,SUMIFS(Q:Q,A:A,A489),"."))/VLOOKUP("USD",'Exchange rates'!B:C,2,0),"Error with coding"))),"")</f>
        <v>.</v>
      </c>
      <c r="U489" s="39" t="s">
        <v>233</v>
      </c>
      <c r="V489" s="42" t="s">
        <v>1397</v>
      </c>
      <c r="W489" s="517" t="s">
        <v>232</v>
      </c>
      <c r="X489" s="517" t="s">
        <v>232</v>
      </c>
      <c r="Y489" s="517" t="s">
        <v>232</v>
      </c>
      <c r="Z489" s="39">
        <v>0</v>
      </c>
      <c r="AA489" s="518">
        <v>0</v>
      </c>
      <c r="AB489" s="38" t="s">
        <v>232</v>
      </c>
      <c r="AC489" s="519" t="str">
        <f>""</f>
        <v/>
      </c>
      <c r="AD489" s="520">
        <v>1</v>
      </c>
      <c r="AE489" s="520" t="s">
        <v>300</v>
      </c>
      <c r="AF489" s="520" t="s">
        <v>237</v>
      </c>
      <c r="AG489" s="520">
        <v>0</v>
      </c>
      <c r="AH489" s="520">
        <v>0</v>
      </c>
      <c r="AI489" s="520">
        <v>0</v>
      </c>
      <c r="AJ489" s="520">
        <f>VLOOKUP($I489,'Price List, Weapons &amp; Items'!A:E,5,0)</f>
        <v>0</v>
      </c>
      <c r="AK489" s="520">
        <f t="shared" si="100"/>
        <v>0</v>
      </c>
      <c r="AL489" s="520">
        <f t="shared" si="101"/>
        <v>0</v>
      </c>
      <c r="AM489" s="520">
        <f t="shared" si="102"/>
        <v>0</v>
      </c>
      <c r="AN489" s="521" t="str">
        <f>VLOOKUP($I489,'Price List, Weapons &amp; Items'!A:K,COLUMN('Price List, Weapons &amp; Items'!$I$1),0)</f>
        <v>Media reports (incl. social media)</v>
      </c>
      <c r="AO489" s="521" t="str">
        <f>IF(I489=".",".",VLOOKUP($I489,'Price List, Weapons &amp; Items'!A:I,3,0))</f>
        <v>.</v>
      </c>
      <c r="AP489" s="517" t="str">
        <f t="shared" ca="1" si="107"/>
        <v>ambulance H</v>
      </c>
      <c r="AQ489" s="521">
        <f>VLOOKUP($I489,'Price List, Weapons &amp; Items'!A:K,COLUMN('Price List, Weapons &amp; Items'!$K$1),0)</f>
        <v>0</v>
      </c>
      <c r="AS489" s="521">
        <f t="shared" si="103"/>
        <v>1</v>
      </c>
      <c r="AT489" s="521">
        <f t="shared" si="104"/>
        <v>0</v>
      </c>
      <c r="AU489" s="521" t="str">
        <f t="shared" si="105"/>
        <v>Value is not in date format</v>
      </c>
      <c r="AV489" s="521" t="str">
        <f t="shared" si="106"/>
        <v>.</v>
      </c>
    </row>
    <row r="490" spans="1:48" ht="15" customHeight="1">
      <c r="A490" s="41" t="s">
        <v>1398</v>
      </c>
      <c r="B490" s="41" t="s">
        <v>1383</v>
      </c>
      <c r="C490" s="511">
        <v>44646</v>
      </c>
      <c r="D490" s="18" t="s">
        <v>228</v>
      </c>
      <c r="E490" s="18" t="s">
        <v>239</v>
      </c>
      <c r="F490" s="512" t="s">
        <v>1399</v>
      </c>
      <c r="G490" s="39" t="s">
        <v>232</v>
      </c>
      <c r="H490" s="513" t="s">
        <v>309</v>
      </c>
      <c r="I490" s="41" t="s">
        <v>232</v>
      </c>
      <c r="J490" s="276" t="str">
        <f>VLOOKUP($I490,'Price List, Weapons &amp; Items'!A:B,2,0)</f>
        <v>.</v>
      </c>
      <c r="K490" s="276" t="str">
        <f>IF(I490=".",I490,VLOOKUP($I490,'Price List, Weapons &amp; Items'!A:C,3,0))</f>
        <v>.</v>
      </c>
      <c r="L490" s="514">
        <f>VLOOKUP(I490,'Price List, Weapons &amp; Items'!A:D,4,0)</f>
        <v>0</v>
      </c>
      <c r="M490" s="515" t="s">
        <v>232</v>
      </c>
      <c r="N490" s="515" t="s">
        <v>232</v>
      </c>
      <c r="O490" s="516" t="str">
        <f>VLOOKUP($I490,'Price List, Weapons &amp; Items'!A:F,6,0)</f>
        <v>.</v>
      </c>
      <c r="P490" s="513" t="str">
        <f t="shared" si="97"/>
        <v>.</v>
      </c>
      <c r="Q490" s="513" t="str">
        <f t="shared" si="98"/>
        <v>.</v>
      </c>
      <c r="R490" s="513" t="str">
        <f t="shared" si="99"/>
        <v>.</v>
      </c>
      <c r="S490" s="513" t="str">
        <f>IF(AND(AD490=1,R490&lt;&gt;".")=TRUE,R490/VLOOKUP(G490,'Exchange rates'!B:C,2,0),IF(R490=".",".",""))</f>
        <v>.</v>
      </c>
      <c r="T490" s="513" t="str">
        <f>IF(AD490=1,IF(AF490="Value is not given at all",".",IF(AF490="Value is given by the source",S490,IF(AF490="Value is calculated with prices",(IF(SUMIFS(Q:Q,A:A,A490)&gt;0,SUMIFS(Q:Q,A:A,A490),"."))/VLOOKUP("USD",'Exchange rates'!B:C,2,0),"Error with coding"))),"")</f>
        <v>.</v>
      </c>
      <c r="U490" s="39" t="s">
        <v>233</v>
      </c>
      <c r="V490" s="42" t="s">
        <v>1397</v>
      </c>
      <c r="W490" s="517" t="s">
        <v>232</v>
      </c>
      <c r="X490" s="517" t="s">
        <v>232</v>
      </c>
      <c r="Y490" s="517" t="s">
        <v>232</v>
      </c>
      <c r="Z490" s="39">
        <v>0</v>
      </c>
      <c r="AA490" s="518">
        <v>0</v>
      </c>
      <c r="AB490" s="38" t="s">
        <v>232</v>
      </c>
      <c r="AC490" s="519" t="str">
        <f>""</f>
        <v/>
      </c>
      <c r="AD490" s="520">
        <v>1</v>
      </c>
      <c r="AE490" s="520" t="s">
        <v>237</v>
      </c>
      <c r="AF490" s="520" t="s">
        <v>237</v>
      </c>
      <c r="AG490" s="520">
        <v>1</v>
      </c>
      <c r="AH490" s="520">
        <v>3</v>
      </c>
      <c r="AI490" s="520">
        <v>0</v>
      </c>
      <c r="AJ490" s="520">
        <f>VLOOKUP($I490,'Price List, Weapons &amp; Items'!A:E,5,0)</f>
        <v>0</v>
      </c>
      <c r="AK490" s="520">
        <f t="shared" si="100"/>
        <v>0</v>
      </c>
      <c r="AL490" s="520">
        <f t="shared" si="101"/>
        <v>0</v>
      </c>
      <c r="AM490" s="520">
        <f t="shared" si="102"/>
        <v>0</v>
      </c>
      <c r="AN490" s="521" t="str">
        <f>VLOOKUP($I490,'Price List, Weapons &amp; Items'!A:K,COLUMN('Price List, Weapons &amp; Items'!$I$1),0)</f>
        <v>.</v>
      </c>
      <c r="AO490" s="521" t="str">
        <f>IF(I490=".",".",VLOOKUP($I490,'Price List, Weapons &amp; Items'!A:I,3,0))</f>
        <v>.</v>
      </c>
      <c r="AP490" s="517" t="str">
        <f t="shared" ca="1" si="107"/>
        <v>.</v>
      </c>
      <c r="AQ490" s="521" t="str">
        <f>VLOOKUP($I490,'Price List, Weapons &amp; Items'!A:K,COLUMN('Price List, Weapons &amp; Items'!$K$1),0)</f>
        <v>no price, 0 count</v>
      </c>
      <c r="AS490" s="521">
        <f t="shared" si="103"/>
        <v>1</v>
      </c>
      <c r="AT490" s="521">
        <f t="shared" si="104"/>
        <v>0</v>
      </c>
      <c r="AU490" s="521">
        <f t="shared" si="105"/>
        <v>1</v>
      </c>
      <c r="AV490" s="521" t="str">
        <f t="shared" si="106"/>
        <v>.</v>
      </c>
    </row>
    <row r="491" spans="1:48" ht="15" customHeight="1">
      <c r="A491" s="41" t="s">
        <v>1400</v>
      </c>
      <c r="B491" s="41" t="s">
        <v>1383</v>
      </c>
      <c r="C491" s="511">
        <v>44648</v>
      </c>
      <c r="D491" s="18" t="s">
        <v>228</v>
      </c>
      <c r="E491" s="18" t="s">
        <v>239</v>
      </c>
      <c r="F491" s="512" t="s">
        <v>1401</v>
      </c>
      <c r="G491" s="39" t="s">
        <v>232</v>
      </c>
      <c r="H491" s="513" t="s">
        <v>309</v>
      </c>
      <c r="I491" s="41" t="s">
        <v>232</v>
      </c>
      <c r="J491" s="276" t="str">
        <f>VLOOKUP($I491,'Price List, Weapons &amp; Items'!A:B,2,0)</f>
        <v>.</v>
      </c>
      <c r="K491" s="276" t="str">
        <f>IF(I491=".",I491,VLOOKUP($I491,'Price List, Weapons &amp; Items'!A:C,3,0))</f>
        <v>.</v>
      </c>
      <c r="L491" s="514">
        <f>VLOOKUP(I491,'Price List, Weapons &amp; Items'!A:D,4,0)</f>
        <v>0</v>
      </c>
      <c r="M491" s="515" t="s">
        <v>232</v>
      </c>
      <c r="N491" s="515" t="s">
        <v>232</v>
      </c>
      <c r="O491" s="516" t="str">
        <f>VLOOKUP($I491,'Price List, Weapons &amp; Items'!A:F,6,0)</f>
        <v>.</v>
      </c>
      <c r="P491" s="513" t="str">
        <f t="shared" si="97"/>
        <v>.</v>
      </c>
      <c r="Q491" s="513" t="str">
        <f t="shared" si="98"/>
        <v>.</v>
      </c>
      <c r="R491" s="513" t="str">
        <f t="shared" si="99"/>
        <v>.</v>
      </c>
      <c r="S491" s="513" t="str">
        <f>IF(AND(AD491=1,R491&lt;&gt;".")=TRUE,R491/VLOOKUP(G491,'Exchange rates'!B:C,2,0),IF(R491=".",".",""))</f>
        <v>.</v>
      </c>
      <c r="T491" s="513" t="str">
        <f>IF(AD491=1,IF(AF491="Value is not given at all",".",IF(AF491="Value is given by the source",S491,IF(AF491="Value is calculated with prices",(IF(SUMIFS(Q:Q,A:A,A491)&gt;0,SUMIFS(Q:Q,A:A,A491),"."))/VLOOKUP("USD",'Exchange rates'!B:C,2,0),"Error with coding"))),"")</f>
        <v>.</v>
      </c>
      <c r="U491" s="39" t="s">
        <v>233</v>
      </c>
      <c r="V491" s="42" t="s">
        <v>1397</v>
      </c>
      <c r="W491" s="517" t="s">
        <v>232</v>
      </c>
      <c r="X491" s="517" t="s">
        <v>232</v>
      </c>
      <c r="Y491" s="517" t="s">
        <v>232</v>
      </c>
      <c r="Z491" s="39">
        <v>0</v>
      </c>
      <c r="AA491" s="518">
        <v>0</v>
      </c>
      <c r="AB491" s="38" t="s">
        <v>232</v>
      </c>
      <c r="AC491" s="519" t="str">
        <f>""</f>
        <v/>
      </c>
      <c r="AD491" s="520">
        <v>1</v>
      </c>
      <c r="AE491" s="520" t="s">
        <v>237</v>
      </c>
      <c r="AF491" s="520" t="s">
        <v>237</v>
      </c>
      <c r="AG491" s="520">
        <v>1</v>
      </c>
      <c r="AH491" s="520">
        <v>3</v>
      </c>
      <c r="AI491" s="520">
        <v>0</v>
      </c>
      <c r="AJ491" s="520">
        <f>VLOOKUP($I491,'Price List, Weapons &amp; Items'!A:E,5,0)</f>
        <v>0</v>
      </c>
      <c r="AK491" s="520">
        <f t="shared" si="100"/>
        <v>0</v>
      </c>
      <c r="AL491" s="520">
        <f t="shared" si="101"/>
        <v>0</v>
      </c>
      <c r="AM491" s="520">
        <f t="shared" si="102"/>
        <v>0</v>
      </c>
      <c r="AN491" s="521" t="str">
        <f>VLOOKUP($I491,'Price List, Weapons &amp; Items'!A:K,COLUMN('Price List, Weapons &amp; Items'!$I$1),0)</f>
        <v>.</v>
      </c>
      <c r="AO491" s="521" t="str">
        <f>IF(I491=".",".",VLOOKUP($I491,'Price List, Weapons &amp; Items'!A:I,3,0))</f>
        <v>.</v>
      </c>
      <c r="AP491" s="517" t="str">
        <f t="shared" ca="1" si="107"/>
        <v>.</v>
      </c>
      <c r="AQ491" s="521" t="str">
        <f>VLOOKUP($I491,'Price List, Weapons &amp; Items'!A:K,COLUMN('Price List, Weapons &amp; Items'!$K$1),0)</f>
        <v>no price, 0 count</v>
      </c>
      <c r="AS491" s="521">
        <f t="shared" si="103"/>
        <v>1</v>
      </c>
      <c r="AT491" s="521">
        <f t="shared" si="104"/>
        <v>0</v>
      </c>
      <c r="AU491" s="521">
        <f t="shared" si="105"/>
        <v>1</v>
      </c>
      <c r="AV491" s="521" t="str">
        <f t="shared" si="106"/>
        <v>.</v>
      </c>
    </row>
    <row r="492" spans="1:48" ht="15" customHeight="1">
      <c r="A492" s="41" t="s">
        <v>1402</v>
      </c>
      <c r="B492" s="41" t="s">
        <v>1383</v>
      </c>
      <c r="C492" s="511">
        <v>44660</v>
      </c>
      <c r="D492" s="18" t="s">
        <v>228</v>
      </c>
      <c r="E492" s="18" t="s">
        <v>229</v>
      </c>
      <c r="F492" s="512" t="s">
        <v>1403</v>
      </c>
      <c r="G492" s="39" t="s">
        <v>332</v>
      </c>
      <c r="H492" s="513">
        <v>53000000</v>
      </c>
      <c r="I492" s="41" t="s">
        <v>232</v>
      </c>
      <c r="J492" s="276" t="str">
        <f>VLOOKUP($I492,'Price List, Weapons &amp; Items'!A:B,2,0)</f>
        <v>.</v>
      </c>
      <c r="K492" s="276" t="str">
        <f>IF(I492=".",I492,VLOOKUP($I492,'Price List, Weapons &amp; Items'!A:C,3,0))</f>
        <v>.</v>
      </c>
      <c r="L492" s="514">
        <f>VLOOKUP(I492,'Price List, Weapons &amp; Items'!A:D,4,0)</f>
        <v>0</v>
      </c>
      <c r="M492" s="515" t="s">
        <v>232</v>
      </c>
      <c r="N492" s="515" t="s">
        <v>232</v>
      </c>
      <c r="O492" s="516" t="str">
        <f>VLOOKUP($I492,'Price List, Weapons &amp; Items'!A:F,6,0)</f>
        <v>.</v>
      </c>
      <c r="P492" s="513" t="str">
        <f t="shared" si="97"/>
        <v>.</v>
      </c>
      <c r="Q492" s="513" t="str">
        <f t="shared" si="98"/>
        <v>.</v>
      </c>
      <c r="R492" s="513">
        <f t="shared" si="99"/>
        <v>53000000</v>
      </c>
      <c r="S492" s="513">
        <f>IF(AND(AD492=1,R492&lt;&gt;".")=TRUE,R492/VLOOKUP(G492,'Exchange rates'!B:C,2,0),IF(R492=".",".",""))</f>
        <v>53000000</v>
      </c>
      <c r="T492" s="513" t="str">
        <f>IF(AD492=1,IF(AF492="Value is not given at all",".",IF(AF492="Value is given by the source",S492,IF(AF492="Value is calculated with prices",(IF(SUMIFS(Q:Q,A:A,A492)&gt;0,SUMIFS(Q:Q,A:A,A492),"."))/VLOOKUP("USD",'Exchange rates'!B:C,2,0),"Error with coding"))),"")</f>
        <v>.</v>
      </c>
      <c r="U492" s="39" t="s">
        <v>372</v>
      </c>
      <c r="V492" s="42" t="s">
        <v>382</v>
      </c>
      <c r="W492" s="517" t="s">
        <v>232</v>
      </c>
      <c r="X492" s="517" t="s">
        <v>232</v>
      </c>
      <c r="Y492" s="517" t="s">
        <v>232</v>
      </c>
      <c r="Z492" s="39">
        <v>0</v>
      </c>
      <c r="AA492" s="518">
        <v>0</v>
      </c>
      <c r="AB492" s="38" t="s">
        <v>232</v>
      </c>
      <c r="AC492" s="519" t="str">
        <f>""</f>
        <v/>
      </c>
      <c r="AD492" s="520">
        <v>1</v>
      </c>
      <c r="AE492" s="520" t="s">
        <v>236</v>
      </c>
      <c r="AF492" s="520" t="s">
        <v>237</v>
      </c>
      <c r="AG492" s="520">
        <v>1</v>
      </c>
      <c r="AH492" s="520">
        <v>4</v>
      </c>
      <c r="AI492" s="520">
        <v>0</v>
      </c>
      <c r="AJ492" s="520">
        <f>VLOOKUP($I492,'Price List, Weapons &amp; Items'!A:E,5,0)</f>
        <v>0</v>
      </c>
      <c r="AK492" s="520">
        <f t="shared" si="100"/>
        <v>0</v>
      </c>
      <c r="AL492" s="520">
        <f t="shared" si="101"/>
        <v>0</v>
      </c>
      <c r="AM492" s="520">
        <f t="shared" si="102"/>
        <v>0</v>
      </c>
      <c r="AN492" s="521" t="str">
        <f>VLOOKUP($I492,'Price List, Weapons &amp; Items'!A:K,COLUMN('Price List, Weapons &amp; Items'!$I$1),0)</f>
        <v>.</v>
      </c>
      <c r="AO492" s="521" t="str">
        <f>IF(I492=".",".",VLOOKUP($I492,'Price List, Weapons &amp; Items'!A:I,3,0))</f>
        <v>.</v>
      </c>
      <c r="AP492" s="517" t="str">
        <f t="shared" ca="1" si="107"/>
        <v>.</v>
      </c>
      <c r="AQ492" s="521" t="str">
        <f>VLOOKUP($I492,'Price List, Weapons &amp; Items'!A:K,COLUMN('Price List, Weapons &amp; Items'!$K$1),0)</f>
        <v>no price, 0 count</v>
      </c>
      <c r="AS492" s="521">
        <f t="shared" si="103"/>
        <v>0</v>
      </c>
      <c r="AT492" s="521">
        <f t="shared" si="104"/>
        <v>0</v>
      </c>
      <c r="AU492" s="521">
        <f t="shared" si="105"/>
        <v>1</v>
      </c>
      <c r="AV492" s="521" t="str">
        <f t="shared" si="106"/>
        <v>.</v>
      </c>
    </row>
    <row r="493" spans="1:48" ht="15" customHeight="1">
      <c r="A493" s="41" t="s">
        <v>1404</v>
      </c>
      <c r="B493" s="41" t="s">
        <v>1383</v>
      </c>
      <c r="C493" s="511">
        <v>44701</v>
      </c>
      <c r="D493" s="18" t="s">
        <v>228</v>
      </c>
      <c r="E493" s="18" t="s">
        <v>229</v>
      </c>
      <c r="F493" s="512" t="s">
        <v>1405</v>
      </c>
      <c r="G493" s="39" t="s">
        <v>332</v>
      </c>
      <c r="H493" s="513">
        <v>500000</v>
      </c>
      <c r="I493" s="41" t="s">
        <v>232</v>
      </c>
      <c r="J493" s="276" t="str">
        <f>VLOOKUP($I493,'Price List, Weapons &amp; Items'!A:B,2,0)</f>
        <v>.</v>
      </c>
      <c r="K493" s="276" t="str">
        <f>IF(I493=".",I493,VLOOKUP($I493,'Price List, Weapons &amp; Items'!A:C,3,0))</f>
        <v>.</v>
      </c>
      <c r="L493" s="514">
        <f>VLOOKUP(I493,'Price List, Weapons &amp; Items'!A:D,4,0)</f>
        <v>0</v>
      </c>
      <c r="M493" s="515" t="s">
        <v>232</v>
      </c>
      <c r="N493" s="515" t="s">
        <v>232</v>
      </c>
      <c r="O493" s="516" t="str">
        <f>VLOOKUP($I493,'Price List, Weapons &amp; Items'!A:F,6,0)</f>
        <v>.</v>
      </c>
      <c r="P493" s="513" t="str">
        <f t="shared" si="97"/>
        <v>.</v>
      </c>
      <c r="Q493" s="513" t="str">
        <f t="shared" si="98"/>
        <v>.</v>
      </c>
      <c r="R493" s="513">
        <f t="shared" si="99"/>
        <v>500000</v>
      </c>
      <c r="S493" s="513">
        <f>IF(AND(AD493=1,R493&lt;&gt;".")=TRUE,R493/VLOOKUP(G493,'Exchange rates'!B:C,2,0),IF(R493=".",".",""))</f>
        <v>500000</v>
      </c>
      <c r="T493" s="513" t="str">
        <f>IF(AD493=1,IF(AF493="Value is not given at all",".",IF(AF493="Value is given by the source",S493,IF(AF493="Value is calculated with prices",(IF(SUMIFS(Q:Q,A:A,A493)&gt;0,SUMIFS(Q:Q,A:A,A493),"."))/VLOOKUP("USD",'Exchange rates'!B:C,2,0),"Error with coding"))),"")</f>
        <v>.</v>
      </c>
      <c r="U493" s="39" t="s">
        <v>372</v>
      </c>
      <c r="V493" s="42" t="s">
        <v>1406</v>
      </c>
      <c r="W493" s="517" t="s">
        <v>232</v>
      </c>
      <c r="X493" s="517" t="s">
        <v>232</v>
      </c>
      <c r="Y493" s="517" t="s">
        <v>232</v>
      </c>
      <c r="Z493" s="39">
        <v>0</v>
      </c>
      <c r="AA493" s="518">
        <v>0</v>
      </c>
      <c r="AB493" s="521" t="s">
        <v>232</v>
      </c>
      <c r="AC493" s="519" t="str">
        <f>""</f>
        <v/>
      </c>
      <c r="AD493" s="520">
        <v>1</v>
      </c>
      <c r="AE493" s="520" t="s">
        <v>236</v>
      </c>
      <c r="AF493" s="520" t="s">
        <v>237</v>
      </c>
      <c r="AG493" s="520">
        <v>1</v>
      </c>
      <c r="AH493" s="520">
        <v>5</v>
      </c>
      <c r="AI493" s="520">
        <v>0</v>
      </c>
      <c r="AJ493" s="520">
        <f>VLOOKUP($I493,'Price List, Weapons &amp; Items'!A:E,5,0)</f>
        <v>0</v>
      </c>
      <c r="AK493" s="520">
        <f t="shared" si="100"/>
        <v>0</v>
      </c>
      <c r="AL493" s="520">
        <f t="shared" si="101"/>
        <v>0</v>
      </c>
      <c r="AM493" s="520">
        <f t="shared" si="102"/>
        <v>0</v>
      </c>
      <c r="AN493" s="521" t="str">
        <f>VLOOKUP($I493,'Price List, Weapons &amp; Items'!A:K,COLUMN('Price List, Weapons &amp; Items'!$I$1),0)</f>
        <v>.</v>
      </c>
      <c r="AO493" s="521" t="str">
        <f>IF(I493=".",".",VLOOKUP($I493,'Price List, Weapons &amp; Items'!A:I,3,0))</f>
        <v>.</v>
      </c>
      <c r="AP493" s="517" t="str">
        <f t="shared" ca="1" si="107"/>
        <v>.</v>
      </c>
      <c r="AQ493" s="521" t="str">
        <f>VLOOKUP($I493,'Price List, Weapons &amp; Items'!A:K,COLUMN('Price List, Weapons &amp; Items'!$K$1),0)</f>
        <v>no price, 0 count</v>
      </c>
      <c r="AS493" s="521">
        <f t="shared" si="103"/>
        <v>0</v>
      </c>
      <c r="AT493" s="521">
        <f t="shared" si="104"/>
        <v>0</v>
      </c>
      <c r="AU493" s="521">
        <f t="shared" si="105"/>
        <v>1</v>
      </c>
      <c r="AV493" s="521" t="str">
        <f t="shared" si="106"/>
        <v>.</v>
      </c>
    </row>
    <row r="494" spans="1:48" ht="15" customHeight="1">
      <c r="A494" s="41" t="s">
        <v>1407</v>
      </c>
      <c r="B494" s="41" t="s">
        <v>1383</v>
      </c>
      <c r="C494" s="511">
        <v>44740</v>
      </c>
      <c r="D494" s="18" t="s">
        <v>228</v>
      </c>
      <c r="E494" s="18" t="s">
        <v>239</v>
      </c>
      <c r="F494" s="512" t="s">
        <v>1408</v>
      </c>
      <c r="G494" s="39" t="s">
        <v>332</v>
      </c>
      <c r="H494" s="513">
        <v>2197000</v>
      </c>
      <c r="I494" s="41" t="s">
        <v>326</v>
      </c>
      <c r="J494" s="276" t="str">
        <f>VLOOKUP($I494,'Price List, Weapons &amp; Items'!A:B,2,0)</f>
        <v>Humanitarian</v>
      </c>
      <c r="K494" s="276" t="str">
        <f>IF(I494=".",I494,VLOOKUP($I494,'Price List, Weapons &amp; Items'!A:C,3,0))</f>
        <v>.</v>
      </c>
      <c r="L494" s="514">
        <f>VLOOKUP(I494,'Price List, Weapons &amp; Items'!A:D,4,0)</f>
        <v>0</v>
      </c>
      <c r="M494" s="515">
        <v>10</v>
      </c>
      <c r="N494" s="515" t="s">
        <v>232</v>
      </c>
      <c r="O494" s="516">
        <f>VLOOKUP($I494,'Price List, Weapons &amp; Items'!A:F,6,0)</f>
        <v>317500</v>
      </c>
      <c r="P494" s="513">
        <f t="shared" si="97"/>
        <v>3175000</v>
      </c>
      <c r="Q494" s="513" t="str">
        <f t="shared" si="98"/>
        <v>.</v>
      </c>
      <c r="R494" s="513">
        <f t="shared" si="99"/>
        <v>2197000</v>
      </c>
      <c r="S494" s="513">
        <f>IF(AND(AD494=1,R494&lt;&gt;".")=TRUE,R494/VLOOKUP(G494,'Exchange rates'!B:C,2,0),IF(R494=".",".",""))</f>
        <v>2197000</v>
      </c>
      <c r="T494" s="513" t="str">
        <f>IF(AD494=1,IF(AF494="Value is not given at all",".",IF(AF494="Value is given by the source",S494,IF(AF494="Value is calculated with prices",(IF(SUMIFS(Q:Q,A:A,A494)&gt;0,SUMIFS(Q:Q,A:A,A494),"."))/VLOOKUP("USD",'Exchange rates'!B:C,2,0),"Error with coding"))),"")</f>
        <v>.</v>
      </c>
      <c r="U494" s="39" t="s">
        <v>233</v>
      </c>
      <c r="V494" s="42" t="s">
        <v>1409</v>
      </c>
      <c r="W494" s="42" t="s">
        <v>1410</v>
      </c>
      <c r="X494" s="512" t="s">
        <v>232</v>
      </c>
      <c r="Y494" s="512" t="s">
        <v>232</v>
      </c>
      <c r="Z494" s="39">
        <v>0</v>
      </c>
      <c r="AA494" s="39">
        <v>0</v>
      </c>
      <c r="AB494" s="41" t="s">
        <v>232</v>
      </c>
      <c r="AC494" s="519" t="str">
        <f>""</f>
        <v/>
      </c>
      <c r="AD494" s="522">
        <v>1</v>
      </c>
      <c r="AE494" s="522" t="s">
        <v>236</v>
      </c>
      <c r="AF494" s="522" t="s">
        <v>237</v>
      </c>
      <c r="AG494" s="522">
        <v>1</v>
      </c>
      <c r="AH494" s="520">
        <v>6</v>
      </c>
      <c r="AI494" s="520">
        <v>0</v>
      </c>
      <c r="AJ494" s="520">
        <f>VLOOKUP($I494,'Price List, Weapons &amp; Items'!A:E,5,0)</f>
        <v>0</v>
      </c>
      <c r="AK494" s="520">
        <f t="shared" si="100"/>
        <v>0</v>
      </c>
      <c r="AL494" s="520">
        <f t="shared" si="101"/>
        <v>0</v>
      </c>
      <c r="AM494" s="520">
        <f t="shared" si="102"/>
        <v>0</v>
      </c>
      <c r="AN494" s="521" t="str">
        <f>VLOOKUP($I494,'Price List, Weapons &amp; Items'!A:K,COLUMN('Price List, Weapons &amp; Items'!$I$1),0)</f>
        <v>Media reports (incl. social media)</v>
      </c>
      <c r="AO494" s="521" t="str">
        <f>IF(I494=".",".",VLOOKUP($I494,'Price List, Weapons &amp; Items'!A:I,3,0))</f>
        <v>.</v>
      </c>
      <c r="AP494" s="517" t="str">
        <f t="shared" ca="1" si="107"/>
        <v>ambulance H</v>
      </c>
      <c r="AQ494" s="521">
        <f>VLOOKUP($I494,'Price List, Weapons &amp; Items'!A:K,COLUMN('Price List, Weapons &amp; Items'!$K$1),0)</f>
        <v>0</v>
      </c>
      <c r="AS494" s="521">
        <f t="shared" si="103"/>
        <v>1</v>
      </c>
      <c r="AT494" s="521">
        <f t="shared" si="104"/>
        <v>0</v>
      </c>
      <c r="AU494" s="521">
        <f t="shared" si="105"/>
        <v>1</v>
      </c>
      <c r="AV494" s="521" t="str">
        <f t="shared" si="106"/>
        <v>.</v>
      </c>
    </row>
    <row r="495" spans="1:48" ht="15" customHeight="1">
      <c r="A495" s="41" t="s">
        <v>1411</v>
      </c>
      <c r="B495" s="41" t="s">
        <v>1412</v>
      </c>
      <c r="C495" s="511">
        <v>44616</v>
      </c>
      <c r="D495" s="18" t="s">
        <v>228</v>
      </c>
      <c r="E495" s="18" t="s">
        <v>330</v>
      </c>
      <c r="F495" s="512" t="s">
        <v>1413</v>
      </c>
      <c r="G495" s="39" t="s">
        <v>332</v>
      </c>
      <c r="H495" s="513">
        <v>1000000</v>
      </c>
      <c r="I495" s="41" t="s">
        <v>232</v>
      </c>
      <c r="J495" s="276" t="str">
        <f>VLOOKUP($I495,'Price List, Weapons &amp; Items'!A:B,2,0)</f>
        <v>.</v>
      </c>
      <c r="K495" s="276" t="str">
        <f>IF(I495=".",I495,VLOOKUP($I495,'Price List, Weapons &amp; Items'!A:C,3,0))</f>
        <v>.</v>
      </c>
      <c r="L495" s="514">
        <f>VLOOKUP(I495,'Price List, Weapons &amp; Items'!A:D,4,0)</f>
        <v>0</v>
      </c>
      <c r="M495" s="515" t="s">
        <v>232</v>
      </c>
      <c r="N495" s="515" t="s">
        <v>232</v>
      </c>
      <c r="O495" s="516" t="str">
        <f>VLOOKUP($I495,'Price List, Weapons &amp; Items'!A:F,6,0)</f>
        <v>.</v>
      </c>
      <c r="P495" s="513" t="str">
        <f t="shared" si="97"/>
        <v>.</v>
      </c>
      <c r="Q495" s="513" t="str">
        <f t="shared" si="98"/>
        <v>.</v>
      </c>
      <c r="R495" s="513">
        <f t="shared" si="99"/>
        <v>1000000</v>
      </c>
      <c r="S495" s="513">
        <f>IF(AND(AD495=1,R495&lt;&gt;".")=TRUE,R495/VLOOKUP(G495,'Exchange rates'!B:C,2,0),IF(R495=".",".",""))</f>
        <v>1000000</v>
      </c>
      <c r="T495" s="513" t="str">
        <f>IF(AD495=1,IF(AF495="Value is not given at all",".",IF(AF495="Value is given by the source",S495,IF(AF495="Value is calculated with prices",(IF(SUMIFS(Q:Q,A:A,A495)&gt;0,SUMIFS(Q:Q,A:A,A495),"."))/VLOOKUP("USD",'Exchange rates'!B:C,2,0),"Error with coding"))),"")</f>
        <v>.</v>
      </c>
      <c r="U495" s="39" t="s">
        <v>233</v>
      </c>
      <c r="V495" s="42" t="s">
        <v>1414</v>
      </c>
      <c r="W495" s="517" t="s">
        <v>232</v>
      </c>
      <c r="X495" s="517" t="s">
        <v>232</v>
      </c>
      <c r="Y495" s="517" t="s">
        <v>232</v>
      </c>
      <c r="Z495" s="39">
        <v>1</v>
      </c>
      <c r="AA495" s="518">
        <v>0</v>
      </c>
      <c r="AB495" s="521" t="s">
        <v>232</v>
      </c>
      <c r="AC495" s="519" t="str">
        <f>""</f>
        <v/>
      </c>
      <c r="AD495" s="520">
        <v>1</v>
      </c>
      <c r="AE495" s="520" t="s">
        <v>236</v>
      </c>
      <c r="AF495" s="520" t="s">
        <v>237</v>
      </c>
      <c r="AG495" s="520">
        <v>1</v>
      </c>
      <c r="AH495" s="520">
        <v>2</v>
      </c>
      <c r="AI495" s="520">
        <v>0</v>
      </c>
      <c r="AJ495" s="520">
        <f>VLOOKUP($I495,'Price List, Weapons &amp; Items'!A:E,5,0)</f>
        <v>0</v>
      </c>
      <c r="AK495" s="520">
        <f t="shared" si="100"/>
        <v>0</v>
      </c>
      <c r="AL495" s="520">
        <f t="shared" si="101"/>
        <v>0</v>
      </c>
      <c r="AM495" s="520">
        <f t="shared" si="102"/>
        <v>0</v>
      </c>
      <c r="AN495" s="521" t="str">
        <f>VLOOKUP($I495,'Price List, Weapons &amp; Items'!A:K,COLUMN('Price List, Weapons &amp; Items'!$I$1),0)</f>
        <v>.</v>
      </c>
      <c r="AO495" s="521" t="str">
        <f>IF(I495=".",".",VLOOKUP($I495,'Price List, Weapons &amp; Items'!A:I,3,0))</f>
        <v>.</v>
      </c>
      <c r="AP495" s="517" t="str">
        <f t="shared" ca="1" si="107"/>
        <v>.</v>
      </c>
      <c r="AQ495" s="521" t="str">
        <f>VLOOKUP($I495,'Price List, Weapons &amp; Items'!A:K,COLUMN('Price List, Weapons &amp; Items'!$K$1),0)</f>
        <v>no price, 0 count</v>
      </c>
      <c r="AS495" s="521">
        <f t="shared" si="103"/>
        <v>1</v>
      </c>
      <c r="AT495" s="521">
        <f t="shared" si="104"/>
        <v>0</v>
      </c>
      <c r="AU495" s="521">
        <f t="shared" si="105"/>
        <v>1</v>
      </c>
      <c r="AV495" s="521" t="str">
        <f t="shared" si="106"/>
        <v>.</v>
      </c>
    </row>
    <row r="496" spans="1:48" ht="15" customHeight="1">
      <c r="A496" s="41" t="s">
        <v>1415</v>
      </c>
      <c r="B496" s="41" t="s">
        <v>1412</v>
      </c>
      <c r="C496" s="511">
        <v>44627</v>
      </c>
      <c r="D496" s="18" t="s">
        <v>228</v>
      </c>
      <c r="E496" s="18" t="s">
        <v>239</v>
      </c>
      <c r="F496" s="512" t="s">
        <v>1416</v>
      </c>
      <c r="G496" s="39" t="s">
        <v>314</v>
      </c>
      <c r="H496" s="513" t="s">
        <v>309</v>
      </c>
      <c r="I496" s="41" t="s">
        <v>1359</v>
      </c>
      <c r="J496" s="276" t="str">
        <f>VLOOKUP($I496,'Price List, Weapons &amp; Items'!A:B,2,0)</f>
        <v>Humanitarian</v>
      </c>
      <c r="K496" s="276" t="str">
        <f>IF(I496=".",I496,VLOOKUP($I496,'Price List, Weapons &amp; Items'!A:C,3,0))</f>
        <v>.</v>
      </c>
      <c r="L496" s="514">
        <f>VLOOKUP(I496,'Price List, Weapons &amp; Items'!A:D,4,0)</f>
        <v>0</v>
      </c>
      <c r="M496" s="515">
        <v>20</v>
      </c>
      <c r="N496" s="515" t="s">
        <v>232</v>
      </c>
      <c r="O496" s="516">
        <f>VLOOKUP($I496,'Price List, Weapons &amp; Items'!A:F,6,0)</f>
        <v>10000</v>
      </c>
      <c r="P496" s="513">
        <f t="shared" si="97"/>
        <v>200000</v>
      </c>
      <c r="Q496" s="513" t="str">
        <f t="shared" si="98"/>
        <v>.</v>
      </c>
      <c r="R496" s="513">
        <f t="shared" si="99"/>
        <v>200000</v>
      </c>
      <c r="S496" s="513">
        <f>IF(AND(AD496=1,R496&lt;&gt;".")=TRUE,R496/VLOOKUP(G496,'Exchange rates'!B:C,2,0),IF(R496=".",".",""))</f>
        <v>199302.44145490782</v>
      </c>
      <c r="T496" s="513" t="str">
        <f>IF(AD496=1,IF(AF496="Value is not given at all",".",IF(AF496="Value is given by the source",S496,IF(AF496="Value is calculated with prices",(IF(SUMIFS(Q:Q,A:A,A496)&gt;0,SUMIFS(Q:Q,A:A,A496),"."))/VLOOKUP("USD",'Exchange rates'!B:C,2,0),"Error with coding"))),"")</f>
        <v>.</v>
      </c>
      <c r="U496" s="39" t="s">
        <v>233</v>
      </c>
      <c r="V496" s="42" t="s">
        <v>1417</v>
      </c>
      <c r="W496" s="512" t="s">
        <v>232</v>
      </c>
      <c r="X496" s="512" t="s">
        <v>232</v>
      </c>
      <c r="Y496" s="512" t="s">
        <v>232</v>
      </c>
      <c r="Z496" s="39">
        <v>0</v>
      </c>
      <c r="AA496" s="39">
        <v>0</v>
      </c>
      <c r="AB496" s="523" t="s">
        <v>232</v>
      </c>
      <c r="AC496" s="519" t="str">
        <f>""</f>
        <v/>
      </c>
      <c r="AD496" s="522">
        <v>1</v>
      </c>
      <c r="AE496" s="522" t="s">
        <v>300</v>
      </c>
      <c r="AF496" s="522" t="s">
        <v>237</v>
      </c>
      <c r="AG496" s="522">
        <v>1</v>
      </c>
      <c r="AH496" s="520">
        <v>3</v>
      </c>
      <c r="AI496" s="520">
        <v>0</v>
      </c>
      <c r="AJ496" s="520">
        <f>VLOOKUP($I496,'Price List, Weapons &amp; Items'!A:E,5,0)</f>
        <v>0</v>
      </c>
      <c r="AK496" s="520">
        <f t="shared" si="100"/>
        <v>0</v>
      </c>
      <c r="AL496" s="520">
        <f t="shared" si="101"/>
        <v>0</v>
      </c>
      <c r="AM496" s="520">
        <f t="shared" si="102"/>
        <v>0</v>
      </c>
      <c r="AN496" s="521" t="str">
        <f>VLOOKUP($I496,'Price List, Weapons &amp; Items'!A:K,COLUMN('Price List, Weapons &amp; Items'!$I$1),0)</f>
        <v>Miscellaneous</v>
      </c>
      <c r="AO496" s="521" t="str">
        <f>IF(I496=".",".",VLOOKUP($I496,'Price List, Weapons &amp; Items'!A:I,3,0))</f>
        <v>.</v>
      </c>
      <c r="AP496" s="517" t="str">
        <f t="shared" ca="1" si="107"/>
        <v>ton of necessity items</v>
      </c>
      <c r="AQ496" s="521">
        <f>VLOOKUP($I496,'Price List, Weapons &amp; Items'!A:K,COLUMN('Price List, Weapons &amp; Items'!$K$1),0)</f>
        <v>0</v>
      </c>
      <c r="AS496" s="521">
        <f t="shared" si="103"/>
        <v>1</v>
      </c>
      <c r="AT496" s="521">
        <f t="shared" si="104"/>
        <v>0</v>
      </c>
      <c r="AU496" s="521">
        <f t="shared" si="105"/>
        <v>1</v>
      </c>
      <c r="AV496" s="521" t="str">
        <f t="shared" si="106"/>
        <v>.</v>
      </c>
    </row>
    <row r="497" spans="1:48" ht="15" customHeight="1">
      <c r="A497" s="18" t="s">
        <v>1418</v>
      </c>
      <c r="B497" s="18" t="s">
        <v>1412</v>
      </c>
      <c r="C497" s="511">
        <v>44634</v>
      </c>
      <c r="D497" s="18" t="s">
        <v>228</v>
      </c>
      <c r="E497" s="18" t="s">
        <v>239</v>
      </c>
      <c r="F497" s="512" t="s">
        <v>1419</v>
      </c>
      <c r="G497" s="39" t="s">
        <v>314</v>
      </c>
      <c r="H497" s="513" t="s">
        <v>309</v>
      </c>
      <c r="I497" s="41" t="s">
        <v>927</v>
      </c>
      <c r="J497" s="276" t="str">
        <f>VLOOKUP($I497,'Price List, Weapons &amp; Items'!A:B,2,0)</f>
        <v>Humanitarian</v>
      </c>
      <c r="K497" s="276" t="str">
        <f>IF(I497=".",I497,VLOOKUP($I497,'Price List, Weapons &amp; Items'!A:C,3,0))</f>
        <v>.</v>
      </c>
      <c r="L497" s="514">
        <f>VLOOKUP(I497,'Price List, Weapons &amp; Items'!A:D,4,0)</f>
        <v>0</v>
      </c>
      <c r="M497" s="515">
        <v>200</v>
      </c>
      <c r="N497" s="515" t="s">
        <v>232</v>
      </c>
      <c r="O497" s="516">
        <f>VLOOKUP($I497,'Price List, Weapons &amp; Items'!A:F,6,0)</f>
        <v>3000</v>
      </c>
      <c r="P497" s="513">
        <f t="shared" si="97"/>
        <v>600000</v>
      </c>
      <c r="Q497" s="513" t="str">
        <f t="shared" si="98"/>
        <v>.</v>
      </c>
      <c r="R497" s="513">
        <f t="shared" si="99"/>
        <v>8267485</v>
      </c>
      <c r="S497" s="513">
        <f>IF(AND(AD497=1,R497&lt;&gt;".")=TRUE,R497/VLOOKUP(G497,'Exchange rates'!B:C,2,0),IF(R497=".",".",""))</f>
        <v>8238649.7259591427</v>
      </c>
      <c r="T497" s="513" t="str">
        <f>IF(AD497=1,IF(AF497="Value is not given at all",".",IF(AF497="Value is given by the source",S497,IF(AF497="Value is calculated with prices",(IF(SUMIFS(Q:Q,A:A,A497)&gt;0,SUMIFS(Q:Q,A:A,A497),"."))/VLOOKUP("USD",'Exchange rates'!B:C,2,0),"Error with coding"))),"")</f>
        <v>.</v>
      </c>
      <c r="U497" s="39" t="s">
        <v>233</v>
      </c>
      <c r="V497" s="376" t="s">
        <v>1414</v>
      </c>
      <c r="W497" s="528" t="s">
        <v>232</v>
      </c>
      <c r="X497" s="528" t="s">
        <v>232</v>
      </c>
      <c r="Y497" s="528" t="s">
        <v>232</v>
      </c>
      <c r="Z497" s="39">
        <v>0</v>
      </c>
      <c r="AA497" s="39">
        <v>0</v>
      </c>
      <c r="AB497" s="521" t="s">
        <v>232</v>
      </c>
      <c r="AC497" s="519" t="str">
        <f>""</f>
        <v/>
      </c>
      <c r="AD497" s="522">
        <v>1</v>
      </c>
      <c r="AE497" s="522" t="s">
        <v>300</v>
      </c>
      <c r="AF497" s="522" t="s">
        <v>237</v>
      </c>
      <c r="AG497" s="522">
        <v>1</v>
      </c>
      <c r="AH497" s="522">
        <v>3</v>
      </c>
      <c r="AI497" s="522">
        <v>0</v>
      </c>
      <c r="AJ497" s="520">
        <f>VLOOKUP($I497,'Price List, Weapons &amp; Items'!A:E,5,0)</f>
        <v>0</v>
      </c>
      <c r="AK497" s="520">
        <f t="shared" si="100"/>
        <v>0</v>
      </c>
      <c r="AL497" s="520">
        <f t="shared" si="101"/>
        <v>0</v>
      </c>
      <c r="AM497" s="520">
        <f t="shared" si="102"/>
        <v>0</v>
      </c>
      <c r="AN497" s="521" t="str">
        <f>VLOOKUP($I497,'Price List, Weapons &amp; Items'!A:K,COLUMN('Price List, Weapons &amp; Items'!$I$1),0)</f>
        <v>Online marketplaces and stores</v>
      </c>
      <c r="AO497" s="521" t="str">
        <f>IF(I497=".",".",VLOOKUP($I497,'Price List, Weapons &amp; Items'!A:I,3,0))</f>
        <v>.</v>
      </c>
      <c r="AP497" s="517" t="str">
        <f t="shared" ca="1" si="107"/>
        <v>general purpose tent; bed; sleeping bag; ambulance H; field kitchen</v>
      </c>
      <c r="AQ497" s="521">
        <f>VLOOKUP($I497,'Price List, Weapons &amp; Items'!A:K,COLUMN('Price List, Weapons &amp; Items'!$K$1),0)</f>
        <v>0</v>
      </c>
      <c r="AS497" s="521">
        <f t="shared" si="103"/>
        <v>1</v>
      </c>
      <c r="AT497" s="521">
        <f t="shared" si="104"/>
        <v>0</v>
      </c>
      <c r="AU497" s="521">
        <f t="shared" si="105"/>
        <v>1</v>
      </c>
      <c r="AV497" s="521" t="str">
        <f t="shared" si="106"/>
        <v>.</v>
      </c>
    </row>
    <row r="498" spans="1:48" ht="15" customHeight="1">
      <c r="A498" s="18" t="s">
        <v>1418</v>
      </c>
      <c r="B498" s="18" t="s">
        <v>1412</v>
      </c>
      <c r="C498" s="511">
        <v>44634</v>
      </c>
      <c r="D498" s="18" t="s">
        <v>228</v>
      </c>
      <c r="E498" s="18" t="s">
        <v>239</v>
      </c>
      <c r="F498" s="512" t="s">
        <v>1419</v>
      </c>
      <c r="G498" s="39" t="s">
        <v>314</v>
      </c>
      <c r="H498" s="513" t="s">
        <v>309</v>
      </c>
      <c r="I498" s="41" t="s">
        <v>1420</v>
      </c>
      <c r="J498" s="276" t="str">
        <f>VLOOKUP($I498,'Price List, Weapons &amp; Items'!A:B,2,0)</f>
        <v>Humanitarian</v>
      </c>
      <c r="K498" s="276" t="str">
        <f>IF(I498=".",I498,VLOOKUP($I498,'Price List, Weapons &amp; Items'!A:C,3,0))</f>
        <v>.</v>
      </c>
      <c r="L498" s="514">
        <f>VLOOKUP(I498,'Price List, Weapons &amp; Items'!A:D,4,0)</f>
        <v>0</v>
      </c>
      <c r="M498" s="515">
        <v>1000</v>
      </c>
      <c r="N498" s="515" t="s">
        <v>232</v>
      </c>
      <c r="O498" s="516">
        <f>VLOOKUP($I498,'Price List, Weapons &amp; Items'!A:F,6,0)</f>
        <v>200</v>
      </c>
      <c r="P498" s="513">
        <f t="shared" si="97"/>
        <v>200000</v>
      </c>
      <c r="Q498" s="513" t="str">
        <f t="shared" si="98"/>
        <v>.</v>
      </c>
      <c r="R498" s="513" t="str">
        <f t="shared" si="99"/>
        <v/>
      </c>
      <c r="S498" s="513" t="str">
        <f>IF(AND(AD498=1,R498&lt;&gt;".")=TRUE,R498/VLOOKUP(G498,'Exchange rates'!B:C,2,0),IF(R498=".",".",""))</f>
        <v/>
      </c>
      <c r="T498" s="513" t="str">
        <f>IF(AD498=1,IF(AF498="Value is not given at all",".",IF(AF498="Value is given by the source",S498,IF(AF498="Value is calculated with prices",(IF(SUMIFS(Q:Q,A:A,A498)&gt;0,SUMIFS(Q:Q,A:A,A498),"."))/VLOOKUP("USD",'Exchange rates'!B:C,2,0),"Error with coding"))),"")</f>
        <v/>
      </c>
      <c r="U498" s="39" t="s">
        <v>233</v>
      </c>
      <c r="V498" s="376" t="s">
        <v>1414</v>
      </c>
      <c r="W498" s="528" t="s">
        <v>232</v>
      </c>
      <c r="X498" s="528" t="s">
        <v>232</v>
      </c>
      <c r="Y498" s="528" t="s">
        <v>232</v>
      </c>
      <c r="Z498" s="39">
        <v>0</v>
      </c>
      <c r="AA498" s="39">
        <v>0</v>
      </c>
      <c r="AB498" s="521" t="s">
        <v>232</v>
      </c>
      <c r="AC498" s="519" t="str">
        <f>""</f>
        <v/>
      </c>
      <c r="AD498" s="522">
        <v>0</v>
      </c>
      <c r="AE498" s="522" t="s">
        <v>300</v>
      </c>
      <c r="AF498" s="522" t="s">
        <v>237</v>
      </c>
      <c r="AG498" s="522">
        <v>1</v>
      </c>
      <c r="AH498" s="522">
        <v>3</v>
      </c>
      <c r="AI498" s="522">
        <v>0</v>
      </c>
      <c r="AJ498" s="520">
        <f>VLOOKUP($I498,'Price List, Weapons &amp; Items'!A:E,5,0)</f>
        <v>0</v>
      </c>
      <c r="AK498" s="520">
        <f t="shared" si="100"/>
        <v>0</v>
      </c>
      <c r="AL498" s="520">
        <f t="shared" si="101"/>
        <v>0</v>
      </c>
      <c r="AM498" s="520">
        <f t="shared" si="102"/>
        <v>0</v>
      </c>
      <c r="AN498" s="521" t="str">
        <f>VLOOKUP($I498,'Price List, Weapons &amp; Items'!A:K,COLUMN('Price List, Weapons &amp; Items'!$I$1),0)</f>
        <v>Online marketplaces and stores</v>
      </c>
      <c r="AO498" s="521" t="str">
        <f>IF(I498=".",".",VLOOKUP($I498,'Price List, Weapons &amp; Items'!A:I,3,0))</f>
        <v>.</v>
      </c>
      <c r="AP498" s="517" t="str">
        <f t="shared" ca="1" si="107"/>
        <v/>
      </c>
      <c r="AQ498" s="521">
        <f>VLOOKUP($I498,'Price List, Weapons &amp; Items'!A:K,COLUMN('Price List, Weapons &amp; Items'!$K$1),0)</f>
        <v>0</v>
      </c>
      <c r="AS498" s="521">
        <f t="shared" si="103"/>
        <v>1</v>
      </c>
      <c r="AT498" s="521">
        <f t="shared" si="104"/>
        <v>0</v>
      </c>
      <c r="AU498" s="521">
        <f t="shared" si="105"/>
        <v>1</v>
      </c>
      <c r="AV498" s="521" t="str">
        <f t="shared" si="106"/>
        <v>.</v>
      </c>
    </row>
    <row r="499" spans="1:48" ht="15" customHeight="1">
      <c r="A499" s="18" t="s">
        <v>1418</v>
      </c>
      <c r="B499" s="18" t="s">
        <v>1412</v>
      </c>
      <c r="C499" s="511">
        <v>44634</v>
      </c>
      <c r="D499" s="18" t="s">
        <v>228</v>
      </c>
      <c r="E499" s="18" t="s">
        <v>239</v>
      </c>
      <c r="F499" s="512" t="s">
        <v>1419</v>
      </c>
      <c r="G499" s="39" t="s">
        <v>314</v>
      </c>
      <c r="H499" s="513" t="s">
        <v>309</v>
      </c>
      <c r="I499" s="41" t="s">
        <v>322</v>
      </c>
      <c r="J499" s="276" t="str">
        <f>VLOOKUP($I499,'Price List, Weapons &amp; Items'!A:B,2,0)</f>
        <v>Humanitarian</v>
      </c>
      <c r="K499" s="276" t="str">
        <f>IF(I499=".",I499,VLOOKUP($I499,'Price List, Weapons &amp; Items'!A:C,3,0))</f>
        <v>.</v>
      </c>
      <c r="L499" s="514">
        <f>VLOOKUP(I499,'Price List, Weapons &amp; Items'!A:D,4,0)</f>
        <v>0</v>
      </c>
      <c r="M499" s="515">
        <v>1000</v>
      </c>
      <c r="N499" s="515" t="s">
        <v>232</v>
      </c>
      <c r="O499" s="516">
        <f>VLOOKUP($I499,'Price List, Weapons &amp; Items'!A:F,6,0)</f>
        <v>150</v>
      </c>
      <c r="P499" s="513">
        <f t="shared" si="97"/>
        <v>150000</v>
      </c>
      <c r="Q499" s="513" t="str">
        <f t="shared" si="98"/>
        <v>.</v>
      </c>
      <c r="R499" s="513" t="str">
        <f t="shared" si="99"/>
        <v/>
      </c>
      <c r="S499" s="513" t="str">
        <f>IF(AND(AD499=1,R499&lt;&gt;".")=TRUE,R499/VLOOKUP(G499,'Exchange rates'!B:C,2,0),IF(R499=".",".",""))</f>
        <v/>
      </c>
      <c r="T499" s="513" t="str">
        <f>IF(AD499=1,IF(AF499="Value is not given at all",".",IF(AF499="Value is given by the source",S499,IF(AF499="Value is calculated with prices",(IF(SUMIFS(Q:Q,A:A,A499)&gt;0,SUMIFS(Q:Q,A:A,A499),"."))/VLOOKUP("USD",'Exchange rates'!B:C,2,0),"Error with coding"))),"")</f>
        <v/>
      </c>
      <c r="U499" s="39" t="s">
        <v>233</v>
      </c>
      <c r="V499" s="376" t="s">
        <v>1414</v>
      </c>
      <c r="W499" s="528" t="s">
        <v>232</v>
      </c>
      <c r="X499" s="528" t="s">
        <v>232</v>
      </c>
      <c r="Y499" s="528" t="s">
        <v>232</v>
      </c>
      <c r="Z499" s="39">
        <v>0</v>
      </c>
      <c r="AA499" s="39">
        <v>0</v>
      </c>
      <c r="AB499" s="521" t="s">
        <v>232</v>
      </c>
      <c r="AC499" s="519" t="str">
        <f>""</f>
        <v/>
      </c>
      <c r="AD499" s="522">
        <v>0</v>
      </c>
      <c r="AE499" s="522" t="s">
        <v>300</v>
      </c>
      <c r="AF499" s="522" t="s">
        <v>237</v>
      </c>
      <c r="AG499" s="522">
        <v>1</v>
      </c>
      <c r="AH499" s="522">
        <v>3</v>
      </c>
      <c r="AI499" s="522">
        <v>0</v>
      </c>
      <c r="AJ499" s="520">
        <f>VLOOKUP($I499,'Price List, Weapons &amp; Items'!A:E,5,0)</f>
        <v>0</v>
      </c>
      <c r="AK499" s="520">
        <f t="shared" si="100"/>
        <v>0</v>
      </c>
      <c r="AL499" s="520">
        <f t="shared" si="101"/>
        <v>0</v>
      </c>
      <c r="AM499" s="520">
        <f t="shared" si="102"/>
        <v>0</v>
      </c>
      <c r="AN499" s="521" t="str">
        <f>VLOOKUP($I499,'Price List, Weapons &amp; Items'!A:K,COLUMN('Price List, Weapons &amp; Items'!$I$1),0)</f>
        <v>Miscellaneous</v>
      </c>
      <c r="AO499" s="521" t="str">
        <f>IF(I499=".",".",VLOOKUP($I499,'Price List, Weapons &amp; Items'!A:I,3,0))</f>
        <v>.</v>
      </c>
      <c r="AP499" s="517" t="str">
        <f t="shared" ca="1" si="107"/>
        <v/>
      </c>
      <c r="AQ499" s="521">
        <f>VLOOKUP($I499,'Price List, Weapons &amp; Items'!A:K,COLUMN('Price List, Weapons &amp; Items'!$K$1),0)</f>
        <v>0</v>
      </c>
      <c r="AS499" s="521">
        <f t="shared" si="103"/>
        <v>1</v>
      </c>
      <c r="AT499" s="521">
        <f t="shared" si="104"/>
        <v>0</v>
      </c>
      <c r="AU499" s="521">
        <f t="shared" si="105"/>
        <v>1</v>
      </c>
      <c r="AV499" s="521" t="str">
        <f t="shared" si="106"/>
        <v>.</v>
      </c>
    </row>
    <row r="500" spans="1:48" ht="15" customHeight="1">
      <c r="A500" s="18" t="s">
        <v>1418</v>
      </c>
      <c r="B500" s="18" t="s">
        <v>1412</v>
      </c>
      <c r="C500" s="511">
        <v>44634</v>
      </c>
      <c r="D500" s="18" t="s">
        <v>228</v>
      </c>
      <c r="E500" s="18" t="s">
        <v>239</v>
      </c>
      <c r="F500" s="512" t="s">
        <v>1419</v>
      </c>
      <c r="G500" s="39" t="s">
        <v>314</v>
      </c>
      <c r="H500" s="513" t="s">
        <v>309</v>
      </c>
      <c r="I500" s="41" t="s">
        <v>326</v>
      </c>
      <c r="J500" s="276" t="str">
        <f>VLOOKUP($I500,'Price List, Weapons &amp; Items'!A:B,2,0)</f>
        <v>Humanitarian</v>
      </c>
      <c r="K500" s="276" t="str">
        <f>IF(I500=".",I500,VLOOKUP($I500,'Price List, Weapons &amp; Items'!A:C,3,0))</f>
        <v>.</v>
      </c>
      <c r="L500" s="514">
        <f>VLOOKUP(I500,'Price List, Weapons &amp; Items'!A:D,4,0)</f>
        <v>0</v>
      </c>
      <c r="M500" s="515">
        <v>23</v>
      </c>
      <c r="N500" s="515" t="s">
        <v>232</v>
      </c>
      <c r="O500" s="516">
        <f>VLOOKUP($I500,'Price List, Weapons &amp; Items'!A:F,6,0)</f>
        <v>317500</v>
      </c>
      <c r="P500" s="513">
        <f t="shared" si="97"/>
        <v>7302500</v>
      </c>
      <c r="Q500" s="513" t="str">
        <f t="shared" si="98"/>
        <v>.</v>
      </c>
      <c r="R500" s="513" t="str">
        <f t="shared" si="99"/>
        <v/>
      </c>
      <c r="S500" s="513" t="str">
        <f>IF(AND(AD500=1,R500&lt;&gt;".")=TRUE,R500/VLOOKUP(G500,'Exchange rates'!B:C,2,0),IF(R500=".",".",""))</f>
        <v/>
      </c>
      <c r="T500" s="513" t="str">
        <f>IF(AD500=1,IF(AF500="Value is not given at all",".",IF(AF500="Value is given by the source",S500,IF(AF500="Value is calculated with prices",(IF(SUMIFS(Q:Q,A:A,A500)&gt;0,SUMIFS(Q:Q,A:A,A500),"."))/VLOOKUP("USD",'Exchange rates'!B:C,2,0),"Error with coding"))),"")</f>
        <v/>
      </c>
      <c r="U500" s="39" t="s">
        <v>233</v>
      </c>
      <c r="V500" s="376" t="s">
        <v>1414</v>
      </c>
      <c r="W500" s="528" t="s">
        <v>232</v>
      </c>
      <c r="X500" s="528" t="s">
        <v>232</v>
      </c>
      <c r="Y500" s="528" t="s">
        <v>232</v>
      </c>
      <c r="Z500" s="39">
        <v>0</v>
      </c>
      <c r="AA500" s="39">
        <v>0</v>
      </c>
      <c r="AB500" s="521" t="s">
        <v>232</v>
      </c>
      <c r="AC500" s="519" t="str">
        <f>""</f>
        <v/>
      </c>
      <c r="AD500" s="522">
        <v>0</v>
      </c>
      <c r="AE500" s="522" t="s">
        <v>300</v>
      </c>
      <c r="AF500" s="522" t="s">
        <v>237</v>
      </c>
      <c r="AG500" s="522">
        <v>1</v>
      </c>
      <c r="AH500" s="522">
        <v>3</v>
      </c>
      <c r="AI500" s="522">
        <v>0</v>
      </c>
      <c r="AJ500" s="520">
        <f>VLOOKUP($I500,'Price List, Weapons &amp; Items'!A:E,5,0)</f>
        <v>0</v>
      </c>
      <c r="AK500" s="520">
        <f t="shared" si="100"/>
        <v>0</v>
      </c>
      <c r="AL500" s="520">
        <f t="shared" si="101"/>
        <v>0</v>
      </c>
      <c r="AM500" s="520">
        <f t="shared" si="102"/>
        <v>0</v>
      </c>
      <c r="AN500" s="521" t="str">
        <f>VLOOKUP($I500,'Price List, Weapons &amp; Items'!A:K,COLUMN('Price List, Weapons &amp; Items'!$I$1),0)</f>
        <v>Media reports (incl. social media)</v>
      </c>
      <c r="AO500" s="521" t="str">
        <f>IF(I500=".",".",VLOOKUP($I500,'Price List, Weapons &amp; Items'!A:I,3,0))</f>
        <v>.</v>
      </c>
      <c r="AP500" s="517" t="str">
        <f t="shared" ca="1" si="107"/>
        <v/>
      </c>
      <c r="AQ500" s="521">
        <f>VLOOKUP($I500,'Price List, Weapons &amp; Items'!A:K,COLUMN('Price List, Weapons &amp; Items'!$K$1),0)</f>
        <v>0</v>
      </c>
      <c r="AS500" s="521">
        <f t="shared" si="103"/>
        <v>1</v>
      </c>
      <c r="AT500" s="521">
        <f t="shared" si="104"/>
        <v>0</v>
      </c>
      <c r="AU500" s="521">
        <f t="shared" si="105"/>
        <v>1</v>
      </c>
      <c r="AV500" s="521" t="str">
        <f t="shared" si="106"/>
        <v>.</v>
      </c>
    </row>
    <row r="501" spans="1:48" ht="15" customHeight="1">
      <c r="A501" s="18" t="s">
        <v>1418</v>
      </c>
      <c r="B501" s="18" t="s">
        <v>1412</v>
      </c>
      <c r="C501" s="511">
        <v>44634</v>
      </c>
      <c r="D501" s="18" t="s">
        <v>228</v>
      </c>
      <c r="E501" s="18" t="s">
        <v>239</v>
      </c>
      <c r="F501" s="512" t="s">
        <v>1419</v>
      </c>
      <c r="G501" s="39" t="s">
        <v>314</v>
      </c>
      <c r="H501" s="513" t="s">
        <v>309</v>
      </c>
      <c r="I501" s="41" t="s">
        <v>925</v>
      </c>
      <c r="J501" s="276" t="str">
        <f>VLOOKUP($I501,'Price List, Weapons &amp; Items'!A:B,2,0)</f>
        <v>Humanitarian</v>
      </c>
      <c r="K501" s="276" t="str">
        <f>IF(I501=".",I501,VLOOKUP($I501,'Price List, Weapons &amp; Items'!A:C,3,0))</f>
        <v>.</v>
      </c>
      <c r="L501" s="514">
        <f>VLOOKUP(I501,'Price List, Weapons &amp; Items'!A:D,4,0)</f>
        <v>0</v>
      </c>
      <c r="M501" s="515">
        <v>3</v>
      </c>
      <c r="N501" s="515" t="s">
        <v>232</v>
      </c>
      <c r="O501" s="516">
        <f>VLOOKUP($I501,'Price List, Weapons &amp; Items'!A:F,6,0)</f>
        <v>4995</v>
      </c>
      <c r="P501" s="513">
        <f t="shared" si="97"/>
        <v>14985</v>
      </c>
      <c r="Q501" s="513" t="str">
        <f t="shared" si="98"/>
        <v>.</v>
      </c>
      <c r="R501" s="513" t="str">
        <f t="shared" si="99"/>
        <v/>
      </c>
      <c r="S501" s="513" t="str">
        <f>IF(AND(AD501=1,R501&lt;&gt;".")=TRUE,R501/VLOOKUP(G501,'Exchange rates'!B:C,2,0),IF(R501=".",".",""))</f>
        <v/>
      </c>
      <c r="T501" s="513" t="str">
        <f>IF(AD501=1,IF(AF501="Value is not given at all",".",IF(AF501="Value is given by the source",S501,IF(AF501="Value is calculated with prices",(IF(SUMIFS(Q:Q,A:A,A501)&gt;0,SUMIFS(Q:Q,A:A,A501),"."))/VLOOKUP("USD",'Exchange rates'!B:C,2,0),"Error with coding"))),"")</f>
        <v/>
      </c>
      <c r="U501" s="39" t="s">
        <v>233</v>
      </c>
      <c r="V501" s="376" t="s">
        <v>1414</v>
      </c>
      <c r="W501" s="528" t="s">
        <v>232</v>
      </c>
      <c r="X501" s="528" t="s">
        <v>232</v>
      </c>
      <c r="Y501" s="528" t="s">
        <v>232</v>
      </c>
      <c r="Z501" s="39">
        <v>0</v>
      </c>
      <c r="AA501" s="39">
        <v>0</v>
      </c>
      <c r="AB501" s="521" t="s">
        <v>232</v>
      </c>
      <c r="AC501" s="519" t="str">
        <f>""</f>
        <v/>
      </c>
      <c r="AD501" s="522">
        <v>0</v>
      </c>
      <c r="AE501" s="522" t="s">
        <v>300</v>
      </c>
      <c r="AF501" s="522" t="s">
        <v>237</v>
      </c>
      <c r="AG501" s="522">
        <v>1</v>
      </c>
      <c r="AH501" s="522">
        <v>3</v>
      </c>
      <c r="AI501" s="522">
        <v>0</v>
      </c>
      <c r="AJ501" s="520">
        <f>VLOOKUP($I501,'Price List, Weapons &amp; Items'!A:E,5,0)</f>
        <v>0</v>
      </c>
      <c r="AK501" s="520">
        <f t="shared" si="100"/>
        <v>0</v>
      </c>
      <c r="AL501" s="520">
        <f t="shared" si="101"/>
        <v>0</v>
      </c>
      <c r="AM501" s="520">
        <f t="shared" si="102"/>
        <v>0</v>
      </c>
      <c r="AN501" s="521" t="str">
        <f>VLOOKUP($I501,'Price List, Weapons &amp; Items'!A:K,COLUMN('Price List, Weapons &amp; Items'!$I$1),0)</f>
        <v>Online marketplaces and stores</v>
      </c>
      <c r="AO501" s="521" t="str">
        <f>IF(I501=".",".",VLOOKUP($I501,'Price List, Weapons &amp; Items'!A:I,3,0))</f>
        <v>.</v>
      </c>
      <c r="AP501" s="517" t="str">
        <f t="shared" ca="1" si="107"/>
        <v/>
      </c>
      <c r="AQ501" s="521">
        <f>VLOOKUP($I501,'Price List, Weapons &amp; Items'!A:K,COLUMN('Price List, Weapons &amp; Items'!$K$1),0)</f>
        <v>0</v>
      </c>
      <c r="AS501" s="521">
        <f t="shared" si="103"/>
        <v>1</v>
      </c>
      <c r="AT501" s="521">
        <f t="shared" si="104"/>
        <v>0</v>
      </c>
      <c r="AU501" s="521">
        <f t="shared" si="105"/>
        <v>1</v>
      </c>
      <c r="AV501" s="521" t="str">
        <f t="shared" si="106"/>
        <v>.</v>
      </c>
    </row>
    <row r="502" spans="1:48" ht="15" customHeight="1">
      <c r="A502" s="41" t="s">
        <v>1421</v>
      </c>
      <c r="B502" s="41" t="s">
        <v>1412</v>
      </c>
      <c r="C502" s="511">
        <v>44670</v>
      </c>
      <c r="D502" s="18" t="s">
        <v>228</v>
      </c>
      <c r="E502" s="18" t="s">
        <v>239</v>
      </c>
      <c r="F502" s="512" t="s">
        <v>1422</v>
      </c>
      <c r="G502" s="39" t="s">
        <v>314</v>
      </c>
      <c r="H502" s="513" t="s">
        <v>309</v>
      </c>
      <c r="I502" s="41" t="s">
        <v>1423</v>
      </c>
      <c r="J502" s="276" t="str">
        <f>VLOOKUP($I502,'Price List, Weapons &amp; Items'!A:B,2,0)</f>
        <v>Humanitarian</v>
      </c>
      <c r="K502" s="276" t="str">
        <f>IF(I502=".",I502,VLOOKUP($I502,'Price List, Weapons &amp; Items'!A:C,3,0))</f>
        <v>.</v>
      </c>
      <c r="L502" s="514">
        <f>VLOOKUP(I502,'Price List, Weapons &amp; Items'!A:D,4,0)</f>
        <v>0</v>
      </c>
      <c r="M502" s="515">
        <v>45</v>
      </c>
      <c r="N502" s="515" t="s">
        <v>232</v>
      </c>
      <c r="O502" s="516">
        <f>VLOOKUP($I502,'Price List, Weapons &amp; Items'!A:F,6,0)</f>
        <v>400000</v>
      </c>
      <c r="P502" s="513">
        <f t="shared" si="97"/>
        <v>18000000</v>
      </c>
      <c r="Q502" s="513" t="str">
        <f t="shared" si="98"/>
        <v>.</v>
      </c>
      <c r="R502" s="513">
        <f t="shared" si="99"/>
        <v>18000000</v>
      </c>
      <c r="S502" s="513">
        <f>IF(AND(AD502=1,R502&lt;&gt;".")=TRUE,R502/VLOOKUP(G502,'Exchange rates'!B:C,2,0),IF(R502=".",".",""))</f>
        <v>17937219.730941702</v>
      </c>
      <c r="T502" s="513" t="str">
        <f>IF(AD502=1,IF(AF502="Value is not given at all",".",IF(AF502="Value is given by the source",S502,IF(AF502="Value is calculated with prices",(IF(SUMIFS(Q:Q,A:A,A502)&gt;0,SUMIFS(Q:Q,A:A,A502),"."))/VLOOKUP("USD",'Exchange rates'!B:C,2,0),"Error with coding"))),"")</f>
        <v>.</v>
      </c>
      <c r="U502" s="39" t="s">
        <v>233</v>
      </c>
      <c r="V502" s="42" t="s">
        <v>1414</v>
      </c>
      <c r="W502" s="42" t="s">
        <v>1424</v>
      </c>
      <c r="X502" s="512" t="s">
        <v>232</v>
      </c>
      <c r="Y502" s="512" t="s">
        <v>232</v>
      </c>
      <c r="Z502" s="39">
        <v>0</v>
      </c>
      <c r="AA502" s="39">
        <v>0</v>
      </c>
      <c r="AB502" s="521" t="s">
        <v>232</v>
      </c>
      <c r="AC502" s="519" t="str">
        <f>""</f>
        <v/>
      </c>
      <c r="AD502" s="522">
        <v>1</v>
      </c>
      <c r="AE502" s="522" t="s">
        <v>300</v>
      </c>
      <c r="AF502" s="522" t="s">
        <v>237</v>
      </c>
      <c r="AG502" s="522">
        <v>1</v>
      </c>
      <c r="AH502" s="520">
        <v>4</v>
      </c>
      <c r="AI502" s="520">
        <v>0</v>
      </c>
      <c r="AJ502" s="520">
        <f>VLOOKUP($I502,'Price List, Weapons &amp; Items'!A:E,5,0)</f>
        <v>0</v>
      </c>
      <c r="AK502" s="520">
        <f t="shared" si="100"/>
        <v>0</v>
      </c>
      <c r="AL502" s="520">
        <f t="shared" si="101"/>
        <v>0</v>
      </c>
      <c r="AM502" s="520">
        <f t="shared" si="102"/>
        <v>0</v>
      </c>
      <c r="AN502" s="521" t="str">
        <f>VLOOKUP($I502,'Price List, Weapons &amp; Items'!A:K,COLUMN('Price List, Weapons &amp; Items'!$I$1),0)</f>
        <v>Media reports (incl. social media)</v>
      </c>
      <c r="AO502" s="521" t="str">
        <f>IF(I502=".",".",VLOOKUP($I502,'Price List, Weapons &amp; Items'!A:I,3,0))</f>
        <v>.</v>
      </c>
      <c r="AP502" s="517" t="str">
        <f t="shared" ca="1" si="107"/>
        <v>fire-vehicle</v>
      </c>
      <c r="AQ502" s="521">
        <f>VLOOKUP($I502,'Price List, Weapons &amp; Items'!A:K,COLUMN('Price List, Weapons &amp; Items'!$K$1),0)</f>
        <v>0</v>
      </c>
      <c r="AS502" s="521">
        <f t="shared" si="103"/>
        <v>1</v>
      </c>
      <c r="AT502" s="521">
        <f t="shared" si="104"/>
        <v>0</v>
      </c>
      <c r="AU502" s="521">
        <f t="shared" si="105"/>
        <v>1</v>
      </c>
      <c r="AV502" s="521" t="str">
        <f t="shared" si="106"/>
        <v>.</v>
      </c>
    </row>
    <row r="503" spans="1:48" ht="15" customHeight="1">
      <c r="A503" s="41" t="s">
        <v>1425</v>
      </c>
      <c r="B503" s="41" t="s">
        <v>1412</v>
      </c>
      <c r="C503" s="511">
        <v>44671</v>
      </c>
      <c r="D503" s="18" t="s">
        <v>228</v>
      </c>
      <c r="E503" s="18" t="s">
        <v>330</v>
      </c>
      <c r="F503" s="512" t="s">
        <v>1426</v>
      </c>
      <c r="G503" s="39" t="s">
        <v>332</v>
      </c>
      <c r="H503" s="513">
        <v>16000000</v>
      </c>
      <c r="I503" s="41" t="s">
        <v>232</v>
      </c>
      <c r="J503" s="276" t="str">
        <f>VLOOKUP($I503,'Price List, Weapons &amp; Items'!A:B,2,0)</f>
        <v>.</v>
      </c>
      <c r="K503" s="276" t="str">
        <f>IF(I503=".",I503,VLOOKUP($I503,'Price List, Weapons &amp; Items'!A:C,3,0))</f>
        <v>.</v>
      </c>
      <c r="L503" s="514">
        <f>VLOOKUP(I503,'Price List, Weapons &amp; Items'!A:D,4,0)</f>
        <v>0</v>
      </c>
      <c r="M503" s="515" t="s">
        <v>232</v>
      </c>
      <c r="N503" s="515" t="s">
        <v>232</v>
      </c>
      <c r="O503" s="516" t="str">
        <f>VLOOKUP($I503,'Price List, Weapons &amp; Items'!A:F,6,0)</f>
        <v>.</v>
      </c>
      <c r="P503" s="513" t="str">
        <f t="shared" si="97"/>
        <v>.</v>
      </c>
      <c r="Q503" s="513" t="str">
        <f t="shared" si="98"/>
        <v>.</v>
      </c>
      <c r="R503" s="513">
        <f t="shared" si="99"/>
        <v>16000000</v>
      </c>
      <c r="S503" s="513">
        <f>IF(AND(AD503=1,R503&lt;&gt;".")=TRUE,R503/VLOOKUP(G503,'Exchange rates'!B:C,2,0),IF(R503=".",".",""))</f>
        <v>16000000</v>
      </c>
      <c r="T503" s="513" t="str">
        <f>IF(AD503=1,IF(AF503="Value is not given at all",".",IF(AF503="Value is given by the source",S503,IF(AF503="Value is calculated with prices",(IF(SUMIFS(Q:Q,A:A,A503)&gt;0,SUMIFS(Q:Q,A:A,A503),"."))/VLOOKUP("USD",'Exchange rates'!B:C,2,0),"Error with coding"))),"")</f>
        <v>.</v>
      </c>
      <c r="U503" s="39" t="s">
        <v>372</v>
      </c>
      <c r="V503" s="42" t="s">
        <v>1427</v>
      </c>
      <c r="W503" s="512" t="s">
        <v>232</v>
      </c>
      <c r="X503" s="512" t="s">
        <v>232</v>
      </c>
      <c r="Y503" s="512" t="s">
        <v>232</v>
      </c>
      <c r="Z503" s="39">
        <v>0</v>
      </c>
      <c r="AA503" s="39">
        <v>0</v>
      </c>
      <c r="AB503" s="521" t="s">
        <v>232</v>
      </c>
      <c r="AC503" s="519" t="str">
        <f>""</f>
        <v/>
      </c>
      <c r="AD503" s="522">
        <v>1</v>
      </c>
      <c r="AE503" s="522" t="s">
        <v>236</v>
      </c>
      <c r="AF503" s="522" t="s">
        <v>237</v>
      </c>
      <c r="AG503" s="522">
        <v>1</v>
      </c>
      <c r="AH503" s="520">
        <v>4</v>
      </c>
      <c r="AI503" s="520">
        <v>0</v>
      </c>
      <c r="AJ503" s="520">
        <f>VLOOKUP($I503,'Price List, Weapons &amp; Items'!A:E,5,0)</f>
        <v>0</v>
      </c>
      <c r="AK503" s="520">
        <f t="shared" si="100"/>
        <v>0</v>
      </c>
      <c r="AL503" s="520">
        <f t="shared" si="101"/>
        <v>0</v>
      </c>
      <c r="AM503" s="520">
        <f t="shared" si="102"/>
        <v>0</v>
      </c>
      <c r="AN503" s="521" t="str">
        <f>VLOOKUP($I503,'Price List, Weapons &amp; Items'!A:K,COLUMN('Price List, Weapons &amp; Items'!$I$1),0)</f>
        <v>.</v>
      </c>
      <c r="AO503" s="521" t="str">
        <f>IF(I503=".",".",VLOOKUP($I503,'Price List, Weapons &amp; Items'!A:I,3,0))</f>
        <v>.</v>
      </c>
      <c r="AP503" s="517" t="str">
        <f t="shared" ca="1" si="107"/>
        <v>.</v>
      </c>
      <c r="AQ503" s="521" t="str">
        <f>VLOOKUP($I503,'Price List, Weapons &amp; Items'!A:K,COLUMN('Price List, Weapons &amp; Items'!$K$1),0)</f>
        <v>no price, 0 count</v>
      </c>
      <c r="AS503" s="521">
        <f t="shared" si="103"/>
        <v>0</v>
      </c>
      <c r="AT503" s="521">
        <f t="shared" si="104"/>
        <v>0</v>
      </c>
      <c r="AU503" s="521">
        <f t="shared" si="105"/>
        <v>1</v>
      </c>
      <c r="AV503" s="521" t="str">
        <f t="shared" si="106"/>
        <v>.</v>
      </c>
    </row>
    <row r="504" spans="1:48" ht="15" customHeight="1">
      <c r="A504" s="41" t="s">
        <v>1428</v>
      </c>
      <c r="B504" s="41" t="s">
        <v>1412</v>
      </c>
      <c r="C504" s="511">
        <v>44620</v>
      </c>
      <c r="D504" s="18" t="s">
        <v>252</v>
      </c>
      <c r="E504" s="18" t="s">
        <v>253</v>
      </c>
      <c r="F504" s="512" t="s">
        <v>1429</v>
      </c>
      <c r="G504" s="39" t="s">
        <v>332</v>
      </c>
      <c r="H504" s="513">
        <v>150000000</v>
      </c>
      <c r="I504" s="41" t="s">
        <v>232</v>
      </c>
      <c r="J504" s="276" t="str">
        <f>VLOOKUP($I504,'Price List, Weapons &amp; Items'!A:B,2,0)</f>
        <v>.</v>
      </c>
      <c r="K504" s="276" t="str">
        <f>IF(I504=".",I504,VLOOKUP($I504,'Price List, Weapons &amp; Items'!A:C,3,0))</f>
        <v>.</v>
      </c>
      <c r="L504" s="514">
        <f>VLOOKUP(I504,'Price List, Weapons &amp; Items'!A:D,4,0)</f>
        <v>0</v>
      </c>
      <c r="M504" s="515" t="s">
        <v>232</v>
      </c>
      <c r="N504" s="515" t="s">
        <v>232</v>
      </c>
      <c r="O504" s="516" t="str">
        <f>VLOOKUP($I504,'Price List, Weapons &amp; Items'!A:F,6,0)</f>
        <v>.</v>
      </c>
      <c r="P504" s="513" t="str">
        <f t="shared" si="97"/>
        <v>.</v>
      </c>
      <c r="Q504" s="513" t="str">
        <f t="shared" si="98"/>
        <v>.</v>
      </c>
      <c r="R504" s="513">
        <f t="shared" si="99"/>
        <v>150000000</v>
      </c>
      <c r="S504" s="513">
        <f>IF(AND(AD504=1,R504&lt;&gt;".")=TRUE,R504/VLOOKUP(G504,'Exchange rates'!B:C,2,0),IF(R504=".",".",""))</f>
        <v>150000000</v>
      </c>
      <c r="T504" s="513">
        <f>IF(AD504=1,IF(AF504="Value is not given at all",".",IF(AF504="Value is given by the source",S504,IF(AF504="Value is calculated with prices",(IF(SUMIFS(Q:Q,A:A,A504)&gt;0,SUMIFS(Q:Q,A:A,A504),"."))/VLOOKUP("USD",'Exchange rates'!B:C,2,0),"Error with coding"))),"")</f>
        <v>150000000</v>
      </c>
      <c r="U504" s="39" t="s">
        <v>372</v>
      </c>
      <c r="V504" s="42" t="s">
        <v>1430</v>
      </c>
      <c r="W504" s="42" t="s">
        <v>1431</v>
      </c>
      <c r="X504" s="42" t="s">
        <v>1432</v>
      </c>
      <c r="Y504" s="512" t="s">
        <v>232</v>
      </c>
      <c r="Z504" s="39">
        <v>0</v>
      </c>
      <c r="AA504" s="518">
        <v>0</v>
      </c>
      <c r="AB504" s="394" t="s">
        <v>1433</v>
      </c>
      <c r="AC504" s="519" t="str">
        <f>""</f>
        <v/>
      </c>
      <c r="AD504" s="520">
        <v>1</v>
      </c>
      <c r="AE504" s="520" t="s">
        <v>236</v>
      </c>
      <c r="AF504" s="520" t="s">
        <v>236</v>
      </c>
      <c r="AG504" s="520">
        <v>1</v>
      </c>
      <c r="AH504" s="520">
        <v>2</v>
      </c>
      <c r="AI504" s="520">
        <v>0</v>
      </c>
      <c r="AJ504" s="520">
        <f>VLOOKUP($I504,'Price List, Weapons &amp; Items'!A:E,5,0)</f>
        <v>0</v>
      </c>
      <c r="AK504" s="520">
        <f t="shared" si="100"/>
        <v>0</v>
      </c>
      <c r="AL504" s="520">
        <f t="shared" si="101"/>
        <v>0</v>
      </c>
      <c r="AM504" s="520">
        <f t="shared" si="102"/>
        <v>0</v>
      </c>
      <c r="AN504" s="521" t="str">
        <f>VLOOKUP($I504,'Price List, Weapons &amp; Items'!A:K,COLUMN('Price List, Weapons &amp; Items'!$I$1),0)</f>
        <v>.</v>
      </c>
      <c r="AO504" s="521" t="str">
        <f>IF(I504=".",".",VLOOKUP($I504,'Price List, Weapons &amp; Items'!A:I,3,0))</f>
        <v>.</v>
      </c>
      <c r="AP504" s="517" t="str">
        <f t="shared" ca="1" si="107"/>
        <v>.</v>
      </c>
      <c r="AQ504" s="521" t="str">
        <f>VLOOKUP($I504,'Price List, Weapons &amp; Items'!A:K,COLUMN('Price List, Weapons &amp; Items'!$K$1),0)</f>
        <v>no price, 0 count</v>
      </c>
      <c r="AS504" s="521">
        <f t="shared" si="103"/>
        <v>0</v>
      </c>
      <c r="AT504" s="521">
        <f t="shared" si="104"/>
        <v>1</v>
      </c>
      <c r="AU504" s="521">
        <f t="shared" si="105"/>
        <v>1</v>
      </c>
      <c r="AV504" s="521" t="str">
        <f t="shared" si="106"/>
        <v>.</v>
      </c>
    </row>
    <row r="505" spans="1:48" ht="15" customHeight="1">
      <c r="A505" s="41" t="s">
        <v>1434</v>
      </c>
      <c r="B505" s="41" t="s">
        <v>1412</v>
      </c>
      <c r="C505" s="511">
        <v>44673</v>
      </c>
      <c r="D505" s="18" t="s">
        <v>252</v>
      </c>
      <c r="E505" s="18" t="s">
        <v>307</v>
      </c>
      <c r="F505" s="512" t="s">
        <v>1435</v>
      </c>
      <c r="G505" s="39" t="s">
        <v>232</v>
      </c>
      <c r="H505" s="513" t="s">
        <v>309</v>
      </c>
      <c r="I505" s="41" t="s">
        <v>232</v>
      </c>
      <c r="J505" s="276" t="str">
        <f>VLOOKUP($I505,'Price List, Weapons &amp; Items'!A:B,2,0)</f>
        <v>.</v>
      </c>
      <c r="K505" s="276" t="str">
        <f>IF(I505=".",I505,VLOOKUP($I505,'Price List, Weapons &amp; Items'!A:C,3,0))</f>
        <v>.</v>
      </c>
      <c r="L505" s="514">
        <f>VLOOKUP(I505,'Price List, Weapons &amp; Items'!A:D,4,0)</f>
        <v>0</v>
      </c>
      <c r="M505" s="515" t="s">
        <v>232</v>
      </c>
      <c r="N505" s="515" t="s">
        <v>232</v>
      </c>
      <c r="O505" s="516" t="str">
        <f>VLOOKUP($I505,'Price List, Weapons &amp; Items'!A:F,6,0)</f>
        <v>.</v>
      </c>
      <c r="P505" s="513" t="str">
        <f t="shared" si="97"/>
        <v>.</v>
      </c>
      <c r="Q505" s="513" t="str">
        <f t="shared" si="98"/>
        <v>.</v>
      </c>
      <c r="R505" s="513" t="str">
        <f t="shared" si="99"/>
        <v>.</v>
      </c>
      <c r="S505" s="513" t="str">
        <f>IF(AND(AD505=1,R505&lt;&gt;".")=TRUE,R505/VLOOKUP(G505,'Exchange rates'!B:C,2,0),IF(R505=".",".",""))</f>
        <v>.</v>
      </c>
      <c r="T505" s="513" t="str">
        <f>IF(AD505=1,IF(AF505="Value is not given at all",".",IF(AF505="Value is given by the source",S505,IF(AF505="Value is calculated with prices",(IF(SUMIFS(Q:Q,A:A,A505)&gt;0,SUMIFS(Q:Q,A:A,A505),"."))/VLOOKUP("USD",'Exchange rates'!B:C,2,0),"Error with coding"))),"")</f>
        <v>.</v>
      </c>
      <c r="U505" s="39" t="s">
        <v>233</v>
      </c>
      <c r="V505" s="42" t="s">
        <v>1436</v>
      </c>
      <c r="W505" s="42" t="s">
        <v>1437</v>
      </c>
      <c r="X505" s="512" t="s">
        <v>232</v>
      </c>
      <c r="Y505" s="512" t="s">
        <v>232</v>
      </c>
      <c r="Z505" s="39">
        <v>0</v>
      </c>
      <c r="AA505" s="518">
        <v>0</v>
      </c>
      <c r="AB505" s="521" t="s">
        <v>232</v>
      </c>
      <c r="AC505" s="519" t="str">
        <f>""</f>
        <v/>
      </c>
      <c r="AD505" s="520">
        <v>1</v>
      </c>
      <c r="AE505" s="520" t="s">
        <v>237</v>
      </c>
      <c r="AF505" s="520" t="s">
        <v>237</v>
      </c>
      <c r="AG505" s="520">
        <v>1</v>
      </c>
      <c r="AH505" s="520">
        <v>4</v>
      </c>
      <c r="AI505" s="520">
        <v>0</v>
      </c>
      <c r="AJ505" s="520">
        <f>VLOOKUP($I505,'Price List, Weapons &amp; Items'!A:E,5,0)</f>
        <v>0</v>
      </c>
      <c r="AK505" s="520">
        <f t="shared" si="100"/>
        <v>0</v>
      </c>
      <c r="AL505" s="520">
        <f t="shared" si="101"/>
        <v>0</v>
      </c>
      <c r="AM505" s="520">
        <f t="shared" si="102"/>
        <v>0</v>
      </c>
      <c r="AN505" s="521" t="str">
        <f>VLOOKUP($I505,'Price List, Weapons &amp; Items'!A:K,COLUMN('Price List, Weapons &amp; Items'!$I$1),0)</f>
        <v>.</v>
      </c>
      <c r="AO505" s="521" t="str">
        <f>IF(I505=".",".",VLOOKUP($I505,'Price List, Weapons &amp; Items'!A:I,3,0))</f>
        <v>.</v>
      </c>
      <c r="AP505" s="517" t="str">
        <f t="shared" ca="1" si="107"/>
        <v>.</v>
      </c>
      <c r="AQ505" s="521" t="str">
        <f>VLOOKUP($I505,'Price List, Weapons &amp; Items'!A:K,COLUMN('Price List, Weapons &amp; Items'!$K$1),0)</f>
        <v>no price, 0 count</v>
      </c>
      <c r="AS505" s="521">
        <f t="shared" si="103"/>
        <v>1</v>
      </c>
      <c r="AT505" s="521">
        <f t="shared" si="104"/>
        <v>1</v>
      </c>
      <c r="AU505" s="521">
        <f t="shared" si="105"/>
        <v>1</v>
      </c>
      <c r="AV505" s="521" t="str">
        <f t="shared" si="106"/>
        <v>.</v>
      </c>
    </row>
    <row r="506" spans="1:48" ht="15" customHeight="1">
      <c r="A506" s="18" t="s">
        <v>1438</v>
      </c>
      <c r="B506" s="18" t="s">
        <v>1412</v>
      </c>
      <c r="C506" s="511">
        <v>44691</v>
      </c>
      <c r="D506" s="18" t="s">
        <v>252</v>
      </c>
      <c r="E506" s="18" t="s">
        <v>307</v>
      </c>
      <c r="F506" s="512" t="s">
        <v>1439</v>
      </c>
      <c r="G506" s="39" t="s">
        <v>232</v>
      </c>
      <c r="H506" s="513" t="s">
        <v>309</v>
      </c>
      <c r="I506" s="41" t="s">
        <v>1440</v>
      </c>
      <c r="J506" s="276" t="str">
        <f>VLOOKUP($I506,'Price List, Weapons &amp; Items'!A:B,2,0)</f>
        <v>Heavy weapon</v>
      </c>
      <c r="K506" s="276" t="str">
        <f>IF(I506=".",I506,VLOOKUP($I506,'Price List, Weapons &amp; Items'!A:C,3,0))</f>
        <v>155mm howitzer</v>
      </c>
      <c r="L506" s="514">
        <f>VLOOKUP(I506,'Price List, Weapons &amp; Items'!A:D,4,0)</f>
        <v>0</v>
      </c>
      <c r="M506" s="515" t="s">
        <v>264</v>
      </c>
      <c r="N506" s="515" t="s">
        <v>264</v>
      </c>
      <c r="O506" s="516">
        <f>VLOOKUP($I506,'Price List, Weapons &amp; Items'!A:F,6,0)</f>
        <v>895040.34</v>
      </c>
      <c r="P506" s="513" t="str">
        <f t="shared" si="97"/>
        <v>.</v>
      </c>
      <c r="Q506" s="513" t="str">
        <f t="shared" si="98"/>
        <v>.</v>
      </c>
      <c r="R506" s="513" t="str">
        <f t="shared" si="99"/>
        <v>.</v>
      </c>
      <c r="S506" s="513" t="str">
        <f>IF(AND(AD506=1,R506&lt;&gt;".")=TRUE,R506/VLOOKUP(G506,'Exchange rates'!B:C,2,0),IF(R506=".",".",""))</f>
        <v>.</v>
      </c>
      <c r="T506" s="513" t="str">
        <f>IF(AD506=1,IF(AF506="Value is not given at all",".",IF(AF506="Value is given by the source",S506,IF(AF506="Value is calculated with prices",(IF(SUMIFS(Q:Q,A:A,A506)&gt;0,SUMIFS(Q:Q,A:A,A506),"."))/VLOOKUP("USD",'Exchange rates'!B:C,2,0),"Error with coding"))),"")</f>
        <v>.</v>
      </c>
      <c r="U506" s="39" t="s">
        <v>233</v>
      </c>
      <c r="V506" s="376" t="s">
        <v>1441</v>
      </c>
      <c r="W506" s="376" t="s">
        <v>1442</v>
      </c>
      <c r="X506" s="376" t="s">
        <v>1443</v>
      </c>
      <c r="Y506" s="376" t="s">
        <v>1444</v>
      </c>
      <c r="Z506" s="39">
        <v>0</v>
      </c>
      <c r="AA506" s="518">
        <v>0</v>
      </c>
      <c r="AB506" s="395" t="s">
        <v>1445</v>
      </c>
      <c r="AC506" s="519" t="str">
        <f>""</f>
        <v/>
      </c>
      <c r="AD506" s="520">
        <v>1</v>
      </c>
      <c r="AE506" s="520" t="s">
        <v>237</v>
      </c>
      <c r="AF506" s="520" t="s">
        <v>237</v>
      </c>
      <c r="AG506" s="520">
        <v>1</v>
      </c>
      <c r="AH506" s="520">
        <v>5</v>
      </c>
      <c r="AI506" s="520">
        <v>0</v>
      </c>
      <c r="AJ506" s="520">
        <f>VLOOKUP($I506,'Price List, Weapons &amp; Items'!A:E,5,0)</f>
        <v>1</v>
      </c>
      <c r="AK506" s="520">
        <f t="shared" si="100"/>
        <v>1</v>
      </c>
      <c r="AL506" s="520">
        <f t="shared" si="101"/>
        <v>1</v>
      </c>
      <c r="AM506" s="520">
        <f t="shared" si="102"/>
        <v>0</v>
      </c>
      <c r="AN506" s="521" t="str">
        <f>VLOOKUP($I506,'Price List, Weapons &amp; Items'!A:K,COLUMN('Price List, Weapons &amp; Items'!$I$1),0)</f>
        <v>Military media (incl. websites)</v>
      </c>
      <c r="AO506" s="521" t="str">
        <f>IF(I506=".",".",VLOOKUP($I506,'Price List, Weapons &amp; Items'!A:I,3,0))</f>
        <v>155mm howitzer</v>
      </c>
      <c r="AP506" s="517" t="str">
        <f t="shared" ca="1" si="107"/>
        <v>FH70 155mm howitzer; M130 tracks for troop transport; Lince armoured car; 105mm light field gun ammunition</v>
      </c>
      <c r="AQ506" s="521" t="str">
        <f>VLOOKUP($I506,'Price List, Weapons &amp; Items'!A:K,COLUMN('Price List, Weapons &amp; Items'!$K$1),0)</f>
        <v>no price, 0 count</v>
      </c>
      <c r="AS506" s="521">
        <f t="shared" si="103"/>
        <v>1</v>
      </c>
      <c r="AT506" s="521">
        <f t="shared" si="104"/>
        <v>1</v>
      </c>
      <c r="AU506" s="521">
        <f t="shared" si="105"/>
        <v>1</v>
      </c>
      <c r="AV506" s="521" t="str">
        <f t="shared" si="106"/>
        <v>.</v>
      </c>
    </row>
    <row r="507" spans="1:48" ht="15" customHeight="1">
      <c r="A507" s="18" t="s">
        <v>1438</v>
      </c>
      <c r="B507" s="18" t="s">
        <v>1412</v>
      </c>
      <c r="C507" s="511">
        <v>44691</v>
      </c>
      <c r="D507" s="18" t="s">
        <v>252</v>
      </c>
      <c r="E507" s="18" t="s">
        <v>307</v>
      </c>
      <c r="F507" s="512" t="s">
        <v>1439</v>
      </c>
      <c r="G507" s="39" t="s">
        <v>232</v>
      </c>
      <c r="H507" s="513" t="s">
        <v>309</v>
      </c>
      <c r="I507" s="41" t="s">
        <v>1446</v>
      </c>
      <c r="J507" s="276" t="str">
        <f>VLOOKUP($I507,'Price List, Weapons &amp; Items'!A:B,2,0)</f>
        <v>Heavy weapon</v>
      </c>
      <c r="K507" s="276" t="str">
        <f>IF(I507=".",I507,VLOOKUP($I507,'Price List, Weapons &amp; Items'!A:C,3,0))</f>
        <v>Armoured Personnel Carrier (APC)</v>
      </c>
      <c r="L507" s="514">
        <f>VLOOKUP(I507,'Price List, Weapons &amp; Items'!A:D,4,0)</f>
        <v>0</v>
      </c>
      <c r="M507" s="515" t="s">
        <v>264</v>
      </c>
      <c r="N507" s="515" t="s">
        <v>264</v>
      </c>
      <c r="O507" s="516">
        <f>VLOOKUP($I507,'Price List, Weapons &amp; Items'!A:F,6,0)</f>
        <v>300000</v>
      </c>
      <c r="P507" s="513" t="str">
        <f t="shared" si="97"/>
        <v>.</v>
      </c>
      <c r="Q507" s="513" t="str">
        <f t="shared" si="98"/>
        <v>.</v>
      </c>
      <c r="R507" s="513" t="str">
        <f t="shared" si="99"/>
        <v/>
      </c>
      <c r="S507" s="513" t="str">
        <f>IF(AND(AD507=1,R507&lt;&gt;".")=TRUE,R507/VLOOKUP(G507,'Exchange rates'!B:C,2,0),IF(R507=".",".",""))</f>
        <v/>
      </c>
      <c r="T507" s="513" t="str">
        <f>IF(AD507=1,IF(AF507="Value is not given at all",".",IF(AF507="Value is given by the source",S507,IF(AF507="Value is calculated with prices",(IF(SUMIFS(Q:Q,A:A,A507)&gt;0,SUMIFS(Q:Q,A:A,A507),"."))/VLOOKUP("USD",'Exchange rates'!B:C,2,0),"Error with coding"))),"")</f>
        <v/>
      </c>
      <c r="U507" s="39" t="s">
        <v>233</v>
      </c>
      <c r="V507" s="376" t="s">
        <v>1441</v>
      </c>
      <c r="W507" s="376" t="s">
        <v>1442</v>
      </c>
      <c r="X507" s="376" t="s">
        <v>1443</v>
      </c>
      <c r="Y507" s="376" t="s">
        <v>1444</v>
      </c>
      <c r="Z507" s="39">
        <v>0</v>
      </c>
      <c r="AA507" s="518">
        <v>0</v>
      </c>
      <c r="AB507" s="395" t="s">
        <v>1445</v>
      </c>
      <c r="AC507" s="519" t="str">
        <f>""</f>
        <v/>
      </c>
      <c r="AD507" s="520">
        <v>0</v>
      </c>
      <c r="AE507" s="520" t="s">
        <v>237</v>
      </c>
      <c r="AF507" s="520" t="s">
        <v>237</v>
      </c>
      <c r="AG507" s="520">
        <v>1</v>
      </c>
      <c r="AH507" s="520">
        <v>5</v>
      </c>
      <c r="AI507" s="520">
        <v>0</v>
      </c>
      <c r="AJ507" s="520">
        <f>VLOOKUP($I507,'Price List, Weapons &amp; Items'!A:E,5,0)</f>
        <v>1</v>
      </c>
      <c r="AK507" s="520">
        <f t="shared" si="100"/>
        <v>1</v>
      </c>
      <c r="AL507" s="520">
        <f t="shared" si="101"/>
        <v>1</v>
      </c>
      <c r="AM507" s="520">
        <f t="shared" si="102"/>
        <v>0</v>
      </c>
      <c r="AN507" s="521" t="str">
        <f>VLOOKUP($I507,'Price List, Weapons &amp; Items'!A:K,COLUMN('Price List, Weapons &amp; Items'!$I$1),0)</f>
        <v>Miscellaneous</v>
      </c>
      <c r="AO507" s="521" t="str">
        <f>IF(I507=".",".",VLOOKUP($I507,'Price List, Weapons &amp; Items'!A:I,3,0))</f>
        <v>Armoured Personnel Carrier (APC)</v>
      </c>
      <c r="AP507" s="517" t="str">
        <f t="shared" ca="1" si="107"/>
        <v/>
      </c>
      <c r="AQ507" s="521" t="str">
        <f>VLOOKUP($I507,'Price List, Weapons &amp; Items'!A:K,COLUMN('Price List, Weapons &amp; Items'!$K$1),0)</f>
        <v>no price, 0 count</v>
      </c>
      <c r="AS507" s="521">
        <f t="shared" si="103"/>
        <v>1</v>
      </c>
      <c r="AT507" s="521">
        <f t="shared" si="104"/>
        <v>1</v>
      </c>
      <c r="AU507" s="521">
        <f t="shared" si="105"/>
        <v>1</v>
      </c>
      <c r="AV507" s="521" t="str">
        <f t="shared" si="106"/>
        <v>.</v>
      </c>
    </row>
    <row r="508" spans="1:48" ht="15" customHeight="1">
      <c r="A508" s="18" t="s">
        <v>1438</v>
      </c>
      <c r="B508" s="18" t="s">
        <v>1412</v>
      </c>
      <c r="C508" s="511">
        <v>44691</v>
      </c>
      <c r="D508" s="18" t="s">
        <v>252</v>
      </c>
      <c r="E508" s="18" t="s">
        <v>307</v>
      </c>
      <c r="F508" s="512" t="s">
        <v>1439</v>
      </c>
      <c r="G508" s="39" t="s">
        <v>232</v>
      </c>
      <c r="H508" s="513" t="s">
        <v>309</v>
      </c>
      <c r="I508" s="41" t="s">
        <v>1447</v>
      </c>
      <c r="J508" s="276" t="str">
        <f>VLOOKUP($I508,'Price List, Weapons &amp; Items'!A:B,2,0)</f>
        <v>Heavy weapon</v>
      </c>
      <c r="K508" s="276" t="str">
        <f>IF(I508=".",I508,VLOOKUP($I508,'Price List, Weapons &amp; Items'!A:C,3,0))</f>
        <v>Armoured Utility Vehicle (AUV)</v>
      </c>
      <c r="L508" s="514">
        <f>VLOOKUP(I508,'Price List, Weapons &amp; Items'!A:D,4,0)</f>
        <v>0</v>
      </c>
      <c r="M508" s="515" t="s">
        <v>264</v>
      </c>
      <c r="N508" s="515" t="s">
        <v>232</v>
      </c>
      <c r="O508" s="516">
        <f>VLOOKUP($I508,'Price List, Weapons &amp; Items'!A:F,6,0)</f>
        <v>533100</v>
      </c>
      <c r="P508" s="513" t="str">
        <f t="shared" si="97"/>
        <v>.</v>
      </c>
      <c r="Q508" s="513" t="str">
        <f t="shared" si="98"/>
        <v>.</v>
      </c>
      <c r="R508" s="513" t="str">
        <f t="shared" si="99"/>
        <v/>
      </c>
      <c r="S508" s="513" t="str">
        <f>IF(AND(AD508=1,R508&lt;&gt;".")=TRUE,R508/VLOOKUP(G508,'Exchange rates'!B:C,2,0),IF(R508=".",".",""))</f>
        <v/>
      </c>
      <c r="T508" s="513" t="str">
        <f>IF(AD508=1,IF(AF508="Value is not given at all",".",IF(AF508="Value is given by the source",S508,IF(AF508="Value is calculated with prices",(IF(SUMIFS(Q:Q,A:A,A508)&gt;0,SUMIFS(Q:Q,A:A,A508),"."))/VLOOKUP("USD",'Exchange rates'!B:C,2,0),"Error with coding"))),"")</f>
        <v/>
      </c>
      <c r="U508" s="39" t="s">
        <v>233</v>
      </c>
      <c r="V508" s="376" t="s">
        <v>1441</v>
      </c>
      <c r="W508" s="376" t="s">
        <v>1442</v>
      </c>
      <c r="X508" s="376" t="s">
        <v>1443</v>
      </c>
      <c r="Y508" s="376" t="s">
        <v>1444</v>
      </c>
      <c r="Z508" s="39">
        <v>0</v>
      </c>
      <c r="AA508" s="518">
        <v>0</v>
      </c>
      <c r="AB508" s="521" t="s">
        <v>232</v>
      </c>
      <c r="AC508" s="519" t="str">
        <f>""</f>
        <v/>
      </c>
      <c r="AD508" s="520">
        <v>0</v>
      </c>
      <c r="AE508" s="520" t="s">
        <v>237</v>
      </c>
      <c r="AF508" s="520" t="s">
        <v>237</v>
      </c>
      <c r="AG508" s="520">
        <v>1</v>
      </c>
      <c r="AH508" s="520">
        <v>5</v>
      </c>
      <c r="AI508" s="520">
        <v>0</v>
      </c>
      <c r="AJ508" s="520">
        <f>VLOOKUP($I508,'Price List, Weapons &amp; Items'!A:E,5,0)</f>
        <v>1</v>
      </c>
      <c r="AK508" s="520">
        <f t="shared" si="100"/>
        <v>1</v>
      </c>
      <c r="AL508" s="520">
        <f t="shared" si="101"/>
        <v>0</v>
      </c>
      <c r="AM508" s="520">
        <f t="shared" si="102"/>
        <v>0</v>
      </c>
      <c r="AN508" s="521" t="str">
        <f>VLOOKUP($I508,'Price List, Weapons &amp; Items'!A:K,COLUMN('Price List, Weapons &amp; Items'!$I$1),0)</f>
        <v>Contracts</v>
      </c>
      <c r="AO508" s="521" t="str">
        <f>IF(I508=".",".",VLOOKUP($I508,'Price List, Weapons &amp; Items'!A:I,3,0))</f>
        <v>Armoured Utility Vehicle (AUV)</v>
      </c>
      <c r="AP508" s="517" t="str">
        <f t="shared" ca="1" si="107"/>
        <v/>
      </c>
      <c r="AQ508" s="521" t="str">
        <f>VLOOKUP($I508,'Price List, Weapons &amp; Items'!A:K,COLUMN('Price List, Weapons &amp; Items'!$K$1),0)</f>
        <v>no price, 0 count</v>
      </c>
      <c r="AS508" s="521">
        <f t="shared" si="103"/>
        <v>1</v>
      </c>
      <c r="AT508" s="521">
        <f t="shared" si="104"/>
        <v>1</v>
      </c>
      <c r="AU508" s="521">
        <f t="shared" si="105"/>
        <v>1</v>
      </c>
      <c r="AV508" s="521" t="str">
        <f t="shared" si="106"/>
        <v>.</v>
      </c>
    </row>
    <row r="509" spans="1:48" ht="15" customHeight="1">
      <c r="A509" s="18" t="s">
        <v>1438</v>
      </c>
      <c r="B509" s="18" t="s">
        <v>1412</v>
      </c>
      <c r="C509" s="511">
        <v>44691</v>
      </c>
      <c r="D509" s="18" t="s">
        <v>252</v>
      </c>
      <c r="E509" s="18" t="s">
        <v>307</v>
      </c>
      <c r="F509" s="512" t="s">
        <v>1439</v>
      </c>
      <c r="G509" s="39" t="s">
        <v>232</v>
      </c>
      <c r="H509" s="513" t="s">
        <v>309</v>
      </c>
      <c r="I509" s="41" t="s">
        <v>1448</v>
      </c>
      <c r="J509" s="276" t="str">
        <f>VLOOKUP($I509,'Price List, Weapons &amp; Items'!A:B,2,0)</f>
        <v>Ammunition for heavy weapon</v>
      </c>
      <c r="K509" s="276" t="str">
        <f>IF(I509=".",I509,VLOOKUP($I509,'Price List, Weapons &amp; Items'!A:C,3,0))</f>
        <v>105mm</v>
      </c>
      <c r="L509" s="514">
        <f>VLOOKUP(I509,'Price List, Weapons &amp; Items'!A:D,4,0)</f>
        <v>0</v>
      </c>
      <c r="M509" s="515" t="s">
        <v>264</v>
      </c>
      <c r="N509" s="515" t="s">
        <v>264</v>
      </c>
      <c r="O509" s="516">
        <f>VLOOKUP($I509,'Price List, Weapons &amp; Items'!A:F,6,0)</f>
        <v>400</v>
      </c>
      <c r="P509" s="513" t="str">
        <f t="shared" ref="P509:P591" si="108">IF(TYPE(M509)=1,IF(TYPE(O509)=1,M509*O509,"No price"),".")</f>
        <v>.</v>
      </c>
      <c r="Q509" s="513" t="str">
        <f t="shared" ref="Q509:Q591" si="109">IF(TYPE(N509)=1,IF(TYPE(O509)=1,N509*O509,"No price"),".")</f>
        <v>.</v>
      </c>
      <c r="R509" s="513" t="str">
        <f t="shared" si="99"/>
        <v/>
      </c>
      <c r="S509" s="513" t="str">
        <f>IF(AND(AD509=1,R509&lt;&gt;".")=TRUE,R509/VLOOKUP(G509,'Exchange rates'!B:C,2,0),IF(R509=".",".",""))</f>
        <v/>
      </c>
      <c r="T509" s="513" t="str">
        <f>IF(AD509=1,IF(AF509="Value is not given at all",".",IF(AF509="Value is given by the source",S509,IF(AF509="Value is calculated with prices",(IF(SUMIFS(Q:Q,A:A,A509)&gt;0,SUMIFS(Q:Q,A:A,A509),"."))/VLOOKUP("USD",'Exchange rates'!B:C,2,0),"Error with coding"))),"")</f>
        <v/>
      </c>
      <c r="U509" s="39" t="s">
        <v>233</v>
      </c>
      <c r="V509" s="376" t="s">
        <v>1441</v>
      </c>
      <c r="W509" s="376" t="s">
        <v>1442</v>
      </c>
      <c r="X509" s="376" t="s">
        <v>1443</v>
      </c>
      <c r="Y509" s="376" t="s">
        <v>1444</v>
      </c>
      <c r="Z509" s="39">
        <v>0</v>
      </c>
      <c r="AA509" s="518">
        <v>0</v>
      </c>
      <c r="AB509" s="521" t="s">
        <v>232</v>
      </c>
      <c r="AC509" s="519" t="str">
        <f>""</f>
        <v/>
      </c>
      <c r="AD509" s="520">
        <v>0</v>
      </c>
      <c r="AE509" s="520" t="s">
        <v>237</v>
      </c>
      <c r="AF509" s="520" t="s">
        <v>237</v>
      </c>
      <c r="AG509" s="520">
        <v>1</v>
      </c>
      <c r="AH509" s="520">
        <v>5</v>
      </c>
      <c r="AI509" s="520">
        <v>0</v>
      </c>
      <c r="AJ509" s="520">
        <f>VLOOKUP($I509,'Price List, Weapons &amp; Items'!A:E,5,0)</f>
        <v>0</v>
      </c>
      <c r="AK509" s="520">
        <f t="shared" si="100"/>
        <v>0</v>
      </c>
      <c r="AL509" s="520">
        <f t="shared" si="101"/>
        <v>0</v>
      </c>
      <c r="AM509" s="520">
        <f t="shared" si="102"/>
        <v>1</v>
      </c>
      <c r="AN509" s="521" t="str">
        <f>VLOOKUP($I509,'Price List, Weapons &amp; Items'!A:K,COLUMN('Price List, Weapons &amp; Items'!$I$1),0)</f>
        <v>Military media (incl. websites)</v>
      </c>
      <c r="AO509" s="521" t="str">
        <f>IF(I509=".",".",VLOOKUP($I509,'Price List, Weapons &amp; Items'!A:I,3,0))</f>
        <v>105mm</v>
      </c>
      <c r="AP509" s="517" t="str">
        <f t="shared" ca="1" si="107"/>
        <v/>
      </c>
      <c r="AQ509" s="521">
        <f>VLOOKUP($I509,'Price List, Weapons &amp; Items'!A:K,COLUMN('Price List, Weapons &amp; Items'!$K$1),0)</f>
        <v>2</v>
      </c>
      <c r="AS509" s="521">
        <f t="shared" si="103"/>
        <v>1</v>
      </c>
      <c r="AT509" s="521">
        <f t="shared" si="104"/>
        <v>1</v>
      </c>
      <c r="AU509" s="521">
        <f t="shared" si="105"/>
        <v>1</v>
      </c>
      <c r="AV509" s="521" t="str">
        <f t="shared" si="106"/>
        <v>.</v>
      </c>
    </row>
    <row r="510" spans="1:48" ht="15" customHeight="1">
      <c r="A510" s="41" t="s">
        <v>1449</v>
      </c>
      <c r="B510" s="41" t="s">
        <v>1412</v>
      </c>
      <c r="C510" s="511">
        <v>44769</v>
      </c>
      <c r="D510" s="18" t="s">
        <v>252</v>
      </c>
      <c r="E510" s="18" t="s">
        <v>307</v>
      </c>
      <c r="F510" s="512" t="s">
        <v>1450</v>
      </c>
      <c r="G510" s="39" t="s">
        <v>232</v>
      </c>
      <c r="H510" s="513" t="s">
        <v>309</v>
      </c>
      <c r="I510" s="41" t="s">
        <v>232</v>
      </c>
      <c r="J510" s="276" t="str">
        <f>VLOOKUP($I510,'Price List, Weapons &amp; Items'!A:B,2,0)</f>
        <v>.</v>
      </c>
      <c r="K510" s="276" t="str">
        <f>IF(I510=".",I510,VLOOKUP($I510,'Price List, Weapons &amp; Items'!A:C,3,0))</f>
        <v>.</v>
      </c>
      <c r="L510" s="514">
        <f>VLOOKUP(I510,'Price List, Weapons &amp; Items'!A:D,4,0)</f>
        <v>0</v>
      </c>
      <c r="M510" s="515" t="s">
        <v>232</v>
      </c>
      <c r="N510" s="515" t="s">
        <v>232</v>
      </c>
      <c r="O510" s="516" t="str">
        <f>VLOOKUP($I510,'Price List, Weapons &amp; Items'!A:F,6,0)</f>
        <v>.</v>
      </c>
      <c r="P510" s="513" t="str">
        <f t="shared" si="108"/>
        <v>.</v>
      </c>
      <c r="Q510" s="513" t="str">
        <f t="shared" si="109"/>
        <v>.</v>
      </c>
      <c r="R510" s="513" t="str">
        <f t="shared" si="99"/>
        <v>.</v>
      </c>
      <c r="S510" s="513" t="str">
        <f>IF(AND(AD510=1,R510&lt;&gt;".")=TRUE,R510/VLOOKUP(G510,'Exchange rates'!B:C,2,0),IF(R510=".",".",""))</f>
        <v>.</v>
      </c>
      <c r="T510" s="513" t="str">
        <f>IF(AD510=1,IF(AF510="Value is not given at all",".",IF(AF510="Value is given by the source",S510,IF(AF510="Value is calculated with prices",(IF(SUMIFS(Q:Q,A:A,A510)&gt;0,SUMIFS(Q:Q,A:A,A510),"."))/VLOOKUP("USD",'Exchange rates'!B:C,2,0),"Error with coding"))),"")</f>
        <v>.</v>
      </c>
      <c r="U510" s="39" t="s">
        <v>233</v>
      </c>
      <c r="V510" s="42" t="s">
        <v>1451</v>
      </c>
      <c r="W510" s="42" t="s">
        <v>1452</v>
      </c>
      <c r="X510" s="42" t="s">
        <v>232</v>
      </c>
      <c r="Y510" s="42" t="s">
        <v>232</v>
      </c>
      <c r="Z510" s="39">
        <v>0</v>
      </c>
      <c r="AA510" s="518">
        <v>0</v>
      </c>
      <c r="AB510" s="521" t="s">
        <v>232</v>
      </c>
      <c r="AC510" s="519" t="str">
        <f>""</f>
        <v/>
      </c>
      <c r="AD510" s="520">
        <v>1</v>
      </c>
      <c r="AE510" s="520" t="s">
        <v>237</v>
      </c>
      <c r="AF510" s="520" t="s">
        <v>237</v>
      </c>
      <c r="AG510" s="520">
        <v>1</v>
      </c>
      <c r="AH510" s="520">
        <v>7</v>
      </c>
      <c r="AI510" s="520">
        <v>0</v>
      </c>
      <c r="AJ510" s="520">
        <f>VLOOKUP($I510,'Price List, Weapons &amp; Items'!A:E,5,0)</f>
        <v>0</v>
      </c>
      <c r="AK510" s="520">
        <f t="shared" si="100"/>
        <v>0</v>
      </c>
      <c r="AL510" s="520">
        <f t="shared" si="101"/>
        <v>0</v>
      </c>
      <c r="AM510" s="520">
        <f t="shared" si="102"/>
        <v>0</v>
      </c>
      <c r="AN510" s="521" t="str">
        <f>VLOOKUP($I510,'Price List, Weapons &amp; Items'!A:K,COLUMN('Price List, Weapons &amp; Items'!$I$1),0)</f>
        <v>.</v>
      </c>
      <c r="AO510" s="521" t="str">
        <f>IF(I510=".",".",VLOOKUP($I510,'Price List, Weapons &amp; Items'!A:I,3,0))</f>
        <v>.</v>
      </c>
      <c r="AP510" s="517" t="str">
        <f t="shared" ca="1" si="107"/>
        <v>.</v>
      </c>
      <c r="AQ510" s="521" t="str">
        <f>VLOOKUP($I510,'Price List, Weapons &amp; Items'!A:K,COLUMN('Price List, Weapons &amp; Items'!$K$1),0)</f>
        <v>no price, 0 count</v>
      </c>
      <c r="AS510" s="521">
        <f t="shared" si="103"/>
        <v>1</v>
      </c>
      <c r="AT510" s="521">
        <f t="shared" si="104"/>
        <v>1</v>
      </c>
      <c r="AU510" s="521">
        <f t="shared" si="105"/>
        <v>1</v>
      </c>
      <c r="AV510" s="521" t="str">
        <f t="shared" si="106"/>
        <v>.</v>
      </c>
    </row>
    <row r="511" spans="1:48" ht="15" customHeight="1">
      <c r="A511" s="41" t="s">
        <v>1453</v>
      </c>
      <c r="B511" s="41" t="s">
        <v>1412</v>
      </c>
      <c r="C511" s="511">
        <v>44851</v>
      </c>
      <c r="D511" s="18" t="s">
        <v>252</v>
      </c>
      <c r="E511" s="18" t="s">
        <v>307</v>
      </c>
      <c r="F511" s="512" t="s">
        <v>1454</v>
      </c>
      <c r="G511" s="39" t="s">
        <v>332</v>
      </c>
      <c r="H511" s="513" t="s">
        <v>309</v>
      </c>
      <c r="I511" s="41" t="s">
        <v>232</v>
      </c>
      <c r="J511" s="276" t="str">
        <f>VLOOKUP($I511,'Price List, Weapons &amp; Items'!A:B,2,0)</f>
        <v>.</v>
      </c>
      <c r="K511" s="276" t="str">
        <f>IF(I511=".",I511,VLOOKUP($I511,'Price List, Weapons &amp; Items'!A:C,3,0))</f>
        <v>.</v>
      </c>
      <c r="L511" s="514">
        <f>VLOOKUP(I511,'Price List, Weapons &amp; Items'!A:D,4,0)</f>
        <v>0</v>
      </c>
      <c r="O511" s="516" t="str">
        <f>VLOOKUP($I511,'Price List, Weapons &amp; Items'!A:F,6,0)</f>
        <v>.</v>
      </c>
      <c r="P511" s="513" t="str">
        <f t="shared" si="108"/>
        <v>No price</v>
      </c>
      <c r="Q511" s="513" t="str">
        <f t="shared" si="109"/>
        <v>No price</v>
      </c>
      <c r="R511" s="513" t="str">
        <f t="shared" si="99"/>
        <v>.</v>
      </c>
      <c r="S511" s="513" t="str">
        <f>IF(AND(AD511=1,R511&lt;&gt;".")=TRUE,R511/VLOOKUP(G511,'Exchange rates'!B:C,2,0),IF(R511=".",".",""))</f>
        <v>.</v>
      </c>
      <c r="T511" s="513" t="str">
        <f>IF(AD511=1,IF(AF511="Value is not given at all",".",IF(AF511="Value is given by the source",S511,IF(AF511="Value is calculated with prices",(IF(SUMIFS(Q:Q,A:A,A511)&gt;0,SUMIFS(Q:Q,A:A,A511),"."))/VLOOKUP("USD",'Exchange rates'!B:C,2,0),"Error with coding"))),"")</f>
        <v>.</v>
      </c>
      <c r="U511" s="39" t="s">
        <v>372</v>
      </c>
      <c r="V511" s="828" t="s">
        <v>1455</v>
      </c>
      <c r="W511" s="42" t="s">
        <v>232</v>
      </c>
      <c r="X511" s="42" t="s">
        <v>232</v>
      </c>
      <c r="Y511" s="825" t="s">
        <v>232</v>
      </c>
      <c r="Z511" s="39">
        <v>0</v>
      </c>
      <c r="AA511" s="518">
        <v>1</v>
      </c>
      <c r="AB511" s="395" t="s">
        <v>232</v>
      </c>
      <c r="AC511" s="519" t="str">
        <f>""</f>
        <v/>
      </c>
      <c r="AD511" s="520">
        <v>1</v>
      </c>
      <c r="AE511" s="520" t="s">
        <v>237</v>
      </c>
      <c r="AF511" s="520" t="s">
        <v>237</v>
      </c>
      <c r="AG511" s="520">
        <v>1</v>
      </c>
      <c r="AH511" s="520">
        <v>10</v>
      </c>
      <c r="AI511" s="520">
        <v>0</v>
      </c>
      <c r="AJ511" s="520">
        <f>VLOOKUP($I511,'Price List, Weapons &amp; Items'!A:E,5,0)</f>
        <v>0</v>
      </c>
      <c r="AK511" s="520">
        <f t="shared" si="100"/>
        <v>0</v>
      </c>
      <c r="AL511" s="520">
        <f t="shared" si="101"/>
        <v>0</v>
      </c>
      <c r="AM511" s="520">
        <f t="shared" si="102"/>
        <v>0</v>
      </c>
      <c r="AN511" s="521" t="str">
        <f>VLOOKUP($I511,'Price List, Weapons &amp; Items'!A:K,COLUMN('Price List, Weapons &amp; Items'!$I$1),0)</f>
        <v>.</v>
      </c>
      <c r="AO511" s="521" t="str">
        <f>IF(I511=".",".",VLOOKUP($I511,'Price List, Weapons &amp; Items'!A:I,3,0))</f>
        <v>.</v>
      </c>
      <c r="AP511" s="517" t="str">
        <f t="shared" ca="1" si="107"/>
        <v>.</v>
      </c>
      <c r="AQ511" s="521" t="str">
        <f>VLOOKUP($I511,'Price List, Weapons &amp; Items'!A:K,COLUMN('Price List, Weapons &amp; Items'!$K$1),0)</f>
        <v>no price, 0 count</v>
      </c>
      <c r="AS511" s="521">
        <f t="shared" si="103"/>
        <v>0</v>
      </c>
      <c r="AT511" s="521">
        <f t="shared" si="104"/>
        <v>1</v>
      </c>
      <c r="AU511" s="521">
        <f t="shared" si="105"/>
        <v>1</v>
      </c>
      <c r="AV511" s="521" t="str">
        <f t="shared" si="106"/>
        <v>.</v>
      </c>
    </row>
    <row r="512" spans="1:48" ht="15" customHeight="1">
      <c r="A512" s="41" t="s">
        <v>1456</v>
      </c>
      <c r="B512" s="41" t="s">
        <v>1412</v>
      </c>
      <c r="C512" s="511" t="s">
        <v>1457</v>
      </c>
      <c r="D512" s="18" t="s">
        <v>252</v>
      </c>
      <c r="E512" s="18" t="s">
        <v>307</v>
      </c>
      <c r="F512" s="512" t="s">
        <v>1458</v>
      </c>
      <c r="G512" s="39" t="s">
        <v>332</v>
      </c>
      <c r="H512" s="513" t="s">
        <v>309</v>
      </c>
      <c r="I512" s="428" t="s">
        <v>1133</v>
      </c>
      <c r="J512" s="276" t="str">
        <f>VLOOKUP($I512,'Price List, Weapons &amp; Items'!A:B,2,0)</f>
        <v>Heavy weapon</v>
      </c>
      <c r="K512" s="276" t="str">
        <f>IF(I512=".",I512,VLOOKUP($I512,'Price List, Weapons &amp; Items'!A:C,3,0))</f>
        <v>227mm MLRS</v>
      </c>
      <c r="L512" s="514">
        <f>VLOOKUP(I512,'Price List, Weapons &amp; Items'!A:D,4,0)</f>
        <v>0</v>
      </c>
      <c r="M512" s="515">
        <v>2</v>
      </c>
      <c r="N512" s="515">
        <v>2</v>
      </c>
      <c r="O512" s="516">
        <f>VLOOKUP($I512,'Price List, Weapons &amp; Items'!A:F,6,0)</f>
        <v>13615659.128881287</v>
      </c>
      <c r="P512" s="513">
        <f t="shared" si="108"/>
        <v>27231318.257762574</v>
      </c>
      <c r="Q512" s="513">
        <f t="shared" si="109"/>
        <v>27231318.257762574</v>
      </c>
      <c r="R512" s="513">
        <f t="shared" si="99"/>
        <v>169148380.62565362</v>
      </c>
      <c r="S512" s="513">
        <f>IF(AND(AD512=1,R512&lt;&gt;".")=TRUE,R512/VLOOKUP(G512,'Exchange rates'!B:C,2,0),IF(R512=".",".",""))</f>
        <v>169148380.62565362</v>
      </c>
      <c r="T512" s="513">
        <f>IF(AD512=1,IF(AF512="Value is not given at all",".",IF(AF512="Value is given by the source",S512,IF(AF512="Value is calculated with prices",(IF(SUMIFS(Q:Q,A:A,A512)&gt;0,SUMIFS(Q:Q,A:A,A512),"."))/VLOOKUP("USD",'Exchange rates'!B:C,2,0),"Error with coding"))),"")</f>
        <v>161383538.24180728</v>
      </c>
      <c r="U512" s="39" t="s">
        <v>372</v>
      </c>
      <c r="V512" s="829" t="s">
        <v>1455</v>
      </c>
      <c r="W512" s="829" t="s">
        <v>1459</v>
      </c>
      <c r="X512" s="829" t="s">
        <v>1460</v>
      </c>
      <c r="Y512" s="829" t="s">
        <v>1461</v>
      </c>
      <c r="Z512" s="39">
        <v>0</v>
      </c>
      <c r="AA512" s="518">
        <v>1</v>
      </c>
      <c r="AB512" s="829" t="s">
        <v>1455</v>
      </c>
      <c r="AC512" s="519" t="str">
        <f>""</f>
        <v/>
      </c>
      <c r="AD512" s="520">
        <v>1</v>
      </c>
      <c r="AE512" s="520" t="s">
        <v>300</v>
      </c>
      <c r="AF512" s="520" t="s">
        <v>300</v>
      </c>
      <c r="AG512" s="522">
        <v>1</v>
      </c>
      <c r="AH512" s="520">
        <v>5</v>
      </c>
      <c r="AI512" s="520"/>
      <c r="AJ512" s="520">
        <f>VLOOKUP($I512,'Price List, Weapons &amp; Items'!A:E,5,0)</f>
        <v>1</v>
      </c>
      <c r="AK512" s="520">
        <f t="shared" si="100"/>
        <v>0</v>
      </c>
      <c r="AL512" s="520">
        <f t="shared" si="101"/>
        <v>0</v>
      </c>
      <c r="AM512" s="520">
        <f t="shared" si="102"/>
        <v>0</v>
      </c>
      <c r="AN512" s="521" t="str">
        <f>VLOOKUP($I512,'Price List, Weapons &amp; Items'!A:K,COLUMN('Price List, Weapons &amp; Items'!$I$1),0)</f>
        <v>Contracts</v>
      </c>
      <c r="AO512" s="521" t="str">
        <f>IF(I512=".",".",VLOOKUP($I512,'Price List, Weapons &amp; Items'!A:I,3,0))</f>
        <v>227mm MLRS</v>
      </c>
      <c r="AP512" s="517" t="str">
        <f t="shared" ca="1" si="107"/>
        <v>M270 weapon system; Panzerhaubitze 2000; M109 A3GM 155mm howitzer; M113 armored personnel carrier</v>
      </c>
      <c r="AQ512" s="521">
        <f>VLOOKUP($I512,'Price List, Weapons &amp; Items'!A:K,COLUMN('Price List, Weapons &amp; Items'!$K$1),0)</f>
        <v>2</v>
      </c>
      <c r="AS512" s="521">
        <f t="shared" si="103"/>
        <v>0</v>
      </c>
      <c r="AT512" s="521">
        <f t="shared" si="104"/>
        <v>1</v>
      </c>
      <c r="AU512" s="521" t="str">
        <f t="shared" si="105"/>
        <v>Value is not in date format</v>
      </c>
      <c r="AV512" s="521" t="str">
        <f t="shared" si="106"/>
        <v>.</v>
      </c>
    </row>
    <row r="513" spans="1:48" ht="15" customHeight="1">
      <c r="A513" s="41" t="s">
        <v>1456</v>
      </c>
      <c r="B513" s="41" t="s">
        <v>1412</v>
      </c>
      <c r="C513" s="511" t="s">
        <v>1457</v>
      </c>
      <c r="D513" s="18" t="s">
        <v>252</v>
      </c>
      <c r="E513" s="18" t="s">
        <v>307</v>
      </c>
      <c r="F513" s="512" t="s">
        <v>1458</v>
      </c>
      <c r="G513" s="39" t="s">
        <v>332</v>
      </c>
      <c r="H513" s="513" t="s">
        <v>309</v>
      </c>
      <c r="I513" s="41" t="s">
        <v>1240</v>
      </c>
      <c r="J513" s="276" t="str">
        <f>VLOOKUP($I513,'Price List, Weapons &amp; Items'!A:B,2,0)</f>
        <v>Heavy weapon</v>
      </c>
      <c r="K513" s="276" t="str">
        <f>IF(I513=".",I513,VLOOKUP($I513,'Price List, Weapons &amp; Items'!A:C,3,0))</f>
        <v>155mm howitzer</v>
      </c>
      <c r="L513" s="514">
        <f>VLOOKUP(I513,'Price List, Weapons &amp; Items'!A:D,4,0)</f>
        <v>0</v>
      </c>
      <c r="M513" s="515">
        <v>6</v>
      </c>
      <c r="N513" s="515">
        <v>6</v>
      </c>
      <c r="O513" s="516">
        <f>VLOOKUP($I513,'Price List, Weapons &amp; Items'!A:F,6,0)</f>
        <v>13778907.188501142</v>
      </c>
      <c r="P513" s="513">
        <f t="shared" si="108"/>
        <v>82673443.131006852</v>
      </c>
      <c r="Q513" s="513">
        <f t="shared" si="109"/>
        <v>82673443.131006852</v>
      </c>
      <c r="R513" s="513" t="str">
        <f t="shared" si="99"/>
        <v/>
      </c>
      <c r="S513" s="513" t="str">
        <f>IF(AND(AD513=1,R513&lt;&gt;".")=TRUE,R513/VLOOKUP(G513,'Exchange rates'!B:C,2,0),IF(R513=".",".",""))</f>
        <v/>
      </c>
      <c r="T513" s="513" t="str">
        <f>IF(AD513=1,IF(AF513="Value is not given at all",".",IF(AF513="Value is given by the source",S513,IF(AF513="Value is calculated with prices",(IF(SUMIFS(Q:Q,A:A,A513)&gt;0,SUMIFS(Q:Q,A:A,A513),"."))/VLOOKUP("USD",'Exchange rates'!B:C,2,0),"Error with coding"))),"")</f>
        <v/>
      </c>
      <c r="U513" s="39" t="s">
        <v>233</v>
      </c>
      <c r="V513" s="829" t="s">
        <v>1455</v>
      </c>
      <c r="W513" s="829" t="s">
        <v>1461</v>
      </c>
      <c r="X513" s="42" t="s">
        <v>232</v>
      </c>
      <c r="Y513" s="825" t="s">
        <v>232</v>
      </c>
      <c r="Z513" s="39">
        <v>0</v>
      </c>
      <c r="AA513" s="518">
        <v>1</v>
      </c>
      <c r="AB513" s="829" t="s">
        <v>1455</v>
      </c>
      <c r="AC513" s="519" t="str">
        <f>""</f>
        <v/>
      </c>
      <c r="AD513" s="520">
        <v>0</v>
      </c>
      <c r="AE513" s="520" t="s">
        <v>300</v>
      </c>
      <c r="AF513" s="520" t="s">
        <v>300</v>
      </c>
      <c r="AG513" s="522">
        <v>1</v>
      </c>
      <c r="AH513" s="520">
        <v>5</v>
      </c>
      <c r="AI513" s="520"/>
      <c r="AJ513" s="520">
        <f>VLOOKUP($I513,'Price List, Weapons &amp; Items'!A:E,5,0)</f>
        <v>1</v>
      </c>
      <c r="AK513" s="520">
        <f t="shared" si="100"/>
        <v>0</v>
      </c>
      <c r="AL513" s="520">
        <f t="shared" si="101"/>
        <v>0</v>
      </c>
      <c r="AM513" s="520">
        <f t="shared" si="102"/>
        <v>0</v>
      </c>
      <c r="AN513" s="521" t="str">
        <f>VLOOKUP($I513,'Price List, Weapons &amp; Items'!A:K,COLUMN('Price List, Weapons &amp; Items'!$I$1),0)</f>
        <v>Contracts</v>
      </c>
      <c r="AO513" s="521" t="str">
        <f>IF(I513=".",".",VLOOKUP($I513,'Price List, Weapons &amp; Items'!A:I,3,0))</f>
        <v>155mm howitzer</v>
      </c>
      <c r="AP513" s="517" t="str">
        <f t="shared" ca="1" si="107"/>
        <v/>
      </c>
      <c r="AQ513" s="521">
        <f>VLOOKUP($I513,'Price List, Weapons &amp; Items'!A:K,COLUMN('Price List, Weapons &amp; Items'!$K$1),0)</f>
        <v>2</v>
      </c>
      <c r="AS513" s="521">
        <f t="shared" si="103"/>
        <v>1</v>
      </c>
      <c r="AT513" s="521">
        <f t="shared" si="104"/>
        <v>1</v>
      </c>
      <c r="AU513" s="521" t="str">
        <f t="shared" si="105"/>
        <v>Value is not in date format</v>
      </c>
      <c r="AV513" s="521" t="str">
        <f t="shared" si="106"/>
        <v>.</v>
      </c>
    </row>
    <row r="514" spans="1:48" ht="15" customHeight="1">
      <c r="A514" s="41" t="s">
        <v>1456</v>
      </c>
      <c r="B514" s="41" t="s">
        <v>1412</v>
      </c>
      <c r="C514" s="511" t="s">
        <v>1457</v>
      </c>
      <c r="D514" s="18" t="s">
        <v>252</v>
      </c>
      <c r="E514" s="18" t="s">
        <v>307</v>
      </c>
      <c r="F514" s="512" t="s">
        <v>1458</v>
      </c>
      <c r="G514" s="39" t="s">
        <v>332</v>
      </c>
      <c r="H514" s="513" t="s">
        <v>309</v>
      </c>
      <c r="I514" s="41" t="s">
        <v>1462</v>
      </c>
      <c r="J514" s="276" t="str">
        <f>VLOOKUP($I514,'Price List, Weapons &amp; Items'!A:B,2,0)</f>
        <v>Heavy weapon</v>
      </c>
      <c r="K514" s="276" t="str">
        <f>IF(I514=".",I514,VLOOKUP($I514,'Price List, Weapons &amp; Items'!A:C,3,0))</f>
        <v>155mm howitzer</v>
      </c>
      <c r="L514" s="514">
        <f>VLOOKUP(I514,'Price List, Weapons &amp; Items'!A:D,4,0)</f>
        <v>0</v>
      </c>
      <c r="M514" s="515">
        <v>30</v>
      </c>
      <c r="N514" s="515">
        <v>30</v>
      </c>
      <c r="O514" s="516">
        <f>VLOOKUP($I514,'Price List, Weapons &amp; Items'!A:F,6,0)</f>
        <v>1734787.30789614</v>
      </c>
      <c r="P514" s="513">
        <f t="shared" si="108"/>
        <v>52043619.236884199</v>
      </c>
      <c r="Q514" s="513">
        <f t="shared" si="109"/>
        <v>52043619.236884199</v>
      </c>
      <c r="R514" s="513" t="str">
        <f t="shared" ref="R514:R577" si="110">IF(AD514=1,IF(H514&lt;&gt;"Not given",H514,IF(TYPE(H514)=2,IF(SUMIFS(P:P,A:A,A514)&gt;0,SUMIFS(P:P,A:A,A514),"."),"Format error")),"")</f>
        <v/>
      </c>
      <c r="S514" s="513" t="str">
        <f>IF(AND(AD514=1,R514&lt;&gt;".")=TRUE,R514/VLOOKUP(G514,'Exchange rates'!B:C,2,0),IF(R514=".",".",""))</f>
        <v/>
      </c>
      <c r="T514" s="513" t="str">
        <f>IF(AD514=1,IF(AF514="Value is not given at all",".",IF(AF514="Value is given by the source",S514,IF(AF514="Value is calculated with prices",(IF(SUMIFS(Q:Q,A:A,A514)&gt;0,SUMIFS(Q:Q,A:A,A514),"."))/VLOOKUP("USD",'Exchange rates'!B:C,2,0),"Error with coding"))),"")</f>
        <v/>
      </c>
      <c r="U514" s="39" t="s">
        <v>233</v>
      </c>
      <c r="V514" s="829" t="s">
        <v>1455</v>
      </c>
      <c r="W514" s="829" t="s">
        <v>1461</v>
      </c>
      <c r="X514" s="42" t="s">
        <v>232</v>
      </c>
      <c r="Y514" s="825" t="s">
        <v>232</v>
      </c>
      <c r="Z514" s="39">
        <v>0</v>
      </c>
      <c r="AA514" s="518">
        <v>1</v>
      </c>
      <c r="AB514" s="829" t="s">
        <v>1455</v>
      </c>
      <c r="AC514" s="519" t="str">
        <f>""</f>
        <v/>
      </c>
      <c r="AD514" s="520">
        <v>0</v>
      </c>
      <c r="AE514" s="520" t="s">
        <v>300</v>
      </c>
      <c r="AF514" s="520" t="s">
        <v>300</v>
      </c>
      <c r="AG514" s="522">
        <v>1</v>
      </c>
      <c r="AH514" s="520">
        <v>5</v>
      </c>
      <c r="AI514" s="520"/>
      <c r="AJ514" s="520">
        <f>VLOOKUP($I514,'Price List, Weapons &amp; Items'!A:E,5,0)</f>
        <v>1</v>
      </c>
      <c r="AK514" s="520">
        <f t="shared" si="100"/>
        <v>0</v>
      </c>
      <c r="AL514" s="520">
        <f t="shared" si="101"/>
        <v>0</v>
      </c>
      <c r="AM514" s="520">
        <f t="shared" si="102"/>
        <v>0</v>
      </c>
      <c r="AN514" s="521" t="str">
        <f>VLOOKUP($I514,'Price List, Weapons &amp; Items'!A:K,COLUMN('Price List, Weapons &amp; Items'!$I$1),0)</f>
        <v>Contracts</v>
      </c>
      <c r="AO514" s="521" t="str">
        <f>IF(I514=".",".",VLOOKUP($I514,'Price List, Weapons &amp; Items'!A:I,3,0))</f>
        <v>155mm howitzer</v>
      </c>
      <c r="AP514" s="517" t="str">
        <f t="shared" ca="1" si="107"/>
        <v/>
      </c>
      <c r="AQ514" s="521">
        <f>VLOOKUP($I514,'Price List, Weapons &amp; Items'!A:K,COLUMN('Price List, Weapons &amp; Items'!$K$1),0)</f>
        <v>2</v>
      </c>
      <c r="AS514" s="521">
        <f t="shared" si="103"/>
        <v>1</v>
      </c>
      <c r="AT514" s="521">
        <f t="shared" si="104"/>
        <v>1</v>
      </c>
      <c r="AU514" s="521" t="str">
        <f t="shared" si="105"/>
        <v>Value is not in date format</v>
      </c>
      <c r="AV514" s="521" t="str">
        <f t="shared" si="106"/>
        <v>.</v>
      </c>
    </row>
    <row r="515" spans="1:48" ht="15" customHeight="1">
      <c r="A515" s="41" t="s">
        <v>1456</v>
      </c>
      <c r="B515" s="41" t="s">
        <v>1412</v>
      </c>
      <c r="C515" s="511" t="s">
        <v>1457</v>
      </c>
      <c r="D515" s="18" t="s">
        <v>252</v>
      </c>
      <c r="E515" s="18" t="s">
        <v>307</v>
      </c>
      <c r="F515" s="512" t="s">
        <v>1458</v>
      </c>
      <c r="G515" s="39" t="s">
        <v>332</v>
      </c>
      <c r="H515" s="513" t="s">
        <v>309</v>
      </c>
      <c r="I515" s="41" t="s">
        <v>292</v>
      </c>
      <c r="J515" s="276" t="str">
        <f>VLOOKUP($I515,'Price List, Weapons &amp; Items'!A:B,2,0)</f>
        <v>Heavy weapon</v>
      </c>
      <c r="K515" s="276" t="str">
        <f>IF(I515=".",I515,VLOOKUP($I515,'Price List, Weapons &amp; Items'!A:C,3,0))</f>
        <v>Armoured Personnel Carrier (APC)</v>
      </c>
      <c r="L515" s="514">
        <f>VLOOKUP(I515,'Price List, Weapons &amp; Items'!A:D,4,0)</f>
        <v>0</v>
      </c>
      <c r="M515" s="515">
        <v>24</v>
      </c>
      <c r="N515" s="515" t="s">
        <v>232</v>
      </c>
      <c r="O515" s="516">
        <f>VLOOKUP($I515,'Price List, Weapons &amp; Items'!A:F,6,0)</f>
        <v>300000</v>
      </c>
      <c r="P515" s="513">
        <f t="shared" si="108"/>
        <v>7200000</v>
      </c>
      <c r="Q515" s="513" t="str">
        <f t="shared" si="109"/>
        <v>.</v>
      </c>
      <c r="R515" s="513" t="str">
        <f t="shared" si="110"/>
        <v/>
      </c>
      <c r="S515" s="513" t="str">
        <f>IF(AND(AD515=1,R515&lt;&gt;".")=TRUE,R515/VLOOKUP(G515,'Exchange rates'!B:C,2,0),IF(R515=".",".",""))</f>
        <v/>
      </c>
      <c r="T515" s="513" t="str">
        <f>IF(AD515=1,IF(AF515="Value is not given at all",".",IF(AF515="Value is given by the source",S515,IF(AF515="Value is calculated with prices",(IF(SUMIFS(Q:Q,A:A,A515)&gt;0,SUMIFS(Q:Q,A:A,A515),"."))/VLOOKUP("USD",'Exchange rates'!B:C,2,0),"Error with coding"))),"")</f>
        <v/>
      </c>
      <c r="U515" s="39" t="s">
        <v>233</v>
      </c>
      <c r="V515" s="829" t="s">
        <v>1455</v>
      </c>
      <c r="W515" s="829" t="s">
        <v>1461</v>
      </c>
      <c r="X515" s="42" t="s">
        <v>232</v>
      </c>
      <c r="Y515" s="825" t="s">
        <v>232</v>
      </c>
      <c r="Z515" s="39">
        <v>0</v>
      </c>
      <c r="AA515" s="518">
        <v>1</v>
      </c>
      <c r="AB515" s="829" t="s">
        <v>1455</v>
      </c>
      <c r="AC515" s="519" t="str">
        <f>""</f>
        <v/>
      </c>
      <c r="AD515" s="520">
        <v>0</v>
      </c>
      <c r="AE515" s="520" t="s">
        <v>300</v>
      </c>
      <c r="AF515" s="520" t="s">
        <v>300</v>
      </c>
      <c r="AG515" s="522">
        <v>1</v>
      </c>
      <c r="AH515" s="520">
        <v>5</v>
      </c>
      <c r="AI515" s="520"/>
      <c r="AJ515" s="520">
        <f>VLOOKUP($I515,'Price List, Weapons &amp; Items'!A:E,5,0)</f>
        <v>1</v>
      </c>
      <c r="AK515" s="520">
        <f t="shared" ref="AK515:AK578" si="111">IF(AND(AJ515=1,M515="undisclosed")=TRUE,1,0)</f>
        <v>0</v>
      </c>
      <c r="AL515" s="520">
        <f t="shared" ref="AL515:AL578" si="112">IF(AND(AJ515=1,N515="undisclosed")=TRUE,1,0)</f>
        <v>0</v>
      </c>
      <c r="AM515" s="520">
        <f t="shared" ref="AM515:AM578" si="113">IFERROR(IF(SEARCH("ammuni",I515,1)&gt;0,1,0),0)</f>
        <v>0</v>
      </c>
      <c r="AN515" s="521" t="str">
        <f>VLOOKUP($I515,'Price List, Weapons &amp; Items'!A:K,COLUMN('Price List, Weapons &amp; Items'!$I$1),0)</f>
        <v>Military media (incl. websites)</v>
      </c>
      <c r="AO515" s="521" t="str">
        <f>IF(I515=".",".",VLOOKUP($I515,'Price List, Weapons &amp; Items'!A:I,3,0))</f>
        <v>Armoured Personnel Carrier (APC)</v>
      </c>
      <c r="AP515" s="517" t="str">
        <f t="shared" ca="1" si="107"/>
        <v/>
      </c>
      <c r="AQ515" s="521">
        <f>VLOOKUP($I515,'Price List, Weapons &amp; Items'!A:K,COLUMN('Price List, Weapons &amp; Items'!$K$1),0)</f>
        <v>2</v>
      </c>
      <c r="AS515" s="521">
        <f t="shared" ref="AS515:AS578" si="114">IF(U515="Yes",1,0)</f>
        <v>1</v>
      </c>
      <c r="AT515" s="521">
        <f t="shared" ref="AT515:AT578" si="115">IF(OR((E515="Weapons"),(E515="Weapons and equipment"),(E515="Weapons and training"),(E515="Weapons and Assistance"),(E515="Military Equipment"))=FALSE,0,1)</f>
        <v>1</v>
      </c>
      <c r="AU515" s="521" t="str">
        <f t="shared" ref="AU515:AU578" si="116">IFERROR(IF(VALUE(TEXT(C515,"mm"))=AH515,".",1),"Value is not in date format")</f>
        <v>Value is not in date format</v>
      </c>
      <c r="AV515" s="521" t="str">
        <f t="shared" si="106"/>
        <v>.</v>
      </c>
    </row>
    <row r="516" spans="1:48" ht="15" customHeight="1">
      <c r="A516" s="41" t="s">
        <v>1463</v>
      </c>
      <c r="B516" s="41" t="s">
        <v>1412</v>
      </c>
      <c r="C516" s="511">
        <v>44619</v>
      </c>
      <c r="D516" s="18" t="s">
        <v>366</v>
      </c>
      <c r="E516" s="18" t="s">
        <v>330</v>
      </c>
      <c r="F516" s="512" t="s">
        <v>1464</v>
      </c>
      <c r="G516" s="39" t="s">
        <v>332</v>
      </c>
      <c r="H516" s="513">
        <v>110000000</v>
      </c>
      <c r="I516" s="41" t="s">
        <v>232</v>
      </c>
      <c r="J516" s="276" t="str">
        <f>VLOOKUP($I516,'Price List, Weapons &amp; Items'!A:B,2,0)</f>
        <v>.</v>
      </c>
      <c r="K516" s="276" t="str">
        <f>IF(I516=".",I516,VLOOKUP($I516,'Price List, Weapons &amp; Items'!A:C,3,0))</f>
        <v>.</v>
      </c>
      <c r="L516" s="514">
        <f>VLOOKUP(I516,'Price List, Weapons &amp; Items'!A:D,4,0)</f>
        <v>0</v>
      </c>
      <c r="M516" s="515" t="s">
        <v>232</v>
      </c>
      <c r="N516" s="515" t="s">
        <v>232</v>
      </c>
      <c r="O516" s="516" t="str">
        <f>VLOOKUP($I516,'Price List, Weapons &amp; Items'!A:F,6,0)</f>
        <v>.</v>
      </c>
      <c r="P516" s="513" t="str">
        <f t="shared" si="108"/>
        <v>.</v>
      </c>
      <c r="Q516" s="513" t="str">
        <f t="shared" si="109"/>
        <v>.</v>
      </c>
      <c r="R516" s="513">
        <f t="shared" si="110"/>
        <v>110000000</v>
      </c>
      <c r="S516" s="513">
        <f>IF(AND(AD516=1,R516&lt;&gt;".")=TRUE,R516/VLOOKUP(G516,'Exchange rates'!B:C,2,0),IF(R516=".",".",""))</f>
        <v>110000000</v>
      </c>
      <c r="T516" s="513" t="str">
        <f>IF(AD516=1,IF(AF516="Value is not given at all",".",IF(AF516="Value is given by the source",S516,IF(AF516="Value is calculated with prices",(IF(SUMIFS(Q:Q,A:A,A516)&gt;0,SUMIFS(Q:Q,A:A,A516),"."))/VLOOKUP("USD",'Exchange rates'!B:C,2,0),"Error with coding"))),"")</f>
        <v>.</v>
      </c>
      <c r="U516" s="39" t="s">
        <v>372</v>
      </c>
      <c r="V516" s="42" t="s">
        <v>1465</v>
      </c>
      <c r="W516" s="42" t="s">
        <v>1466</v>
      </c>
      <c r="X516" s="517" t="s">
        <v>232</v>
      </c>
      <c r="Y516" s="517" t="s">
        <v>232</v>
      </c>
      <c r="Z516" s="39">
        <v>0</v>
      </c>
      <c r="AA516" s="518">
        <v>0</v>
      </c>
      <c r="AB516" s="38" t="s">
        <v>232</v>
      </c>
      <c r="AC516" s="519" t="str">
        <f>""</f>
        <v/>
      </c>
      <c r="AD516" s="520">
        <v>1</v>
      </c>
      <c r="AE516" s="520" t="s">
        <v>236</v>
      </c>
      <c r="AF516" s="520" t="s">
        <v>237</v>
      </c>
      <c r="AG516" s="520">
        <v>1</v>
      </c>
      <c r="AH516" s="520">
        <v>2</v>
      </c>
      <c r="AI516" s="520">
        <v>0</v>
      </c>
      <c r="AJ516" s="520">
        <f>VLOOKUP($I516,'Price List, Weapons &amp; Items'!A:E,5,0)</f>
        <v>0</v>
      </c>
      <c r="AK516" s="520">
        <f t="shared" si="111"/>
        <v>0</v>
      </c>
      <c r="AL516" s="520">
        <f t="shared" si="112"/>
        <v>0</v>
      </c>
      <c r="AM516" s="520">
        <f t="shared" si="113"/>
        <v>0</v>
      </c>
      <c r="AN516" s="521" t="str">
        <f>VLOOKUP($I516,'Price List, Weapons &amp; Items'!A:K,COLUMN('Price List, Weapons &amp; Items'!$I$1),0)</f>
        <v>.</v>
      </c>
      <c r="AO516" s="521" t="str">
        <f>IF(I516=".",".",VLOOKUP($I516,'Price List, Weapons &amp; Items'!A:I,3,0))</f>
        <v>.</v>
      </c>
      <c r="AP516" s="517" t="str">
        <f t="shared" ca="1" si="107"/>
        <v>.</v>
      </c>
      <c r="AQ516" s="521" t="str">
        <f>VLOOKUP($I516,'Price List, Weapons &amp; Items'!A:K,COLUMN('Price List, Weapons &amp; Items'!$K$1),0)</f>
        <v>no price, 0 count</v>
      </c>
      <c r="AS516" s="521">
        <f t="shared" si="114"/>
        <v>0</v>
      </c>
      <c r="AT516" s="521">
        <f t="shared" si="115"/>
        <v>0</v>
      </c>
      <c r="AU516" s="521">
        <f t="shared" si="116"/>
        <v>1</v>
      </c>
      <c r="AV516" s="521" t="str">
        <f t="shared" ref="AV516:AV579" si="117">IF(AND(A516=A515,C516=C515)=TRUE,IF(F516=F515,".","1"),".")</f>
        <v>.</v>
      </c>
    </row>
    <row r="517" spans="1:48" ht="15" customHeight="1">
      <c r="A517" s="41" t="s">
        <v>1467</v>
      </c>
      <c r="B517" s="41" t="s">
        <v>1412</v>
      </c>
      <c r="C517" s="511">
        <v>44778</v>
      </c>
      <c r="D517" s="18" t="s">
        <v>366</v>
      </c>
      <c r="E517" s="46" t="s">
        <v>453</v>
      </c>
      <c r="F517" s="46" t="s">
        <v>1468</v>
      </c>
      <c r="G517" s="39" t="s">
        <v>332</v>
      </c>
      <c r="H517" s="513">
        <v>200000000</v>
      </c>
      <c r="I517" s="41" t="s">
        <v>232</v>
      </c>
      <c r="J517" s="276" t="str">
        <f>VLOOKUP($I517,'Price List, Weapons &amp; Items'!A:B,2,0)</f>
        <v>.</v>
      </c>
      <c r="K517" s="276" t="str">
        <f>IF(I517=".",I517,VLOOKUP($I517,'Price List, Weapons &amp; Items'!A:C,3,0))</f>
        <v>.</v>
      </c>
      <c r="L517" s="514">
        <f>VLOOKUP(I517,'Price List, Weapons &amp; Items'!A:D,4,0)</f>
        <v>0</v>
      </c>
      <c r="M517" s="515" t="s">
        <v>232</v>
      </c>
      <c r="N517" s="515" t="s">
        <v>232</v>
      </c>
      <c r="O517" s="516" t="str">
        <f>VLOOKUP($I517,'Price List, Weapons &amp; Items'!A:F,6,0)</f>
        <v>.</v>
      </c>
      <c r="P517" s="513" t="str">
        <f t="shared" si="108"/>
        <v>.</v>
      </c>
      <c r="Q517" s="513" t="str">
        <f t="shared" si="109"/>
        <v>.</v>
      </c>
      <c r="R517" s="513">
        <f t="shared" si="110"/>
        <v>200000000</v>
      </c>
      <c r="S517" s="513">
        <f>IF(AND(AD517=1,R517&lt;&gt;".")=TRUE,R517/VLOOKUP(G517,'Exchange rates'!B:C,2,0),IF(R517=".",".",""))</f>
        <v>200000000</v>
      </c>
      <c r="T517" s="513" t="str">
        <f>IF(AD517=1,IF(AF517="Value is not given at all",".",IF(AF517="Value is given by the source",S517,IF(AF517="Value is calculated with prices",(IF(SUMIFS(Q:Q,A:A,A517)&gt;0,SUMIFS(Q:Q,A:A,A517),"."))/VLOOKUP("USD",'Exchange rates'!B:C,2,0),"Error with coding"))),"")</f>
        <v>.</v>
      </c>
      <c r="U517" s="39" t="s">
        <v>233</v>
      </c>
      <c r="V517" s="42" t="s">
        <v>1469</v>
      </c>
      <c r="W517" s="512" t="s">
        <v>232</v>
      </c>
      <c r="X517" s="517" t="s">
        <v>232</v>
      </c>
      <c r="Y517" s="517" t="s">
        <v>232</v>
      </c>
      <c r="Z517" s="39">
        <v>0</v>
      </c>
      <c r="AA517" s="518">
        <v>0</v>
      </c>
      <c r="AB517" s="38" t="s">
        <v>232</v>
      </c>
      <c r="AC517" s="519" t="str">
        <f>""</f>
        <v/>
      </c>
      <c r="AD517" s="520">
        <v>1</v>
      </c>
      <c r="AE517" s="520" t="s">
        <v>236</v>
      </c>
      <c r="AF517" s="520" t="s">
        <v>237</v>
      </c>
      <c r="AG517" s="520">
        <v>1</v>
      </c>
      <c r="AH517" s="520">
        <v>8</v>
      </c>
      <c r="AI517" s="520">
        <v>0</v>
      </c>
      <c r="AJ517" s="520">
        <f>VLOOKUP($I517,'Price List, Weapons &amp; Items'!A:E,5,0)</f>
        <v>0</v>
      </c>
      <c r="AK517" s="520">
        <f t="shared" si="111"/>
        <v>0</v>
      </c>
      <c r="AL517" s="520">
        <f t="shared" si="112"/>
        <v>0</v>
      </c>
      <c r="AM517" s="520">
        <f t="shared" si="113"/>
        <v>0</v>
      </c>
      <c r="AN517" s="521" t="str">
        <f>VLOOKUP($I517,'Price List, Weapons &amp; Items'!A:K,COLUMN('Price List, Weapons &amp; Items'!$I$1),0)</f>
        <v>.</v>
      </c>
      <c r="AO517" s="521" t="str">
        <f>IF(I517=".",".",VLOOKUP($I517,'Price List, Weapons &amp; Items'!A:I,3,0))</f>
        <v>.</v>
      </c>
      <c r="AP517" s="517" t="str">
        <f t="shared" ca="1" si="107"/>
        <v>.</v>
      </c>
      <c r="AQ517" s="521" t="str">
        <f>VLOOKUP($I517,'Price List, Weapons &amp; Items'!A:K,COLUMN('Price List, Weapons &amp; Items'!$K$1),0)</f>
        <v>no price, 0 count</v>
      </c>
      <c r="AS517" s="521">
        <f t="shared" si="114"/>
        <v>1</v>
      </c>
      <c r="AT517" s="521">
        <f t="shared" si="115"/>
        <v>0</v>
      </c>
      <c r="AU517" s="521">
        <f t="shared" si="116"/>
        <v>1</v>
      </c>
      <c r="AV517" s="521" t="str">
        <f t="shared" si="117"/>
        <v>.</v>
      </c>
    </row>
    <row r="518" spans="1:48" s="41" customFormat="1" ht="15" customHeight="1">
      <c r="A518" s="41" t="s">
        <v>1470</v>
      </c>
      <c r="B518" s="41" t="s">
        <v>1471</v>
      </c>
      <c r="C518" s="511">
        <v>44679</v>
      </c>
      <c r="D518" s="18" t="s">
        <v>228</v>
      </c>
      <c r="E518" s="18" t="s">
        <v>229</v>
      </c>
      <c r="F518" s="512" t="s">
        <v>1472</v>
      </c>
      <c r="G518" s="39" t="s">
        <v>314</v>
      </c>
      <c r="H518" s="513">
        <v>2300000</v>
      </c>
      <c r="I518" s="41" t="s">
        <v>232</v>
      </c>
      <c r="J518" s="276" t="str">
        <f>VLOOKUP($I518,'Price List, Weapons &amp; Items'!A:B,2,0)</f>
        <v>.</v>
      </c>
      <c r="K518" s="276" t="str">
        <f>IF(I518=".",I518,VLOOKUP($I518,'Price List, Weapons &amp; Items'!A:C,3,0))</f>
        <v>.</v>
      </c>
      <c r="L518" s="514">
        <f>VLOOKUP(I518,'Price List, Weapons &amp; Items'!A:D,4,0)</f>
        <v>0</v>
      </c>
      <c r="M518" s="515" t="s">
        <v>232</v>
      </c>
      <c r="N518" s="515" t="s">
        <v>232</v>
      </c>
      <c r="O518" s="516" t="str">
        <f>VLOOKUP($I518,'Price List, Weapons &amp; Items'!A:F,6,0)</f>
        <v>.</v>
      </c>
      <c r="P518" s="513" t="str">
        <f t="shared" si="108"/>
        <v>.</v>
      </c>
      <c r="Q518" s="513" t="str">
        <f t="shared" si="109"/>
        <v>.</v>
      </c>
      <c r="R518" s="513">
        <f t="shared" si="110"/>
        <v>2300000</v>
      </c>
      <c r="S518" s="513">
        <f>IF(AND(AD518=1,R518&lt;&gt;".")=TRUE,R518/VLOOKUP(G518,'Exchange rates'!B:C,2,0),IF(R518=".",".",""))</f>
        <v>2291978.0767314397</v>
      </c>
      <c r="T518" s="513" t="str">
        <f>IF(AD518=1,IF(AF518="Value is not given at all",".",IF(AF518="Value is given by the source",S518,IF(AF518="Value is calculated with prices",(IF(SUMIFS(Q:Q,A:A,A518)&gt;0,SUMIFS(Q:Q,A:A,A518),"."))/VLOOKUP("USD",'Exchange rates'!B:C,2,0),"Error with coding"))),"")</f>
        <v>.</v>
      </c>
      <c r="U518" s="39" t="s">
        <v>233</v>
      </c>
      <c r="V518" s="42" t="s">
        <v>1473</v>
      </c>
      <c r="W518" s="42" t="s">
        <v>1474</v>
      </c>
      <c r="X518" s="512" t="s">
        <v>232</v>
      </c>
      <c r="Y518" s="512" t="s">
        <v>232</v>
      </c>
      <c r="Z518" s="39">
        <v>0</v>
      </c>
      <c r="AA518" s="39">
        <v>0</v>
      </c>
      <c r="AB518" s="41" t="s">
        <v>232</v>
      </c>
      <c r="AC518" s="519" t="str">
        <f>""</f>
        <v/>
      </c>
      <c r="AD518" s="522">
        <v>1</v>
      </c>
      <c r="AE518" s="522" t="s">
        <v>236</v>
      </c>
      <c r="AF518" s="522" t="s">
        <v>237</v>
      </c>
      <c r="AG518" s="522">
        <v>1</v>
      </c>
      <c r="AH518" s="520">
        <v>4</v>
      </c>
      <c r="AI518" s="520">
        <v>0</v>
      </c>
      <c r="AJ518" s="520">
        <f>VLOOKUP($I518,'Price List, Weapons &amp; Items'!A:E,5,0)</f>
        <v>0</v>
      </c>
      <c r="AK518" s="520">
        <f t="shared" si="111"/>
        <v>0</v>
      </c>
      <c r="AL518" s="520">
        <f t="shared" si="112"/>
        <v>0</v>
      </c>
      <c r="AM518" s="520">
        <f t="shared" si="113"/>
        <v>0</v>
      </c>
      <c r="AN518" s="521" t="str">
        <f>VLOOKUP($I518,'Price List, Weapons &amp; Items'!A:K,COLUMN('Price List, Weapons &amp; Items'!$I$1),0)</f>
        <v>.</v>
      </c>
      <c r="AO518" s="521" t="str">
        <f>IF(I518=".",".",VLOOKUP($I518,'Price List, Weapons &amp; Items'!A:I,3,0))</f>
        <v>.</v>
      </c>
      <c r="AP518" s="517" t="str">
        <f t="shared" ca="1" si="107"/>
        <v>.</v>
      </c>
      <c r="AQ518" s="521" t="str">
        <f>VLOOKUP($I518,'Price List, Weapons &amp; Items'!A:K,COLUMN('Price List, Weapons &amp; Items'!$K$1),0)</f>
        <v>no price, 0 count</v>
      </c>
      <c r="AS518" s="521">
        <f t="shared" si="114"/>
        <v>1</v>
      </c>
      <c r="AT518" s="521">
        <f t="shared" si="115"/>
        <v>0</v>
      </c>
      <c r="AU518" s="521">
        <f t="shared" si="116"/>
        <v>1</v>
      </c>
      <c r="AV518" s="521" t="str">
        <f t="shared" si="117"/>
        <v>.</v>
      </c>
    </row>
    <row r="519" spans="1:48" s="41" customFormat="1" ht="15" customHeight="1">
      <c r="A519" s="41" t="s">
        <v>1475</v>
      </c>
      <c r="B519" s="41" t="s">
        <v>1471</v>
      </c>
      <c r="C519" s="511">
        <v>44708</v>
      </c>
      <c r="D519" s="18" t="s">
        <v>228</v>
      </c>
      <c r="E519" s="18" t="s">
        <v>229</v>
      </c>
      <c r="F519" s="512" t="s">
        <v>1476</v>
      </c>
      <c r="G519" s="39" t="s">
        <v>314</v>
      </c>
      <c r="H519" s="513">
        <v>1660000</v>
      </c>
      <c r="I519" s="41" t="s">
        <v>232</v>
      </c>
      <c r="J519" s="276" t="str">
        <f>VLOOKUP($I519,'Price List, Weapons &amp; Items'!A:B,2,0)</f>
        <v>.</v>
      </c>
      <c r="K519" s="276" t="str">
        <f>IF(I519=".",I519,VLOOKUP($I519,'Price List, Weapons &amp; Items'!A:C,3,0))</f>
        <v>.</v>
      </c>
      <c r="L519" s="514">
        <f>VLOOKUP(I519,'Price List, Weapons &amp; Items'!A:D,4,0)</f>
        <v>0</v>
      </c>
      <c r="M519" s="515" t="s">
        <v>232</v>
      </c>
      <c r="N519" s="515" t="s">
        <v>232</v>
      </c>
      <c r="O519" s="516" t="str">
        <f>VLOOKUP($I519,'Price List, Weapons &amp; Items'!A:F,6,0)</f>
        <v>.</v>
      </c>
      <c r="P519" s="513" t="str">
        <f t="shared" si="108"/>
        <v>.</v>
      </c>
      <c r="Q519" s="513" t="str">
        <f t="shared" si="109"/>
        <v>.</v>
      </c>
      <c r="R519" s="513">
        <f t="shared" si="110"/>
        <v>1660000</v>
      </c>
      <c r="S519" s="513">
        <f>IF(AND(AD519=1,R519&lt;&gt;".")=TRUE,R519/VLOOKUP(G519,'Exchange rates'!B:C,2,0),IF(R519=".",".",""))</f>
        <v>1654210.2640757349</v>
      </c>
      <c r="T519" s="513" t="str">
        <f>IF(AD519=1,IF(AF519="Value is not given at all",".",IF(AF519="Value is given by the source",S519,IF(AF519="Value is calculated with prices",(IF(SUMIFS(Q:Q,A:A,A519)&gt;0,SUMIFS(Q:Q,A:A,A519),"."))/VLOOKUP("USD",'Exchange rates'!B:C,2,0),"Error with coding"))),"")</f>
        <v>.</v>
      </c>
      <c r="U519" s="39" t="s">
        <v>233</v>
      </c>
      <c r="V519" s="42" t="s">
        <v>1477</v>
      </c>
      <c r="W519" s="42" t="s">
        <v>232</v>
      </c>
      <c r="X519" s="512" t="s">
        <v>232</v>
      </c>
      <c r="Y519" s="512" t="s">
        <v>232</v>
      </c>
      <c r="Z519" s="39">
        <v>0</v>
      </c>
      <c r="AA519" s="39">
        <v>0</v>
      </c>
      <c r="AB519" s="41" t="s">
        <v>232</v>
      </c>
      <c r="AC519" s="519" t="str">
        <f>""</f>
        <v/>
      </c>
      <c r="AD519" s="522">
        <v>1</v>
      </c>
      <c r="AE519" s="522" t="s">
        <v>236</v>
      </c>
      <c r="AF519" s="522" t="s">
        <v>237</v>
      </c>
      <c r="AG519" s="522">
        <v>1</v>
      </c>
      <c r="AH519" s="520">
        <v>5</v>
      </c>
      <c r="AI519" s="520">
        <v>0</v>
      </c>
      <c r="AJ519" s="520">
        <f>VLOOKUP($I519,'Price List, Weapons &amp; Items'!A:E,5,0)</f>
        <v>0</v>
      </c>
      <c r="AK519" s="520">
        <f t="shared" si="111"/>
        <v>0</v>
      </c>
      <c r="AL519" s="520">
        <f t="shared" si="112"/>
        <v>0</v>
      </c>
      <c r="AM519" s="520">
        <f t="shared" si="113"/>
        <v>0</v>
      </c>
      <c r="AN519" s="521" t="str">
        <f>VLOOKUP($I519,'Price List, Weapons &amp; Items'!A:K,COLUMN('Price List, Weapons &amp; Items'!$I$1),0)</f>
        <v>.</v>
      </c>
      <c r="AO519" s="521" t="str">
        <f>IF(I519=".",".",VLOOKUP($I519,'Price List, Weapons &amp; Items'!A:I,3,0))</f>
        <v>.</v>
      </c>
      <c r="AP519" s="517" t="str">
        <f t="shared" ca="1" si="107"/>
        <v>.</v>
      </c>
      <c r="AQ519" s="521" t="str">
        <f>VLOOKUP($I519,'Price List, Weapons &amp; Items'!A:K,COLUMN('Price List, Weapons &amp; Items'!$K$1),0)</f>
        <v>no price, 0 count</v>
      </c>
      <c r="AS519" s="521">
        <f t="shared" si="114"/>
        <v>1</v>
      </c>
      <c r="AT519" s="521">
        <f t="shared" si="115"/>
        <v>0</v>
      </c>
      <c r="AU519" s="521">
        <f t="shared" si="116"/>
        <v>1</v>
      </c>
      <c r="AV519" s="521" t="str">
        <f t="shared" si="117"/>
        <v>.</v>
      </c>
    </row>
    <row r="520" spans="1:48" s="41" customFormat="1" ht="15" customHeight="1">
      <c r="A520" s="41" t="s">
        <v>1478</v>
      </c>
      <c r="B520" s="41" t="s">
        <v>1471</v>
      </c>
      <c r="C520" s="511">
        <v>44830</v>
      </c>
      <c r="D520" s="18" t="s">
        <v>228</v>
      </c>
      <c r="E520" s="18" t="s">
        <v>229</v>
      </c>
      <c r="F520" s="512" t="s">
        <v>1476</v>
      </c>
      <c r="G520" s="39" t="s">
        <v>314</v>
      </c>
      <c r="H520" s="513">
        <v>1660000</v>
      </c>
      <c r="I520" s="41" t="s">
        <v>232</v>
      </c>
      <c r="J520" s="276" t="str">
        <f>VLOOKUP($I520,'Price List, Weapons &amp; Items'!A:B,2,0)</f>
        <v>.</v>
      </c>
      <c r="K520" s="276" t="str">
        <f>IF(I520=".",I520,VLOOKUP($I520,'Price List, Weapons &amp; Items'!A:C,3,0))</f>
        <v>.</v>
      </c>
      <c r="L520" s="514">
        <f>VLOOKUP(I520,'Price List, Weapons &amp; Items'!A:D,4,0)</f>
        <v>0</v>
      </c>
      <c r="M520" s="515" t="s">
        <v>232</v>
      </c>
      <c r="N520" s="515" t="s">
        <v>232</v>
      </c>
      <c r="O520" s="516" t="str">
        <f>VLOOKUP($I520,'Price List, Weapons &amp; Items'!A:F,6,0)</f>
        <v>.</v>
      </c>
      <c r="P520" s="513" t="str">
        <f t="shared" si="108"/>
        <v>.</v>
      </c>
      <c r="Q520" s="513" t="str">
        <f t="shared" si="109"/>
        <v>.</v>
      </c>
      <c r="R520" s="513">
        <f t="shared" si="110"/>
        <v>1660000</v>
      </c>
      <c r="S520" s="513">
        <f>IF(AND(AD520=1,R520&lt;&gt;".")=TRUE,R520/VLOOKUP(G520,'Exchange rates'!B:C,2,0),IF(R520=".",".",""))</f>
        <v>1654210.2640757349</v>
      </c>
      <c r="T520" s="513" t="str">
        <f>IF(AD520=1,IF(AF520="Value is not given at all",".",IF(AF520="Value is given by the source",S520,IF(AF520="Value is calculated with prices",(IF(SUMIFS(Q:Q,A:A,A520)&gt;0,SUMIFS(Q:Q,A:A,A520),"."))/VLOOKUP("USD",'Exchange rates'!B:C,2,0),"Error with coding"))),"")</f>
        <v>.</v>
      </c>
      <c r="U520" s="39" t="s">
        <v>233</v>
      </c>
      <c r="V520" s="42" t="s">
        <v>1479</v>
      </c>
      <c r="W520" s="42" t="s">
        <v>232</v>
      </c>
      <c r="X520" s="512" t="s">
        <v>232</v>
      </c>
      <c r="Y520" s="517" t="s">
        <v>232</v>
      </c>
      <c r="Z520" s="39">
        <v>0</v>
      </c>
      <c r="AA520" s="39">
        <v>0</v>
      </c>
      <c r="AB520" s="523" t="s">
        <v>232</v>
      </c>
      <c r="AC520" s="519" t="str">
        <f>""</f>
        <v/>
      </c>
      <c r="AD520" s="522">
        <v>1</v>
      </c>
      <c r="AE520" s="522" t="s">
        <v>237</v>
      </c>
      <c r="AF520" s="522" t="s">
        <v>237</v>
      </c>
      <c r="AG520" s="522">
        <v>1</v>
      </c>
      <c r="AH520" s="520">
        <v>9</v>
      </c>
      <c r="AI520" s="520">
        <v>0</v>
      </c>
      <c r="AJ520" s="520">
        <f>VLOOKUP($I520,'Price List, Weapons &amp; Items'!A:E,5,0)</f>
        <v>0</v>
      </c>
      <c r="AK520" s="520">
        <f t="shared" si="111"/>
        <v>0</v>
      </c>
      <c r="AL520" s="520">
        <f t="shared" si="112"/>
        <v>0</v>
      </c>
      <c r="AM520" s="520">
        <f t="shared" si="113"/>
        <v>0</v>
      </c>
      <c r="AN520" s="521" t="str">
        <f>VLOOKUP($I520,'Price List, Weapons &amp; Items'!A:K,COLUMN('Price List, Weapons &amp; Items'!$I$1),0)</f>
        <v>.</v>
      </c>
      <c r="AO520" s="521" t="str">
        <f>IF(I520=".",".",VLOOKUP($I520,'Price List, Weapons &amp; Items'!A:I,3,0))</f>
        <v>.</v>
      </c>
      <c r="AP520" s="517" t="str">
        <f t="shared" ca="1" si="107"/>
        <v>.; civilian van</v>
      </c>
      <c r="AQ520" s="521" t="str">
        <f>VLOOKUP($I520,'Price List, Weapons &amp; Items'!A:K,COLUMN('Price List, Weapons &amp; Items'!$K$1),0)</f>
        <v>no price, 0 count</v>
      </c>
      <c r="AS520" s="521">
        <f t="shared" si="114"/>
        <v>1</v>
      </c>
      <c r="AT520" s="521">
        <f t="shared" si="115"/>
        <v>0</v>
      </c>
      <c r="AU520" s="521">
        <f t="shared" si="116"/>
        <v>1</v>
      </c>
      <c r="AV520" s="521" t="str">
        <f t="shared" si="117"/>
        <v>.</v>
      </c>
    </row>
    <row r="521" spans="1:48" s="41" customFormat="1" ht="15" customHeight="1">
      <c r="A521" s="41" t="s">
        <v>1478</v>
      </c>
      <c r="B521" s="41" t="s">
        <v>1471</v>
      </c>
      <c r="C521" s="511">
        <v>44777</v>
      </c>
      <c r="D521" s="18" t="s">
        <v>228</v>
      </c>
      <c r="E521" s="18" t="s">
        <v>229</v>
      </c>
      <c r="F521" s="512" t="s">
        <v>1480</v>
      </c>
      <c r="G521" s="39" t="s">
        <v>314</v>
      </c>
      <c r="H521" s="513" t="s">
        <v>309</v>
      </c>
      <c r="I521" s="41" t="s">
        <v>1481</v>
      </c>
      <c r="J521" s="276" t="str">
        <f>VLOOKUP($I521,'Price List, Weapons &amp; Items'!A:B,2,0)</f>
        <v>Humanitarian</v>
      </c>
      <c r="K521" s="276" t="str">
        <f>IF(I521=".",I521,VLOOKUP($I521,'Price List, Weapons &amp; Items'!A:C,3,0))</f>
        <v>.</v>
      </c>
      <c r="L521" s="514">
        <f>VLOOKUP(I521,'Price List, Weapons &amp; Items'!A:D,4,0)</f>
        <v>0</v>
      </c>
      <c r="M521" s="515" t="s">
        <v>264</v>
      </c>
      <c r="N521" s="515" t="s">
        <v>232</v>
      </c>
      <c r="O521" s="516" t="str">
        <f>VLOOKUP($I521,'Price List, Weapons &amp; Items'!A:F,6,0)</f>
        <v>.</v>
      </c>
      <c r="P521" s="513" t="str">
        <f t="shared" si="108"/>
        <v>.</v>
      </c>
      <c r="Q521" s="513" t="str">
        <f t="shared" si="109"/>
        <v>.</v>
      </c>
      <c r="R521" s="513" t="str">
        <f t="shared" si="110"/>
        <v/>
      </c>
      <c r="S521" s="513" t="str">
        <f>IF(AND(AD521=1,R521&lt;&gt;".")=TRUE,R521/VLOOKUP(G521,'Exchange rates'!B:C,2,0),IF(R521=".",".",""))</f>
        <v/>
      </c>
      <c r="T521" s="513" t="str">
        <f>IF(AD521=1,IF(AF521="Value is not given at all",".",IF(AF521="Value is given by the source",S521,IF(AF521="Value is calculated with prices",(IF(SUMIFS(Q:Q,A:A,A521)&gt;0,SUMIFS(Q:Q,A:A,A521),"."))/VLOOKUP("USD",'Exchange rates'!B:C,2,0),"Error with coding"))),"")</f>
        <v/>
      </c>
      <c r="U521" s="39" t="s">
        <v>233</v>
      </c>
      <c r="V521" s="376" t="s">
        <v>1482</v>
      </c>
      <c r="W521" s="835" t="s">
        <v>1483</v>
      </c>
      <c r="X521" s="835" t="s">
        <v>1484</v>
      </c>
      <c r="Y521" s="825" t="s">
        <v>232</v>
      </c>
      <c r="Z521" s="39">
        <v>0</v>
      </c>
      <c r="AA521" s="39">
        <v>0</v>
      </c>
      <c r="AB521" s="523" t="s">
        <v>232</v>
      </c>
      <c r="AC521" s="519" t="str">
        <f>""</f>
        <v/>
      </c>
      <c r="AD521" s="522">
        <v>0</v>
      </c>
      <c r="AE521" s="522" t="s">
        <v>236</v>
      </c>
      <c r="AF521" s="522" t="s">
        <v>237</v>
      </c>
      <c r="AG521" s="522">
        <v>1</v>
      </c>
      <c r="AH521" s="520">
        <v>8</v>
      </c>
      <c r="AI521" s="520">
        <v>0</v>
      </c>
      <c r="AJ521" s="520">
        <f>VLOOKUP($I521,'Price List, Weapons &amp; Items'!A:E,5,0)</f>
        <v>0</v>
      </c>
      <c r="AK521" s="520">
        <f t="shared" si="111"/>
        <v>0</v>
      </c>
      <c r="AL521" s="520">
        <f t="shared" si="112"/>
        <v>0</v>
      </c>
      <c r="AM521" s="520">
        <f t="shared" si="113"/>
        <v>0</v>
      </c>
      <c r="AN521" s="521" t="str">
        <f>VLOOKUP($I521,'Price List, Weapons &amp; Items'!A:K,COLUMN('Price List, Weapons &amp; Items'!$I$1),0)</f>
        <v>.</v>
      </c>
      <c r="AO521" s="521" t="str">
        <f>IF(I521=".",".",VLOOKUP($I521,'Price List, Weapons &amp; Items'!A:I,3,0))</f>
        <v>.</v>
      </c>
      <c r="AP521" s="517" t="str">
        <f t="shared" ca="1" si="107"/>
        <v/>
      </c>
      <c r="AQ521" s="521">
        <f>VLOOKUP($I521,'Price List, Weapons &amp; Items'!A:K,COLUMN('Price List, Weapons &amp; Items'!$K$1),0)</f>
        <v>0</v>
      </c>
      <c r="AS521" s="521">
        <f t="shared" si="114"/>
        <v>1</v>
      </c>
      <c r="AT521" s="521">
        <f t="shared" si="115"/>
        <v>0</v>
      </c>
      <c r="AU521" s="521">
        <f t="shared" si="116"/>
        <v>1</v>
      </c>
      <c r="AV521" s="521" t="str">
        <f t="shared" si="117"/>
        <v>.</v>
      </c>
    </row>
    <row r="522" spans="1:48" ht="15" customHeight="1">
      <c r="A522" s="18" t="s">
        <v>1485</v>
      </c>
      <c r="B522" s="18" t="s">
        <v>1471</v>
      </c>
      <c r="C522" s="511">
        <v>44624</v>
      </c>
      <c r="D522" s="18" t="s">
        <v>252</v>
      </c>
      <c r="E522" s="18" t="s">
        <v>261</v>
      </c>
      <c r="F522" s="512" t="s">
        <v>1486</v>
      </c>
      <c r="G522" s="538" t="s">
        <v>314</v>
      </c>
      <c r="H522" s="513" t="s">
        <v>309</v>
      </c>
      <c r="I522" s="539" t="s">
        <v>446</v>
      </c>
      <c r="J522" s="276" t="str">
        <f>VLOOKUP($I522,'Price List, Weapons &amp; Items'!A:B,2,0)</f>
        <v>Military equipment</v>
      </c>
      <c r="K522" s="276" t="str">
        <f>IF(I522=".",I522,VLOOKUP($I522,'Price List, Weapons &amp; Items'!A:C,3,0))</f>
        <v>.</v>
      </c>
      <c r="L522" s="514">
        <f>VLOOKUP(I522,'Price List, Weapons &amp; Items'!A:D,4,0)</f>
        <v>0</v>
      </c>
      <c r="M522" s="515" t="s">
        <v>264</v>
      </c>
      <c r="N522" s="515" t="s">
        <v>232</v>
      </c>
      <c r="O522" s="516">
        <f>VLOOKUP($I522,'Price List, Weapons &amp; Items'!A:F,6,0)</f>
        <v>500</v>
      </c>
      <c r="P522" s="513" t="str">
        <f t="shared" si="108"/>
        <v>.</v>
      </c>
      <c r="Q522" s="513" t="str">
        <f t="shared" si="109"/>
        <v>.</v>
      </c>
      <c r="R522" s="513">
        <f t="shared" si="110"/>
        <v>2200000</v>
      </c>
      <c r="S522" s="513">
        <f>IF(AND(AD522=1,R522&lt;&gt;".")=TRUE,R522/VLOOKUP(G522,'Exchange rates'!B:C,2,0),IF(R522=".",".",""))</f>
        <v>2192326.8560039857</v>
      </c>
      <c r="T522" s="513" t="str">
        <f>IF(AD522=1,IF(AF522="Value is not given at all",".",IF(AF522="Value is given by the source",S522,IF(AF522="Value is calculated with prices",(IF(SUMIFS(Q:Q,A:A,A522)&gt;0,SUMIFS(Q:Q,A:A,A522),"."))/VLOOKUP("USD",'Exchange rates'!B:C,2,0),"Error with coding"))),"")</f>
        <v>.</v>
      </c>
      <c r="U522" s="39" t="s">
        <v>233</v>
      </c>
      <c r="V522" s="376" t="s">
        <v>1487</v>
      </c>
      <c r="W522" s="376" t="s">
        <v>1488</v>
      </c>
      <c r="X522" s="376" t="s">
        <v>1489</v>
      </c>
      <c r="Y522" s="528" t="s">
        <v>232</v>
      </c>
      <c r="Z522" s="39">
        <v>0</v>
      </c>
      <c r="AA522" s="518">
        <v>0</v>
      </c>
      <c r="AB522" s="394" t="s">
        <v>1490</v>
      </c>
      <c r="AC522" s="519" t="str">
        <f>""</f>
        <v/>
      </c>
      <c r="AD522" s="520">
        <v>1</v>
      </c>
      <c r="AE522" s="520" t="s">
        <v>300</v>
      </c>
      <c r="AF522" s="520" t="s">
        <v>237</v>
      </c>
      <c r="AG522" s="520">
        <v>1</v>
      </c>
      <c r="AH522" s="520">
        <v>3</v>
      </c>
      <c r="AI522" s="520">
        <v>0</v>
      </c>
      <c r="AJ522" s="520">
        <f>VLOOKUP($I522,'Price List, Weapons &amp; Items'!A:E,5,0)</f>
        <v>0</v>
      </c>
      <c r="AK522" s="520">
        <f t="shared" si="111"/>
        <v>0</v>
      </c>
      <c r="AL522" s="520">
        <f t="shared" si="112"/>
        <v>0</v>
      </c>
      <c r="AM522" s="520">
        <f t="shared" si="113"/>
        <v>0</v>
      </c>
      <c r="AN522" s="521" t="str">
        <f>VLOOKUP($I522,'Price List, Weapons &amp; Items'!A:K,COLUMN('Price List, Weapons &amp; Items'!$I$1),0)</f>
        <v>Military media (incl. websites)</v>
      </c>
      <c r="AO522" s="521" t="str">
        <f>IF(I522=".",".",VLOOKUP($I522,'Price List, Weapons &amp; Items'!A:I,3,0))</f>
        <v>.</v>
      </c>
      <c r="AP522" s="517" t="str">
        <f t="shared" ca="1" si="107"/>
        <v>ballistic vest; helmet; power generator; food ration M; winter clothing (general); medical supplies; thermal imaging camera; military tent</v>
      </c>
      <c r="AQ522" s="521">
        <f>VLOOKUP($I522,'Price List, Weapons &amp; Items'!A:K,COLUMN('Price List, Weapons &amp; Items'!$K$1),0)</f>
        <v>2</v>
      </c>
      <c r="AS522" s="521">
        <f t="shared" si="114"/>
        <v>1</v>
      </c>
      <c r="AT522" s="521">
        <f t="shared" si="115"/>
        <v>1</v>
      </c>
      <c r="AU522" s="521">
        <f t="shared" si="116"/>
        <v>1</v>
      </c>
      <c r="AV522" s="521" t="str">
        <f t="shared" si="117"/>
        <v>.</v>
      </c>
    </row>
    <row r="523" spans="1:48" ht="15" customHeight="1">
      <c r="A523" s="18" t="s">
        <v>1485</v>
      </c>
      <c r="B523" s="18" t="s">
        <v>1471</v>
      </c>
      <c r="C523" s="511">
        <v>44624</v>
      </c>
      <c r="D523" s="18" t="s">
        <v>252</v>
      </c>
      <c r="E523" s="18" t="s">
        <v>261</v>
      </c>
      <c r="F523" s="512" t="s">
        <v>1486</v>
      </c>
      <c r="G523" s="538" t="s">
        <v>314</v>
      </c>
      <c r="H523" s="513" t="s">
        <v>309</v>
      </c>
      <c r="I523" s="41" t="s">
        <v>419</v>
      </c>
      <c r="J523" s="276" t="str">
        <f>VLOOKUP($I523,'Price List, Weapons &amp; Items'!A:B,2,0)</f>
        <v>Military equipment</v>
      </c>
      <c r="K523" s="276" t="str">
        <f>IF(I523=".",I523,VLOOKUP($I523,'Price List, Weapons &amp; Items'!A:C,3,0))</f>
        <v>.</v>
      </c>
      <c r="L523" s="514">
        <f>VLOOKUP(I523,'Price List, Weapons &amp; Items'!A:D,4,0)</f>
        <v>0</v>
      </c>
      <c r="M523" s="515" t="s">
        <v>264</v>
      </c>
      <c r="N523" s="515" t="s">
        <v>232</v>
      </c>
      <c r="O523" s="516">
        <f>VLOOKUP($I523,'Price List, Weapons &amp; Items'!A:F,6,0)</f>
        <v>1400</v>
      </c>
      <c r="P523" s="513" t="str">
        <f t="shared" si="108"/>
        <v>.</v>
      </c>
      <c r="Q523" s="513" t="str">
        <f t="shared" si="109"/>
        <v>.</v>
      </c>
      <c r="R523" s="513" t="str">
        <f t="shared" si="110"/>
        <v/>
      </c>
      <c r="S523" s="513" t="str">
        <f>IF(AND(AD523=1,R523&lt;&gt;".")=TRUE,R523/VLOOKUP(G523,'Exchange rates'!B:C,2,0),IF(R523=".",".",""))</f>
        <v/>
      </c>
      <c r="T523" s="513" t="str">
        <f>IF(AD523=1,IF(AF523="Value is not given at all",".",IF(AF523="Value is given by the source",S523,IF(AF523="Value is calculated with prices",(IF(SUMIFS(Q:Q,A:A,A523)&gt;0,SUMIFS(Q:Q,A:A,A523),"."))/VLOOKUP("USD",'Exchange rates'!B:C,2,0),"Error with coding"))),"")</f>
        <v/>
      </c>
      <c r="U523" s="39" t="s">
        <v>233</v>
      </c>
      <c r="V523" s="376" t="s">
        <v>1487</v>
      </c>
      <c r="W523" s="376" t="s">
        <v>1488</v>
      </c>
      <c r="X523" s="376" t="s">
        <v>1489</v>
      </c>
      <c r="Y523" s="528" t="s">
        <v>232</v>
      </c>
      <c r="Z523" s="39">
        <v>0</v>
      </c>
      <c r="AA523" s="518">
        <v>0</v>
      </c>
      <c r="AB523" s="394" t="s">
        <v>1490</v>
      </c>
      <c r="AC523" s="519" t="str">
        <f>""</f>
        <v/>
      </c>
      <c r="AD523" s="520">
        <v>0</v>
      </c>
      <c r="AE523" s="520" t="s">
        <v>237</v>
      </c>
      <c r="AF523" s="520" t="s">
        <v>237</v>
      </c>
      <c r="AG523" s="520">
        <v>1</v>
      </c>
      <c r="AH523" s="520">
        <v>3</v>
      </c>
      <c r="AI523" s="520">
        <v>0</v>
      </c>
      <c r="AJ523" s="520">
        <f>VLOOKUP($I523,'Price List, Weapons &amp; Items'!A:E,5,0)</f>
        <v>0</v>
      </c>
      <c r="AK523" s="520">
        <f t="shared" si="111"/>
        <v>0</v>
      </c>
      <c r="AL523" s="520">
        <f t="shared" si="112"/>
        <v>0</v>
      </c>
      <c r="AM523" s="520">
        <f t="shared" si="113"/>
        <v>0</v>
      </c>
      <c r="AN523" s="521" t="str">
        <f>VLOOKUP($I523,'Price List, Weapons &amp; Items'!A:K,COLUMN('Price List, Weapons &amp; Items'!$I$1),0)</f>
        <v>Military media (incl. websites)</v>
      </c>
      <c r="AO523" s="521" t="str">
        <f>IF(I523=".",".",VLOOKUP($I523,'Price List, Weapons &amp; Items'!A:I,3,0))</f>
        <v>.</v>
      </c>
      <c r="AP523" s="517" t="str">
        <f t="shared" ca="1" si="107"/>
        <v/>
      </c>
      <c r="AQ523" s="521">
        <f>VLOOKUP($I523,'Price List, Weapons &amp; Items'!A:K,COLUMN('Price List, Weapons &amp; Items'!$K$1),0)</f>
        <v>2</v>
      </c>
      <c r="AS523" s="521">
        <f t="shared" si="114"/>
        <v>1</v>
      </c>
      <c r="AT523" s="521">
        <f t="shared" si="115"/>
        <v>1</v>
      </c>
      <c r="AU523" s="521">
        <f t="shared" si="116"/>
        <v>1</v>
      </c>
      <c r="AV523" s="521" t="str">
        <f t="shared" si="117"/>
        <v>.</v>
      </c>
    </row>
    <row r="524" spans="1:48" ht="15" customHeight="1">
      <c r="A524" s="18" t="s">
        <v>1485</v>
      </c>
      <c r="B524" s="18" t="s">
        <v>1471</v>
      </c>
      <c r="C524" s="511">
        <v>44624</v>
      </c>
      <c r="D524" s="18" t="s">
        <v>252</v>
      </c>
      <c r="E524" s="18" t="s">
        <v>261</v>
      </c>
      <c r="F524" s="512" t="s">
        <v>1486</v>
      </c>
      <c r="G524" s="538" t="s">
        <v>314</v>
      </c>
      <c r="H524" s="513" t="s">
        <v>309</v>
      </c>
      <c r="I524" s="41" t="s">
        <v>321</v>
      </c>
      <c r="J524" s="276" t="str">
        <f>VLOOKUP($I524,'Price List, Weapons &amp; Items'!A:B,2,0)</f>
        <v>Humanitarian</v>
      </c>
      <c r="K524" s="276" t="str">
        <f>IF(I524=".",I524,VLOOKUP($I524,'Price List, Weapons &amp; Items'!A:C,3,0))</f>
        <v>.</v>
      </c>
      <c r="L524" s="514">
        <f>VLOOKUP(I524,'Price List, Weapons &amp; Items'!A:D,4,0)</f>
        <v>0</v>
      </c>
      <c r="M524" s="515" t="s">
        <v>264</v>
      </c>
      <c r="N524" s="515" t="s">
        <v>232</v>
      </c>
      <c r="O524" s="516" t="str">
        <f>VLOOKUP($I524,'Price List, Weapons &amp; Items'!A:F,6,0)</f>
        <v>.</v>
      </c>
      <c r="P524" s="513" t="str">
        <f t="shared" si="108"/>
        <v>.</v>
      </c>
      <c r="Q524" s="513" t="str">
        <f t="shared" si="109"/>
        <v>.</v>
      </c>
      <c r="R524" s="513" t="str">
        <f t="shared" si="110"/>
        <v/>
      </c>
      <c r="S524" s="513" t="str">
        <f>IF(AND(AD524=1,R524&lt;&gt;".")=TRUE,R524/VLOOKUP(G524,'Exchange rates'!B:C,2,0),IF(R524=".",".",""))</f>
        <v/>
      </c>
      <c r="T524" s="513" t="str">
        <f>IF(AD524=1,IF(AF524="Value is not given at all",".",IF(AF524="Value is given by the source",S524,IF(AF524="Value is calculated with prices",(IF(SUMIFS(Q:Q,A:A,A524)&gt;0,SUMIFS(Q:Q,A:A,A524),"."))/VLOOKUP("USD",'Exchange rates'!B:C,2,0),"Error with coding"))),"")</f>
        <v/>
      </c>
      <c r="U524" s="39" t="s">
        <v>233</v>
      </c>
      <c r="V524" s="376" t="s">
        <v>1487</v>
      </c>
      <c r="W524" s="376" t="s">
        <v>1488</v>
      </c>
      <c r="X524" s="376" t="s">
        <v>1489</v>
      </c>
      <c r="Y524" s="528" t="s">
        <v>232</v>
      </c>
      <c r="Z524" s="39">
        <v>0</v>
      </c>
      <c r="AA524" s="518">
        <v>0</v>
      </c>
      <c r="AB524" s="394" t="s">
        <v>1490</v>
      </c>
      <c r="AC524" s="519" t="str">
        <f>""</f>
        <v/>
      </c>
      <c r="AD524" s="520">
        <v>0</v>
      </c>
      <c r="AE524" s="520" t="s">
        <v>237</v>
      </c>
      <c r="AF524" s="520" t="s">
        <v>237</v>
      </c>
      <c r="AG524" s="520">
        <v>1</v>
      </c>
      <c r="AH524" s="520">
        <v>3</v>
      </c>
      <c r="AI524" s="520">
        <v>0</v>
      </c>
      <c r="AJ524" s="520">
        <f>VLOOKUP($I524,'Price List, Weapons &amp; Items'!A:E,5,0)</f>
        <v>0</v>
      </c>
      <c r="AK524" s="520">
        <f t="shared" si="111"/>
        <v>0</v>
      </c>
      <c r="AL524" s="520">
        <f t="shared" si="112"/>
        <v>0</v>
      </c>
      <c r="AM524" s="520">
        <f t="shared" si="113"/>
        <v>0</v>
      </c>
      <c r="AN524" s="521" t="str">
        <f>VLOOKUP($I524,'Price List, Weapons &amp; Items'!A:K,COLUMN('Price List, Weapons &amp; Items'!$I$1),0)</f>
        <v>Media reports (incl. social media)</v>
      </c>
      <c r="AO524" s="521" t="str">
        <f>IF(I524=".",".",VLOOKUP($I524,'Price List, Weapons &amp; Items'!A:I,3,0))</f>
        <v>.</v>
      </c>
      <c r="AP524" s="517" t="str">
        <f t="shared" ca="1" si="107"/>
        <v/>
      </c>
      <c r="AQ524" s="521">
        <f>VLOOKUP($I524,'Price List, Weapons &amp; Items'!A:K,COLUMN('Price List, Weapons &amp; Items'!$K$1),0)</f>
        <v>0</v>
      </c>
      <c r="AS524" s="521">
        <f t="shared" si="114"/>
        <v>1</v>
      </c>
      <c r="AT524" s="521">
        <f t="shared" si="115"/>
        <v>1</v>
      </c>
      <c r="AU524" s="521">
        <f t="shared" si="116"/>
        <v>1</v>
      </c>
      <c r="AV524" s="521" t="str">
        <f t="shared" si="117"/>
        <v>.</v>
      </c>
    </row>
    <row r="525" spans="1:48" ht="15" customHeight="1">
      <c r="A525" s="18" t="s">
        <v>1485</v>
      </c>
      <c r="B525" s="18" t="s">
        <v>1471</v>
      </c>
      <c r="C525" s="511">
        <v>44624</v>
      </c>
      <c r="D525" s="18" t="s">
        <v>252</v>
      </c>
      <c r="E525" s="18" t="s">
        <v>261</v>
      </c>
      <c r="F525" s="512" t="s">
        <v>1486</v>
      </c>
      <c r="G525" s="538" t="s">
        <v>314</v>
      </c>
      <c r="H525" s="513" t="s">
        <v>309</v>
      </c>
      <c r="I525" s="41" t="s">
        <v>843</v>
      </c>
      <c r="J525" s="276" t="str">
        <f>VLOOKUP($I525,'Price List, Weapons &amp; Items'!A:B,2,0)</f>
        <v>Military equipment</v>
      </c>
      <c r="K525" s="276" t="str">
        <f>IF(I525=".",I525,VLOOKUP($I525,'Price List, Weapons &amp; Items'!A:C,3,0))</f>
        <v>.</v>
      </c>
      <c r="L525" s="514">
        <f>VLOOKUP(I525,'Price List, Weapons &amp; Items'!A:D,4,0)</f>
        <v>0</v>
      </c>
      <c r="M525" s="515">
        <v>100000</v>
      </c>
      <c r="N525" s="515" t="s">
        <v>232</v>
      </c>
      <c r="O525" s="516">
        <f>VLOOKUP($I525,'Price List, Weapons &amp; Items'!A:F,6,0)</f>
        <v>22</v>
      </c>
      <c r="P525" s="513">
        <f t="shared" si="108"/>
        <v>2200000</v>
      </c>
      <c r="Q525" s="513" t="str">
        <f t="shared" si="109"/>
        <v>.</v>
      </c>
      <c r="R525" s="513" t="str">
        <f t="shared" si="110"/>
        <v/>
      </c>
      <c r="S525" s="513" t="str">
        <f>IF(AND(AD525=1,R525&lt;&gt;".")=TRUE,R525/VLOOKUP(G525,'Exchange rates'!B:C,2,0),IF(R525=".",".",""))</f>
        <v/>
      </c>
      <c r="T525" s="513" t="str">
        <f>IF(AD525=1,IF(AF525="Value is not given at all",".",IF(AF525="Value is given by the source",S525,IF(AF525="Value is calculated with prices",(IF(SUMIFS(Q:Q,A:A,A525)&gt;0,SUMIFS(Q:Q,A:A,A525),"."))/VLOOKUP("USD",'Exchange rates'!B:C,2,0),"Error with coding"))),"")</f>
        <v/>
      </c>
      <c r="U525" s="39" t="s">
        <v>233</v>
      </c>
      <c r="V525" s="376" t="s">
        <v>1487</v>
      </c>
      <c r="W525" s="376" t="s">
        <v>1488</v>
      </c>
      <c r="X525" s="376" t="s">
        <v>1489</v>
      </c>
      <c r="Y525" s="835" t="s">
        <v>1491</v>
      </c>
      <c r="Z525" s="39">
        <v>0</v>
      </c>
      <c r="AA525" s="518">
        <v>0</v>
      </c>
      <c r="AB525" s="394" t="s">
        <v>1490</v>
      </c>
      <c r="AC525" s="519" t="str">
        <f>""</f>
        <v/>
      </c>
      <c r="AD525" s="520">
        <v>0</v>
      </c>
      <c r="AE525" s="520" t="s">
        <v>237</v>
      </c>
      <c r="AF525" s="520" t="s">
        <v>237</v>
      </c>
      <c r="AG525" s="520">
        <v>1</v>
      </c>
      <c r="AH525" s="520">
        <v>3</v>
      </c>
      <c r="AI525" s="520">
        <v>0</v>
      </c>
      <c r="AJ525" s="520">
        <f>VLOOKUP($I525,'Price List, Weapons &amp; Items'!A:E,5,0)</f>
        <v>0</v>
      </c>
      <c r="AK525" s="520">
        <f t="shared" si="111"/>
        <v>0</v>
      </c>
      <c r="AL525" s="520">
        <f t="shared" si="112"/>
        <v>0</v>
      </c>
      <c r="AM525" s="520">
        <f t="shared" si="113"/>
        <v>0</v>
      </c>
      <c r="AN525" s="521" t="str">
        <f>VLOOKUP($I525,'Price List, Weapons &amp; Items'!A:K,COLUMN('Price List, Weapons &amp; Items'!$I$1),0)</f>
        <v>Online marketplaces and stores</v>
      </c>
      <c r="AO525" s="521" t="str">
        <f>IF(I525=".",".",VLOOKUP($I525,'Price List, Weapons &amp; Items'!A:I,3,0))</f>
        <v>.</v>
      </c>
      <c r="AP525" s="517" t="str">
        <f t="shared" ca="1" si="107"/>
        <v/>
      </c>
      <c r="AQ525" s="521">
        <f>VLOOKUP($I525,'Price List, Weapons &amp; Items'!A:K,COLUMN('Price List, Weapons &amp; Items'!$K$1),0)</f>
        <v>2</v>
      </c>
      <c r="AS525" s="521">
        <f t="shared" si="114"/>
        <v>1</v>
      </c>
      <c r="AT525" s="521">
        <f t="shared" si="115"/>
        <v>1</v>
      </c>
      <c r="AU525" s="521">
        <f t="shared" si="116"/>
        <v>1</v>
      </c>
      <c r="AV525" s="521" t="str">
        <f t="shared" si="117"/>
        <v>.</v>
      </c>
    </row>
    <row r="526" spans="1:48" ht="15" customHeight="1">
      <c r="A526" s="18" t="s">
        <v>1485</v>
      </c>
      <c r="B526" s="18" t="s">
        <v>1471</v>
      </c>
      <c r="C526" s="511">
        <v>44624</v>
      </c>
      <c r="D526" s="18" t="s">
        <v>252</v>
      </c>
      <c r="E526" s="18" t="s">
        <v>261</v>
      </c>
      <c r="F526" s="512" t="s">
        <v>1486</v>
      </c>
      <c r="G526" s="538" t="s">
        <v>314</v>
      </c>
      <c r="H526" s="513" t="s">
        <v>309</v>
      </c>
      <c r="I526" s="41" t="s">
        <v>409</v>
      </c>
      <c r="J526" s="276" t="str">
        <f>VLOOKUP($I526,'Price List, Weapons &amp; Items'!A:B,2,0)</f>
        <v>Military equipment</v>
      </c>
      <c r="K526" s="276" t="str">
        <f>IF(I526=".",I526,VLOOKUP($I526,'Price List, Weapons &amp; Items'!A:C,3,0))</f>
        <v>.</v>
      </c>
      <c r="L526" s="514">
        <f>VLOOKUP(I526,'Price List, Weapons &amp; Items'!A:D,4,0)</f>
        <v>0</v>
      </c>
      <c r="M526" s="515" t="s">
        <v>264</v>
      </c>
      <c r="N526" s="515" t="s">
        <v>232</v>
      </c>
      <c r="O526" s="516">
        <f>VLOOKUP($I526,'Price List, Weapons &amp; Items'!A:F,6,0)</f>
        <v>59.234999999999999</v>
      </c>
      <c r="P526" s="513" t="str">
        <f t="shared" ref="P526:P529" si="118">IF(TYPE(M526)=1,IF(TYPE(O526)=1,M526*O526,"No price"),".")</f>
        <v>.</v>
      </c>
      <c r="Q526" s="513" t="str">
        <f t="shared" ref="Q526:Q529" si="119">IF(TYPE(N526)=1,IF(TYPE(O526)=1,N526*O526,"No price"),".")</f>
        <v>.</v>
      </c>
      <c r="R526" s="513" t="str">
        <f t="shared" si="110"/>
        <v/>
      </c>
      <c r="S526" s="513" t="str">
        <f>IF(AND(AD526=1,R526&lt;&gt;".")=TRUE,R526/VLOOKUP(G526,'Exchange rates'!B:C,2,0),IF(R526=".",".",""))</f>
        <v/>
      </c>
      <c r="T526" s="513" t="str">
        <f>IF(AD526=1,IF(AF526="Value is not given at all",".",IF(AF526="Value is given by the source",S526,IF(AF526="Value is calculated with prices",(IF(SUMIFS(Q:Q,A:A,A526)&gt;0,SUMIFS(Q:Q,A:A,A526),"."))/VLOOKUP("USD",'Exchange rates'!B:C,2,0),"Error with coding"))),"")</f>
        <v/>
      </c>
      <c r="U526" s="39" t="s">
        <v>233</v>
      </c>
      <c r="V526" s="376" t="s">
        <v>1487</v>
      </c>
      <c r="W526" s="376" t="s">
        <v>1488</v>
      </c>
      <c r="X526" s="376" t="s">
        <v>1489</v>
      </c>
      <c r="Y526" s="835" t="s">
        <v>1491</v>
      </c>
      <c r="Z526" s="39">
        <v>0</v>
      </c>
      <c r="AA526" s="518">
        <v>0</v>
      </c>
      <c r="AB526" s="394" t="s">
        <v>1490</v>
      </c>
      <c r="AC526" s="519" t="str">
        <f>""</f>
        <v/>
      </c>
      <c r="AD526" s="520">
        <v>0</v>
      </c>
      <c r="AE526" s="520" t="s">
        <v>237</v>
      </c>
      <c r="AF526" s="520" t="s">
        <v>237</v>
      </c>
      <c r="AG526" s="520">
        <v>1</v>
      </c>
      <c r="AH526" s="520">
        <v>3</v>
      </c>
      <c r="AI526" s="520">
        <v>0</v>
      </c>
      <c r="AJ526" s="520">
        <f>VLOOKUP($I526,'Price List, Weapons &amp; Items'!A:E,5,0)</f>
        <v>0</v>
      </c>
      <c r="AK526" s="520">
        <f t="shared" si="111"/>
        <v>0</v>
      </c>
      <c r="AL526" s="520">
        <f t="shared" si="112"/>
        <v>0</v>
      </c>
      <c r="AM526" s="520">
        <f t="shared" si="113"/>
        <v>0</v>
      </c>
      <c r="AN526" s="521" t="str">
        <f>VLOOKUP($I526,'Price List, Weapons &amp; Items'!A:K,COLUMN('Price List, Weapons &amp; Items'!$I$1),0)</f>
        <v>Government information</v>
      </c>
      <c r="AO526" s="521" t="str">
        <f>IF(I526=".",".",VLOOKUP($I526,'Price List, Weapons &amp; Items'!A:I,3,0))</f>
        <v>.</v>
      </c>
      <c r="AP526" s="517" t="str">
        <f t="shared" ca="1" si="107"/>
        <v/>
      </c>
      <c r="AQ526" s="521">
        <f>VLOOKUP($I526,'Price List, Weapons &amp; Items'!A:K,COLUMN('Price List, Weapons &amp; Items'!$K$1),0)</f>
        <v>2</v>
      </c>
      <c r="AS526" s="521">
        <f t="shared" si="114"/>
        <v>1</v>
      </c>
      <c r="AT526" s="521">
        <f t="shared" si="115"/>
        <v>1</v>
      </c>
      <c r="AU526" s="521">
        <f t="shared" si="116"/>
        <v>1</v>
      </c>
      <c r="AV526" s="521" t="str">
        <f t="shared" si="117"/>
        <v>.</v>
      </c>
    </row>
    <row r="527" spans="1:48" ht="15" customHeight="1">
      <c r="A527" s="18" t="s">
        <v>1485</v>
      </c>
      <c r="B527" s="18" t="s">
        <v>1471</v>
      </c>
      <c r="C527" s="511">
        <v>44624</v>
      </c>
      <c r="D527" s="18" t="s">
        <v>252</v>
      </c>
      <c r="E527" s="18" t="s">
        <v>261</v>
      </c>
      <c r="F527" s="512" t="s">
        <v>1486</v>
      </c>
      <c r="G527" s="538" t="s">
        <v>314</v>
      </c>
      <c r="H527" s="513" t="s">
        <v>309</v>
      </c>
      <c r="I527" s="41" t="s">
        <v>271</v>
      </c>
      <c r="J527" s="276" t="str">
        <f>VLOOKUP($I527,'Price List, Weapons &amp; Items'!A:B,2,0)</f>
        <v>Humanitarian</v>
      </c>
      <c r="K527" s="276" t="str">
        <f>IF(I527=".",I527,VLOOKUP($I527,'Price List, Weapons &amp; Items'!A:C,3,0))</f>
        <v>.</v>
      </c>
      <c r="L527" s="514">
        <f>VLOOKUP(I527,'Price List, Weapons &amp; Items'!A:D,4,0)</f>
        <v>0</v>
      </c>
      <c r="M527" s="515" t="s">
        <v>264</v>
      </c>
      <c r="N527" s="515" t="s">
        <v>232</v>
      </c>
      <c r="O527" s="516" t="str">
        <f>VLOOKUP($I527,'Price List, Weapons &amp; Items'!A:F,6,0)</f>
        <v>.</v>
      </c>
      <c r="P527" s="513" t="str">
        <f t="shared" si="118"/>
        <v>.</v>
      </c>
      <c r="Q527" s="513" t="str">
        <f t="shared" si="119"/>
        <v>.</v>
      </c>
      <c r="R527" s="513" t="str">
        <f t="shared" si="110"/>
        <v/>
      </c>
      <c r="S527" s="513" t="str">
        <f>IF(AND(AD527=1,R527&lt;&gt;".")=TRUE,R527/VLOOKUP(G527,'Exchange rates'!B:C,2,0),IF(R527=".",".",""))</f>
        <v/>
      </c>
      <c r="T527" s="513" t="str">
        <f>IF(AD527=1,IF(AF527="Value is not given at all",".",IF(AF527="Value is given by the source",S527,IF(AF527="Value is calculated with prices",(IF(SUMIFS(Q:Q,A:A,A527)&gt;0,SUMIFS(Q:Q,A:A,A527),"."))/VLOOKUP("USD",'Exchange rates'!B:C,2,0),"Error with coding"))),"")</f>
        <v/>
      </c>
      <c r="U527" s="39" t="s">
        <v>233</v>
      </c>
      <c r="V527" s="376" t="s">
        <v>1487</v>
      </c>
      <c r="W527" s="376" t="s">
        <v>1488</v>
      </c>
      <c r="X527" s="376" t="s">
        <v>1489</v>
      </c>
      <c r="Y527" s="835" t="s">
        <v>1491</v>
      </c>
      <c r="Z527" s="39">
        <v>0</v>
      </c>
      <c r="AA527" s="518">
        <v>0</v>
      </c>
      <c r="AB527" s="394" t="s">
        <v>1490</v>
      </c>
      <c r="AC527" s="519" t="str">
        <f>""</f>
        <v/>
      </c>
      <c r="AD527" s="520">
        <v>0</v>
      </c>
      <c r="AE527" s="520" t="s">
        <v>237</v>
      </c>
      <c r="AF527" s="520" t="s">
        <v>237</v>
      </c>
      <c r="AG527" s="520">
        <v>1</v>
      </c>
      <c r="AH527" s="520">
        <v>3</v>
      </c>
      <c r="AI527" s="520">
        <v>0</v>
      </c>
      <c r="AJ527" s="520">
        <f>VLOOKUP($I527,'Price List, Weapons &amp; Items'!A:E,5,0)</f>
        <v>0</v>
      </c>
      <c r="AK527" s="520">
        <f t="shared" si="111"/>
        <v>0</v>
      </c>
      <c r="AL527" s="520">
        <f t="shared" si="112"/>
        <v>0</v>
      </c>
      <c r="AM527" s="520">
        <f t="shared" si="113"/>
        <v>0</v>
      </c>
      <c r="AN527" s="521" t="str">
        <f>VLOOKUP($I527,'Price List, Weapons &amp; Items'!A:K,COLUMN('Price List, Weapons &amp; Items'!$I$1),0)</f>
        <v>.</v>
      </c>
      <c r="AO527" s="521" t="str">
        <f>IF(I527=".",".",VLOOKUP($I527,'Price List, Weapons &amp; Items'!A:I,3,0))</f>
        <v>.</v>
      </c>
      <c r="AP527" s="517" t="str">
        <f t="shared" ca="1" si="107"/>
        <v/>
      </c>
      <c r="AQ527" s="521">
        <f>VLOOKUP($I527,'Price List, Weapons &amp; Items'!A:K,COLUMN('Price List, Weapons &amp; Items'!$K$1),0)</f>
        <v>0</v>
      </c>
      <c r="AS527" s="521">
        <f t="shared" si="114"/>
        <v>1</v>
      </c>
      <c r="AT527" s="521">
        <f t="shared" si="115"/>
        <v>1</v>
      </c>
      <c r="AU527" s="521">
        <f t="shared" si="116"/>
        <v>1</v>
      </c>
      <c r="AV527" s="521" t="str">
        <f t="shared" si="117"/>
        <v>.</v>
      </c>
    </row>
    <row r="528" spans="1:48" ht="15" customHeight="1">
      <c r="A528" s="18" t="s">
        <v>1485</v>
      </c>
      <c r="B528" s="18" t="s">
        <v>1471</v>
      </c>
      <c r="C528" s="511">
        <v>44624</v>
      </c>
      <c r="D528" s="18" t="s">
        <v>252</v>
      </c>
      <c r="E528" s="18" t="s">
        <v>261</v>
      </c>
      <c r="F528" s="512" t="s">
        <v>1486</v>
      </c>
      <c r="G528" s="538" t="s">
        <v>314</v>
      </c>
      <c r="H528" s="513" t="s">
        <v>309</v>
      </c>
      <c r="I528" s="41" t="s">
        <v>1267</v>
      </c>
      <c r="J528" s="276" t="str">
        <f>VLOOKUP($I528,'Price List, Weapons &amp; Items'!A:B,2,0)</f>
        <v>Military equipment</v>
      </c>
      <c r="K528" s="276" t="str">
        <f>IF(I528=".",I528,VLOOKUP($I528,'Price List, Weapons &amp; Items'!A:C,3,0))</f>
        <v>radar and imagery systems</v>
      </c>
      <c r="L528" s="514">
        <f>VLOOKUP(I528,'Price List, Weapons &amp; Items'!A:D,4,0)</f>
        <v>0</v>
      </c>
      <c r="M528" s="515" t="s">
        <v>264</v>
      </c>
      <c r="N528" s="515" t="s">
        <v>232</v>
      </c>
      <c r="O528" s="516">
        <f>VLOOKUP($I528,'Price List, Weapons &amp; Items'!A:F,6,0)</f>
        <v>5000</v>
      </c>
      <c r="P528" s="513" t="str">
        <f t="shared" si="118"/>
        <v>.</v>
      </c>
      <c r="Q528" s="513" t="str">
        <f t="shared" si="119"/>
        <v>.</v>
      </c>
      <c r="R528" s="513" t="str">
        <f t="shared" si="110"/>
        <v/>
      </c>
      <c r="S528" s="513" t="str">
        <f>IF(AND(AD528=1,R528&lt;&gt;".")=TRUE,R528/VLOOKUP(G528,'Exchange rates'!B:C,2,0),IF(R528=".",".",""))</f>
        <v/>
      </c>
      <c r="T528" s="513" t="str">
        <f>IF(AD528=1,IF(AF528="Value is not given at all",".",IF(AF528="Value is given by the source",S528,IF(AF528="Value is calculated with prices",(IF(SUMIFS(Q:Q,A:A,A528)&gt;0,SUMIFS(Q:Q,A:A,A528),"."))/VLOOKUP("USD",'Exchange rates'!B:C,2,0),"Error with coding"))),"")</f>
        <v/>
      </c>
      <c r="U528" s="39" t="s">
        <v>233</v>
      </c>
      <c r="V528" s="376" t="s">
        <v>1487</v>
      </c>
      <c r="W528" s="376" t="s">
        <v>1488</v>
      </c>
      <c r="X528" s="376" t="s">
        <v>1489</v>
      </c>
      <c r="Y528" s="835" t="s">
        <v>1491</v>
      </c>
      <c r="Z528" s="39">
        <v>0</v>
      </c>
      <c r="AA528" s="518">
        <v>0</v>
      </c>
      <c r="AB528" s="394" t="s">
        <v>1490</v>
      </c>
      <c r="AC528" s="519" t="str">
        <f>""</f>
        <v/>
      </c>
      <c r="AD528" s="520">
        <v>0</v>
      </c>
      <c r="AE528" s="520" t="s">
        <v>237</v>
      </c>
      <c r="AF528" s="520" t="s">
        <v>237</v>
      </c>
      <c r="AG528" s="520">
        <v>1</v>
      </c>
      <c r="AH528" s="520">
        <v>3</v>
      </c>
      <c r="AI528" s="520">
        <v>0</v>
      </c>
      <c r="AJ528" s="520">
        <f>VLOOKUP($I528,'Price List, Weapons &amp; Items'!A:E,5,0)</f>
        <v>0</v>
      </c>
      <c r="AK528" s="520">
        <f t="shared" si="111"/>
        <v>0</v>
      </c>
      <c r="AL528" s="520">
        <f t="shared" si="112"/>
        <v>0</v>
      </c>
      <c r="AM528" s="520">
        <f t="shared" si="113"/>
        <v>0</v>
      </c>
      <c r="AN528" s="521" t="str">
        <f>VLOOKUP($I528,'Price List, Weapons &amp; Items'!A:K,COLUMN('Price List, Weapons &amp; Items'!$I$1),0)</f>
        <v>Miscellaneous</v>
      </c>
      <c r="AO528" s="521" t="str">
        <f>IF(I528=".",".",VLOOKUP($I528,'Price List, Weapons &amp; Items'!A:I,3,0))</f>
        <v>radar and imagery systems</v>
      </c>
      <c r="AP528" s="517" t="str">
        <f t="shared" ca="1" si="107"/>
        <v/>
      </c>
      <c r="AQ528" s="521">
        <f>VLOOKUP($I528,'Price List, Weapons &amp; Items'!A:K,COLUMN('Price List, Weapons &amp; Items'!$K$1),0)</f>
        <v>1</v>
      </c>
      <c r="AS528" s="521">
        <f t="shared" si="114"/>
        <v>1</v>
      </c>
      <c r="AT528" s="521">
        <f t="shared" si="115"/>
        <v>1</v>
      </c>
      <c r="AU528" s="521">
        <f t="shared" si="116"/>
        <v>1</v>
      </c>
      <c r="AV528" s="521" t="str">
        <f t="shared" si="117"/>
        <v>.</v>
      </c>
    </row>
    <row r="529" spans="1:48" ht="15" customHeight="1">
      <c r="A529" s="18" t="s">
        <v>1485</v>
      </c>
      <c r="B529" s="18" t="s">
        <v>1471</v>
      </c>
      <c r="C529" s="511">
        <v>44624</v>
      </c>
      <c r="D529" s="18" t="s">
        <v>252</v>
      </c>
      <c r="E529" s="18" t="s">
        <v>261</v>
      </c>
      <c r="F529" s="512" t="s">
        <v>1486</v>
      </c>
      <c r="G529" s="538" t="s">
        <v>314</v>
      </c>
      <c r="H529" s="513" t="s">
        <v>309</v>
      </c>
      <c r="I529" s="41" t="s">
        <v>1266</v>
      </c>
      <c r="J529" s="276" t="str">
        <f>VLOOKUP($I529,'Price List, Weapons &amp; Items'!A:B,2,0)</f>
        <v>Military equipment</v>
      </c>
      <c r="K529" s="276" t="str">
        <f>IF(I529=".",I529,VLOOKUP($I529,'Price List, Weapons &amp; Items'!A:C,3,0))</f>
        <v>.</v>
      </c>
      <c r="L529" s="514">
        <f>VLOOKUP(I529,'Price List, Weapons &amp; Items'!A:D,4,0)</f>
        <v>0</v>
      </c>
      <c r="M529" s="515" t="s">
        <v>264</v>
      </c>
      <c r="N529" s="515" t="s">
        <v>232</v>
      </c>
      <c r="O529" s="516">
        <f>VLOOKUP($I529,'Price List, Weapons &amp; Items'!A:F,6,0)</f>
        <v>70</v>
      </c>
      <c r="P529" s="513" t="str">
        <f t="shared" si="118"/>
        <v>.</v>
      </c>
      <c r="Q529" s="513" t="str">
        <f t="shared" si="119"/>
        <v>.</v>
      </c>
      <c r="R529" s="513" t="str">
        <f t="shared" si="110"/>
        <v/>
      </c>
      <c r="S529" s="513" t="str">
        <f>IF(AND(AD529=1,R529&lt;&gt;".")=TRUE,R529/VLOOKUP(G529,'Exchange rates'!B:C,2,0),IF(R529=".",".",""))</f>
        <v/>
      </c>
      <c r="T529" s="513" t="str">
        <f>IF(AD529=1,IF(AF529="Value is not given at all",".",IF(AF529="Value is given by the source",S529,IF(AF529="Value is calculated with prices",(IF(SUMIFS(Q:Q,A:A,A529)&gt;0,SUMIFS(Q:Q,A:A,A529),"."))/VLOOKUP("USD",'Exchange rates'!B:C,2,0),"Error with coding"))),"")</f>
        <v/>
      </c>
      <c r="U529" s="39" t="s">
        <v>233</v>
      </c>
      <c r="V529" s="376" t="s">
        <v>1487</v>
      </c>
      <c r="W529" s="376" t="s">
        <v>1488</v>
      </c>
      <c r="X529" s="376" t="s">
        <v>1489</v>
      </c>
      <c r="Y529" s="835" t="s">
        <v>1491</v>
      </c>
      <c r="Z529" s="39">
        <v>0</v>
      </c>
      <c r="AA529" s="518">
        <v>0</v>
      </c>
      <c r="AB529" s="394" t="s">
        <v>1490</v>
      </c>
      <c r="AC529" s="519" t="str">
        <f>""</f>
        <v/>
      </c>
      <c r="AD529" s="520">
        <v>0</v>
      </c>
      <c r="AE529" s="520" t="s">
        <v>237</v>
      </c>
      <c r="AF529" s="520" t="s">
        <v>237</v>
      </c>
      <c r="AG529" s="520">
        <v>1</v>
      </c>
      <c r="AH529" s="520">
        <v>3</v>
      </c>
      <c r="AI529" s="520">
        <v>0</v>
      </c>
      <c r="AJ529" s="520">
        <f>VLOOKUP($I529,'Price List, Weapons &amp; Items'!A:E,5,0)</f>
        <v>0</v>
      </c>
      <c r="AK529" s="520">
        <f t="shared" si="111"/>
        <v>0</v>
      </c>
      <c r="AL529" s="520">
        <f t="shared" si="112"/>
        <v>0</v>
      </c>
      <c r="AM529" s="520">
        <f t="shared" si="113"/>
        <v>0</v>
      </c>
      <c r="AN529" s="521" t="str">
        <f>VLOOKUP($I529,'Price List, Weapons &amp; Items'!A:K,COLUMN('Price List, Weapons &amp; Items'!$I$1),0)</f>
        <v>Online marketplaces and stores</v>
      </c>
      <c r="AO529" s="521" t="str">
        <f>IF(I529=".",".",VLOOKUP($I529,'Price List, Weapons &amp; Items'!A:I,3,0))</f>
        <v>.</v>
      </c>
      <c r="AP529" s="517" t="str">
        <f t="shared" ca="1" si="107"/>
        <v/>
      </c>
      <c r="AQ529" s="521">
        <f>VLOOKUP($I529,'Price List, Weapons &amp; Items'!A:K,COLUMN('Price List, Weapons &amp; Items'!$K$1),0)</f>
        <v>1</v>
      </c>
      <c r="AS529" s="521">
        <f t="shared" si="114"/>
        <v>1</v>
      </c>
      <c r="AT529" s="521">
        <f t="shared" si="115"/>
        <v>1</v>
      </c>
      <c r="AU529" s="521">
        <f t="shared" si="116"/>
        <v>1</v>
      </c>
      <c r="AV529" s="521" t="str">
        <f t="shared" si="117"/>
        <v>.</v>
      </c>
    </row>
    <row r="530" spans="1:48" ht="15" customHeight="1">
      <c r="A530" s="18" t="s">
        <v>1492</v>
      </c>
      <c r="B530" s="18" t="s">
        <v>1471</v>
      </c>
      <c r="C530" s="511">
        <v>44670</v>
      </c>
      <c r="D530" s="18" t="s">
        <v>252</v>
      </c>
      <c r="E530" s="18" t="s">
        <v>261</v>
      </c>
      <c r="F530" s="512" t="s">
        <v>1493</v>
      </c>
      <c r="G530" s="538" t="s">
        <v>314</v>
      </c>
      <c r="H530" s="513" t="s">
        <v>309</v>
      </c>
      <c r="I530" s="537" t="s">
        <v>1494</v>
      </c>
      <c r="J530" s="276" t="str">
        <f>VLOOKUP($I530,'Price List, Weapons &amp; Items'!A:B,2,0)</f>
        <v>Military equipment</v>
      </c>
      <c r="K530" s="276" t="str">
        <f>IF(I530=".",I530,VLOOKUP($I530,'Price List, Weapons &amp; Items'!A:C,3,0))</f>
        <v>.</v>
      </c>
      <c r="L530" s="514">
        <f>VLOOKUP(I530,'Price List, Weapons &amp; Items'!A:D,4,0)</f>
        <v>0</v>
      </c>
      <c r="M530" s="515" t="s">
        <v>264</v>
      </c>
      <c r="N530" s="515" t="s">
        <v>232</v>
      </c>
      <c r="O530" s="516">
        <f>VLOOKUP($I530,'Price List, Weapons &amp; Items'!A:F,6,0)</f>
        <v>0.4</v>
      </c>
      <c r="P530" s="513" t="str">
        <f t="shared" si="108"/>
        <v>.</v>
      </c>
      <c r="Q530" s="513" t="str">
        <f t="shared" si="109"/>
        <v>.</v>
      </c>
      <c r="R530" s="513">
        <f t="shared" si="110"/>
        <v>180000</v>
      </c>
      <c r="S530" s="513">
        <f>IF(AND(AD530=1,R530&lt;&gt;".")=TRUE,R530/VLOOKUP(G530,'Exchange rates'!B:C,2,0),IF(R530=".",".",""))</f>
        <v>179372.19730941704</v>
      </c>
      <c r="T530" s="513" t="str">
        <f>IF(AD530=1,IF(AF530="Value is not given at all",".",IF(AF530="Value is given by the source",S530,IF(AF530="Value is calculated with prices",(IF(SUMIFS(Q:Q,A:A,A530)&gt;0,SUMIFS(Q:Q,A:A,A530),"."))/VLOOKUP("USD",'Exchange rates'!B:C,2,0),"Error with coding"))),"")</f>
        <v>.</v>
      </c>
      <c r="U530" s="39" t="s">
        <v>372</v>
      </c>
      <c r="V530" s="376" t="s">
        <v>1495</v>
      </c>
      <c r="W530" s="528" t="s">
        <v>232</v>
      </c>
      <c r="X530" s="528" t="s">
        <v>232</v>
      </c>
      <c r="Y530" s="528" t="s">
        <v>232</v>
      </c>
      <c r="Z530" s="39">
        <v>0</v>
      </c>
      <c r="AA530" s="518">
        <v>0</v>
      </c>
      <c r="AB530" s="394" t="s">
        <v>1496</v>
      </c>
      <c r="AC530" s="519" t="str">
        <f>""</f>
        <v/>
      </c>
      <c r="AD530" s="520">
        <v>1</v>
      </c>
      <c r="AE530" s="520" t="s">
        <v>300</v>
      </c>
      <c r="AF530" s="520" t="s">
        <v>237</v>
      </c>
      <c r="AG530" s="520">
        <v>1</v>
      </c>
      <c r="AH530" s="520">
        <v>4</v>
      </c>
      <c r="AI530" s="520">
        <v>0</v>
      </c>
      <c r="AJ530" s="520">
        <f>VLOOKUP($I530,'Price List, Weapons &amp; Items'!A:E,5,0)</f>
        <v>0</v>
      </c>
      <c r="AK530" s="520">
        <f t="shared" si="111"/>
        <v>0</v>
      </c>
      <c r="AL530" s="520">
        <f t="shared" si="112"/>
        <v>0</v>
      </c>
      <c r="AM530" s="520">
        <f t="shared" si="113"/>
        <v>0</v>
      </c>
      <c r="AN530" s="521" t="str">
        <f>VLOOKUP($I530,'Price List, Weapons &amp; Items'!A:K,COLUMN('Price List, Weapons &amp; Items'!$I$1),0)</f>
        <v>Online marketplaces and stores</v>
      </c>
      <c r="AO530" s="521" t="str">
        <f>IF(I530=".",".",VLOOKUP($I530,'Price List, Weapons &amp; Items'!A:I,3,0))</f>
        <v>.</v>
      </c>
      <c r="AP530" s="517" t="str">
        <f t="shared" ca="1" si="107"/>
        <v>protective mask with filter; chemical, biological, radiological, nuclear protective equipment; drone</v>
      </c>
      <c r="AQ530" s="521">
        <f>VLOOKUP($I530,'Price List, Weapons &amp; Items'!A:K,COLUMN('Price List, Weapons &amp; Items'!$K$1),0)</f>
        <v>1</v>
      </c>
      <c r="AS530" s="521">
        <f t="shared" si="114"/>
        <v>0</v>
      </c>
      <c r="AT530" s="521">
        <f t="shared" si="115"/>
        <v>1</v>
      </c>
      <c r="AU530" s="521">
        <f t="shared" si="116"/>
        <v>1</v>
      </c>
      <c r="AV530" s="521" t="str">
        <f t="shared" si="117"/>
        <v>.</v>
      </c>
    </row>
    <row r="531" spans="1:48" ht="15" customHeight="1">
      <c r="A531" s="18" t="s">
        <v>1492</v>
      </c>
      <c r="B531" s="18" t="s">
        <v>1471</v>
      </c>
      <c r="C531" s="511">
        <v>44670</v>
      </c>
      <c r="D531" s="18" t="s">
        <v>252</v>
      </c>
      <c r="E531" s="18" t="s">
        <v>261</v>
      </c>
      <c r="F531" s="512" t="s">
        <v>1493</v>
      </c>
      <c r="G531" s="538" t="s">
        <v>314</v>
      </c>
      <c r="H531" s="513" t="s">
        <v>309</v>
      </c>
      <c r="I531" s="537" t="s">
        <v>1497</v>
      </c>
      <c r="J531" s="276" t="str">
        <f>VLOOKUP($I531,'Price List, Weapons &amp; Items'!A:B,2,0)</f>
        <v>Military equipment</v>
      </c>
      <c r="K531" s="276" t="str">
        <f>IF(I531=".",I531,VLOOKUP($I531,'Price List, Weapons &amp; Items'!A:C,3,0))</f>
        <v>.</v>
      </c>
      <c r="L531" s="514">
        <f>VLOOKUP(I531,'Price List, Weapons &amp; Items'!A:D,4,0)</f>
        <v>0</v>
      </c>
      <c r="M531" s="515" t="s">
        <v>264</v>
      </c>
      <c r="N531" s="515" t="s">
        <v>232</v>
      </c>
      <c r="O531" s="516" t="str">
        <f>VLOOKUP($I531,'Price List, Weapons &amp; Items'!A:F,6,0)</f>
        <v>.</v>
      </c>
      <c r="P531" s="513" t="str">
        <f t="shared" si="108"/>
        <v>.</v>
      </c>
      <c r="Q531" s="513" t="str">
        <f t="shared" si="109"/>
        <v>.</v>
      </c>
      <c r="R531" s="513" t="str">
        <f t="shared" si="110"/>
        <v/>
      </c>
      <c r="S531" s="513" t="str">
        <f>IF(AND(AD531=1,R531&lt;&gt;".")=TRUE,R531/VLOOKUP(G531,'Exchange rates'!B:C,2,0),IF(R531=".",".",""))</f>
        <v/>
      </c>
      <c r="T531" s="513" t="str">
        <f>IF(AD531=1,IF(AF531="Value is not given at all",".",IF(AF531="Value is given by the source",S531,IF(AF531="Value is calculated with prices",(IF(SUMIFS(Q:Q,A:A,A531)&gt;0,SUMIFS(Q:Q,A:A,A531),"."))/VLOOKUP("USD",'Exchange rates'!B:C,2,0),"Error with coding"))),"")</f>
        <v/>
      </c>
      <c r="U531" s="39" t="s">
        <v>372</v>
      </c>
      <c r="V531" s="376" t="s">
        <v>1495</v>
      </c>
      <c r="W531" s="528" t="s">
        <v>232</v>
      </c>
      <c r="X531" s="528" t="s">
        <v>232</v>
      </c>
      <c r="Y531" s="528" t="s">
        <v>232</v>
      </c>
      <c r="Z531" s="39">
        <v>0</v>
      </c>
      <c r="AA531" s="518">
        <v>0</v>
      </c>
      <c r="AB531" s="394" t="s">
        <v>1496</v>
      </c>
      <c r="AC531" s="519" t="str">
        <f>""</f>
        <v/>
      </c>
      <c r="AD531" s="520">
        <v>0</v>
      </c>
      <c r="AE531" s="520" t="s">
        <v>237</v>
      </c>
      <c r="AF531" s="520" t="s">
        <v>237</v>
      </c>
      <c r="AG531" s="520">
        <v>1</v>
      </c>
      <c r="AH531" s="520">
        <v>4</v>
      </c>
      <c r="AI531" s="520">
        <v>0</v>
      </c>
      <c r="AJ531" s="520">
        <f>VLOOKUP($I531,'Price List, Weapons &amp; Items'!A:E,5,0)</f>
        <v>0</v>
      </c>
      <c r="AK531" s="520">
        <f t="shared" si="111"/>
        <v>0</v>
      </c>
      <c r="AL531" s="520">
        <f t="shared" si="112"/>
        <v>0</v>
      </c>
      <c r="AM531" s="520">
        <f t="shared" si="113"/>
        <v>0</v>
      </c>
      <c r="AN531" s="521" t="str">
        <f>VLOOKUP($I531,'Price List, Weapons &amp; Items'!A:K,COLUMN('Price List, Weapons &amp; Items'!$I$1),0)</f>
        <v>.</v>
      </c>
      <c r="AO531" s="521" t="str">
        <f>IF(I531=".",".",VLOOKUP($I531,'Price List, Weapons &amp; Items'!A:I,3,0))</f>
        <v>.</v>
      </c>
      <c r="AP531" s="517" t="str">
        <f t="shared" ca="1" si="107"/>
        <v/>
      </c>
      <c r="AQ531" s="521" t="str">
        <f>VLOOKUP($I531,'Price List, Weapons &amp; Items'!A:K,COLUMN('Price List, Weapons &amp; Items'!$K$1),0)</f>
        <v>no price, 0 count</v>
      </c>
      <c r="AS531" s="521">
        <f t="shared" si="114"/>
        <v>0</v>
      </c>
      <c r="AT531" s="521">
        <f t="shared" si="115"/>
        <v>1</v>
      </c>
      <c r="AU531" s="521">
        <f t="shared" si="116"/>
        <v>1</v>
      </c>
      <c r="AV531" s="521" t="str">
        <f t="shared" si="117"/>
        <v>.</v>
      </c>
    </row>
    <row r="532" spans="1:48" ht="15" customHeight="1">
      <c r="A532" s="18" t="s">
        <v>1492</v>
      </c>
      <c r="B532" s="18" t="s">
        <v>1471</v>
      </c>
      <c r="C532" s="511">
        <v>44670</v>
      </c>
      <c r="D532" s="18" t="s">
        <v>252</v>
      </c>
      <c r="E532" s="18" t="s">
        <v>261</v>
      </c>
      <c r="F532" s="512" t="s">
        <v>1493</v>
      </c>
      <c r="G532" s="538" t="s">
        <v>314</v>
      </c>
      <c r="H532" s="513" t="s">
        <v>309</v>
      </c>
      <c r="I532" s="537" t="s">
        <v>859</v>
      </c>
      <c r="J532" s="276" t="str">
        <f>VLOOKUP($I532,'Price List, Weapons &amp; Items'!A:B,2,0)</f>
        <v>Aviation and drones</v>
      </c>
      <c r="K532" s="276" t="str">
        <f>IF(I532=".",I532,VLOOKUP($I532,'Price List, Weapons &amp; Items'!A:C,3,0))</f>
        <v>unknown drone</v>
      </c>
      <c r="L532" s="514">
        <f>VLOOKUP(I532,'Price List, Weapons &amp; Items'!A:D,4,0)</f>
        <v>0</v>
      </c>
      <c r="M532" s="515">
        <v>30</v>
      </c>
      <c r="N532" s="515" t="s">
        <v>232</v>
      </c>
      <c r="O532" s="516">
        <f>VLOOKUP($I532,'Price List, Weapons &amp; Items'!A:F,6,0)</f>
        <v>6000</v>
      </c>
      <c r="P532" s="513">
        <f t="shared" si="108"/>
        <v>180000</v>
      </c>
      <c r="Q532" s="513" t="str">
        <f t="shared" si="109"/>
        <v>.</v>
      </c>
      <c r="R532" s="513" t="str">
        <f t="shared" si="110"/>
        <v/>
      </c>
      <c r="S532" s="513" t="str">
        <f>IF(AND(AD532=1,R532&lt;&gt;".")=TRUE,R532/VLOOKUP(G532,'Exchange rates'!B:C,2,0),IF(R532=".",".",""))</f>
        <v/>
      </c>
      <c r="T532" s="513" t="str">
        <f>IF(AD532=1,IF(AF532="Value is not given at all",".",IF(AF532="Value is given by the source",S532,IF(AF532="Value is calculated with prices",(IF(SUMIFS(Q:Q,A:A,A532)&gt;0,SUMIFS(Q:Q,A:A,A532),"."))/VLOOKUP("USD",'Exchange rates'!B:C,2,0),"Error with coding"))),"")</f>
        <v/>
      </c>
      <c r="U532" s="39" t="s">
        <v>372</v>
      </c>
      <c r="V532" s="376" t="s">
        <v>1495</v>
      </c>
      <c r="W532" s="835" t="s">
        <v>1498</v>
      </c>
      <c r="X532" s="528" t="s">
        <v>232</v>
      </c>
      <c r="Y532" s="528" t="s">
        <v>232</v>
      </c>
      <c r="Z532" s="39">
        <v>0</v>
      </c>
      <c r="AA532" s="518">
        <v>0</v>
      </c>
      <c r="AB532" s="394" t="s">
        <v>1498</v>
      </c>
      <c r="AC532" s="519" t="str">
        <f>""</f>
        <v/>
      </c>
      <c r="AD532" s="520">
        <v>0</v>
      </c>
      <c r="AE532" s="520" t="s">
        <v>237</v>
      </c>
      <c r="AF532" s="520" t="s">
        <v>237</v>
      </c>
      <c r="AG532" s="520">
        <v>1</v>
      </c>
      <c r="AH532" s="520">
        <v>4</v>
      </c>
      <c r="AI532" s="520">
        <v>0</v>
      </c>
      <c r="AJ532" s="520">
        <f>VLOOKUP($I532,'Price List, Weapons &amp; Items'!A:E,5,0)</f>
        <v>0</v>
      </c>
      <c r="AK532" s="520">
        <f t="shared" si="111"/>
        <v>0</v>
      </c>
      <c r="AL532" s="520">
        <f t="shared" si="112"/>
        <v>0</v>
      </c>
      <c r="AM532" s="520">
        <f t="shared" si="113"/>
        <v>0</v>
      </c>
      <c r="AN532" s="521" t="str">
        <f>VLOOKUP($I532,'Price List, Weapons &amp; Items'!A:K,COLUMN('Price List, Weapons &amp; Items'!$I$1),0)</f>
        <v>Miscellaneous</v>
      </c>
      <c r="AO532" s="521" t="str">
        <f>IF(I532=".",".",VLOOKUP($I532,'Price List, Weapons &amp; Items'!A:I,3,0))</f>
        <v>unknown drone</v>
      </c>
      <c r="AP532" s="517" t="str">
        <f t="shared" ca="1" si="107"/>
        <v/>
      </c>
      <c r="AQ532" s="521">
        <f>VLOOKUP($I532,'Price List, Weapons &amp; Items'!A:K,COLUMN('Price List, Weapons &amp; Items'!$K$1),0)</f>
        <v>1</v>
      </c>
      <c r="AS532" s="521">
        <f t="shared" si="114"/>
        <v>0</v>
      </c>
      <c r="AT532" s="521">
        <f t="shared" si="115"/>
        <v>1</v>
      </c>
      <c r="AU532" s="521">
        <f t="shared" si="116"/>
        <v>1</v>
      </c>
      <c r="AV532" s="521" t="str">
        <f t="shared" si="117"/>
        <v>.</v>
      </c>
    </row>
    <row r="533" spans="1:48" ht="15" customHeight="1">
      <c r="A533" s="18" t="s">
        <v>1499</v>
      </c>
      <c r="B533" s="18" t="s">
        <v>1471</v>
      </c>
      <c r="C533" s="511">
        <v>44777</v>
      </c>
      <c r="D533" s="18" t="s">
        <v>252</v>
      </c>
      <c r="E533" s="18" t="s">
        <v>261</v>
      </c>
      <c r="F533" s="512" t="s">
        <v>1500</v>
      </c>
      <c r="G533" s="538" t="s">
        <v>314</v>
      </c>
      <c r="H533" s="513" t="s">
        <v>309</v>
      </c>
      <c r="I533" s="537" t="s">
        <v>859</v>
      </c>
      <c r="J533" s="276" t="str">
        <f>VLOOKUP($I533,'Price List, Weapons &amp; Items'!A:B,2,0)</f>
        <v>Aviation and drones</v>
      </c>
      <c r="K533" s="276" t="str">
        <f>IF(I533=".",I533,VLOOKUP($I533,'Price List, Weapons &amp; Items'!A:C,3,0))</f>
        <v>unknown drone</v>
      </c>
      <c r="L533" s="514">
        <f>VLOOKUP(I533,'Price List, Weapons &amp; Items'!A:D,4,0)</f>
        <v>0</v>
      </c>
      <c r="M533" s="515">
        <v>12</v>
      </c>
      <c r="N533" s="515" t="s">
        <v>232</v>
      </c>
      <c r="O533" s="516">
        <f>VLOOKUP($I533,'Price List, Weapons &amp; Items'!A:F,6,0)</f>
        <v>6000</v>
      </c>
      <c r="P533" s="513">
        <f t="shared" si="108"/>
        <v>72000</v>
      </c>
      <c r="Q533" s="513" t="str">
        <f t="shared" si="109"/>
        <v>.</v>
      </c>
      <c r="R533" s="513">
        <f t="shared" si="110"/>
        <v>72000</v>
      </c>
      <c r="S533" s="513">
        <f>IF(AND(AD533=1,R533&lt;&gt;".")=TRUE,R533/VLOOKUP(G533,'Exchange rates'!B:C,2,0),IF(R533=".",".",""))</f>
        <v>71748.87892376681</v>
      </c>
      <c r="T533" s="513" t="str">
        <f>IF(AD533=1,IF(AF533="Value is not given at all",".",IF(AF533="Value is given by the source",S533,IF(AF533="Value is calculated with prices",(IF(SUMIFS(Q:Q,A:A,A533)&gt;0,SUMIFS(Q:Q,A:A,A533),"."))/VLOOKUP("USD",'Exchange rates'!B:C,2,0),"Error with coding"))),"")</f>
        <v>.</v>
      </c>
      <c r="U533" s="39" t="s">
        <v>233</v>
      </c>
      <c r="V533" s="376" t="s">
        <v>1482</v>
      </c>
      <c r="W533" s="835" t="s">
        <v>1483</v>
      </c>
      <c r="X533" s="835" t="s">
        <v>1484</v>
      </c>
      <c r="Y533" s="835" t="s">
        <v>1498</v>
      </c>
      <c r="Z533" s="39">
        <v>0</v>
      </c>
      <c r="AA533" s="518">
        <v>1</v>
      </c>
      <c r="AB533" s="523" t="s">
        <v>232</v>
      </c>
      <c r="AC533" s="519" t="str">
        <f>""</f>
        <v/>
      </c>
      <c r="AD533" s="520">
        <v>1</v>
      </c>
      <c r="AE533" s="520" t="s">
        <v>237</v>
      </c>
      <c r="AF533" s="520" t="s">
        <v>237</v>
      </c>
      <c r="AG533" s="520">
        <v>1</v>
      </c>
      <c r="AH533" s="520">
        <v>8</v>
      </c>
      <c r="AI533" s="520">
        <v>0</v>
      </c>
      <c r="AJ533" s="520">
        <f>VLOOKUP($I533,'Price List, Weapons &amp; Items'!A:E,5,0)</f>
        <v>0</v>
      </c>
      <c r="AK533" s="520">
        <f t="shared" si="111"/>
        <v>0</v>
      </c>
      <c r="AL533" s="520">
        <f t="shared" si="112"/>
        <v>0</v>
      </c>
      <c r="AM533" s="520">
        <f t="shared" si="113"/>
        <v>0</v>
      </c>
      <c r="AN533" s="521" t="str">
        <f>VLOOKUP($I533,'Price List, Weapons &amp; Items'!A:K,COLUMN('Price List, Weapons &amp; Items'!$I$1),0)</f>
        <v>Miscellaneous</v>
      </c>
      <c r="AO533" s="521" t="str">
        <f>IF(I533=".",".",VLOOKUP($I533,'Price List, Weapons &amp; Items'!A:I,3,0))</f>
        <v>unknown drone</v>
      </c>
      <c r="AP533" s="517" t="str">
        <f t="shared" ca="1" si="107"/>
        <v>drone</v>
      </c>
      <c r="AQ533" s="521">
        <f>VLOOKUP($I533,'Price List, Weapons &amp; Items'!A:K,COLUMN('Price List, Weapons &amp; Items'!$K$1),0)</f>
        <v>1</v>
      </c>
      <c r="AS533" s="521">
        <f t="shared" si="114"/>
        <v>1</v>
      </c>
      <c r="AT533" s="521">
        <f t="shared" si="115"/>
        <v>1</v>
      </c>
      <c r="AU533" s="521">
        <f t="shared" si="116"/>
        <v>1</v>
      </c>
      <c r="AV533" s="521" t="str">
        <f t="shared" si="117"/>
        <v>.</v>
      </c>
    </row>
    <row r="534" spans="1:48" ht="15" customHeight="1">
      <c r="A534" s="41" t="s">
        <v>1501</v>
      </c>
      <c r="B534" s="41" t="s">
        <v>1471</v>
      </c>
      <c r="C534" s="511">
        <v>44645</v>
      </c>
      <c r="D534" s="18" t="s">
        <v>366</v>
      </c>
      <c r="E534" s="18" t="s">
        <v>453</v>
      </c>
      <c r="F534" s="512" t="s">
        <v>1502</v>
      </c>
      <c r="G534" s="39" t="s">
        <v>314</v>
      </c>
      <c r="H534" s="513">
        <v>100000000</v>
      </c>
      <c r="I534" s="41" t="s">
        <v>232</v>
      </c>
      <c r="J534" s="276" t="str">
        <f>VLOOKUP($I534,'Price List, Weapons &amp; Items'!A:B,2,0)</f>
        <v>.</v>
      </c>
      <c r="K534" s="276" t="str">
        <f>IF(I534=".",I534,VLOOKUP($I534,'Price List, Weapons &amp; Items'!A:C,3,0))</f>
        <v>.</v>
      </c>
      <c r="L534" s="514">
        <f>VLOOKUP(I534,'Price List, Weapons &amp; Items'!A:D,4,0)</f>
        <v>0</v>
      </c>
      <c r="M534" s="515" t="s">
        <v>232</v>
      </c>
      <c r="N534" s="515" t="s">
        <v>232</v>
      </c>
      <c r="O534" s="516" t="str">
        <f>VLOOKUP($I534,'Price List, Weapons &amp; Items'!A:F,6,0)</f>
        <v>.</v>
      </c>
      <c r="P534" s="513" t="str">
        <f t="shared" si="108"/>
        <v>.</v>
      </c>
      <c r="Q534" s="513" t="str">
        <f t="shared" si="109"/>
        <v>.</v>
      </c>
      <c r="R534" s="513">
        <f t="shared" si="110"/>
        <v>100000000</v>
      </c>
      <c r="S534" s="513">
        <f>IF(AND(AD534=1,R534&lt;&gt;".")=TRUE,R534/VLOOKUP(G534,'Exchange rates'!B:C,2,0),IF(R534=".",".",""))</f>
        <v>99651220.727453902</v>
      </c>
      <c r="T534" s="513" t="str">
        <f>IF(AD534=1,IF(AF534="Value is not given at all",".",IF(AF534="Value is given by the source",S534,IF(AF534="Value is calculated with prices",(IF(SUMIFS(Q:Q,A:A,A534)&gt;0,SUMIFS(Q:Q,A:A,A534),"."))/VLOOKUP("USD",'Exchange rates'!B:C,2,0),"Error with coding"))),"")</f>
        <v>.</v>
      </c>
      <c r="U534" s="39" t="s">
        <v>233</v>
      </c>
      <c r="V534" s="42" t="s">
        <v>1479</v>
      </c>
      <c r="W534" s="42" t="s">
        <v>1503</v>
      </c>
      <c r="X534" s="42" t="s">
        <v>1504</v>
      </c>
      <c r="Y534" s="512" t="s">
        <v>232</v>
      </c>
      <c r="Z534" s="39">
        <v>1</v>
      </c>
      <c r="AA534" s="518">
        <v>0</v>
      </c>
      <c r="AB534" s="38" t="s">
        <v>232</v>
      </c>
      <c r="AC534" s="519" t="str">
        <f>""</f>
        <v/>
      </c>
      <c r="AD534" s="520">
        <v>1</v>
      </c>
      <c r="AE534" s="520" t="s">
        <v>236</v>
      </c>
      <c r="AF534" s="520" t="s">
        <v>237</v>
      </c>
      <c r="AG534" s="520">
        <v>1</v>
      </c>
      <c r="AH534" s="520">
        <v>3</v>
      </c>
      <c r="AI534" s="520">
        <v>0</v>
      </c>
      <c r="AJ534" s="520">
        <f>VLOOKUP($I534,'Price List, Weapons &amp; Items'!A:E,5,0)</f>
        <v>0</v>
      </c>
      <c r="AK534" s="520">
        <f t="shared" si="111"/>
        <v>0</v>
      </c>
      <c r="AL534" s="520">
        <f t="shared" si="112"/>
        <v>0</v>
      </c>
      <c r="AM534" s="520">
        <f t="shared" si="113"/>
        <v>0</v>
      </c>
      <c r="AN534" s="521" t="str">
        <f>VLOOKUP($I534,'Price List, Weapons &amp; Items'!A:K,COLUMN('Price List, Weapons &amp; Items'!$I$1),0)</f>
        <v>.</v>
      </c>
      <c r="AO534" s="521" t="str">
        <f>IF(I534=".",".",VLOOKUP($I534,'Price List, Weapons &amp; Items'!A:I,3,0))</f>
        <v>.</v>
      </c>
      <c r="AP534" s="517" t="str">
        <f t="shared" ca="1" si="107"/>
        <v>.</v>
      </c>
      <c r="AQ534" s="521" t="str">
        <f>VLOOKUP($I534,'Price List, Weapons &amp; Items'!A:K,COLUMN('Price List, Weapons &amp; Items'!$K$1),0)</f>
        <v>no price, 0 count</v>
      </c>
      <c r="AS534" s="521">
        <f t="shared" si="114"/>
        <v>1</v>
      </c>
      <c r="AT534" s="521">
        <f t="shared" si="115"/>
        <v>0</v>
      </c>
      <c r="AU534" s="521">
        <f t="shared" si="116"/>
        <v>1</v>
      </c>
      <c r="AV534" s="521" t="str">
        <f t="shared" si="117"/>
        <v>.</v>
      </c>
    </row>
    <row r="535" spans="1:48" ht="15" customHeight="1">
      <c r="A535" s="41" t="s">
        <v>1505</v>
      </c>
      <c r="B535" s="41" t="s">
        <v>1471</v>
      </c>
      <c r="C535" s="511">
        <v>44670</v>
      </c>
      <c r="D535" s="18" t="s">
        <v>366</v>
      </c>
      <c r="E535" s="18" t="s">
        <v>453</v>
      </c>
      <c r="F535" s="512" t="s">
        <v>1506</v>
      </c>
      <c r="G535" s="39" t="s">
        <v>314</v>
      </c>
      <c r="H535" s="513">
        <v>200000000</v>
      </c>
      <c r="I535" s="41" t="s">
        <v>232</v>
      </c>
      <c r="J535" s="276" t="str">
        <f>VLOOKUP($I535,'Price List, Weapons &amp; Items'!A:B,2,0)</f>
        <v>.</v>
      </c>
      <c r="K535" s="276" t="str">
        <f>IF(I535=".",I535,VLOOKUP($I535,'Price List, Weapons &amp; Items'!A:C,3,0))</f>
        <v>.</v>
      </c>
      <c r="L535" s="514">
        <f>VLOOKUP(I535,'Price List, Weapons &amp; Items'!A:D,4,0)</f>
        <v>0</v>
      </c>
      <c r="M535" s="515" t="s">
        <v>232</v>
      </c>
      <c r="N535" s="515" t="s">
        <v>232</v>
      </c>
      <c r="O535" s="516" t="str">
        <f>VLOOKUP($I535,'Price List, Weapons &amp; Items'!A:F,6,0)</f>
        <v>.</v>
      </c>
      <c r="P535" s="513" t="str">
        <f t="shared" si="108"/>
        <v>.</v>
      </c>
      <c r="Q535" s="513" t="str">
        <f t="shared" si="109"/>
        <v>.</v>
      </c>
      <c r="R535" s="513">
        <f t="shared" si="110"/>
        <v>200000000</v>
      </c>
      <c r="S535" s="513">
        <f>IF(AND(AD535=1,R535&lt;&gt;".")=TRUE,R535/VLOOKUP(G535,'Exchange rates'!B:C,2,0),IF(R535=".",".",""))</f>
        <v>199302441.4549078</v>
      </c>
      <c r="T535" s="513" t="str">
        <f>IF(AD535=1,IF(AF535="Value is not given at all",".",IF(AF535="Value is given by the source",S535,IF(AF535="Value is calculated with prices",(IF(SUMIFS(Q:Q,A:A,A535)&gt;0,SUMIFS(Q:Q,A:A,A535),"."))/VLOOKUP("USD",'Exchange rates'!B:C,2,0),"Error with coding"))),"")</f>
        <v>.</v>
      </c>
      <c r="U535" s="39" t="s">
        <v>372</v>
      </c>
      <c r="V535" s="42" t="s">
        <v>1507</v>
      </c>
      <c r="W535" s="42" t="s">
        <v>1508</v>
      </c>
      <c r="X535" s="42" t="s">
        <v>1509</v>
      </c>
      <c r="Y535" s="512" t="s">
        <v>232</v>
      </c>
      <c r="Z535" s="39">
        <v>0</v>
      </c>
      <c r="AA535" s="518">
        <v>0</v>
      </c>
      <c r="AB535" s="38" t="s">
        <v>232</v>
      </c>
      <c r="AC535" s="519" t="str">
        <f>""</f>
        <v/>
      </c>
      <c r="AD535" s="520">
        <v>1</v>
      </c>
      <c r="AE535" s="520" t="s">
        <v>236</v>
      </c>
      <c r="AF535" s="520" t="s">
        <v>237</v>
      </c>
      <c r="AG535" s="520">
        <v>1</v>
      </c>
      <c r="AH535" s="520">
        <v>4</v>
      </c>
      <c r="AI535" s="520">
        <v>0</v>
      </c>
      <c r="AJ535" s="520">
        <f>VLOOKUP($I535,'Price List, Weapons &amp; Items'!A:E,5,0)</f>
        <v>0</v>
      </c>
      <c r="AK535" s="520">
        <f t="shared" si="111"/>
        <v>0</v>
      </c>
      <c r="AL535" s="520">
        <f t="shared" si="112"/>
        <v>0</v>
      </c>
      <c r="AM535" s="520">
        <f t="shared" si="113"/>
        <v>0</v>
      </c>
      <c r="AN535" s="521" t="str">
        <f>VLOOKUP($I535,'Price List, Weapons &amp; Items'!A:K,COLUMN('Price List, Weapons &amp; Items'!$I$1),0)</f>
        <v>.</v>
      </c>
      <c r="AO535" s="521" t="str">
        <f>IF(I535=".",".",VLOOKUP($I535,'Price List, Weapons &amp; Items'!A:I,3,0))</f>
        <v>.</v>
      </c>
      <c r="AP535" s="517" t="str">
        <f t="shared" ca="1" si="107"/>
        <v>.</v>
      </c>
      <c r="AQ535" s="521" t="str">
        <f>VLOOKUP($I535,'Price List, Weapons &amp; Items'!A:K,COLUMN('Price List, Weapons &amp; Items'!$K$1),0)</f>
        <v>no price, 0 count</v>
      </c>
      <c r="AS535" s="521">
        <f t="shared" si="114"/>
        <v>0</v>
      </c>
      <c r="AT535" s="521">
        <f t="shared" si="115"/>
        <v>0</v>
      </c>
      <c r="AU535" s="521">
        <f t="shared" si="116"/>
        <v>1</v>
      </c>
      <c r="AV535" s="521" t="str">
        <f t="shared" si="117"/>
        <v>.</v>
      </c>
    </row>
    <row r="536" spans="1:48" ht="15" customHeight="1">
      <c r="A536" s="41" t="s">
        <v>1510</v>
      </c>
      <c r="B536" s="41" t="s">
        <v>1471</v>
      </c>
      <c r="C536" s="511">
        <v>44700</v>
      </c>
      <c r="D536" s="18" t="s">
        <v>366</v>
      </c>
      <c r="E536" s="18" t="s">
        <v>453</v>
      </c>
      <c r="F536" s="512" t="s">
        <v>1511</v>
      </c>
      <c r="G536" s="39" t="s">
        <v>314</v>
      </c>
      <c r="H536" s="513">
        <v>300000000</v>
      </c>
      <c r="I536" s="41" t="s">
        <v>232</v>
      </c>
      <c r="J536" s="276" t="str">
        <f>VLOOKUP($I536,'Price List, Weapons &amp; Items'!A:B,2,0)</f>
        <v>.</v>
      </c>
      <c r="K536" s="276" t="str">
        <f>IF(I536=".",I536,VLOOKUP($I536,'Price List, Weapons &amp; Items'!A:C,3,0))</f>
        <v>.</v>
      </c>
      <c r="L536" s="514">
        <f>VLOOKUP(I536,'Price List, Weapons &amp; Items'!A:D,4,0)</f>
        <v>0</v>
      </c>
      <c r="M536" s="515" t="s">
        <v>232</v>
      </c>
      <c r="N536" s="515" t="s">
        <v>232</v>
      </c>
      <c r="O536" s="516" t="str">
        <f>VLOOKUP($I536,'Price List, Weapons &amp; Items'!A:F,6,0)</f>
        <v>.</v>
      </c>
      <c r="P536" s="513" t="str">
        <f t="shared" si="108"/>
        <v>.</v>
      </c>
      <c r="Q536" s="513" t="str">
        <f t="shared" si="109"/>
        <v>.</v>
      </c>
      <c r="R536" s="513">
        <f t="shared" si="110"/>
        <v>300000000</v>
      </c>
      <c r="S536" s="513">
        <f>IF(AND(AD536=1,R536&lt;&gt;".")=TRUE,R536/VLOOKUP(G536,'Exchange rates'!B:C,2,0),IF(R536=".",".",""))</f>
        <v>298953662.18236172</v>
      </c>
      <c r="T536" s="513" t="str">
        <f>IF(AD536=1,IF(AF536="Value is not given at all",".",IF(AF536="Value is given by the source",S536,IF(AF536="Value is calculated with prices",(IF(SUMIFS(Q:Q,A:A,A536)&gt;0,SUMIFS(Q:Q,A:A,A536),"."))/VLOOKUP("USD",'Exchange rates'!B:C,2,0),"Error with coding"))),"")</f>
        <v>.</v>
      </c>
      <c r="U536" s="39" t="s">
        <v>372</v>
      </c>
      <c r="V536" s="42" t="s">
        <v>1512</v>
      </c>
      <c r="W536" s="42" t="s">
        <v>1513</v>
      </c>
      <c r="X536" s="42" t="s">
        <v>1514</v>
      </c>
      <c r="Y536" s="512" t="s">
        <v>232</v>
      </c>
      <c r="Z536" s="39">
        <v>1</v>
      </c>
      <c r="AA536" s="518">
        <v>0</v>
      </c>
      <c r="AB536" s="41" t="s">
        <v>232</v>
      </c>
      <c r="AC536" s="519" t="str">
        <f>""</f>
        <v/>
      </c>
      <c r="AD536" s="520">
        <v>1</v>
      </c>
      <c r="AE536" s="520" t="s">
        <v>236</v>
      </c>
      <c r="AF536" s="520" t="s">
        <v>237</v>
      </c>
      <c r="AG536" s="520">
        <v>1</v>
      </c>
      <c r="AH536" s="520">
        <v>5</v>
      </c>
      <c r="AI536" s="520">
        <v>0</v>
      </c>
      <c r="AJ536" s="520">
        <f>VLOOKUP($I536,'Price List, Weapons &amp; Items'!A:E,5,0)</f>
        <v>0</v>
      </c>
      <c r="AK536" s="520">
        <f t="shared" si="111"/>
        <v>0</v>
      </c>
      <c r="AL536" s="520">
        <f t="shared" si="112"/>
        <v>0</v>
      </c>
      <c r="AM536" s="520">
        <f t="shared" si="113"/>
        <v>0</v>
      </c>
      <c r="AN536" s="521" t="str">
        <f>VLOOKUP($I536,'Price List, Weapons &amp; Items'!A:K,COLUMN('Price List, Weapons &amp; Items'!$I$1),0)</f>
        <v>.</v>
      </c>
      <c r="AO536" s="521" t="str">
        <f>IF(I536=".",".",VLOOKUP($I536,'Price List, Weapons &amp; Items'!A:I,3,0))</f>
        <v>.</v>
      </c>
      <c r="AP536" s="517" t="str">
        <f t="shared" ref="AP536:AP599" ca="1" si="120">IF(AD536=1,_xlfn.ARRAYTOTEXT(OFFSET(I536,0,0,COUNTIF(A:A,A536),1)),"")</f>
        <v>.</v>
      </c>
      <c r="AQ536" s="521" t="str">
        <f>VLOOKUP($I536,'Price List, Weapons &amp; Items'!A:K,COLUMN('Price List, Weapons &amp; Items'!$K$1),0)</f>
        <v>no price, 0 count</v>
      </c>
      <c r="AS536" s="521">
        <f t="shared" si="114"/>
        <v>0</v>
      </c>
      <c r="AT536" s="521">
        <f t="shared" si="115"/>
        <v>0</v>
      </c>
      <c r="AU536" s="521">
        <f t="shared" si="116"/>
        <v>1</v>
      </c>
      <c r="AV536" s="521" t="str">
        <f t="shared" si="117"/>
        <v>.</v>
      </c>
    </row>
    <row r="537" spans="1:48" ht="15" customHeight="1">
      <c r="A537" s="41" t="s">
        <v>1515</v>
      </c>
      <c r="B537" s="41" t="s">
        <v>1516</v>
      </c>
      <c r="C537" s="511">
        <v>44621</v>
      </c>
      <c r="D537" s="18" t="s">
        <v>228</v>
      </c>
      <c r="E537" s="18" t="s">
        <v>489</v>
      </c>
      <c r="F537" s="401" t="s">
        <v>1517</v>
      </c>
      <c r="G537" s="39" t="s">
        <v>332</v>
      </c>
      <c r="H537" s="513">
        <v>1200000</v>
      </c>
      <c r="I537" s="41" t="s">
        <v>232</v>
      </c>
      <c r="J537" s="276" t="str">
        <f>VLOOKUP($I537,'Price List, Weapons &amp; Items'!A:B,2,0)</f>
        <v>.</v>
      </c>
      <c r="K537" s="276" t="str">
        <f>IF(I537=".",I537,VLOOKUP($I537,'Price List, Weapons &amp; Items'!A:C,3,0))</f>
        <v>.</v>
      </c>
      <c r="L537" s="514">
        <f>VLOOKUP(I537,'Price List, Weapons &amp; Items'!A:D,4,0)</f>
        <v>0</v>
      </c>
      <c r="M537" s="515" t="s">
        <v>232</v>
      </c>
      <c r="N537" s="515" t="s">
        <v>232</v>
      </c>
      <c r="O537" s="516" t="str">
        <f>VLOOKUP($I537,'Price List, Weapons &amp; Items'!A:F,6,0)</f>
        <v>.</v>
      </c>
      <c r="P537" s="513" t="str">
        <f t="shared" si="108"/>
        <v>.</v>
      </c>
      <c r="Q537" s="513" t="str">
        <f t="shared" si="109"/>
        <v>.</v>
      </c>
      <c r="R537" s="513">
        <f t="shared" si="110"/>
        <v>1200000</v>
      </c>
      <c r="S537" s="513">
        <f>IF(AND(AD537=1,R537&lt;&gt;".")=TRUE,R537/VLOOKUP(G537,'Exchange rates'!B:C,2,0),IF(R537=".",".",""))</f>
        <v>1200000</v>
      </c>
      <c r="T537" s="513" t="str">
        <f>IF(AD537=1,IF(AF537="Value is not given at all",".",IF(AF537="Value is given by the source",S537,IF(AF537="Value is calculated with prices",(IF(SUMIFS(Q:Q,A:A,A537)&gt;0,SUMIFS(Q:Q,A:A,A537),"."))/VLOOKUP("USD",'Exchange rates'!B:C,2,0),"Error with coding"))),"")</f>
        <v>.</v>
      </c>
      <c r="U537" s="39" t="s">
        <v>233</v>
      </c>
      <c r="V537" s="42" t="s">
        <v>1518</v>
      </c>
      <c r="W537" s="42" t="s">
        <v>1519</v>
      </c>
      <c r="X537" s="42" t="s">
        <v>1520</v>
      </c>
      <c r="Y537" s="512" t="s">
        <v>232</v>
      </c>
      <c r="Z537" s="39">
        <v>0</v>
      </c>
      <c r="AA537" s="518">
        <v>0</v>
      </c>
      <c r="AB537" s="38" t="s">
        <v>232</v>
      </c>
      <c r="AC537" s="519" t="str">
        <f>""</f>
        <v/>
      </c>
      <c r="AD537" s="520">
        <v>1</v>
      </c>
      <c r="AE537" s="520" t="s">
        <v>236</v>
      </c>
      <c r="AF537" s="520" t="s">
        <v>237</v>
      </c>
      <c r="AG537" s="520">
        <v>1</v>
      </c>
      <c r="AH537" s="520">
        <v>3</v>
      </c>
      <c r="AI537" s="520">
        <v>0</v>
      </c>
      <c r="AJ537" s="520">
        <f>VLOOKUP($I537,'Price List, Weapons &amp; Items'!A:E,5,0)</f>
        <v>0</v>
      </c>
      <c r="AK537" s="520">
        <f t="shared" si="111"/>
        <v>0</v>
      </c>
      <c r="AL537" s="520">
        <f t="shared" si="112"/>
        <v>0</v>
      </c>
      <c r="AM537" s="520">
        <f t="shared" si="113"/>
        <v>0</v>
      </c>
      <c r="AN537" s="521" t="str">
        <f>VLOOKUP($I537,'Price List, Weapons &amp; Items'!A:K,COLUMN('Price List, Weapons &amp; Items'!$I$1),0)</f>
        <v>.</v>
      </c>
      <c r="AO537" s="521" t="str">
        <f>IF(I537=".",".",VLOOKUP($I537,'Price List, Weapons &amp; Items'!A:I,3,0))</f>
        <v>.</v>
      </c>
      <c r="AP537" s="517" t="str">
        <f t="shared" ca="1" si="120"/>
        <v>.</v>
      </c>
      <c r="AQ537" s="521" t="str">
        <f>VLOOKUP($I537,'Price List, Weapons &amp; Items'!A:K,COLUMN('Price List, Weapons &amp; Items'!$K$1),0)</f>
        <v>no price, 0 count</v>
      </c>
      <c r="AS537" s="521">
        <f t="shared" si="114"/>
        <v>1</v>
      </c>
      <c r="AT537" s="521">
        <f t="shared" si="115"/>
        <v>0</v>
      </c>
      <c r="AU537" s="521">
        <f t="shared" si="116"/>
        <v>1</v>
      </c>
      <c r="AV537" s="521" t="str">
        <f t="shared" si="117"/>
        <v>.</v>
      </c>
    </row>
    <row r="538" spans="1:48" ht="15" customHeight="1">
      <c r="A538" s="18" t="s">
        <v>1521</v>
      </c>
      <c r="B538" s="18" t="s">
        <v>1516</v>
      </c>
      <c r="C538" s="511">
        <v>44649</v>
      </c>
      <c r="D538" s="18" t="s">
        <v>228</v>
      </c>
      <c r="E538" s="18" t="s">
        <v>239</v>
      </c>
      <c r="F538" s="401" t="s">
        <v>1522</v>
      </c>
      <c r="G538" s="39" t="s">
        <v>332</v>
      </c>
      <c r="H538" s="513">
        <v>167417</v>
      </c>
      <c r="I538" s="41" t="s">
        <v>1523</v>
      </c>
      <c r="J538" s="276" t="str">
        <f>VLOOKUP($I538,'Price List, Weapons &amp; Items'!A:B,2,0)</f>
        <v>Humanitarian</v>
      </c>
      <c r="K538" s="276" t="str">
        <f>IF(I538=".",I538,VLOOKUP($I538,'Price List, Weapons &amp; Items'!A:C,3,0))</f>
        <v>.</v>
      </c>
      <c r="L538" s="514">
        <f>VLOOKUP(I538,'Price List, Weapons &amp; Items'!A:D,4,0)</f>
        <v>0</v>
      </c>
      <c r="M538" s="515">
        <v>2</v>
      </c>
      <c r="N538" s="515">
        <v>2</v>
      </c>
      <c r="O538" s="516">
        <f>VLOOKUP($I538,'Price List, Weapons &amp; Items'!A:F,6,0)</f>
        <v>88347.31</v>
      </c>
      <c r="P538" s="513">
        <f t="shared" si="108"/>
        <v>176694.62</v>
      </c>
      <c r="Q538" s="513">
        <f t="shared" si="109"/>
        <v>176694.62</v>
      </c>
      <c r="R538" s="513">
        <f t="shared" si="110"/>
        <v>167417</v>
      </c>
      <c r="S538" s="513">
        <f>IF(AND(AD538=1,R538&lt;&gt;".")=TRUE,R538/VLOOKUP(G538,'Exchange rates'!B:C,2,0),IF(R538=".",".",""))</f>
        <v>167417</v>
      </c>
      <c r="T538" s="513" t="str">
        <f>IF(AD538=1,IF(AF538="Value is not given at all",".",IF(AF538="Value is given by the source",S538,IF(AF538="Value is calculated with prices",(IF(SUMIFS(Q:Q,A:A,A538)&gt;0,SUMIFS(Q:Q,A:A,A538),"."))/VLOOKUP("USD",'Exchange rates'!B:C,2,0),"Error with coding"))),"")</f>
        <v>.</v>
      </c>
      <c r="U538" s="39" t="s">
        <v>233</v>
      </c>
      <c r="V538" s="376" t="s">
        <v>1524</v>
      </c>
      <c r="W538" s="528" t="s">
        <v>232</v>
      </c>
      <c r="X538" s="528" t="s">
        <v>232</v>
      </c>
      <c r="Y538" s="528" t="s">
        <v>232</v>
      </c>
      <c r="Z538" s="39">
        <v>0</v>
      </c>
      <c r="AA538" s="518">
        <v>0</v>
      </c>
      <c r="AB538" s="38" t="s">
        <v>232</v>
      </c>
      <c r="AC538" s="519" t="str">
        <f>""</f>
        <v/>
      </c>
      <c r="AD538" s="520">
        <v>1</v>
      </c>
      <c r="AE538" s="520" t="s">
        <v>236</v>
      </c>
      <c r="AF538" s="520" t="s">
        <v>237</v>
      </c>
      <c r="AG538" s="520">
        <v>1</v>
      </c>
      <c r="AH538" s="520">
        <v>3</v>
      </c>
      <c r="AI538" s="520">
        <v>0</v>
      </c>
      <c r="AJ538" s="520">
        <f>VLOOKUP($I538,'Price List, Weapons &amp; Items'!A:E,5,0)</f>
        <v>0</v>
      </c>
      <c r="AK538" s="520">
        <f t="shared" si="111"/>
        <v>0</v>
      </c>
      <c r="AL538" s="520">
        <f t="shared" si="112"/>
        <v>0</v>
      </c>
      <c r="AM538" s="520">
        <f t="shared" si="113"/>
        <v>0</v>
      </c>
      <c r="AN538" s="521" t="str">
        <f>VLOOKUP($I538,'Price List, Weapons &amp; Items'!A:K,COLUMN('Price List, Weapons &amp; Items'!$I$1),0)</f>
        <v>Government information</v>
      </c>
      <c r="AO538" s="521" t="str">
        <f>IF(I538=".",".",VLOOKUP($I538,'Price List, Weapons &amp; Items'!A:I,3,0))</f>
        <v>.</v>
      </c>
      <c r="AP538" s="517" t="str">
        <f t="shared" ca="1" si="120"/>
        <v>ambulance Latvia; stretcher Latvia</v>
      </c>
      <c r="AQ538" s="521">
        <f>VLOOKUP($I538,'Price List, Weapons &amp; Items'!A:K,COLUMN('Price List, Weapons &amp; Items'!$K$1),0)</f>
        <v>0</v>
      </c>
      <c r="AS538" s="521">
        <f t="shared" si="114"/>
        <v>1</v>
      </c>
      <c r="AT538" s="521">
        <f t="shared" si="115"/>
        <v>0</v>
      </c>
      <c r="AU538" s="521">
        <f t="shared" si="116"/>
        <v>1</v>
      </c>
      <c r="AV538" s="521" t="str">
        <f t="shared" si="117"/>
        <v>.</v>
      </c>
    </row>
    <row r="539" spans="1:48" ht="15" customHeight="1">
      <c r="A539" s="18" t="s">
        <v>1521</v>
      </c>
      <c r="B539" s="18" t="s">
        <v>1516</v>
      </c>
      <c r="C539" s="511">
        <v>44649</v>
      </c>
      <c r="D539" s="18" t="s">
        <v>228</v>
      </c>
      <c r="E539" s="18" t="s">
        <v>239</v>
      </c>
      <c r="F539" s="401" t="s">
        <v>1522</v>
      </c>
      <c r="G539" s="39" t="s">
        <v>332</v>
      </c>
      <c r="H539" s="513">
        <v>167417</v>
      </c>
      <c r="I539" s="41" t="s">
        <v>1525</v>
      </c>
      <c r="J539" s="276" t="str">
        <f>VLOOKUP($I539,'Price List, Weapons &amp; Items'!A:B,2,0)</f>
        <v>Humanitarian</v>
      </c>
      <c r="K539" s="276" t="str">
        <f>IF(I539=".",I539,VLOOKUP($I539,'Price List, Weapons &amp; Items'!A:C,3,0))</f>
        <v>.</v>
      </c>
      <c r="L539" s="514">
        <f>VLOOKUP(I539,'Price List, Weapons &amp; Items'!A:D,4,0)</f>
        <v>0</v>
      </c>
      <c r="M539" s="515">
        <v>200</v>
      </c>
      <c r="N539" s="515">
        <v>200</v>
      </c>
      <c r="O539" s="516">
        <f>VLOOKUP($I539,'Price List, Weapons &amp; Items'!A:F,6,0)</f>
        <v>31.54</v>
      </c>
      <c r="P539" s="513">
        <f t="shared" si="108"/>
        <v>6308</v>
      </c>
      <c r="Q539" s="513">
        <f t="shared" si="109"/>
        <v>6308</v>
      </c>
      <c r="R539" s="513" t="str">
        <f t="shared" si="110"/>
        <v/>
      </c>
      <c r="S539" s="513" t="str">
        <f>IF(AND(AD539=1,R539&lt;&gt;".")=TRUE,R539/VLOOKUP(G539,'Exchange rates'!B:C,2,0),IF(R539=".",".",""))</f>
        <v/>
      </c>
      <c r="T539" s="513" t="str">
        <f>IF(AD539=1,IF(AF539="Value is not given at all",".",IF(AF539="Value is given by the source",S539,IF(AF539="Value is calculated with prices",(IF(SUMIFS(Q:Q,A:A,A539)&gt;0,SUMIFS(Q:Q,A:A,A539),"."))/VLOOKUP("USD",'Exchange rates'!B:C,2,0),"Error with coding"))),"")</f>
        <v/>
      </c>
      <c r="U539" s="39" t="s">
        <v>233</v>
      </c>
      <c r="V539" s="376" t="s">
        <v>1524</v>
      </c>
      <c r="W539" s="528" t="s">
        <v>232</v>
      </c>
      <c r="X539" s="528" t="s">
        <v>232</v>
      </c>
      <c r="Y539" s="528" t="s">
        <v>232</v>
      </c>
      <c r="Z539" s="39">
        <v>0</v>
      </c>
      <c r="AA539" s="518">
        <v>0</v>
      </c>
      <c r="AB539" s="38" t="s">
        <v>232</v>
      </c>
      <c r="AC539" s="519" t="str">
        <f>""</f>
        <v/>
      </c>
      <c r="AD539" s="520">
        <v>0</v>
      </c>
      <c r="AE539" s="520" t="s">
        <v>236</v>
      </c>
      <c r="AF539" s="520" t="s">
        <v>237</v>
      </c>
      <c r="AG539" s="520">
        <v>1</v>
      </c>
      <c r="AH539" s="520">
        <v>3</v>
      </c>
      <c r="AI539" s="520">
        <v>0</v>
      </c>
      <c r="AJ539" s="520">
        <f>VLOOKUP($I539,'Price List, Weapons &amp; Items'!A:E,5,0)</f>
        <v>0</v>
      </c>
      <c r="AK539" s="520">
        <f t="shared" si="111"/>
        <v>0</v>
      </c>
      <c r="AL539" s="520">
        <f t="shared" si="112"/>
        <v>0</v>
      </c>
      <c r="AM539" s="520">
        <f t="shared" si="113"/>
        <v>0</v>
      </c>
      <c r="AN539" s="521" t="str">
        <f>VLOOKUP($I539,'Price List, Weapons &amp; Items'!A:K,COLUMN('Price List, Weapons &amp; Items'!$I$1),0)</f>
        <v>Government information</v>
      </c>
      <c r="AO539" s="521" t="str">
        <f>IF(I539=".",".",VLOOKUP($I539,'Price List, Weapons &amp; Items'!A:I,3,0))</f>
        <v>.</v>
      </c>
      <c r="AP539" s="517" t="str">
        <f t="shared" ca="1" si="120"/>
        <v/>
      </c>
      <c r="AQ539" s="521">
        <f>VLOOKUP($I539,'Price List, Weapons &amp; Items'!A:K,COLUMN('Price List, Weapons &amp; Items'!$K$1),0)</f>
        <v>0</v>
      </c>
      <c r="AS539" s="521">
        <f t="shared" si="114"/>
        <v>1</v>
      </c>
      <c r="AT539" s="521">
        <f t="shared" si="115"/>
        <v>0</v>
      </c>
      <c r="AU539" s="521">
        <f t="shared" si="116"/>
        <v>1</v>
      </c>
      <c r="AV539" s="521" t="str">
        <f t="shared" si="117"/>
        <v>.</v>
      </c>
    </row>
    <row r="540" spans="1:48" ht="15" customHeight="1">
      <c r="A540" s="18" t="s">
        <v>1526</v>
      </c>
      <c r="B540" s="18" t="s">
        <v>1516</v>
      </c>
      <c r="C540" s="511" t="s">
        <v>1527</v>
      </c>
      <c r="D540" s="18" t="s">
        <v>252</v>
      </c>
      <c r="E540" s="18" t="s">
        <v>253</v>
      </c>
      <c r="F540" s="401" t="s">
        <v>1528</v>
      </c>
      <c r="G540" s="39" t="s">
        <v>332</v>
      </c>
      <c r="H540" s="513">
        <v>218800000</v>
      </c>
      <c r="I540" s="424" t="s">
        <v>1529</v>
      </c>
      <c r="J540" s="276" t="str">
        <f>VLOOKUP($I540,'Price List, Weapons &amp; Items'!A:B,2,0)</f>
        <v>Military equipment</v>
      </c>
      <c r="K540" s="276" t="str">
        <f>IF(I540=".",I540,VLOOKUP($I540,'Price List, Weapons &amp; Items'!A:C,3,0))</f>
        <v>.</v>
      </c>
      <c r="L540" s="514">
        <f>VLOOKUP(I540,'Price List, Weapons &amp; Items'!A:D,4,0)</f>
        <v>0</v>
      </c>
      <c r="M540" s="515" t="s">
        <v>264</v>
      </c>
      <c r="N540" s="515" t="s">
        <v>264</v>
      </c>
      <c r="O540" s="516">
        <f>VLOOKUP($I540,'Price List, Weapons &amp; Items'!A:F,6,0)</f>
        <v>28543554</v>
      </c>
      <c r="P540" s="513" t="str">
        <f t="shared" si="108"/>
        <v>.</v>
      </c>
      <c r="Q540" s="513" t="str">
        <f t="shared" si="109"/>
        <v>.</v>
      </c>
      <c r="R540" s="513">
        <f t="shared" si="110"/>
        <v>218800000</v>
      </c>
      <c r="S540" s="513">
        <f>IF(AND(AD540=1,R540&lt;&gt;".")=TRUE,R540/VLOOKUP(G540,'Exchange rates'!B:C,2,0),IF(R540=".",".",""))</f>
        <v>218800000</v>
      </c>
      <c r="T540" s="513">
        <f>IF(AD540=1,IF(AF540="Value is not given at all",".",IF(AF540="Value is given by the source",S540,IF(AF540="Value is calculated with prices",(IF(SUMIFS(Q:Q,A:A,A540)&gt;0,SUMIFS(Q:Q,A:A,A540),"."))/VLOOKUP("USD",'Exchange rates'!B:C,2,0),"Error with coding"))),"")</f>
        <v>218800000</v>
      </c>
      <c r="U540" s="39" t="s">
        <v>233</v>
      </c>
      <c r="V540" s="376" t="s">
        <v>1530</v>
      </c>
      <c r="W540" s="376" t="s">
        <v>1531</v>
      </c>
      <c r="X540" s="376" t="s">
        <v>1518</v>
      </c>
      <c r="Y540" s="376" t="s">
        <v>1532</v>
      </c>
      <c r="Z540" s="39">
        <v>0</v>
      </c>
      <c r="AA540" s="518">
        <v>0</v>
      </c>
      <c r="AB540" s="395" t="s">
        <v>1531</v>
      </c>
      <c r="AC540" s="519" t="str">
        <f>""</f>
        <v/>
      </c>
      <c r="AD540" s="520">
        <v>1</v>
      </c>
      <c r="AE540" s="520" t="s">
        <v>236</v>
      </c>
      <c r="AF540" s="520" t="s">
        <v>236</v>
      </c>
      <c r="AG540" s="520">
        <v>1</v>
      </c>
      <c r="AH540" s="520">
        <v>4</v>
      </c>
      <c r="AI540" s="520">
        <v>0</v>
      </c>
      <c r="AJ540" s="520">
        <f>VLOOKUP($I540,'Price List, Weapons &amp; Items'!A:E,5,0)</f>
        <v>0</v>
      </c>
      <c r="AK540" s="520">
        <f t="shared" si="111"/>
        <v>0</v>
      </c>
      <c r="AL540" s="520">
        <f t="shared" si="112"/>
        <v>0</v>
      </c>
      <c r="AM540" s="520">
        <f t="shared" si="113"/>
        <v>0</v>
      </c>
      <c r="AN540" s="521" t="str">
        <f>VLOOKUP($I540,'Price List, Weapons &amp; Items'!A:K,COLUMN('Price List, Weapons &amp; Items'!$I$1),0)</f>
        <v>Calculated according with the E-Mail from the Ministry of Defence of the Republic of Latvia, since 13% of 220 million EUR went on armament</v>
      </c>
      <c r="AO540" s="521" t="str">
        <f>IF(I540=".",".",VLOOKUP($I540,'Price List, Weapons &amp; Items'!A:I,3,0))</f>
        <v>.</v>
      </c>
      <c r="AP540" s="517" t="str">
        <f t="shared" ca="1" si="120"/>
        <v>armament (Latvia); Stinger anti-aircraft system (Latvia); unmanned system (Latvia); Helicopter and spare parts (Latvia); protective gear and equipment (including first aid); MRE</v>
      </c>
      <c r="AQ540" s="521" t="str">
        <f>VLOOKUP($I540,'Price List, Weapons &amp; Items'!A:K,COLUMN('Price List, Weapons &amp; Items'!$K$1),0)</f>
        <v>no price, 0 count</v>
      </c>
      <c r="AS540" s="521">
        <f t="shared" si="114"/>
        <v>1</v>
      </c>
      <c r="AT540" s="521">
        <f t="shared" si="115"/>
        <v>1</v>
      </c>
      <c r="AU540" s="521" t="str">
        <f t="shared" si="116"/>
        <v>Value is not in date format</v>
      </c>
      <c r="AV540" s="521" t="str">
        <f t="shared" si="117"/>
        <v>.</v>
      </c>
    </row>
    <row r="541" spans="1:48" ht="15" customHeight="1">
      <c r="A541" s="18" t="s">
        <v>1526</v>
      </c>
      <c r="B541" s="18" t="s">
        <v>1516</v>
      </c>
      <c r="C541" s="511" t="s">
        <v>1533</v>
      </c>
      <c r="D541" s="18" t="s">
        <v>252</v>
      </c>
      <c r="E541" s="18" t="s">
        <v>253</v>
      </c>
      <c r="F541" s="401" t="s">
        <v>1528</v>
      </c>
      <c r="G541" s="39" t="s">
        <v>332</v>
      </c>
      <c r="H541" s="513">
        <v>218800000</v>
      </c>
      <c r="I541" s="424" t="s">
        <v>1534</v>
      </c>
      <c r="J541" s="276" t="str">
        <f>VLOOKUP($I541,'Price List, Weapons &amp; Items'!A:B,2,0)</f>
        <v>Portable defence system</v>
      </c>
      <c r="K541" s="276" t="str">
        <f>IF(I541=".",I541,VLOOKUP($I541,'Price List, Weapons &amp; Items'!A:C,3,0))</f>
        <v>MANPADS</v>
      </c>
      <c r="L541" s="514">
        <f>VLOOKUP(I541,'Price List, Weapons &amp; Items'!A:D,4,0)</f>
        <v>0</v>
      </c>
      <c r="M541" s="515" t="s">
        <v>264</v>
      </c>
      <c r="N541" s="515" t="s">
        <v>264</v>
      </c>
      <c r="O541" s="516">
        <f>VLOOKUP($I541,'Price List, Weapons &amp; Items'!A:F,6,0)</f>
        <v>122956848.00000001</v>
      </c>
      <c r="P541" s="513" t="str">
        <f t="shared" si="108"/>
        <v>.</v>
      </c>
      <c r="Q541" s="513" t="str">
        <f t="shared" si="109"/>
        <v>.</v>
      </c>
      <c r="R541" s="513" t="str">
        <f t="shared" si="110"/>
        <v/>
      </c>
      <c r="S541" s="513" t="str">
        <f>IF(AND(AD541=1,R541&lt;&gt;".")=TRUE,R541/VLOOKUP(G541,'Exchange rates'!B:C,2,0),IF(R541=".",".",""))</f>
        <v/>
      </c>
      <c r="T541" s="513" t="str">
        <f>IF(AD541=1,IF(AF541="Value is not given at all",".",IF(AF541="Value is given by the source",S541,IF(AF541="Value is calculated with prices",(IF(SUMIFS(Q:Q,A:A,A541)&gt;0,SUMIFS(Q:Q,A:A,A541),"."))/VLOOKUP("USD",'Exchange rates'!B:C,2,0),"Error with coding"))),"")</f>
        <v/>
      </c>
      <c r="U541" s="39" t="s">
        <v>233</v>
      </c>
      <c r="V541" s="376" t="s">
        <v>1530</v>
      </c>
      <c r="W541" s="376" t="s">
        <v>1531</v>
      </c>
      <c r="X541" s="376" t="s">
        <v>1518</v>
      </c>
      <c r="Y541" s="376" t="s">
        <v>1532</v>
      </c>
      <c r="Z541" s="39">
        <v>0</v>
      </c>
      <c r="AA541" s="518">
        <v>0</v>
      </c>
      <c r="AB541" s="395" t="s">
        <v>1531</v>
      </c>
      <c r="AC541" s="519" t="str">
        <f>""</f>
        <v/>
      </c>
      <c r="AD541" s="520">
        <v>0</v>
      </c>
      <c r="AE541" s="520" t="s">
        <v>236</v>
      </c>
      <c r="AF541" s="520" t="s">
        <v>236</v>
      </c>
      <c r="AG541" s="520">
        <v>1</v>
      </c>
      <c r="AH541" s="520">
        <v>4</v>
      </c>
      <c r="AI541" s="520">
        <v>0</v>
      </c>
      <c r="AJ541" s="520">
        <f>VLOOKUP($I541,'Price List, Weapons &amp; Items'!A:E,5,0)</f>
        <v>0</v>
      </c>
      <c r="AK541" s="520">
        <f t="shared" si="111"/>
        <v>0</v>
      </c>
      <c r="AL541" s="520">
        <f t="shared" si="112"/>
        <v>0</v>
      </c>
      <c r="AM541" s="520">
        <f t="shared" si="113"/>
        <v>0</v>
      </c>
      <c r="AN541" s="521" t="str">
        <f>VLOOKUP($I541,'Price List, Weapons &amp; Items'!A:K,COLUMN('Price List, Weapons &amp; Items'!$I$1),0)</f>
        <v>.</v>
      </c>
      <c r="AO541" s="521" t="str">
        <f>IF(I541=".",".",VLOOKUP($I541,'Price List, Weapons &amp; Items'!A:I,3,0))</f>
        <v>MANPADS</v>
      </c>
      <c r="AP541" s="517" t="str">
        <f t="shared" ca="1" si="120"/>
        <v/>
      </c>
      <c r="AQ541" s="521" t="str">
        <f>VLOOKUP($I541,'Price List, Weapons &amp; Items'!A:K,COLUMN('Price List, Weapons &amp; Items'!$K$1),0)</f>
        <v>no price, 0 count</v>
      </c>
      <c r="AS541" s="521">
        <f t="shared" si="114"/>
        <v>1</v>
      </c>
      <c r="AT541" s="521">
        <f t="shared" si="115"/>
        <v>1</v>
      </c>
      <c r="AU541" s="521" t="str">
        <f t="shared" si="116"/>
        <v>Value is not in date format</v>
      </c>
      <c r="AV541" s="521" t="str">
        <f t="shared" si="117"/>
        <v>.</v>
      </c>
    </row>
    <row r="542" spans="1:48" ht="15" customHeight="1">
      <c r="A542" s="18" t="s">
        <v>1526</v>
      </c>
      <c r="B542" s="18" t="s">
        <v>1516</v>
      </c>
      <c r="C542" s="511" t="s">
        <v>1535</v>
      </c>
      <c r="D542" s="18" t="s">
        <v>252</v>
      </c>
      <c r="E542" s="18" t="s">
        <v>253</v>
      </c>
      <c r="F542" s="401" t="s">
        <v>1528</v>
      </c>
      <c r="G542" s="39" t="s">
        <v>332</v>
      </c>
      <c r="H542" s="513">
        <v>218800000</v>
      </c>
      <c r="I542" s="424" t="s">
        <v>1536</v>
      </c>
      <c r="J542" s="276" t="str">
        <f>VLOOKUP($I542,'Price List, Weapons &amp; Items'!A:B,2,0)</f>
        <v>Aviation and drones</v>
      </c>
      <c r="K542" s="276" t="str">
        <f>IF(I542=".",I542,VLOOKUP($I542,'Price List, Weapons &amp; Items'!A:C,3,0))</f>
        <v>Unknown drone</v>
      </c>
      <c r="L542" s="514">
        <f>VLOOKUP(I542,'Price List, Weapons &amp; Items'!A:D,4,0)</f>
        <v>0</v>
      </c>
      <c r="M542" s="515" t="s">
        <v>264</v>
      </c>
      <c r="N542" s="515" t="s">
        <v>264</v>
      </c>
      <c r="O542" s="516">
        <f>VLOOKUP($I542,'Price List, Weapons &amp; Items'!A:F,6,0)</f>
        <v>10978290</v>
      </c>
      <c r="P542" s="513" t="str">
        <f t="shared" si="108"/>
        <v>.</v>
      </c>
      <c r="Q542" s="513" t="str">
        <f t="shared" si="109"/>
        <v>.</v>
      </c>
      <c r="R542" s="513" t="str">
        <f t="shared" si="110"/>
        <v/>
      </c>
      <c r="S542" s="513" t="str">
        <f>IF(AND(AD542=1,R542&lt;&gt;".")=TRUE,R542/VLOOKUP(G542,'Exchange rates'!B:C,2,0),IF(R542=".",".",""))</f>
        <v/>
      </c>
      <c r="T542" s="513" t="str">
        <f>IF(AD542=1,IF(AF542="Value is not given at all",".",IF(AF542="Value is given by the source",S542,IF(AF542="Value is calculated with prices",(IF(SUMIFS(Q:Q,A:A,A542)&gt;0,SUMIFS(Q:Q,A:A,A542),"."))/VLOOKUP("USD",'Exchange rates'!B:C,2,0),"Error with coding"))),"")</f>
        <v/>
      </c>
      <c r="U542" s="39" t="s">
        <v>233</v>
      </c>
      <c r="V542" s="376" t="s">
        <v>1530</v>
      </c>
      <c r="W542" s="376" t="s">
        <v>1531</v>
      </c>
      <c r="X542" s="376" t="s">
        <v>1518</v>
      </c>
      <c r="Y542" s="376" t="s">
        <v>1532</v>
      </c>
      <c r="Z542" s="39">
        <v>0</v>
      </c>
      <c r="AA542" s="518">
        <v>0</v>
      </c>
      <c r="AB542" s="395" t="s">
        <v>1531</v>
      </c>
      <c r="AC542" s="519" t="str">
        <f>""</f>
        <v/>
      </c>
      <c r="AD542" s="520">
        <v>0</v>
      </c>
      <c r="AE542" s="520" t="s">
        <v>236</v>
      </c>
      <c r="AF542" s="520" t="s">
        <v>236</v>
      </c>
      <c r="AG542" s="520">
        <v>1</v>
      </c>
      <c r="AH542" s="520">
        <v>4</v>
      </c>
      <c r="AI542" s="520">
        <v>0</v>
      </c>
      <c r="AJ542" s="520">
        <f>VLOOKUP($I542,'Price List, Weapons &amp; Items'!A:E,5,0)</f>
        <v>0</v>
      </c>
      <c r="AK542" s="520">
        <f t="shared" si="111"/>
        <v>0</v>
      </c>
      <c r="AL542" s="520">
        <f t="shared" si="112"/>
        <v>0</v>
      </c>
      <c r="AM542" s="520">
        <f t="shared" si="113"/>
        <v>0</v>
      </c>
      <c r="AN542" s="521" t="str">
        <f>VLOOKUP($I542,'Price List, Weapons &amp; Items'!A:K,COLUMN('Price List, Weapons &amp; Items'!$I$1),0)</f>
        <v>.</v>
      </c>
      <c r="AO542" s="521" t="str">
        <f>IF(I542=".",".",VLOOKUP($I542,'Price List, Weapons &amp; Items'!A:I,3,0))</f>
        <v>Unknown drone</v>
      </c>
      <c r="AP542" s="517" t="str">
        <f t="shared" ca="1" si="120"/>
        <v/>
      </c>
      <c r="AQ542" s="521" t="str">
        <f>VLOOKUP($I542,'Price List, Weapons &amp; Items'!A:K,COLUMN('Price List, Weapons &amp; Items'!$K$1),0)</f>
        <v>no price, 0 count</v>
      </c>
      <c r="AS542" s="521">
        <f t="shared" si="114"/>
        <v>1</v>
      </c>
      <c r="AT542" s="521">
        <f t="shared" si="115"/>
        <v>1</v>
      </c>
      <c r="AU542" s="521" t="str">
        <f t="shared" si="116"/>
        <v>Value is not in date format</v>
      </c>
      <c r="AV542" s="521" t="str">
        <f t="shared" si="117"/>
        <v>.</v>
      </c>
    </row>
    <row r="543" spans="1:48" ht="15" customHeight="1">
      <c r="A543" s="18" t="s">
        <v>1526</v>
      </c>
      <c r="B543" s="18" t="s">
        <v>1516</v>
      </c>
      <c r="C543" s="511" t="s">
        <v>1537</v>
      </c>
      <c r="D543" s="18" t="s">
        <v>252</v>
      </c>
      <c r="E543" s="18" t="s">
        <v>253</v>
      </c>
      <c r="F543" s="401" t="s">
        <v>1528</v>
      </c>
      <c r="G543" s="39" t="s">
        <v>332</v>
      </c>
      <c r="H543" s="513">
        <v>218800000</v>
      </c>
      <c r="I543" s="41" t="s">
        <v>1538</v>
      </c>
      <c r="J543" s="276" t="str">
        <f>VLOOKUP($I543,'Price List, Weapons &amp; Items'!A:B,2,0)</f>
        <v>Aviation and drones</v>
      </c>
      <c r="K543" s="276" t="str">
        <f>IF(I543=".",I543,VLOOKUP($I543,'Price List, Weapons &amp; Items'!A:C,3,0))</f>
        <v>spare parts</v>
      </c>
      <c r="L543" s="514">
        <f>VLOOKUP(I543,'Price List, Weapons &amp; Items'!A:D,4,0)</f>
        <v>0</v>
      </c>
      <c r="M543" s="515" t="s">
        <v>232</v>
      </c>
      <c r="N543" s="515" t="s">
        <v>264</v>
      </c>
      <c r="O543" s="516">
        <f>VLOOKUP($I543,'Price List, Weapons &amp; Items'!A:F,6,0)</f>
        <v>52695792</v>
      </c>
      <c r="P543" s="513" t="str">
        <f t="shared" si="108"/>
        <v>.</v>
      </c>
      <c r="Q543" s="513" t="str">
        <f t="shared" si="109"/>
        <v>.</v>
      </c>
      <c r="R543" s="513" t="str">
        <f t="shared" si="110"/>
        <v/>
      </c>
      <c r="S543" s="513" t="str">
        <f>IF(AND(AD543=1,R543&lt;&gt;".")=TRUE,R543/VLOOKUP(G543,'Exchange rates'!B:C,2,0),IF(R543=".",".",""))</f>
        <v/>
      </c>
      <c r="T543" s="513" t="str">
        <f>IF(AD543=1,IF(AF543="Value is not given at all",".",IF(AF543="Value is given by the source",S543,IF(AF543="Value is calculated with prices",(IF(SUMIFS(Q:Q,A:A,A543)&gt;0,SUMIFS(Q:Q,A:A,A543),"."))/VLOOKUP("USD",'Exchange rates'!B:C,2,0),"Error with coding"))),"")</f>
        <v/>
      </c>
      <c r="U543" s="39" t="s">
        <v>233</v>
      </c>
      <c r="V543" s="376" t="s">
        <v>1530</v>
      </c>
      <c r="W543" s="376" t="s">
        <v>1531</v>
      </c>
      <c r="X543" s="376" t="s">
        <v>1518</v>
      </c>
      <c r="Y543" s="376" t="s">
        <v>1532</v>
      </c>
      <c r="Z543" s="39">
        <v>0</v>
      </c>
      <c r="AA543" s="518">
        <v>0</v>
      </c>
      <c r="AB543" s="395" t="s">
        <v>1531</v>
      </c>
      <c r="AC543" s="519" t="str">
        <f>""</f>
        <v/>
      </c>
      <c r="AD543" s="520">
        <v>0</v>
      </c>
      <c r="AE543" s="520" t="s">
        <v>236</v>
      </c>
      <c r="AF543" s="520" t="s">
        <v>236</v>
      </c>
      <c r="AG543" s="520">
        <v>1</v>
      </c>
      <c r="AH543" s="520">
        <v>4</v>
      </c>
      <c r="AI543" s="520">
        <v>0</v>
      </c>
      <c r="AJ543" s="520">
        <f>VLOOKUP($I543,'Price List, Weapons &amp; Items'!A:E,5,0)</f>
        <v>0</v>
      </c>
      <c r="AK543" s="520">
        <f t="shared" si="111"/>
        <v>0</v>
      </c>
      <c r="AL543" s="520">
        <f t="shared" si="112"/>
        <v>0</v>
      </c>
      <c r="AM543" s="520">
        <f t="shared" si="113"/>
        <v>0</v>
      </c>
      <c r="AN543" s="521" t="str">
        <f>VLOOKUP($I543,'Price List, Weapons &amp; Items'!A:K,COLUMN('Price List, Weapons &amp; Items'!$I$1),0)</f>
        <v>.</v>
      </c>
      <c r="AO543" s="521" t="str">
        <f>IF(I543=".",".",VLOOKUP($I543,'Price List, Weapons &amp; Items'!A:I,3,0))</f>
        <v>spare parts</v>
      </c>
      <c r="AP543" s="517" t="str">
        <f t="shared" ca="1" si="120"/>
        <v/>
      </c>
      <c r="AQ543" s="521" t="str">
        <f>VLOOKUP($I543,'Price List, Weapons &amp; Items'!A:K,COLUMN('Price List, Weapons &amp; Items'!$K$1),0)</f>
        <v>no price, 0 count</v>
      </c>
      <c r="AS543" s="521">
        <f t="shared" si="114"/>
        <v>1</v>
      </c>
      <c r="AT543" s="521">
        <f t="shared" si="115"/>
        <v>1</v>
      </c>
      <c r="AU543" s="521" t="str">
        <f t="shared" si="116"/>
        <v>Value is not in date format</v>
      </c>
      <c r="AV543" s="521" t="str">
        <f t="shared" si="117"/>
        <v>.</v>
      </c>
    </row>
    <row r="544" spans="1:48" ht="15" customHeight="1">
      <c r="A544" s="18" t="s">
        <v>1526</v>
      </c>
      <c r="B544" s="18" t="s">
        <v>1516</v>
      </c>
      <c r="C544" s="511" t="s">
        <v>1539</v>
      </c>
      <c r="D544" s="18" t="s">
        <v>252</v>
      </c>
      <c r="E544" s="18" t="s">
        <v>253</v>
      </c>
      <c r="F544" s="401" t="s">
        <v>1528</v>
      </c>
      <c r="G544" s="39" t="s">
        <v>332</v>
      </c>
      <c r="H544" s="513">
        <v>218800000</v>
      </c>
      <c r="I544" s="41" t="s">
        <v>960</v>
      </c>
      <c r="J544" s="276" t="str">
        <f>VLOOKUP($I544,'Price List, Weapons &amp; Items'!A:B,2,0)</f>
        <v>Military equipment</v>
      </c>
      <c r="K544" s="276" t="str">
        <f>IF(I544=".",I544,VLOOKUP($I544,'Price List, Weapons &amp; Items'!A:C,3,0))</f>
        <v>.</v>
      </c>
      <c r="L544" s="514">
        <f>VLOOKUP(I544,'Price List, Weapons &amp; Items'!A:D,4,0)</f>
        <v>0</v>
      </c>
      <c r="M544" s="515" t="s">
        <v>264</v>
      </c>
      <c r="N544" s="515" t="s">
        <v>264</v>
      </c>
      <c r="O544" s="516" t="str">
        <f>VLOOKUP($I544,'Price List, Weapons &amp; Items'!A:F,6,0)</f>
        <v>.</v>
      </c>
      <c r="P544" s="513" t="str">
        <f t="shared" si="108"/>
        <v>.</v>
      </c>
      <c r="Q544" s="513" t="str">
        <f t="shared" si="109"/>
        <v>.</v>
      </c>
      <c r="R544" s="513" t="str">
        <f t="shared" si="110"/>
        <v/>
      </c>
      <c r="S544" s="513" t="str">
        <f>IF(AND(AD544=1,R544&lt;&gt;".")=TRUE,R544/VLOOKUP(G544,'Exchange rates'!B:C,2,0),IF(R544=".",".",""))</f>
        <v/>
      </c>
      <c r="T544" s="513" t="str">
        <f>IF(AD544=1,IF(AF544="Value is not given at all",".",IF(AF544="Value is given by the source",S544,IF(AF544="Value is calculated with prices",(IF(SUMIFS(Q:Q,A:A,A544)&gt;0,SUMIFS(Q:Q,A:A,A544),"."))/VLOOKUP("USD",'Exchange rates'!B:C,2,0),"Error with coding"))),"")</f>
        <v/>
      </c>
      <c r="U544" s="39" t="s">
        <v>233</v>
      </c>
      <c r="V544" s="376" t="s">
        <v>1530</v>
      </c>
      <c r="W544" s="376" t="s">
        <v>1531</v>
      </c>
      <c r="X544" s="376" t="s">
        <v>1518</v>
      </c>
      <c r="Y544" s="376" t="s">
        <v>1532</v>
      </c>
      <c r="Z544" s="39">
        <v>0</v>
      </c>
      <c r="AA544" s="518">
        <v>0</v>
      </c>
      <c r="AB544" s="395" t="s">
        <v>1531</v>
      </c>
      <c r="AC544" s="519" t="str">
        <f>""</f>
        <v/>
      </c>
      <c r="AD544" s="520">
        <v>0</v>
      </c>
      <c r="AE544" s="520" t="s">
        <v>236</v>
      </c>
      <c r="AF544" s="520" t="s">
        <v>236</v>
      </c>
      <c r="AG544" s="520">
        <v>1</v>
      </c>
      <c r="AH544" s="520">
        <v>4</v>
      </c>
      <c r="AI544" s="520">
        <v>0</v>
      </c>
      <c r="AJ544" s="520">
        <f>VLOOKUP($I544,'Price List, Weapons &amp; Items'!A:E,5,0)</f>
        <v>0</v>
      </c>
      <c r="AK544" s="520">
        <f t="shared" si="111"/>
        <v>0</v>
      </c>
      <c r="AL544" s="520">
        <f t="shared" si="112"/>
        <v>0</v>
      </c>
      <c r="AM544" s="520">
        <f t="shared" si="113"/>
        <v>0</v>
      </c>
      <c r="AN544" s="521" t="str">
        <f>VLOOKUP($I544,'Price List, Weapons &amp; Items'!A:K,COLUMN('Price List, Weapons &amp; Items'!$I$1),0)</f>
        <v>.</v>
      </c>
      <c r="AO544" s="521" t="str">
        <f>IF(I544=".",".",VLOOKUP($I544,'Price List, Weapons &amp; Items'!A:I,3,0))</f>
        <v>.</v>
      </c>
      <c r="AP544" s="517" t="str">
        <f t="shared" ca="1" si="120"/>
        <v/>
      </c>
      <c r="AQ544" s="521" t="str">
        <f>VLOOKUP($I544,'Price List, Weapons &amp; Items'!A:K,COLUMN('Price List, Weapons &amp; Items'!$K$1),0)</f>
        <v>no price, 0 count</v>
      </c>
      <c r="AS544" s="521">
        <f t="shared" si="114"/>
        <v>1</v>
      </c>
      <c r="AT544" s="521">
        <f t="shared" si="115"/>
        <v>1</v>
      </c>
      <c r="AU544" s="521" t="str">
        <f t="shared" si="116"/>
        <v>Value is not in date format</v>
      </c>
      <c r="AV544" s="521" t="str">
        <f t="shared" si="117"/>
        <v>.</v>
      </c>
    </row>
    <row r="545" spans="1:48" ht="15" customHeight="1">
      <c r="A545" s="18" t="s">
        <v>1526</v>
      </c>
      <c r="B545" s="18" t="s">
        <v>1516</v>
      </c>
      <c r="C545" s="511" t="s">
        <v>1540</v>
      </c>
      <c r="D545" s="18" t="s">
        <v>252</v>
      </c>
      <c r="E545" s="18" t="s">
        <v>253</v>
      </c>
      <c r="F545" s="401" t="s">
        <v>1528</v>
      </c>
      <c r="G545" s="39" t="s">
        <v>332</v>
      </c>
      <c r="H545" s="513">
        <v>218800000</v>
      </c>
      <c r="I545" s="41" t="s">
        <v>1541</v>
      </c>
      <c r="J545" s="276" t="str">
        <f>VLOOKUP($I545,'Price List, Weapons &amp; Items'!A:B,2,0)</f>
        <v>Military equipment</v>
      </c>
      <c r="K545" s="276" t="str">
        <f>IF(I545=".",I545,VLOOKUP($I545,'Price List, Weapons &amp; Items'!A:C,3,0))</f>
        <v>.</v>
      </c>
      <c r="L545" s="514">
        <f>VLOOKUP(I545,'Price List, Weapons &amp; Items'!A:D,4,0)</f>
        <v>0</v>
      </c>
      <c r="M545" s="515" t="s">
        <v>264</v>
      </c>
      <c r="N545" s="515" t="s">
        <v>264</v>
      </c>
      <c r="O545" s="516" t="str">
        <f>VLOOKUP($I545,'Price List, Weapons &amp; Items'!A:F,6,0)</f>
        <v>.</v>
      </c>
      <c r="P545" s="513" t="str">
        <f t="shared" si="108"/>
        <v>.</v>
      </c>
      <c r="Q545" s="513" t="str">
        <f t="shared" si="109"/>
        <v>.</v>
      </c>
      <c r="R545" s="513" t="str">
        <f t="shared" si="110"/>
        <v/>
      </c>
      <c r="S545" s="513" t="str">
        <f>IF(AND(AD545=1,R545&lt;&gt;".")=TRUE,R545/VLOOKUP(G545,'Exchange rates'!B:C,2,0),IF(R545=".",".",""))</f>
        <v/>
      </c>
      <c r="T545" s="513" t="str">
        <f>IF(AD545=1,IF(AF545="Value is not given at all",".",IF(AF545="Value is given by the source",S545,IF(AF545="Value is calculated with prices",(IF(SUMIFS(Q:Q,A:A,A545)&gt;0,SUMIFS(Q:Q,A:A,A545),"."))/VLOOKUP("USD",'Exchange rates'!B:C,2,0),"Error with coding"))),"")</f>
        <v/>
      </c>
      <c r="U545" s="39" t="s">
        <v>233</v>
      </c>
      <c r="V545" s="376" t="s">
        <v>1530</v>
      </c>
      <c r="W545" s="376" t="s">
        <v>1531</v>
      </c>
      <c r="X545" s="376" t="s">
        <v>1518</v>
      </c>
      <c r="Y545" s="376" t="s">
        <v>1532</v>
      </c>
      <c r="Z545" s="39">
        <v>0</v>
      </c>
      <c r="AA545" s="518">
        <v>0</v>
      </c>
      <c r="AB545" s="395" t="s">
        <v>1531</v>
      </c>
      <c r="AC545" s="519" t="str">
        <f>""</f>
        <v/>
      </c>
      <c r="AD545" s="520">
        <v>0</v>
      </c>
      <c r="AE545" s="520" t="s">
        <v>236</v>
      </c>
      <c r="AF545" s="520" t="s">
        <v>236</v>
      </c>
      <c r="AG545" s="520">
        <v>1</v>
      </c>
      <c r="AH545" s="520">
        <v>4</v>
      </c>
      <c r="AI545" s="520">
        <v>0</v>
      </c>
      <c r="AJ545" s="520">
        <f>VLOOKUP($I545,'Price List, Weapons &amp; Items'!A:E,5,0)</f>
        <v>0</v>
      </c>
      <c r="AK545" s="520">
        <f t="shared" si="111"/>
        <v>0</v>
      </c>
      <c r="AL545" s="520">
        <f t="shared" si="112"/>
        <v>0</v>
      </c>
      <c r="AM545" s="520">
        <f t="shared" si="113"/>
        <v>0</v>
      </c>
      <c r="AN545" s="521" t="str">
        <f>VLOOKUP($I545,'Price List, Weapons &amp; Items'!A:K,COLUMN('Price List, Weapons &amp; Items'!$I$1),0)</f>
        <v>.</v>
      </c>
      <c r="AO545" s="521" t="str">
        <f>IF(I545=".",".",VLOOKUP($I545,'Price List, Weapons &amp; Items'!A:I,3,0))</f>
        <v>.</v>
      </c>
      <c r="AP545" s="517" t="str">
        <f t="shared" ca="1" si="120"/>
        <v/>
      </c>
      <c r="AQ545" s="521" t="str">
        <f>VLOOKUP($I545,'Price List, Weapons &amp; Items'!A:K,COLUMN('Price List, Weapons &amp; Items'!$K$1),0)</f>
        <v>no price, 0 count</v>
      </c>
      <c r="AS545" s="521">
        <f t="shared" si="114"/>
        <v>1</v>
      </c>
      <c r="AT545" s="521">
        <f t="shared" si="115"/>
        <v>1</v>
      </c>
      <c r="AU545" s="521" t="str">
        <f t="shared" si="116"/>
        <v>Value is not in date format</v>
      </c>
      <c r="AV545" s="521" t="str">
        <f t="shared" si="117"/>
        <v>.</v>
      </c>
    </row>
    <row r="546" spans="1:48" ht="15" customHeight="1">
      <c r="A546" s="41" t="s">
        <v>1542</v>
      </c>
      <c r="B546" s="41" t="s">
        <v>1516</v>
      </c>
      <c r="C546" s="511" t="s">
        <v>1543</v>
      </c>
      <c r="D546" s="18" t="s">
        <v>252</v>
      </c>
      <c r="E546" s="18" t="s">
        <v>253</v>
      </c>
      <c r="F546" s="401" t="s">
        <v>1544</v>
      </c>
      <c r="G546" s="39" t="s">
        <v>332</v>
      </c>
      <c r="H546" s="513">
        <v>30000000</v>
      </c>
      <c r="I546" s="41" t="s">
        <v>232</v>
      </c>
      <c r="J546" s="276" t="str">
        <f>VLOOKUP($I546,'Price List, Weapons &amp; Items'!A:B,2,0)</f>
        <v>.</v>
      </c>
      <c r="K546" s="276" t="str">
        <f>IF(I546=".",I546,VLOOKUP($I546,'Price List, Weapons &amp; Items'!A:C,3,0))</f>
        <v>.</v>
      </c>
      <c r="L546" s="514">
        <f>VLOOKUP(I546,'Price List, Weapons &amp; Items'!A:D,4,0)</f>
        <v>0</v>
      </c>
      <c r="M546" s="515" t="s">
        <v>232</v>
      </c>
      <c r="N546" s="515" t="s">
        <v>232</v>
      </c>
      <c r="O546" s="516" t="str">
        <f>VLOOKUP($I546,'Price List, Weapons &amp; Items'!A:F,6,0)</f>
        <v>.</v>
      </c>
      <c r="P546" s="513" t="str">
        <f t="shared" si="108"/>
        <v>.</v>
      </c>
      <c r="Q546" s="513" t="str">
        <f t="shared" si="109"/>
        <v>.</v>
      </c>
      <c r="R546" s="513">
        <f t="shared" si="110"/>
        <v>30000000</v>
      </c>
      <c r="S546" s="513">
        <f>IF(AND(AD546=1,R546&lt;&gt;".")=TRUE,R546/VLOOKUP(G546,'Exchange rates'!B:C,2,0),IF(R546=".",".",""))</f>
        <v>30000000</v>
      </c>
      <c r="T546" s="513">
        <f>IF(AD546=1,IF(AF546="Value is not given at all",".",IF(AF546="Value is given by the source",S546,IF(AF546="Value is calculated with prices",(IF(SUMIFS(Q:Q,A:A,A546)&gt;0,SUMIFS(Q:Q,A:A,A546),"."))/VLOOKUP("USD",'Exchange rates'!B:C,2,0),"Error with coding"))),"")</f>
        <v>30000000</v>
      </c>
      <c r="U546" s="39" t="s">
        <v>372</v>
      </c>
      <c r="V546" s="42" t="s">
        <v>1545</v>
      </c>
      <c r="W546" s="42" t="s">
        <v>232</v>
      </c>
      <c r="X546" s="42" t="s">
        <v>232</v>
      </c>
      <c r="Y546" s="42" t="s">
        <v>232</v>
      </c>
      <c r="Z546" s="39">
        <v>0</v>
      </c>
      <c r="AA546" s="518">
        <v>0</v>
      </c>
      <c r="AB546" s="395" t="s">
        <v>1545</v>
      </c>
      <c r="AC546" s="519" t="str">
        <f>""</f>
        <v/>
      </c>
      <c r="AD546" s="520">
        <v>1</v>
      </c>
      <c r="AE546" s="520" t="s">
        <v>236</v>
      </c>
      <c r="AF546" s="520" t="s">
        <v>236</v>
      </c>
      <c r="AG546" s="520">
        <v>1</v>
      </c>
      <c r="AH546" s="520">
        <v>7</v>
      </c>
      <c r="AI546" s="520">
        <v>0</v>
      </c>
      <c r="AJ546" s="520">
        <f>VLOOKUP($I546,'Price List, Weapons &amp; Items'!A:E,5,0)</f>
        <v>0</v>
      </c>
      <c r="AK546" s="520">
        <f t="shared" si="111"/>
        <v>0</v>
      </c>
      <c r="AL546" s="520">
        <f t="shared" si="112"/>
        <v>0</v>
      </c>
      <c r="AM546" s="520">
        <f t="shared" si="113"/>
        <v>0</v>
      </c>
      <c r="AN546" s="521" t="str">
        <f>VLOOKUP($I546,'Price List, Weapons &amp; Items'!A:K,COLUMN('Price List, Weapons &amp; Items'!$I$1),0)</f>
        <v>.</v>
      </c>
      <c r="AO546" s="521" t="str">
        <f>IF(I546=".",".",VLOOKUP($I546,'Price List, Weapons &amp; Items'!A:I,3,0))</f>
        <v>.</v>
      </c>
      <c r="AP546" s="517" t="str">
        <f t="shared" ca="1" si="120"/>
        <v>.</v>
      </c>
      <c r="AQ546" s="521" t="str">
        <f>VLOOKUP($I546,'Price List, Weapons &amp; Items'!A:K,COLUMN('Price List, Weapons &amp; Items'!$K$1),0)</f>
        <v>no price, 0 count</v>
      </c>
      <c r="AS546" s="521">
        <f t="shared" si="114"/>
        <v>0</v>
      </c>
      <c r="AT546" s="521">
        <f t="shared" si="115"/>
        <v>1</v>
      </c>
      <c r="AU546" s="521" t="str">
        <f t="shared" si="116"/>
        <v>Value is not in date format</v>
      </c>
      <c r="AV546" s="521" t="str">
        <f t="shared" si="117"/>
        <v>.</v>
      </c>
    </row>
    <row r="547" spans="1:48" ht="15" customHeight="1">
      <c r="A547" s="41" t="s">
        <v>1546</v>
      </c>
      <c r="B547" s="41" t="s">
        <v>1516</v>
      </c>
      <c r="C547" s="511">
        <v>44788</v>
      </c>
      <c r="D547" s="18" t="s">
        <v>252</v>
      </c>
      <c r="E547" s="18" t="s">
        <v>307</v>
      </c>
      <c r="F547" s="401" t="s">
        <v>1547</v>
      </c>
      <c r="G547" s="39" t="s">
        <v>314</v>
      </c>
      <c r="H547" s="513" t="s">
        <v>309</v>
      </c>
      <c r="I547" s="41" t="s">
        <v>1548</v>
      </c>
      <c r="J547" s="276" t="str">
        <f>VLOOKUP($I547,'Price List, Weapons &amp; Items'!A:B,2,0)</f>
        <v>Aviation and drones</v>
      </c>
      <c r="K547" s="276" t="str">
        <f>IF(I547=".",I547,VLOOKUP($I547,'Price List, Weapons &amp; Items'!A:C,3,0))</f>
        <v>Combat aircraft</v>
      </c>
      <c r="L547" s="514">
        <f>VLOOKUP(I547,'Price List, Weapons &amp; Items'!A:D,4,0)</f>
        <v>1</v>
      </c>
      <c r="M547" s="515">
        <v>2</v>
      </c>
      <c r="N547" s="515">
        <v>2</v>
      </c>
      <c r="O547" s="516">
        <f>VLOOKUP($I547,'Price List, Weapons &amp; Items'!A:F,6,0)</f>
        <v>18400000</v>
      </c>
      <c r="P547" s="513">
        <f t="shared" si="108"/>
        <v>36800000</v>
      </c>
      <c r="Q547" s="513">
        <f t="shared" si="109"/>
        <v>36800000</v>
      </c>
      <c r="R547" s="513">
        <f t="shared" si="110"/>
        <v>38100000</v>
      </c>
      <c r="S547" s="513">
        <f>IF(AND(AD547=1,R547&lt;&gt;".")=TRUE,R547/VLOOKUP(G547,'Exchange rates'!B:C,2,0),IF(R547=".",".",""))</f>
        <v>37967115.097159937</v>
      </c>
      <c r="T547" s="513">
        <f>IF(AD547=1,IF(AF547="Value is not given at all",".",IF(AF547="Value is given by the source",S547,IF(AF547="Value is calculated with prices",(IF(SUMIFS(Q:Q,A:A,A547)&gt;0,SUMIFS(Q:Q,A:A,A547),"."))/VLOOKUP("USD",'Exchange rates'!B:C,2,0),"Error with coding"))),"")</f>
        <v>37967115.097159937</v>
      </c>
      <c r="U547" s="39" t="s">
        <v>233</v>
      </c>
      <c r="V547" s="42" t="s">
        <v>1549</v>
      </c>
      <c r="W547" s="42" t="s">
        <v>1550</v>
      </c>
      <c r="X547" s="42" t="s">
        <v>232</v>
      </c>
      <c r="Y547" s="42" t="s">
        <v>232</v>
      </c>
      <c r="Z547" s="39">
        <v>0</v>
      </c>
      <c r="AA547" s="518">
        <v>0</v>
      </c>
      <c r="AB547" s="395" t="s">
        <v>1549</v>
      </c>
      <c r="AC547" s="519" t="str">
        <f>""</f>
        <v/>
      </c>
      <c r="AD547" s="520">
        <v>1</v>
      </c>
      <c r="AE547" s="520" t="s">
        <v>300</v>
      </c>
      <c r="AF547" s="520" t="s">
        <v>300</v>
      </c>
      <c r="AG547" s="520">
        <v>1</v>
      </c>
      <c r="AH547" s="520">
        <v>8</v>
      </c>
      <c r="AI547" s="520">
        <v>0</v>
      </c>
      <c r="AJ547" s="520">
        <f>VLOOKUP($I547,'Price List, Weapons &amp; Items'!A:E,5,0)</f>
        <v>0</v>
      </c>
      <c r="AK547" s="520">
        <f t="shared" si="111"/>
        <v>0</v>
      </c>
      <c r="AL547" s="520">
        <f t="shared" si="112"/>
        <v>0</v>
      </c>
      <c r="AM547" s="520">
        <f t="shared" si="113"/>
        <v>0</v>
      </c>
      <c r="AN547" s="521" t="str">
        <f>VLOOKUP($I547,'Price List, Weapons &amp; Items'!A:K,COLUMN('Price List, Weapons &amp; Items'!$I$1),0)</f>
        <v>Media reports (incl. social media)</v>
      </c>
      <c r="AO547" s="521" t="str">
        <f>IF(I547=".",".",VLOOKUP($I547,'Price List, Weapons &amp; Items'!A:I,3,0))</f>
        <v>Combat aircraft</v>
      </c>
      <c r="AP547" s="517" t="str">
        <f t="shared" ca="1" si="120"/>
        <v>Mi-17; Mi-2</v>
      </c>
      <c r="AQ547" s="521">
        <f>VLOOKUP($I547,'Price List, Weapons &amp; Items'!A:K,COLUMN('Price List, Weapons &amp; Items'!$K$1),0)</f>
        <v>2</v>
      </c>
      <c r="AS547" s="521">
        <f t="shared" si="114"/>
        <v>1</v>
      </c>
      <c r="AT547" s="521">
        <f t="shared" si="115"/>
        <v>1</v>
      </c>
      <c r="AU547" s="521">
        <f t="shared" si="116"/>
        <v>1</v>
      </c>
      <c r="AV547" s="521" t="str">
        <f t="shared" si="117"/>
        <v>.</v>
      </c>
    </row>
    <row r="548" spans="1:48" ht="15" customHeight="1">
      <c r="A548" s="41" t="s">
        <v>1546</v>
      </c>
      <c r="B548" s="41" t="s">
        <v>1516</v>
      </c>
      <c r="C548" s="511">
        <v>44788</v>
      </c>
      <c r="D548" s="18" t="s">
        <v>252</v>
      </c>
      <c r="E548" s="18" t="s">
        <v>307</v>
      </c>
      <c r="F548" s="401" t="s">
        <v>1547</v>
      </c>
      <c r="G548" s="39" t="s">
        <v>314</v>
      </c>
      <c r="H548" s="513" t="s">
        <v>309</v>
      </c>
      <c r="I548" s="41" t="s">
        <v>1551</v>
      </c>
      <c r="J548" s="276" t="str">
        <f>VLOOKUP($I548,'Price List, Weapons &amp; Items'!A:B,2,0)</f>
        <v>Aviation and drones</v>
      </c>
      <c r="K548" s="276" t="str">
        <f>IF(I548=".",I548,VLOOKUP($I548,'Price List, Weapons &amp; Items'!A:C,3,0))</f>
        <v>Transport aircraft</v>
      </c>
      <c r="L548" s="514">
        <f>VLOOKUP(I548,'Price List, Weapons &amp; Items'!A:D,4,0)</f>
        <v>1</v>
      </c>
      <c r="M548" s="515">
        <v>2</v>
      </c>
      <c r="N548" s="515">
        <v>2</v>
      </c>
      <c r="O548" s="516">
        <f>VLOOKUP($I548,'Price List, Weapons &amp; Items'!A:F,6,0)</f>
        <v>650000</v>
      </c>
      <c r="P548" s="513">
        <f t="shared" si="108"/>
        <v>1300000</v>
      </c>
      <c r="Q548" s="513">
        <f t="shared" si="109"/>
        <v>1300000</v>
      </c>
      <c r="R548" s="513" t="str">
        <f t="shared" si="110"/>
        <v/>
      </c>
      <c r="S548" s="513" t="str">
        <f>IF(AND(AD548=1,R548&lt;&gt;".")=TRUE,R548/VLOOKUP(G548,'Exchange rates'!B:C,2,0),IF(R548=".",".",""))</f>
        <v/>
      </c>
      <c r="T548" s="513" t="str">
        <f>IF(AD548=1,IF(AF548="Value is not given at all",".",IF(AF548="Value is given by the source",S548,IF(AF548="Value is calculated with prices",(IF(SUMIFS(Q:Q,A:A,A548)&gt;0,SUMIFS(Q:Q,A:A,A548),"."))/VLOOKUP("USD",'Exchange rates'!B:C,2,0),"Error with coding"))),"")</f>
        <v/>
      </c>
      <c r="U548" s="39" t="s">
        <v>233</v>
      </c>
      <c r="V548" s="42" t="s">
        <v>1549</v>
      </c>
      <c r="W548" s="42" t="s">
        <v>1550</v>
      </c>
      <c r="X548" s="42" t="s">
        <v>232</v>
      </c>
      <c r="Y548" s="42" t="s">
        <v>232</v>
      </c>
      <c r="Z548" s="39">
        <v>0</v>
      </c>
      <c r="AA548" s="518">
        <v>0</v>
      </c>
      <c r="AB548" s="395" t="s">
        <v>1549</v>
      </c>
      <c r="AC548" s="519" t="str">
        <f>""</f>
        <v/>
      </c>
      <c r="AD548" s="520">
        <v>0</v>
      </c>
      <c r="AE548" s="520" t="s">
        <v>300</v>
      </c>
      <c r="AF548" s="520" t="s">
        <v>300</v>
      </c>
      <c r="AG548" s="520">
        <v>1</v>
      </c>
      <c r="AH548" s="520">
        <v>8</v>
      </c>
      <c r="AI548" s="520">
        <v>0</v>
      </c>
      <c r="AJ548" s="520">
        <f>VLOOKUP($I548,'Price List, Weapons &amp; Items'!A:E,5,0)</f>
        <v>0</v>
      </c>
      <c r="AK548" s="520">
        <f t="shared" si="111"/>
        <v>0</v>
      </c>
      <c r="AL548" s="520">
        <f t="shared" si="112"/>
        <v>0</v>
      </c>
      <c r="AM548" s="520">
        <f t="shared" si="113"/>
        <v>0</v>
      </c>
      <c r="AN548" s="521" t="str">
        <f>VLOOKUP($I548,'Price List, Weapons &amp; Items'!A:K,COLUMN('Price List, Weapons &amp; Items'!$I$1),0)</f>
        <v>Online marketplaces and stores</v>
      </c>
      <c r="AO548" s="521" t="str">
        <f>IF(I548=".",".",VLOOKUP($I548,'Price List, Weapons &amp; Items'!A:I,3,0))</f>
        <v>Transport aircraft</v>
      </c>
      <c r="AP548" s="517" t="str">
        <f t="shared" ca="1" si="120"/>
        <v/>
      </c>
      <c r="AQ548" s="521">
        <f>VLOOKUP($I548,'Price List, Weapons &amp; Items'!A:K,COLUMN('Price List, Weapons &amp; Items'!$K$1),0)</f>
        <v>2</v>
      </c>
      <c r="AS548" s="521">
        <f t="shared" si="114"/>
        <v>1</v>
      </c>
      <c r="AT548" s="521">
        <f t="shared" si="115"/>
        <v>1</v>
      </c>
      <c r="AU548" s="521">
        <f t="shared" si="116"/>
        <v>1</v>
      </c>
      <c r="AV548" s="521" t="str">
        <f t="shared" si="117"/>
        <v>.</v>
      </c>
    </row>
    <row r="549" spans="1:48" ht="15" customHeight="1">
      <c r="A549" s="41" t="s">
        <v>1552</v>
      </c>
      <c r="B549" s="41" t="s">
        <v>1516</v>
      </c>
      <c r="C549" s="511">
        <v>44788</v>
      </c>
      <c r="D549" s="18" t="s">
        <v>252</v>
      </c>
      <c r="E549" s="18" t="s">
        <v>307</v>
      </c>
      <c r="F549" s="401" t="s">
        <v>1553</v>
      </c>
      <c r="G549" s="39" t="s">
        <v>314</v>
      </c>
      <c r="H549" s="513" t="s">
        <v>309</v>
      </c>
      <c r="I549" s="41" t="s">
        <v>1462</v>
      </c>
      <c r="J549" s="276" t="str">
        <f>VLOOKUP($I549,'Price List, Weapons &amp; Items'!A:B,2,0)</f>
        <v>Heavy weapon</v>
      </c>
      <c r="K549" s="276" t="str">
        <f>IF(I549=".",I549,VLOOKUP($I549,'Price List, Weapons &amp; Items'!A:C,3,0))</f>
        <v>155mm howitzer</v>
      </c>
      <c r="L549" s="514">
        <f>VLOOKUP(I549,'Price List, Weapons &amp; Items'!A:D,4,0)</f>
        <v>0</v>
      </c>
      <c r="M549" s="515">
        <v>6</v>
      </c>
      <c r="N549" s="515">
        <v>6</v>
      </c>
      <c r="O549" s="516">
        <f>VLOOKUP($I549,'Price List, Weapons &amp; Items'!A:F,6,0)</f>
        <v>1734787.30789614</v>
      </c>
      <c r="P549" s="513">
        <f t="shared" si="108"/>
        <v>10408723.84737684</v>
      </c>
      <c r="Q549" s="513">
        <f t="shared" si="109"/>
        <v>10408723.84737684</v>
      </c>
      <c r="R549" s="513">
        <f t="shared" si="110"/>
        <v>10408723.84737684</v>
      </c>
      <c r="S549" s="513">
        <f>IF(AND(AD549=1,R549&lt;&gt;".")=TRUE,R549/VLOOKUP(G549,'Exchange rates'!B:C,2,0),IF(R549=".",".",""))</f>
        <v>10372420.376060627</v>
      </c>
      <c r="T549" s="513">
        <f>IF(AD549=1,IF(AF549="Value is not given at all",".",IF(AF549="Value is given by the source",S549,IF(AF549="Value is calculated with prices",(IF(SUMIFS(Q:Q,A:A,A549)&gt;0,SUMIFS(Q:Q,A:A,A549),"."))/VLOOKUP("USD",'Exchange rates'!B:C,2,0),"Error with coding"))),"")</f>
        <v>10372420.376060627</v>
      </c>
      <c r="U549" s="39" t="s">
        <v>233</v>
      </c>
      <c r="V549" s="42" t="s">
        <v>1554</v>
      </c>
      <c r="W549" s="42" t="s">
        <v>232</v>
      </c>
      <c r="X549" s="42" t="s">
        <v>232</v>
      </c>
      <c r="Y549" s="42" t="s">
        <v>232</v>
      </c>
      <c r="Z549" s="39">
        <v>0</v>
      </c>
      <c r="AA549" s="518">
        <v>0</v>
      </c>
      <c r="AB549" s="395" t="s">
        <v>1554</v>
      </c>
      <c r="AC549" s="519" t="str">
        <f>""</f>
        <v/>
      </c>
      <c r="AD549" s="520">
        <v>1</v>
      </c>
      <c r="AE549" s="520" t="s">
        <v>300</v>
      </c>
      <c r="AF549" s="520" t="s">
        <v>300</v>
      </c>
      <c r="AG549" s="520">
        <v>1</v>
      </c>
      <c r="AH549" s="520">
        <v>8</v>
      </c>
      <c r="AI549" s="520">
        <v>0</v>
      </c>
      <c r="AJ549" s="520">
        <f>VLOOKUP($I549,'Price List, Weapons &amp; Items'!A:E,5,0)</f>
        <v>1</v>
      </c>
      <c r="AK549" s="520">
        <f t="shared" si="111"/>
        <v>0</v>
      </c>
      <c r="AL549" s="520">
        <f t="shared" si="112"/>
        <v>0</v>
      </c>
      <c r="AM549" s="520">
        <f t="shared" si="113"/>
        <v>0</v>
      </c>
      <c r="AN549" s="521" t="str">
        <f>VLOOKUP($I549,'Price List, Weapons &amp; Items'!A:K,COLUMN('Price List, Weapons &amp; Items'!$I$1),0)</f>
        <v>Contracts</v>
      </c>
      <c r="AO549" s="521" t="str">
        <f>IF(I549=".",".",VLOOKUP($I549,'Price List, Weapons &amp; Items'!A:I,3,0))</f>
        <v>155mm howitzer</v>
      </c>
      <c r="AP549" s="517" t="str">
        <f t="shared" ca="1" si="120"/>
        <v>M109 A3GM 155mm howitzer</v>
      </c>
      <c r="AQ549" s="521">
        <f>VLOOKUP($I549,'Price List, Weapons &amp; Items'!A:K,COLUMN('Price List, Weapons &amp; Items'!$K$1),0)</f>
        <v>2</v>
      </c>
      <c r="AS549" s="521">
        <f t="shared" si="114"/>
        <v>1</v>
      </c>
      <c r="AT549" s="521">
        <f t="shared" si="115"/>
        <v>1</v>
      </c>
      <c r="AU549" s="521">
        <f t="shared" si="116"/>
        <v>1</v>
      </c>
      <c r="AV549" s="521" t="str">
        <f t="shared" si="117"/>
        <v>.</v>
      </c>
    </row>
    <row r="550" spans="1:48" ht="15" customHeight="1">
      <c r="A550" s="41" t="s">
        <v>1555</v>
      </c>
      <c r="B550" s="41" t="s">
        <v>1516</v>
      </c>
      <c r="C550" s="511">
        <v>44628</v>
      </c>
      <c r="D550" s="18" t="s">
        <v>366</v>
      </c>
      <c r="E550" s="18" t="s">
        <v>330</v>
      </c>
      <c r="F550" s="512" t="s">
        <v>1556</v>
      </c>
      <c r="G550" s="39" t="s">
        <v>332</v>
      </c>
      <c r="H550" s="513">
        <v>5000000</v>
      </c>
      <c r="I550" s="41" t="s">
        <v>232</v>
      </c>
      <c r="J550" s="276" t="str">
        <f>VLOOKUP($I550,'Price List, Weapons &amp; Items'!A:B,2,0)</f>
        <v>.</v>
      </c>
      <c r="K550" s="276" t="str">
        <f>IF(I550=".",I550,VLOOKUP($I550,'Price List, Weapons &amp; Items'!A:C,3,0))</f>
        <v>.</v>
      </c>
      <c r="L550" s="514">
        <f>VLOOKUP(I550,'Price List, Weapons &amp; Items'!A:D,4,0)</f>
        <v>0</v>
      </c>
      <c r="M550" s="515" t="s">
        <v>232</v>
      </c>
      <c r="N550" s="515" t="s">
        <v>232</v>
      </c>
      <c r="O550" s="516" t="str">
        <f>VLOOKUP($I550,'Price List, Weapons &amp; Items'!A:F,6,0)</f>
        <v>.</v>
      </c>
      <c r="P550" s="513" t="str">
        <f t="shared" si="108"/>
        <v>.</v>
      </c>
      <c r="Q550" s="513" t="str">
        <f t="shared" si="109"/>
        <v>.</v>
      </c>
      <c r="R550" s="513">
        <f t="shared" si="110"/>
        <v>5000000</v>
      </c>
      <c r="S550" s="513">
        <f>IF(AND(AD550=1,R550&lt;&gt;".")=TRUE,R550/VLOOKUP(G550,'Exchange rates'!B:C,2,0),IF(R550=".",".",""))</f>
        <v>5000000</v>
      </c>
      <c r="T550" s="513" t="str">
        <f>IF(AD550=1,IF(AF550="Value is not given at all",".",IF(AF550="Value is given by the source",S550,IF(AF550="Value is calculated with prices",(IF(SUMIFS(Q:Q,A:A,A550)&gt;0,SUMIFS(Q:Q,A:A,A550),"."))/VLOOKUP("USD",'Exchange rates'!B:C,2,0),"Error with coding"))),"")</f>
        <v>.</v>
      </c>
      <c r="U550" s="39" t="s">
        <v>233</v>
      </c>
      <c r="V550" s="42" t="s">
        <v>1557</v>
      </c>
      <c r="W550" s="42" t="s">
        <v>833</v>
      </c>
      <c r="X550" s="517" t="s">
        <v>232</v>
      </c>
      <c r="Y550" s="517" t="s">
        <v>232</v>
      </c>
      <c r="Z550" s="39">
        <v>1</v>
      </c>
      <c r="AA550" s="518">
        <v>0</v>
      </c>
      <c r="AB550" s="38" t="s">
        <v>232</v>
      </c>
      <c r="AC550" s="519" t="str">
        <f>""</f>
        <v/>
      </c>
      <c r="AD550" s="520">
        <v>1</v>
      </c>
      <c r="AE550" s="520" t="s">
        <v>236</v>
      </c>
      <c r="AF550" s="520" t="s">
        <v>237</v>
      </c>
      <c r="AG550" s="520">
        <v>1</v>
      </c>
      <c r="AH550" s="520">
        <v>3</v>
      </c>
      <c r="AI550" s="520">
        <v>0</v>
      </c>
      <c r="AJ550" s="520">
        <f>VLOOKUP($I550,'Price List, Weapons &amp; Items'!A:E,5,0)</f>
        <v>0</v>
      </c>
      <c r="AK550" s="520">
        <f t="shared" si="111"/>
        <v>0</v>
      </c>
      <c r="AL550" s="520">
        <f t="shared" si="112"/>
        <v>0</v>
      </c>
      <c r="AM550" s="520">
        <f t="shared" si="113"/>
        <v>0</v>
      </c>
      <c r="AN550" s="521" t="str">
        <f>VLOOKUP($I550,'Price List, Weapons &amp; Items'!A:K,COLUMN('Price List, Weapons &amp; Items'!$I$1),0)</f>
        <v>.</v>
      </c>
      <c r="AO550" s="521" t="str">
        <f>IF(I550=".",".",VLOOKUP($I550,'Price List, Weapons &amp; Items'!A:I,3,0))</f>
        <v>.</v>
      </c>
      <c r="AP550" s="517" t="str">
        <f t="shared" ca="1" si="120"/>
        <v>.</v>
      </c>
      <c r="AQ550" s="521" t="str">
        <f>VLOOKUP($I550,'Price List, Weapons &amp; Items'!A:K,COLUMN('Price List, Weapons &amp; Items'!$K$1),0)</f>
        <v>no price, 0 count</v>
      </c>
      <c r="AS550" s="521">
        <f t="shared" si="114"/>
        <v>1</v>
      </c>
      <c r="AT550" s="521">
        <f t="shared" si="115"/>
        <v>0</v>
      </c>
      <c r="AU550" s="521">
        <f t="shared" si="116"/>
        <v>1</v>
      </c>
      <c r="AV550" s="521" t="str">
        <f t="shared" si="117"/>
        <v>.</v>
      </c>
    </row>
    <row r="551" spans="1:48" ht="15" customHeight="1">
      <c r="A551" s="41" t="s">
        <v>1558</v>
      </c>
      <c r="B551" s="41" t="s">
        <v>1516</v>
      </c>
      <c r="C551" s="511">
        <v>44686</v>
      </c>
      <c r="D551" s="18" t="s">
        <v>366</v>
      </c>
      <c r="E551" s="18" t="s">
        <v>453</v>
      </c>
      <c r="F551" s="512" t="s">
        <v>1559</v>
      </c>
      <c r="G551" s="39" t="s">
        <v>332</v>
      </c>
      <c r="H551" s="513">
        <v>10000000</v>
      </c>
      <c r="I551" s="41" t="s">
        <v>232</v>
      </c>
      <c r="J551" s="276" t="str">
        <f>VLOOKUP($I551,'Price List, Weapons &amp; Items'!A:B,2,0)</f>
        <v>.</v>
      </c>
      <c r="K551" s="276" t="str">
        <f>IF(I551=".",I551,VLOOKUP($I551,'Price List, Weapons &amp; Items'!A:C,3,0))</f>
        <v>.</v>
      </c>
      <c r="L551" s="514">
        <f>VLOOKUP(I551,'Price List, Weapons &amp; Items'!A:D,4,0)</f>
        <v>0</v>
      </c>
      <c r="M551" s="515" t="s">
        <v>232</v>
      </c>
      <c r="N551" s="515" t="s">
        <v>232</v>
      </c>
      <c r="O551" s="516" t="str">
        <f>VLOOKUP($I551,'Price List, Weapons &amp; Items'!A:F,6,0)</f>
        <v>.</v>
      </c>
      <c r="P551" s="513" t="str">
        <f t="shared" si="108"/>
        <v>.</v>
      </c>
      <c r="Q551" s="513" t="str">
        <f t="shared" si="109"/>
        <v>.</v>
      </c>
      <c r="R551" s="513">
        <f t="shared" si="110"/>
        <v>10000000</v>
      </c>
      <c r="S551" s="513">
        <f>IF(AND(AD551=1,R551&lt;&gt;".")=TRUE,R551/VLOOKUP(G551,'Exchange rates'!B:C,2,0),IF(R551=".",".",""))</f>
        <v>10000000</v>
      </c>
      <c r="T551" s="513" t="str">
        <f>IF(AD551=1,IF(AF551="Value is not given at all",".",IF(AF551="Value is given by the source",S551,IF(AF551="Value is calculated with prices",(IF(SUMIFS(Q:Q,A:A,A551)&gt;0,SUMIFS(Q:Q,A:A,A551),"."))/VLOOKUP("USD",'Exchange rates'!B:C,2,0),"Error with coding"))),"")</f>
        <v>.</v>
      </c>
      <c r="U551" s="39" t="s">
        <v>233</v>
      </c>
      <c r="V551" s="42" t="s">
        <v>385</v>
      </c>
      <c r="W551" s="42" t="s">
        <v>1560</v>
      </c>
      <c r="X551" s="517" t="s">
        <v>232</v>
      </c>
      <c r="Y551" s="517" t="s">
        <v>232</v>
      </c>
      <c r="Z551" s="39">
        <v>1</v>
      </c>
      <c r="AA551" s="518">
        <v>0</v>
      </c>
      <c r="AB551" s="38" t="s">
        <v>232</v>
      </c>
      <c r="AC551" s="519" t="str">
        <f>""</f>
        <v/>
      </c>
      <c r="AD551" s="520">
        <v>1</v>
      </c>
      <c r="AE551" s="520" t="s">
        <v>236</v>
      </c>
      <c r="AF551" s="520" t="s">
        <v>237</v>
      </c>
      <c r="AG551" s="520">
        <v>1</v>
      </c>
      <c r="AH551" s="520">
        <v>5</v>
      </c>
      <c r="AI551" s="520">
        <v>0</v>
      </c>
      <c r="AJ551" s="520">
        <f>VLOOKUP($I551,'Price List, Weapons &amp; Items'!A:E,5,0)</f>
        <v>0</v>
      </c>
      <c r="AK551" s="520">
        <f t="shared" si="111"/>
        <v>0</v>
      </c>
      <c r="AL551" s="520">
        <f t="shared" si="112"/>
        <v>0</v>
      </c>
      <c r="AM551" s="520">
        <f t="shared" si="113"/>
        <v>0</v>
      </c>
      <c r="AN551" s="521" t="str">
        <f>VLOOKUP($I551,'Price List, Weapons &amp; Items'!A:K,COLUMN('Price List, Weapons &amp; Items'!$I$1),0)</f>
        <v>.</v>
      </c>
      <c r="AO551" s="521" t="str">
        <f>IF(I551=".",".",VLOOKUP($I551,'Price List, Weapons &amp; Items'!A:I,3,0))</f>
        <v>.</v>
      </c>
      <c r="AP551" s="517" t="str">
        <f t="shared" ca="1" si="120"/>
        <v>.</v>
      </c>
      <c r="AQ551" s="521" t="str">
        <f>VLOOKUP($I551,'Price List, Weapons &amp; Items'!A:K,COLUMN('Price List, Weapons &amp; Items'!$K$1),0)</f>
        <v>no price, 0 count</v>
      </c>
      <c r="AS551" s="521">
        <f t="shared" si="114"/>
        <v>1</v>
      </c>
      <c r="AT551" s="521">
        <f t="shared" si="115"/>
        <v>0</v>
      </c>
      <c r="AU551" s="521">
        <f t="shared" si="116"/>
        <v>1</v>
      </c>
      <c r="AV551" s="521" t="str">
        <f t="shared" si="117"/>
        <v>.</v>
      </c>
    </row>
    <row r="552" spans="1:48" ht="15" customHeight="1">
      <c r="A552" s="41" t="s">
        <v>1561</v>
      </c>
      <c r="B552" s="41" t="s">
        <v>1562</v>
      </c>
      <c r="C552" s="511" t="s">
        <v>1563</v>
      </c>
      <c r="D552" s="18" t="s">
        <v>252</v>
      </c>
      <c r="E552" s="18" t="s">
        <v>253</v>
      </c>
      <c r="F552" s="512" t="s">
        <v>1564</v>
      </c>
      <c r="G552" s="39" t="s">
        <v>332</v>
      </c>
      <c r="H552" s="513">
        <v>29000000</v>
      </c>
      <c r="I552" s="41" t="s">
        <v>803</v>
      </c>
      <c r="J552" s="276" t="str">
        <f>VLOOKUP($I552,'Price List, Weapons &amp; Items'!A:B,2,0)</f>
        <v>Portable defence system</v>
      </c>
      <c r="K552" s="276" t="str">
        <f>IF(I552=".",I552,VLOOKUP($I552,'Price List, Weapons &amp; Items'!A:C,3,0))</f>
        <v>MANPADS</v>
      </c>
      <c r="L552" s="514">
        <f>VLOOKUP(I552,'Price List, Weapons &amp; Items'!A:D,4,0)</f>
        <v>0</v>
      </c>
      <c r="M552" s="515" t="s">
        <v>264</v>
      </c>
      <c r="N552" s="515" t="s">
        <v>264</v>
      </c>
      <c r="O552" s="516">
        <f>VLOOKUP($I552,'Price List, Weapons &amp; Items'!A:F,6,0)</f>
        <v>119000</v>
      </c>
      <c r="P552" s="513" t="str">
        <f t="shared" si="108"/>
        <v>.</v>
      </c>
      <c r="Q552" s="513" t="str">
        <f t="shared" si="109"/>
        <v>.</v>
      </c>
      <c r="R552" s="513">
        <f t="shared" si="110"/>
        <v>29000000</v>
      </c>
      <c r="S552" s="513">
        <f>IF(AND(AD552=1,R552&lt;&gt;".")=TRUE,R552/VLOOKUP(G552,'Exchange rates'!B:C,2,0),IF(R552=".",".",""))</f>
        <v>29000000</v>
      </c>
      <c r="T552" s="513">
        <f>IF(AD552=1,IF(AF552="Value is not given at all",".",IF(AF552="Value is given by the source",S552,IF(AF552="Value is calculated with prices",(IF(SUMIFS(Q:Q,A:A,A552)&gt;0,SUMIFS(Q:Q,A:A,A552),"."))/VLOOKUP("USD",'Exchange rates'!B:C,2,0),"Error with coding"))),"")</f>
        <v>29000000</v>
      </c>
      <c r="U552" s="39" t="s">
        <v>372</v>
      </c>
      <c r="V552" s="42" t="s">
        <v>1565</v>
      </c>
      <c r="W552" s="517" t="s">
        <v>232</v>
      </c>
      <c r="X552" s="517" t="s">
        <v>232</v>
      </c>
      <c r="Y552" s="517" t="s">
        <v>232</v>
      </c>
      <c r="Z552" s="39">
        <v>0</v>
      </c>
      <c r="AA552" s="518">
        <v>0</v>
      </c>
      <c r="AB552" s="394" t="s">
        <v>1566</v>
      </c>
      <c r="AC552" s="519" t="str">
        <f>""</f>
        <v/>
      </c>
      <c r="AD552" s="520">
        <v>1</v>
      </c>
      <c r="AE552" s="520" t="s">
        <v>236</v>
      </c>
      <c r="AF552" s="520" t="s">
        <v>236</v>
      </c>
      <c r="AG552" s="520">
        <v>1</v>
      </c>
      <c r="AH552" s="520">
        <v>3</v>
      </c>
      <c r="AI552" s="520">
        <v>0</v>
      </c>
      <c r="AJ552" s="520">
        <f>VLOOKUP($I552,'Price List, Weapons &amp; Items'!A:E,5,0)</f>
        <v>0</v>
      </c>
      <c r="AK552" s="520">
        <f t="shared" si="111"/>
        <v>0</v>
      </c>
      <c r="AL552" s="520">
        <f t="shared" si="112"/>
        <v>0</v>
      </c>
      <c r="AM552" s="520">
        <f t="shared" si="113"/>
        <v>0</v>
      </c>
      <c r="AN552" s="521" t="str">
        <f>VLOOKUP($I552,'Price List, Weapons &amp; Items'!A:K,COLUMN('Price List, Weapons &amp; Items'!$I$1),0)</f>
        <v>Miscellaneous</v>
      </c>
      <c r="AO552" s="521" t="str">
        <f>IF(I552=".",".",VLOOKUP($I552,'Price List, Weapons &amp; Items'!A:I,3,0))</f>
        <v>MANPADS</v>
      </c>
      <c r="AP552" s="517" t="str">
        <f t="shared" ca="1" si="120"/>
        <v>Stinger anti-aircraft system</v>
      </c>
      <c r="AQ552" s="521">
        <f>VLOOKUP($I552,'Price List, Weapons &amp; Items'!A:K,COLUMN('Price List, Weapons &amp; Items'!$K$1),0)</f>
        <v>2</v>
      </c>
      <c r="AS552" s="521">
        <f t="shared" si="114"/>
        <v>0</v>
      </c>
      <c r="AT552" s="521">
        <f t="shared" si="115"/>
        <v>1</v>
      </c>
      <c r="AU552" s="521" t="str">
        <f t="shared" si="116"/>
        <v>Value is not in date format</v>
      </c>
      <c r="AV552" s="521" t="str">
        <f t="shared" si="117"/>
        <v>.</v>
      </c>
    </row>
    <row r="553" spans="1:48" ht="15" customHeight="1">
      <c r="A553" s="18" t="s">
        <v>1567</v>
      </c>
      <c r="B553" s="18" t="s">
        <v>1562</v>
      </c>
      <c r="C553" s="511">
        <v>44643</v>
      </c>
      <c r="D553" s="18" t="s">
        <v>252</v>
      </c>
      <c r="E553" s="18" t="s">
        <v>261</v>
      </c>
      <c r="F553" s="512" t="s">
        <v>1568</v>
      </c>
      <c r="G553" s="39" t="s">
        <v>332</v>
      </c>
      <c r="H553" s="513">
        <v>10000000</v>
      </c>
      <c r="I553" s="41" t="s">
        <v>529</v>
      </c>
      <c r="J553" s="276" t="str">
        <f>VLOOKUP($I553,'Price List, Weapons &amp; Items'!A:B,2,0)</f>
        <v>Military equipment</v>
      </c>
      <c r="K553" s="276" t="str">
        <f>IF(I553=".",I553,VLOOKUP($I553,'Price List, Weapons &amp; Items'!A:C,3,0))</f>
        <v>.</v>
      </c>
      <c r="L553" s="514">
        <f>VLOOKUP(I553,'Price List, Weapons &amp; Items'!A:D,4,0)</f>
        <v>0</v>
      </c>
      <c r="M553" s="515" t="s">
        <v>264</v>
      </c>
      <c r="N553" s="515" t="s">
        <v>264</v>
      </c>
      <c r="O553" s="516">
        <f>VLOOKUP($I553,'Price List, Weapons &amp; Items'!A:F,6,0)</f>
        <v>2320</v>
      </c>
      <c r="P553" s="513" t="str">
        <f t="shared" si="108"/>
        <v>.</v>
      </c>
      <c r="Q553" s="513" t="str">
        <f t="shared" si="109"/>
        <v>.</v>
      </c>
      <c r="R553" s="513">
        <f t="shared" si="110"/>
        <v>10000000</v>
      </c>
      <c r="S553" s="513">
        <f>IF(AND(AD553=1,R553&lt;&gt;".")=TRUE,R553/VLOOKUP(G553,'Exchange rates'!B:C,2,0),IF(R553=".",".",""))</f>
        <v>10000000</v>
      </c>
      <c r="T553" s="513">
        <f>IF(AD553=1,IF(AF553="Value is not given at all",".",IF(AF553="Value is given by the source",S553,IF(AF553="Value is calculated with prices",(IF(SUMIFS(Q:Q,A:A,A553)&gt;0,SUMIFS(Q:Q,A:A,A553),"."))/VLOOKUP("USD",'Exchange rates'!B:C,2,0),"Error with coding"))),"")</f>
        <v>10000000</v>
      </c>
      <c r="U553" s="39" t="s">
        <v>372</v>
      </c>
      <c r="V553" s="376" t="s">
        <v>1569</v>
      </c>
      <c r="W553" s="376" t="s">
        <v>1570</v>
      </c>
      <c r="X553" s="530" t="s">
        <v>232</v>
      </c>
      <c r="Y553" s="530" t="s">
        <v>232</v>
      </c>
      <c r="Z553" s="39">
        <v>0</v>
      </c>
      <c r="AA553" s="518">
        <v>0</v>
      </c>
      <c r="AB553" s="394" t="s">
        <v>564</v>
      </c>
      <c r="AC553" s="519" t="str">
        <f>""</f>
        <v/>
      </c>
      <c r="AD553" s="520">
        <v>1</v>
      </c>
      <c r="AE553" s="520" t="s">
        <v>236</v>
      </c>
      <c r="AF553" s="520" t="s">
        <v>236</v>
      </c>
      <c r="AG553" s="520">
        <v>1</v>
      </c>
      <c r="AH553" s="520">
        <v>3</v>
      </c>
      <c r="AI553" s="520">
        <v>0</v>
      </c>
      <c r="AJ553" s="520">
        <f>VLOOKUP($I553,'Price List, Weapons &amp; Items'!A:E,5,0)</f>
        <v>0</v>
      </c>
      <c r="AK553" s="520">
        <f t="shared" si="111"/>
        <v>0</v>
      </c>
      <c r="AL553" s="520">
        <f t="shared" si="112"/>
        <v>0</v>
      </c>
      <c r="AM553" s="520">
        <f t="shared" si="113"/>
        <v>0</v>
      </c>
      <c r="AN553" s="521" t="str">
        <f>VLOOKUP($I553,'Price List, Weapons &amp; Items'!A:K,COLUMN('Price List, Weapons &amp; Items'!$I$1),0)</f>
        <v>Media reports (incl. social media)</v>
      </c>
      <c r="AO553" s="521" t="str">
        <f>IF(I553=".",".",VLOOKUP($I553,'Price List, Weapons &amp; Items'!A:I,3,0))</f>
        <v>.</v>
      </c>
      <c r="AP553" s="517" t="str">
        <f t="shared" ca="1" si="120"/>
        <v>night vision device; anti-drone weapon</v>
      </c>
      <c r="AQ553" s="521">
        <f>VLOOKUP($I553,'Price List, Weapons &amp; Items'!A:K,COLUMN('Price List, Weapons &amp; Items'!$K$1),0)</f>
        <v>2</v>
      </c>
      <c r="AS553" s="521">
        <f t="shared" si="114"/>
        <v>0</v>
      </c>
      <c r="AT553" s="521">
        <f t="shared" si="115"/>
        <v>1</v>
      </c>
      <c r="AU553" s="521">
        <f t="shared" si="116"/>
        <v>1</v>
      </c>
      <c r="AV553" s="521" t="str">
        <f t="shared" si="117"/>
        <v>.</v>
      </c>
    </row>
    <row r="554" spans="1:48" ht="15" customHeight="1">
      <c r="A554" s="18" t="s">
        <v>1567</v>
      </c>
      <c r="B554" s="18" t="s">
        <v>1562</v>
      </c>
      <c r="C554" s="511">
        <v>44643</v>
      </c>
      <c r="D554" s="18" t="s">
        <v>252</v>
      </c>
      <c r="E554" s="18" t="s">
        <v>261</v>
      </c>
      <c r="F554" s="512" t="s">
        <v>1568</v>
      </c>
      <c r="G554" s="39" t="s">
        <v>332</v>
      </c>
      <c r="H554" s="513">
        <v>10000000</v>
      </c>
      <c r="I554" s="41" t="s">
        <v>1571</v>
      </c>
      <c r="J554" s="276" t="str">
        <f>VLOOKUP($I554,'Price List, Weapons &amp; Items'!A:B,2,0)</f>
        <v>Portable defence system</v>
      </c>
      <c r="K554" s="276" t="str">
        <f>IF(I554=".",I554,VLOOKUP($I554,'Price List, Weapons &amp; Items'!A:C,3,0))</f>
        <v>Anti-drone</v>
      </c>
      <c r="L554" s="514">
        <f>VLOOKUP(I554,'Price List, Weapons &amp; Items'!A:D,4,0)</f>
        <v>0</v>
      </c>
      <c r="M554" s="515" t="s">
        <v>264</v>
      </c>
      <c r="N554" s="515" t="s">
        <v>264</v>
      </c>
      <c r="O554" s="516">
        <f>VLOOKUP($I554,'Price List, Weapons &amp; Items'!A:F,6,0)</f>
        <v>12000</v>
      </c>
      <c r="P554" s="513" t="str">
        <f t="shared" si="108"/>
        <v>.</v>
      </c>
      <c r="Q554" s="513" t="str">
        <f t="shared" si="109"/>
        <v>.</v>
      </c>
      <c r="R554" s="513" t="str">
        <f t="shared" si="110"/>
        <v/>
      </c>
      <c r="S554" s="513" t="str">
        <f>IF(AND(AD554=1,R554&lt;&gt;".")=TRUE,R554/VLOOKUP(G554,'Exchange rates'!B:C,2,0),IF(R554=".",".",""))</f>
        <v/>
      </c>
      <c r="T554" s="513" t="str">
        <f>IF(AD554=1,IF(AF554="Value is not given at all",".",IF(AF554="Value is given by the source",S554,IF(AF554="Value is calculated with prices",(IF(SUMIFS(Q:Q,A:A,A554)&gt;0,SUMIFS(Q:Q,A:A,A554),"."))/VLOOKUP("USD",'Exchange rates'!B:C,2,0),"Error with coding"))),"")</f>
        <v/>
      </c>
      <c r="U554" s="39" t="s">
        <v>372</v>
      </c>
      <c r="V554" s="376" t="s">
        <v>1569</v>
      </c>
      <c r="W554" s="376" t="s">
        <v>1570</v>
      </c>
      <c r="X554" s="530" t="s">
        <v>232</v>
      </c>
      <c r="Y554" s="530" t="s">
        <v>232</v>
      </c>
      <c r="Z554" s="39">
        <v>0</v>
      </c>
      <c r="AA554" s="518">
        <v>0</v>
      </c>
      <c r="AB554" s="394" t="s">
        <v>564</v>
      </c>
      <c r="AC554" s="519" t="str">
        <f>""</f>
        <v/>
      </c>
      <c r="AD554" s="520">
        <v>0</v>
      </c>
      <c r="AE554" s="520" t="s">
        <v>236</v>
      </c>
      <c r="AF554" s="520" t="s">
        <v>236</v>
      </c>
      <c r="AG554" s="520">
        <v>1</v>
      </c>
      <c r="AH554" s="520">
        <v>3</v>
      </c>
      <c r="AI554" s="520">
        <v>0</v>
      </c>
      <c r="AJ554" s="520">
        <f>VLOOKUP($I554,'Price List, Weapons &amp; Items'!A:E,5,0)</f>
        <v>0</v>
      </c>
      <c r="AK554" s="520">
        <f t="shared" si="111"/>
        <v>0</v>
      </c>
      <c r="AL554" s="520">
        <f t="shared" si="112"/>
        <v>0</v>
      </c>
      <c r="AM554" s="520">
        <f t="shared" si="113"/>
        <v>0</v>
      </c>
      <c r="AN554" s="521" t="str">
        <f>VLOOKUP($I554,'Price List, Weapons &amp; Items'!A:K,COLUMN('Price List, Weapons &amp; Items'!$I$1),0)</f>
        <v>Media reports (incl. social media)</v>
      </c>
      <c r="AO554" s="521" t="str">
        <f>IF(I554=".",".",VLOOKUP($I554,'Price List, Weapons &amp; Items'!A:I,3,0))</f>
        <v>Anti-drone</v>
      </c>
      <c r="AP554" s="517" t="str">
        <f t="shared" ca="1" si="120"/>
        <v/>
      </c>
      <c r="AQ554" s="521" t="str">
        <f>VLOOKUP($I554,'Price List, Weapons &amp; Items'!A:K,COLUMN('Price List, Weapons &amp; Items'!$K$1),0)</f>
        <v>no price, 0 count</v>
      </c>
      <c r="AS554" s="521">
        <f t="shared" si="114"/>
        <v>0</v>
      </c>
      <c r="AT554" s="521">
        <f t="shared" si="115"/>
        <v>1</v>
      </c>
      <c r="AU554" s="521">
        <f t="shared" si="116"/>
        <v>1</v>
      </c>
      <c r="AV554" s="521" t="str">
        <f t="shared" si="117"/>
        <v>.</v>
      </c>
    </row>
    <row r="555" spans="1:48" ht="15" customHeight="1">
      <c r="A555" s="41" t="s">
        <v>1572</v>
      </c>
      <c r="B555" s="41" t="s">
        <v>1562</v>
      </c>
      <c r="C555" s="511">
        <v>44672</v>
      </c>
      <c r="D555" s="18" t="s">
        <v>252</v>
      </c>
      <c r="E555" s="18" t="s">
        <v>307</v>
      </c>
      <c r="F555" s="512" t="s">
        <v>1573</v>
      </c>
      <c r="G555" s="39" t="s">
        <v>332</v>
      </c>
      <c r="H555" s="513">
        <v>61000000</v>
      </c>
      <c r="I555" s="41" t="s">
        <v>1574</v>
      </c>
      <c r="J555" s="276" t="str">
        <f>VLOOKUP($I555,'Price List, Weapons &amp; Items'!A:B,2,0)</f>
        <v>Heavy weapon</v>
      </c>
      <c r="K555" s="276" t="str">
        <f>IF(I555=".",I555,VLOOKUP($I555,'Price List, Weapons &amp; Items'!A:C,3,0))</f>
        <v>Mortar</v>
      </c>
      <c r="L555" s="514">
        <f>VLOOKUP(I555,'Price List, Weapons &amp; Items'!A:D,4,0)</f>
        <v>0</v>
      </c>
      <c r="M555" s="515" t="s">
        <v>264</v>
      </c>
      <c r="N555" s="515" t="s">
        <v>264</v>
      </c>
      <c r="O555" s="516">
        <f>VLOOKUP($I555,'Price List, Weapons &amp; Items'!A:F,6,0)</f>
        <v>463188.2</v>
      </c>
      <c r="P555" s="513" t="str">
        <f t="shared" si="108"/>
        <v>.</v>
      </c>
      <c r="Q555" s="513" t="str">
        <f t="shared" si="109"/>
        <v>.</v>
      </c>
      <c r="R555" s="513">
        <f t="shared" si="110"/>
        <v>61000000</v>
      </c>
      <c r="S555" s="513">
        <f>IF(AND(AD555=1,R555&lt;&gt;".")=TRUE,R555/VLOOKUP(G555,'Exchange rates'!B:C,2,0),IF(R555=".",".",""))</f>
        <v>61000000</v>
      </c>
      <c r="T555" s="513">
        <f>IF(AD555=1,IF(AF555="Value is not given at all",".",IF(AF555="Value is given by the source",S555,IF(AF555="Value is calculated with prices",(IF(SUMIFS(Q:Q,A:A,A555)&gt;0,SUMIFS(Q:Q,A:A,A555),"."))/VLOOKUP("USD",'Exchange rates'!B:C,2,0),"Error with coding"))),"")</f>
        <v>61000000</v>
      </c>
      <c r="U555" s="39" t="s">
        <v>372</v>
      </c>
      <c r="V555" s="42" t="s">
        <v>1575</v>
      </c>
      <c r="W555" s="42" t="s">
        <v>1576</v>
      </c>
      <c r="X555" s="42" t="s">
        <v>1577</v>
      </c>
      <c r="Y555" s="42" t="s">
        <v>1578</v>
      </c>
      <c r="Z555" s="39">
        <v>0</v>
      </c>
      <c r="AA555" s="518">
        <v>0</v>
      </c>
      <c r="AB555" s="394" t="s">
        <v>564</v>
      </c>
      <c r="AC555" s="519" t="str">
        <f>""</f>
        <v/>
      </c>
      <c r="AD555" s="520">
        <v>1</v>
      </c>
      <c r="AE555" s="520" t="s">
        <v>236</v>
      </c>
      <c r="AF555" s="520" t="s">
        <v>236</v>
      </c>
      <c r="AG555" s="520">
        <v>1</v>
      </c>
      <c r="AH555" s="520">
        <v>4</v>
      </c>
      <c r="AI555" s="520">
        <v>0</v>
      </c>
      <c r="AJ555" s="520">
        <f>VLOOKUP($I555,'Price List, Weapons &amp; Items'!A:E,5,0)</f>
        <v>0</v>
      </c>
      <c r="AK555" s="520">
        <f t="shared" si="111"/>
        <v>0</v>
      </c>
      <c r="AL555" s="520">
        <f t="shared" si="112"/>
        <v>0</v>
      </c>
      <c r="AM555" s="520">
        <f t="shared" si="113"/>
        <v>0</v>
      </c>
      <c r="AN555" s="521" t="str">
        <f>VLOOKUP($I555,'Price List, Weapons &amp; Items'!A:K,COLUMN('Price List, Weapons &amp; Items'!$I$1),0)</f>
        <v>Military media (incl. websites)</v>
      </c>
      <c r="AO555" s="521" t="str">
        <f>IF(I555=".",".",VLOOKUP($I555,'Price List, Weapons &amp; Items'!A:I,3,0))</f>
        <v>Mortar</v>
      </c>
      <c r="AP555" s="517" t="str">
        <f t="shared" ca="1" si="120"/>
        <v>2B11 or M/41D 120mm heavy mortar</v>
      </c>
      <c r="AQ555" s="521">
        <f>VLOOKUP($I555,'Price List, Weapons &amp; Items'!A:K,COLUMN('Price List, Weapons &amp; Items'!$K$1),0)</f>
        <v>2</v>
      </c>
      <c r="AS555" s="521">
        <f t="shared" si="114"/>
        <v>0</v>
      </c>
      <c r="AT555" s="521">
        <f t="shared" si="115"/>
        <v>1</v>
      </c>
      <c r="AU555" s="521">
        <f t="shared" si="116"/>
        <v>1</v>
      </c>
      <c r="AV555" s="521" t="str">
        <f t="shared" si="117"/>
        <v>.</v>
      </c>
    </row>
    <row r="556" spans="1:48" ht="15" customHeight="1">
      <c r="A556" s="18" t="s">
        <v>1579</v>
      </c>
      <c r="B556" s="18" t="s">
        <v>1562</v>
      </c>
      <c r="C556" s="511">
        <v>44706</v>
      </c>
      <c r="D556" s="18" t="s">
        <v>252</v>
      </c>
      <c r="E556" s="18" t="s">
        <v>261</v>
      </c>
      <c r="F556" s="512" t="s">
        <v>1580</v>
      </c>
      <c r="G556" s="39" t="s">
        <v>332</v>
      </c>
      <c r="H556" s="513">
        <v>15500000</v>
      </c>
      <c r="I556" s="41" t="s">
        <v>292</v>
      </c>
      <c r="J556" s="276" t="str">
        <f>VLOOKUP($I556,'Price List, Weapons &amp; Items'!A:B,2,0)</f>
        <v>Heavy weapon</v>
      </c>
      <c r="K556" s="276" t="str">
        <f>IF(I556=".",I556,VLOOKUP($I556,'Price List, Weapons &amp; Items'!A:C,3,0))</f>
        <v>Armoured Personnel Carrier (APC)</v>
      </c>
      <c r="L556" s="514">
        <f>VLOOKUP(I556,'Price List, Weapons &amp; Items'!A:D,4,0)</f>
        <v>0</v>
      </c>
      <c r="M556" s="515">
        <v>20</v>
      </c>
      <c r="N556" s="515">
        <v>20</v>
      </c>
      <c r="O556" s="516">
        <f>VLOOKUP($I556,'Price List, Weapons &amp; Items'!A:F,6,0)</f>
        <v>300000</v>
      </c>
      <c r="P556" s="513">
        <f t="shared" si="108"/>
        <v>6000000</v>
      </c>
      <c r="Q556" s="513">
        <f t="shared" si="109"/>
        <v>6000000</v>
      </c>
      <c r="R556" s="513">
        <f t="shared" si="110"/>
        <v>15500000</v>
      </c>
      <c r="S556" s="513">
        <f>IF(AND(AD556=1,R556&lt;&gt;".")=TRUE,R556/VLOOKUP(G556,'Exchange rates'!B:C,2,0),IF(R556=".",".",""))</f>
        <v>15500000</v>
      </c>
      <c r="T556" s="513">
        <f>IF(AD556=1,IF(AF556="Value is not given at all",".",IF(AF556="Value is given by the source",S556,IF(AF556="Value is calculated with prices",(IF(SUMIFS(Q:Q,A:A,A556)&gt;0,SUMIFS(Q:Q,A:A,A556),"."))/VLOOKUP("USD",'Exchange rates'!B:C,2,0),"Error with coding"))),"")</f>
        <v>5979073.2436472345</v>
      </c>
      <c r="U556" s="39" t="s">
        <v>372</v>
      </c>
      <c r="V556" s="376" t="s">
        <v>1581</v>
      </c>
      <c r="W556" s="376" t="s">
        <v>1582</v>
      </c>
      <c r="X556" s="376" t="s">
        <v>1583</v>
      </c>
      <c r="Y556" s="376" t="s">
        <v>1584</v>
      </c>
      <c r="Z556" s="39">
        <v>0</v>
      </c>
      <c r="AA556" s="518">
        <v>0</v>
      </c>
      <c r="AB556" s="395" t="s">
        <v>1585</v>
      </c>
      <c r="AC556" s="519" t="str">
        <f>""</f>
        <v/>
      </c>
      <c r="AD556" s="520">
        <v>1</v>
      </c>
      <c r="AE556" s="520" t="s">
        <v>236</v>
      </c>
      <c r="AF556" s="520" t="s">
        <v>300</v>
      </c>
      <c r="AG556" s="520">
        <v>1</v>
      </c>
      <c r="AH556" s="520">
        <v>5</v>
      </c>
      <c r="AI556" s="520">
        <v>0</v>
      </c>
      <c r="AJ556" s="520">
        <f>VLOOKUP($I556,'Price List, Weapons &amp; Items'!A:E,5,0)</f>
        <v>1</v>
      </c>
      <c r="AK556" s="520">
        <f t="shared" si="111"/>
        <v>0</v>
      </c>
      <c r="AL556" s="520">
        <f t="shared" si="112"/>
        <v>0</v>
      </c>
      <c r="AM556" s="520">
        <f t="shared" si="113"/>
        <v>0</v>
      </c>
      <c r="AN556" s="521" t="str">
        <f>VLOOKUP($I556,'Price List, Weapons &amp; Items'!A:K,COLUMN('Price List, Weapons &amp; Items'!$I$1),0)</f>
        <v>Military media (incl. websites)</v>
      </c>
      <c r="AO556" s="521" t="str">
        <f>IF(I556=".",".",VLOOKUP($I556,'Price List, Weapons &amp; Items'!A:I,3,0))</f>
        <v>Armoured Personnel Carrier (APC)</v>
      </c>
      <c r="AP556" s="517" t="str">
        <f t="shared" ca="1" si="120"/>
        <v>M113 armored personnel carrier; Military trucks; off-road vehicle for demining operations</v>
      </c>
      <c r="AQ556" s="521">
        <f>VLOOKUP($I556,'Price List, Weapons &amp; Items'!A:K,COLUMN('Price List, Weapons &amp; Items'!$K$1),0)</f>
        <v>2</v>
      </c>
      <c r="AS556" s="521">
        <f t="shared" si="114"/>
        <v>0</v>
      </c>
      <c r="AT556" s="521">
        <f t="shared" si="115"/>
        <v>1</v>
      </c>
      <c r="AU556" s="521">
        <f t="shared" si="116"/>
        <v>1</v>
      </c>
      <c r="AV556" s="521" t="str">
        <f t="shared" si="117"/>
        <v>.</v>
      </c>
    </row>
    <row r="557" spans="1:48" ht="15" customHeight="1">
      <c r="A557" s="18" t="s">
        <v>1579</v>
      </c>
      <c r="B557" s="18" t="s">
        <v>1562</v>
      </c>
      <c r="C557" s="511">
        <v>44706</v>
      </c>
      <c r="D557" s="18" t="s">
        <v>252</v>
      </c>
      <c r="E557" s="18" t="s">
        <v>261</v>
      </c>
      <c r="F557" s="512" t="s">
        <v>1580</v>
      </c>
      <c r="G557" s="39" t="s">
        <v>332</v>
      </c>
      <c r="H557" s="513">
        <v>15500000</v>
      </c>
      <c r="I557" s="588" t="s">
        <v>1586</v>
      </c>
      <c r="J557" s="276" t="str">
        <f>VLOOKUP($I557,'Price List, Weapons &amp; Items'!A:B,2,0)</f>
        <v>Military equipment</v>
      </c>
      <c r="K557" s="276" t="str">
        <f>IF(I557=".",I557,VLOOKUP($I557,'Price List, Weapons &amp; Items'!A:C,3,0))</f>
        <v>.</v>
      </c>
      <c r="L557" s="514">
        <f>VLOOKUP(I557,'Price List, Weapons &amp; Items'!A:D,4,0)</f>
        <v>0</v>
      </c>
      <c r="M557" s="515">
        <v>10</v>
      </c>
      <c r="N557" s="515" t="s">
        <v>232</v>
      </c>
      <c r="O557" s="516">
        <f>VLOOKUP($I557,'Price List, Weapons &amp; Items'!A:F,6,0)</f>
        <v>350000</v>
      </c>
      <c r="P557" s="513">
        <f t="shared" si="108"/>
        <v>3500000</v>
      </c>
      <c r="Q557" s="513" t="str">
        <f t="shared" si="109"/>
        <v>.</v>
      </c>
      <c r="R557" s="513" t="str">
        <f t="shared" si="110"/>
        <v/>
      </c>
      <c r="S557" s="513" t="str">
        <f>IF(AND(AD557=1,R557&lt;&gt;".")=TRUE,R557/VLOOKUP(G557,'Exchange rates'!B:C,2,0),IF(R557=".",".",""))</f>
        <v/>
      </c>
      <c r="T557" s="513" t="str">
        <f>IF(AD557=1,IF(AF557="Value is not given at all",".",IF(AF557="Value is given by the source",S557,IF(AF557="Value is calculated with prices",(IF(SUMIFS(Q:Q,A:A,A557)&gt;0,SUMIFS(Q:Q,A:A,A557),"."))/VLOOKUP("USD",'Exchange rates'!B:C,2,0),"Error with coding"))),"")</f>
        <v/>
      </c>
      <c r="U557" s="39" t="s">
        <v>372</v>
      </c>
      <c r="V557" s="376" t="s">
        <v>1581</v>
      </c>
      <c r="W557" s="376" t="s">
        <v>1582</v>
      </c>
      <c r="X557" s="376" t="s">
        <v>1583</v>
      </c>
      <c r="Y557" s="376" t="s">
        <v>1584</v>
      </c>
      <c r="Z557" s="39">
        <v>0</v>
      </c>
      <c r="AA557" s="518">
        <v>0</v>
      </c>
      <c r="AB557" s="521" t="s">
        <v>232</v>
      </c>
      <c r="AC557" s="519" t="str">
        <f>""</f>
        <v/>
      </c>
      <c r="AD557" s="520">
        <v>0</v>
      </c>
      <c r="AE557" s="520" t="s">
        <v>236</v>
      </c>
      <c r="AF557" s="520" t="s">
        <v>300</v>
      </c>
      <c r="AG557" s="520">
        <v>1</v>
      </c>
      <c r="AH557" s="520">
        <v>5</v>
      </c>
      <c r="AI557" s="520">
        <v>0</v>
      </c>
      <c r="AJ557" s="520">
        <f>VLOOKUP($I557,'Price List, Weapons &amp; Items'!A:E,5,0)</f>
        <v>0</v>
      </c>
      <c r="AK557" s="520">
        <f t="shared" si="111"/>
        <v>0</v>
      </c>
      <c r="AL557" s="520">
        <f t="shared" si="112"/>
        <v>0</v>
      </c>
      <c r="AM557" s="520">
        <f t="shared" si="113"/>
        <v>0</v>
      </c>
      <c r="AN557" s="521" t="str">
        <f>VLOOKUP($I557,'Price List, Weapons &amp; Items'!A:K,COLUMN('Price List, Weapons &amp; Items'!$I$1),0)</f>
        <v>Media reports (incl. social media)</v>
      </c>
      <c r="AO557" s="521" t="str">
        <f>IF(I557=".",".",VLOOKUP($I557,'Price List, Weapons &amp; Items'!A:I,3,0))</f>
        <v>.</v>
      </c>
      <c r="AP557" s="517" t="str">
        <f t="shared" ca="1" si="120"/>
        <v/>
      </c>
      <c r="AQ557" s="521">
        <f>VLOOKUP($I557,'Price List, Weapons &amp; Items'!A:K,COLUMN('Price List, Weapons &amp; Items'!$K$1),0)</f>
        <v>2</v>
      </c>
      <c r="AS557" s="521">
        <f t="shared" si="114"/>
        <v>0</v>
      </c>
      <c r="AT557" s="521">
        <f t="shared" si="115"/>
        <v>1</v>
      </c>
      <c r="AU557" s="521">
        <f t="shared" si="116"/>
        <v>1</v>
      </c>
      <c r="AV557" s="521" t="str">
        <f t="shared" si="117"/>
        <v>.</v>
      </c>
    </row>
    <row r="558" spans="1:48" ht="15" customHeight="1">
      <c r="A558" s="18" t="s">
        <v>1579</v>
      </c>
      <c r="B558" s="18" t="s">
        <v>1562</v>
      </c>
      <c r="C558" s="511">
        <v>44706</v>
      </c>
      <c r="D558" s="18" t="s">
        <v>252</v>
      </c>
      <c r="E558" s="18" t="s">
        <v>261</v>
      </c>
      <c r="F558" s="512" t="s">
        <v>1580</v>
      </c>
      <c r="G558" s="39" t="s">
        <v>332</v>
      </c>
      <c r="H558" s="513">
        <v>15500000</v>
      </c>
      <c r="I558" s="41" t="s">
        <v>1587</v>
      </c>
      <c r="J558" s="276" t="str">
        <f>VLOOKUP($I558,'Price List, Weapons &amp; Items'!A:B,2,0)</f>
        <v>Military equipment</v>
      </c>
      <c r="K558" s="276" t="str">
        <f>IF(I558=".",I558,VLOOKUP($I558,'Price List, Weapons &amp; Items'!A:C,3,0))</f>
        <v>.</v>
      </c>
      <c r="L558" s="514">
        <f>VLOOKUP(I558,'Price List, Weapons &amp; Items'!A:D,4,0)</f>
        <v>0</v>
      </c>
      <c r="M558" s="515">
        <v>10</v>
      </c>
      <c r="N558" s="515" t="s">
        <v>232</v>
      </c>
      <c r="O558" s="516">
        <f>VLOOKUP($I558,'Price List, Weapons &amp; Items'!A:F,6,0)</f>
        <v>32540</v>
      </c>
      <c r="P558" s="513">
        <f t="shared" si="108"/>
        <v>325400</v>
      </c>
      <c r="Q558" s="513" t="str">
        <f t="shared" si="109"/>
        <v>.</v>
      </c>
      <c r="R558" s="513" t="str">
        <f t="shared" si="110"/>
        <v/>
      </c>
      <c r="S558" s="513" t="str">
        <f>IF(AND(AD558=1,R558&lt;&gt;".")=TRUE,R558/VLOOKUP(G558,'Exchange rates'!B:C,2,0),IF(R558=".",".",""))</f>
        <v/>
      </c>
      <c r="T558" s="513" t="str">
        <f>IF(AD558=1,IF(AF558="Value is not given at all",".",IF(AF558="Value is given by the source",S558,IF(AF558="Value is calculated with prices",(IF(SUMIFS(Q:Q,A:A,A558)&gt;0,SUMIFS(Q:Q,A:A,A558),"."))/VLOOKUP("USD",'Exchange rates'!B:C,2,0),"Error with coding"))),"")</f>
        <v/>
      </c>
      <c r="U558" s="39" t="s">
        <v>372</v>
      </c>
      <c r="V558" s="376" t="s">
        <v>1581</v>
      </c>
      <c r="W558" s="376" t="s">
        <v>1582</v>
      </c>
      <c r="X558" s="376" t="s">
        <v>1583</v>
      </c>
      <c r="Y558" s="376" t="s">
        <v>1584</v>
      </c>
      <c r="Z558" s="39">
        <v>0</v>
      </c>
      <c r="AA558" s="518">
        <v>0</v>
      </c>
      <c r="AB558" s="521" t="s">
        <v>232</v>
      </c>
      <c r="AC558" s="519" t="str">
        <f>""</f>
        <v/>
      </c>
      <c r="AD558" s="520">
        <v>0</v>
      </c>
      <c r="AE558" s="520" t="s">
        <v>236</v>
      </c>
      <c r="AF558" s="520" t="s">
        <v>300</v>
      </c>
      <c r="AG558" s="520">
        <v>1</v>
      </c>
      <c r="AH558" s="520">
        <v>5</v>
      </c>
      <c r="AI558" s="520">
        <v>0</v>
      </c>
      <c r="AJ558" s="520">
        <f>VLOOKUP($I558,'Price List, Weapons &amp; Items'!A:E,5,0)</f>
        <v>0</v>
      </c>
      <c r="AK558" s="520">
        <f t="shared" si="111"/>
        <v>0</v>
      </c>
      <c r="AL558" s="520">
        <f t="shared" si="112"/>
        <v>0</v>
      </c>
      <c r="AM558" s="520">
        <f t="shared" si="113"/>
        <v>0</v>
      </c>
      <c r="AN558" s="521" t="str">
        <f>VLOOKUP($I558,'Price List, Weapons &amp; Items'!A:K,COLUMN('Price List, Weapons &amp; Items'!$I$1),0)</f>
        <v>Miscellaneous</v>
      </c>
      <c r="AO558" s="521" t="str">
        <f>IF(I558=".",".",VLOOKUP($I558,'Price List, Weapons &amp; Items'!A:I,3,0))</f>
        <v>.</v>
      </c>
      <c r="AP558" s="517" t="str">
        <f t="shared" ca="1" si="120"/>
        <v/>
      </c>
      <c r="AQ558" s="521">
        <f>VLOOKUP($I558,'Price List, Weapons &amp; Items'!A:K,COLUMN('Price List, Weapons &amp; Items'!$K$1),0)</f>
        <v>1</v>
      </c>
      <c r="AS558" s="521">
        <f t="shared" si="114"/>
        <v>0</v>
      </c>
      <c r="AT558" s="521">
        <f t="shared" si="115"/>
        <v>1</v>
      </c>
      <c r="AU558" s="521">
        <f t="shared" si="116"/>
        <v>1</v>
      </c>
      <c r="AV558" s="521" t="str">
        <f t="shared" si="117"/>
        <v>.</v>
      </c>
    </row>
    <row r="559" spans="1:48" ht="15" customHeight="1">
      <c r="A559" s="18" t="s">
        <v>1588</v>
      </c>
      <c r="B559" s="18" t="s">
        <v>1562</v>
      </c>
      <c r="C559" s="511">
        <v>44752</v>
      </c>
      <c r="D559" s="18" t="s">
        <v>252</v>
      </c>
      <c r="E559" s="18" t="s">
        <v>261</v>
      </c>
      <c r="F559" s="512" t="s">
        <v>1589</v>
      </c>
      <c r="G559" s="39" t="s">
        <v>332</v>
      </c>
      <c r="H559" s="513">
        <v>2000000</v>
      </c>
      <c r="I559" s="41" t="s">
        <v>886</v>
      </c>
      <c r="J559" s="276" t="str">
        <f>VLOOKUP($I559,'Price List, Weapons &amp; Items'!A:B,2,0)</f>
        <v>Portable defence system</v>
      </c>
      <c r="K559" s="276" t="str">
        <f>IF(I559=".",I559,VLOOKUP($I559,'Price List, Weapons &amp; Items'!A:C,3,0))</f>
        <v>Light Anti-armor Weapon (LAW)</v>
      </c>
      <c r="L559" s="514">
        <f>VLOOKUP(I559,'Price List, Weapons &amp; Items'!A:D,4,0)</f>
        <v>0</v>
      </c>
      <c r="M559" s="515" t="s">
        <v>264</v>
      </c>
      <c r="N559" s="515" t="s">
        <v>264</v>
      </c>
      <c r="O559" s="516">
        <f>VLOOKUP($I559,'Price List, Weapons &amp; Items'!A:F,6,0)</f>
        <v>40000</v>
      </c>
      <c r="P559" s="513" t="str">
        <f t="shared" si="108"/>
        <v>.</v>
      </c>
      <c r="Q559" s="513" t="str">
        <f t="shared" si="109"/>
        <v>.</v>
      </c>
      <c r="R559" s="513">
        <f t="shared" si="110"/>
        <v>2000000</v>
      </c>
      <c r="S559" s="513">
        <f>IF(AND(AD559=1,R559&lt;&gt;".")=TRUE,R559/VLOOKUP(G559,'Exchange rates'!B:C,2,0),IF(R559=".",".",""))</f>
        <v>2000000</v>
      </c>
      <c r="T559" s="513" t="str">
        <f>IF(AD559=1,IF(AF559="Value is not given at all",".",IF(AF559="Value is given by the source",S559,IF(AF559="Value is calculated with prices",(IF(SUMIFS(Q:Q,A:A,A559)&gt;0,SUMIFS(Q:Q,A:A,A559),"."))/VLOOKUP("USD",'Exchange rates'!B:C,2,0),"Error with coding"))),"")</f>
        <v>.</v>
      </c>
      <c r="U559" s="39" t="s">
        <v>233</v>
      </c>
      <c r="V559" s="376" t="s">
        <v>1578</v>
      </c>
      <c r="W559" s="376" t="s">
        <v>1590</v>
      </c>
      <c r="X559" s="376" t="s">
        <v>1583</v>
      </c>
      <c r="Y559" s="376" t="s">
        <v>1584</v>
      </c>
      <c r="Z559" s="39">
        <v>0</v>
      </c>
      <c r="AA559" s="518">
        <v>0</v>
      </c>
      <c r="AB559" s="395" t="s">
        <v>1578</v>
      </c>
      <c r="AC559" s="519" t="str">
        <f>""</f>
        <v/>
      </c>
      <c r="AD559" s="520">
        <v>1</v>
      </c>
      <c r="AE559" s="520" t="s">
        <v>236</v>
      </c>
      <c r="AF559" s="520" t="s">
        <v>237</v>
      </c>
      <c r="AG559" s="520">
        <v>1</v>
      </c>
      <c r="AH559" s="520">
        <v>7</v>
      </c>
      <c r="AI559" s="520">
        <v>0</v>
      </c>
      <c r="AJ559" s="520">
        <f>VLOOKUP($I559,'Price List, Weapons &amp; Items'!A:E,5,0)</f>
        <v>0</v>
      </c>
      <c r="AK559" s="520">
        <f t="shared" si="111"/>
        <v>0</v>
      </c>
      <c r="AL559" s="520">
        <f t="shared" si="112"/>
        <v>0</v>
      </c>
      <c r="AM559" s="520">
        <f t="shared" si="113"/>
        <v>0</v>
      </c>
      <c r="AN559" s="521" t="str">
        <f>VLOOKUP($I559,'Price List, Weapons &amp; Items'!A:K,COLUMN('Price List, Weapons &amp; Items'!$I$1),0)</f>
        <v>Media reports (incl. social media)</v>
      </c>
      <c r="AO559" s="521" t="str">
        <f>IF(I559=".",".",VLOOKUP($I559,'Price List, Weapons &amp; Items'!A:I,3,0))</f>
        <v>Light Anti-armor Weapon (LAW)</v>
      </c>
      <c r="AP559" s="517" t="str">
        <f t="shared" ca="1" si="120"/>
        <v>anti-tank weapon; ballistic vest; helmet</v>
      </c>
      <c r="AQ559" s="521">
        <f>VLOOKUP($I559,'Price List, Weapons &amp; Items'!A:K,COLUMN('Price List, Weapons &amp; Items'!$K$1),0)</f>
        <v>2</v>
      </c>
      <c r="AS559" s="521">
        <f t="shared" si="114"/>
        <v>1</v>
      </c>
      <c r="AT559" s="521">
        <f t="shared" si="115"/>
        <v>1</v>
      </c>
      <c r="AU559" s="521">
        <f t="shared" si="116"/>
        <v>1</v>
      </c>
      <c r="AV559" s="521" t="str">
        <f t="shared" si="117"/>
        <v>.</v>
      </c>
    </row>
    <row r="560" spans="1:48" ht="15" customHeight="1">
      <c r="A560" s="18" t="s">
        <v>1588</v>
      </c>
      <c r="B560" s="18" t="s">
        <v>1562</v>
      </c>
      <c r="C560" s="511">
        <v>44752</v>
      </c>
      <c r="D560" s="18" t="s">
        <v>252</v>
      </c>
      <c r="E560" s="18" t="s">
        <v>261</v>
      </c>
      <c r="F560" s="512" t="s">
        <v>1589</v>
      </c>
      <c r="G560" s="39" t="s">
        <v>332</v>
      </c>
      <c r="H560" s="513">
        <v>2000000</v>
      </c>
      <c r="I560" s="41" t="s">
        <v>446</v>
      </c>
      <c r="J560" s="276" t="str">
        <f>VLOOKUP($I560,'Price List, Weapons &amp; Items'!A:B,2,0)</f>
        <v>Military equipment</v>
      </c>
      <c r="K560" s="276" t="str">
        <f>IF(I560=".",I560,VLOOKUP($I560,'Price List, Weapons &amp; Items'!A:C,3,0))</f>
        <v>.</v>
      </c>
      <c r="L560" s="514">
        <f>VLOOKUP(I560,'Price List, Weapons &amp; Items'!A:D,4,0)</f>
        <v>0</v>
      </c>
      <c r="M560" s="515" t="s">
        <v>264</v>
      </c>
      <c r="N560" s="515" t="s">
        <v>264</v>
      </c>
      <c r="O560" s="516">
        <f>VLOOKUP($I560,'Price List, Weapons &amp; Items'!A:F,6,0)</f>
        <v>500</v>
      </c>
      <c r="P560" s="513" t="str">
        <f t="shared" si="108"/>
        <v>.</v>
      </c>
      <c r="Q560" s="513" t="str">
        <f t="shared" si="109"/>
        <v>.</v>
      </c>
      <c r="R560" s="513" t="str">
        <f t="shared" si="110"/>
        <v/>
      </c>
      <c r="S560" s="513" t="str">
        <f>IF(AND(AD560=1,R560&lt;&gt;".")=TRUE,R560/VLOOKUP(G560,'Exchange rates'!B:C,2,0),IF(R560=".",".",""))</f>
        <v/>
      </c>
      <c r="T560" s="513" t="str">
        <f>IF(AD560=1,IF(AF560="Value is not given at all",".",IF(AF560="Value is given by the source",S560,IF(AF560="Value is calculated with prices",(IF(SUMIFS(Q:Q,A:A,A560)&gt;0,SUMIFS(Q:Q,A:A,A560),"."))/VLOOKUP("USD",'Exchange rates'!B:C,2,0),"Error with coding"))),"")</f>
        <v/>
      </c>
      <c r="U560" s="39" t="s">
        <v>233</v>
      </c>
      <c r="V560" s="376" t="s">
        <v>1578</v>
      </c>
      <c r="W560" s="376" t="s">
        <v>1590</v>
      </c>
      <c r="X560" s="376" t="s">
        <v>1583</v>
      </c>
      <c r="Y560" s="376" t="s">
        <v>1584</v>
      </c>
      <c r="Z560" s="39">
        <v>0</v>
      </c>
      <c r="AA560" s="518">
        <v>0</v>
      </c>
      <c r="AB560" s="521" t="s">
        <v>1578</v>
      </c>
      <c r="AC560" s="519" t="str">
        <f>""</f>
        <v/>
      </c>
      <c r="AD560" s="520">
        <v>0</v>
      </c>
      <c r="AE560" s="520" t="s">
        <v>236</v>
      </c>
      <c r="AF560" s="520" t="s">
        <v>237</v>
      </c>
      <c r="AG560" s="520">
        <v>1</v>
      </c>
      <c r="AH560" s="520">
        <v>7</v>
      </c>
      <c r="AI560" s="520">
        <v>0</v>
      </c>
      <c r="AJ560" s="520">
        <f>VLOOKUP($I560,'Price List, Weapons &amp; Items'!A:E,5,0)</f>
        <v>0</v>
      </c>
      <c r="AK560" s="520">
        <f t="shared" si="111"/>
        <v>0</v>
      </c>
      <c r="AL560" s="520">
        <f t="shared" si="112"/>
        <v>0</v>
      </c>
      <c r="AM560" s="520">
        <f t="shared" si="113"/>
        <v>0</v>
      </c>
      <c r="AN560" s="521" t="str">
        <f>VLOOKUP($I560,'Price List, Weapons &amp; Items'!A:K,COLUMN('Price List, Weapons &amp; Items'!$I$1),0)</f>
        <v>Military media (incl. websites)</v>
      </c>
      <c r="AO560" s="521" t="str">
        <f>IF(I560=".",".",VLOOKUP($I560,'Price List, Weapons &amp; Items'!A:I,3,0))</f>
        <v>.</v>
      </c>
      <c r="AP560" s="517" t="str">
        <f t="shared" ca="1" si="120"/>
        <v/>
      </c>
      <c r="AQ560" s="521">
        <f>VLOOKUP($I560,'Price List, Weapons &amp; Items'!A:K,COLUMN('Price List, Weapons &amp; Items'!$K$1),0)</f>
        <v>2</v>
      </c>
      <c r="AS560" s="521">
        <f t="shared" si="114"/>
        <v>1</v>
      </c>
      <c r="AT560" s="521">
        <f t="shared" si="115"/>
        <v>1</v>
      </c>
      <c r="AU560" s="521">
        <f t="shared" si="116"/>
        <v>1</v>
      </c>
      <c r="AV560" s="521" t="str">
        <f t="shared" si="117"/>
        <v>.</v>
      </c>
    </row>
    <row r="561" spans="1:48" ht="15" customHeight="1">
      <c r="A561" s="18" t="s">
        <v>1588</v>
      </c>
      <c r="B561" s="18" t="s">
        <v>1562</v>
      </c>
      <c r="C561" s="511">
        <v>44752</v>
      </c>
      <c r="D561" s="18" t="s">
        <v>252</v>
      </c>
      <c r="E561" s="18" t="s">
        <v>261</v>
      </c>
      <c r="F561" s="512" t="s">
        <v>1589</v>
      </c>
      <c r="G561" s="39" t="s">
        <v>332</v>
      </c>
      <c r="H561" s="513">
        <v>2000000</v>
      </c>
      <c r="I561" s="41" t="s">
        <v>419</v>
      </c>
      <c r="J561" s="276" t="str">
        <f>VLOOKUP($I561,'Price List, Weapons &amp; Items'!A:B,2,0)</f>
        <v>Military equipment</v>
      </c>
      <c r="K561" s="276" t="str">
        <f>IF(I561=".",I561,VLOOKUP($I561,'Price List, Weapons &amp; Items'!A:C,3,0))</f>
        <v>.</v>
      </c>
      <c r="L561" s="514">
        <f>VLOOKUP(I561,'Price List, Weapons &amp; Items'!A:D,4,0)</f>
        <v>0</v>
      </c>
      <c r="M561" s="515" t="s">
        <v>264</v>
      </c>
      <c r="N561" s="515" t="s">
        <v>264</v>
      </c>
      <c r="O561" s="516">
        <f>VLOOKUP($I561,'Price List, Weapons &amp; Items'!A:F,6,0)</f>
        <v>1400</v>
      </c>
      <c r="P561" s="513" t="str">
        <f t="shared" si="108"/>
        <v>.</v>
      </c>
      <c r="Q561" s="513" t="str">
        <f t="shared" si="109"/>
        <v>.</v>
      </c>
      <c r="R561" s="513" t="str">
        <f t="shared" si="110"/>
        <v/>
      </c>
      <c r="S561" s="513" t="str">
        <f>IF(AND(AD561=1,R561&lt;&gt;".")=TRUE,R561/VLOOKUP(G561,'Exchange rates'!B:C,2,0),IF(R561=".",".",""))</f>
        <v/>
      </c>
      <c r="T561" s="513" t="str">
        <f>IF(AD561=1,IF(AF561="Value is not given at all",".",IF(AF561="Value is given by the source",S561,IF(AF561="Value is calculated with prices",(IF(SUMIFS(Q:Q,A:A,A561)&gt;0,SUMIFS(Q:Q,A:A,A561),"."))/VLOOKUP("USD",'Exchange rates'!B:C,2,0),"Error with coding"))),"")</f>
        <v/>
      </c>
      <c r="U561" s="39" t="s">
        <v>233</v>
      </c>
      <c r="V561" s="376" t="s">
        <v>1578</v>
      </c>
      <c r="W561" s="376" t="s">
        <v>1590</v>
      </c>
      <c r="X561" s="376" t="s">
        <v>1583</v>
      </c>
      <c r="Y561" s="376" t="s">
        <v>1584</v>
      </c>
      <c r="Z561" s="39">
        <v>0</v>
      </c>
      <c r="AA561" s="518">
        <v>0</v>
      </c>
      <c r="AB561" s="521" t="s">
        <v>1578</v>
      </c>
      <c r="AC561" s="519" t="str">
        <f>""</f>
        <v/>
      </c>
      <c r="AD561" s="520">
        <v>0</v>
      </c>
      <c r="AE561" s="520" t="s">
        <v>236</v>
      </c>
      <c r="AF561" s="520" t="s">
        <v>237</v>
      </c>
      <c r="AG561" s="520">
        <v>1</v>
      </c>
      <c r="AH561" s="520">
        <v>7</v>
      </c>
      <c r="AI561" s="520">
        <v>0</v>
      </c>
      <c r="AJ561" s="520">
        <f>VLOOKUP($I561,'Price List, Weapons &amp; Items'!A:E,5,0)</f>
        <v>0</v>
      </c>
      <c r="AK561" s="520">
        <f t="shared" si="111"/>
        <v>0</v>
      </c>
      <c r="AL561" s="520">
        <f t="shared" si="112"/>
        <v>0</v>
      </c>
      <c r="AM561" s="520">
        <f t="shared" si="113"/>
        <v>0</v>
      </c>
      <c r="AN561" s="521" t="str">
        <f>VLOOKUP($I561,'Price List, Weapons &amp; Items'!A:K,COLUMN('Price List, Weapons &amp; Items'!$I$1),0)</f>
        <v>Military media (incl. websites)</v>
      </c>
      <c r="AO561" s="521" t="str">
        <f>IF(I561=".",".",VLOOKUP($I561,'Price List, Weapons &amp; Items'!A:I,3,0))</f>
        <v>.</v>
      </c>
      <c r="AP561" s="517" t="str">
        <f t="shared" ca="1" si="120"/>
        <v/>
      </c>
      <c r="AQ561" s="521">
        <f>VLOOKUP($I561,'Price List, Weapons &amp; Items'!A:K,COLUMN('Price List, Weapons &amp; Items'!$K$1),0)</f>
        <v>2</v>
      </c>
      <c r="AS561" s="521">
        <f t="shared" si="114"/>
        <v>1</v>
      </c>
      <c r="AT561" s="521">
        <f t="shared" si="115"/>
        <v>1</v>
      </c>
      <c r="AU561" s="521">
        <f t="shared" si="116"/>
        <v>1</v>
      </c>
      <c r="AV561" s="521" t="str">
        <f t="shared" si="117"/>
        <v>.</v>
      </c>
    </row>
    <row r="562" spans="1:48" ht="15" customHeight="1">
      <c r="A562" s="18" t="s">
        <v>1591</v>
      </c>
      <c r="B562" s="18" t="s">
        <v>1562</v>
      </c>
      <c r="C562" s="511">
        <v>44762</v>
      </c>
      <c r="D562" s="18" t="s">
        <v>252</v>
      </c>
      <c r="E562" s="18" t="s">
        <v>307</v>
      </c>
      <c r="F562" s="512" t="s">
        <v>1592</v>
      </c>
      <c r="G562" s="39" t="s">
        <v>332</v>
      </c>
      <c r="H562" s="513">
        <f>(180000000-8000000-SUM(S564,S559,S556,S555,S553,S552))/2</f>
        <v>25755231.689088196</v>
      </c>
      <c r="I562" s="41" t="s">
        <v>292</v>
      </c>
      <c r="J562" s="276" t="str">
        <f>VLOOKUP($I562,'Price List, Weapons &amp; Items'!A:B,2,0)</f>
        <v>Heavy weapon</v>
      </c>
      <c r="K562" s="276" t="str">
        <f>IF(I562=".",I562,VLOOKUP($I562,'Price List, Weapons &amp; Items'!A:C,3,0))</f>
        <v>Armoured Personnel Carrier (APC)</v>
      </c>
      <c r="L562" s="514">
        <f>VLOOKUP(I562,'Price List, Weapons &amp; Items'!A:D,4,0)</f>
        <v>0</v>
      </c>
      <c r="M562" s="515" t="s">
        <v>264</v>
      </c>
      <c r="N562" s="515" t="s">
        <v>264</v>
      </c>
      <c r="O562" s="516">
        <f>VLOOKUP($I562,'Price List, Weapons &amp; Items'!A:F,6,0)</f>
        <v>300000</v>
      </c>
      <c r="P562" s="513" t="str">
        <f t="shared" si="108"/>
        <v>.</v>
      </c>
      <c r="Q562" s="513" t="str">
        <f t="shared" si="109"/>
        <v>.</v>
      </c>
      <c r="R562" s="513">
        <f t="shared" si="110"/>
        <v>25755231.689088196</v>
      </c>
      <c r="S562" s="513">
        <f>IF(AND(AD562=1,R562&lt;&gt;".")=TRUE,R562/VLOOKUP(G562,'Exchange rates'!B:C,2,0),IF(R562=".",".",""))</f>
        <v>25755231.689088196</v>
      </c>
      <c r="T562" s="513" t="str">
        <f>IF(AD562=1,IF(AF562="Value is not given at all",".",IF(AF562="Value is given by the source",S562,IF(AF562="Value is calculated with prices",(IF(SUMIFS(Q:Q,A:A,A562)&gt;0,SUMIFS(Q:Q,A:A,A562),"."))/VLOOKUP("USD",'Exchange rates'!B:C,2,0),"Error with coding"))),"")</f>
        <v>.</v>
      </c>
      <c r="U562" s="39" t="s">
        <v>233</v>
      </c>
      <c r="V562" s="376" t="s">
        <v>1593</v>
      </c>
      <c r="W562" s="376" t="s">
        <v>1594</v>
      </c>
      <c r="X562" s="530" t="s">
        <v>232</v>
      </c>
      <c r="Y562" s="530" t="s">
        <v>232</v>
      </c>
      <c r="Z562" s="518">
        <v>0</v>
      </c>
      <c r="AA562" s="518">
        <v>0</v>
      </c>
      <c r="AB562" s="521" t="s">
        <v>232</v>
      </c>
      <c r="AC562" s="519" t="str">
        <f>""</f>
        <v/>
      </c>
      <c r="AD562" s="520">
        <v>1</v>
      </c>
      <c r="AE562" s="520" t="s">
        <v>237</v>
      </c>
      <c r="AF562" s="520" t="s">
        <v>237</v>
      </c>
      <c r="AG562" s="520">
        <v>1</v>
      </c>
      <c r="AH562" s="520">
        <v>7</v>
      </c>
      <c r="AI562" s="520">
        <v>0</v>
      </c>
      <c r="AJ562" s="520">
        <f>VLOOKUP($I562,'Price List, Weapons &amp; Items'!A:E,5,0)</f>
        <v>1</v>
      </c>
      <c r="AK562" s="520">
        <f t="shared" si="111"/>
        <v>1</v>
      </c>
      <c r="AL562" s="520">
        <f t="shared" si="112"/>
        <v>1</v>
      </c>
      <c r="AM562" s="520">
        <f t="shared" si="113"/>
        <v>0</v>
      </c>
      <c r="AN562" s="521" t="str">
        <f>VLOOKUP($I562,'Price List, Weapons &amp; Items'!A:K,COLUMN('Price List, Weapons &amp; Items'!$I$1),0)</f>
        <v>Military media (incl. websites)</v>
      </c>
      <c r="AO562" s="521" t="str">
        <f>IF(I562=".",".",VLOOKUP($I562,'Price List, Weapons &amp; Items'!A:I,3,0))</f>
        <v>Armoured Personnel Carrier (APC)</v>
      </c>
      <c r="AP562" s="517" t="str">
        <f t="shared" ca="1" si="120"/>
        <v>M113 armored personnel carrier; M577 Command Post Carrier</v>
      </c>
      <c r="AQ562" s="521">
        <f>VLOOKUP($I562,'Price List, Weapons &amp; Items'!A:K,COLUMN('Price List, Weapons &amp; Items'!$K$1),0)</f>
        <v>2</v>
      </c>
      <c r="AS562" s="521">
        <f t="shared" si="114"/>
        <v>1</v>
      </c>
      <c r="AT562" s="521">
        <f t="shared" si="115"/>
        <v>1</v>
      </c>
      <c r="AU562" s="521">
        <f t="shared" si="116"/>
        <v>1</v>
      </c>
      <c r="AV562" s="521" t="str">
        <f t="shared" si="117"/>
        <v>.</v>
      </c>
    </row>
    <row r="563" spans="1:48" ht="15" customHeight="1">
      <c r="A563" s="18" t="s">
        <v>1591</v>
      </c>
      <c r="B563" s="18" t="s">
        <v>1562</v>
      </c>
      <c r="C563" s="511">
        <v>44762</v>
      </c>
      <c r="D563" s="18" t="s">
        <v>252</v>
      </c>
      <c r="E563" s="18" t="s">
        <v>307</v>
      </c>
      <c r="F563" s="512" t="s">
        <v>1592</v>
      </c>
      <c r="G563" s="39" t="s">
        <v>332</v>
      </c>
      <c r="H563" s="513">
        <f>(180000000-8000000-SUM(S564,S559,S556,S555,S553,S552))/2</f>
        <v>25755231.689088196</v>
      </c>
      <c r="I563" s="41" t="s">
        <v>1595</v>
      </c>
      <c r="J563" s="276" t="str">
        <f>VLOOKUP($I563,'Price List, Weapons &amp; Items'!A:B,2,0)</f>
        <v>Heavy weapon</v>
      </c>
      <c r="K563" s="276" t="str">
        <f>IF(I563=".",I563,VLOOKUP($I563,'Price List, Weapons &amp; Items'!A:C,3,0))</f>
        <v>Armoured Personnel Carrier (APC)</v>
      </c>
      <c r="L563" s="514">
        <f>VLOOKUP(I563,'Price List, Weapons &amp; Items'!A:D,4,0)</f>
        <v>0</v>
      </c>
      <c r="M563" s="515" t="s">
        <v>264</v>
      </c>
      <c r="N563" s="515" t="s">
        <v>264</v>
      </c>
      <c r="O563" s="516">
        <f>VLOOKUP($I563,'Price List, Weapons &amp; Items'!A:F,6,0)</f>
        <v>326778</v>
      </c>
      <c r="P563" s="513" t="str">
        <f t="shared" si="108"/>
        <v>.</v>
      </c>
      <c r="Q563" s="513" t="str">
        <f t="shared" si="109"/>
        <v>.</v>
      </c>
      <c r="R563" s="513" t="str">
        <f t="shared" si="110"/>
        <v/>
      </c>
      <c r="S563" s="513" t="str">
        <f>IF(AND(AD563=1,R563&lt;&gt;".")=TRUE,R563/VLOOKUP(G563,'Exchange rates'!B:C,2,0),IF(R563=".",".",""))</f>
        <v/>
      </c>
      <c r="T563" s="513" t="str">
        <f>IF(AD563=1,IF(AF563="Value is not given at all",".",IF(AF563="Value is given by the source",S563,IF(AF563="Value is calculated with prices",(IF(SUMIFS(Q:Q,A:A,A563)&gt;0,SUMIFS(Q:Q,A:A,A563),"."))/VLOOKUP("USD",'Exchange rates'!B:C,2,0),"Error with coding"))),"")</f>
        <v/>
      </c>
      <c r="U563" s="39" t="s">
        <v>233</v>
      </c>
      <c r="V563" s="835" t="s">
        <v>1596</v>
      </c>
      <c r="W563" s="835" t="s">
        <v>1597</v>
      </c>
      <c r="X563" s="530" t="s">
        <v>232</v>
      </c>
      <c r="Y563" s="530" t="s">
        <v>232</v>
      </c>
      <c r="Z563" s="518">
        <v>0</v>
      </c>
      <c r="AA563" s="518">
        <v>0</v>
      </c>
      <c r="AB563" s="521" t="s">
        <v>232</v>
      </c>
      <c r="AC563" s="519" t="str">
        <f>""</f>
        <v/>
      </c>
      <c r="AD563" s="520">
        <v>0</v>
      </c>
      <c r="AE563" s="520" t="s">
        <v>237</v>
      </c>
      <c r="AF563" s="520" t="s">
        <v>237</v>
      </c>
      <c r="AG563" s="520">
        <v>1</v>
      </c>
      <c r="AH563" s="520">
        <v>7</v>
      </c>
      <c r="AI563" s="520">
        <v>0</v>
      </c>
      <c r="AJ563" s="520">
        <f>VLOOKUP($I563,'Price List, Weapons &amp; Items'!A:E,5,0)</f>
        <v>1</v>
      </c>
      <c r="AK563" s="520">
        <f t="shared" si="111"/>
        <v>1</v>
      </c>
      <c r="AL563" s="520">
        <f t="shared" si="112"/>
        <v>1</v>
      </c>
      <c r="AM563" s="520">
        <f t="shared" si="113"/>
        <v>0</v>
      </c>
      <c r="AN563" s="521" t="str">
        <f>VLOOKUP($I563,'Price List, Weapons &amp; Items'!A:K,COLUMN('Price List, Weapons &amp; Items'!$I$1),0)</f>
        <v>Contracts</v>
      </c>
      <c r="AO563" s="521" t="str">
        <f>IF(I563=".",".",VLOOKUP($I563,'Price List, Weapons &amp; Items'!A:I,3,0))</f>
        <v>Armoured Personnel Carrier (APC)</v>
      </c>
      <c r="AP563" s="517" t="str">
        <f t="shared" ca="1" si="120"/>
        <v/>
      </c>
      <c r="AQ563" s="521" t="str">
        <f>VLOOKUP($I563,'Price List, Weapons &amp; Items'!A:K,COLUMN('Price List, Weapons &amp; Items'!$K$1),0)</f>
        <v>no price, 0 count</v>
      </c>
      <c r="AS563" s="521">
        <f t="shared" si="114"/>
        <v>1</v>
      </c>
      <c r="AT563" s="521">
        <f t="shared" si="115"/>
        <v>1</v>
      </c>
      <c r="AU563" s="521">
        <f t="shared" si="116"/>
        <v>1</v>
      </c>
      <c r="AV563" s="521" t="str">
        <f t="shared" si="117"/>
        <v>.</v>
      </c>
    </row>
    <row r="564" spans="1:48" ht="15" customHeight="1">
      <c r="A564" s="18" t="s">
        <v>1598</v>
      </c>
      <c r="B564" s="18" t="s">
        <v>1562</v>
      </c>
      <c r="C564" s="511">
        <v>44770</v>
      </c>
      <c r="D564" s="18" t="s">
        <v>252</v>
      </c>
      <c r="E564" s="18" t="s">
        <v>307</v>
      </c>
      <c r="F564" s="512" t="s">
        <v>1599</v>
      </c>
      <c r="G564" s="39" t="s">
        <v>314</v>
      </c>
      <c r="H564" s="527" t="s">
        <v>309</v>
      </c>
      <c r="I564" s="524" t="s">
        <v>292</v>
      </c>
      <c r="J564" s="276" t="str">
        <f>VLOOKUP($I564,'Price List, Weapons &amp; Items'!A:B,2,0)</f>
        <v>Heavy weapon</v>
      </c>
      <c r="K564" s="276" t="str">
        <f>IF(I564=".",I564,VLOOKUP($I564,'Price List, Weapons &amp; Items'!A:C,3,0))</f>
        <v>Armoured Personnel Carrier (APC)</v>
      </c>
      <c r="L564" s="514">
        <f>VLOOKUP(I564,'Price List, Weapons &amp; Items'!A:D,4,0)</f>
        <v>0</v>
      </c>
      <c r="M564" s="527">
        <v>10</v>
      </c>
      <c r="N564" s="527" t="s">
        <v>232</v>
      </c>
      <c r="O564" s="516">
        <f>VLOOKUP($I564,'Price List, Weapons &amp; Items'!A:F,6,0)</f>
        <v>300000</v>
      </c>
      <c r="P564" s="513">
        <f t="shared" si="108"/>
        <v>3000000</v>
      </c>
      <c r="Q564" s="513" t="str">
        <f t="shared" si="109"/>
        <v>.</v>
      </c>
      <c r="R564" s="513">
        <f t="shared" si="110"/>
        <v>3000000</v>
      </c>
      <c r="S564" s="513">
        <f>IF(AND(AD564=1,R564&lt;&gt;".")=TRUE,R564/VLOOKUP(G564,'Exchange rates'!B:C,2,0),IF(R564=".",".",""))</f>
        <v>2989536.6218236173</v>
      </c>
      <c r="T564" s="513" t="str">
        <f>IF(AD564=1,IF(AF564="Value is not given at all",".",IF(AF564="Value is given by the source",S564,IF(AF564="Value is calculated with prices",(IF(SUMIFS(Q:Q,A:A,A564)&gt;0,SUMIFS(Q:Q,A:A,A564),"."))/VLOOKUP("USD",'Exchange rates'!B:C,2,0),"Error with coding"))),"")</f>
        <v>.</v>
      </c>
      <c r="U564" s="39" t="s">
        <v>372</v>
      </c>
      <c r="V564" s="376" t="s">
        <v>1600</v>
      </c>
      <c r="W564" s="528" t="s">
        <v>232</v>
      </c>
      <c r="X564" s="528" t="s">
        <v>232</v>
      </c>
      <c r="Y564" s="528" t="s">
        <v>232</v>
      </c>
      <c r="Z564" s="39">
        <v>0</v>
      </c>
      <c r="AA564" s="518">
        <v>0</v>
      </c>
      <c r="AB564" s="41" t="s">
        <v>232</v>
      </c>
      <c r="AC564" s="519" t="str">
        <f>""</f>
        <v/>
      </c>
      <c r="AD564" s="522">
        <v>1</v>
      </c>
      <c r="AE564" s="522" t="s">
        <v>300</v>
      </c>
      <c r="AF564" s="522" t="s">
        <v>237</v>
      </c>
      <c r="AG564" s="522">
        <v>1</v>
      </c>
      <c r="AH564" s="522">
        <v>7</v>
      </c>
      <c r="AI564" s="522">
        <v>0</v>
      </c>
      <c r="AJ564" s="520">
        <f>VLOOKUP($I564,'Price List, Weapons &amp; Items'!A:E,5,0)</f>
        <v>1</v>
      </c>
      <c r="AK564" s="520">
        <f t="shared" si="111"/>
        <v>0</v>
      </c>
      <c r="AL564" s="520">
        <f t="shared" si="112"/>
        <v>0</v>
      </c>
      <c r="AM564" s="520">
        <f t="shared" si="113"/>
        <v>0</v>
      </c>
      <c r="AN564" s="521" t="str">
        <f>VLOOKUP($I564,'Price List, Weapons &amp; Items'!A:K,COLUMN('Price List, Weapons &amp; Items'!$I$1),0)</f>
        <v>Military media (incl. websites)</v>
      </c>
      <c r="AO564" s="521" t="str">
        <f>IF(I564=".",".",VLOOKUP($I564,'Price List, Weapons &amp; Items'!A:I,3,0))</f>
        <v>Armoured Personnel Carrier (APC)</v>
      </c>
      <c r="AP564" s="517" t="str">
        <f t="shared" ca="1" si="120"/>
        <v>M113 armored personnel carrier; military ammunition</v>
      </c>
      <c r="AQ564" s="521">
        <f>VLOOKUP($I564,'Price List, Weapons &amp; Items'!A:K,COLUMN('Price List, Weapons &amp; Items'!$K$1),0)</f>
        <v>2</v>
      </c>
      <c r="AS564" s="521">
        <f t="shared" si="114"/>
        <v>0</v>
      </c>
      <c r="AT564" s="521">
        <f t="shared" si="115"/>
        <v>1</v>
      </c>
      <c r="AU564" s="521">
        <f t="shared" si="116"/>
        <v>1</v>
      </c>
      <c r="AV564" s="521" t="str">
        <f t="shared" si="117"/>
        <v>.</v>
      </c>
    </row>
    <row r="565" spans="1:48" ht="15" customHeight="1">
      <c r="A565" s="18" t="s">
        <v>1598</v>
      </c>
      <c r="B565" s="18" t="s">
        <v>1562</v>
      </c>
      <c r="C565" s="511">
        <v>44770</v>
      </c>
      <c r="D565" s="18" t="s">
        <v>252</v>
      </c>
      <c r="E565" s="18" t="s">
        <v>307</v>
      </c>
      <c r="F565" s="512" t="s">
        <v>1599</v>
      </c>
      <c r="G565" s="39" t="s">
        <v>314</v>
      </c>
      <c r="H565" s="527" t="s">
        <v>309</v>
      </c>
      <c r="I565" s="524" t="s">
        <v>1601</v>
      </c>
      <c r="J565" s="276" t="str">
        <f>VLOOKUP($I565,'Price List, Weapons &amp; Items'!A:B,2,0)</f>
        <v>Light armaments &amp; infantry</v>
      </c>
      <c r="K565" s="276" t="str">
        <f>IF(I565=".",I565,VLOOKUP($I565,'Price List, Weapons &amp; Items'!A:C,3,0))</f>
        <v>Small Arms and Light Weapons (SALW) ammunition</v>
      </c>
      <c r="L565" s="514">
        <f>VLOOKUP(I565,'Price List, Weapons &amp; Items'!A:D,4,0)</f>
        <v>0</v>
      </c>
      <c r="M565" s="527" t="s">
        <v>264</v>
      </c>
      <c r="N565" s="527" t="s">
        <v>264</v>
      </c>
      <c r="O565" s="516" t="str">
        <f>VLOOKUP($I565,'Price List, Weapons &amp; Items'!A:F,6,0)</f>
        <v>.</v>
      </c>
      <c r="P565" s="513" t="str">
        <f t="shared" si="108"/>
        <v>.</v>
      </c>
      <c r="Q565" s="513" t="str">
        <f t="shared" si="109"/>
        <v>.</v>
      </c>
      <c r="R565" s="513" t="str">
        <f t="shared" si="110"/>
        <v/>
      </c>
      <c r="S565" s="513" t="str">
        <f>IF(AND(AD565=1,R565&lt;&gt;".")=TRUE,R565/VLOOKUP(G565,'Exchange rates'!B:C,2,0),IF(R565=".",".",""))</f>
        <v/>
      </c>
      <c r="T565" s="513" t="str">
        <f>IF(AD565=1,IF(AF565="Value is not given at all",".",IF(AF565="Value is given by the source",S565,IF(AF565="Value is calculated with prices",(IF(SUMIFS(Q:Q,A:A,A565)&gt;0,SUMIFS(Q:Q,A:A,A565),"."))/VLOOKUP("USD",'Exchange rates'!B:C,2,0),"Error with coding"))),"")</f>
        <v/>
      </c>
      <c r="U565" s="39" t="s">
        <v>372</v>
      </c>
      <c r="V565" s="376" t="s">
        <v>1600</v>
      </c>
      <c r="W565" s="528" t="s">
        <v>232</v>
      </c>
      <c r="X565" s="528" t="s">
        <v>232</v>
      </c>
      <c r="Y565" s="528" t="s">
        <v>232</v>
      </c>
      <c r="Z565" s="39">
        <v>0</v>
      </c>
      <c r="AA565" s="518">
        <v>0</v>
      </c>
      <c r="AB565" s="41" t="s">
        <v>232</v>
      </c>
      <c r="AC565" s="519" t="str">
        <f>""</f>
        <v/>
      </c>
      <c r="AD565" s="522">
        <v>0</v>
      </c>
      <c r="AE565" s="522" t="s">
        <v>300</v>
      </c>
      <c r="AF565" s="522" t="s">
        <v>237</v>
      </c>
      <c r="AG565" s="522">
        <v>1</v>
      </c>
      <c r="AH565" s="522">
        <v>7</v>
      </c>
      <c r="AI565" s="522">
        <v>0</v>
      </c>
      <c r="AJ565" s="520">
        <f>VLOOKUP($I565,'Price List, Weapons &amp; Items'!A:E,5,0)</f>
        <v>0</v>
      </c>
      <c r="AK565" s="520">
        <f t="shared" si="111"/>
        <v>0</v>
      </c>
      <c r="AL565" s="520">
        <f t="shared" si="112"/>
        <v>0</v>
      </c>
      <c r="AM565" s="520">
        <f t="shared" si="113"/>
        <v>1</v>
      </c>
      <c r="AN565" s="521" t="str">
        <f>VLOOKUP($I565,'Price List, Weapons &amp; Items'!A:K,COLUMN('Price List, Weapons &amp; Items'!$I$1),0)</f>
        <v>.</v>
      </c>
      <c r="AO565" s="521" t="str">
        <f>IF(I565=".",".",VLOOKUP($I565,'Price List, Weapons &amp; Items'!A:I,3,0))</f>
        <v>Small Arms and Light Weapons (SALW) ammunition</v>
      </c>
      <c r="AP565" s="517" t="str">
        <f t="shared" ca="1" si="120"/>
        <v/>
      </c>
      <c r="AQ565" s="521" t="str">
        <f>VLOOKUP($I565,'Price List, Weapons &amp; Items'!A:K,COLUMN('Price List, Weapons &amp; Items'!$K$1),0)</f>
        <v>no price, 0 count</v>
      </c>
      <c r="AS565" s="521">
        <f t="shared" si="114"/>
        <v>0</v>
      </c>
      <c r="AT565" s="521">
        <f t="shared" si="115"/>
        <v>1</v>
      </c>
      <c r="AU565" s="521">
        <f t="shared" si="116"/>
        <v>1</v>
      </c>
      <c r="AV565" s="521" t="str">
        <f t="shared" si="117"/>
        <v>.</v>
      </c>
    </row>
    <row r="566" spans="1:48" ht="15" customHeight="1">
      <c r="A566" s="18" t="s">
        <v>1602</v>
      </c>
      <c r="B566" s="18" t="s">
        <v>1562</v>
      </c>
      <c r="C566" s="511">
        <v>44811</v>
      </c>
      <c r="D566" s="18" t="s">
        <v>252</v>
      </c>
      <c r="E566" s="18" t="s">
        <v>307</v>
      </c>
      <c r="F566" s="512" t="s">
        <v>1603</v>
      </c>
      <c r="G566" s="39" t="s">
        <v>332</v>
      </c>
      <c r="H566" s="513">
        <f>(180000000-8000000-SUM(S564,S559,S556,S555,S553,S552))/2</f>
        <v>25755231.689088196</v>
      </c>
      <c r="I566" s="524" t="s">
        <v>1604</v>
      </c>
      <c r="J566" s="276" t="str">
        <f>VLOOKUP($I566,'Price List, Weapons &amp; Items'!A:B,2,0)</f>
        <v>Heavy weapon</v>
      </c>
      <c r="K566" s="276" t="str">
        <f>IF(I566=".",I566,VLOOKUP($I566,'Price List, Weapons &amp; Items'!A:C,3,0))</f>
        <v>105mm howitzer</v>
      </c>
      <c r="L566" s="514">
        <f>VLOOKUP(I566,'Price List, Weapons &amp; Items'!A:D,4,0)</f>
        <v>0</v>
      </c>
      <c r="M566" s="527" t="s">
        <v>264</v>
      </c>
      <c r="N566" s="527" t="s">
        <v>264</v>
      </c>
      <c r="O566" s="516">
        <f>VLOOKUP($I566,'Price List, Weapons &amp; Items'!A:F,6,0)</f>
        <v>291771.32972527831</v>
      </c>
      <c r="P566" s="513" t="str">
        <f t="shared" si="108"/>
        <v>.</v>
      </c>
      <c r="Q566" s="513" t="str">
        <f t="shared" si="109"/>
        <v>.</v>
      </c>
      <c r="R566" s="513">
        <f t="shared" si="110"/>
        <v>25755231.689088196</v>
      </c>
      <c r="S566" s="513">
        <f>IF(AND(AD566=1,R566&lt;&gt;".")=TRUE,R566/VLOOKUP(G566,'Exchange rates'!B:C,2,0),IF(R566=".",".",""))</f>
        <v>25755231.689088196</v>
      </c>
      <c r="T566" s="513" t="str">
        <f>IF(AD566=1,IF(AF566="Value is not given at all",".",IF(AF566="Value is given by the source",S566,IF(AF566="Value is calculated with prices",(IF(SUMIFS(Q:Q,A:A,A566)&gt;0,SUMIFS(Q:Q,A:A,A566),"."))/VLOOKUP("USD",'Exchange rates'!B:C,2,0),"Error with coding"))),"")</f>
        <v>.</v>
      </c>
      <c r="U566" s="39" t="s">
        <v>233</v>
      </c>
      <c r="V566" s="376" t="s">
        <v>1605</v>
      </c>
      <c r="W566" s="835" t="s">
        <v>1606</v>
      </c>
      <c r="X566" s="528" t="s">
        <v>232</v>
      </c>
      <c r="Y566" s="517" t="s">
        <v>232</v>
      </c>
      <c r="Z566" s="39">
        <v>0</v>
      </c>
      <c r="AA566" s="518">
        <v>0</v>
      </c>
      <c r="AB566" s="523" t="s">
        <v>232</v>
      </c>
      <c r="AC566" s="519" t="str">
        <f>""</f>
        <v/>
      </c>
      <c r="AD566" s="522">
        <v>1</v>
      </c>
      <c r="AE566" s="522" t="s">
        <v>300</v>
      </c>
      <c r="AF566" s="522" t="s">
        <v>237</v>
      </c>
      <c r="AG566" s="522">
        <v>1</v>
      </c>
      <c r="AH566" s="522">
        <v>9</v>
      </c>
      <c r="AI566" s="522">
        <v>0</v>
      </c>
      <c r="AJ566" s="520">
        <f>VLOOKUP($I566,'Price List, Weapons &amp; Items'!A:E,5,0)</f>
        <v>0</v>
      </c>
      <c r="AK566" s="520">
        <f t="shared" si="111"/>
        <v>0</v>
      </c>
      <c r="AL566" s="520">
        <f t="shared" si="112"/>
        <v>0</v>
      </c>
      <c r="AM566" s="520">
        <f t="shared" si="113"/>
        <v>0</v>
      </c>
      <c r="AN566" s="521" t="str">
        <f>VLOOKUP($I566,'Price List, Weapons &amp; Items'!A:K,COLUMN('Price List, Weapons &amp; Items'!$I$1),0)</f>
        <v>Contracts</v>
      </c>
      <c r="AO566" s="521" t="str">
        <f>IF(I566=".",".",VLOOKUP($I566,'Price List, Weapons &amp; Items'!A:I,3,0))</f>
        <v>105mm howitzer</v>
      </c>
      <c r="AP566" s="517" t="str">
        <f t="shared" ca="1" si="120"/>
        <v>M50 105mm howitzer; M101 105mm howitzer</v>
      </c>
      <c r="AQ566" s="521" t="str">
        <f>VLOOKUP($I566,'Price List, Weapons &amp; Items'!A:K,COLUMN('Price List, Weapons &amp; Items'!$K$1),0)</f>
        <v>no price, 0 count</v>
      </c>
      <c r="AS566" s="521">
        <f t="shared" si="114"/>
        <v>1</v>
      </c>
      <c r="AT566" s="521">
        <f t="shared" si="115"/>
        <v>1</v>
      </c>
      <c r="AU566" s="521">
        <f t="shared" si="116"/>
        <v>1</v>
      </c>
      <c r="AV566" s="521" t="str">
        <f t="shared" si="117"/>
        <v>.</v>
      </c>
    </row>
    <row r="567" spans="1:48" ht="15" customHeight="1">
      <c r="A567" s="18" t="s">
        <v>1602</v>
      </c>
      <c r="B567" s="18" t="s">
        <v>1562</v>
      </c>
      <c r="C567" s="511">
        <v>44811</v>
      </c>
      <c r="D567" s="18" t="s">
        <v>252</v>
      </c>
      <c r="E567" s="18" t="s">
        <v>307</v>
      </c>
      <c r="F567" s="512" t="s">
        <v>1603</v>
      </c>
      <c r="G567" s="39" t="s">
        <v>332</v>
      </c>
      <c r="H567" s="513">
        <f>(180000000-8000000-SUM(S564,S559,S556,S555,S553,S552))/2</f>
        <v>25755231.689088196</v>
      </c>
      <c r="I567" s="524" t="s">
        <v>1607</v>
      </c>
      <c r="J567" s="276" t="str">
        <f>VLOOKUP($I567,'Price List, Weapons &amp; Items'!A:B,2,0)</f>
        <v>Heavy weapon</v>
      </c>
      <c r="K567" s="276" t="str">
        <f>IF(I567=".",I567,VLOOKUP($I567,'Price List, Weapons &amp; Items'!A:C,3,0))</f>
        <v>105mm howitzer</v>
      </c>
      <c r="L567" s="514">
        <f>VLOOKUP(I567,'Price List, Weapons &amp; Items'!A:D,4,0)</f>
        <v>0</v>
      </c>
      <c r="M567" s="527" t="s">
        <v>264</v>
      </c>
      <c r="N567" s="527" t="s">
        <v>264</v>
      </c>
      <c r="O567" s="516">
        <f>VLOOKUP($I567,'Price List, Weapons &amp; Items'!A:F,6,0)</f>
        <v>291771.32972527831</v>
      </c>
      <c r="P567" s="513" t="str">
        <f t="shared" si="108"/>
        <v>.</v>
      </c>
      <c r="Q567" s="513" t="str">
        <f t="shared" si="109"/>
        <v>.</v>
      </c>
      <c r="R567" s="513" t="str">
        <f t="shared" si="110"/>
        <v/>
      </c>
      <c r="S567" s="513" t="str">
        <f>IF(AND(AD567=1,R567&lt;&gt;".")=TRUE,R567/VLOOKUP(G567,'Exchange rates'!B:C,2,0),IF(R567=".",".",""))</f>
        <v/>
      </c>
      <c r="T567" s="513" t="str">
        <f>IF(AD567=1,IF(AF567="Value is not given at all",".",IF(AF567="Value is given by the source",S567,IF(AF567="Value is calculated with prices",(IF(SUMIFS(Q:Q,A:A,A567)&gt;0,SUMIFS(Q:Q,A:A,A567),"."))/VLOOKUP("USD",'Exchange rates'!B:C,2,0),"Error with coding"))),"")</f>
        <v/>
      </c>
      <c r="U567" s="39" t="s">
        <v>233</v>
      </c>
      <c r="V567" s="376" t="s">
        <v>1608</v>
      </c>
      <c r="W567" s="835" t="s">
        <v>1609</v>
      </c>
      <c r="X567" s="528" t="s">
        <v>232</v>
      </c>
      <c r="Y567" s="517" t="s">
        <v>232</v>
      </c>
      <c r="Z567" s="39">
        <v>0</v>
      </c>
      <c r="AA567" s="518">
        <v>0</v>
      </c>
      <c r="AB567" s="523" t="s">
        <v>232</v>
      </c>
      <c r="AC567" s="519" t="str">
        <f>""</f>
        <v/>
      </c>
      <c r="AD567" s="522">
        <v>0</v>
      </c>
      <c r="AE567" s="522" t="s">
        <v>300</v>
      </c>
      <c r="AF567" s="522" t="s">
        <v>237</v>
      </c>
      <c r="AG567" s="522">
        <v>1</v>
      </c>
      <c r="AH567" s="522">
        <v>9</v>
      </c>
      <c r="AI567" s="522">
        <v>0</v>
      </c>
      <c r="AJ567" s="520">
        <f>VLOOKUP($I567,'Price List, Weapons &amp; Items'!A:E,5,0)</f>
        <v>0</v>
      </c>
      <c r="AK567" s="520">
        <f t="shared" si="111"/>
        <v>0</v>
      </c>
      <c r="AL567" s="520">
        <f t="shared" si="112"/>
        <v>0</v>
      </c>
      <c r="AM567" s="520">
        <f t="shared" si="113"/>
        <v>0</v>
      </c>
      <c r="AN567" s="521" t="str">
        <f>VLOOKUP($I567,'Price List, Weapons &amp; Items'!A:K,COLUMN('Price List, Weapons &amp; Items'!$I$1),0)</f>
        <v>Contracts</v>
      </c>
      <c r="AO567" s="521" t="str">
        <f>IF(I567=".",".",VLOOKUP($I567,'Price List, Weapons &amp; Items'!A:I,3,0))</f>
        <v>105mm howitzer</v>
      </c>
      <c r="AP567" s="517" t="str">
        <f t="shared" ca="1" si="120"/>
        <v/>
      </c>
      <c r="AQ567" s="521" t="str">
        <f>VLOOKUP($I567,'Price List, Weapons &amp; Items'!A:K,COLUMN('Price List, Weapons &amp; Items'!$K$1),0)</f>
        <v>no price, 0 count</v>
      </c>
      <c r="AS567" s="521">
        <f t="shared" si="114"/>
        <v>1</v>
      </c>
      <c r="AT567" s="521">
        <f t="shared" si="115"/>
        <v>1</v>
      </c>
      <c r="AU567" s="521">
        <f t="shared" si="116"/>
        <v>1</v>
      </c>
      <c r="AV567" s="521" t="str">
        <f t="shared" si="117"/>
        <v>.</v>
      </c>
    </row>
    <row r="568" spans="1:48" ht="15" customHeight="1">
      <c r="A568" s="18" t="s">
        <v>1610</v>
      </c>
      <c r="B568" s="18" t="s">
        <v>1562</v>
      </c>
      <c r="C568" s="511">
        <v>44818</v>
      </c>
      <c r="D568" s="18" t="s">
        <v>252</v>
      </c>
      <c r="E568" s="18" t="s">
        <v>307</v>
      </c>
      <c r="F568" s="512" t="s">
        <v>1611</v>
      </c>
      <c r="G568" s="39" t="s">
        <v>314</v>
      </c>
      <c r="H568" s="527" t="s">
        <v>309</v>
      </c>
      <c r="I568" s="524" t="s">
        <v>292</v>
      </c>
      <c r="J568" s="276" t="str">
        <f>VLOOKUP($I568,'Price List, Weapons &amp; Items'!A:B,2,0)</f>
        <v>Heavy weapon</v>
      </c>
      <c r="K568" s="276" t="str">
        <f>IF(I568=".",I568,VLOOKUP($I568,'Price List, Weapons &amp; Items'!A:C,3,0))</f>
        <v>Armoured Personnel Carrier (APC)</v>
      </c>
      <c r="L568" s="514">
        <f>VLOOKUP(I568,'Price List, Weapons &amp; Items'!A:D,4,0)</f>
        <v>0</v>
      </c>
      <c r="M568" s="527">
        <v>50</v>
      </c>
      <c r="N568" s="527">
        <v>50</v>
      </c>
      <c r="O568" s="516">
        <f>VLOOKUP($I568,'Price List, Weapons &amp; Items'!A:F,6,0)</f>
        <v>300000</v>
      </c>
      <c r="P568" s="513">
        <f t="shared" si="108"/>
        <v>15000000</v>
      </c>
      <c r="Q568" s="513">
        <f t="shared" si="109"/>
        <v>15000000</v>
      </c>
      <c r="R568" s="513">
        <f t="shared" si="110"/>
        <v>15000000</v>
      </c>
      <c r="S568" s="513">
        <f>IF(AND(AD568=1,R568&lt;&gt;".")=TRUE,R568/VLOOKUP(G568,'Exchange rates'!B:C,2,0),IF(R568=".",".",""))</f>
        <v>14947683.109118085</v>
      </c>
      <c r="T568" s="513" t="str">
        <f>IF(AD568=1,IF(AF568="Value is not given at all",".",IF(AF568="Value is given by the source",S568,IF(AF568="Value is calculated with prices",(IF(SUMIFS(Q:Q,A:A,A568)&gt;0,SUMIFS(Q:Q,A:A,A568),"."))/VLOOKUP("USD",'Exchange rates'!B:C,2,0),"Error with coding"))),"")</f>
        <v>.</v>
      </c>
      <c r="U568" s="39" t="s">
        <v>233</v>
      </c>
      <c r="V568" s="376" t="s">
        <v>1608</v>
      </c>
      <c r="W568" s="835" t="s">
        <v>1609</v>
      </c>
      <c r="X568" s="835" t="s">
        <v>1612</v>
      </c>
      <c r="Y568" s="835" t="s">
        <v>1613</v>
      </c>
      <c r="Z568" s="39">
        <v>0</v>
      </c>
      <c r="AA568" s="518">
        <v>1</v>
      </c>
      <c r="AB568" s="835" t="s">
        <v>1614</v>
      </c>
      <c r="AC568" s="519" t="str">
        <f>""</f>
        <v/>
      </c>
      <c r="AD568" s="522">
        <v>1</v>
      </c>
      <c r="AE568" s="522" t="s">
        <v>300</v>
      </c>
      <c r="AF568" s="522" t="s">
        <v>237</v>
      </c>
      <c r="AG568" s="522">
        <v>1</v>
      </c>
      <c r="AH568" s="522">
        <v>9</v>
      </c>
      <c r="AI568" s="522">
        <v>0</v>
      </c>
      <c r="AJ568" s="520">
        <f>VLOOKUP($I568,'Price List, Weapons &amp; Items'!A:E,5,0)</f>
        <v>1</v>
      </c>
      <c r="AK568" s="520">
        <f t="shared" si="111"/>
        <v>0</v>
      </c>
      <c r="AL568" s="520">
        <f t="shared" si="112"/>
        <v>0</v>
      </c>
      <c r="AM568" s="520">
        <f t="shared" si="113"/>
        <v>0</v>
      </c>
      <c r="AN568" s="521" t="str">
        <f>VLOOKUP($I568,'Price List, Weapons &amp; Items'!A:K,COLUMN('Price List, Weapons &amp; Items'!$I$1),0)</f>
        <v>Military media (incl. websites)</v>
      </c>
      <c r="AO568" s="521" t="str">
        <f>IF(I568=".",".",VLOOKUP($I568,'Price List, Weapons &amp; Items'!A:I,3,0))</f>
        <v>Armoured Personnel Carrier (APC)</v>
      </c>
      <c r="AP568" s="517" t="str">
        <f t="shared" ca="1" si="120"/>
        <v>M113 armored personnel carrier</v>
      </c>
      <c r="AQ568" s="521">
        <f>VLOOKUP($I568,'Price List, Weapons &amp; Items'!A:K,COLUMN('Price List, Weapons &amp; Items'!$K$1),0)</f>
        <v>2</v>
      </c>
      <c r="AS568" s="521">
        <f t="shared" si="114"/>
        <v>1</v>
      </c>
      <c r="AT568" s="521">
        <f t="shared" si="115"/>
        <v>1</v>
      </c>
      <c r="AU568" s="521">
        <f t="shared" si="116"/>
        <v>1</v>
      </c>
      <c r="AV568" s="521" t="str">
        <f t="shared" si="117"/>
        <v>.</v>
      </c>
    </row>
    <row r="569" spans="1:48" ht="15" customHeight="1">
      <c r="A569" s="18" t="s">
        <v>1615</v>
      </c>
      <c r="B569" s="18" t="s">
        <v>1562</v>
      </c>
      <c r="C569" s="511">
        <v>44845</v>
      </c>
      <c r="D569" s="18" t="s">
        <v>252</v>
      </c>
      <c r="E569" s="18" t="s">
        <v>229</v>
      </c>
      <c r="F569" s="512" t="s">
        <v>1616</v>
      </c>
      <c r="G569" s="39" t="s">
        <v>314</v>
      </c>
      <c r="H569" s="527" t="s">
        <v>309</v>
      </c>
      <c r="I569" s="524" t="s">
        <v>232</v>
      </c>
      <c r="J569" s="276" t="str">
        <f>VLOOKUP($I569,'Price List, Weapons &amp; Items'!A:B,2,0)</f>
        <v>.</v>
      </c>
      <c r="K569" s="276" t="str">
        <f>IF(I569=".",I569,VLOOKUP($I569,'Price List, Weapons &amp; Items'!A:C,3,0))</f>
        <v>.</v>
      </c>
      <c r="L569" s="514">
        <f>VLOOKUP(I569,'Price List, Weapons &amp; Items'!A:D,4,0)</f>
        <v>0</v>
      </c>
      <c r="M569" s="527" t="s">
        <v>232</v>
      </c>
      <c r="N569" s="527" t="s">
        <v>232</v>
      </c>
      <c r="O569" s="516" t="str">
        <f>VLOOKUP($I569,'Price List, Weapons &amp; Items'!A:F,6,0)</f>
        <v>.</v>
      </c>
      <c r="P569" s="513" t="str">
        <f t="shared" si="108"/>
        <v>.</v>
      </c>
      <c r="Q569" s="513" t="str">
        <f t="shared" si="109"/>
        <v>.</v>
      </c>
      <c r="R569" s="513" t="str">
        <f t="shared" si="110"/>
        <v>.</v>
      </c>
      <c r="S569" s="513" t="str">
        <f>IF(AND(AD569=1,R569&lt;&gt;".")=TRUE,R569/VLOOKUP(G569,'Exchange rates'!B:C,2,0),IF(R569=".",".",""))</f>
        <v>.</v>
      </c>
      <c r="T569" s="513" t="str">
        <f>IF(AD569=1,IF(AF569="Value is not given at all",".",IF(AF569="Value is given by the source",S569,IF(AF569="Value is calculated with prices",(IF(SUMIFS(Q:Q,A:A,A569)&gt;0,SUMIFS(Q:Q,A:A,A569),"."))/VLOOKUP("USD",'Exchange rates'!B:C,2,0),"Error with coding"))),"")</f>
        <v>.</v>
      </c>
      <c r="U569" s="39" t="s">
        <v>233</v>
      </c>
      <c r="V569" s="376" t="s">
        <v>1617</v>
      </c>
      <c r="W569" s="835" t="s">
        <v>232</v>
      </c>
      <c r="X569" s="835" t="s">
        <v>232</v>
      </c>
      <c r="Y569" s="528" t="s">
        <v>232</v>
      </c>
      <c r="Z569" s="39">
        <v>0</v>
      </c>
      <c r="AA569" s="518">
        <v>1</v>
      </c>
      <c r="AB569" s="523" t="s">
        <v>232</v>
      </c>
      <c r="AC569" s="519" t="str">
        <f>""</f>
        <v/>
      </c>
      <c r="AD569" s="522">
        <v>1</v>
      </c>
      <c r="AE569" s="520" t="s">
        <v>237</v>
      </c>
      <c r="AF569" s="520" t="s">
        <v>237</v>
      </c>
      <c r="AG569" s="522">
        <v>1</v>
      </c>
      <c r="AH569" s="522">
        <v>10</v>
      </c>
      <c r="AI569" s="522">
        <v>0</v>
      </c>
      <c r="AJ569" s="520">
        <f>VLOOKUP($I569,'Price List, Weapons &amp; Items'!A:E,5,0)</f>
        <v>0</v>
      </c>
      <c r="AK569" s="520">
        <f t="shared" si="111"/>
        <v>0</v>
      </c>
      <c r="AL569" s="520">
        <f t="shared" si="112"/>
        <v>0</v>
      </c>
      <c r="AM569" s="520">
        <f t="shared" si="113"/>
        <v>0</v>
      </c>
      <c r="AN569" s="521" t="str">
        <f>VLOOKUP($I569,'Price List, Weapons &amp; Items'!A:K,COLUMN('Price List, Weapons &amp; Items'!$I$1),0)</f>
        <v>.</v>
      </c>
      <c r="AO569" s="521" t="str">
        <f>IF(I569=".",".",VLOOKUP($I569,'Price List, Weapons &amp; Items'!A:I,3,0))</f>
        <v>.</v>
      </c>
      <c r="AP569" s="517" t="str">
        <f t="shared" ca="1" si="120"/>
        <v>.</v>
      </c>
      <c r="AQ569" s="521" t="str">
        <f>VLOOKUP($I569,'Price List, Weapons &amp; Items'!A:K,COLUMN('Price List, Weapons &amp; Items'!$K$1),0)</f>
        <v>no price, 0 count</v>
      </c>
      <c r="AS569" s="521">
        <f t="shared" si="114"/>
        <v>1</v>
      </c>
      <c r="AT569" s="521">
        <f t="shared" si="115"/>
        <v>0</v>
      </c>
      <c r="AU569" s="521">
        <f t="shared" si="116"/>
        <v>1</v>
      </c>
      <c r="AV569" s="521" t="str">
        <f t="shared" si="117"/>
        <v>.</v>
      </c>
    </row>
    <row r="570" spans="1:48" ht="15" customHeight="1">
      <c r="A570" s="18" t="s">
        <v>1618</v>
      </c>
      <c r="B570" s="18" t="s">
        <v>1562</v>
      </c>
      <c r="C570" s="511">
        <v>44845</v>
      </c>
      <c r="D570" s="18" t="s">
        <v>252</v>
      </c>
      <c r="E570" s="18" t="s">
        <v>253</v>
      </c>
      <c r="F570" s="512" t="s">
        <v>1619</v>
      </c>
      <c r="G570" s="39" t="s">
        <v>314</v>
      </c>
      <c r="H570" s="527" t="s">
        <v>309</v>
      </c>
      <c r="I570" s="524" t="s">
        <v>1620</v>
      </c>
      <c r="J570" s="276" t="str">
        <f>VLOOKUP($I570,'Price List, Weapons &amp; Items'!A:B,2,0)</f>
        <v>Humanitarian</v>
      </c>
      <c r="K570" s="276" t="str">
        <f>IF(I570=".",I570,VLOOKUP($I570,'Price List, Weapons &amp; Items'!A:C,3,0))</f>
        <v>.</v>
      </c>
      <c r="L570" s="514">
        <f>VLOOKUP(I570,'Price List, Weapons &amp; Items'!A:D,4,0)</f>
        <v>0</v>
      </c>
      <c r="M570" s="527">
        <v>35000</v>
      </c>
      <c r="N570" s="527" t="s">
        <v>264</v>
      </c>
      <c r="O570" s="516">
        <f>VLOOKUP($I570,'Price List, Weapons &amp; Items'!A:F,6,0)</f>
        <v>89.399999999999991</v>
      </c>
      <c r="P570" s="513">
        <f t="shared" si="108"/>
        <v>3128999.9999999995</v>
      </c>
      <c r="Q570" s="513" t="str">
        <f t="shared" si="109"/>
        <v>.</v>
      </c>
      <c r="R570" s="513">
        <f t="shared" si="110"/>
        <v>11780882</v>
      </c>
      <c r="S570" s="513">
        <f>IF(AND(AD570=1,R570&lt;&gt;".")=TRUE,R570/VLOOKUP(G570,'Exchange rates'!B:C,2,0),IF(R570=".",".",""))</f>
        <v>11739792.725460887</v>
      </c>
      <c r="T570" s="513">
        <f>IF(AD570=1,IF(AF570="Value is not given at all",".",IF(AF570="Value is given by the source",S570,IF(AF570="Value is calculated with prices",(IF(SUMIFS(Q:Q,A:A,A570)&gt;0,SUMIFS(Q:Q,A:A,A570),"."))/VLOOKUP("USD",'Exchange rates'!B:C,2,0),"Error with coding"))),"")</f>
        <v>8621706.0288988538</v>
      </c>
      <c r="U570" s="39" t="s">
        <v>233</v>
      </c>
      <c r="V570" s="376" t="s">
        <v>1621</v>
      </c>
      <c r="W570" s="835" t="s">
        <v>1622</v>
      </c>
      <c r="X570" s="835" t="s">
        <v>1613</v>
      </c>
      <c r="Y570" s="835" t="s">
        <v>1623</v>
      </c>
      <c r="Z570" s="39">
        <v>0</v>
      </c>
      <c r="AA570" s="518">
        <v>1</v>
      </c>
      <c r="AB570" s="523" t="s">
        <v>232</v>
      </c>
      <c r="AC570" s="519" t="str">
        <f>""</f>
        <v/>
      </c>
      <c r="AD570" s="522">
        <v>1</v>
      </c>
      <c r="AE570" s="522" t="s">
        <v>300</v>
      </c>
      <c r="AF570" s="522" t="s">
        <v>300</v>
      </c>
      <c r="AG570" s="522">
        <v>1</v>
      </c>
      <c r="AH570" s="522">
        <v>10</v>
      </c>
      <c r="AI570" s="522">
        <v>0</v>
      </c>
      <c r="AJ570" s="520">
        <f>VLOOKUP($I570,'Price List, Weapons &amp; Items'!A:E,5,0)</f>
        <v>0</v>
      </c>
      <c r="AK570" s="520">
        <f t="shared" si="111"/>
        <v>0</v>
      </c>
      <c r="AL570" s="520">
        <f t="shared" si="112"/>
        <v>0</v>
      </c>
      <c r="AM570" s="520">
        <f t="shared" si="113"/>
        <v>0</v>
      </c>
      <c r="AN570" s="521" t="str">
        <f>VLOOKUP($I570,'Price List, Weapons &amp; Items'!A:K,COLUMN('Price List, Weapons &amp; Items'!$I$1),0)</f>
        <v>Government information</v>
      </c>
      <c r="AO570" s="521" t="str">
        <f>IF(I570=".",".",VLOOKUP($I570,'Price List, Weapons &amp; Items'!A:I,3,0))</f>
        <v>.</v>
      </c>
      <c r="AP570" s="517" t="str">
        <f t="shared" ca="1" si="120"/>
        <v>winter clothing (Lithuania); M113 armored personnel carrier; 2B11 or M/41D 120mm heavy mortar; Armored toyota Land Cruiser 200; Thermal imagery system; drone</v>
      </c>
      <c r="AQ570" s="521">
        <f>VLOOKUP($I570,'Price List, Weapons &amp; Items'!A:K,COLUMN('Price List, Weapons &amp; Items'!$K$1),0)</f>
        <v>0</v>
      </c>
      <c r="AS570" s="521">
        <f t="shared" si="114"/>
        <v>1</v>
      </c>
      <c r="AT570" s="521">
        <f t="shared" si="115"/>
        <v>1</v>
      </c>
      <c r="AU570" s="521">
        <f t="shared" si="116"/>
        <v>1</v>
      </c>
      <c r="AV570" s="521" t="str">
        <f t="shared" si="117"/>
        <v>.</v>
      </c>
    </row>
    <row r="571" spans="1:48" ht="15" customHeight="1">
      <c r="A571" s="18" t="s">
        <v>1618</v>
      </c>
      <c r="B571" s="18" t="s">
        <v>1562</v>
      </c>
      <c r="C571" s="511">
        <v>44846</v>
      </c>
      <c r="D571" s="18" t="s">
        <v>252</v>
      </c>
      <c r="E571" s="18" t="s">
        <v>253</v>
      </c>
      <c r="F571" s="512" t="s">
        <v>1619</v>
      </c>
      <c r="G571" s="39" t="s">
        <v>314</v>
      </c>
      <c r="H571" s="527" t="s">
        <v>309</v>
      </c>
      <c r="I571" s="524" t="s">
        <v>292</v>
      </c>
      <c r="J571" s="276" t="str">
        <f>VLOOKUP($I571,'Price List, Weapons &amp; Items'!A:B,2,0)</f>
        <v>Heavy weapon</v>
      </c>
      <c r="K571" s="276" t="str">
        <f>IF(I571=".",I571,VLOOKUP($I571,'Price List, Weapons &amp; Items'!A:C,3,0))</f>
        <v>Armoured Personnel Carrier (APC)</v>
      </c>
      <c r="L571" s="514">
        <f>VLOOKUP(I571,'Price List, Weapons &amp; Items'!A:D,4,0)</f>
        <v>0</v>
      </c>
      <c r="M571" s="527">
        <v>12</v>
      </c>
      <c r="N571" s="527">
        <v>12</v>
      </c>
      <c r="O571" s="516">
        <f>VLOOKUP($I571,'Price List, Weapons &amp; Items'!A:F,6,0)</f>
        <v>300000</v>
      </c>
      <c r="P571" s="513">
        <f t="shared" si="108"/>
        <v>3600000</v>
      </c>
      <c r="Q571" s="513">
        <f t="shared" si="109"/>
        <v>3600000</v>
      </c>
      <c r="R571" s="513" t="str">
        <f t="shared" si="110"/>
        <v/>
      </c>
      <c r="S571" s="513" t="str">
        <f>IF(AND(AD571=1,R571&lt;&gt;".")=TRUE,R571/VLOOKUP(G571,'Exchange rates'!B:C,2,0),IF(R571=".",".",""))</f>
        <v/>
      </c>
      <c r="T571" s="513" t="str">
        <f>IF(AD571=1,IF(AF571="Value is not given at all",".",IF(AF571="Value is given by the source",S571,IF(AF571="Value is calculated with prices",(IF(SUMIFS(Q:Q,A:A,A571)&gt;0,SUMIFS(Q:Q,A:A,A571),"."))/VLOOKUP("USD",'Exchange rates'!B:C,2,0),"Error with coding"))),"")</f>
        <v/>
      </c>
      <c r="U571" s="39" t="s">
        <v>233</v>
      </c>
      <c r="V571" s="376" t="s">
        <v>1621</v>
      </c>
      <c r="W571" s="835" t="s">
        <v>1622</v>
      </c>
      <c r="X571" s="835" t="s">
        <v>1613</v>
      </c>
      <c r="Y571" s="528" t="s">
        <v>232</v>
      </c>
      <c r="Z571" s="39">
        <v>0</v>
      </c>
      <c r="AA571" s="518">
        <v>1</v>
      </c>
      <c r="AB571" s="523" t="s">
        <v>1613</v>
      </c>
      <c r="AC571" s="519" t="str">
        <f>""</f>
        <v/>
      </c>
      <c r="AD571" s="522">
        <v>0</v>
      </c>
      <c r="AE571" s="522" t="s">
        <v>300</v>
      </c>
      <c r="AF571" s="522" t="s">
        <v>300</v>
      </c>
      <c r="AG571" s="522">
        <v>1</v>
      </c>
      <c r="AH571" s="522">
        <v>10</v>
      </c>
      <c r="AI571" s="522">
        <v>0</v>
      </c>
      <c r="AJ571" s="520">
        <f>VLOOKUP($I571,'Price List, Weapons &amp; Items'!A:E,5,0)</f>
        <v>1</v>
      </c>
      <c r="AK571" s="520">
        <f t="shared" si="111"/>
        <v>0</v>
      </c>
      <c r="AL571" s="520">
        <f t="shared" si="112"/>
        <v>0</v>
      </c>
      <c r="AM571" s="520">
        <f t="shared" si="113"/>
        <v>0</v>
      </c>
      <c r="AN571" s="521" t="str">
        <f>VLOOKUP($I571,'Price List, Weapons &amp; Items'!A:K,COLUMN('Price List, Weapons &amp; Items'!$I$1),0)</f>
        <v>Military media (incl. websites)</v>
      </c>
      <c r="AO571" s="521" t="str">
        <f>IF(I571=".",".",VLOOKUP($I571,'Price List, Weapons &amp; Items'!A:I,3,0))</f>
        <v>Armoured Personnel Carrier (APC)</v>
      </c>
      <c r="AP571" s="517" t="str">
        <f t="shared" ca="1" si="120"/>
        <v/>
      </c>
      <c r="AQ571" s="521">
        <f>VLOOKUP($I571,'Price List, Weapons &amp; Items'!A:K,COLUMN('Price List, Weapons &amp; Items'!$K$1),0)</f>
        <v>2</v>
      </c>
      <c r="AS571" s="521">
        <f t="shared" si="114"/>
        <v>1</v>
      </c>
      <c r="AT571" s="521">
        <f t="shared" si="115"/>
        <v>1</v>
      </c>
      <c r="AU571" s="521">
        <f t="shared" si="116"/>
        <v>1</v>
      </c>
      <c r="AV571" s="521" t="str">
        <f t="shared" si="117"/>
        <v>.</v>
      </c>
    </row>
    <row r="572" spans="1:48" ht="15" customHeight="1">
      <c r="A572" s="18" t="s">
        <v>1618</v>
      </c>
      <c r="B572" s="18" t="s">
        <v>1562</v>
      </c>
      <c r="C572" s="511">
        <v>44846</v>
      </c>
      <c r="D572" s="18" t="s">
        <v>252</v>
      </c>
      <c r="E572" s="18" t="s">
        <v>253</v>
      </c>
      <c r="F572" s="512" t="s">
        <v>1619</v>
      </c>
      <c r="G572" s="39" t="s">
        <v>314</v>
      </c>
      <c r="H572" s="527" t="s">
        <v>309</v>
      </c>
      <c r="I572" s="425" t="s">
        <v>1574</v>
      </c>
      <c r="J572" s="276" t="str">
        <f>VLOOKUP($I572,'Price List, Weapons &amp; Items'!A:B,2,0)</f>
        <v>Heavy weapon</v>
      </c>
      <c r="K572" s="276" t="str">
        <f>IF(I572=".",I572,VLOOKUP($I572,'Price List, Weapons &amp; Items'!A:C,3,0))</f>
        <v>Mortar</v>
      </c>
      <c r="L572" s="514">
        <f>VLOOKUP(I572,'Price List, Weapons &amp; Items'!A:D,4,0)</f>
        <v>0</v>
      </c>
      <c r="M572" s="527">
        <v>10</v>
      </c>
      <c r="N572" s="527">
        <v>10</v>
      </c>
      <c r="O572" s="516">
        <f>VLOOKUP($I572,'Price List, Weapons &amp; Items'!A:F,6,0)</f>
        <v>463188.2</v>
      </c>
      <c r="P572" s="513">
        <f t="shared" si="108"/>
        <v>4631882</v>
      </c>
      <c r="Q572" s="513">
        <f t="shared" si="109"/>
        <v>4631882</v>
      </c>
      <c r="R572" s="513" t="str">
        <f t="shared" si="110"/>
        <v/>
      </c>
      <c r="S572" s="513" t="str">
        <f>IF(AND(AD572=1,R572&lt;&gt;".")=TRUE,R572/VLOOKUP(G572,'Exchange rates'!B:C,2,0),IF(R572=".",".",""))</f>
        <v/>
      </c>
      <c r="T572" s="513" t="str">
        <f>IF(AD572=1,IF(AF572="Value is not given at all",".",IF(AF572="Value is given by the source",S572,IF(AF572="Value is calculated with prices",(IF(SUMIFS(Q:Q,A:A,A572)&gt;0,SUMIFS(Q:Q,A:A,A572),"."))/VLOOKUP("USD",'Exchange rates'!B:C,2,0),"Error with coding"))),"")</f>
        <v/>
      </c>
      <c r="U572" s="39" t="s">
        <v>233</v>
      </c>
      <c r="V572" s="376" t="s">
        <v>1621</v>
      </c>
      <c r="W572" s="835" t="s">
        <v>1622</v>
      </c>
      <c r="X572" s="835" t="s">
        <v>1613</v>
      </c>
      <c r="Y572" s="528" t="s">
        <v>232</v>
      </c>
      <c r="Z572" s="39">
        <v>0</v>
      </c>
      <c r="AA572" s="518">
        <v>1</v>
      </c>
      <c r="AB572" s="523" t="s">
        <v>1613</v>
      </c>
      <c r="AC572" s="519" t="str">
        <f>""</f>
        <v/>
      </c>
      <c r="AD572" s="522">
        <v>0</v>
      </c>
      <c r="AE572" s="522" t="s">
        <v>300</v>
      </c>
      <c r="AF572" s="522" t="s">
        <v>300</v>
      </c>
      <c r="AG572" s="522">
        <v>1</v>
      </c>
      <c r="AH572" s="522">
        <v>10</v>
      </c>
      <c r="AI572" s="522">
        <v>0</v>
      </c>
      <c r="AJ572" s="520">
        <f>VLOOKUP($I572,'Price List, Weapons &amp; Items'!A:E,5,0)</f>
        <v>0</v>
      </c>
      <c r="AK572" s="520">
        <f t="shared" si="111"/>
        <v>0</v>
      </c>
      <c r="AL572" s="520">
        <f t="shared" si="112"/>
        <v>0</v>
      </c>
      <c r="AM572" s="520">
        <f t="shared" si="113"/>
        <v>0</v>
      </c>
      <c r="AN572" s="521" t="str">
        <f>VLOOKUP($I572,'Price List, Weapons &amp; Items'!A:K,COLUMN('Price List, Weapons &amp; Items'!$I$1),0)</f>
        <v>Military media (incl. websites)</v>
      </c>
      <c r="AO572" s="521" t="str">
        <f>IF(I572=".",".",VLOOKUP($I572,'Price List, Weapons &amp; Items'!A:I,3,0))</f>
        <v>Mortar</v>
      </c>
      <c r="AP572" s="517" t="str">
        <f t="shared" ca="1" si="120"/>
        <v/>
      </c>
      <c r="AQ572" s="521">
        <f>VLOOKUP($I572,'Price List, Weapons &amp; Items'!A:K,COLUMN('Price List, Weapons &amp; Items'!$K$1),0)</f>
        <v>2</v>
      </c>
      <c r="AS572" s="521">
        <f t="shared" si="114"/>
        <v>1</v>
      </c>
      <c r="AT572" s="521">
        <f t="shared" si="115"/>
        <v>1</v>
      </c>
      <c r="AU572" s="521">
        <f t="shared" si="116"/>
        <v>1</v>
      </c>
      <c r="AV572" s="521" t="str">
        <f t="shared" si="117"/>
        <v>.</v>
      </c>
    </row>
    <row r="573" spans="1:48" ht="15" customHeight="1">
      <c r="A573" s="18" t="s">
        <v>1618</v>
      </c>
      <c r="B573" s="18" t="s">
        <v>1562</v>
      </c>
      <c r="C573" s="511">
        <v>44846</v>
      </c>
      <c r="D573" s="18" t="s">
        <v>252</v>
      </c>
      <c r="E573" s="18" t="s">
        <v>253</v>
      </c>
      <c r="F573" s="512" t="s">
        <v>1619</v>
      </c>
      <c r="G573" s="39" t="s">
        <v>314</v>
      </c>
      <c r="H573" s="527" t="s">
        <v>309</v>
      </c>
      <c r="I573" s="524" t="s">
        <v>1624</v>
      </c>
      <c r="J573" s="276" t="str">
        <f>VLOOKUP($I573,'Price List, Weapons &amp; Items'!A:B,2,0)</f>
        <v>Military equipment</v>
      </c>
      <c r="K573" s="276" t="str">
        <f>IF(I573=".",I573,VLOOKUP($I573,'Price List, Weapons &amp; Items'!A:C,3,0))</f>
        <v>Armoured Utility Vehicle (AUV)</v>
      </c>
      <c r="L573" s="514">
        <f>VLOOKUP(I573,'Price List, Weapons &amp; Items'!A:D,4,0)</f>
        <v>0</v>
      </c>
      <c r="M573" s="527">
        <v>7</v>
      </c>
      <c r="N573" s="527">
        <v>7</v>
      </c>
      <c r="O573" s="516">
        <f>VLOOKUP($I573,'Price List, Weapons &amp; Items'!A:F,6,0)</f>
        <v>60000</v>
      </c>
      <c r="P573" s="513">
        <f t="shared" si="108"/>
        <v>420000</v>
      </c>
      <c r="Q573" s="513">
        <f t="shared" si="109"/>
        <v>420000</v>
      </c>
      <c r="R573" s="513" t="str">
        <f t="shared" si="110"/>
        <v/>
      </c>
      <c r="S573" s="513" t="str">
        <f>IF(AND(AD573=1,R573&lt;&gt;".")=TRUE,R573/VLOOKUP(G573,'Exchange rates'!B:C,2,0),IF(R573=".",".",""))</f>
        <v/>
      </c>
      <c r="T573" s="513" t="str">
        <f>IF(AD573=1,IF(AF573="Value is not given at all",".",IF(AF573="Value is given by the source",S573,IF(AF573="Value is calculated with prices",(IF(SUMIFS(Q:Q,A:A,A573)&gt;0,SUMIFS(Q:Q,A:A,A573),"."))/VLOOKUP("USD",'Exchange rates'!B:C,2,0),"Error with coding"))),"")</f>
        <v/>
      </c>
      <c r="U573" s="39" t="s">
        <v>233</v>
      </c>
      <c r="V573" s="376" t="s">
        <v>1621</v>
      </c>
      <c r="W573" s="835" t="s">
        <v>1622</v>
      </c>
      <c r="X573" s="835" t="s">
        <v>1613</v>
      </c>
      <c r="Y573" s="528" t="s">
        <v>232</v>
      </c>
      <c r="Z573" s="39">
        <v>0</v>
      </c>
      <c r="AA573" s="518">
        <v>1</v>
      </c>
      <c r="AB573" s="523" t="s">
        <v>1622</v>
      </c>
      <c r="AC573" s="519" t="str">
        <f>""</f>
        <v/>
      </c>
      <c r="AD573" s="522">
        <v>0</v>
      </c>
      <c r="AE573" s="522" t="s">
        <v>300</v>
      </c>
      <c r="AF573" s="522" t="s">
        <v>300</v>
      </c>
      <c r="AG573" s="522">
        <v>1</v>
      </c>
      <c r="AH573" s="522">
        <v>10</v>
      </c>
      <c r="AI573" s="522">
        <v>0</v>
      </c>
      <c r="AJ573" s="520">
        <f>VLOOKUP($I573,'Price List, Weapons &amp; Items'!A:E,5,0)</f>
        <v>1</v>
      </c>
      <c r="AK573" s="520">
        <f t="shared" si="111"/>
        <v>0</v>
      </c>
      <c r="AL573" s="520">
        <f t="shared" si="112"/>
        <v>0</v>
      </c>
      <c r="AM573" s="520">
        <f t="shared" si="113"/>
        <v>0</v>
      </c>
      <c r="AN573" s="521" t="str">
        <f>VLOOKUP($I573,'Price List, Weapons &amp; Items'!A:K,COLUMN('Price List, Weapons &amp; Items'!$I$1),0)</f>
        <v>Media reports (incl. social media)</v>
      </c>
      <c r="AO573" s="521" t="str">
        <f>IF(I573=".",".",VLOOKUP($I573,'Price List, Weapons &amp; Items'!A:I,3,0))</f>
        <v>Armoured Utility Vehicle (AUV)</v>
      </c>
      <c r="AP573" s="517" t="str">
        <f t="shared" ca="1" si="120"/>
        <v/>
      </c>
      <c r="AQ573" s="521">
        <f>VLOOKUP($I573,'Price List, Weapons &amp; Items'!A:K,COLUMN('Price List, Weapons &amp; Items'!$K$1),0)</f>
        <v>1</v>
      </c>
      <c r="AS573" s="521">
        <f t="shared" si="114"/>
        <v>1</v>
      </c>
      <c r="AT573" s="521">
        <f t="shared" si="115"/>
        <v>1</v>
      </c>
      <c r="AU573" s="521">
        <f t="shared" si="116"/>
        <v>1</v>
      </c>
      <c r="AV573" s="521" t="str">
        <f t="shared" si="117"/>
        <v>.</v>
      </c>
    </row>
    <row r="574" spans="1:48" ht="15" customHeight="1">
      <c r="A574" s="18" t="s">
        <v>1618</v>
      </c>
      <c r="B574" s="18" t="s">
        <v>1562</v>
      </c>
      <c r="C574" s="511">
        <v>44846</v>
      </c>
      <c r="D574" s="18" t="s">
        <v>252</v>
      </c>
      <c r="E574" s="18" t="s">
        <v>253</v>
      </c>
      <c r="F574" s="512" t="s">
        <v>1619</v>
      </c>
      <c r="G574" s="39" t="s">
        <v>314</v>
      </c>
      <c r="H574" s="527" t="s">
        <v>309</v>
      </c>
      <c r="I574" s="524" t="s">
        <v>1625</v>
      </c>
      <c r="J574" s="276" t="str">
        <f>VLOOKUP($I574,'Price List, Weapons &amp; Items'!A:B,2,0)</f>
        <v>Military equipment</v>
      </c>
      <c r="K574" s="276" t="str">
        <f>IF(I574=".",I574,VLOOKUP($I574,'Price List, Weapons &amp; Items'!A:C,3,0))</f>
        <v>radar and imagery systems</v>
      </c>
      <c r="L574" s="514">
        <f>VLOOKUP(I574,'Price List, Weapons &amp; Items'!A:D,4,0)</f>
        <v>0</v>
      </c>
      <c r="M574" s="527" t="s">
        <v>264</v>
      </c>
      <c r="N574" s="527" t="s">
        <v>264</v>
      </c>
      <c r="O574" s="516">
        <f>VLOOKUP($I574,'Price List, Weapons &amp; Items'!A:F,6,0)</f>
        <v>5000</v>
      </c>
      <c r="P574" s="513" t="str">
        <f t="shared" si="108"/>
        <v>.</v>
      </c>
      <c r="Q574" s="513" t="str">
        <f t="shared" si="109"/>
        <v>.</v>
      </c>
      <c r="R574" s="513" t="str">
        <f t="shared" si="110"/>
        <v/>
      </c>
      <c r="S574" s="513" t="str">
        <f>IF(AND(AD574=1,R574&lt;&gt;".")=TRUE,R574/VLOOKUP(G574,'Exchange rates'!B:C,2,0),IF(R574=".",".",""))</f>
        <v/>
      </c>
      <c r="T574" s="513" t="str">
        <f>IF(AD574=1,IF(AF574="Value is not given at all",".",IF(AF574="Value is given by the source",S574,IF(AF574="Value is calculated with prices",(IF(SUMIFS(Q:Q,A:A,A574)&gt;0,SUMIFS(Q:Q,A:A,A574),"."))/VLOOKUP("USD",'Exchange rates'!B:C,2,0),"Error with coding"))),"")</f>
        <v/>
      </c>
      <c r="U574" s="39" t="s">
        <v>233</v>
      </c>
      <c r="V574" s="376" t="s">
        <v>1621</v>
      </c>
      <c r="W574" s="835" t="s">
        <v>1622</v>
      </c>
      <c r="X574" s="835" t="s">
        <v>1613</v>
      </c>
      <c r="Y574" s="528" t="s">
        <v>232</v>
      </c>
      <c r="Z574" s="39">
        <v>0</v>
      </c>
      <c r="AA574" s="518">
        <v>1</v>
      </c>
      <c r="AB574" s="523" t="s">
        <v>232</v>
      </c>
      <c r="AC574" s="519" t="str">
        <f>""</f>
        <v/>
      </c>
      <c r="AD574" s="522">
        <v>0</v>
      </c>
      <c r="AE574" s="522" t="s">
        <v>300</v>
      </c>
      <c r="AF574" s="522" t="s">
        <v>300</v>
      </c>
      <c r="AG574" s="522">
        <v>1</v>
      </c>
      <c r="AH574" s="522">
        <v>10</v>
      </c>
      <c r="AI574" s="522">
        <v>0</v>
      </c>
      <c r="AJ574" s="520">
        <f>VLOOKUP($I574,'Price List, Weapons &amp; Items'!A:E,5,0)</f>
        <v>0</v>
      </c>
      <c r="AK574" s="520">
        <f t="shared" si="111"/>
        <v>0</v>
      </c>
      <c r="AL574" s="520">
        <f t="shared" si="112"/>
        <v>0</v>
      </c>
      <c r="AM574" s="520">
        <f t="shared" si="113"/>
        <v>0</v>
      </c>
      <c r="AN574" s="521" t="str">
        <f>VLOOKUP($I574,'Price List, Weapons &amp; Items'!A:K,COLUMN('Price List, Weapons &amp; Items'!$I$1),0)</f>
        <v>Miscellaneous</v>
      </c>
      <c r="AO574" s="521" t="str">
        <f>IF(I574=".",".",VLOOKUP($I574,'Price List, Weapons &amp; Items'!A:I,3,0))</f>
        <v>radar and imagery systems</v>
      </c>
      <c r="AP574" s="517" t="str">
        <f t="shared" ca="1" si="120"/>
        <v/>
      </c>
      <c r="AQ574" s="521" t="str">
        <f>VLOOKUP($I574,'Price List, Weapons &amp; Items'!A:K,COLUMN('Price List, Weapons &amp; Items'!$K$1),0)</f>
        <v>no price, 0 count</v>
      </c>
      <c r="AS574" s="521">
        <f t="shared" si="114"/>
        <v>1</v>
      </c>
      <c r="AT574" s="521">
        <f t="shared" si="115"/>
        <v>1</v>
      </c>
      <c r="AU574" s="521">
        <f t="shared" si="116"/>
        <v>1</v>
      </c>
      <c r="AV574" s="521" t="str">
        <f t="shared" si="117"/>
        <v>.</v>
      </c>
    </row>
    <row r="575" spans="1:48" ht="15" customHeight="1">
      <c r="A575" s="18" t="s">
        <v>1618</v>
      </c>
      <c r="B575" s="18" t="s">
        <v>1562</v>
      </c>
      <c r="C575" s="511">
        <v>44846</v>
      </c>
      <c r="D575" s="18" t="s">
        <v>252</v>
      </c>
      <c r="E575" s="18" t="s">
        <v>253</v>
      </c>
      <c r="F575" s="512" t="s">
        <v>1619</v>
      </c>
      <c r="G575" s="39" t="s">
        <v>314</v>
      </c>
      <c r="H575" s="527" t="s">
        <v>309</v>
      </c>
      <c r="I575" s="524" t="s">
        <v>859</v>
      </c>
      <c r="J575" s="276" t="str">
        <f>VLOOKUP($I575,'Price List, Weapons &amp; Items'!A:B,2,0)</f>
        <v>Aviation and drones</v>
      </c>
      <c r="K575" s="276" t="str">
        <f>IF(I575=".",I575,VLOOKUP($I575,'Price List, Weapons &amp; Items'!A:C,3,0))</f>
        <v>unknown drone</v>
      </c>
      <c r="L575" s="514">
        <f>VLOOKUP(I575,'Price List, Weapons &amp; Items'!A:D,4,0)</f>
        <v>0</v>
      </c>
      <c r="M575" s="527" t="s">
        <v>264</v>
      </c>
      <c r="N575" s="527" t="s">
        <v>264</v>
      </c>
      <c r="O575" s="516">
        <f>VLOOKUP($I575,'Price List, Weapons &amp; Items'!A:F,6,0)</f>
        <v>6000</v>
      </c>
      <c r="P575" s="513" t="str">
        <f t="shared" si="108"/>
        <v>.</v>
      </c>
      <c r="Q575" s="513" t="str">
        <f t="shared" si="109"/>
        <v>.</v>
      </c>
      <c r="R575" s="513" t="str">
        <f t="shared" si="110"/>
        <v/>
      </c>
      <c r="S575" s="513" t="str">
        <f>IF(AND(AD575=1,R575&lt;&gt;".")=TRUE,R575/VLOOKUP(G575,'Exchange rates'!B:C,2,0),IF(R575=".",".",""))</f>
        <v/>
      </c>
      <c r="T575" s="513" t="str">
        <f>IF(AD575=1,IF(AF575="Value is not given at all",".",IF(AF575="Value is given by the source",S575,IF(AF575="Value is calculated with prices",(IF(SUMIFS(Q:Q,A:A,A575)&gt;0,SUMIFS(Q:Q,A:A,A575),"."))/VLOOKUP("USD",'Exchange rates'!B:C,2,0),"Error with coding"))),"")</f>
        <v/>
      </c>
      <c r="U575" s="39" t="s">
        <v>233</v>
      </c>
      <c r="V575" s="376" t="s">
        <v>1621</v>
      </c>
      <c r="W575" s="835" t="s">
        <v>1622</v>
      </c>
      <c r="X575" s="835" t="s">
        <v>1613</v>
      </c>
      <c r="Y575" s="528" t="s">
        <v>232</v>
      </c>
      <c r="Z575" s="39">
        <v>0</v>
      </c>
      <c r="AA575" s="518">
        <v>1</v>
      </c>
      <c r="AB575" s="523" t="s">
        <v>232</v>
      </c>
      <c r="AC575" s="519" t="str">
        <f>""</f>
        <v/>
      </c>
      <c r="AD575" s="522">
        <v>0</v>
      </c>
      <c r="AE575" s="522" t="s">
        <v>300</v>
      </c>
      <c r="AF575" s="522" t="s">
        <v>300</v>
      </c>
      <c r="AG575" s="522">
        <v>1</v>
      </c>
      <c r="AH575" s="522">
        <v>10</v>
      </c>
      <c r="AI575" s="522">
        <v>0</v>
      </c>
      <c r="AJ575" s="520">
        <f>VLOOKUP($I575,'Price List, Weapons &amp; Items'!A:E,5,0)</f>
        <v>0</v>
      </c>
      <c r="AK575" s="520">
        <f t="shared" si="111"/>
        <v>0</v>
      </c>
      <c r="AL575" s="520">
        <f t="shared" si="112"/>
        <v>0</v>
      </c>
      <c r="AM575" s="520">
        <f t="shared" si="113"/>
        <v>0</v>
      </c>
      <c r="AN575" s="521" t="str">
        <f>VLOOKUP($I575,'Price List, Weapons &amp; Items'!A:K,COLUMN('Price List, Weapons &amp; Items'!$I$1),0)</f>
        <v>Miscellaneous</v>
      </c>
      <c r="AO575" s="521" t="str">
        <f>IF(I575=".",".",VLOOKUP($I575,'Price List, Weapons &amp; Items'!A:I,3,0))</f>
        <v>unknown drone</v>
      </c>
      <c r="AP575" s="517" t="str">
        <f t="shared" ca="1" si="120"/>
        <v/>
      </c>
      <c r="AQ575" s="521">
        <f>VLOOKUP($I575,'Price List, Weapons &amp; Items'!A:K,COLUMN('Price List, Weapons &amp; Items'!$K$1),0)</f>
        <v>1</v>
      </c>
      <c r="AS575" s="521">
        <f t="shared" si="114"/>
        <v>1</v>
      </c>
      <c r="AT575" s="521">
        <f t="shared" si="115"/>
        <v>1</v>
      </c>
      <c r="AU575" s="521">
        <f t="shared" si="116"/>
        <v>1</v>
      </c>
      <c r="AV575" s="521" t="str">
        <f t="shared" si="117"/>
        <v>.</v>
      </c>
    </row>
    <row r="576" spans="1:48" ht="15" customHeight="1">
      <c r="A576" s="18" t="s">
        <v>1626</v>
      </c>
      <c r="B576" s="18" t="s">
        <v>1562</v>
      </c>
      <c r="C576" s="511">
        <v>44863</v>
      </c>
      <c r="D576" s="18" t="s">
        <v>252</v>
      </c>
      <c r="E576" s="18" t="s">
        <v>229</v>
      </c>
      <c r="F576" s="512" t="s">
        <v>1627</v>
      </c>
      <c r="G576" s="39" t="s">
        <v>314</v>
      </c>
      <c r="H576" s="527" t="s">
        <v>309</v>
      </c>
      <c r="I576" s="524" t="s">
        <v>1628</v>
      </c>
      <c r="J576" s="276" t="str">
        <f>VLOOKUP($I576,'Price List, Weapons &amp; Items'!A:B,2,0)</f>
        <v>Heavy weapon</v>
      </c>
      <c r="K576" s="276" t="str">
        <f>IF(I576=".",I576,VLOOKUP($I576,'Price List, Weapons &amp; Items'!A:C,3,0))</f>
        <v>overhaul/repair</v>
      </c>
      <c r="L576" s="514">
        <f>VLOOKUP(I576,'Price List, Weapons &amp; Items'!A:D,4,0)</f>
        <v>0</v>
      </c>
      <c r="M576" s="527"/>
      <c r="N576" s="527"/>
      <c r="O576" s="516"/>
      <c r="R576" s="513" t="str">
        <f t="shared" si="110"/>
        <v>.</v>
      </c>
      <c r="S576" s="513" t="str">
        <f>IF(AND(AD576=1,R576&lt;&gt;".")=TRUE,R576/VLOOKUP(G576,'Exchange rates'!B:C,2,0),IF(R576=".",".",""))</f>
        <v>.</v>
      </c>
      <c r="T576" s="513" t="str">
        <f>IF(AD576=1,IF(AF576="Value is not given at all",".",IF(AF576="Value is given by the source",S576,IF(AF576="Value is calculated with prices",(IF(SUMIFS(Q:Q,A:A,A576)&gt;0,SUMIFS(Q:Q,A:A,A576),"."))/VLOOKUP("USD",'Exchange rates'!B:C,2,0),"Error with coding"))),"")</f>
        <v>.</v>
      </c>
      <c r="U576" s="39" t="s">
        <v>233</v>
      </c>
      <c r="V576" s="376" t="s">
        <v>1629</v>
      </c>
      <c r="W576" s="835" t="s">
        <v>232</v>
      </c>
      <c r="X576" s="835" t="s">
        <v>232</v>
      </c>
      <c r="Y576" s="528" t="s">
        <v>232</v>
      </c>
      <c r="Z576" s="39">
        <v>0</v>
      </c>
      <c r="AA576" s="518">
        <v>1</v>
      </c>
      <c r="AB576" s="523" t="s">
        <v>232</v>
      </c>
      <c r="AC576" s="519" t="str">
        <f>""</f>
        <v/>
      </c>
      <c r="AD576" s="522">
        <v>1</v>
      </c>
      <c r="AE576" s="522" t="s">
        <v>237</v>
      </c>
      <c r="AF576" s="522" t="s">
        <v>237</v>
      </c>
      <c r="AG576" s="522">
        <v>1</v>
      </c>
      <c r="AH576" s="522">
        <v>10</v>
      </c>
      <c r="AI576" s="522">
        <v>0</v>
      </c>
      <c r="AJ576" s="520">
        <f>VLOOKUP($I576,'Price List, Weapons &amp; Items'!A:E,5,0)</f>
        <v>0</v>
      </c>
      <c r="AK576" s="520">
        <f t="shared" si="111"/>
        <v>0</v>
      </c>
      <c r="AL576" s="520">
        <f t="shared" si="112"/>
        <v>0</v>
      </c>
      <c r="AM576" s="520">
        <f t="shared" si="113"/>
        <v>0</v>
      </c>
      <c r="AN576" s="521" t="str">
        <f>VLOOKUP($I576,'Price List, Weapons &amp; Items'!A:K,COLUMN('Price List, Weapons &amp; Items'!$I$1),0)</f>
        <v>.</v>
      </c>
      <c r="AO576" s="521" t="str">
        <f>IF(I576=".",".",VLOOKUP($I576,'Price List, Weapons &amp; Items'!A:I,3,0))</f>
        <v>overhaul/repair</v>
      </c>
      <c r="AP576" s="517" t="str">
        <f t="shared" ca="1" si="120"/>
        <v>Panzerhaubitze 2000 (repair)</v>
      </c>
      <c r="AQ576" s="521" t="str">
        <f>VLOOKUP($I576,'Price List, Weapons &amp; Items'!A:K,COLUMN('Price List, Weapons &amp; Items'!$K$1),0)</f>
        <v>no price, 0 count</v>
      </c>
      <c r="AS576" s="521">
        <f t="shared" si="114"/>
        <v>1</v>
      </c>
      <c r="AT576" s="521">
        <f t="shared" si="115"/>
        <v>0</v>
      </c>
      <c r="AU576" s="521">
        <f t="shared" si="116"/>
        <v>1</v>
      </c>
      <c r="AV576" s="521" t="str">
        <f t="shared" si="117"/>
        <v>.</v>
      </c>
    </row>
    <row r="577" spans="1:48" ht="15" customHeight="1">
      <c r="A577" s="41" t="s">
        <v>1630</v>
      </c>
      <c r="B577" s="41" t="s">
        <v>1562</v>
      </c>
      <c r="C577" s="511">
        <v>44615</v>
      </c>
      <c r="D577" s="18" t="s">
        <v>228</v>
      </c>
      <c r="E577" s="18" t="s">
        <v>1631</v>
      </c>
      <c r="F577" s="512" t="s">
        <v>1632</v>
      </c>
      <c r="G577" s="39" t="s">
        <v>332</v>
      </c>
      <c r="H577" s="513">
        <v>1800000</v>
      </c>
      <c r="I577" s="41" t="s">
        <v>232</v>
      </c>
      <c r="J577" s="276" t="str">
        <f>VLOOKUP($I577,'Price List, Weapons &amp; Items'!A:B,2,0)</f>
        <v>.</v>
      </c>
      <c r="K577" s="276" t="str">
        <f>IF(I577=".",I577,VLOOKUP($I577,'Price List, Weapons &amp; Items'!A:C,3,0))</f>
        <v>.</v>
      </c>
      <c r="L577" s="514">
        <f>VLOOKUP(I577,'Price List, Weapons &amp; Items'!A:D,4,0)</f>
        <v>0</v>
      </c>
      <c r="M577" s="515" t="s">
        <v>232</v>
      </c>
      <c r="N577" s="515" t="s">
        <v>232</v>
      </c>
      <c r="O577" s="516" t="str">
        <f>VLOOKUP($I577,'Price List, Weapons &amp; Items'!A:F,6,0)</f>
        <v>.</v>
      </c>
      <c r="P577" s="513" t="str">
        <f t="shared" si="108"/>
        <v>.</v>
      </c>
      <c r="Q577" s="513" t="str">
        <f t="shared" si="109"/>
        <v>.</v>
      </c>
      <c r="R577" s="513">
        <f t="shared" si="110"/>
        <v>1800000</v>
      </c>
      <c r="S577" s="513">
        <f>IF(AND(AD577=1,R577&lt;&gt;".")=TRUE,R577/VLOOKUP(G577,'Exchange rates'!B:C,2,0),IF(R577=".",".",""))</f>
        <v>1800000</v>
      </c>
      <c r="T577" s="513" t="str">
        <f>IF(AD577=1,IF(AF577="Value is not given at all",".",IF(AF577="Value is given by the source",S577,IF(AF577="Value is calculated with prices",(IF(SUMIFS(Q:Q,A:A,A577)&gt;0,SUMIFS(Q:Q,A:A,A577),"."))/VLOOKUP("USD",'Exchange rates'!B:C,2,0),"Error with coding"))),"")</f>
        <v>.</v>
      </c>
      <c r="U577" s="39" t="s">
        <v>233</v>
      </c>
      <c r="V577" s="42" t="s">
        <v>1633</v>
      </c>
      <c r="W577" s="512" t="s">
        <v>232</v>
      </c>
      <c r="X577" s="512" t="s">
        <v>232</v>
      </c>
      <c r="Y577" s="512" t="s">
        <v>232</v>
      </c>
      <c r="Z577" s="39">
        <v>0</v>
      </c>
      <c r="AA577" s="518">
        <v>0</v>
      </c>
      <c r="AB577" s="38" t="s">
        <v>232</v>
      </c>
      <c r="AC577" s="519" t="str">
        <f>""</f>
        <v/>
      </c>
      <c r="AD577" s="520">
        <v>1</v>
      </c>
      <c r="AE577" s="520" t="s">
        <v>236</v>
      </c>
      <c r="AF577" s="520" t="s">
        <v>237</v>
      </c>
      <c r="AG577" s="520">
        <v>1</v>
      </c>
      <c r="AH577" s="520">
        <v>2</v>
      </c>
      <c r="AI577" s="520">
        <v>1</v>
      </c>
      <c r="AJ577" s="520">
        <f>VLOOKUP($I577,'Price List, Weapons &amp; Items'!A:E,5,0)</f>
        <v>0</v>
      </c>
      <c r="AK577" s="520">
        <f t="shared" si="111"/>
        <v>0</v>
      </c>
      <c r="AL577" s="520">
        <f t="shared" si="112"/>
        <v>0</v>
      </c>
      <c r="AM577" s="520">
        <f t="shared" si="113"/>
        <v>0</v>
      </c>
      <c r="AN577" s="521" t="str">
        <f>VLOOKUP($I577,'Price List, Weapons &amp; Items'!A:K,COLUMN('Price List, Weapons &amp; Items'!$I$1),0)</f>
        <v>.</v>
      </c>
      <c r="AO577" s="521" t="str">
        <f>IF(I577=".",".",VLOOKUP($I577,'Price List, Weapons &amp; Items'!A:I,3,0))</f>
        <v>.</v>
      </c>
      <c r="AP577" s="517" t="str">
        <f t="shared" ca="1" si="120"/>
        <v>.</v>
      </c>
      <c r="AQ577" s="521" t="str">
        <f>VLOOKUP($I577,'Price List, Weapons &amp; Items'!A:K,COLUMN('Price List, Weapons &amp; Items'!$K$1),0)</f>
        <v>no price, 0 count</v>
      </c>
      <c r="AS577" s="521">
        <f t="shared" si="114"/>
        <v>1</v>
      </c>
      <c r="AT577" s="521">
        <f t="shared" si="115"/>
        <v>0</v>
      </c>
      <c r="AU577" s="521">
        <f t="shared" si="116"/>
        <v>1</v>
      </c>
      <c r="AV577" s="521" t="str">
        <f t="shared" si="117"/>
        <v>.</v>
      </c>
    </row>
    <row r="578" spans="1:48" ht="15" customHeight="1">
      <c r="A578" s="41" t="s">
        <v>1634</v>
      </c>
      <c r="B578" s="41" t="s">
        <v>1562</v>
      </c>
      <c r="C578" s="511">
        <v>44620</v>
      </c>
      <c r="D578" s="18" t="s">
        <v>228</v>
      </c>
      <c r="E578" s="18" t="s">
        <v>239</v>
      </c>
      <c r="F578" s="512" t="s">
        <v>1635</v>
      </c>
      <c r="G578" s="39" t="s">
        <v>332</v>
      </c>
      <c r="H578" s="513">
        <v>4000000</v>
      </c>
      <c r="I578" s="41" t="s">
        <v>232</v>
      </c>
      <c r="J578" s="276" t="str">
        <f>VLOOKUP($I578,'Price List, Weapons &amp; Items'!A:B,2,0)</f>
        <v>.</v>
      </c>
      <c r="K578" s="276" t="str">
        <f>IF(I578=".",I578,VLOOKUP($I578,'Price List, Weapons &amp; Items'!A:C,3,0))</f>
        <v>.</v>
      </c>
      <c r="L578" s="514">
        <f>VLOOKUP(I578,'Price List, Weapons &amp; Items'!A:D,4,0)</f>
        <v>0</v>
      </c>
      <c r="M578" s="515" t="s">
        <v>232</v>
      </c>
      <c r="N578" s="515" t="s">
        <v>232</v>
      </c>
      <c r="O578" s="516" t="str">
        <f>VLOOKUP($I578,'Price List, Weapons &amp; Items'!A:F,6,0)</f>
        <v>.</v>
      </c>
      <c r="P578" s="513" t="str">
        <f t="shared" si="108"/>
        <v>.</v>
      </c>
      <c r="Q578" s="513" t="str">
        <f t="shared" si="109"/>
        <v>.</v>
      </c>
      <c r="R578" s="513">
        <f t="shared" ref="R578:R641" si="121">IF(AD578=1,IF(H578&lt;&gt;"Not given",H578,IF(TYPE(H578)=2,IF(SUMIFS(P:P,A:A,A578)&gt;0,SUMIFS(P:P,A:A,A578),"."),"Format error")),"")</f>
        <v>4000000</v>
      </c>
      <c r="S578" s="513">
        <f>IF(AND(AD578=1,R578&lt;&gt;".")=TRUE,R578/VLOOKUP(G578,'Exchange rates'!B:C,2,0),IF(R578=".",".",""))</f>
        <v>4000000</v>
      </c>
      <c r="T578" s="513" t="str">
        <f>IF(AD578=1,IF(AF578="Value is not given at all",".",IF(AF578="Value is given by the source",S578,IF(AF578="Value is calculated with prices",(IF(SUMIFS(Q:Q,A:A,A578)&gt;0,SUMIFS(Q:Q,A:A,A578),"."))/VLOOKUP("USD",'Exchange rates'!B:C,2,0),"Error with coding"))),"")</f>
        <v>.</v>
      </c>
      <c r="U578" s="39" t="s">
        <v>372</v>
      </c>
      <c r="V578" s="42" t="s">
        <v>1636</v>
      </c>
      <c r="W578" s="517" t="s">
        <v>232</v>
      </c>
      <c r="X578" s="517" t="s">
        <v>232</v>
      </c>
      <c r="Y578" s="517" t="s">
        <v>232</v>
      </c>
      <c r="Z578" s="39">
        <v>0</v>
      </c>
      <c r="AA578" s="518">
        <v>0</v>
      </c>
      <c r="AB578" s="38" t="s">
        <v>232</v>
      </c>
      <c r="AC578" s="519" t="str">
        <f>""</f>
        <v/>
      </c>
      <c r="AD578" s="520">
        <v>1</v>
      </c>
      <c r="AE578" s="520" t="s">
        <v>236</v>
      </c>
      <c r="AF578" s="520" t="s">
        <v>237</v>
      </c>
      <c r="AG578" s="520">
        <v>1</v>
      </c>
      <c r="AH578" s="520">
        <v>2</v>
      </c>
      <c r="AI578" s="520">
        <v>0</v>
      </c>
      <c r="AJ578" s="520">
        <f>VLOOKUP($I578,'Price List, Weapons &amp; Items'!A:E,5,0)</f>
        <v>0</v>
      </c>
      <c r="AK578" s="520">
        <f t="shared" si="111"/>
        <v>0</v>
      </c>
      <c r="AL578" s="520">
        <f t="shared" si="112"/>
        <v>0</v>
      </c>
      <c r="AM578" s="520">
        <f t="shared" si="113"/>
        <v>0</v>
      </c>
      <c r="AN578" s="521" t="str">
        <f>VLOOKUP($I578,'Price List, Weapons &amp; Items'!A:K,COLUMN('Price List, Weapons &amp; Items'!$I$1),0)</f>
        <v>.</v>
      </c>
      <c r="AO578" s="521" t="str">
        <f>IF(I578=".",".",VLOOKUP($I578,'Price List, Weapons &amp; Items'!A:I,3,0))</f>
        <v>.</v>
      </c>
      <c r="AP578" s="517" t="str">
        <f t="shared" ca="1" si="120"/>
        <v>.</v>
      </c>
      <c r="AQ578" s="521" t="str">
        <f>VLOOKUP($I578,'Price List, Weapons &amp; Items'!A:K,COLUMN('Price List, Weapons &amp; Items'!$K$1),0)</f>
        <v>no price, 0 count</v>
      </c>
      <c r="AS578" s="521">
        <f t="shared" si="114"/>
        <v>0</v>
      </c>
      <c r="AT578" s="521">
        <f t="shared" si="115"/>
        <v>0</v>
      </c>
      <c r="AU578" s="521">
        <f t="shared" si="116"/>
        <v>1</v>
      </c>
      <c r="AV578" s="521" t="str">
        <f t="shared" si="117"/>
        <v>.</v>
      </c>
    </row>
    <row r="579" spans="1:48" ht="15" customHeight="1">
      <c r="A579" s="41" t="s">
        <v>1637</v>
      </c>
      <c r="B579" s="41" t="s">
        <v>1562</v>
      </c>
      <c r="C579" s="511" t="s">
        <v>1638</v>
      </c>
      <c r="D579" s="18" t="s">
        <v>228</v>
      </c>
      <c r="E579" s="18" t="s">
        <v>229</v>
      </c>
      <c r="F579" s="512" t="s">
        <v>1639</v>
      </c>
      <c r="G579" s="39" t="s">
        <v>332</v>
      </c>
      <c r="H579" s="513">
        <v>34200000</v>
      </c>
      <c r="I579" s="41" t="s">
        <v>232</v>
      </c>
      <c r="J579" s="276" t="str">
        <f>VLOOKUP($I579,'Price List, Weapons &amp; Items'!A:B,2,0)</f>
        <v>.</v>
      </c>
      <c r="K579" s="276" t="str">
        <f>IF(I579=".",I579,VLOOKUP($I579,'Price List, Weapons &amp; Items'!A:C,3,0))</f>
        <v>.</v>
      </c>
      <c r="L579" s="514">
        <f>VLOOKUP(I579,'Price List, Weapons &amp; Items'!A:D,4,0)</f>
        <v>0</v>
      </c>
      <c r="M579" s="515" t="s">
        <v>232</v>
      </c>
      <c r="N579" s="515" t="s">
        <v>232</v>
      </c>
      <c r="O579" s="516" t="str">
        <f>VLOOKUP($I579,'Price List, Weapons &amp; Items'!A:F,6,0)</f>
        <v>.</v>
      </c>
      <c r="P579" s="513" t="str">
        <f t="shared" si="108"/>
        <v>.</v>
      </c>
      <c r="Q579" s="513" t="str">
        <f t="shared" si="109"/>
        <v>.</v>
      </c>
      <c r="R579" s="513">
        <f t="shared" si="121"/>
        <v>34200000</v>
      </c>
      <c r="S579" s="513">
        <f>IF(AND(AD579=1,R579&lt;&gt;".")=TRUE,R579/VLOOKUP(G579,'Exchange rates'!B:C,2,0),IF(R579=".",".",""))</f>
        <v>34200000</v>
      </c>
      <c r="T579" s="513" t="str">
        <f>IF(AD579=1,IF(AF579="Value is not given at all",".",IF(AF579="Value is given by the source",S579,IF(AF579="Value is calculated with prices",(IF(SUMIFS(Q:Q,A:A,A579)&gt;0,SUMIFS(Q:Q,A:A,A579),"."))/VLOOKUP("USD",'Exchange rates'!B:C,2,0),"Error with coding"))),"")</f>
        <v>.</v>
      </c>
      <c r="U579" s="39" t="s">
        <v>372</v>
      </c>
      <c r="V579" s="42" t="s">
        <v>382</v>
      </c>
      <c r="W579" s="517" t="s">
        <v>232</v>
      </c>
      <c r="X579" s="517" t="s">
        <v>232</v>
      </c>
      <c r="Y579" s="517" t="s">
        <v>232</v>
      </c>
      <c r="Z579" s="39">
        <v>0</v>
      </c>
      <c r="AA579" s="518">
        <v>0</v>
      </c>
      <c r="AB579" s="38" t="s">
        <v>232</v>
      </c>
      <c r="AC579" s="519" t="str">
        <f>""</f>
        <v/>
      </c>
      <c r="AD579" s="520">
        <v>1</v>
      </c>
      <c r="AE579" s="520" t="s">
        <v>236</v>
      </c>
      <c r="AF579" s="520" t="s">
        <v>237</v>
      </c>
      <c r="AG579" s="520">
        <v>1</v>
      </c>
      <c r="AH579" s="520">
        <v>4</v>
      </c>
      <c r="AI579" s="520">
        <v>0</v>
      </c>
      <c r="AJ579" s="520">
        <f>VLOOKUP($I579,'Price List, Weapons &amp; Items'!A:E,5,0)</f>
        <v>0</v>
      </c>
      <c r="AK579" s="520">
        <f t="shared" ref="AK579:AK641" si="122">IF(AND(AJ579=1,M579="undisclosed")=TRUE,1,0)</f>
        <v>0</v>
      </c>
      <c r="AL579" s="520">
        <f t="shared" ref="AL579:AL641" si="123">IF(AND(AJ579=1,N579="undisclosed")=TRUE,1,0)</f>
        <v>0</v>
      </c>
      <c r="AM579" s="520">
        <f t="shared" ref="AM579:AM641" si="124">IFERROR(IF(SEARCH("ammuni",I579,1)&gt;0,1,0),0)</f>
        <v>0</v>
      </c>
      <c r="AN579" s="521" t="str">
        <f>VLOOKUP($I579,'Price List, Weapons &amp; Items'!A:K,COLUMN('Price List, Weapons &amp; Items'!$I$1),0)</f>
        <v>.</v>
      </c>
      <c r="AO579" s="521" t="str">
        <f>IF(I579=".",".",VLOOKUP($I579,'Price List, Weapons &amp; Items'!A:I,3,0))</f>
        <v>.</v>
      </c>
      <c r="AP579" s="517" t="str">
        <f t="shared" ca="1" si="120"/>
        <v>.</v>
      </c>
      <c r="AQ579" s="521" t="str">
        <f>VLOOKUP($I579,'Price List, Weapons &amp; Items'!A:K,COLUMN('Price List, Weapons &amp; Items'!$K$1),0)</f>
        <v>no price, 0 count</v>
      </c>
      <c r="AS579" s="521">
        <f t="shared" ref="AS579:AS641" si="125">IF(U579="Yes",1,0)</f>
        <v>0</v>
      </c>
      <c r="AT579" s="521">
        <f t="shared" ref="AT579:AT641" si="126">IF(OR((E579="Weapons"),(E579="Weapons and equipment"),(E579="Weapons and training"),(E579="Weapons and Assistance"),(E579="Military Equipment"))=FALSE,0,1)</f>
        <v>0</v>
      </c>
      <c r="AU579" s="521" t="str">
        <f t="shared" ref="AU579:AU641" si="127">IFERROR(IF(VALUE(TEXT(C579,"mm"))=AH579,".",1),"Value is not in date format")</f>
        <v>Value is not in date format</v>
      </c>
      <c r="AV579" s="521" t="str">
        <f t="shared" si="117"/>
        <v>.</v>
      </c>
    </row>
    <row r="580" spans="1:48" ht="15" customHeight="1">
      <c r="A580" s="41" t="s">
        <v>1640</v>
      </c>
      <c r="B580" s="41" t="s">
        <v>1562</v>
      </c>
      <c r="C580" s="511">
        <v>44686</v>
      </c>
      <c r="D580" s="18" t="s">
        <v>228</v>
      </c>
      <c r="E580" s="18" t="s">
        <v>229</v>
      </c>
      <c r="F580" s="512" t="s">
        <v>1641</v>
      </c>
      <c r="G580" s="39" t="s">
        <v>332</v>
      </c>
      <c r="H580" s="513">
        <v>2000000</v>
      </c>
      <c r="I580" s="41" t="s">
        <v>232</v>
      </c>
      <c r="J580" s="276" t="str">
        <f>VLOOKUP($I580,'Price List, Weapons &amp; Items'!A:B,2,0)</f>
        <v>.</v>
      </c>
      <c r="K580" s="276" t="str">
        <f>IF(I580=".",I580,VLOOKUP($I580,'Price List, Weapons &amp; Items'!A:C,3,0))</f>
        <v>.</v>
      </c>
      <c r="L580" s="514">
        <f>VLOOKUP(I580,'Price List, Weapons &amp; Items'!A:D,4,0)</f>
        <v>0</v>
      </c>
      <c r="M580" s="515" t="s">
        <v>232</v>
      </c>
      <c r="N580" s="515" t="s">
        <v>232</v>
      </c>
      <c r="O580" s="516" t="str">
        <f>VLOOKUP($I580,'Price List, Weapons &amp; Items'!A:F,6,0)</f>
        <v>.</v>
      </c>
      <c r="P580" s="513" t="str">
        <f t="shared" si="108"/>
        <v>.</v>
      </c>
      <c r="Q580" s="513" t="str">
        <f t="shared" si="109"/>
        <v>.</v>
      </c>
      <c r="R580" s="513">
        <f t="shared" si="121"/>
        <v>2000000</v>
      </c>
      <c r="S580" s="513">
        <f>IF(AND(AD580=1,R580&lt;&gt;".")=TRUE,R580/VLOOKUP(G580,'Exchange rates'!B:C,2,0),IF(R580=".",".",""))</f>
        <v>2000000</v>
      </c>
      <c r="T580" s="513" t="str">
        <f>IF(AD580=1,IF(AF580="Value is not given at all",".",IF(AF580="Value is given by the source",S580,IF(AF580="Value is calculated with prices",(IF(SUMIFS(Q:Q,A:A,A580)&gt;0,SUMIFS(Q:Q,A:A,A580),"."))/VLOOKUP("USD",'Exchange rates'!B:C,2,0),"Error with coding"))),"")</f>
        <v>.</v>
      </c>
      <c r="U580" s="39" t="s">
        <v>233</v>
      </c>
      <c r="V580" s="42" t="s">
        <v>385</v>
      </c>
      <c r="W580" s="517" t="s">
        <v>232</v>
      </c>
      <c r="X580" s="517" t="s">
        <v>232</v>
      </c>
      <c r="Y580" s="517" t="s">
        <v>232</v>
      </c>
      <c r="Z580" s="39">
        <v>0</v>
      </c>
      <c r="AA580" s="518">
        <v>0</v>
      </c>
      <c r="AB580" s="38" t="s">
        <v>232</v>
      </c>
      <c r="AC580" s="519" t="str">
        <f>""</f>
        <v/>
      </c>
      <c r="AD580" s="520">
        <v>1</v>
      </c>
      <c r="AE580" s="520" t="s">
        <v>236</v>
      </c>
      <c r="AF580" s="520" t="s">
        <v>237</v>
      </c>
      <c r="AG580" s="520">
        <v>1</v>
      </c>
      <c r="AH580" s="520">
        <v>5</v>
      </c>
      <c r="AI580" s="520">
        <v>0</v>
      </c>
      <c r="AJ580" s="520">
        <f>VLOOKUP($I580,'Price List, Weapons &amp; Items'!A:E,5,0)</f>
        <v>0</v>
      </c>
      <c r="AK580" s="520">
        <f t="shared" si="122"/>
        <v>0</v>
      </c>
      <c r="AL580" s="520">
        <f t="shared" si="123"/>
        <v>0</v>
      </c>
      <c r="AM580" s="520">
        <f t="shared" si="124"/>
        <v>0</v>
      </c>
      <c r="AN580" s="521" t="str">
        <f>VLOOKUP($I580,'Price List, Weapons &amp; Items'!A:K,COLUMN('Price List, Weapons &amp; Items'!$I$1),0)</f>
        <v>.</v>
      </c>
      <c r="AO580" s="521" t="str">
        <f>IF(I580=".",".",VLOOKUP($I580,'Price List, Weapons &amp; Items'!A:I,3,0))</f>
        <v>.</v>
      </c>
      <c r="AP580" s="517" t="str">
        <f t="shared" ca="1" si="120"/>
        <v>.</v>
      </c>
      <c r="AQ580" s="521" t="str">
        <f>VLOOKUP($I580,'Price List, Weapons &amp; Items'!A:K,COLUMN('Price List, Weapons &amp; Items'!$K$1),0)</f>
        <v>no price, 0 count</v>
      </c>
      <c r="AS580" s="521">
        <f t="shared" si="125"/>
        <v>1</v>
      </c>
      <c r="AT580" s="521">
        <f t="shared" si="126"/>
        <v>0</v>
      </c>
      <c r="AU580" s="521">
        <f t="shared" si="127"/>
        <v>1</v>
      </c>
      <c r="AV580" s="521" t="str">
        <f t="shared" ref="AV580:AV642" si="128">IF(AND(A580=A579,C580=C579)=TRUE,IF(F580=F579,".","1"),".")</f>
        <v>.</v>
      </c>
    </row>
    <row r="581" spans="1:48" ht="15" customHeight="1">
      <c r="A581" s="41" t="s">
        <v>1642</v>
      </c>
      <c r="B581" s="41" t="s">
        <v>1562</v>
      </c>
      <c r="C581" s="511">
        <v>44753</v>
      </c>
      <c r="D581" s="18" t="s">
        <v>228</v>
      </c>
      <c r="E581" s="18" t="s">
        <v>330</v>
      </c>
      <c r="F581" s="512" t="s">
        <v>1643</v>
      </c>
      <c r="G581" s="39" t="s">
        <v>332</v>
      </c>
      <c r="H581" s="513">
        <v>10000000</v>
      </c>
      <c r="I581" s="41" t="s">
        <v>232</v>
      </c>
      <c r="J581" s="276" t="str">
        <f>VLOOKUP($I581,'Price List, Weapons &amp; Items'!A:B,2,0)</f>
        <v>.</v>
      </c>
      <c r="K581" s="276" t="str">
        <f>IF(I581=".",I581,VLOOKUP($I581,'Price List, Weapons &amp; Items'!A:C,3,0))</f>
        <v>.</v>
      </c>
      <c r="L581" s="514">
        <f>VLOOKUP(I581,'Price List, Weapons &amp; Items'!A:D,4,0)</f>
        <v>0</v>
      </c>
      <c r="M581" s="515" t="s">
        <v>232</v>
      </c>
      <c r="N581" s="515" t="s">
        <v>232</v>
      </c>
      <c r="O581" s="516" t="str">
        <f>VLOOKUP($I581,'Price List, Weapons &amp; Items'!A:F,6,0)</f>
        <v>.</v>
      </c>
      <c r="P581" s="513" t="str">
        <f t="shared" si="108"/>
        <v>.</v>
      </c>
      <c r="Q581" s="513" t="str">
        <f t="shared" si="109"/>
        <v>.</v>
      </c>
      <c r="R581" s="513">
        <f t="shared" si="121"/>
        <v>10000000</v>
      </c>
      <c r="S581" s="513">
        <f>IF(AND(AD581=1,R581&lt;&gt;".")=TRUE,R581/VLOOKUP(G581,'Exchange rates'!B:C,2,0),IF(R581=".",".",""))</f>
        <v>10000000</v>
      </c>
      <c r="T581" s="513" t="str">
        <f>IF(AD581=1,IF(AF581="Value is not given at all",".",IF(AF581="Value is given by the source",S581,IF(AF581="Value is calculated with prices",(IF(SUMIFS(Q:Q,A:A,A581)&gt;0,SUMIFS(Q:Q,A:A,A581),"."))/VLOOKUP("USD",'Exchange rates'!B:C,2,0),"Error with coding"))),"")</f>
        <v>.</v>
      </c>
      <c r="U581" s="39" t="s">
        <v>233</v>
      </c>
      <c r="V581" s="42" t="s">
        <v>1644</v>
      </c>
      <c r="W581" s="517" t="s">
        <v>232</v>
      </c>
      <c r="X581" s="517" t="s">
        <v>232</v>
      </c>
      <c r="Y581" s="517" t="s">
        <v>232</v>
      </c>
      <c r="Z581" s="39">
        <v>0</v>
      </c>
      <c r="AA581" s="518">
        <v>0</v>
      </c>
      <c r="AB581" s="38" t="s">
        <v>232</v>
      </c>
      <c r="AC581" s="519" t="str">
        <f>""</f>
        <v/>
      </c>
      <c r="AD581" s="520">
        <v>1</v>
      </c>
      <c r="AE581" s="520" t="s">
        <v>236</v>
      </c>
      <c r="AF581" s="520" t="s">
        <v>237</v>
      </c>
      <c r="AG581" s="520">
        <v>1</v>
      </c>
      <c r="AH581" s="520">
        <v>7</v>
      </c>
      <c r="AI581" s="520">
        <v>0</v>
      </c>
      <c r="AJ581" s="520">
        <f>VLOOKUP($I581,'Price List, Weapons &amp; Items'!A:E,5,0)</f>
        <v>0</v>
      </c>
      <c r="AK581" s="520">
        <f t="shared" si="122"/>
        <v>0</v>
      </c>
      <c r="AL581" s="520">
        <f t="shared" si="123"/>
        <v>0</v>
      </c>
      <c r="AM581" s="520">
        <f t="shared" si="124"/>
        <v>0</v>
      </c>
      <c r="AN581" s="521" t="str">
        <f>VLOOKUP($I581,'Price List, Weapons &amp; Items'!A:K,COLUMN('Price List, Weapons &amp; Items'!$I$1),0)</f>
        <v>.</v>
      </c>
      <c r="AO581" s="521" t="str">
        <f>IF(I581=".",".",VLOOKUP($I581,'Price List, Weapons &amp; Items'!A:I,3,0))</f>
        <v>.</v>
      </c>
      <c r="AP581" s="517" t="str">
        <f t="shared" ca="1" si="120"/>
        <v>.</v>
      </c>
      <c r="AQ581" s="521" t="str">
        <f>VLOOKUP($I581,'Price List, Weapons &amp; Items'!A:K,COLUMN('Price List, Weapons &amp; Items'!$K$1),0)</f>
        <v>no price, 0 count</v>
      </c>
      <c r="AS581" s="521">
        <f t="shared" si="125"/>
        <v>1</v>
      </c>
      <c r="AT581" s="521">
        <f t="shared" si="126"/>
        <v>0</v>
      </c>
      <c r="AU581" s="521">
        <f t="shared" si="127"/>
        <v>1</v>
      </c>
      <c r="AV581" s="521" t="str">
        <f t="shared" si="128"/>
        <v>.</v>
      </c>
    </row>
    <row r="582" spans="1:48" ht="15" customHeight="1">
      <c r="A582" s="41" t="s">
        <v>1645</v>
      </c>
      <c r="B582" s="41" t="s">
        <v>1562</v>
      </c>
      <c r="C582" s="511">
        <v>44883</v>
      </c>
      <c r="D582" s="18" t="s">
        <v>228</v>
      </c>
      <c r="E582" s="18" t="s">
        <v>229</v>
      </c>
      <c r="F582" s="512" t="s">
        <v>1646</v>
      </c>
      <c r="G582" s="39" t="s">
        <v>332</v>
      </c>
      <c r="H582" s="513">
        <v>5000000</v>
      </c>
      <c r="I582" s="41" t="s">
        <v>232</v>
      </c>
      <c r="J582" s="276" t="str">
        <f>VLOOKUP($I582,'Price List, Weapons &amp; Items'!A:B,2,0)</f>
        <v>.</v>
      </c>
      <c r="K582" s="276" t="str">
        <f>IF(I582=".",I582,VLOOKUP($I582,'Price List, Weapons &amp; Items'!A:C,3,0))</f>
        <v>.</v>
      </c>
      <c r="L582" s="514">
        <f>VLOOKUP(I582,'Price List, Weapons &amp; Items'!A:D,4,0)</f>
        <v>0</v>
      </c>
      <c r="M582" s="515" t="s">
        <v>232</v>
      </c>
      <c r="N582" s="515" t="s">
        <v>232</v>
      </c>
      <c r="O582" s="516" t="str">
        <f>VLOOKUP($I582,'Price List, Weapons &amp; Items'!A:F,6,0)</f>
        <v>.</v>
      </c>
      <c r="P582" s="513" t="str">
        <f t="shared" si="108"/>
        <v>.</v>
      </c>
      <c r="Q582" s="513" t="str">
        <f t="shared" si="109"/>
        <v>.</v>
      </c>
      <c r="R582" s="513">
        <f t="shared" si="121"/>
        <v>5000000</v>
      </c>
      <c r="S582" s="513">
        <f>IF(AND(AD582=1,R582&lt;&gt;".")=TRUE,R582/VLOOKUP(G582,'Exchange rates'!B:C,2,0),IF(R582=".",".",""))</f>
        <v>5000000</v>
      </c>
      <c r="T582" s="513" t="str">
        <f>IF(AD582=1,IF(AF582="Value is not given at all",".",IF(AF582="Value is given by the source",S582,IF(AF582="Value is calculated with prices",(IF(SUMIFS(Q:Q,A:A,A582)&gt;0,SUMIFS(Q:Q,A:A,A582),"."))/VLOOKUP("USD",'Exchange rates'!B:C,2,0),"Error with coding"))),"")</f>
        <v>.</v>
      </c>
      <c r="U582" s="39" t="s">
        <v>372</v>
      </c>
      <c r="V582" s="42" t="s">
        <v>1647</v>
      </c>
      <c r="W582" s="517" t="s">
        <v>1648</v>
      </c>
      <c r="X582" s="517" t="s">
        <v>232</v>
      </c>
      <c r="Y582" s="517" t="s">
        <v>232</v>
      </c>
      <c r="Z582" s="39">
        <v>0</v>
      </c>
      <c r="AA582" s="518">
        <v>1</v>
      </c>
      <c r="AB582" s="38" t="s">
        <v>232</v>
      </c>
      <c r="AC582" s="519" t="str">
        <f>""</f>
        <v/>
      </c>
      <c r="AD582" s="520">
        <v>1</v>
      </c>
      <c r="AE582" s="520" t="s">
        <v>236</v>
      </c>
      <c r="AF582" s="520" t="s">
        <v>237</v>
      </c>
      <c r="AG582" s="520">
        <v>1</v>
      </c>
      <c r="AH582" s="520">
        <v>11</v>
      </c>
      <c r="AI582" s="520">
        <v>0</v>
      </c>
      <c r="AJ582" s="520">
        <f>VLOOKUP($I582,'Price List, Weapons &amp; Items'!A:E,5,0)</f>
        <v>0</v>
      </c>
      <c r="AK582" s="520">
        <f t="shared" si="122"/>
        <v>0</v>
      </c>
      <c r="AL582" s="520">
        <f t="shared" si="123"/>
        <v>0</v>
      </c>
      <c r="AM582" s="520">
        <f t="shared" si="124"/>
        <v>0</v>
      </c>
      <c r="AN582" s="521" t="str">
        <f>VLOOKUP($I582,'Price List, Weapons &amp; Items'!A:K,COLUMN('Price List, Weapons &amp; Items'!$I$1),0)</f>
        <v>.</v>
      </c>
      <c r="AO582" s="521" t="str">
        <f>IF(I582=".",".",VLOOKUP($I582,'Price List, Weapons &amp; Items'!A:I,3,0))</f>
        <v>.</v>
      </c>
      <c r="AP582" s="517" t="str">
        <f t="shared" ca="1" si="120"/>
        <v>.</v>
      </c>
      <c r="AQ582" s="521" t="str">
        <f>VLOOKUP($I582,'Price List, Weapons &amp; Items'!A:K,COLUMN('Price List, Weapons &amp; Items'!$K$1),0)</f>
        <v>no price, 0 count</v>
      </c>
      <c r="AS582" s="521">
        <f t="shared" si="125"/>
        <v>0</v>
      </c>
      <c r="AT582" s="521">
        <f t="shared" si="126"/>
        <v>0</v>
      </c>
      <c r="AU582" s="521">
        <f t="shared" si="127"/>
        <v>1</v>
      </c>
      <c r="AV582" s="521" t="str">
        <f t="shared" si="128"/>
        <v>.</v>
      </c>
    </row>
    <row r="583" spans="1:48" ht="15" customHeight="1">
      <c r="A583" s="41" t="s">
        <v>1649</v>
      </c>
      <c r="B583" s="41" t="s">
        <v>1562</v>
      </c>
      <c r="C583" s="511">
        <v>44627</v>
      </c>
      <c r="D583" s="18" t="s">
        <v>366</v>
      </c>
      <c r="E583" s="18" t="s">
        <v>330</v>
      </c>
      <c r="F583" s="512" t="s">
        <v>1650</v>
      </c>
      <c r="G583" s="39" t="s">
        <v>332</v>
      </c>
      <c r="H583" s="513">
        <v>5000000</v>
      </c>
      <c r="I583" s="41" t="s">
        <v>232</v>
      </c>
      <c r="J583" s="276" t="str">
        <f>VLOOKUP($I583,'Price List, Weapons &amp; Items'!A:B,2,0)</f>
        <v>.</v>
      </c>
      <c r="K583" s="276" t="str">
        <f>IF(I583=".",I583,VLOOKUP($I583,'Price List, Weapons &amp; Items'!A:C,3,0))</f>
        <v>.</v>
      </c>
      <c r="L583" s="514">
        <f>VLOOKUP(I583,'Price List, Weapons &amp; Items'!A:D,4,0)</f>
        <v>0</v>
      </c>
      <c r="M583" s="515" t="s">
        <v>232</v>
      </c>
      <c r="N583" s="515" t="s">
        <v>232</v>
      </c>
      <c r="O583" s="516" t="str">
        <f>VLOOKUP($I583,'Price List, Weapons &amp; Items'!A:F,6,0)</f>
        <v>.</v>
      </c>
      <c r="P583" s="513" t="str">
        <f t="shared" si="108"/>
        <v>.</v>
      </c>
      <c r="Q583" s="513" t="str">
        <f t="shared" si="109"/>
        <v>.</v>
      </c>
      <c r="R583" s="513">
        <f t="shared" si="121"/>
        <v>5000000</v>
      </c>
      <c r="S583" s="513">
        <f>IF(AND(AD583=1,R583&lt;&gt;".")=TRUE,R583/VLOOKUP(G583,'Exchange rates'!B:C,2,0),IF(R583=".",".",""))</f>
        <v>5000000</v>
      </c>
      <c r="T583" s="513" t="str">
        <f>IF(AD583=1,IF(AF583="Value is not given at all",".",IF(AF583="Value is given by the source",S583,IF(AF583="Value is calculated with prices",(IF(SUMIFS(Q:Q,A:A,A583)&gt;0,SUMIFS(Q:Q,A:A,A583),"."))/VLOOKUP("USD",'Exchange rates'!B:C,2,0),"Error with coding"))),"")</f>
        <v>.</v>
      </c>
      <c r="U583" s="39" t="s">
        <v>233</v>
      </c>
      <c r="V583" s="42" t="s">
        <v>833</v>
      </c>
      <c r="W583" s="42" t="s">
        <v>1651</v>
      </c>
      <c r="X583" s="517" t="s">
        <v>232</v>
      </c>
      <c r="Y583" s="517" t="s">
        <v>232</v>
      </c>
      <c r="Z583" s="39">
        <v>1</v>
      </c>
      <c r="AA583" s="518">
        <v>0</v>
      </c>
      <c r="AB583" s="38" t="s">
        <v>232</v>
      </c>
      <c r="AC583" s="519" t="str">
        <f>""</f>
        <v/>
      </c>
      <c r="AD583" s="520">
        <v>1</v>
      </c>
      <c r="AE583" s="520" t="s">
        <v>236</v>
      </c>
      <c r="AF583" s="520" t="s">
        <v>237</v>
      </c>
      <c r="AG583" s="520">
        <v>1</v>
      </c>
      <c r="AH583" s="520">
        <v>3</v>
      </c>
      <c r="AI583" s="520">
        <v>0</v>
      </c>
      <c r="AJ583" s="520">
        <f>VLOOKUP($I583,'Price List, Weapons &amp; Items'!A:E,5,0)</f>
        <v>0</v>
      </c>
      <c r="AK583" s="520">
        <f t="shared" si="122"/>
        <v>0</v>
      </c>
      <c r="AL583" s="520">
        <f t="shared" si="123"/>
        <v>0</v>
      </c>
      <c r="AM583" s="520">
        <f t="shared" si="124"/>
        <v>0</v>
      </c>
      <c r="AN583" s="521" t="str">
        <f>VLOOKUP($I583,'Price List, Weapons &amp; Items'!A:K,COLUMN('Price List, Weapons &amp; Items'!$I$1),0)</f>
        <v>.</v>
      </c>
      <c r="AO583" s="521" t="str">
        <f>IF(I583=".",".",VLOOKUP($I583,'Price List, Weapons &amp; Items'!A:I,3,0))</f>
        <v>.</v>
      </c>
      <c r="AP583" s="517" t="str">
        <f t="shared" ca="1" si="120"/>
        <v>.</v>
      </c>
      <c r="AQ583" s="521" t="str">
        <f>VLOOKUP($I583,'Price List, Weapons &amp; Items'!A:K,COLUMN('Price List, Weapons &amp; Items'!$K$1),0)</f>
        <v>no price, 0 count</v>
      </c>
      <c r="AS583" s="521">
        <f t="shared" si="125"/>
        <v>1</v>
      </c>
      <c r="AT583" s="521">
        <f t="shared" si="126"/>
        <v>0</v>
      </c>
      <c r="AU583" s="521">
        <f t="shared" si="127"/>
        <v>1</v>
      </c>
      <c r="AV583" s="521" t="str">
        <f t="shared" si="128"/>
        <v>.</v>
      </c>
    </row>
    <row r="584" spans="1:48" ht="15" customHeight="1">
      <c r="A584" s="18" t="s">
        <v>1652</v>
      </c>
      <c r="B584" s="18" t="s">
        <v>1653</v>
      </c>
      <c r="C584" s="511">
        <v>44620</v>
      </c>
      <c r="D584" s="18" t="s">
        <v>252</v>
      </c>
      <c r="E584" s="18" t="s">
        <v>253</v>
      </c>
      <c r="F584" s="512" t="s">
        <v>1654</v>
      </c>
      <c r="G584" s="39" t="s">
        <v>332</v>
      </c>
      <c r="H584" s="513">
        <v>50000000</v>
      </c>
      <c r="I584" s="41" t="s">
        <v>1266</v>
      </c>
      <c r="J584" s="276" t="str">
        <f>VLOOKUP($I584,'Price List, Weapons &amp; Items'!A:B,2,0)</f>
        <v>Military equipment</v>
      </c>
      <c r="K584" s="276" t="str">
        <f>IF(I584=".",I584,VLOOKUP($I584,'Price List, Weapons &amp; Items'!A:C,3,0))</f>
        <v>.</v>
      </c>
      <c r="L584" s="514">
        <f>VLOOKUP(I584,'Price List, Weapons &amp; Items'!A:D,4,0)</f>
        <v>0</v>
      </c>
      <c r="M584" s="515">
        <v>15</v>
      </c>
      <c r="N584" s="515">
        <v>15</v>
      </c>
      <c r="O584" s="516">
        <f>VLOOKUP($I584,'Price List, Weapons &amp; Items'!A:F,6,0)</f>
        <v>70</v>
      </c>
      <c r="P584" s="513">
        <f t="shared" si="108"/>
        <v>1050</v>
      </c>
      <c r="Q584" s="513">
        <f t="shared" si="109"/>
        <v>1050</v>
      </c>
      <c r="R584" s="513">
        <f t="shared" si="121"/>
        <v>50000000</v>
      </c>
      <c r="S584" s="513">
        <f>IF(AND(AD584=1,R584&lt;&gt;".")=TRUE,R584/VLOOKUP(G584,'Exchange rates'!B:C,2,0),IF(R584=".",".",""))</f>
        <v>50000000</v>
      </c>
      <c r="T584" s="513">
        <f>IF(AD584=1,IF(AF584="Value is not given at all",".",IF(AF584="Value is given by the source",S584,IF(AF584="Value is calculated with prices",(IF(SUMIFS(Q:Q,A:A,A584)&gt;0,SUMIFS(Q:Q,A:A,A584),"."))/VLOOKUP("USD",'Exchange rates'!B:C,2,0),"Error with coding"))),"")</f>
        <v>50000000</v>
      </c>
      <c r="U584" s="39" t="s">
        <v>233</v>
      </c>
      <c r="V584" s="376" t="s">
        <v>1655</v>
      </c>
      <c r="W584" s="376" t="s">
        <v>1656</v>
      </c>
      <c r="X584" s="376" t="s">
        <v>1657</v>
      </c>
      <c r="Y584" s="530" t="s">
        <v>232</v>
      </c>
      <c r="Z584" s="39">
        <v>0</v>
      </c>
      <c r="AA584" s="518">
        <v>0</v>
      </c>
      <c r="AB584" s="394" t="s">
        <v>1658</v>
      </c>
      <c r="AC584" s="519" t="str">
        <f>""</f>
        <v/>
      </c>
      <c r="AD584" s="520">
        <v>1</v>
      </c>
      <c r="AE584" s="520" t="s">
        <v>236</v>
      </c>
      <c r="AF584" s="520" t="s">
        <v>236</v>
      </c>
      <c r="AG584" s="520">
        <v>1</v>
      </c>
      <c r="AH584" s="520">
        <v>2</v>
      </c>
      <c r="AI584" s="520">
        <v>0</v>
      </c>
      <c r="AJ584" s="520">
        <f>VLOOKUP($I584,'Price List, Weapons &amp; Items'!A:E,5,0)</f>
        <v>0</v>
      </c>
      <c r="AK584" s="520">
        <f t="shared" si="122"/>
        <v>0</v>
      </c>
      <c r="AL584" s="520">
        <f t="shared" si="123"/>
        <v>0</v>
      </c>
      <c r="AM584" s="520">
        <f t="shared" si="124"/>
        <v>0</v>
      </c>
      <c r="AN584" s="521" t="str">
        <f>VLOOKUP($I584,'Price List, Weapons &amp; Items'!A:K,COLUMN('Price List, Weapons &amp; Items'!$I$1),0)</f>
        <v>Online marketplaces and stores</v>
      </c>
      <c r="AO584" s="521" t="str">
        <f>IF(I584=".",".",VLOOKUP($I584,'Price List, Weapons &amp; Items'!A:I,3,0))</f>
        <v>.</v>
      </c>
      <c r="AP584" s="517" t="str">
        <f t="shared" ca="1" si="120"/>
        <v>military tent; NLAW anti-tank weapon; Jeep Wrangler 4x4; ballistic vest; gas mask</v>
      </c>
      <c r="AQ584" s="521">
        <f>VLOOKUP($I584,'Price List, Weapons &amp; Items'!A:K,COLUMN('Price List, Weapons &amp; Items'!$K$1),0)</f>
        <v>1</v>
      </c>
      <c r="AS584" s="521">
        <f t="shared" si="125"/>
        <v>1</v>
      </c>
      <c r="AT584" s="521">
        <f t="shared" si="126"/>
        <v>1</v>
      </c>
      <c r="AU584" s="521">
        <f t="shared" si="127"/>
        <v>1</v>
      </c>
      <c r="AV584" s="521" t="str">
        <f t="shared" si="128"/>
        <v>.</v>
      </c>
    </row>
    <row r="585" spans="1:48" ht="15" customHeight="1">
      <c r="A585" s="18" t="s">
        <v>1652</v>
      </c>
      <c r="B585" s="18" t="s">
        <v>1653</v>
      </c>
      <c r="C585" s="511">
        <v>44620</v>
      </c>
      <c r="D585" s="18" t="s">
        <v>252</v>
      </c>
      <c r="E585" s="18" t="s">
        <v>253</v>
      </c>
      <c r="F585" s="512" t="s">
        <v>1654</v>
      </c>
      <c r="G585" s="39" t="s">
        <v>332</v>
      </c>
      <c r="H585" s="513">
        <v>50000000</v>
      </c>
      <c r="I585" s="41" t="s">
        <v>1659</v>
      </c>
      <c r="J585" s="276" t="str">
        <f>VLOOKUP($I585,'Price List, Weapons &amp; Items'!A:B,2,0)</f>
        <v>Portable defence system</v>
      </c>
      <c r="K585" s="276" t="str">
        <f>IF(I585=".",I585,VLOOKUP($I585,'Price List, Weapons &amp; Items'!A:C,3,0))</f>
        <v>Light Anti-armor Weapon (LAW)</v>
      </c>
      <c r="L585" s="514">
        <f>VLOOKUP(I585,'Price List, Weapons &amp; Items'!A:D,4,0)</f>
        <v>0</v>
      </c>
      <c r="M585" s="515">
        <v>100</v>
      </c>
      <c r="N585" s="515">
        <v>100</v>
      </c>
      <c r="O585" s="516">
        <f>VLOOKUP($I585,'Price List, Weapons &amp; Items'!A:F,6,0)</f>
        <v>40000</v>
      </c>
      <c r="P585" s="513">
        <f t="shared" si="108"/>
        <v>4000000</v>
      </c>
      <c r="Q585" s="513">
        <f t="shared" si="109"/>
        <v>4000000</v>
      </c>
      <c r="R585" s="513" t="str">
        <f t="shared" si="121"/>
        <v/>
      </c>
      <c r="S585" s="513" t="str">
        <f>IF(AND(AD585=1,R585&lt;&gt;".")=TRUE,R585/VLOOKUP(G585,'Exchange rates'!B:C,2,0),IF(R585=".",".",""))</f>
        <v/>
      </c>
      <c r="T585" s="513" t="str">
        <f>IF(AD585=1,IF(AF585="Value is not given at all",".",IF(AF585="Value is given by the source",S585,IF(AF585="Value is calculated with prices",(IF(SUMIFS(Q:Q,A:A,A585)&gt;0,SUMIFS(Q:Q,A:A,A585),"."))/VLOOKUP("USD",'Exchange rates'!B:C,2,0),"Error with coding"))),"")</f>
        <v/>
      </c>
      <c r="U585" s="39" t="s">
        <v>233</v>
      </c>
      <c r="V585" s="376" t="s">
        <v>1655</v>
      </c>
      <c r="W585" s="376" t="s">
        <v>1656</v>
      </c>
      <c r="X585" s="376" t="s">
        <v>1657</v>
      </c>
      <c r="Y585" s="530" t="s">
        <v>232</v>
      </c>
      <c r="Z585" s="39">
        <v>0</v>
      </c>
      <c r="AA585" s="518">
        <v>0</v>
      </c>
      <c r="AB585" s="394" t="s">
        <v>1658</v>
      </c>
      <c r="AC585" s="519" t="str">
        <f>""</f>
        <v/>
      </c>
      <c r="AD585" s="520">
        <v>0</v>
      </c>
      <c r="AE585" s="520" t="s">
        <v>236</v>
      </c>
      <c r="AF585" s="520" t="s">
        <v>236</v>
      </c>
      <c r="AG585" s="520">
        <v>1</v>
      </c>
      <c r="AH585" s="520">
        <v>2</v>
      </c>
      <c r="AI585" s="520">
        <v>0</v>
      </c>
      <c r="AJ585" s="520">
        <f>VLOOKUP($I585,'Price List, Weapons &amp; Items'!A:E,5,0)</f>
        <v>0</v>
      </c>
      <c r="AK585" s="520">
        <f t="shared" si="122"/>
        <v>0</v>
      </c>
      <c r="AL585" s="520">
        <f t="shared" si="123"/>
        <v>0</v>
      </c>
      <c r="AM585" s="520">
        <f t="shared" si="124"/>
        <v>0</v>
      </c>
      <c r="AN585" s="521" t="str">
        <f>VLOOKUP($I585,'Price List, Weapons &amp; Items'!A:K,COLUMN('Price List, Weapons &amp; Items'!$I$1),0)</f>
        <v>Media reports (incl. social media)</v>
      </c>
      <c r="AO585" s="521" t="str">
        <f>IF(I585=".",".",VLOOKUP($I585,'Price List, Weapons &amp; Items'!A:I,3,0))</f>
        <v>Light Anti-armor Weapon (LAW)</v>
      </c>
      <c r="AP585" s="517" t="str">
        <f t="shared" ca="1" si="120"/>
        <v/>
      </c>
      <c r="AQ585" s="521">
        <f>VLOOKUP($I585,'Price List, Weapons &amp; Items'!A:K,COLUMN('Price List, Weapons &amp; Items'!$K$1),0)</f>
        <v>2</v>
      </c>
      <c r="AS585" s="521">
        <f t="shared" si="125"/>
        <v>1</v>
      </c>
      <c r="AT585" s="521">
        <f t="shared" si="126"/>
        <v>1</v>
      </c>
      <c r="AU585" s="521">
        <f t="shared" si="127"/>
        <v>1</v>
      </c>
      <c r="AV585" s="521" t="str">
        <f t="shared" si="128"/>
        <v>.</v>
      </c>
    </row>
    <row r="586" spans="1:48" ht="15" customHeight="1">
      <c r="A586" s="18" t="s">
        <v>1652</v>
      </c>
      <c r="B586" s="18" t="s">
        <v>1653</v>
      </c>
      <c r="C586" s="511">
        <v>44620</v>
      </c>
      <c r="D586" s="18" t="s">
        <v>252</v>
      </c>
      <c r="E586" s="18" t="s">
        <v>253</v>
      </c>
      <c r="F586" s="512" t="s">
        <v>1654</v>
      </c>
      <c r="G586" s="39" t="s">
        <v>332</v>
      </c>
      <c r="H586" s="513">
        <v>50000000</v>
      </c>
      <c r="I586" s="41" t="s">
        <v>1660</v>
      </c>
      <c r="J586" s="276" t="str">
        <f>VLOOKUP($I586,'Price List, Weapons &amp; Items'!A:B,2,0)</f>
        <v>Military equipment</v>
      </c>
      <c r="K586" s="276" t="str">
        <f>IF(I586=".",I586,VLOOKUP($I586,'Price List, Weapons &amp; Items'!A:C,3,0))</f>
        <v>Armoured Utility Vehicle (AUV)</v>
      </c>
      <c r="L586" s="514">
        <f>VLOOKUP(I586,'Price List, Weapons &amp; Items'!A:D,4,0)</f>
        <v>0</v>
      </c>
      <c r="M586" s="515" t="s">
        <v>264</v>
      </c>
      <c r="N586" s="515" t="s">
        <v>264</v>
      </c>
      <c r="O586" s="516">
        <f>VLOOKUP($I586,'Price List, Weapons &amp; Items'!A:F,6,0)</f>
        <v>35000</v>
      </c>
      <c r="P586" s="513" t="str">
        <f t="shared" si="108"/>
        <v>.</v>
      </c>
      <c r="Q586" s="513" t="str">
        <f t="shared" si="109"/>
        <v>.</v>
      </c>
      <c r="R586" s="513" t="str">
        <f t="shared" si="121"/>
        <v/>
      </c>
      <c r="S586" s="513" t="str">
        <f>IF(AND(AD586=1,R586&lt;&gt;".")=TRUE,R586/VLOOKUP(G586,'Exchange rates'!B:C,2,0),IF(R586=".",".",""))</f>
        <v/>
      </c>
      <c r="T586" s="513" t="str">
        <f>IF(AD586=1,IF(AF586="Value is not given at all",".",IF(AF586="Value is given by the source",S586,IF(AF586="Value is calculated with prices",(IF(SUMIFS(Q:Q,A:A,A586)&gt;0,SUMIFS(Q:Q,A:A,A586),"."))/VLOOKUP("USD",'Exchange rates'!B:C,2,0),"Error with coding"))),"")</f>
        <v/>
      </c>
      <c r="U586" s="39" t="s">
        <v>233</v>
      </c>
      <c r="V586" s="376" t="s">
        <v>1655</v>
      </c>
      <c r="W586" s="376" t="s">
        <v>1656</v>
      </c>
      <c r="X586" s="376" t="s">
        <v>1657</v>
      </c>
      <c r="Y586" s="530" t="s">
        <v>232</v>
      </c>
      <c r="Z586" s="39">
        <v>0</v>
      </c>
      <c r="AA586" s="518">
        <v>0</v>
      </c>
      <c r="AB586" s="394" t="s">
        <v>1658</v>
      </c>
      <c r="AC586" s="519" t="str">
        <f>""</f>
        <v/>
      </c>
      <c r="AD586" s="520">
        <v>0</v>
      </c>
      <c r="AE586" s="520" t="s">
        <v>236</v>
      </c>
      <c r="AF586" s="520" t="s">
        <v>236</v>
      </c>
      <c r="AG586" s="520">
        <v>1</v>
      </c>
      <c r="AH586" s="520">
        <v>2</v>
      </c>
      <c r="AI586" s="520">
        <v>0</v>
      </c>
      <c r="AJ586" s="520">
        <f>VLOOKUP($I586,'Price List, Weapons &amp; Items'!A:E,5,0)</f>
        <v>1</v>
      </c>
      <c r="AK586" s="520">
        <f t="shared" si="122"/>
        <v>1</v>
      </c>
      <c r="AL586" s="520">
        <f t="shared" si="123"/>
        <v>1</v>
      </c>
      <c r="AM586" s="520">
        <f t="shared" si="124"/>
        <v>0</v>
      </c>
      <c r="AN586" s="521" t="str">
        <f>VLOOKUP($I586,'Price List, Weapons &amp; Items'!A:K,COLUMN('Price List, Weapons &amp; Items'!$I$1),0)</f>
        <v>Manufacturer price</v>
      </c>
      <c r="AO586" s="521" t="str">
        <f>IF(I586=".",".",VLOOKUP($I586,'Price List, Weapons &amp; Items'!A:I,3,0))</f>
        <v>Armoured Utility Vehicle (AUV)</v>
      </c>
      <c r="AP586" s="517" t="str">
        <f t="shared" ca="1" si="120"/>
        <v/>
      </c>
      <c r="AQ586" s="521" t="str">
        <f>VLOOKUP($I586,'Price List, Weapons &amp; Items'!A:K,COLUMN('Price List, Weapons &amp; Items'!$K$1),0)</f>
        <v>no price, 0 count</v>
      </c>
      <c r="AS586" s="521">
        <f t="shared" si="125"/>
        <v>1</v>
      </c>
      <c r="AT586" s="521">
        <f t="shared" si="126"/>
        <v>1</v>
      </c>
      <c r="AU586" s="521">
        <f t="shared" si="127"/>
        <v>1</v>
      </c>
      <c r="AV586" s="521" t="str">
        <f t="shared" si="128"/>
        <v>.</v>
      </c>
    </row>
    <row r="587" spans="1:48" ht="15" customHeight="1">
      <c r="A587" s="18" t="s">
        <v>1652</v>
      </c>
      <c r="B587" s="18" t="s">
        <v>1653</v>
      </c>
      <c r="C587" s="511">
        <v>44648</v>
      </c>
      <c r="D587" s="18" t="s">
        <v>252</v>
      </c>
      <c r="E587" s="18" t="s">
        <v>253</v>
      </c>
      <c r="F587" s="512" t="s">
        <v>1654</v>
      </c>
      <c r="G587" s="39" t="s">
        <v>332</v>
      </c>
      <c r="H587" s="513">
        <v>50000000</v>
      </c>
      <c r="I587" s="529" t="s">
        <v>446</v>
      </c>
      <c r="J587" s="276" t="str">
        <f>VLOOKUP($I587,'Price List, Weapons &amp; Items'!A:B,2,0)</f>
        <v>Military equipment</v>
      </c>
      <c r="K587" s="276" t="str">
        <f>IF(I587=".",I587,VLOOKUP($I587,'Price List, Weapons &amp; Items'!A:C,3,0))</f>
        <v>.</v>
      </c>
      <c r="L587" s="514">
        <f>VLOOKUP(I587,'Price List, Weapons &amp; Items'!A:D,4,0)</f>
        <v>0</v>
      </c>
      <c r="M587" s="515" t="s">
        <v>264</v>
      </c>
      <c r="N587" s="515" t="s">
        <v>264</v>
      </c>
      <c r="O587" s="516">
        <f>VLOOKUP($I587,'Price List, Weapons &amp; Items'!A:F,6,0)</f>
        <v>500</v>
      </c>
      <c r="P587" s="513" t="str">
        <f t="shared" si="108"/>
        <v>.</v>
      </c>
      <c r="Q587" s="513" t="str">
        <f t="shared" si="109"/>
        <v>.</v>
      </c>
      <c r="R587" s="513" t="str">
        <f t="shared" si="121"/>
        <v/>
      </c>
      <c r="S587" s="513" t="str">
        <f>IF(AND(AD587=1,R587&lt;&gt;".")=TRUE,R587/VLOOKUP(G587,'Exchange rates'!B:C,2,0),IF(R587=".",".",""))</f>
        <v/>
      </c>
      <c r="T587" s="513" t="str">
        <f>IF(AD587=1,IF(AF587="Value is not given at all",".",IF(AF587="Value is given by the source",S587,IF(AF587="Value is calculated with prices",(IF(SUMIFS(Q:Q,A:A,A587)&gt;0,SUMIFS(Q:Q,A:A,A587),"."))/VLOOKUP("USD",'Exchange rates'!B:C,2,0),"Error with coding"))),"")</f>
        <v/>
      </c>
      <c r="U587" s="39" t="s">
        <v>372</v>
      </c>
      <c r="V587" s="376" t="s">
        <v>1655</v>
      </c>
      <c r="W587" s="376" t="s">
        <v>1658</v>
      </c>
      <c r="X587" s="530" t="s">
        <v>232</v>
      </c>
      <c r="Y587" s="530" t="s">
        <v>232</v>
      </c>
      <c r="Z587" s="39">
        <v>0</v>
      </c>
      <c r="AA587" s="518">
        <v>0</v>
      </c>
      <c r="AB587" s="394" t="s">
        <v>1658</v>
      </c>
      <c r="AC587" s="519" t="str">
        <f>""</f>
        <v/>
      </c>
      <c r="AD587" s="520">
        <v>0</v>
      </c>
      <c r="AE587" s="520" t="s">
        <v>236</v>
      </c>
      <c r="AF587" s="520" t="s">
        <v>236</v>
      </c>
      <c r="AG587" s="520">
        <v>1</v>
      </c>
      <c r="AH587" s="520">
        <v>3</v>
      </c>
      <c r="AI587" s="520">
        <v>0</v>
      </c>
      <c r="AJ587" s="520">
        <f>VLOOKUP($I587,'Price List, Weapons &amp; Items'!A:E,5,0)</f>
        <v>0</v>
      </c>
      <c r="AK587" s="520">
        <f t="shared" si="122"/>
        <v>0</v>
      </c>
      <c r="AL587" s="520">
        <f t="shared" si="123"/>
        <v>0</v>
      </c>
      <c r="AM587" s="520">
        <f t="shared" si="124"/>
        <v>0</v>
      </c>
      <c r="AN587" s="521" t="str">
        <f>VLOOKUP($I587,'Price List, Weapons &amp; Items'!A:K,COLUMN('Price List, Weapons &amp; Items'!$I$1),0)</f>
        <v>Military media (incl. websites)</v>
      </c>
      <c r="AO587" s="521" t="str">
        <f>IF(I587=".",".",VLOOKUP($I587,'Price List, Weapons &amp; Items'!A:I,3,0))</f>
        <v>.</v>
      </c>
      <c r="AP587" s="517" t="str">
        <f t="shared" ca="1" si="120"/>
        <v/>
      </c>
      <c r="AQ587" s="521">
        <f>VLOOKUP($I587,'Price List, Weapons &amp; Items'!A:K,COLUMN('Price List, Weapons &amp; Items'!$K$1),0)</f>
        <v>2</v>
      </c>
      <c r="AS587" s="521">
        <f t="shared" si="125"/>
        <v>0</v>
      </c>
      <c r="AT587" s="521">
        <f t="shared" si="126"/>
        <v>1</v>
      </c>
      <c r="AU587" s="521">
        <f t="shared" si="127"/>
        <v>1</v>
      </c>
      <c r="AV587" s="521" t="str">
        <f t="shared" si="128"/>
        <v>.</v>
      </c>
    </row>
    <row r="588" spans="1:48" ht="15" customHeight="1">
      <c r="A588" s="18" t="s">
        <v>1652</v>
      </c>
      <c r="B588" s="18" t="s">
        <v>1653</v>
      </c>
      <c r="C588" s="511">
        <v>44648</v>
      </c>
      <c r="D588" s="18" t="s">
        <v>252</v>
      </c>
      <c r="E588" s="18" t="s">
        <v>253</v>
      </c>
      <c r="F588" s="512" t="s">
        <v>1654</v>
      </c>
      <c r="G588" s="39" t="s">
        <v>332</v>
      </c>
      <c r="H588" s="513">
        <v>50000000</v>
      </c>
      <c r="I588" s="529" t="s">
        <v>528</v>
      </c>
      <c r="J588" s="276" t="str">
        <f>VLOOKUP($I588,'Price List, Weapons &amp; Items'!A:B,2,0)</f>
        <v>Military equipment</v>
      </c>
      <c r="K588" s="276" t="str">
        <f>IF(I588=".",I588,VLOOKUP($I588,'Price List, Weapons &amp; Items'!A:C,3,0))</f>
        <v>.</v>
      </c>
      <c r="L588" s="514">
        <f>VLOOKUP(I588,'Price List, Weapons &amp; Items'!A:D,4,0)</f>
        <v>0</v>
      </c>
      <c r="M588" s="515" t="s">
        <v>264</v>
      </c>
      <c r="N588" s="515" t="s">
        <v>264</v>
      </c>
      <c r="O588" s="516">
        <f>VLOOKUP($I588,'Price List, Weapons &amp; Items'!A:F,6,0)</f>
        <v>62</v>
      </c>
      <c r="P588" s="513" t="str">
        <f t="shared" si="108"/>
        <v>.</v>
      </c>
      <c r="Q588" s="513" t="str">
        <f t="shared" si="109"/>
        <v>.</v>
      </c>
      <c r="R588" s="513" t="str">
        <f t="shared" si="121"/>
        <v/>
      </c>
      <c r="S588" s="513" t="str">
        <f>IF(AND(AD588=1,R588&lt;&gt;".")=TRUE,R588/VLOOKUP(G588,'Exchange rates'!B:C,2,0),IF(R588=".",".",""))</f>
        <v/>
      </c>
      <c r="T588" s="513" t="str">
        <f>IF(AD588=1,IF(AF588="Value is not given at all",".",IF(AF588="Value is given by the source",S588,IF(AF588="Value is calculated with prices",(IF(SUMIFS(Q:Q,A:A,A588)&gt;0,SUMIFS(Q:Q,A:A,A588),"."))/VLOOKUP("USD",'Exchange rates'!B:C,2,0),"Error with coding"))),"")</f>
        <v/>
      </c>
      <c r="U588" s="39" t="s">
        <v>372</v>
      </c>
      <c r="V588" s="376" t="s">
        <v>1655</v>
      </c>
      <c r="W588" s="376" t="s">
        <v>1658</v>
      </c>
      <c r="X588" s="530" t="s">
        <v>232</v>
      </c>
      <c r="Y588" s="530" t="s">
        <v>232</v>
      </c>
      <c r="Z588" s="39">
        <v>0</v>
      </c>
      <c r="AA588" s="518">
        <v>0</v>
      </c>
      <c r="AB588" s="394" t="s">
        <v>1658</v>
      </c>
      <c r="AC588" s="519" t="str">
        <f>""</f>
        <v/>
      </c>
      <c r="AD588" s="520">
        <v>0</v>
      </c>
      <c r="AE588" s="520" t="s">
        <v>236</v>
      </c>
      <c r="AF588" s="520" t="s">
        <v>236</v>
      </c>
      <c r="AG588" s="520">
        <v>1</v>
      </c>
      <c r="AH588" s="520">
        <v>3</v>
      </c>
      <c r="AI588" s="520">
        <v>0</v>
      </c>
      <c r="AJ588" s="520">
        <f>VLOOKUP($I588,'Price List, Weapons &amp; Items'!A:E,5,0)</f>
        <v>0</v>
      </c>
      <c r="AK588" s="520">
        <f t="shared" si="122"/>
        <v>0</v>
      </c>
      <c r="AL588" s="520">
        <f t="shared" si="123"/>
        <v>0</v>
      </c>
      <c r="AM588" s="520">
        <f t="shared" si="124"/>
        <v>0</v>
      </c>
      <c r="AN588" s="521" t="str">
        <f>VLOOKUP($I588,'Price List, Weapons &amp; Items'!A:K,COLUMN('Price List, Weapons &amp; Items'!$I$1),0)</f>
        <v>Online marketplaces and stores</v>
      </c>
      <c r="AO588" s="521" t="str">
        <f>IF(I588=".",".",VLOOKUP($I588,'Price List, Weapons &amp; Items'!A:I,3,0))</f>
        <v>.</v>
      </c>
      <c r="AP588" s="517" t="str">
        <f t="shared" ca="1" si="120"/>
        <v/>
      </c>
      <c r="AQ588" s="521" t="str">
        <f>VLOOKUP($I588,'Price List, Weapons &amp; Items'!A:K,COLUMN('Price List, Weapons &amp; Items'!$K$1),0)</f>
        <v>no price, 0 count</v>
      </c>
      <c r="AS588" s="521">
        <f t="shared" si="125"/>
        <v>0</v>
      </c>
      <c r="AT588" s="521">
        <f t="shared" si="126"/>
        <v>1</v>
      </c>
      <c r="AU588" s="521">
        <f t="shared" si="127"/>
        <v>1</v>
      </c>
      <c r="AV588" s="521" t="str">
        <f t="shared" si="128"/>
        <v>.</v>
      </c>
    </row>
    <row r="589" spans="1:48" ht="15" customHeight="1">
      <c r="A589" s="18" t="s">
        <v>1661</v>
      </c>
      <c r="B589" s="18" t="s">
        <v>1653</v>
      </c>
      <c r="C589" s="511">
        <v>44648</v>
      </c>
      <c r="D589" s="18" t="s">
        <v>252</v>
      </c>
      <c r="E589" s="18" t="s">
        <v>253</v>
      </c>
      <c r="F589" s="512" t="s">
        <v>1662</v>
      </c>
      <c r="G589" s="39" t="s">
        <v>314</v>
      </c>
      <c r="H589" s="513" t="s">
        <v>309</v>
      </c>
      <c r="I589" s="529" t="s">
        <v>1663</v>
      </c>
      <c r="J589" s="276" t="str">
        <f>VLOOKUP($I589,'Price List, Weapons &amp; Items'!A:B,2,0)</f>
        <v>Ammunition for heavy weapon</v>
      </c>
      <c r="K589" s="276" t="str">
        <f>IF(I589=".",I589,VLOOKUP($I589,'Price List, Weapons &amp; Items'!A:C,3,0))</f>
        <v>122mm MLRS ammunition</v>
      </c>
      <c r="L589" s="514">
        <f>VLOOKUP(I589,'Price List, Weapons &amp; Items'!A:D,4,0)</f>
        <v>0</v>
      </c>
      <c r="M589" s="515">
        <v>200</v>
      </c>
      <c r="N589" s="515">
        <v>200</v>
      </c>
      <c r="O589" s="516">
        <f>VLOOKUP($I589,'Price List, Weapons &amp; Items'!A:F,6,0)</f>
        <v>1000</v>
      </c>
      <c r="P589" s="513">
        <f t="shared" si="108"/>
        <v>200000</v>
      </c>
      <c r="Q589" s="513">
        <f t="shared" si="109"/>
        <v>200000</v>
      </c>
      <c r="R589" s="513">
        <f t="shared" si="121"/>
        <v>200000</v>
      </c>
      <c r="S589" s="513">
        <f>IF(AND(AD589=1,R589&lt;&gt;".")=TRUE,R589/VLOOKUP(G589,'Exchange rates'!B:C,2,0),IF(R589=".",".",""))</f>
        <v>199302.44145490782</v>
      </c>
      <c r="T589" s="513">
        <f>IF(AD589=1,IF(AF589="Value is not given at all",".",IF(AF589="Value is given by the source",S589,IF(AF589="Value is calculated with prices",(IF(SUMIFS(Q:Q,A:A,A589)&gt;0,SUMIFS(Q:Q,A:A,A589),"."))/VLOOKUP("USD",'Exchange rates'!B:C,2,0),"Error with coding"))),"")</f>
        <v>199302.44145490782</v>
      </c>
      <c r="U589" s="39" t="s">
        <v>372</v>
      </c>
      <c r="V589" s="376" t="s">
        <v>1664</v>
      </c>
      <c r="W589" s="376" t="s">
        <v>232</v>
      </c>
      <c r="X589" s="530" t="s">
        <v>232</v>
      </c>
      <c r="Y589" s="530" t="s">
        <v>232</v>
      </c>
      <c r="Z589" s="39">
        <v>0</v>
      </c>
      <c r="AA589" s="518">
        <v>0</v>
      </c>
      <c r="AB589" s="376" t="s">
        <v>1665</v>
      </c>
      <c r="AC589" s="519" t="str">
        <f>""</f>
        <v/>
      </c>
      <c r="AD589" s="520">
        <v>1</v>
      </c>
      <c r="AE589" s="520" t="s">
        <v>300</v>
      </c>
      <c r="AF589" s="520" t="s">
        <v>300</v>
      </c>
      <c r="AG589" s="520">
        <v>1</v>
      </c>
      <c r="AH589" s="520">
        <v>3</v>
      </c>
      <c r="AI589" s="520"/>
      <c r="AJ589" s="520">
        <f>VLOOKUP($I589,'Price List, Weapons &amp; Items'!A:E,5,0)</f>
        <v>1</v>
      </c>
      <c r="AK589" s="520">
        <f t="shared" si="122"/>
        <v>0</v>
      </c>
      <c r="AL589" s="520">
        <f t="shared" si="123"/>
        <v>0</v>
      </c>
      <c r="AM589" s="520">
        <f t="shared" si="124"/>
        <v>0</v>
      </c>
      <c r="AN589" s="521" t="str">
        <f>VLOOKUP($I589,'Price List, Weapons &amp; Items'!A:K,COLUMN('Price List, Weapons &amp; Items'!$I$1),0)</f>
        <v>Media reports (incl. social media)</v>
      </c>
      <c r="AO589" s="521" t="str">
        <f>IF(I589=".",".",VLOOKUP($I589,'Price List, Weapons &amp; Items'!A:I,3,0))</f>
        <v>122mm MLRS ammunition</v>
      </c>
      <c r="AP589" s="517" t="str">
        <f t="shared" ca="1" si="120"/>
        <v>GRAD multiple rocket launcher rocket</v>
      </c>
      <c r="AQ589" s="521">
        <f>VLOOKUP($I589,'Price List, Weapons &amp; Items'!A:K,COLUMN('Price List, Weapons &amp; Items'!$K$1),0)</f>
        <v>2</v>
      </c>
      <c r="AS589" s="521">
        <f t="shared" si="125"/>
        <v>0</v>
      </c>
      <c r="AT589" s="521">
        <f t="shared" si="126"/>
        <v>1</v>
      </c>
      <c r="AU589" s="521">
        <f t="shared" si="127"/>
        <v>1</v>
      </c>
      <c r="AV589" s="521" t="str">
        <f t="shared" si="128"/>
        <v>.</v>
      </c>
    </row>
    <row r="590" spans="1:48" ht="15" customHeight="1">
      <c r="A590" s="18" t="s">
        <v>1666</v>
      </c>
      <c r="B590" s="18" t="s">
        <v>1653</v>
      </c>
      <c r="C590" s="511" t="s">
        <v>1667</v>
      </c>
      <c r="D590" s="18" t="s">
        <v>252</v>
      </c>
      <c r="E590" s="18" t="s">
        <v>253</v>
      </c>
      <c r="F590" s="512" t="s">
        <v>1668</v>
      </c>
      <c r="G590" s="39" t="s">
        <v>332</v>
      </c>
      <c r="H590" s="513">
        <f>72000000-S589-S584</f>
        <v>21800697.558545098</v>
      </c>
      <c r="I590" s="529" t="s">
        <v>232</v>
      </c>
      <c r="J590" s="276" t="str">
        <f>VLOOKUP($I590,'Price List, Weapons &amp; Items'!A:B,2,0)</f>
        <v>.</v>
      </c>
      <c r="K590" s="276" t="str">
        <f>IF(I590=".",I590,VLOOKUP($I590,'Price List, Weapons &amp; Items'!A:C,3,0))</f>
        <v>.</v>
      </c>
      <c r="L590" s="514">
        <f>VLOOKUP(I590,'Price List, Weapons &amp; Items'!A:D,4,0)</f>
        <v>0</v>
      </c>
      <c r="M590" s="515" t="s">
        <v>232</v>
      </c>
      <c r="N590" s="515" t="s">
        <v>232</v>
      </c>
      <c r="O590" s="516" t="str">
        <f>VLOOKUP($I590,'Price List, Weapons &amp; Items'!A:F,6,0)</f>
        <v>.</v>
      </c>
      <c r="P590" s="513" t="str">
        <f t="shared" si="108"/>
        <v>.</v>
      </c>
      <c r="Q590" s="513" t="str">
        <f t="shared" si="109"/>
        <v>.</v>
      </c>
      <c r="R590" s="513">
        <f t="shared" si="121"/>
        <v>21800697.558545098</v>
      </c>
      <c r="S590" s="513">
        <f>IF(AND(AD590=1,R590&lt;&gt;".")=TRUE,R590/VLOOKUP(G590,'Exchange rates'!B:C,2,0),IF(R590=".",".",""))</f>
        <v>21800697.558545098</v>
      </c>
      <c r="T590" s="513">
        <f>IF(AD590=1,IF(AF590="Value is not given at all",".",IF(AF590="Value is given by the source",S590,IF(AF590="Value is calculated with prices",(IF(SUMIFS(Q:Q,A:A,A590)&gt;0,SUMIFS(Q:Q,A:A,A590),"."))/VLOOKUP("USD",'Exchange rates'!B:C,2,0),"Error with coding"))),"")</f>
        <v>21800697.558545098</v>
      </c>
      <c r="U590" s="39" t="s">
        <v>233</v>
      </c>
      <c r="V590" s="376" t="s">
        <v>1669</v>
      </c>
      <c r="W590" s="376" t="s">
        <v>1665</v>
      </c>
      <c r="X590" s="42" t="s">
        <v>232</v>
      </c>
      <c r="Y590" s="825" t="s">
        <v>232</v>
      </c>
      <c r="Z590" s="39">
        <v>0</v>
      </c>
      <c r="AA590" s="518">
        <v>0</v>
      </c>
      <c r="AB590" s="376" t="s">
        <v>1665</v>
      </c>
      <c r="AC590" s="519" t="str">
        <f>""</f>
        <v/>
      </c>
      <c r="AD590" s="520">
        <v>1</v>
      </c>
      <c r="AE590" s="520" t="s">
        <v>236</v>
      </c>
      <c r="AF590" s="520" t="s">
        <v>236</v>
      </c>
      <c r="AG590" s="520">
        <v>1</v>
      </c>
      <c r="AH590" s="520">
        <v>10</v>
      </c>
      <c r="AI590" s="520">
        <v>0</v>
      </c>
      <c r="AJ590" s="520">
        <f>VLOOKUP($I590,'Price List, Weapons &amp; Items'!A:E,5,0)</f>
        <v>0</v>
      </c>
      <c r="AK590" s="520">
        <f t="shared" si="122"/>
        <v>0</v>
      </c>
      <c r="AL590" s="520">
        <f t="shared" si="123"/>
        <v>0</v>
      </c>
      <c r="AM590" s="520">
        <f t="shared" si="124"/>
        <v>0</v>
      </c>
      <c r="AN590" s="521" t="str">
        <f>VLOOKUP($I590,'Price List, Weapons &amp; Items'!A:K,COLUMN('Price List, Weapons &amp; Items'!$I$1),0)</f>
        <v>.</v>
      </c>
      <c r="AO590" s="521" t="str">
        <f>IF(I590=".",".",VLOOKUP($I590,'Price List, Weapons &amp; Items'!A:I,3,0))</f>
        <v>.</v>
      </c>
      <c r="AP590" s="517" t="str">
        <f t="shared" ca="1" si="120"/>
        <v>.</v>
      </c>
      <c r="AQ590" s="521" t="str">
        <f>VLOOKUP($I590,'Price List, Weapons &amp; Items'!A:K,COLUMN('Price List, Weapons &amp; Items'!$K$1),0)</f>
        <v>no price, 0 count</v>
      </c>
      <c r="AS590" s="521">
        <f t="shared" si="125"/>
        <v>1</v>
      </c>
      <c r="AT590" s="521">
        <f t="shared" si="126"/>
        <v>1</v>
      </c>
      <c r="AU590" s="521" t="str">
        <f t="shared" si="127"/>
        <v>Value is not in date format</v>
      </c>
      <c r="AV590" s="521" t="str">
        <f t="shared" si="128"/>
        <v>.</v>
      </c>
    </row>
    <row r="591" spans="1:48" ht="15" customHeight="1">
      <c r="A591" s="41" t="s">
        <v>1670</v>
      </c>
      <c r="B591" s="41" t="s">
        <v>1653</v>
      </c>
      <c r="C591" s="511" t="s">
        <v>1671</v>
      </c>
      <c r="D591" s="18" t="s">
        <v>228</v>
      </c>
      <c r="E591" s="18" t="s">
        <v>239</v>
      </c>
      <c r="F591" s="512" t="s">
        <v>1672</v>
      </c>
      <c r="G591" s="39" t="s">
        <v>332</v>
      </c>
      <c r="H591" s="513">
        <v>3000000</v>
      </c>
      <c r="I591" s="41" t="s">
        <v>232</v>
      </c>
      <c r="J591" s="276" t="str">
        <f>VLOOKUP($I591,'Price List, Weapons &amp; Items'!A:B,2,0)</f>
        <v>.</v>
      </c>
      <c r="K591" s="276" t="str">
        <f>IF(I591=".",I591,VLOOKUP($I591,'Price List, Weapons &amp; Items'!A:C,3,0))</f>
        <v>.</v>
      </c>
      <c r="L591" s="514">
        <f>VLOOKUP(I591,'Price List, Weapons &amp; Items'!A:D,4,0)</f>
        <v>0</v>
      </c>
      <c r="M591" s="515" t="s">
        <v>232</v>
      </c>
      <c r="N591" s="515" t="s">
        <v>232</v>
      </c>
      <c r="O591" s="516" t="str">
        <f>VLOOKUP($I591,'Price List, Weapons &amp; Items'!A:F,6,0)</f>
        <v>.</v>
      </c>
      <c r="P591" s="513" t="str">
        <f t="shared" si="108"/>
        <v>.</v>
      </c>
      <c r="Q591" s="513" t="str">
        <f t="shared" si="109"/>
        <v>.</v>
      </c>
      <c r="R591" s="513">
        <f t="shared" si="121"/>
        <v>3000000</v>
      </c>
      <c r="S591" s="513">
        <f>IF(AND(AD591=1,R591&lt;&gt;".")=TRUE,R591/VLOOKUP(G591,'Exchange rates'!B:C,2,0),IF(R591=".",".",""))</f>
        <v>3000000</v>
      </c>
      <c r="T591" s="513" t="str">
        <f>IF(AD591=1,IF(AF591="Value is not given at all",".",IF(AF591="Value is given by the source",S591,IF(AF591="Value is calculated with prices",(IF(SUMIFS(Q:Q,A:A,A591)&gt;0,SUMIFS(Q:Q,A:A,A591),"."))/VLOOKUP("USD",'Exchange rates'!B:C,2,0),"Error with coding"))),"")</f>
        <v>.</v>
      </c>
      <c r="U591" s="39" t="s">
        <v>233</v>
      </c>
      <c r="V591" s="42" t="s">
        <v>1673</v>
      </c>
      <c r="W591" s="42" t="s">
        <v>1674</v>
      </c>
      <c r="X591" s="517" t="s">
        <v>232</v>
      </c>
      <c r="Y591" s="517" t="s">
        <v>232</v>
      </c>
      <c r="Z591" s="39">
        <v>0</v>
      </c>
      <c r="AA591" s="518">
        <v>0</v>
      </c>
      <c r="AB591" s="521" t="s">
        <v>232</v>
      </c>
      <c r="AC591" s="519" t="str">
        <f>""</f>
        <v/>
      </c>
      <c r="AD591" s="520">
        <v>1</v>
      </c>
      <c r="AE591" s="520" t="s">
        <v>236</v>
      </c>
      <c r="AF591" s="520" t="s">
        <v>237</v>
      </c>
      <c r="AG591" s="520">
        <v>0</v>
      </c>
      <c r="AH591" s="520">
        <v>0</v>
      </c>
      <c r="AI591" s="520">
        <v>0</v>
      </c>
      <c r="AJ591" s="520">
        <f>VLOOKUP($I591,'Price List, Weapons &amp; Items'!A:E,5,0)</f>
        <v>0</v>
      </c>
      <c r="AK591" s="520">
        <f t="shared" si="122"/>
        <v>0</v>
      </c>
      <c r="AL591" s="520">
        <f t="shared" si="123"/>
        <v>0</v>
      </c>
      <c r="AM591" s="520">
        <f t="shared" si="124"/>
        <v>0</v>
      </c>
      <c r="AN591" s="521" t="str">
        <f>VLOOKUP($I591,'Price List, Weapons &amp; Items'!A:K,COLUMN('Price List, Weapons &amp; Items'!$I$1),0)</f>
        <v>.</v>
      </c>
      <c r="AO591" s="521" t="str">
        <f>IF(I591=".",".",VLOOKUP($I591,'Price List, Weapons &amp; Items'!A:I,3,0))</f>
        <v>.</v>
      </c>
      <c r="AP591" s="517" t="str">
        <f t="shared" ca="1" si="120"/>
        <v>.</v>
      </c>
      <c r="AQ591" s="521" t="str">
        <f>VLOOKUP($I591,'Price List, Weapons &amp; Items'!A:K,COLUMN('Price List, Weapons &amp; Items'!$K$1),0)</f>
        <v>no price, 0 count</v>
      </c>
      <c r="AS591" s="521">
        <f t="shared" si="125"/>
        <v>1</v>
      </c>
      <c r="AT591" s="521">
        <f t="shared" si="126"/>
        <v>0</v>
      </c>
      <c r="AU591" s="521" t="str">
        <f t="shared" si="127"/>
        <v>Value is not in date format</v>
      </c>
      <c r="AV591" s="521" t="str">
        <f t="shared" si="128"/>
        <v>.</v>
      </c>
    </row>
    <row r="592" spans="1:48" ht="15" customHeight="1">
      <c r="A592" s="41" t="s">
        <v>1675</v>
      </c>
      <c r="B592" s="41" t="s">
        <v>1653</v>
      </c>
      <c r="C592" s="511">
        <v>44636</v>
      </c>
      <c r="D592" s="18" t="s">
        <v>228</v>
      </c>
      <c r="E592" s="18" t="s">
        <v>239</v>
      </c>
      <c r="F592" s="512" t="s">
        <v>1676</v>
      </c>
      <c r="G592" s="39" t="s">
        <v>232</v>
      </c>
      <c r="H592" s="513" t="s">
        <v>309</v>
      </c>
      <c r="I592" s="41" t="s">
        <v>1677</v>
      </c>
      <c r="J592" s="276" t="str">
        <f>VLOOKUP($I592,'Price List, Weapons &amp; Items'!A:B,2,0)</f>
        <v>Humanitarian</v>
      </c>
      <c r="K592" s="276" t="str">
        <f>IF(I592=".",I592,VLOOKUP($I592,'Price List, Weapons &amp; Items'!A:C,3,0))</f>
        <v>.</v>
      </c>
      <c r="L592" s="514">
        <f>VLOOKUP(I592,'Price List, Weapons &amp; Items'!A:D,4,0)</f>
        <v>0</v>
      </c>
      <c r="M592" s="515">
        <v>50</v>
      </c>
      <c r="N592" s="515" t="s">
        <v>232</v>
      </c>
      <c r="O592" s="516" t="str">
        <f>VLOOKUP($I592,'Price List, Weapons &amp; Items'!A:F,6,0)</f>
        <v>.</v>
      </c>
      <c r="P592" s="513" t="str">
        <f t="shared" ref="P592:P657" si="129">IF(TYPE(M592)=1,IF(TYPE(O592)=1,M592*O592,"No price"),".")</f>
        <v>No price</v>
      </c>
      <c r="Q592" s="513" t="str">
        <f t="shared" ref="Q592:Q657" si="130">IF(TYPE(N592)=1,IF(TYPE(O592)=1,N592*O592,"No price"),".")</f>
        <v>.</v>
      </c>
      <c r="R592" s="513" t="str">
        <f t="shared" si="121"/>
        <v>.</v>
      </c>
      <c r="S592" s="513" t="str">
        <f>IF(AND(AD592=1,R592&lt;&gt;".")=TRUE,R592/VLOOKUP(G592,'Exchange rates'!B:C,2,0),IF(R592=".",".",""))</f>
        <v>.</v>
      </c>
      <c r="T592" s="513" t="str">
        <f>IF(AD592=1,IF(AF592="Value is not given at all",".",IF(AF592="Value is given by the source",S592,IF(AF592="Value is calculated with prices",(IF(SUMIFS(Q:Q,A:A,A592)&gt;0,SUMIFS(Q:Q,A:A,A592),"."))/VLOOKUP("USD",'Exchange rates'!B:C,2,0),"Error with coding"))),"")</f>
        <v>.</v>
      </c>
      <c r="U592" s="39" t="s">
        <v>233</v>
      </c>
      <c r="V592" s="42" t="s">
        <v>1678</v>
      </c>
      <c r="W592" s="42" t="s">
        <v>1673</v>
      </c>
      <c r="X592" s="517" t="s">
        <v>232</v>
      </c>
      <c r="Y592" s="517" t="s">
        <v>232</v>
      </c>
      <c r="Z592" s="39">
        <v>0</v>
      </c>
      <c r="AA592" s="518">
        <v>0</v>
      </c>
      <c r="AB592" s="521" t="s">
        <v>232</v>
      </c>
      <c r="AC592" s="519" t="str">
        <f>""</f>
        <v/>
      </c>
      <c r="AD592" s="520">
        <v>1</v>
      </c>
      <c r="AE592" s="520" t="s">
        <v>237</v>
      </c>
      <c r="AF592" s="520" t="s">
        <v>237</v>
      </c>
      <c r="AG592" s="520">
        <v>1</v>
      </c>
      <c r="AH592" s="520">
        <v>3</v>
      </c>
      <c r="AI592" s="520">
        <v>0</v>
      </c>
      <c r="AJ592" s="520">
        <f>VLOOKUP($I592,'Price List, Weapons &amp; Items'!A:E,5,0)</f>
        <v>0</v>
      </c>
      <c r="AK592" s="520">
        <f t="shared" si="122"/>
        <v>0</v>
      </c>
      <c r="AL592" s="520">
        <f t="shared" si="123"/>
        <v>0</v>
      </c>
      <c r="AM592" s="520">
        <f t="shared" si="124"/>
        <v>0</v>
      </c>
      <c r="AN592" s="521" t="str">
        <f>VLOOKUP($I592,'Price List, Weapons &amp; Items'!A:K,COLUMN('Price List, Weapons &amp; Items'!$I$1),0)</f>
        <v>.</v>
      </c>
      <c r="AO592" s="521" t="str">
        <f>IF(I592=".",".",VLOOKUP($I592,'Price List, Weapons &amp; Items'!A:I,3,0))</f>
        <v>.</v>
      </c>
      <c r="AP592" s="517" t="str">
        <f t="shared" ca="1" si="120"/>
        <v>ton of fire-fighting equipment</v>
      </c>
      <c r="AQ592" s="521">
        <f>VLOOKUP($I592,'Price List, Weapons &amp; Items'!A:K,COLUMN('Price List, Weapons &amp; Items'!$K$1),0)</f>
        <v>0</v>
      </c>
      <c r="AS592" s="521">
        <f t="shared" si="125"/>
        <v>1</v>
      </c>
      <c r="AT592" s="521">
        <f t="shared" si="126"/>
        <v>0</v>
      </c>
      <c r="AU592" s="521">
        <f t="shared" si="127"/>
        <v>1</v>
      </c>
      <c r="AV592" s="521" t="str">
        <f t="shared" si="128"/>
        <v>.</v>
      </c>
    </row>
    <row r="593" spans="1:48" ht="15" customHeight="1">
      <c r="A593" s="41" t="s">
        <v>1679</v>
      </c>
      <c r="B593" s="41" t="s">
        <v>1653</v>
      </c>
      <c r="C593" s="511">
        <v>44686</v>
      </c>
      <c r="D593" s="18" t="s">
        <v>228</v>
      </c>
      <c r="E593" s="18" t="s">
        <v>229</v>
      </c>
      <c r="F593" s="512" t="s">
        <v>1680</v>
      </c>
      <c r="G593" s="39" t="s">
        <v>332</v>
      </c>
      <c r="H593" s="513">
        <v>1000000</v>
      </c>
      <c r="I593" s="41" t="s">
        <v>232</v>
      </c>
      <c r="J593" s="276" t="str">
        <f>VLOOKUP($I593,'Price List, Weapons &amp; Items'!A:B,2,0)</f>
        <v>.</v>
      </c>
      <c r="K593" s="276" t="str">
        <f>IF(I593=".",I593,VLOOKUP($I593,'Price List, Weapons &amp; Items'!A:C,3,0))</f>
        <v>.</v>
      </c>
      <c r="L593" s="514">
        <f>VLOOKUP(I593,'Price List, Weapons &amp; Items'!A:D,4,0)</f>
        <v>0</v>
      </c>
      <c r="M593" s="515" t="s">
        <v>232</v>
      </c>
      <c r="N593" s="515" t="s">
        <v>232</v>
      </c>
      <c r="O593" s="516" t="str">
        <f>VLOOKUP($I593,'Price List, Weapons &amp; Items'!A:F,6,0)</f>
        <v>.</v>
      </c>
      <c r="P593" s="513" t="str">
        <f t="shared" si="129"/>
        <v>.</v>
      </c>
      <c r="Q593" s="513" t="str">
        <f t="shared" si="130"/>
        <v>.</v>
      </c>
      <c r="R593" s="513">
        <f t="shared" si="121"/>
        <v>1000000</v>
      </c>
      <c r="S593" s="513">
        <f>IF(AND(AD593=1,R593&lt;&gt;".")=TRUE,R593/VLOOKUP(G593,'Exchange rates'!B:C,2,0),IF(R593=".",".",""))</f>
        <v>1000000</v>
      </c>
      <c r="T593" s="513" t="str">
        <f>IF(AD593=1,IF(AF593="Value is not given at all",".",IF(AF593="Value is given by the source",S593,IF(AF593="Value is calculated with prices",(IF(SUMIFS(Q:Q,A:A,A593)&gt;0,SUMIFS(Q:Q,A:A,A593),"."))/VLOOKUP("USD",'Exchange rates'!B:C,2,0),"Error with coding"))),"")</f>
        <v>.</v>
      </c>
      <c r="U593" s="39" t="s">
        <v>233</v>
      </c>
      <c r="V593" s="42" t="s">
        <v>1673</v>
      </c>
      <c r="W593" s="517" t="s">
        <v>232</v>
      </c>
      <c r="X593" s="517" t="s">
        <v>232</v>
      </c>
      <c r="Y593" s="517" t="s">
        <v>232</v>
      </c>
      <c r="Z593" s="39">
        <v>0</v>
      </c>
      <c r="AA593" s="518">
        <v>0</v>
      </c>
      <c r="AB593" s="521" t="s">
        <v>232</v>
      </c>
      <c r="AC593" s="519" t="str">
        <f>""</f>
        <v/>
      </c>
      <c r="AD593" s="520">
        <v>1</v>
      </c>
      <c r="AE593" s="520" t="s">
        <v>236</v>
      </c>
      <c r="AF593" s="520" t="s">
        <v>237</v>
      </c>
      <c r="AG593" s="520">
        <v>1</v>
      </c>
      <c r="AH593" s="520">
        <v>5</v>
      </c>
      <c r="AI593" s="520">
        <v>0</v>
      </c>
      <c r="AJ593" s="520">
        <f>VLOOKUP($I593,'Price List, Weapons &amp; Items'!A:E,5,0)</f>
        <v>0</v>
      </c>
      <c r="AK593" s="520">
        <f t="shared" si="122"/>
        <v>0</v>
      </c>
      <c r="AL593" s="520">
        <f t="shared" si="123"/>
        <v>0</v>
      </c>
      <c r="AM593" s="520">
        <f t="shared" si="124"/>
        <v>0</v>
      </c>
      <c r="AN593" s="521" t="str">
        <f>VLOOKUP($I593,'Price List, Weapons &amp; Items'!A:K,COLUMN('Price List, Weapons &amp; Items'!$I$1),0)</f>
        <v>.</v>
      </c>
      <c r="AO593" s="521" t="str">
        <f>IF(I593=".",".",VLOOKUP($I593,'Price List, Weapons &amp; Items'!A:I,3,0))</f>
        <v>.</v>
      </c>
      <c r="AP593" s="517" t="str">
        <f t="shared" ca="1" si="120"/>
        <v>.</v>
      </c>
      <c r="AQ593" s="521" t="str">
        <f>VLOOKUP($I593,'Price List, Weapons &amp; Items'!A:K,COLUMN('Price List, Weapons &amp; Items'!$K$1),0)</f>
        <v>no price, 0 count</v>
      </c>
      <c r="AS593" s="521">
        <f t="shared" si="125"/>
        <v>1</v>
      </c>
      <c r="AT593" s="521">
        <f t="shared" si="126"/>
        <v>0</v>
      </c>
      <c r="AU593" s="521">
        <f t="shared" si="127"/>
        <v>1</v>
      </c>
      <c r="AV593" s="521" t="str">
        <f t="shared" si="128"/>
        <v>.</v>
      </c>
    </row>
    <row r="594" spans="1:48" ht="15" customHeight="1">
      <c r="A594" s="41" t="s">
        <v>1681</v>
      </c>
      <c r="B594" s="41" t="s">
        <v>1682</v>
      </c>
      <c r="C594" s="511">
        <v>44631</v>
      </c>
      <c r="D594" s="18" t="s">
        <v>228</v>
      </c>
      <c r="E594" s="18" t="s">
        <v>239</v>
      </c>
      <c r="F594" s="512" t="s">
        <v>1683</v>
      </c>
      <c r="G594" s="39" t="s">
        <v>332</v>
      </c>
      <c r="H594" s="513">
        <v>1150000</v>
      </c>
      <c r="I594" s="41" t="s">
        <v>232</v>
      </c>
      <c r="J594" s="276" t="str">
        <f>VLOOKUP($I594,'Price List, Weapons &amp; Items'!A:B,2,0)</f>
        <v>.</v>
      </c>
      <c r="K594" s="276" t="str">
        <f>IF(I594=".",I594,VLOOKUP($I594,'Price List, Weapons &amp; Items'!A:C,3,0))</f>
        <v>.</v>
      </c>
      <c r="L594" s="514">
        <f>VLOOKUP(I594,'Price List, Weapons &amp; Items'!A:D,4,0)</f>
        <v>0</v>
      </c>
      <c r="M594" s="515" t="s">
        <v>232</v>
      </c>
      <c r="N594" s="515" t="s">
        <v>232</v>
      </c>
      <c r="O594" s="516" t="str">
        <f>VLOOKUP($I594,'Price List, Weapons &amp; Items'!A:F,6,0)</f>
        <v>.</v>
      </c>
      <c r="P594" s="513" t="str">
        <f t="shared" si="129"/>
        <v>.</v>
      </c>
      <c r="Q594" s="513" t="str">
        <f t="shared" si="130"/>
        <v>.</v>
      </c>
      <c r="R594" s="513">
        <f t="shared" si="121"/>
        <v>1150000</v>
      </c>
      <c r="S594" s="513">
        <f>IF(AND(AD594=1,R594&lt;&gt;".")=TRUE,R594/VLOOKUP(G594,'Exchange rates'!B:C,2,0),IF(R594=".",".",""))</f>
        <v>1150000</v>
      </c>
      <c r="T594" s="513" t="str">
        <f>IF(AD594=1,IF(AF594="Value is not given at all",".",IF(AF594="Value is given by the source",S594,IF(AF594="Value is calculated with prices",(IF(SUMIFS(Q:Q,A:A,A594)&gt;0,SUMIFS(Q:Q,A:A,A594),"."))/VLOOKUP("USD",'Exchange rates'!B:C,2,0),"Error with coding"))),"")</f>
        <v>.</v>
      </c>
      <c r="U594" s="39" t="s">
        <v>233</v>
      </c>
      <c r="V594" s="42" t="s">
        <v>1684</v>
      </c>
      <c r="W594" s="42" t="s">
        <v>1685</v>
      </c>
      <c r="X594" s="517" t="s">
        <v>232</v>
      </c>
      <c r="Y594" s="517" t="s">
        <v>232</v>
      </c>
      <c r="Z594" s="39">
        <v>0</v>
      </c>
      <c r="AA594" s="518">
        <v>0</v>
      </c>
      <c r="AB594" s="521" t="s">
        <v>232</v>
      </c>
      <c r="AC594" s="519" t="str">
        <f>""</f>
        <v/>
      </c>
      <c r="AD594" s="520">
        <v>1</v>
      </c>
      <c r="AE594" s="520" t="s">
        <v>236</v>
      </c>
      <c r="AF594" s="520" t="s">
        <v>237</v>
      </c>
      <c r="AG594" s="520">
        <v>1</v>
      </c>
      <c r="AH594" s="520">
        <v>3</v>
      </c>
      <c r="AI594" s="520">
        <v>0</v>
      </c>
      <c r="AJ594" s="520">
        <f>VLOOKUP($I594,'Price List, Weapons &amp; Items'!A:E,5,0)</f>
        <v>0</v>
      </c>
      <c r="AK594" s="520">
        <f t="shared" si="122"/>
        <v>0</v>
      </c>
      <c r="AL594" s="520">
        <f t="shared" si="123"/>
        <v>0</v>
      </c>
      <c r="AM594" s="520">
        <f t="shared" si="124"/>
        <v>0</v>
      </c>
      <c r="AN594" s="521" t="str">
        <f>VLOOKUP($I594,'Price List, Weapons &amp; Items'!A:K,COLUMN('Price List, Weapons &amp; Items'!$I$1),0)</f>
        <v>.</v>
      </c>
      <c r="AO594" s="521" t="str">
        <f>IF(I594=".",".",VLOOKUP($I594,'Price List, Weapons &amp; Items'!A:I,3,0))</f>
        <v>.</v>
      </c>
      <c r="AP594" s="517" t="str">
        <f t="shared" ca="1" si="120"/>
        <v>.</v>
      </c>
      <c r="AQ594" s="521" t="str">
        <f>VLOOKUP($I594,'Price List, Weapons &amp; Items'!A:K,COLUMN('Price List, Weapons &amp; Items'!$K$1),0)</f>
        <v>no price, 0 count</v>
      </c>
      <c r="AS594" s="521">
        <f t="shared" si="125"/>
        <v>1</v>
      </c>
      <c r="AT594" s="521">
        <f t="shared" si="126"/>
        <v>0</v>
      </c>
      <c r="AU594" s="521">
        <f t="shared" si="127"/>
        <v>1</v>
      </c>
      <c r="AV594" s="521" t="e">
        <f>IF(AND(A594=#REF!,C594=#REF!)=TRUE,IF(F594=#REF!,".","1"),".")</f>
        <v>#REF!</v>
      </c>
    </row>
    <row r="595" spans="1:48" ht="15" customHeight="1">
      <c r="A595" s="18" t="s">
        <v>1686</v>
      </c>
      <c r="B595" s="18" t="s">
        <v>1687</v>
      </c>
      <c r="C595" s="511">
        <v>44610</v>
      </c>
      <c r="D595" s="18" t="s">
        <v>252</v>
      </c>
      <c r="E595" s="18" t="s">
        <v>253</v>
      </c>
      <c r="F595" s="512" t="s">
        <v>1688</v>
      </c>
      <c r="G595" s="39" t="s">
        <v>332</v>
      </c>
      <c r="H595" s="513">
        <v>50000000</v>
      </c>
      <c r="I595" s="41" t="s">
        <v>419</v>
      </c>
      <c r="J595" s="276" t="str">
        <f>VLOOKUP($I595,'Price List, Weapons &amp; Items'!A:B,2,0)</f>
        <v>Military equipment</v>
      </c>
      <c r="K595" s="276" t="str">
        <f>IF(I595=".",I595,VLOOKUP($I595,'Price List, Weapons &amp; Items'!A:C,3,0))</f>
        <v>.</v>
      </c>
      <c r="L595" s="514">
        <f>VLOOKUP(I595,'Price List, Weapons &amp; Items'!A:D,4,0)</f>
        <v>0</v>
      </c>
      <c r="M595" s="515">
        <v>3000</v>
      </c>
      <c r="N595" s="515">
        <v>3000</v>
      </c>
      <c r="O595" s="516">
        <f>VLOOKUP($I595,'Price List, Weapons &amp; Items'!A:F,6,0)</f>
        <v>1400</v>
      </c>
      <c r="P595" s="513">
        <f t="shared" si="129"/>
        <v>4200000</v>
      </c>
      <c r="Q595" s="513">
        <f t="shared" si="130"/>
        <v>4200000</v>
      </c>
      <c r="R595" s="513">
        <f t="shared" si="121"/>
        <v>50000000</v>
      </c>
      <c r="S595" s="513">
        <f>IF(AND(AD595=1,R595&lt;&gt;".")=TRUE,R595/VLOOKUP(G595,'Exchange rates'!B:C,2,0),IF(R595=".",".",""))</f>
        <v>50000000</v>
      </c>
      <c r="T595" s="513">
        <f>IF(AD595=1,IF(AF595="Value is not given at all",".",IF(AF595="Value is given by the source",S595,IF(AF595="Value is calculated with prices",(IF(SUMIFS(Q:Q,A:A,A595)&gt;0,SUMIFS(Q:Q,A:A,A595),"."))/VLOOKUP("USD",'Exchange rates'!B:C,2,0),"Error with coding"))),"")</f>
        <v>50000000</v>
      </c>
      <c r="U595" s="39" t="s">
        <v>233</v>
      </c>
      <c r="V595" s="376" t="s">
        <v>1689</v>
      </c>
      <c r="W595" s="376" t="s">
        <v>1690</v>
      </c>
      <c r="X595" s="376" t="s">
        <v>1691</v>
      </c>
      <c r="Y595" s="376" t="s">
        <v>1692</v>
      </c>
      <c r="Z595" s="518">
        <v>0</v>
      </c>
      <c r="AA595" s="518">
        <v>0</v>
      </c>
      <c r="AB595" s="395" t="s">
        <v>1689</v>
      </c>
      <c r="AC595" s="519" t="str">
        <f>""</f>
        <v/>
      </c>
      <c r="AD595" s="520">
        <v>1</v>
      </c>
      <c r="AE595" s="520" t="s">
        <v>236</v>
      </c>
      <c r="AF595" s="520" t="s">
        <v>236</v>
      </c>
      <c r="AG595" s="520">
        <v>1</v>
      </c>
      <c r="AH595" s="520">
        <v>2</v>
      </c>
      <c r="AI595" s="520">
        <v>1</v>
      </c>
      <c r="AJ595" s="520">
        <f>VLOOKUP($I595,'Price List, Weapons &amp; Items'!A:E,5,0)</f>
        <v>0</v>
      </c>
      <c r="AK595" s="520">
        <f t="shared" si="122"/>
        <v>0</v>
      </c>
      <c r="AL595" s="520">
        <f t="shared" si="123"/>
        <v>0</v>
      </c>
      <c r="AM595" s="520">
        <f t="shared" si="124"/>
        <v>0</v>
      </c>
      <c r="AN595" s="521" t="str">
        <f>VLOOKUP($I595,'Price List, Weapons &amp; Items'!A:K,COLUMN('Price List, Weapons &amp; Items'!$I$1),0)</f>
        <v>Military media (incl. websites)</v>
      </c>
      <c r="AO595" s="521" t="str">
        <f>IF(I595=".",".",VLOOKUP($I595,'Price List, Weapons &amp; Items'!A:I,3,0))</f>
        <v>.</v>
      </c>
      <c r="AP595" s="517" t="str">
        <f t="shared" ca="1" si="120"/>
        <v>helmet; ballistic vest; metal detector; wire-guided detection robots for land and sea mine detection; SQUIRE Ground Surveillance Radar; Hughes AN/TPQ-36 Firefinder weapon locating system; Barrett M82 sniper rifle; Accuracy International sniper rifle(AX308 and AX 338); round of ammunition for sniper rifles; Stinger anti-aircraft system; Stinger missile; Panzerfaust 3; missile for Panzerfaust 3; .; YPR-765 infantry vehicle; drone</v>
      </c>
      <c r="AQ595" s="521">
        <f>VLOOKUP($I595,'Price List, Weapons &amp; Items'!A:K,COLUMN('Price List, Weapons &amp; Items'!$K$1),0)</f>
        <v>2</v>
      </c>
      <c r="AS595" s="521">
        <f t="shared" si="125"/>
        <v>1</v>
      </c>
      <c r="AT595" s="521">
        <f t="shared" si="126"/>
        <v>1</v>
      </c>
      <c r="AU595" s="521">
        <f t="shared" si="127"/>
        <v>1</v>
      </c>
      <c r="AV595" s="521" t="str">
        <f t="shared" si="128"/>
        <v>.</v>
      </c>
    </row>
    <row r="596" spans="1:48" ht="15" customHeight="1">
      <c r="A596" s="18" t="s">
        <v>1686</v>
      </c>
      <c r="B596" s="18" t="s">
        <v>1687</v>
      </c>
      <c r="C596" s="511">
        <v>44610</v>
      </c>
      <c r="D596" s="18" t="s">
        <v>252</v>
      </c>
      <c r="E596" s="18" t="s">
        <v>253</v>
      </c>
      <c r="F596" s="512" t="s">
        <v>1688</v>
      </c>
      <c r="G596" s="39" t="s">
        <v>332</v>
      </c>
      <c r="H596" s="513">
        <v>50000000</v>
      </c>
      <c r="I596" s="41" t="s">
        <v>446</v>
      </c>
      <c r="J596" s="276" t="str">
        <f>VLOOKUP($I596,'Price List, Weapons &amp; Items'!A:B,2,0)</f>
        <v>Military equipment</v>
      </c>
      <c r="K596" s="276" t="str">
        <f>IF(I596=".",I596,VLOOKUP($I596,'Price List, Weapons &amp; Items'!A:C,3,0))</f>
        <v>.</v>
      </c>
      <c r="L596" s="514">
        <f>VLOOKUP(I596,'Price List, Weapons &amp; Items'!A:D,4,0)</f>
        <v>0</v>
      </c>
      <c r="M596" s="515">
        <v>2000</v>
      </c>
      <c r="N596" s="515">
        <v>2000</v>
      </c>
      <c r="O596" s="516">
        <f>VLOOKUP($I596,'Price List, Weapons &amp; Items'!A:F,6,0)</f>
        <v>500</v>
      </c>
      <c r="P596" s="513">
        <f t="shared" si="129"/>
        <v>1000000</v>
      </c>
      <c r="Q596" s="513">
        <f t="shared" si="130"/>
        <v>1000000</v>
      </c>
      <c r="R596" s="513" t="str">
        <f t="shared" si="121"/>
        <v/>
      </c>
      <c r="S596" s="513" t="str">
        <f>IF(AND(AD596=1,R596&lt;&gt;".")=TRUE,R596/VLOOKUP(G596,'Exchange rates'!B:C,2,0),IF(R596=".",".",""))</f>
        <v/>
      </c>
      <c r="T596" s="513" t="str">
        <f>IF(AD596=1,IF(AF596="Value is not given at all",".",IF(AF596="Value is given by the source",S596,IF(AF596="Value is calculated with prices",(IF(SUMIFS(Q:Q,A:A,A596)&gt;0,SUMIFS(Q:Q,A:A,A596),"."))/VLOOKUP("USD",'Exchange rates'!B:C,2,0),"Error with coding"))),"")</f>
        <v/>
      </c>
      <c r="U596" s="39" t="s">
        <v>233</v>
      </c>
      <c r="V596" s="376" t="s">
        <v>1689</v>
      </c>
      <c r="W596" s="376" t="s">
        <v>1690</v>
      </c>
      <c r="X596" s="376" t="s">
        <v>1691</v>
      </c>
      <c r="Y596" s="376" t="s">
        <v>1692</v>
      </c>
      <c r="Z596" s="518">
        <v>0</v>
      </c>
      <c r="AA596" s="518">
        <v>0</v>
      </c>
      <c r="AB596" s="395" t="s">
        <v>1689</v>
      </c>
      <c r="AC596" s="519" t="str">
        <f>""</f>
        <v/>
      </c>
      <c r="AD596" s="520">
        <v>0</v>
      </c>
      <c r="AE596" s="520" t="s">
        <v>236</v>
      </c>
      <c r="AF596" s="520" t="s">
        <v>236</v>
      </c>
      <c r="AG596" s="520">
        <v>1</v>
      </c>
      <c r="AH596" s="520">
        <v>2</v>
      </c>
      <c r="AI596" s="520">
        <v>1</v>
      </c>
      <c r="AJ596" s="520">
        <f>VLOOKUP($I596,'Price List, Weapons &amp; Items'!A:E,5,0)</f>
        <v>0</v>
      </c>
      <c r="AK596" s="520">
        <f t="shared" si="122"/>
        <v>0</v>
      </c>
      <c r="AL596" s="520">
        <f t="shared" si="123"/>
        <v>0</v>
      </c>
      <c r="AM596" s="520">
        <f t="shared" si="124"/>
        <v>0</v>
      </c>
      <c r="AN596" s="521" t="str">
        <f>VLOOKUP($I596,'Price List, Weapons &amp; Items'!A:K,COLUMN('Price List, Weapons &amp; Items'!$I$1),0)</f>
        <v>Military media (incl. websites)</v>
      </c>
      <c r="AO596" s="521" t="str">
        <f>IF(I596=".",".",VLOOKUP($I596,'Price List, Weapons &amp; Items'!A:I,3,0))</f>
        <v>.</v>
      </c>
      <c r="AP596" s="517" t="str">
        <f t="shared" ca="1" si="120"/>
        <v/>
      </c>
      <c r="AQ596" s="521">
        <f>VLOOKUP($I596,'Price List, Weapons &amp; Items'!A:K,COLUMN('Price List, Weapons &amp; Items'!$K$1),0)</f>
        <v>2</v>
      </c>
      <c r="AS596" s="521">
        <f t="shared" si="125"/>
        <v>1</v>
      </c>
      <c r="AT596" s="521">
        <f t="shared" si="126"/>
        <v>1</v>
      </c>
      <c r="AU596" s="521">
        <f t="shared" si="127"/>
        <v>1</v>
      </c>
      <c r="AV596" s="521" t="str">
        <f t="shared" si="128"/>
        <v>.</v>
      </c>
    </row>
    <row r="597" spans="1:48" ht="15" customHeight="1">
      <c r="A597" s="18" t="s">
        <v>1686</v>
      </c>
      <c r="B597" s="18" t="s">
        <v>1687</v>
      </c>
      <c r="C597" s="511">
        <v>44610</v>
      </c>
      <c r="D597" s="18" t="s">
        <v>252</v>
      </c>
      <c r="E597" s="18" t="s">
        <v>253</v>
      </c>
      <c r="F597" s="512" t="s">
        <v>1688</v>
      </c>
      <c r="G597" s="39" t="s">
        <v>332</v>
      </c>
      <c r="H597" s="513">
        <v>50000000</v>
      </c>
      <c r="I597" s="41" t="s">
        <v>1693</v>
      </c>
      <c r="J597" s="276" t="str">
        <f>VLOOKUP($I597,'Price List, Weapons &amp; Items'!A:B,2,0)</f>
        <v>Military equipment</v>
      </c>
      <c r="K597" s="276" t="str">
        <f>IF(I597=".",I597,VLOOKUP($I597,'Price List, Weapons &amp; Items'!A:C,3,0))</f>
        <v>.</v>
      </c>
      <c r="L597" s="514">
        <f>VLOOKUP(I597,'Price List, Weapons &amp; Items'!A:D,4,0)</f>
        <v>0</v>
      </c>
      <c r="M597" s="515">
        <v>30</v>
      </c>
      <c r="N597" s="515">
        <v>30</v>
      </c>
      <c r="O597" s="516">
        <f>VLOOKUP($I597,'Price List, Weapons &amp; Items'!A:F,6,0)</f>
        <v>1200</v>
      </c>
      <c r="P597" s="513">
        <f t="shared" si="129"/>
        <v>36000</v>
      </c>
      <c r="Q597" s="513">
        <f t="shared" si="130"/>
        <v>36000</v>
      </c>
      <c r="R597" s="513" t="str">
        <f t="shared" si="121"/>
        <v/>
      </c>
      <c r="S597" s="513" t="str">
        <f>IF(AND(AD597=1,R597&lt;&gt;".")=TRUE,R597/VLOOKUP(G597,'Exchange rates'!B:C,2,0),IF(R597=".",".",""))</f>
        <v/>
      </c>
      <c r="T597" s="513" t="str">
        <f>IF(AD597=1,IF(AF597="Value is not given at all",".",IF(AF597="Value is given by the source",S597,IF(AF597="Value is calculated with prices",(IF(SUMIFS(Q:Q,A:A,A597)&gt;0,SUMIFS(Q:Q,A:A,A597),"."))/VLOOKUP("USD",'Exchange rates'!B:C,2,0),"Error with coding"))),"")</f>
        <v/>
      </c>
      <c r="U597" s="39" t="s">
        <v>233</v>
      </c>
      <c r="V597" s="376" t="s">
        <v>1689</v>
      </c>
      <c r="W597" s="376" t="s">
        <v>1690</v>
      </c>
      <c r="X597" s="376" t="s">
        <v>1691</v>
      </c>
      <c r="Y597" s="376" t="s">
        <v>1692</v>
      </c>
      <c r="Z597" s="518">
        <v>0</v>
      </c>
      <c r="AA597" s="518">
        <v>0</v>
      </c>
      <c r="AB597" s="395" t="s">
        <v>1689</v>
      </c>
      <c r="AC597" s="519" t="str">
        <f>""</f>
        <v/>
      </c>
      <c r="AD597" s="520">
        <v>0</v>
      </c>
      <c r="AE597" s="520" t="s">
        <v>236</v>
      </c>
      <c r="AF597" s="520" t="s">
        <v>236</v>
      </c>
      <c r="AG597" s="520">
        <v>1</v>
      </c>
      <c r="AH597" s="520">
        <v>2</v>
      </c>
      <c r="AI597" s="520">
        <v>1</v>
      </c>
      <c r="AJ597" s="520">
        <f>VLOOKUP($I597,'Price List, Weapons &amp; Items'!A:E,5,0)</f>
        <v>0</v>
      </c>
      <c r="AK597" s="520">
        <f t="shared" si="122"/>
        <v>0</v>
      </c>
      <c r="AL597" s="520">
        <f t="shared" si="123"/>
        <v>0</v>
      </c>
      <c r="AM597" s="520">
        <f t="shared" si="124"/>
        <v>0</v>
      </c>
      <c r="AN597" s="521" t="str">
        <f>VLOOKUP($I597,'Price List, Weapons &amp; Items'!A:K,COLUMN('Price List, Weapons &amp; Items'!$I$1),0)</f>
        <v>Miscellaneous</v>
      </c>
      <c r="AO597" s="521" t="str">
        <f>IF(I597=".",".",VLOOKUP($I597,'Price List, Weapons &amp; Items'!A:I,3,0))</f>
        <v>.</v>
      </c>
      <c r="AP597" s="517" t="str">
        <f t="shared" ca="1" si="120"/>
        <v/>
      </c>
      <c r="AQ597" s="521">
        <f>VLOOKUP($I597,'Price List, Weapons &amp; Items'!A:K,COLUMN('Price List, Weapons &amp; Items'!$K$1),0)</f>
        <v>1</v>
      </c>
      <c r="AS597" s="521">
        <f t="shared" si="125"/>
        <v>1</v>
      </c>
      <c r="AT597" s="521">
        <f t="shared" si="126"/>
        <v>1</v>
      </c>
      <c r="AU597" s="521">
        <f t="shared" si="127"/>
        <v>1</v>
      </c>
      <c r="AV597" s="521" t="str">
        <f t="shared" si="128"/>
        <v>.</v>
      </c>
    </row>
    <row r="598" spans="1:48" ht="15" customHeight="1">
      <c r="A598" s="18" t="s">
        <v>1686</v>
      </c>
      <c r="B598" s="18" t="s">
        <v>1687</v>
      </c>
      <c r="C598" s="511">
        <v>44610</v>
      </c>
      <c r="D598" s="18" t="s">
        <v>252</v>
      </c>
      <c r="E598" s="18" t="s">
        <v>253</v>
      </c>
      <c r="F598" s="512" t="s">
        <v>1688</v>
      </c>
      <c r="G598" s="39" t="s">
        <v>332</v>
      </c>
      <c r="H598" s="513">
        <v>50000000</v>
      </c>
      <c r="I598" s="41" t="s">
        <v>1694</v>
      </c>
      <c r="J598" s="276" t="str">
        <f>VLOOKUP($I598,'Price List, Weapons &amp; Items'!A:B,2,0)</f>
        <v>Military equipment</v>
      </c>
      <c r="K598" s="276" t="str">
        <f>IF(I598=".",I598,VLOOKUP($I598,'Price List, Weapons &amp; Items'!A:C,3,0))</f>
        <v>.</v>
      </c>
      <c r="L598" s="514">
        <f>VLOOKUP(I598,'Price List, Weapons &amp; Items'!A:D,4,0)</f>
        <v>0</v>
      </c>
      <c r="M598" s="515">
        <v>2</v>
      </c>
      <c r="N598" s="515">
        <v>2</v>
      </c>
      <c r="O598" s="516" t="str">
        <f>VLOOKUP($I598,'Price List, Weapons &amp; Items'!A:F,6,0)</f>
        <v>.</v>
      </c>
      <c r="P598" s="513" t="str">
        <f t="shared" si="129"/>
        <v>No price</v>
      </c>
      <c r="Q598" s="513" t="str">
        <f t="shared" si="130"/>
        <v>No price</v>
      </c>
      <c r="R598" s="513" t="str">
        <f t="shared" si="121"/>
        <v/>
      </c>
      <c r="S598" s="513" t="str">
        <f>IF(AND(AD598=1,R598&lt;&gt;".")=TRUE,R598/VLOOKUP(G598,'Exchange rates'!B:C,2,0),IF(R598=".",".",""))</f>
        <v/>
      </c>
      <c r="T598" s="513" t="str">
        <f>IF(AD598=1,IF(AF598="Value is not given at all",".",IF(AF598="Value is given by the source",S598,IF(AF598="Value is calculated with prices",(IF(SUMIFS(Q:Q,A:A,A598)&gt;0,SUMIFS(Q:Q,A:A,A598),"."))/VLOOKUP("USD",'Exchange rates'!B:C,2,0),"Error with coding"))),"")</f>
        <v/>
      </c>
      <c r="U598" s="39" t="s">
        <v>233</v>
      </c>
      <c r="V598" s="376" t="s">
        <v>1689</v>
      </c>
      <c r="W598" s="376" t="s">
        <v>1690</v>
      </c>
      <c r="X598" s="376" t="s">
        <v>1691</v>
      </c>
      <c r="Y598" s="376" t="s">
        <v>1692</v>
      </c>
      <c r="Z598" s="518">
        <v>0</v>
      </c>
      <c r="AA598" s="518">
        <v>0</v>
      </c>
      <c r="AB598" s="395" t="s">
        <v>1689</v>
      </c>
      <c r="AC598" s="519" t="str">
        <f>""</f>
        <v/>
      </c>
      <c r="AD598" s="520">
        <v>0</v>
      </c>
      <c r="AE598" s="520" t="s">
        <v>236</v>
      </c>
      <c r="AF598" s="520" t="s">
        <v>236</v>
      </c>
      <c r="AG598" s="520">
        <v>1</v>
      </c>
      <c r="AH598" s="520">
        <v>2</v>
      </c>
      <c r="AI598" s="520">
        <v>1</v>
      </c>
      <c r="AJ598" s="520">
        <f>VLOOKUP($I598,'Price List, Weapons &amp; Items'!A:E,5,0)</f>
        <v>0</v>
      </c>
      <c r="AK598" s="520">
        <f t="shared" si="122"/>
        <v>0</v>
      </c>
      <c r="AL598" s="520">
        <f t="shared" si="123"/>
        <v>0</v>
      </c>
      <c r="AM598" s="520">
        <f t="shared" si="124"/>
        <v>0</v>
      </c>
      <c r="AN598" s="521" t="str">
        <f>VLOOKUP($I598,'Price List, Weapons &amp; Items'!A:K,COLUMN('Price List, Weapons &amp; Items'!$I$1),0)</f>
        <v>.</v>
      </c>
      <c r="AO598" s="521" t="str">
        <f>IF(I598=".",".",VLOOKUP($I598,'Price List, Weapons &amp; Items'!A:I,3,0))</f>
        <v>.</v>
      </c>
      <c r="AP598" s="517" t="str">
        <f t="shared" ca="1" si="120"/>
        <v/>
      </c>
      <c r="AQ598" s="521">
        <f>VLOOKUP($I598,'Price List, Weapons &amp; Items'!A:K,COLUMN('Price List, Weapons &amp; Items'!$K$1),0)</f>
        <v>0</v>
      </c>
      <c r="AS598" s="521">
        <f t="shared" si="125"/>
        <v>1</v>
      </c>
      <c r="AT598" s="521">
        <f t="shared" si="126"/>
        <v>1</v>
      </c>
      <c r="AU598" s="521">
        <f t="shared" si="127"/>
        <v>1</v>
      </c>
      <c r="AV598" s="521" t="str">
        <f t="shared" si="128"/>
        <v>.</v>
      </c>
    </row>
    <row r="599" spans="1:48" ht="15" customHeight="1">
      <c r="A599" s="18" t="s">
        <v>1686</v>
      </c>
      <c r="B599" s="18" t="s">
        <v>1687</v>
      </c>
      <c r="C599" s="511">
        <v>44610</v>
      </c>
      <c r="D599" s="18" t="s">
        <v>252</v>
      </c>
      <c r="E599" s="18" t="s">
        <v>253</v>
      </c>
      <c r="F599" s="512" t="s">
        <v>1688</v>
      </c>
      <c r="G599" s="39" t="s">
        <v>332</v>
      </c>
      <c r="H599" s="513">
        <v>50000000</v>
      </c>
      <c r="I599" s="41" t="s">
        <v>1695</v>
      </c>
      <c r="J599" s="276" t="str">
        <f>VLOOKUP($I599,'Price List, Weapons &amp; Items'!A:B,2,0)</f>
        <v>Military equipment</v>
      </c>
      <c r="K599" s="276" t="str">
        <f>IF(I599=".",I599,VLOOKUP($I599,'Price List, Weapons &amp; Items'!A:C,3,0))</f>
        <v>radar and imagery systems</v>
      </c>
      <c r="L599" s="514">
        <f>VLOOKUP(I599,'Price List, Weapons &amp; Items'!A:D,4,0)</f>
        <v>0</v>
      </c>
      <c r="M599" s="515">
        <v>2</v>
      </c>
      <c r="N599" s="515">
        <v>2</v>
      </c>
      <c r="O599" s="516">
        <f>VLOOKUP($I599,'Price List, Weapons &amp; Items'!A:F,6,0)</f>
        <v>25000</v>
      </c>
      <c r="P599" s="513">
        <f t="shared" si="129"/>
        <v>50000</v>
      </c>
      <c r="Q599" s="513">
        <f t="shared" si="130"/>
        <v>50000</v>
      </c>
      <c r="R599" s="513" t="str">
        <f t="shared" si="121"/>
        <v/>
      </c>
      <c r="S599" s="513" t="str">
        <f>IF(AND(AD599=1,R599&lt;&gt;".")=TRUE,R599/VLOOKUP(G599,'Exchange rates'!B:C,2,0),IF(R599=".",".",""))</f>
        <v/>
      </c>
      <c r="T599" s="513" t="str">
        <f>IF(AD599=1,IF(AF599="Value is not given at all",".",IF(AF599="Value is given by the source",S599,IF(AF599="Value is calculated with prices",(IF(SUMIFS(Q:Q,A:A,A599)&gt;0,SUMIFS(Q:Q,A:A,A599),"."))/VLOOKUP("USD",'Exchange rates'!B:C,2,0),"Error with coding"))),"")</f>
        <v/>
      </c>
      <c r="U599" s="39" t="s">
        <v>233</v>
      </c>
      <c r="V599" s="376" t="s">
        <v>1689</v>
      </c>
      <c r="W599" s="376" t="s">
        <v>1690</v>
      </c>
      <c r="X599" s="376" t="s">
        <v>1691</v>
      </c>
      <c r="Y599" s="376" t="s">
        <v>1692</v>
      </c>
      <c r="Z599" s="518">
        <v>0</v>
      </c>
      <c r="AA599" s="518">
        <v>0</v>
      </c>
      <c r="AB599" s="395" t="s">
        <v>1689</v>
      </c>
      <c r="AC599" s="519" t="str">
        <f>""</f>
        <v/>
      </c>
      <c r="AD599" s="520">
        <v>0</v>
      </c>
      <c r="AE599" s="520" t="s">
        <v>236</v>
      </c>
      <c r="AF599" s="520" t="s">
        <v>236</v>
      </c>
      <c r="AG599" s="520">
        <v>1</v>
      </c>
      <c r="AH599" s="520">
        <v>2</v>
      </c>
      <c r="AI599" s="520">
        <v>1</v>
      </c>
      <c r="AJ599" s="520">
        <f>VLOOKUP($I599,'Price List, Weapons &amp; Items'!A:E,5,0)</f>
        <v>0</v>
      </c>
      <c r="AK599" s="520">
        <f t="shared" si="122"/>
        <v>0</v>
      </c>
      <c r="AL599" s="520">
        <f t="shared" si="123"/>
        <v>0</v>
      </c>
      <c r="AM599" s="520">
        <f t="shared" si="124"/>
        <v>0</v>
      </c>
      <c r="AN599" s="521" t="str">
        <f>VLOOKUP($I599,'Price List, Weapons &amp; Items'!A:K,COLUMN('Price List, Weapons &amp; Items'!$I$1),0)</f>
        <v>Online marketplaces and stores</v>
      </c>
      <c r="AO599" s="521" t="str">
        <f>IF(I599=".",".",VLOOKUP($I599,'Price List, Weapons &amp; Items'!A:I,3,0))</f>
        <v>radar and imagery systems</v>
      </c>
      <c r="AP599" s="517" t="str">
        <f t="shared" ca="1" si="120"/>
        <v/>
      </c>
      <c r="AQ599" s="521">
        <f>VLOOKUP($I599,'Price List, Weapons &amp; Items'!A:K,COLUMN('Price List, Weapons &amp; Items'!$K$1),0)</f>
        <v>1</v>
      </c>
      <c r="AS599" s="521">
        <f t="shared" si="125"/>
        <v>1</v>
      </c>
      <c r="AT599" s="521">
        <f t="shared" si="126"/>
        <v>1</v>
      </c>
      <c r="AU599" s="521">
        <f t="shared" si="127"/>
        <v>1</v>
      </c>
      <c r="AV599" s="521" t="str">
        <f t="shared" si="128"/>
        <v>.</v>
      </c>
    </row>
    <row r="600" spans="1:48" ht="15" customHeight="1">
      <c r="A600" s="18" t="s">
        <v>1686</v>
      </c>
      <c r="B600" s="18" t="s">
        <v>1687</v>
      </c>
      <c r="C600" s="511">
        <v>44610</v>
      </c>
      <c r="D600" s="18" t="s">
        <v>252</v>
      </c>
      <c r="E600" s="18" t="s">
        <v>253</v>
      </c>
      <c r="F600" s="512" t="s">
        <v>1688</v>
      </c>
      <c r="G600" s="39" t="s">
        <v>332</v>
      </c>
      <c r="H600" s="513">
        <v>50000000</v>
      </c>
      <c r="I600" s="41" t="s">
        <v>1696</v>
      </c>
      <c r="J600" s="276" t="str">
        <f>VLOOKUP($I600,'Price List, Weapons &amp; Items'!A:B,2,0)</f>
        <v>Military equipment</v>
      </c>
      <c r="K600" s="276" t="str">
        <f>IF(I600=".",I600,VLOOKUP($I600,'Price List, Weapons &amp; Items'!A:C,3,0))</f>
        <v>Radar or imagery systems</v>
      </c>
      <c r="L600" s="514">
        <f>VLOOKUP(I600,'Price List, Weapons &amp; Items'!A:D,4,0)</f>
        <v>0</v>
      </c>
      <c r="M600" s="515">
        <v>5</v>
      </c>
      <c r="N600" s="515">
        <v>5</v>
      </c>
      <c r="O600" s="516">
        <f>VLOOKUP($I600,'Price List, Weapons &amp; Items'!A:F,6,0)</f>
        <v>8888888</v>
      </c>
      <c r="P600" s="513">
        <f t="shared" si="129"/>
        <v>44444440</v>
      </c>
      <c r="Q600" s="513">
        <f t="shared" si="130"/>
        <v>44444440</v>
      </c>
      <c r="R600" s="513" t="str">
        <f t="shared" si="121"/>
        <v/>
      </c>
      <c r="S600" s="513" t="str">
        <f>IF(AND(AD600=1,R600&lt;&gt;".")=TRUE,R600/VLOOKUP(G600,'Exchange rates'!B:C,2,0),IF(R600=".",".",""))</f>
        <v/>
      </c>
      <c r="T600" s="513" t="str">
        <f>IF(AD600=1,IF(AF600="Value is not given at all",".",IF(AF600="Value is given by the source",S600,IF(AF600="Value is calculated with prices",(IF(SUMIFS(Q:Q,A:A,A600)&gt;0,SUMIFS(Q:Q,A:A,A600),"."))/VLOOKUP("USD",'Exchange rates'!B:C,2,0),"Error with coding"))),"")</f>
        <v/>
      </c>
      <c r="U600" s="39" t="s">
        <v>233</v>
      </c>
      <c r="V600" s="376" t="s">
        <v>1689</v>
      </c>
      <c r="W600" s="376" t="s">
        <v>1690</v>
      </c>
      <c r="X600" s="376" t="s">
        <v>1691</v>
      </c>
      <c r="Y600" s="376" t="s">
        <v>1692</v>
      </c>
      <c r="Z600" s="518">
        <v>0</v>
      </c>
      <c r="AA600" s="518">
        <v>0</v>
      </c>
      <c r="AB600" s="395" t="s">
        <v>1689</v>
      </c>
      <c r="AC600" s="519" t="str">
        <f>""</f>
        <v/>
      </c>
      <c r="AD600" s="520">
        <v>0</v>
      </c>
      <c r="AE600" s="520" t="s">
        <v>236</v>
      </c>
      <c r="AF600" s="520" t="s">
        <v>236</v>
      </c>
      <c r="AG600" s="520">
        <v>1</v>
      </c>
      <c r="AH600" s="520">
        <v>2</v>
      </c>
      <c r="AI600" s="520">
        <v>1</v>
      </c>
      <c r="AJ600" s="520">
        <f>VLOOKUP($I600,'Price List, Weapons &amp; Items'!A:E,5,0)</f>
        <v>0</v>
      </c>
      <c r="AK600" s="520">
        <f t="shared" si="122"/>
        <v>0</v>
      </c>
      <c r="AL600" s="520">
        <f t="shared" si="123"/>
        <v>0</v>
      </c>
      <c r="AM600" s="520">
        <f t="shared" si="124"/>
        <v>0</v>
      </c>
      <c r="AN600" s="521" t="str">
        <f>VLOOKUP($I600,'Price List, Weapons &amp; Items'!A:K,COLUMN('Price List, Weapons &amp; Items'!$I$1),0)</f>
        <v>Military media (incl. websites)</v>
      </c>
      <c r="AO600" s="521" t="str">
        <f>IF(I600=".",".",VLOOKUP($I600,'Price List, Weapons &amp; Items'!A:I,3,0))</f>
        <v>Radar or imagery systems</v>
      </c>
      <c r="AP600" s="517" t="str">
        <f t="shared" ref="AP600:AP663" ca="1" si="131">IF(AD600=1,_xlfn.ARRAYTOTEXT(OFFSET(I600,0,0,COUNTIF(A:A,A600),1)),"")</f>
        <v/>
      </c>
      <c r="AQ600" s="521">
        <f>VLOOKUP($I600,'Price List, Weapons &amp; Items'!A:K,COLUMN('Price List, Weapons &amp; Items'!$K$1),0)</f>
        <v>2</v>
      </c>
      <c r="AS600" s="521">
        <f t="shared" si="125"/>
        <v>1</v>
      </c>
      <c r="AT600" s="521">
        <f t="shared" si="126"/>
        <v>1</v>
      </c>
      <c r="AU600" s="521">
        <f t="shared" si="127"/>
        <v>1</v>
      </c>
      <c r="AV600" s="521" t="str">
        <f t="shared" si="128"/>
        <v>.</v>
      </c>
    </row>
    <row r="601" spans="1:48" ht="15" customHeight="1">
      <c r="A601" s="18" t="s">
        <v>1686</v>
      </c>
      <c r="B601" s="18" t="s">
        <v>1687</v>
      </c>
      <c r="C601" s="511">
        <v>44610</v>
      </c>
      <c r="D601" s="18" t="s">
        <v>252</v>
      </c>
      <c r="E601" s="18" t="s">
        <v>253</v>
      </c>
      <c r="F601" s="512" t="s">
        <v>1688</v>
      </c>
      <c r="G601" s="39" t="s">
        <v>332</v>
      </c>
      <c r="H601" s="513">
        <v>50000000</v>
      </c>
      <c r="I601" s="41" t="s">
        <v>1697</v>
      </c>
      <c r="J601" s="276" t="str">
        <f>VLOOKUP($I601,'Price List, Weapons &amp; Items'!A:B,2,0)</f>
        <v>Light armaments &amp; infantry</v>
      </c>
      <c r="K601" s="276" t="str">
        <f>IF(I601=".",I601,VLOOKUP($I601,'Price List, Weapons &amp; Items'!A:C,3,0))</f>
        <v>Small Arms and Light Weapons (SALW)</v>
      </c>
      <c r="L601" s="514">
        <f>VLOOKUP(I601,'Price List, Weapons &amp; Items'!A:D,4,0)</f>
        <v>0</v>
      </c>
      <c r="M601" s="515">
        <v>10</v>
      </c>
      <c r="N601" s="515">
        <v>10</v>
      </c>
      <c r="O601" s="516">
        <f>VLOOKUP($I601,'Price List, Weapons &amp; Items'!A:F,6,0)</f>
        <v>12807.38</v>
      </c>
      <c r="P601" s="513">
        <f t="shared" si="129"/>
        <v>128073.79999999999</v>
      </c>
      <c r="Q601" s="513">
        <f t="shared" si="130"/>
        <v>128073.79999999999</v>
      </c>
      <c r="R601" s="513" t="str">
        <f t="shared" si="121"/>
        <v/>
      </c>
      <c r="S601" s="513" t="str">
        <f>IF(AND(AD601=1,R601&lt;&gt;".")=TRUE,R601/VLOOKUP(G601,'Exchange rates'!B:C,2,0),IF(R601=".",".",""))</f>
        <v/>
      </c>
      <c r="T601" s="513" t="str">
        <f>IF(AD601=1,IF(AF601="Value is not given at all",".",IF(AF601="Value is given by the source",S601,IF(AF601="Value is calculated with prices",(IF(SUMIFS(Q:Q,A:A,A601)&gt;0,SUMIFS(Q:Q,A:A,A601),"."))/VLOOKUP("USD",'Exchange rates'!B:C,2,0),"Error with coding"))),"")</f>
        <v/>
      </c>
      <c r="U601" s="39" t="s">
        <v>233</v>
      </c>
      <c r="V601" s="376" t="s">
        <v>1689</v>
      </c>
      <c r="W601" s="376" t="s">
        <v>1690</v>
      </c>
      <c r="X601" s="376" t="s">
        <v>1691</v>
      </c>
      <c r="Y601" s="376" t="s">
        <v>1692</v>
      </c>
      <c r="Z601" s="518">
        <v>0</v>
      </c>
      <c r="AA601" s="518">
        <v>0</v>
      </c>
      <c r="AB601" s="395" t="s">
        <v>1689</v>
      </c>
      <c r="AC601" s="519" t="str">
        <f>""</f>
        <v/>
      </c>
      <c r="AD601" s="520">
        <v>0</v>
      </c>
      <c r="AE601" s="520" t="s">
        <v>236</v>
      </c>
      <c r="AF601" s="520" t="s">
        <v>236</v>
      </c>
      <c r="AG601" s="520">
        <v>1</v>
      </c>
      <c r="AH601" s="520">
        <v>2</v>
      </c>
      <c r="AI601" s="520">
        <v>1</v>
      </c>
      <c r="AJ601" s="520">
        <f>VLOOKUP($I601,'Price List, Weapons &amp; Items'!A:E,5,0)</f>
        <v>0</v>
      </c>
      <c r="AK601" s="520">
        <f t="shared" si="122"/>
        <v>0</v>
      </c>
      <c r="AL601" s="520">
        <f t="shared" si="123"/>
        <v>0</v>
      </c>
      <c r="AM601" s="520">
        <f t="shared" si="124"/>
        <v>0</v>
      </c>
      <c r="AN601" s="521" t="str">
        <f>VLOOKUP($I601,'Price List, Weapons &amp; Items'!A:K,COLUMN('Price List, Weapons &amp; Items'!$I$1),0)</f>
        <v>Military media (incl. websites)</v>
      </c>
      <c r="AO601" s="521" t="str">
        <f>IF(I601=".",".",VLOOKUP($I601,'Price List, Weapons &amp; Items'!A:I,3,0))</f>
        <v>Small Arms and Light Weapons (SALW)</v>
      </c>
      <c r="AP601" s="517" t="str">
        <f t="shared" ca="1" si="131"/>
        <v/>
      </c>
      <c r="AQ601" s="521">
        <f>VLOOKUP($I601,'Price List, Weapons &amp; Items'!A:K,COLUMN('Price List, Weapons &amp; Items'!$K$1),0)</f>
        <v>1</v>
      </c>
      <c r="AS601" s="521">
        <f t="shared" si="125"/>
        <v>1</v>
      </c>
      <c r="AT601" s="521">
        <f t="shared" si="126"/>
        <v>1</v>
      </c>
      <c r="AU601" s="521">
        <f t="shared" si="127"/>
        <v>1</v>
      </c>
      <c r="AV601" s="521" t="str">
        <f t="shared" si="128"/>
        <v>.</v>
      </c>
    </row>
    <row r="602" spans="1:48" ht="15" customHeight="1">
      <c r="A602" s="18" t="s">
        <v>1686</v>
      </c>
      <c r="B602" s="18" t="s">
        <v>1687</v>
      </c>
      <c r="C602" s="511">
        <v>44610</v>
      </c>
      <c r="D602" s="18" t="s">
        <v>252</v>
      </c>
      <c r="E602" s="18" t="s">
        <v>253</v>
      </c>
      <c r="F602" s="512" t="s">
        <v>1688</v>
      </c>
      <c r="G602" s="39" t="s">
        <v>332</v>
      </c>
      <c r="H602" s="513">
        <v>50000000</v>
      </c>
      <c r="I602" s="41" t="s">
        <v>1698</v>
      </c>
      <c r="J602" s="276" t="str">
        <f>VLOOKUP($I602,'Price List, Weapons &amp; Items'!A:B,2,0)</f>
        <v>Light armaments &amp; infantry</v>
      </c>
      <c r="K602" s="276" t="str">
        <f>IF(I602=".",I602,VLOOKUP($I602,'Price List, Weapons &amp; Items'!A:C,3,0))</f>
        <v>Small Arms and Light Weapons (SALW)</v>
      </c>
      <c r="L602" s="514">
        <f>VLOOKUP(I602,'Price List, Weapons &amp; Items'!A:D,4,0)</f>
        <v>0</v>
      </c>
      <c r="M602" s="515">
        <v>90</v>
      </c>
      <c r="N602" s="515">
        <v>90</v>
      </c>
      <c r="O602" s="516">
        <f>VLOOKUP($I602,'Price List, Weapons &amp; Items'!A:F,6,0)</f>
        <v>8374.57</v>
      </c>
      <c r="P602" s="513">
        <f t="shared" si="129"/>
        <v>753711.29999999993</v>
      </c>
      <c r="Q602" s="513">
        <f t="shared" si="130"/>
        <v>753711.29999999993</v>
      </c>
      <c r="R602" s="513" t="str">
        <f t="shared" si="121"/>
        <v/>
      </c>
      <c r="S602" s="513" t="str">
        <f>IF(AND(AD602=1,R602&lt;&gt;".")=TRUE,R602/VLOOKUP(G602,'Exchange rates'!B:C,2,0),IF(R602=".",".",""))</f>
        <v/>
      </c>
      <c r="T602" s="513" t="str">
        <f>IF(AD602=1,IF(AF602="Value is not given at all",".",IF(AF602="Value is given by the source",S602,IF(AF602="Value is calculated with prices",(IF(SUMIFS(Q:Q,A:A,A602)&gt;0,SUMIFS(Q:Q,A:A,A602),"."))/VLOOKUP("USD",'Exchange rates'!B:C,2,0),"Error with coding"))),"")</f>
        <v/>
      </c>
      <c r="U602" s="39" t="s">
        <v>233</v>
      </c>
      <c r="V602" s="376" t="s">
        <v>1689</v>
      </c>
      <c r="W602" s="376" t="s">
        <v>1690</v>
      </c>
      <c r="X602" s="376" t="s">
        <v>1691</v>
      </c>
      <c r="Y602" s="376" t="s">
        <v>1692</v>
      </c>
      <c r="Z602" s="518">
        <v>0</v>
      </c>
      <c r="AA602" s="518">
        <v>0</v>
      </c>
      <c r="AB602" s="395" t="s">
        <v>1689</v>
      </c>
      <c r="AC602" s="519" t="str">
        <f>""</f>
        <v/>
      </c>
      <c r="AD602" s="520">
        <v>0</v>
      </c>
      <c r="AE602" s="520" t="s">
        <v>236</v>
      </c>
      <c r="AF602" s="520" t="s">
        <v>236</v>
      </c>
      <c r="AG602" s="520">
        <v>1</v>
      </c>
      <c r="AH602" s="520">
        <v>2</v>
      </c>
      <c r="AI602" s="520">
        <v>1</v>
      </c>
      <c r="AJ602" s="520">
        <f>VLOOKUP($I602,'Price List, Weapons &amp; Items'!A:E,5,0)</f>
        <v>0</v>
      </c>
      <c r="AK602" s="520">
        <f t="shared" si="122"/>
        <v>0</v>
      </c>
      <c r="AL602" s="520">
        <f t="shared" si="123"/>
        <v>0</v>
      </c>
      <c r="AM602" s="520">
        <f t="shared" si="124"/>
        <v>0</v>
      </c>
      <c r="AN602" s="521" t="str">
        <f>VLOOKUP($I602,'Price List, Weapons &amp; Items'!A:K,COLUMN('Price List, Weapons &amp; Items'!$I$1),0)</f>
        <v>Online marketplaces and stores</v>
      </c>
      <c r="AO602" s="521" t="str">
        <f>IF(I602=".",".",VLOOKUP($I602,'Price List, Weapons &amp; Items'!A:I,3,0))</f>
        <v>Small Arms and Light Weapons (SALW)</v>
      </c>
      <c r="AP602" s="517" t="str">
        <f t="shared" ca="1" si="131"/>
        <v/>
      </c>
      <c r="AQ602" s="521">
        <f>VLOOKUP($I602,'Price List, Weapons &amp; Items'!A:K,COLUMN('Price List, Weapons &amp; Items'!$K$1),0)</f>
        <v>1</v>
      </c>
      <c r="AS602" s="521">
        <f t="shared" si="125"/>
        <v>1</v>
      </c>
      <c r="AT602" s="521">
        <f t="shared" si="126"/>
        <v>1</v>
      </c>
      <c r="AU602" s="521">
        <f t="shared" si="127"/>
        <v>1</v>
      </c>
      <c r="AV602" s="521" t="str">
        <f t="shared" si="128"/>
        <v>.</v>
      </c>
    </row>
    <row r="603" spans="1:48" ht="15" customHeight="1">
      <c r="A603" s="18" t="s">
        <v>1686</v>
      </c>
      <c r="B603" s="18" t="s">
        <v>1687</v>
      </c>
      <c r="C603" s="511">
        <v>44610</v>
      </c>
      <c r="D603" s="18" t="s">
        <v>252</v>
      </c>
      <c r="E603" s="18" t="s">
        <v>253</v>
      </c>
      <c r="F603" s="512" t="s">
        <v>1688</v>
      </c>
      <c r="G603" s="39" t="s">
        <v>332</v>
      </c>
      <c r="H603" s="513">
        <v>50000000</v>
      </c>
      <c r="I603" s="523" t="s">
        <v>1699</v>
      </c>
      <c r="J603" s="276" t="str">
        <f>VLOOKUP($I603,'Price List, Weapons &amp; Items'!A:B,2,0)</f>
        <v>Ammunition for light infantry</v>
      </c>
      <c r="K603" s="276" t="str">
        <f>IF(I603=".",I603,VLOOKUP($I603,'Price List, Weapons &amp; Items'!A:C,3,0))</f>
        <v>Small Arms and Light Weapons (SALW) ammunition</v>
      </c>
      <c r="L603" s="514">
        <f>VLOOKUP(I603,'Price List, Weapons &amp; Items'!A:D,4,0)</f>
        <v>0</v>
      </c>
      <c r="M603" s="515">
        <v>30000</v>
      </c>
      <c r="N603" s="515">
        <v>30000</v>
      </c>
      <c r="O603" s="516">
        <f>VLOOKUP($I603,'Price List, Weapons &amp; Items'!A:F,6,0)</f>
        <v>0.9</v>
      </c>
      <c r="P603" s="513">
        <f t="shared" si="129"/>
        <v>27000</v>
      </c>
      <c r="Q603" s="513">
        <f t="shared" si="130"/>
        <v>27000</v>
      </c>
      <c r="R603" s="513" t="str">
        <f t="shared" si="121"/>
        <v/>
      </c>
      <c r="S603" s="513" t="str">
        <f>IF(AND(AD603=1,R603&lt;&gt;".")=TRUE,R603/VLOOKUP(G603,'Exchange rates'!B:C,2,0),IF(R603=".",".",""))</f>
        <v/>
      </c>
      <c r="T603" s="513" t="str">
        <f>IF(AD603=1,IF(AF603="Value is not given at all",".",IF(AF603="Value is given by the source",S603,IF(AF603="Value is calculated with prices",(IF(SUMIFS(Q:Q,A:A,A603)&gt;0,SUMIFS(Q:Q,A:A,A603),"."))/VLOOKUP("USD",'Exchange rates'!B:C,2,0),"Error with coding"))),"")</f>
        <v/>
      </c>
      <c r="U603" s="39" t="s">
        <v>233</v>
      </c>
      <c r="V603" s="376" t="s">
        <v>1689</v>
      </c>
      <c r="W603" s="376" t="s">
        <v>1690</v>
      </c>
      <c r="X603" s="376" t="s">
        <v>1691</v>
      </c>
      <c r="Y603" s="376" t="s">
        <v>1692</v>
      </c>
      <c r="Z603" s="518">
        <v>0</v>
      </c>
      <c r="AA603" s="518">
        <v>0</v>
      </c>
      <c r="AB603" s="395" t="s">
        <v>1689</v>
      </c>
      <c r="AC603" s="519" t="str">
        <f>""</f>
        <v/>
      </c>
      <c r="AD603" s="520">
        <v>0</v>
      </c>
      <c r="AE603" s="520" t="s">
        <v>236</v>
      </c>
      <c r="AF603" s="520" t="s">
        <v>236</v>
      </c>
      <c r="AG603" s="520">
        <v>1</v>
      </c>
      <c r="AH603" s="520">
        <v>2</v>
      </c>
      <c r="AI603" s="520">
        <v>1</v>
      </c>
      <c r="AJ603" s="520">
        <f>VLOOKUP($I603,'Price List, Weapons &amp; Items'!A:E,5,0)</f>
        <v>0</v>
      </c>
      <c r="AK603" s="520">
        <f t="shared" si="122"/>
        <v>0</v>
      </c>
      <c r="AL603" s="520">
        <f t="shared" si="123"/>
        <v>0</v>
      </c>
      <c r="AM603" s="520">
        <f t="shared" si="124"/>
        <v>1</v>
      </c>
      <c r="AN603" s="521" t="str">
        <f>VLOOKUP($I603,'Price List, Weapons &amp; Items'!A:K,COLUMN('Price List, Weapons &amp; Items'!$I$1),0)</f>
        <v>Online marketplaces and stores</v>
      </c>
      <c r="AO603" s="521" t="str">
        <f>IF(I603=".",".",VLOOKUP($I603,'Price List, Weapons &amp; Items'!A:I,3,0))</f>
        <v>Small Arms and Light Weapons (SALW) ammunition</v>
      </c>
      <c r="AP603" s="517" t="str">
        <f t="shared" ca="1" si="131"/>
        <v/>
      </c>
      <c r="AQ603" s="521">
        <f>VLOOKUP($I603,'Price List, Weapons &amp; Items'!A:K,COLUMN('Price List, Weapons &amp; Items'!$K$1),0)</f>
        <v>1</v>
      </c>
      <c r="AS603" s="521">
        <f t="shared" si="125"/>
        <v>1</v>
      </c>
      <c r="AT603" s="521">
        <f t="shared" si="126"/>
        <v>1</v>
      </c>
      <c r="AU603" s="521">
        <f t="shared" si="127"/>
        <v>1</v>
      </c>
      <c r="AV603" s="521" t="str">
        <f t="shared" si="128"/>
        <v>.</v>
      </c>
    </row>
    <row r="604" spans="1:48" ht="15" customHeight="1">
      <c r="A604" s="18" t="s">
        <v>1686</v>
      </c>
      <c r="B604" s="18" t="s">
        <v>1687</v>
      </c>
      <c r="C604" s="511">
        <v>44618</v>
      </c>
      <c r="D604" s="18" t="s">
        <v>252</v>
      </c>
      <c r="E604" s="18" t="s">
        <v>253</v>
      </c>
      <c r="F604" s="512" t="s">
        <v>1700</v>
      </c>
      <c r="G604" s="39" t="s">
        <v>332</v>
      </c>
      <c r="H604" s="513">
        <v>50000000</v>
      </c>
      <c r="I604" s="523" t="s">
        <v>803</v>
      </c>
      <c r="J604" s="276" t="str">
        <f>VLOOKUP($I604,'Price List, Weapons &amp; Items'!A:B,2,0)</f>
        <v>Portable defence system</v>
      </c>
      <c r="K604" s="276" t="str">
        <f>IF(I604=".",I604,VLOOKUP($I604,'Price List, Weapons &amp; Items'!A:C,3,0))</f>
        <v>MANPADS</v>
      </c>
      <c r="L604" s="514">
        <f>VLOOKUP(I604,'Price List, Weapons &amp; Items'!A:D,4,0)</f>
        <v>0</v>
      </c>
      <c r="M604" s="515">
        <v>50</v>
      </c>
      <c r="N604" s="515">
        <v>50</v>
      </c>
      <c r="O604" s="516">
        <f>VLOOKUP($I604,'Price List, Weapons &amp; Items'!A:F,6,0)</f>
        <v>119000</v>
      </c>
      <c r="P604" s="513">
        <f t="shared" si="129"/>
        <v>5950000</v>
      </c>
      <c r="Q604" s="513">
        <f t="shared" si="130"/>
        <v>5950000</v>
      </c>
      <c r="R604" s="513" t="str">
        <f t="shared" si="121"/>
        <v/>
      </c>
      <c r="S604" s="513" t="str">
        <f>IF(AND(AD604=1,R604&lt;&gt;".")=TRUE,R604/VLOOKUP(G604,'Exchange rates'!B:C,2,0),IF(R604=".",".",""))</f>
        <v/>
      </c>
      <c r="T604" s="513" t="str">
        <f>IF(AD604=1,IF(AF604="Value is not given at all",".",IF(AF604="Value is given by the source",S604,IF(AF604="Value is calculated with prices",(IF(SUMIFS(Q:Q,A:A,A604)&gt;0,SUMIFS(Q:Q,A:A,A604),"."))/VLOOKUP("USD",'Exchange rates'!B:C,2,0),"Error with coding"))),"")</f>
        <v/>
      </c>
      <c r="U604" s="39" t="s">
        <v>233</v>
      </c>
      <c r="V604" s="376" t="s">
        <v>1689</v>
      </c>
      <c r="W604" s="376" t="s">
        <v>1701</v>
      </c>
      <c r="X604" s="376" t="s">
        <v>1702</v>
      </c>
      <c r="Y604" s="376" t="s">
        <v>1703</v>
      </c>
      <c r="Z604" s="518">
        <v>0</v>
      </c>
      <c r="AA604" s="518">
        <v>0</v>
      </c>
      <c r="AB604" s="395" t="s">
        <v>1689</v>
      </c>
      <c r="AC604" s="519" t="str">
        <f>""</f>
        <v/>
      </c>
      <c r="AD604" s="520">
        <v>0</v>
      </c>
      <c r="AE604" s="520" t="s">
        <v>236</v>
      </c>
      <c r="AF604" s="520" t="s">
        <v>236</v>
      </c>
      <c r="AG604" s="520">
        <v>1</v>
      </c>
      <c r="AH604" s="520">
        <v>2</v>
      </c>
      <c r="AI604" s="520">
        <v>0</v>
      </c>
      <c r="AJ604" s="520">
        <f>VLOOKUP($I604,'Price List, Weapons &amp; Items'!A:E,5,0)</f>
        <v>0</v>
      </c>
      <c r="AK604" s="520">
        <f t="shared" si="122"/>
        <v>0</v>
      </c>
      <c r="AL604" s="520">
        <f t="shared" si="123"/>
        <v>0</v>
      </c>
      <c r="AM604" s="520">
        <f t="shared" si="124"/>
        <v>0</v>
      </c>
      <c r="AN604" s="521" t="str">
        <f>VLOOKUP($I604,'Price List, Weapons &amp; Items'!A:K,COLUMN('Price List, Weapons &amp; Items'!$I$1),0)</f>
        <v>Miscellaneous</v>
      </c>
      <c r="AO604" s="521" t="str">
        <f>IF(I604=".",".",VLOOKUP($I604,'Price List, Weapons &amp; Items'!A:I,3,0))</f>
        <v>MANPADS</v>
      </c>
      <c r="AP604" s="517" t="str">
        <f t="shared" ca="1" si="131"/>
        <v/>
      </c>
      <c r="AQ604" s="521">
        <f>VLOOKUP($I604,'Price List, Weapons &amp; Items'!A:K,COLUMN('Price List, Weapons &amp; Items'!$K$1),0)</f>
        <v>2</v>
      </c>
      <c r="AS604" s="521">
        <f t="shared" si="125"/>
        <v>1</v>
      </c>
      <c r="AT604" s="521">
        <f t="shared" si="126"/>
        <v>1</v>
      </c>
      <c r="AU604" s="521">
        <f t="shared" si="127"/>
        <v>1</v>
      </c>
      <c r="AV604" s="521" t="str">
        <f t="shared" si="128"/>
        <v>.</v>
      </c>
    </row>
    <row r="605" spans="1:48" ht="15" customHeight="1">
      <c r="A605" s="18" t="s">
        <v>1686</v>
      </c>
      <c r="B605" s="18" t="s">
        <v>1687</v>
      </c>
      <c r="C605" s="511">
        <v>44618</v>
      </c>
      <c r="D605" s="18" t="s">
        <v>252</v>
      </c>
      <c r="E605" s="18" t="s">
        <v>253</v>
      </c>
      <c r="F605" s="512" t="s">
        <v>1700</v>
      </c>
      <c r="G605" s="39" t="s">
        <v>332</v>
      </c>
      <c r="H605" s="513">
        <v>50000000</v>
      </c>
      <c r="I605" s="41" t="s">
        <v>1327</v>
      </c>
      <c r="J605" s="276" t="str">
        <f>VLOOKUP($I605,'Price List, Weapons &amp; Items'!A:B,2,0)</f>
        <v>Ammunition for portable defence system</v>
      </c>
      <c r="K605" s="276" t="str">
        <f>IF(I605=".",I605,VLOOKUP($I605,'Price List, Weapons &amp; Items'!A:C,3,0))</f>
        <v>MANPADS ammunition</v>
      </c>
      <c r="L605" s="514">
        <f>VLOOKUP(I605,'Price List, Weapons &amp; Items'!A:D,4,0)</f>
        <v>0</v>
      </c>
      <c r="M605" s="515">
        <v>200</v>
      </c>
      <c r="N605" s="515">
        <v>200</v>
      </c>
      <c r="O605" s="516">
        <f>VLOOKUP($I605,'Price List, Weapons &amp; Items'!A:F,6,0)</f>
        <v>480000</v>
      </c>
      <c r="P605" s="513">
        <f t="shared" si="129"/>
        <v>96000000</v>
      </c>
      <c r="Q605" s="513">
        <f t="shared" si="130"/>
        <v>96000000</v>
      </c>
      <c r="R605" s="513" t="str">
        <f t="shared" si="121"/>
        <v/>
      </c>
      <c r="S605" s="513" t="str">
        <f>IF(AND(AD605=1,R605&lt;&gt;".")=TRUE,R605/VLOOKUP(G605,'Exchange rates'!B:C,2,0),IF(R605=".",".",""))</f>
        <v/>
      </c>
      <c r="T605" s="513" t="str">
        <f>IF(AD605=1,IF(AF605="Value is not given at all",".",IF(AF605="Value is given by the source",S605,IF(AF605="Value is calculated with prices",(IF(SUMIFS(Q:Q,A:A,A605)&gt;0,SUMIFS(Q:Q,A:A,A605),"."))/VLOOKUP("USD",'Exchange rates'!B:C,2,0),"Error with coding"))),"")</f>
        <v/>
      </c>
      <c r="U605" s="39" t="s">
        <v>233</v>
      </c>
      <c r="V605" s="376" t="s">
        <v>1689</v>
      </c>
      <c r="W605" s="376" t="s">
        <v>1701</v>
      </c>
      <c r="X605" s="376" t="s">
        <v>1702</v>
      </c>
      <c r="Y605" s="376" t="s">
        <v>1703</v>
      </c>
      <c r="Z605" s="518">
        <v>0</v>
      </c>
      <c r="AA605" s="518">
        <v>0</v>
      </c>
      <c r="AB605" s="395" t="s">
        <v>1689</v>
      </c>
      <c r="AC605" s="519" t="str">
        <f>""</f>
        <v/>
      </c>
      <c r="AD605" s="520">
        <v>0</v>
      </c>
      <c r="AE605" s="520" t="s">
        <v>236</v>
      </c>
      <c r="AF605" s="520" t="s">
        <v>236</v>
      </c>
      <c r="AG605" s="520">
        <v>1</v>
      </c>
      <c r="AH605" s="520">
        <v>2</v>
      </c>
      <c r="AI605" s="520">
        <v>0</v>
      </c>
      <c r="AJ605" s="520">
        <f>VLOOKUP($I605,'Price List, Weapons &amp; Items'!A:E,5,0)</f>
        <v>0</v>
      </c>
      <c r="AK605" s="520">
        <f t="shared" si="122"/>
        <v>0</v>
      </c>
      <c r="AL605" s="520">
        <f t="shared" si="123"/>
        <v>0</v>
      </c>
      <c r="AM605" s="520">
        <f t="shared" si="124"/>
        <v>0</v>
      </c>
      <c r="AN605" s="521" t="str">
        <f>VLOOKUP($I605,'Price List, Weapons &amp; Items'!A:K,COLUMN('Price List, Weapons &amp; Items'!$I$1),0)</f>
        <v>Media reports (incl. social media)</v>
      </c>
      <c r="AO605" s="521" t="str">
        <f>IF(I605=".",".",VLOOKUP($I605,'Price List, Weapons &amp; Items'!A:I,3,0))</f>
        <v>MANPADS ammunition</v>
      </c>
      <c r="AP605" s="517" t="str">
        <f t="shared" ca="1" si="131"/>
        <v/>
      </c>
      <c r="AQ605" s="521">
        <f>VLOOKUP($I605,'Price List, Weapons &amp; Items'!A:K,COLUMN('Price List, Weapons &amp; Items'!$K$1),0)</f>
        <v>2</v>
      </c>
      <c r="AS605" s="521">
        <f t="shared" si="125"/>
        <v>1</v>
      </c>
      <c r="AT605" s="521">
        <f t="shared" si="126"/>
        <v>1</v>
      </c>
      <c r="AU605" s="521">
        <f t="shared" si="127"/>
        <v>1</v>
      </c>
      <c r="AV605" s="521" t="str">
        <f t="shared" si="128"/>
        <v>.</v>
      </c>
    </row>
    <row r="606" spans="1:48" ht="15" customHeight="1">
      <c r="A606" s="18" t="s">
        <v>1686</v>
      </c>
      <c r="B606" s="18" t="s">
        <v>1687</v>
      </c>
      <c r="C606" s="511">
        <v>44618</v>
      </c>
      <c r="D606" s="18" t="s">
        <v>252</v>
      </c>
      <c r="E606" s="18" t="s">
        <v>253</v>
      </c>
      <c r="F606" s="512" t="s">
        <v>1700</v>
      </c>
      <c r="G606" s="39" t="s">
        <v>332</v>
      </c>
      <c r="H606" s="513">
        <v>50000000</v>
      </c>
      <c r="I606" s="41" t="s">
        <v>1239</v>
      </c>
      <c r="J606" s="276" t="str">
        <f>VLOOKUP($I606,'Price List, Weapons &amp; Items'!A:B,2,0)</f>
        <v>Portable defence system</v>
      </c>
      <c r="K606" s="276" t="str">
        <f>IF(I606=".",I606,VLOOKUP($I606,'Price List, Weapons &amp; Items'!A:C,3,0))</f>
        <v>Light Anti-armor Weapon (LAW)</v>
      </c>
      <c r="L606" s="514">
        <f>VLOOKUP(I606,'Price List, Weapons &amp; Items'!A:D,4,0)</f>
        <v>0</v>
      </c>
      <c r="M606" s="515">
        <v>50</v>
      </c>
      <c r="N606" s="515">
        <v>50</v>
      </c>
      <c r="O606" s="516">
        <f>VLOOKUP($I606,'Price List, Weapons &amp; Items'!A:F,6,0)</f>
        <v>11108</v>
      </c>
      <c r="P606" s="513">
        <f t="shared" si="129"/>
        <v>555400</v>
      </c>
      <c r="Q606" s="513">
        <f t="shared" si="130"/>
        <v>555400</v>
      </c>
      <c r="R606" s="513" t="str">
        <f t="shared" si="121"/>
        <v/>
      </c>
      <c r="S606" s="513" t="str">
        <f>IF(AND(AD606=1,R606&lt;&gt;".")=TRUE,R606/VLOOKUP(G606,'Exchange rates'!B:C,2,0),IF(R606=".",".",""))</f>
        <v/>
      </c>
      <c r="T606" s="513" t="str">
        <f>IF(AD606=1,IF(AF606="Value is not given at all",".",IF(AF606="Value is given by the source",S606,IF(AF606="Value is calculated with prices",(IF(SUMIFS(Q:Q,A:A,A606)&gt;0,SUMIFS(Q:Q,A:A,A606),"."))/VLOOKUP("USD",'Exchange rates'!B:C,2,0),"Error with coding"))),"")</f>
        <v/>
      </c>
      <c r="U606" s="39" t="s">
        <v>233</v>
      </c>
      <c r="V606" s="376" t="s">
        <v>1689</v>
      </c>
      <c r="W606" s="376" t="s">
        <v>1701</v>
      </c>
      <c r="X606" s="376" t="s">
        <v>1702</v>
      </c>
      <c r="Y606" s="376" t="s">
        <v>1703</v>
      </c>
      <c r="Z606" s="518">
        <v>0</v>
      </c>
      <c r="AA606" s="518">
        <v>0</v>
      </c>
      <c r="AB606" s="395" t="s">
        <v>1689</v>
      </c>
      <c r="AC606" s="519" t="str">
        <f>""</f>
        <v/>
      </c>
      <c r="AD606" s="520">
        <v>0</v>
      </c>
      <c r="AE606" s="520" t="s">
        <v>236</v>
      </c>
      <c r="AF606" s="520" t="s">
        <v>236</v>
      </c>
      <c r="AG606" s="520">
        <v>1</v>
      </c>
      <c r="AH606" s="520">
        <v>2</v>
      </c>
      <c r="AI606" s="520">
        <v>0</v>
      </c>
      <c r="AJ606" s="520">
        <f>VLOOKUP($I606,'Price List, Weapons &amp; Items'!A:E,5,0)</f>
        <v>0</v>
      </c>
      <c r="AK606" s="520">
        <f t="shared" si="122"/>
        <v>0</v>
      </c>
      <c r="AL606" s="520">
        <f t="shared" si="123"/>
        <v>0</v>
      </c>
      <c r="AM606" s="520">
        <f t="shared" si="124"/>
        <v>0</v>
      </c>
      <c r="AN606" s="521" t="str">
        <f>VLOOKUP($I606,'Price List, Weapons &amp; Items'!A:K,COLUMN('Price List, Weapons &amp; Items'!$I$1),0)</f>
        <v>Military media (incl. websites)</v>
      </c>
      <c r="AO606" s="521" t="str">
        <f>IF(I606=".",".",VLOOKUP($I606,'Price List, Weapons &amp; Items'!A:I,3,0))</f>
        <v>Light Anti-armor Weapon (LAW)</v>
      </c>
      <c r="AP606" s="517" t="str">
        <f t="shared" ca="1" si="131"/>
        <v/>
      </c>
      <c r="AQ606" s="521">
        <f>VLOOKUP($I606,'Price List, Weapons &amp; Items'!A:K,COLUMN('Price List, Weapons &amp; Items'!$K$1),0)</f>
        <v>2</v>
      </c>
      <c r="AS606" s="521">
        <f t="shared" si="125"/>
        <v>1</v>
      </c>
      <c r="AT606" s="521">
        <f t="shared" si="126"/>
        <v>1</v>
      </c>
      <c r="AU606" s="521">
        <f t="shared" si="127"/>
        <v>1</v>
      </c>
      <c r="AV606" s="521" t="str">
        <f t="shared" si="128"/>
        <v>.</v>
      </c>
    </row>
    <row r="607" spans="1:48" ht="15" customHeight="1">
      <c r="A607" s="18" t="s">
        <v>1686</v>
      </c>
      <c r="B607" s="18" t="s">
        <v>1687</v>
      </c>
      <c r="C607" s="511">
        <v>44618</v>
      </c>
      <c r="D607" s="18" t="s">
        <v>252</v>
      </c>
      <c r="E607" s="18" t="s">
        <v>253</v>
      </c>
      <c r="F607" s="512" t="s">
        <v>1700</v>
      </c>
      <c r="G607" s="39" t="s">
        <v>332</v>
      </c>
      <c r="H607" s="513">
        <v>50000000</v>
      </c>
      <c r="I607" s="41" t="s">
        <v>1704</v>
      </c>
      <c r="J607" s="276" t="str">
        <f>VLOOKUP($I607,'Price List, Weapons &amp; Items'!A:B,2,0)</f>
        <v>Ammunition for portable defence system</v>
      </c>
      <c r="K607" s="276" t="str">
        <f>IF(I607=".",I607,VLOOKUP($I607,'Price List, Weapons &amp; Items'!A:C,3,0))</f>
        <v>Light Anti-armor Weapon (LAW) ammunition</v>
      </c>
      <c r="L607" s="514">
        <f>VLOOKUP(I607,'Price List, Weapons &amp; Items'!A:D,4,0)</f>
        <v>0</v>
      </c>
      <c r="M607" s="515">
        <v>400</v>
      </c>
      <c r="N607" s="515">
        <v>400</v>
      </c>
      <c r="O607" s="516">
        <f>VLOOKUP($I607,'Price List, Weapons &amp; Items'!A:F,6,0)</f>
        <v>297</v>
      </c>
      <c r="P607" s="513">
        <f t="shared" si="129"/>
        <v>118800</v>
      </c>
      <c r="Q607" s="513">
        <f t="shared" si="130"/>
        <v>118800</v>
      </c>
      <c r="R607" s="513" t="str">
        <f t="shared" si="121"/>
        <v/>
      </c>
      <c r="S607" s="513" t="str">
        <f>IF(AND(AD607=1,R607&lt;&gt;".")=TRUE,R607/VLOOKUP(G607,'Exchange rates'!B:C,2,0),IF(R607=".",".",""))</f>
        <v/>
      </c>
      <c r="T607" s="513" t="str">
        <f>IF(AD607=1,IF(AF607="Value is not given at all",".",IF(AF607="Value is given by the source",S607,IF(AF607="Value is calculated with prices",(IF(SUMIFS(Q:Q,A:A,A607)&gt;0,SUMIFS(Q:Q,A:A,A607),"."))/VLOOKUP("USD",'Exchange rates'!B:C,2,0),"Error with coding"))),"")</f>
        <v/>
      </c>
      <c r="U607" s="39" t="s">
        <v>233</v>
      </c>
      <c r="V607" s="376" t="s">
        <v>1689</v>
      </c>
      <c r="W607" s="376" t="s">
        <v>1701</v>
      </c>
      <c r="X607" s="376" t="s">
        <v>1702</v>
      </c>
      <c r="Y607" s="376" t="s">
        <v>1703</v>
      </c>
      <c r="Z607" s="518">
        <v>0</v>
      </c>
      <c r="AA607" s="518">
        <v>0</v>
      </c>
      <c r="AB607" s="395" t="s">
        <v>1689</v>
      </c>
      <c r="AC607" s="519" t="str">
        <f>""</f>
        <v/>
      </c>
      <c r="AD607" s="520">
        <v>0</v>
      </c>
      <c r="AE607" s="520" t="s">
        <v>236</v>
      </c>
      <c r="AF607" s="520" t="s">
        <v>236</v>
      </c>
      <c r="AG607" s="520">
        <v>1</v>
      </c>
      <c r="AH607" s="520">
        <v>2</v>
      </c>
      <c r="AI607" s="520">
        <v>0</v>
      </c>
      <c r="AJ607" s="520">
        <f>VLOOKUP($I607,'Price List, Weapons &amp; Items'!A:E,5,0)</f>
        <v>0</v>
      </c>
      <c r="AK607" s="520">
        <f t="shared" si="122"/>
        <v>0</v>
      </c>
      <c r="AL607" s="520">
        <f t="shared" si="123"/>
        <v>0</v>
      </c>
      <c r="AM607" s="520">
        <f t="shared" si="124"/>
        <v>0</v>
      </c>
      <c r="AN607" s="521" t="str">
        <f>VLOOKUP($I607,'Price List, Weapons &amp; Items'!A:K,COLUMN('Price List, Weapons &amp; Items'!$I$1),0)</f>
        <v>Miscellaneous</v>
      </c>
      <c r="AO607" s="521" t="str">
        <f>IF(I607=".",".",VLOOKUP($I607,'Price List, Weapons &amp; Items'!A:I,3,0))</f>
        <v>Light Anti-armor Weapon (LAW) ammunition</v>
      </c>
      <c r="AP607" s="517" t="str">
        <f t="shared" ca="1" si="131"/>
        <v/>
      </c>
      <c r="AQ607" s="521">
        <f>VLOOKUP($I607,'Price List, Weapons &amp; Items'!A:K,COLUMN('Price List, Weapons &amp; Items'!$K$1),0)</f>
        <v>1</v>
      </c>
      <c r="AS607" s="521">
        <f t="shared" si="125"/>
        <v>1</v>
      </c>
      <c r="AT607" s="521">
        <f t="shared" si="126"/>
        <v>1</v>
      </c>
      <c r="AU607" s="521">
        <f t="shared" si="127"/>
        <v>1</v>
      </c>
      <c r="AV607" s="521" t="str">
        <f t="shared" si="128"/>
        <v>.</v>
      </c>
    </row>
    <row r="608" spans="1:48" ht="15" customHeight="1">
      <c r="A608" s="18" t="s">
        <v>1686</v>
      </c>
      <c r="B608" s="18" t="s">
        <v>1687</v>
      </c>
      <c r="C608" s="511">
        <v>44636</v>
      </c>
      <c r="D608" s="18" t="s">
        <v>252</v>
      </c>
      <c r="E608" s="18" t="s">
        <v>307</v>
      </c>
      <c r="F608" s="512" t="s">
        <v>1705</v>
      </c>
      <c r="G608" s="39" t="s">
        <v>332</v>
      </c>
      <c r="H608" s="513">
        <v>50000000</v>
      </c>
      <c r="I608" s="41" t="s">
        <v>232</v>
      </c>
      <c r="J608" s="276" t="str">
        <f>VLOOKUP($I608,'Price List, Weapons &amp; Items'!A:B,2,0)</f>
        <v>.</v>
      </c>
      <c r="K608" s="276" t="str">
        <f>IF(I608=".",I608,VLOOKUP($I608,'Price List, Weapons &amp; Items'!A:C,3,0))</f>
        <v>.</v>
      </c>
      <c r="L608" s="514">
        <f>VLOOKUP(I608,'Price List, Weapons &amp; Items'!A:D,4,0)</f>
        <v>0</v>
      </c>
      <c r="M608" s="515" t="s">
        <v>232</v>
      </c>
      <c r="N608" s="515" t="s">
        <v>232</v>
      </c>
      <c r="O608" s="516" t="str">
        <f>VLOOKUP($I608,'Price List, Weapons &amp; Items'!A:F,6,0)</f>
        <v>.</v>
      </c>
      <c r="P608" s="513" t="str">
        <f t="shared" si="129"/>
        <v>.</v>
      </c>
      <c r="Q608" s="513" t="str">
        <f t="shared" si="130"/>
        <v>.</v>
      </c>
      <c r="R608" s="513" t="str">
        <f t="shared" si="121"/>
        <v/>
      </c>
      <c r="S608" s="513" t="str">
        <f>IF(AND(AD608=1,R608&lt;&gt;".")=TRUE,R608/VLOOKUP(G608,'Exchange rates'!B:C,2,0),IF(R608=".",".",""))</f>
        <v/>
      </c>
      <c r="T608" s="513" t="str">
        <f>IF(AD608=1,IF(AF608="Value is not given at all",".",IF(AF608="Value is given by the source",S608,IF(AF608="Value is calculated with prices",(IF(SUMIFS(Q:Q,A:A,A608)&gt;0,SUMIFS(Q:Q,A:A,A608),"."))/VLOOKUP("USD",'Exchange rates'!B:C,2,0),"Error with coding"))),"")</f>
        <v/>
      </c>
      <c r="U608" s="39" t="s">
        <v>233</v>
      </c>
      <c r="V608" s="376" t="s">
        <v>1689</v>
      </c>
      <c r="W608" s="42" t="s">
        <v>1706</v>
      </c>
      <c r="X608" s="517" t="s">
        <v>232</v>
      </c>
      <c r="Y608" s="42" t="s">
        <v>1703</v>
      </c>
      <c r="Z608" s="518">
        <v>0</v>
      </c>
      <c r="AA608" s="518">
        <v>0</v>
      </c>
      <c r="AB608" s="395" t="s">
        <v>1689</v>
      </c>
      <c r="AC608" s="519" t="str">
        <f>""</f>
        <v/>
      </c>
      <c r="AD608" s="520">
        <v>0</v>
      </c>
      <c r="AE608" s="520" t="s">
        <v>236</v>
      </c>
      <c r="AF608" s="520" t="s">
        <v>236</v>
      </c>
      <c r="AG608" s="520">
        <v>1</v>
      </c>
      <c r="AH608" s="520">
        <v>3</v>
      </c>
      <c r="AI608" s="520">
        <v>0</v>
      </c>
      <c r="AJ608" s="520">
        <f>VLOOKUP($I608,'Price List, Weapons &amp; Items'!A:E,5,0)</f>
        <v>0</v>
      </c>
      <c r="AK608" s="520">
        <f t="shared" si="122"/>
        <v>0</v>
      </c>
      <c r="AL608" s="520">
        <f t="shared" si="123"/>
        <v>0</v>
      </c>
      <c r="AM608" s="520">
        <f t="shared" si="124"/>
        <v>0</v>
      </c>
      <c r="AN608" s="521" t="str">
        <f>VLOOKUP($I608,'Price List, Weapons &amp; Items'!A:K,COLUMN('Price List, Weapons &amp; Items'!$I$1),0)</f>
        <v>.</v>
      </c>
      <c r="AO608" s="521" t="str">
        <f>IF(I608=".",".",VLOOKUP($I608,'Price List, Weapons &amp; Items'!A:I,3,0))</f>
        <v>.</v>
      </c>
      <c r="AP608" s="517" t="str">
        <f t="shared" ca="1" si="131"/>
        <v/>
      </c>
      <c r="AQ608" s="521" t="str">
        <f>VLOOKUP($I608,'Price List, Weapons &amp; Items'!A:K,COLUMN('Price List, Weapons &amp; Items'!$K$1),0)</f>
        <v>no price, 0 count</v>
      </c>
      <c r="AS608" s="521">
        <f t="shared" si="125"/>
        <v>1</v>
      </c>
      <c r="AT608" s="521">
        <f t="shared" si="126"/>
        <v>1</v>
      </c>
      <c r="AU608" s="521">
        <f t="shared" si="127"/>
        <v>1</v>
      </c>
      <c r="AV608" s="521" t="str">
        <f t="shared" si="128"/>
        <v>.</v>
      </c>
    </row>
    <row r="609" spans="1:48" ht="15" customHeight="1">
      <c r="A609" s="18" t="s">
        <v>1686</v>
      </c>
      <c r="B609" s="18" t="s">
        <v>1687</v>
      </c>
      <c r="C609" s="511">
        <v>44670</v>
      </c>
      <c r="D609" s="18" t="s">
        <v>252</v>
      </c>
      <c r="E609" s="18" t="s">
        <v>261</v>
      </c>
      <c r="F609" s="512" t="s">
        <v>1707</v>
      </c>
      <c r="G609" s="39" t="s">
        <v>332</v>
      </c>
      <c r="H609" s="513">
        <v>50000000</v>
      </c>
      <c r="I609" s="41" t="s">
        <v>1708</v>
      </c>
      <c r="J609" s="276" t="str">
        <f>VLOOKUP($I609,'Price List, Weapons &amp; Items'!A:B,2,0)</f>
        <v>Heavy weapon</v>
      </c>
      <c r="K609" s="276" t="str">
        <f>IF(I609=".",I609,VLOOKUP($I609,'Price List, Weapons &amp; Items'!A:C,3,0))</f>
        <v>Infantry fighting vehicle (IFV)</v>
      </c>
      <c r="L609" s="514">
        <f>VLOOKUP(I609,'Price List, Weapons &amp; Items'!A:D,4,0)</f>
        <v>0</v>
      </c>
      <c r="M609" s="515" t="s">
        <v>264</v>
      </c>
      <c r="N609" s="515" t="s">
        <v>264</v>
      </c>
      <c r="O609" s="516">
        <f>VLOOKUP($I609,'Price List, Weapons &amp; Items'!A:F,6,0)</f>
        <v>334029</v>
      </c>
      <c r="P609" s="513" t="str">
        <f t="shared" si="129"/>
        <v>.</v>
      </c>
      <c r="Q609" s="513" t="str">
        <f t="shared" si="130"/>
        <v>.</v>
      </c>
      <c r="R609" s="513" t="str">
        <f t="shared" si="121"/>
        <v/>
      </c>
      <c r="S609" s="513" t="str">
        <f>IF(AND(AD609=1,R609&lt;&gt;".")=TRUE,R609/VLOOKUP(G609,'Exchange rates'!B:C,2,0),IF(R609=".",".",""))</f>
        <v/>
      </c>
      <c r="T609" s="513" t="str">
        <f>IF(AD609=1,IF(AF609="Value is not given at all",".",IF(AF609="Value is given by the source",S609,IF(AF609="Value is calculated with prices",(IF(SUMIFS(Q:Q,A:A,A609)&gt;0,SUMIFS(Q:Q,A:A,A609),"."))/VLOOKUP("USD",'Exchange rates'!B:C,2,0),"Error with coding"))),"")</f>
        <v/>
      </c>
      <c r="U609" s="39" t="s">
        <v>233</v>
      </c>
      <c r="V609" s="376" t="s">
        <v>1689</v>
      </c>
      <c r="W609" s="42" t="s">
        <v>1709</v>
      </c>
      <c r="X609" s="42" t="s">
        <v>1710</v>
      </c>
      <c r="Y609" s="42" t="s">
        <v>232</v>
      </c>
      <c r="Z609" s="518">
        <v>0</v>
      </c>
      <c r="AA609" s="518">
        <v>0</v>
      </c>
      <c r="AB609" s="395" t="s">
        <v>1711</v>
      </c>
      <c r="AC609" s="519" t="str">
        <f>""</f>
        <v/>
      </c>
      <c r="AD609" s="520">
        <v>0</v>
      </c>
      <c r="AE609" s="520" t="s">
        <v>236</v>
      </c>
      <c r="AF609" s="520" t="s">
        <v>236</v>
      </c>
      <c r="AG609" s="520">
        <v>1</v>
      </c>
      <c r="AH609" s="520">
        <v>4</v>
      </c>
      <c r="AI609" s="520">
        <v>0</v>
      </c>
      <c r="AJ609" s="520">
        <f>VLOOKUP($I609,'Price List, Weapons &amp; Items'!A:E,5,0)</f>
        <v>1</v>
      </c>
      <c r="AK609" s="520">
        <f t="shared" si="122"/>
        <v>1</v>
      </c>
      <c r="AL609" s="520">
        <f t="shared" si="123"/>
        <v>1</v>
      </c>
      <c r="AM609" s="520">
        <f t="shared" si="124"/>
        <v>0</v>
      </c>
      <c r="AN609" s="521" t="str">
        <f>VLOOKUP($I609,'Price List, Weapons &amp; Items'!A:K,COLUMN('Price List, Weapons &amp; Items'!$I$1),0)</f>
        <v>Contracts</v>
      </c>
      <c r="AO609" s="521" t="str">
        <f>IF(I609=".",".",VLOOKUP($I609,'Price List, Weapons &amp; Items'!A:I,3,0))</f>
        <v>Infantry fighting vehicle (IFV)</v>
      </c>
      <c r="AP609" s="517" t="str">
        <f t="shared" ca="1" si="131"/>
        <v/>
      </c>
      <c r="AQ609" s="521" t="str">
        <f>VLOOKUP($I609,'Price List, Weapons &amp; Items'!A:K,COLUMN('Price List, Weapons &amp; Items'!$K$1),0)</f>
        <v>no price, 0 count</v>
      </c>
      <c r="AS609" s="521">
        <f t="shared" si="125"/>
        <v>1</v>
      </c>
      <c r="AT609" s="521">
        <f t="shared" si="126"/>
        <v>1</v>
      </c>
      <c r="AU609" s="521">
        <f t="shared" si="127"/>
        <v>1</v>
      </c>
      <c r="AV609" s="521" t="str">
        <f t="shared" si="128"/>
        <v>.</v>
      </c>
    </row>
    <row r="610" spans="1:48" ht="15" customHeight="1">
      <c r="A610" s="18" t="s">
        <v>1686</v>
      </c>
      <c r="B610" s="18" t="s">
        <v>1687</v>
      </c>
      <c r="C610" s="511" t="s">
        <v>1712</v>
      </c>
      <c r="D610" s="18" t="s">
        <v>252</v>
      </c>
      <c r="E610" s="18" t="s">
        <v>261</v>
      </c>
      <c r="F610" s="512" t="s">
        <v>1713</v>
      </c>
      <c r="G610" s="39" t="s">
        <v>332</v>
      </c>
      <c r="H610" s="513">
        <v>50000000</v>
      </c>
      <c r="I610" s="41" t="s">
        <v>859</v>
      </c>
      <c r="J610" s="276" t="str">
        <f>VLOOKUP($I610,'Price List, Weapons &amp; Items'!A:B,2,0)</f>
        <v>Aviation and drones</v>
      </c>
      <c r="K610" s="276" t="str">
        <f>IF(I610=".",I610,VLOOKUP($I610,'Price List, Weapons &amp; Items'!A:C,3,0))</f>
        <v>unknown drone</v>
      </c>
      <c r="L610" s="514">
        <f>VLOOKUP(I610,'Price List, Weapons &amp; Items'!A:D,4,0)</f>
        <v>0</v>
      </c>
      <c r="M610" s="515" t="s">
        <v>264</v>
      </c>
      <c r="N610" s="515" t="s">
        <v>264</v>
      </c>
      <c r="O610" s="516">
        <f>VLOOKUP($I610,'Price List, Weapons &amp; Items'!A:F,6,0)</f>
        <v>6000</v>
      </c>
      <c r="P610" s="513" t="str">
        <f t="shared" si="129"/>
        <v>.</v>
      </c>
      <c r="Q610" s="513" t="str">
        <f t="shared" si="130"/>
        <v>.</v>
      </c>
      <c r="R610" s="513" t="str">
        <f t="shared" si="121"/>
        <v/>
      </c>
      <c r="S610" s="513" t="str">
        <f>IF(AND(AD610=1,R610&lt;&gt;".")=TRUE,R610/VLOOKUP(G610,'Exchange rates'!B:C,2,0),IF(R610=".",".",""))</f>
        <v/>
      </c>
      <c r="T610" s="513" t="str">
        <f>IF(AD610=1,IF(AF610="Value is not given at all",".",IF(AF610="Value is given by the source",S610,IF(AF610="Value is calculated with prices",(IF(SUMIFS(Q:Q,A:A,A610)&gt;0,SUMIFS(Q:Q,A:A,A610),"."))/VLOOKUP("USD",'Exchange rates'!B:C,2,0),"Error with coding"))),"")</f>
        <v/>
      </c>
      <c r="U610" s="39" t="s">
        <v>233</v>
      </c>
      <c r="V610" s="376" t="s">
        <v>1689</v>
      </c>
      <c r="W610" s="517" t="s">
        <v>1714</v>
      </c>
      <c r="X610" s="517" t="s">
        <v>232</v>
      </c>
      <c r="Y610" s="517" t="s">
        <v>232</v>
      </c>
      <c r="Z610" s="518">
        <v>0</v>
      </c>
      <c r="AA610" s="518">
        <v>0</v>
      </c>
      <c r="AB610" s="42" t="s">
        <v>1711</v>
      </c>
      <c r="AC610" s="519" t="str">
        <f>""</f>
        <v/>
      </c>
      <c r="AD610" s="520">
        <v>0</v>
      </c>
      <c r="AE610" s="520" t="s">
        <v>236</v>
      </c>
      <c r="AF610" s="520" t="s">
        <v>236</v>
      </c>
      <c r="AG610" s="520">
        <v>0</v>
      </c>
      <c r="AH610" s="520">
        <v>0</v>
      </c>
      <c r="AI610" s="520">
        <v>0</v>
      </c>
      <c r="AJ610" s="520">
        <f>VLOOKUP($I610,'Price List, Weapons &amp; Items'!A:E,5,0)</f>
        <v>0</v>
      </c>
      <c r="AK610" s="520">
        <f t="shared" si="122"/>
        <v>0</v>
      </c>
      <c r="AL610" s="520">
        <f t="shared" si="123"/>
        <v>0</v>
      </c>
      <c r="AM610" s="520">
        <f t="shared" si="124"/>
        <v>0</v>
      </c>
      <c r="AN610" s="521" t="str">
        <f>VLOOKUP($I610,'Price List, Weapons &amp; Items'!A:K,COLUMN('Price List, Weapons &amp; Items'!$I$1),0)</f>
        <v>Miscellaneous</v>
      </c>
      <c r="AO610" s="521" t="str">
        <f>IF(I610=".",".",VLOOKUP($I610,'Price List, Weapons &amp; Items'!A:I,3,0))</f>
        <v>unknown drone</v>
      </c>
      <c r="AP610" s="517" t="str">
        <f t="shared" ca="1" si="131"/>
        <v/>
      </c>
      <c r="AQ610" s="521">
        <f>VLOOKUP($I610,'Price List, Weapons &amp; Items'!A:K,COLUMN('Price List, Weapons &amp; Items'!$K$1),0)</f>
        <v>1</v>
      </c>
      <c r="AS610" s="521">
        <f t="shared" si="125"/>
        <v>1</v>
      </c>
      <c r="AT610" s="521">
        <f t="shared" si="126"/>
        <v>1</v>
      </c>
      <c r="AU610" s="521" t="str">
        <f t="shared" si="127"/>
        <v>Value is not in date format</v>
      </c>
      <c r="AV610" s="521" t="str">
        <f t="shared" si="128"/>
        <v>.</v>
      </c>
    </row>
    <row r="611" spans="1:48" ht="15" customHeight="1">
      <c r="A611" s="18" t="s">
        <v>1715</v>
      </c>
      <c r="B611" s="18" t="s">
        <v>1687</v>
      </c>
      <c r="C611" s="511">
        <v>44670</v>
      </c>
      <c r="D611" s="18" t="s">
        <v>252</v>
      </c>
      <c r="E611" s="18" t="s">
        <v>307</v>
      </c>
      <c r="F611" s="512" t="s">
        <v>1716</v>
      </c>
      <c r="G611" s="39" t="s">
        <v>314</v>
      </c>
      <c r="H611" s="513" t="s">
        <v>309</v>
      </c>
      <c r="I611" s="41" t="s">
        <v>1240</v>
      </c>
      <c r="J611" s="276" t="str">
        <f>VLOOKUP($I611,'Price List, Weapons &amp; Items'!A:B,2,0)</f>
        <v>Heavy weapon</v>
      </c>
      <c r="K611" s="276" t="str">
        <f>IF(I611=".",I611,VLOOKUP($I611,'Price List, Weapons &amp; Items'!A:C,3,0))</f>
        <v>155mm howitzer</v>
      </c>
      <c r="L611" s="514">
        <f>VLOOKUP(I611,'Price List, Weapons &amp; Items'!A:D,4,0)</f>
        <v>0</v>
      </c>
      <c r="M611" s="515">
        <v>5</v>
      </c>
      <c r="N611" s="515">
        <v>5</v>
      </c>
      <c r="O611" s="516">
        <f>VLOOKUP($I611,'Price List, Weapons &amp; Items'!A:F,6,0)</f>
        <v>13778907.188501142</v>
      </c>
      <c r="P611" s="513">
        <f t="shared" si="129"/>
        <v>68894535.942505717</v>
      </c>
      <c r="Q611" s="513">
        <f t="shared" si="130"/>
        <v>68894535.942505717</v>
      </c>
      <c r="R611" s="513">
        <f t="shared" si="121"/>
        <v>68894535.942505717</v>
      </c>
      <c r="S611" s="513">
        <f>IF(AND(AD611=1,R611&lt;&gt;".")=TRUE,R611/VLOOKUP(G611,'Exchange rates'!B:C,2,0),IF(R611=".",".",""))</f>
        <v>68654246.081221431</v>
      </c>
      <c r="T611" s="513">
        <f>IF(AD611=1,IF(AF611="Value is not given at all",".",IF(AF611="Value is given by the source",S611,IF(AF611="Value is calculated with prices",(IF(SUMIFS(Q:Q,A:A,A611)&gt;0,SUMIFS(Q:Q,A:A,A611),"."))/VLOOKUP("USD",'Exchange rates'!B:C,2,0),"Error with coding"))),"")</f>
        <v>68654246.081221431</v>
      </c>
      <c r="U611" s="39" t="s">
        <v>233</v>
      </c>
      <c r="V611" s="376" t="s">
        <v>1709</v>
      </c>
      <c r="W611" s="376" t="s">
        <v>1717</v>
      </c>
      <c r="X611" s="376" t="s">
        <v>1710</v>
      </c>
      <c r="Y611" s="530" t="s">
        <v>232</v>
      </c>
      <c r="Z611" s="39">
        <v>0</v>
      </c>
      <c r="AA611" s="518">
        <v>0</v>
      </c>
      <c r="AB611" s="394" t="s">
        <v>1718</v>
      </c>
      <c r="AC611" s="519" t="str">
        <f>""</f>
        <v/>
      </c>
      <c r="AD611" s="520">
        <v>1</v>
      </c>
      <c r="AE611" s="520" t="s">
        <v>300</v>
      </c>
      <c r="AF611" s="520" t="s">
        <v>300</v>
      </c>
      <c r="AG611" s="520">
        <v>1</v>
      </c>
      <c r="AH611" s="520">
        <v>4</v>
      </c>
      <c r="AI611" s="520">
        <v>0</v>
      </c>
      <c r="AJ611" s="520">
        <f>VLOOKUP($I611,'Price List, Weapons &amp; Items'!A:E,5,0)</f>
        <v>1</v>
      </c>
      <c r="AK611" s="520">
        <f t="shared" si="122"/>
        <v>0</v>
      </c>
      <c r="AL611" s="520">
        <f t="shared" si="123"/>
        <v>0</v>
      </c>
      <c r="AM611" s="520">
        <f t="shared" si="124"/>
        <v>0</v>
      </c>
      <c r="AN611" s="521" t="str">
        <f>VLOOKUP($I611,'Price List, Weapons &amp; Items'!A:K,COLUMN('Price List, Weapons &amp; Items'!$I$1),0)</f>
        <v>Contracts</v>
      </c>
      <c r="AO611" s="521" t="str">
        <f>IF(I611=".",".",VLOOKUP($I611,'Price List, Weapons &amp; Items'!A:I,3,0))</f>
        <v>155mm howitzer</v>
      </c>
      <c r="AP611" s="517" t="str">
        <f t="shared" ca="1" si="131"/>
        <v>Panzerhaubitze 2000; YPR-765 infantry vehicle</v>
      </c>
      <c r="AQ611" s="521">
        <f>VLOOKUP($I611,'Price List, Weapons &amp; Items'!A:K,COLUMN('Price List, Weapons &amp; Items'!$K$1),0)</f>
        <v>2</v>
      </c>
      <c r="AS611" s="521">
        <f t="shared" si="125"/>
        <v>1</v>
      </c>
      <c r="AT611" s="521">
        <f t="shared" si="126"/>
        <v>1</v>
      </c>
      <c r="AU611" s="521">
        <f t="shared" si="127"/>
        <v>1</v>
      </c>
      <c r="AV611" s="521" t="str">
        <f t="shared" si="128"/>
        <v>.</v>
      </c>
    </row>
    <row r="612" spans="1:48" ht="15" customHeight="1">
      <c r="A612" s="18" t="s">
        <v>1715</v>
      </c>
      <c r="B612" s="18" t="s">
        <v>1687</v>
      </c>
      <c r="C612" s="511">
        <v>44670</v>
      </c>
      <c r="D612" s="18" t="s">
        <v>252</v>
      </c>
      <c r="E612" s="18" t="s">
        <v>307</v>
      </c>
      <c r="F612" s="512" t="s">
        <v>1716</v>
      </c>
      <c r="G612" s="39" t="s">
        <v>314</v>
      </c>
      <c r="H612" s="513" t="s">
        <v>309</v>
      </c>
      <c r="I612" s="41" t="s">
        <v>1708</v>
      </c>
      <c r="J612" s="276" t="str">
        <f>VLOOKUP($I612,'Price List, Weapons &amp; Items'!A:B,2,0)</f>
        <v>Heavy weapon</v>
      </c>
      <c r="K612" s="276" t="str">
        <f>IF(I612=".",I612,VLOOKUP($I612,'Price List, Weapons &amp; Items'!A:C,3,0))</f>
        <v>Infantry fighting vehicle (IFV)</v>
      </c>
      <c r="L612" s="514">
        <f>VLOOKUP(I612,'Price List, Weapons &amp; Items'!A:D,4,0)</f>
        <v>0</v>
      </c>
      <c r="M612" s="515" t="s">
        <v>264</v>
      </c>
      <c r="N612" s="515" t="s">
        <v>264</v>
      </c>
      <c r="O612" s="516">
        <f>VLOOKUP($I612,'Price List, Weapons &amp; Items'!A:F,6,0)</f>
        <v>334029</v>
      </c>
      <c r="P612" s="513" t="str">
        <f t="shared" si="129"/>
        <v>.</v>
      </c>
      <c r="Q612" s="513" t="str">
        <f t="shared" si="130"/>
        <v>.</v>
      </c>
      <c r="R612" s="513" t="str">
        <f t="shared" si="121"/>
        <v/>
      </c>
      <c r="S612" s="513" t="str">
        <f>IF(AND(AD612=1,R612&lt;&gt;".")=TRUE,R612/VLOOKUP(G612,'Exchange rates'!B:C,2,0),IF(R612=".",".",""))</f>
        <v/>
      </c>
      <c r="T612" s="513" t="str">
        <f>IF(AD612=1,IF(AF612="Value is not given at all",".",IF(AF612="Value is given by the source",S612,IF(AF612="Value is calculated with prices",(IF(SUMIFS(Q:Q,A:A,A612)&gt;0,SUMIFS(Q:Q,A:A,A612),"."))/VLOOKUP("USD",'Exchange rates'!B:C,2,0),"Error with coding"))),"")</f>
        <v/>
      </c>
      <c r="U612" s="39" t="s">
        <v>233</v>
      </c>
      <c r="V612" s="376" t="s">
        <v>1709</v>
      </c>
      <c r="W612" s="376" t="s">
        <v>1717</v>
      </c>
      <c r="X612" s="376" t="s">
        <v>1710</v>
      </c>
      <c r="Y612" s="530" t="s">
        <v>232</v>
      </c>
      <c r="Z612" s="39">
        <v>0</v>
      </c>
      <c r="AA612" s="518">
        <v>0</v>
      </c>
      <c r="AB612" s="394" t="s">
        <v>1711</v>
      </c>
      <c r="AC612" s="519" t="str">
        <f>""</f>
        <v/>
      </c>
      <c r="AD612" s="520">
        <v>0</v>
      </c>
      <c r="AE612" s="520" t="s">
        <v>300</v>
      </c>
      <c r="AF612" s="520" t="s">
        <v>300</v>
      </c>
      <c r="AG612" s="520">
        <v>1</v>
      </c>
      <c r="AH612" s="520">
        <v>4</v>
      </c>
      <c r="AI612" s="520">
        <v>0</v>
      </c>
      <c r="AJ612" s="520">
        <f>VLOOKUP($I612,'Price List, Weapons &amp; Items'!A:E,5,0)</f>
        <v>1</v>
      </c>
      <c r="AK612" s="520">
        <f t="shared" si="122"/>
        <v>1</v>
      </c>
      <c r="AL612" s="520">
        <f t="shared" si="123"/>
        <v>1</v>
      </c>
      <c r="AM612" s="520">
        <f t="shared" si="124"/>
        <v>0</v>
      </c>
      <c r="AN612" s="521" t="str">
        <f>VLOOKUP($I612,'Price List, Weapons &amp; Items'!A:K,COLUMN('Price List, Weapons &amp; Items'!$I$1),0)</f>
        <v>Contracts</v>
      </c>
      <c r="AO612" s="521" t="str">
        <f>IF(I612=".",".",VLOOKUP($I612,'Price List, Weapons &amp; Items'!A:I,3,0))</f>
        <v>Infantry fighting vehicle (IFV)</v>
      </c>
      <c r="AP612" s="517" t="str">
        <f t="shared" ca="1" si="131"/>
        <v/>
      </c>
      <c r="AQ612" s="521" t="str">
        <f>VLOOKUP($I612,'Price List, Weapons &amp; Items'!A:K,COLUMN('Price List, Weapons &amp; Items'!$K$1),0)</f>
        <v>no price, 0 count</v>
      </c>
      <c r="AS612" s="521">
        <f t="shared" si="125"/>
        <v>1</v>
      </c>
      <c r="AT612" s="521">
        <f t="shared" si="126"/>
        <v>1</v>
      </c>
      <c r="AU612" s="521">
        <f t="shared" si="127"/>
        <v>1</v>
      </c>
      <c r="AV612" s="521" t="str">
        <f t="shared" si="128"/>
        <v>.</v>
      </c>
    </row>
    <row r="613" spans="1:48" ht="15" customHeight="1">
      <c r="A613" s="41" t="s">
        <v>1719</v>
      </c>
      <c r="B613" s="41" t="s">
        <v>1687</v>
      </c>
      <c r="C613" s="511">
        <v>44728</v>
      </c>
      <c r="D613" s="18" t="s">
        <v>252</v>
      </c>
      <c r="E613" s="18" t="s">
        <v>307</v>
      </c>
      <c r="F613" s="512" t="s">
        <v>1720</v>
      </c>
      <c r="G613" s="39" t="s">
        <v>314</v>
      </c>
      <c r="H613" s="513" t="s">
        <v>309</v>
      </c>
      <c r="I613" s="41" t="s">
        <v>820</v>
      </c>
      <c r="J613" s="276" t="str">
        <f>VLOOKUP($I613,'Price List, Weapons &amp; Items'!A:B,2,0)</f>
        <v>Ammunition for heavy weapon</v>
      </c>
      <c r="K613" s="276" t="str">
        <f>IF(I613=".",I613,VLOOKUP($I613,'Price List, Weapons &amp; Items'!A:C,3,0))</f>
        <v>.</v>
      </c>
      <c r="L613" s="514">
        <f>VLOOKUP(I613,'Price List, Weapons &amp; Items'!A:D,4,0)</f>
        <v>0</v>
      </c>
      <c r="M613" s="515" t="s">
        <v>264</v>
      </c>
      <c r="N613" s="515" t="s">
        <v>232</v>
      </c>
      <c r="O613" s="516">
        <f>VLOOKUP($I613,'Price List, Weapons &amp; Items'!A:F,6,0)</f>
        <v>1406812</v>
      </c>
      <c r="P613" s="513" t="str">
        <f t="shared" si="129"/>
        <v>.</v>
      </c>
      <c r="Q613" s="513" t="str">
        <f t="shared" si="130"/>
        <v>.</v>
      </c>
      <c r="R613" s="513" t="str">
        <f t="shared" si="121"/>
        <v>.</v>
      </c>
      <c r="S613" s="513" t="str">
        <f>IF(AND(AD613=1,R613&lt;&gt;".")=TRUE,R613/VLOOKUP(G613,'Exchange rates'!B:C,2,0),IF(R613=".",".",""))</f>
        <v>.</v>
      </c>
      <c r="T613" s="513" t="str">
        <f>IF(AD613=1,IF(AF613="Value is not given at all",".",IF(AF613="Value is given by the source",S613,IF(AF613="Value is calculated with prices",(IF(SUMIFS(Q:Q,A:A,A613)&gt;0,SUMIFS(Q:Q,A:A,A613),"."))/VLOOKUP("USD",'Exchange rates'!B:C,2,0),"Error with coding"))),"")</f>
        <v>.</v>
      </c>
      <c r="U613" s="39" t="s">
        <v>372</v>
      </c>
      <c r="V613" s="42" t="s">
        <v>1721</v>
      </c>
      <c r="W613" s="42" t="s">
        <v>1722</v>
      </c>
      <c r="X613" s="42" t="s">
        <v>1710</v>
      </c>
      <c r="Y613" s="517" t="s">
        <v>232</v>
      </c>
      <c r="Z613" s="39">
        <v>0</v>
      </c>
      <c r="AA613" s="518">
        <v>0</v>
      </c>
      <c r="AB613" s="394" t="s">
        <v>232</v>
      </c>
      <c r="AC613" s="519" t="str">
        <f>""</f>
        <v/>
      </c>
      <c r="AD613" s="520">
        <v>1</v>
      </c>
      <c r="AE613" s="520" t="s">
        <v>237</v>
      </c>
      <c r="AF613" s="520" t="s">
        <v>237</v>
      </c>
      <c r="AG613" s="520">
        <v>1</v>
      </c>
      <c r="AH613" s="520">
        <v>6</v>
      </c>
      <c r="AI613" s="520">
        <v>0</v>
      </c>
      <c r="AJ613" s="520">
        <f>VLOOKUP($I613,'Price List, Weapons &amp; Items'!A:E,5,0)</f>
        <v>0</v>
      </c>
      <c r="AK613" s="520">
        <f t="shared" si="122"/>
        <v>0</v>
      </c>
      <c r="AL613" s="520">
        <f t="shared" si="123"/>
        <v>0</v>
      </c>
      <c r="AM613" s="520">
        <f t="shared" si="124"/>
        <v>0</v>
      </c>
      <c r="AN613" s="521" t="str">
        <f>VLOOKUP($I613,'Price List, Weapons &amp; Items'!A:K,COLUMN('Price List, Weapons &amp; Items'!$I$1),0)</f>
        <v>Miscellaneous</v>
      </c>
      <c r="AO613" s="521" t="str">
        <f>IF(I613=".",".",VLOOKUP($I613,'Price List, Weapons &amp; Items'!A:I,3,0))</f>
        <v>.</v>
      </c>
      <c r="AP613" s="517" t="str">
        <f t="shared" ca="1" si="131"/>
        <v>Harpoon coastal defense missile</v>
      </c>
      <c r="AQ613" s="521" t="str">
        <f>VLOOKUP($I613,'Price List, Weapons &amp; Items'!A:K,COLUMN('Price List, Weapons &amp; Items'!$K$1),0)</f>
        <v>no price, 0 count</v>
      </c>
      <c r="AS613" s="521">
        <f t="shared" si="125"/>
        <v>0</v>
      </c>
      <c r="AT613" s="521">
        <f t="shared" si="126"/>
        <v>1</v>
      </c>
      <c r="AU613" s="521">
        <f t="shared" si="127"/>
        <v>1</v>
      </c>
      <c r="AV613" s="521" t="str">
        <f t="shared" si="128"/>
        <v>.</v>
      </c>
    </row>
    <row r="614" spans="1:48" ht="15" customHeight="1">
      <c r="A614" s="41" t="s">
        <v>1723</v>
      </c>
      <c r="B614" s="41" t="s">
        <v>1687</v>
      </c>
      <c r="C614" s="511">
        <v>44740</v>
      </c>
      <c r="D614" s="18" t="s">
        <v>252</v>
      </c>
      <c r="E614" s="18" t="s">
        <v>307</v>
      </c>
      <c r="F614" s="512" t="s">
        <v>1724</v>
      </c>
      <c r="G614" s="39" t="s">
        <v>314</v>
      </c>
      <c r="H614" s="513" t="s">
        <v>309</v>
      </c>
      <c r="I614" s="41" t="s">
        <v>1240</v>
      </c>
      <c r="J614" s="276" t="str">
        <f>VLOOKUP($I614,'Price List, Weapons &amp; Items'!A:B,2,0)</f>
        <v>Heavy weapon</v>
      </c>
      <c r="K614" s="276" t="str">
        <f>IF(I614=".",I614,VLOOKUP($I614,'Price List, Weapons &amp; Items'!A:C,3,0))</f>
        <v>155mm howitzer</v>
      </c>
      <c r="L614" s="514">
        <f>VLOOKUP(I614,'Price List, Weapons &amp; Items'!A:D,4,0)</f>
        <v>0</v>
      </c>
      <c r="M614" s="515">
        <v>3</v>
      </c>
      <c r="N614" s="515" t="s">
        <v>232</v>
      </c>
      <c r="O614" s="516">
        <f>VLOOKUP($I614,'Price List, Weapons &amp; Items'!A:F,6,0)</f>
        <v>13778907.188501142</v>
      </c>
      <c r="P614" s="513">
        <f t="shared" si="129"/>
        <v>41336721.565503426</v>
      </c>
      <c r="Q614" s="513" t="str">
        <f t="shared" si="130"/>
        <v>.</v>
      </c>
      <c r="R614" s="513">
        <f t="shared" si="121"/>
        <v>41336721.565503426</v>
      </c>
      <c r="S614" s="513">
        <f>IF(AND(AD614=1,R614&lt;&gt;".")=TRUE,R614/VLOOKUP(G614,'Exchange rates'!B:C,2,0),IF(R614=".",".",""))</f>
        <v>41192547.648732856</v>
      </c>
      <c r="T614" s="513" t="str">
        <f>IF(AD614=1,IF(AF614="Value is not given at all",".",IF(AF614="Value is given by the source",S614,IF(AF614="Value is calculated with prices",(IF(SUMIFS(Q:Q,A:A,A614)&gt;0,SUMIFS(Q:Q,A:A,A614),"."))/VLOOKUP("USD",'Exchange rates'!B:C,2,0),"Error with coding"))),"")</f>
        <v>.</v>
      </c>
      <c r="U614" s="39" t="s">
        <v>233</v>
      </c>
      <c r="V614" s="42" t="s">
        <v>1725</v>
      </c>
      <c r="W614" s="42" t="s">
        <v>1726</v>
      </c>
      <c r="X614" s="42" t="s">
        <v>1727</v>
      </c>
      <c r="Y614" s="517" t="s">
        <v>232</v>
      </c>
      <c r="Z614" s="39">
        <v>0</v>
      </c>
      <c r="AA614" s="518">
        <v>0</v>
      </c>
      <c r="AB614" s="394" t="s">
        <v>232</v>
      </c>
      <c r="AC614" s="519" t="str">
        <f>""</f>
        <v/>
      </c>
      <c r="AD614" s="520">
        <v>1</v>
      </c>
      <c r="AE614" s="520" t="s">
        <v>300</v>
      </c>
      <c r="AF614" s="520" t="s">
        <v>237</v>
      </c>
      <c r="AG614" s="520">
        <v>1</v>
      </c>
      <c r="AH614" s="520">
        <v>6</v>
      </c>
      <c r="AI614" s="520">
        <v>0</v>
      </c>
      <c r="AJ614" s="520">
        <f>VLOOKUP($I614,'Price List, Weapons &amp; Items'!A:E,5,0)</f>
        <v>1</v>
      </c>
      <c r="AK614" s="520">
        <f t="shared" si="122"/>
        <v>0</v>
      </c>
      <c r="AL614" s="520">
        <f t="shared" si="123"/>
        <v>0</v>
      </c>
      <c r="AM614" s="520">
        <f t="shared" si="124"/>
        <v>0</v>
      </c>
      <c r="AN614" s="521" t="str">
        <f>VLOOKUP($I614,'Price List, Weapons &amp; Items'!A:K,COLUMN('Price List, Weapons &amp; Items'!$I$1),0)</f>
        <v>Contracts</v>
      </c>
      <c r="AO614" s="521" t="str">
        <f>IF(I614=".",".",VLOOKUP($I614,'Price List, Weapons &amp; Items'!A:I,3,0))</f>
        <v>155mm howitzer</v>
      </c>
      <c r="AP614" s="517" t="str">
        <f t="shared" ca="1" si="131"/>
        <v>Panzerhaubitze 2000</v>
      </c>
      <c r="AQ614" s="521">
        <f>VLOOKUP($I614,'Price List, Weapons &amp; Items'!A:K,COLUMN('Price List, Weapons &amp; Items'!$K$1),0)</f>
        <v>2</v>
      </c>
      <c r="AS614" s="521">
        <f t="shared" si="125"/>
        <v>1</v>
      </c>
      <c r="AT614" s="521">
        <f t="shared" si="126"/>
        <v>1</v>
      </c>
      <c r="AU614" s="521">
        <f t="shared" si="127"/>
        <v>1</v>
      </c>
      <c r="AV614" s="521" t="str">
        <f t="shared" si="128"/>
        <v>.</v>
      </c>
    </row>
    <row r="615" spans="1:48" ht="15" customHeight="1">
      <c r="A615" s="41" t="s">
        <v>1728</v>
      </c>
      <c r="B615" s="41" t="s">
        <v>1687</v>
      </c>
      <c r="C615" s="511">
        <v>44801</v>
      </c>
      <c r="D615" s="18" t="s">
        <v>252</v>
      </c>
      <c r="E615" s="18" t="s">
        <v>229</v>
      </c>
      <c r="F615" s="512" t="s">
        <v>1729</v>
      </c>
      <c r="G615" s="39" t="s">
        <v>332</v>
      </c>
      <c r="H615" s="513">
        <v>10000000</v>
      </c>
      <c r="I615" s="41" t="s">
        <v>232</v>
      </c>
      <c r="J615" s="276" t="str">
        <f>VLOOKUP($I615,'Price List, Weapons &amp; Items'!A:B,2,0)</f>
        <v>.</v>
      </c>
      <c r="K615" s="276" t="str">
        <f>IF(I615=".",I615,VLOOKUP($I615,'Price List, Weapons &amp; Items'!A:C,3,0))</f>
        <v>.</v>
      </c>
      <c r="L615" s="514">
        <f>VLOOKUP(I615,'Price List, Weapons &amp; Items'!A:D,4,0)</f>
        <v>0</v>
      </c>
      <c r="M615" s="515" t="s">
        <v>232</v>
      </c>
      <c r="N615" s="515" t="s">
        <v>232</v>
      </c>
      <c r="O615" s="516" t="str">
        <f>VLOOKUP($I615,'Price List, Weapons &amp; Items'!A:F,6,0)</f>
        <v>.</v>
      </c>
      <c r="P615" s="513" t="str">
        <f t="shared" si="129"/>
        <v>.</v>
      </c>
      <c r="Q615" s="513" t="str">
        <f t="shared" si="130"/>
        <v>.</v>
      </c>
      <c r="R615" s="513">
        <f t="shared" si="121"/>
        <v>10000000</v>
      </c>
      <c r="S615" s="513">
        <f>IF(AND(AD615=1,R615&lt;&gt;".")=TRUE,R615/VLOOKUP(G615,'Exchange rates'!B:C,2,0),IF(R615=".",".",""))</f>
        <v>10000000</v>
      </c>
      <c r="T615" s="513" t="str">
        <f>IF(AD615=1,IF(AF615="Value is not given at all",".",IF(AF615="Value is given by the source",S615,IF(AF615="Value is calculated with prices",(IF(SUMIFS(Q:Q,A:A,A615)&gt;0,SUMIFS(Q:Q,A:A,A615),"."))/VLOOKUP("USD",'Exchange rates'!B:C,2,0),"Error with coding"))),"")</f>
        <v>.</v>
      </c>
      <c r="U615" s="39" t="s">
        <v>233</v>
      </c>
      <c r="V615" s="42" t="s">
        <v>1730</v>
      </c>
      <c r="W615" s="825" t="s">
        <v>1731</v>
      </c>
      <c r="X615" s="512" t="s">
        <v>232</v>
      </c>
      <c r="Y615" s="512" t="s">
        <v>232</v>
      </c>
      <c r="Z615" s="39">
        <v>0</v>
      </c>
      <c r="AA615" s="518">
        <v>0</v>
      </c>
      <c r="AB615" s="41" t="s">
        <v>232</v>
      </c>
      <c r="AC615" s="519" t="str">
        <f>""</f>
        <v/>
      </c>
      <c r="AD615" s="520">
        <v>1</v>
      </c>
      <c r="AE615" s="520" t="s">
        <v>236</v>
      </c>
      <c r="AF615" s="520" t="s">
        <v>237</v>
      </c>
      <c r="AG615" s="520">
        <v>1</v>
      </c>
      <c r="AH615" s="520">
        <v>8</v>
      </c>
      <c r="AI615" s="520">
        <v>0</v>
      </c>
      <c r="AJ615" s="520">
        <f>VLOOKUP($I615,'Price List, Weapons &amp; Items'!A:E,5,0)</f>
        <v>0</v>
      </c>
      <c r="AK615" s="520">
        <f t="shared" si="122"/>
        <v>0</v>
      </c>
      <c r="AL615" s="520">
        <f t="shared" si="123"/>
        <v>0</v>
      </c>
      <c r="AM615" s="520">
        <f t="shared" si="124"/>
        <v>0</v>
      </c>
      <c r="AN615" s="521" t="str">
        <f>VLOOKUP($I615,'Price List, Weapons &amp; Items'!A:K,COLUMN('Price List, Weapons &amp; Items'!$I$1),0)</f>
        <v>.</v>
      </c>
      <c r="AO615" s="521" t="str">
        <f>IF(I615=".",".",VLOOKUP($I615,'Price List, Weapons &amp; Items'!A:I,3,0))</f>
        <v>.</v>
      </c>
      <c r="AP615" s="517" t="str">
        <f t="shared" ca="1" si="131"/>
        <v>.</v>
      </c>
      <c r="AQ615" s="521" t="str">
        <f>VLOOKUP($I615,'Price List, Weapons &amp; Items'!A:K,COLUMN('Price List, Weapons &amp; Items'!$K$1),0)</f>
        <v>no price, 0 count</v>
      </c>
      <c r="AS615" s="521">
        <f t="shared" si="125"/>
        <v>1</v>
      </c>
      <c r="AT615" s="521">
        <f t="shared" si="126"/>
        <v>0</v>
      </c>
      <c r="AU615" s="521">
        <f t="shared" si="127"/>
        <v>1</v>
      </c>
      <c r="AV615" s="521" t="str">
        <f t="shared" si="128"/>
        <v>.</v>
      </c>
    </row>
    <row r="616" spans="1:48" ht="15" customHeight="1">
      <c r="A616" s="41" t="s">
        <v>1732</v>
      </c>
      <c r="B616" s="41" t="s">
        <v>1687</v>
      </c>
      <c r="C616" s="511">
        <v>44869</v>
      </c>
      <c r="D616" s="18" t="s">
        <v>252</v>
      </c>
      <c r="E616" s="18" t="s">
        <v>1733</v>
      </c>
      <c r="F616" s="816" t="s">
        <v>1734</v>
      </c>
      <c r="G616" s="39" t="s">
        <v>332</v>
      </c>
      <c r="H616" s="513">
        <v>120000000</v>
      </c>
      <c r="I616" s="524" t="s">
        <v>1735</v>
      </c>
      <c r="J616" s="276" t="str">
        <f>VLOOKUP($I616,'Price List, Weapons &amp; Items'!A:B,2,0)</f>
        <v>Heavy weapon</v>
      </c>
      <c r="K616" s="276" t="str">
        <f>IF(I616=".",I616,VLOOKUP($I616,'Price List, Weapons &amp; Items'!A:C,3,0))</f>
        <v>overhaul/repair</v>
      </c>
      <c r="L616" s="514">
        <f>VLOOKUP(I616,'Price List, Weapons &amp; Items'!A:D,4,0)</f>
        <v>0</v>
      </c>
      <c r="M616" s="515">
        <v>45</v>
      </c>
      <c r="N616" s="515" t="s">
        <v>232</v>
      </c>
      <c r="O616" s="516">
        <f>VLOOKUP($I616,'Price List, Weapons &amp; Items'!A:F,6,0)</f>
        <v>1000000</v>
      </c>
      <c r="P616" s="513">
        <f t="shared" si="129"/>
        <v>45000000</v>
      </c>
      <c r="Q616" s="513" t="str">
        <f t="shared" si="130"/>
        <v>.</v>
      </c>
      <c r="R616" s="513">
        <f t="shared" si="121"/>
        <v>120000000</v>
      </c>
      <c r="S616" s="513">
        <f>IF(AND(AD616=1,R616&lt;&gt;".")=TRUE,R616/VLOOKUP(G616,'Exchange rates'!B:C,2,0),IF(R616=".",".",""))</f>
        <v>120000000</v>
      </c>
      <c r="T616" s="513" t="str">
        <f>IF(AD616=1,IF(AF616="Value is not given at all",".",IF(AF616="Value is given by the source",S616,IF(AF616="Value is calculated with prices",(IF(SUMIFS(Q:Q,A:A,A616)&gt;0,SUMIFS(Q:Q,A:A,A616),"."))/VLOOKUP("USD",'Exchange rates'!B:C,2,0),"Error with coding"))),"")</f>
        <v>.</v>
      </c>
      <c r="U616" s="39" t="s">
        <v>233</v>
      </c>
      <c r="V616" s="42" t="s">
        <v>1736</v>
      </c>
      <c r="W616" s="825" t="s">
        <v>1737</v>
      </c>
      <c r="X616" s="825" t="s">
        <v>232</v>
      </c>
      <c r="Y616" s="512" t="s">
        <v>232</v>
      </c>
      <c r="Z616" s="39">
        <v>0</v>
      </c>
      <c r="AA616" s="518">
        <v>1</v>
      </c>
      <c r="AB616" s="41" t="s">
        <v>232</v>
      </c>
      <c r="AC616" s="519" t="str">
        <f>""</f>
        <v/>
      </c>
      <c r="AD616" s="520">
        <v>1</v>
      </c>
      <c r="AE616" s="520" t="s">
        <v>236</v>
      </c>
      <c r="AF616" s="520" t="s">
        <v>237</v>
      </c>
      <c r="AG616" s="520">
        <v>1</v>
      </c>
      <c r="AH616" s="520">
        <v>11</v>
      </c>
      <c r="AI616" s="520">
        <v>0</v>
      </c>
      <c r="AJ616" s="520">
        <f>VLOOKUP($I616,'Price List, Weapons &amp; Items'!A:E,5,0)</f>
        <v>0</v>
      </c>
      <c r="AK616" s="520">
        <f t="shared" si="122"/>
        <v>0</v>
      </c>
      <c r="AL616" s="520">
        <f t="shared" si="123"/>
        <v>0</v>
      </c>
      <c r="AM616" s="520">
        <f t="shared" si="124"/>
        <v>0</v>
      </c>
      <c r="AN616" s="521" t="str">
        <f>VLOOKUP($I616,'Price List, Weapons &amp; Items'!A:K,COLUMN('Price List, Weapons &amp; Items'!$I$1),0)</f>
        <v>Government information</v>
      </c>
      <c r="AO616" s="521" t="str">
        <f>IF(I616=".",".",VLOOKUP($I616,'Price List, Weapons &amp; Items'!A:I,3,0))</f>
        <v>overhaul/repair</v>
      </c>
      <c r="AP616" s="517" t="str">
        <f t="shared" ca="1" si="131"/>
        <v>T-72 overhaul</v>
      </c>
      <c r="AQ616" s="521">
        <f>VLOOKUP($I616,'Price List, Weapons &amp; Items'!A:K,COLUMN('Price List, Weapons &amp; Items'!$K$1),0)</f>
        <v>2</v>
      </c>
      <c r="AS616" s="521">
        <f t="shared" si="125"/>
        <v>1</v>
      </c>
      <c r="AT616" s="521">
        <f t="shared" si="126"/>
        <v>1</v>
      </c>
      <c r="AU616" s="521">
        <f t="shared" si="127"/>
        <v>1</v>
      </c>
      <c r="AV616" s="521" t="str">
        <f t="shared" si="128"/>
        <v>.</v>
      </c>
    </row>
    <row r="617" spans="1:48" ht="15" customHeight="1">
      <c r="A617" s="41" t="s">
        <v>1738</v>
      </c>
      <c r="B617" s="41" t="s">
        <v>1687</v>
      </c>
      <c r="C617" s="511">
        <v>44627</v>
      </c>
      <c r="D617" s="18" t="s">
        <v>228</v>
      </c>
      <c r="E617" s="18" t="s">
        <v>229</v>
      </c>
      <c r="F617" s="512" t="s">
        <v>1739</v>
      </c>
      <c r="G617" s="39" t="s">
        <v>332</v>
      </c>
      <c r="H617" s="513">
        <v>15000000</v>
      </c>
      <c r="I617" s="41" t="s">
        <v>232</v>
      </c>
      <c r="J617" s="276" t="str">
        <f>VLOOKUP($I617,'Price List, Weapons &amp; Items'!A:B,2,0)</f>
        <v>.</v>
      </c>
      <c r="K617" s="276" t="str">
        <f>IF(I617=".",I617,VLOOKUP($I617,'Price List, Weapons &amp; Items'!A:C,3,0))</f>
        <v>.</v>
      </c>
      <c r="L617" s="514">
        <f>VLOOKUP(I617,'Price List, Weapons &amp; Items'!A:D,4,0)</f>
        <v>0</v>
      </c>
      <c r="M617" s="515" t="s">
        <v>232</v>
      </c>
      <c r="N617" s="515" t="s">
        <v>232</v>
      </c>
      <c r="O617" s="516" t="str">
        <f>VLOOKUP($I617,'Price List, Weapons &amp; Items'!A:F,6,0)</f>
        <v>.</v>
      </c>
      <c r="P617" s="513" t="str">
        <f t="shared" si="129"/>
        <v>.</v>
      </c>
      <c r="Q617" s="513" t="str">
        <f t="shared" si="130"/>
        <v>.</v>
      </c>
      <c r="R617" s="513">
        <f t="shared" si="121"/>
        <v>15000000</v>
      </c>
      <c r="S617" s="513">
        <f>IF(AND(AD617=1,R617&lt;&gt;".")=TRUE,R617/VLOOKUP(G617,'Exchange rates'!B:C,2,0),IF(R617=".",".",""))</f>
        <v>15000000</v>
      </c>
      <c r="T617" s="513" t="str">
        <f>IF(AD617=1,IF(AF617="Value is not given at all",".",IF(AF617="Value is given by the source",S617,IF(AF617="Value is calculated with prices",(IF(SUMIFS(Q:Q,A:A,A617)&gt;0,SUMIFS(Q:Q,A:A,A617),"."))/VLOOKUP("USD",'Exchange rates'!B:C,2,0),"Error with coding"))),"")</f>
        <v>.</v>
      </c>
      <c r="U617" s="39" t="s">
        <v>233</v>
      </c>
      <c r="V617" s="42" t="s">
        <v>1740</v>
      </c>
      <c r="W617" s="42" t="s">
        <v>1741</v>
      </c>
      <c r="X617" s="517" t="s">
        <v>232</v>
      </c>
      <c r="Y617" s="517" t="s">
        <v>232</v>
      </c>
      <c r="Z617" s="39">
        <v>0</v>
      </c>
      <c r="AA617" s="518">
        <v>0</v>
      </c>
      <c r="AB617" s="38" t="s">
        <v>232</v>
      </c>
      <c r="AC617" s="519" t="str">
        <f>""</f>
        <v/>
      </c>
      <c r="AD617" s="520">
        <v>1</v>
      </c>
      <c r="AE617" s="520" t="s">
        <v>236</v>
      </c>
      <c r="AF617" s="520" t="s">
        <v>237</v>
      </c>
      <c r="AG617" s="520">
        <v>1</v>
      </c>
      <c r="AH617" s="520">
        <v>3</v>
      </c>
      <c r="AI617" s="520">
        <v>0</v>
      </c>
      <c r="AJ617" s="520">
        <f>VLOOKUP($I617,'Price List, Weapons &amp; Items'!A:E,5,0)</f>
        <v>0</v>
      </c>
      <c r="AK617" s="520">
        <f t="shared" si="122"/>
        <v>0</v>
      </c>
      <c r="AL617" s="520">
        <f t="shared" si="123"/>
        <v>0</v>
      </c>
      <c r="AM617" s="520">
        <f t="shared" si="124"/>
        <v>0</v>
      </c>
      <c r="AN617" s="521" t="str">
        <f>VLOOKUP($I617,'Price List, Weapons &amp; Items'!A:K,COLUMN('Price List, Weapons &amp; Items'!$I$1),0)</f>
        <v>.</v>
      </c>
      <c r="AO617" s="521" t="str">
        <f>IF(I617=".",".",VLOOKUP($I617,'Price List, Weapons &amp; Items'!A:I,3,0))</f>
        <v>.</v>
      </c>
      <c r="AP617" s="517" t="str">
        <f t="shared" ca="1" si="131"/>
        <v>.</v>
      </c>
      <c r="AQ617" s="521" t="str">
        <f>VLOOKUP($I617,'Price List, Weapons &amp; Items'!A:K,COLUMN('Price List, Weapons &amp; Items'!$K$1),0)</f>
        <v>no price, 0 count</v>
      </c>
      <c r="AS617" s="521">
        <f t="shared" si="125"/>
        <v>1</v>
      </c>
      <c r="AT617" s="521">
        <f t="shared" si="126"/>
        <v>0</v>
      </c>
      <c r="AU617" s="521">
        <f t="shared" si="127"/>
        <v>1</v>
      </c>
      <c r="AV617" s="521" t="str">
        <f t="shared" si="128"/>
        <v>.</v>
      </c>
    </row>
    <row r="618" spans="1:48" s="41" customFormat="1" ht="15" customHeight="1">
      <c r="A618" s="41" t="s">
        <v>1742</v>
      </c>
      <c r="B618" s="41" t="s">
        <v>1687</v>
      </c>
      <c r="C618" s="511" t="s">
        <v>1743</v>
      </c>
      <c r="D618" s="18" t="s">
        <v>228</v>
      </c>
      <c r="E618" s="18" t="s">
        <v>229</v>
      </c>
      <c r="F618" s="512" t="s">
        <v>1744</v>
      </c>
      <c r="G618" s="39" t="s">
        <v>332</v>
      </c>
      <c r="H618" s="513">
        <v>1500000</v>
      </c>
      <c r="I618" s="41" t="s">
        <v>232</v>
      </c>
      <c r="J618" s="276" t="str">
        <f>VLOOKUP($I618,'Price List, Weapons &amp; Items'!A:B,2,0)</f>
        <v>.</v>
      </c>
      <c r="K618" s="276" t="str">
        <f>IF(I618=".",I618,VLOOKUP($I618,'Price List, Weapons &amp; Items'!A:C,3,0))</f>
        <v>.</v>
      </c>
      <c r="L618" s="514">
        <f>VLOOKUP(I618,'Price List, Weapons &amp; Items'!A:D,4,0)</f>
        <v>0</v>
      </c>
      <c r="M618" s="515" t="s">
        <v>232</v>
      </c>
      <c r="N618" s="515" t="s">
        <v>232</v>
      </c>
      <c r="O618" s="516" t="str">
        <f>VLOOKUP($I618,'Price List, Weapons &amp; Items'!A:F,6,0)</f>
        <v>.</v>
      </c>
      <c r="P618" s="513" t="str">
        <f t="shared" si="129"/>
        <v>.</v>
      </c>
      <c r="Q618" s="513" t="str">
        <f t="shared" si="130"/>
        <v>.</v>
      </c>
      <c r="R618" s="513">
        <f t="shared" si="121"/>
        <v>1500000</v>
      </c>
      <c r="S618" s="513">
        <f>IF(AND(AD618=1,R618&lt;&gt;".")=TRUE,R618/VLOOKUP(G618,'Exchange rates'!B:C,2,0),IF(R618=".",".",""))</f>
        <v>1500000</v>
      </c>
      <c r="T618" s="513" t="str">
        <f>IF(AD618=1,IF(AF618="Value is not given at all",".",IF(AF618="Value is given by the source",S618,IF(AF618="Value is calculated with prices",(IF(SUMIFS(Q:Q,A:A,A618)&gt;0,SUMIFS(Q:Q,A:A,A618),"."))/VLOOKUP("USD",'Exchange rates'!B:C,2,0),"Error with coding"))),"")</f>
        <v>.</v>
      </c>
      <c r="U618" s="39" t="s">
        <v>233</v>
      </c>
      <c r="V618" s="42" t="s">
        <v>1740</v>
      </c>
      <c r="W618" s="512" t="s">
        <v>232</v>
      </c>
      <c r="X618" s="512" t="s">
        <v>232</v>
      </c>
      <c r="Y618" s="512" t="s">
        <v>232</v>
      </c>
      <c r="Z618" s="39">
        <v>0</v>
      </c>
      <c r="AA618" s="39">
        <v>0</v>
      </c>
      <c r="AB618" s="523" t="s">
        <v>232</v>
      </c>
      <c r="AC618" s="519" t="str">
        <f>""</f>
        <v/>
      </c>
      <c r="AD618" s="522">
        <v>1</v>
      </c>
      <c r="AE618" s="522" t="s">
        <v>236</v>
      </c>
      <c r="AF618" s="522" t="s">
        <v>237</v>
      </c>
      <c r="AG618" s="522">
        <v>0</v>
      </c>
      <c r="AH618" s="520">
        <v>0</v>
      </c>
      <c r="AI618" s="520">
        <v>0</v>
      </c>
      <c r="AJ618" s="520">
        <f>VLOOKUP($I618,'Price List, Weapons &amp; Items'!A:E,5,0)</f>
        <v>0</v>
      </c>
      <c r="AK618" s="520">
        <f t="shared" si="122"/>
        <v>0</v>
      </c>
      <c r="AL618" s="520">
        <f t="shared" si="123"/>
        <v>0</v>
      </c>
      <c r="AM618" s="520">
        <f t="shared" si="124"/>
        <v>0</v>
      </c>
      <c r="AN618" s="521" t="str">
        <f>VLOOKUP($I618,'Price List, Weapons &amp; Items'!A:K,COLUMN('Price List, Weapons &amp; Items'!$I$1),0)</f>
        <v>.</v>
      </c>
      <c r="AO618" s="521" t="str">
        <f>IF(I618=".",".",VLOOKUP($I618,'Price List, Weapons &amp; Items'!A:I,3,0))</f>
        <v>.</v>
      </c>
      <c r="AP618" s="517" t="str">
        <f t="shared" ca="1" si="131"/>
        <v>.</v>
      </c>
      <c r="AQ618" s="521" t="str">
        <f>VLOOKUP($I618,'Price List, Weapons &amp; Items'!A:K,COLUMN('Price List, Weapons &amp; Items'!$K$1),0)</f>
        <v>no price, 0 count</v>
      </c>
      <c r="AS618" s="521">
        <f t="shared" si="125"/>
        <v>1</v>
      </c>
      <c r="AT618" s="521">
        <f t="shared" si="126"/>
        <v>0</v>
      </c>
      <c r="AU618" s="521" t="str">
        <f t="shared" si="127"/>
        <v>Value is not in date format</v>
      </c>
      <c r="AV618" s="521" t="str">
        <f t="shared" si="128"/>
        <v>.</v>
      </c>
    </row>
    <row r="619" spans="1:48" ht="15" customHeight="1">
      <c r="A619" s="18" t="s">
        <v>1745</v>
      </c>
      <c r="B619" s="18" t="s">
        <v>1687</v>
      </c>
      <c r="C619" s="511">
        <v>44622</v>
      </c>
      <c r="D619" s="18" t="s">
        <v>228</v>
      </c>
      <c r="E619" s="18" t="s">
        <v>239</v>
      </c>
      <c r="F619" s="512" t="s">
        <v>1746</v>
      </c>
      <c r="G619" s="39" t="s">
        <v>314</v>
      </c>
      <c r="H619" s="513" t="s">
        <v>309</v>
      </c>
      <c r="I619" s="41" t="s">
        <v>320</v>
      </c>
      <c r="J619" s="276" t="str">
        <f>VLOOKUP($I619,'Price List, Weapons &amp; Items'!A:B,2,0)</f>
        <v>Humanitarian</v>
      </c>
      <c r="K619" s="276" t="str">
        <f>IF(I619=".",I619,VLOOKUP($I619,'Price List, Weapons &amp; Items'!A:C,3,0))</f>
        <v>.</v>
      </c>
      <c r="L619" s="514">
        <f>VLOOKUP(I619,'Price List, Weapons &amp; Items'!A:D,4,0)</f>
        <v>0</v>
      </c>
      <c r="M619" s="515">
        <v>10000</v>
      </c>
      <c r="N619" s="515" t="s">
        <v>232</v>
      </c>
      <c r="O619" s="516">
        <f>VLOOKUP($I619,'Price List, Weapons &amp; Items'!A:F,6,0)</f>
        <v>0.13</v>
      </c>
      <c r="P619" s="513">
        <f t="shared" si="129"/>
        <v>1300</v>
      </c>
      <c r="Q619" s="513" t="str">
        <f t="shared" si="130"/>
        <v>.</v>
      </c>
      <c r="R619" s="513">
        <f t="shared" si="121"/>
        <v>2013300</v>
      </c>
      <c r="S619" s="513">
        <f>IF(AND(AD619=1,R619&lt;&gt;".")=TRUE,R619/VLOOKUP(G619,'Exchange rates'!B:C,2,0),IF(R619=".",".",""))</f>
        <v>2006278.0269058296</v>
      </c>
      <c r="T619" s="513" t="str">
        <f>IF(AD619=1,IF(AF619="Value is not given at all",".",IF(AF619="Value is given by the source",S619,IF(AF619="Value is calculated with prices",(IF(SUMIFS(Q:Q,A:A,A619)&gt;0,SUMIFS(Q:Q,A:A,A619),"."))/VLOOKUP("USD",'Exchange rates'!B:C,2,0),"Error with coding"))),"")</f>
        <v>.</v>
      </c>
      <c r="U619" s="39" t="s">
        <v>372</v>
      </c>
      <c r="V619" s="376" t="s">
        <v>1747</v>
      </c>
      <c r="W619" s="530" t="s">
        <v>232</v>
      </c>
      <c r="X619" s="530" t="s">
        <v>232</v>
      </c>
      <c r="Y619" s="530" t="s">
        <v>232</v>
      </c>
      <c r="Z619" s="39">
        <v>0</v>
      </c>
      <c r="AA619" s="518">
        <v>0</v>
      </c>
      <c r="AB619" s="523" t="s">
        <v>232</v>
      </c>
      <c r="AC619" s="519" t="str">
        <f>""</f>
        <v/>
      </c>
      <c r="AD619" s="520">
        <v>1</v>
      </c>
      <c r="AE619" s="520" t="s">
        <v>300</v>
      </c>
      <c r="AF619" s="520" t="s">
        <v>237</v>
      </c>
      <c r="AG619" s="520">
        <v>1</v>
      </c>
      <c r="AH619" s="520">
        <v>3</v>
      </c>
      <c r="AI619" s="520">
        <v>0</v>
      </c>
      <c r="AJ619" s="520">
        <f>VLOOKUP($I619,'Price List, Weapons &amp; Items'!A:E,5,0)</f>
        <v>0</v>
      </c>
      <c r="AK619" s="520">
        <f t="shared" si="122"/>
        <v>0</v>
      </c>
      <c r="AL619" s="520">
        <f t="shared" si="123"/>
        <v>0</v>
      </c>
      <c r="AM619" s="520">
        <f t="shared" si="124"/>
        <v>0</v>
      </c>
      <c r="AN619" s="521" t="str">
        <f>VLOOKUP($I619,'Price List, Weapons &amp; Items'!A:K,COLUMN('Price List, Weapons &amp; Items'!$I$1),0)</f>
        <v>Online marketplaces and stores</v>
      </c>
      <c r="AO619" s="521" t="str">
        <f>IF(I619=".",".",VLOOKUP($I619,'Price List, Weapons &amp; Items'!A:I,3,0))</f>
        <v>.</v>
      </c>
      <c r="AP619" s="517" t="str">
        <f t="shared" ca="1" si="131"/>
        <v>gloves; coat; mouth mask</v>
      </c>
      <c r="AQ619" s="521">
        <f>VLOOKUP($I619,'Price List, Weapons &amp; Items'!A:K,COLUMN('Price List, Weapons &amp; Items'!$K$1),0)</f>
        <v>0</v>
      </c>
      <c r="AS619" s="521">
        <f t="shared" si="125"/>
        <v>0</v>
      </c>
      <c r="AT619" s="521">
        <f t="shared" si="126"/>
        <v>0</v>
      </c>
      <c r="AU619" s="521">
        <f t="shared" si="127"/>
        <v>1</v>
      </c>
      <c r="AV619" s="521" t="str">
        <f t="shared" si="128"/>
        <v>.</v>
      </c>
    </row>
    <row r="620" spans="1:48" ht="15" customHeight="1">
      <c r="A620" s="18" t="s">
        <v>1745</v>
      </c>
      <c r="B620" s="18" t="s">
        <v>1687</v>
      </c>
      <c r="C620" s="511">
        <v>44622</v>
      </c>
      <c r="D620" s="18" t="s">
        <v>228</v>
      </c>
      <c r="E620" s="18" t="s">
        <v>239</v>
      </c>
      <c r="F620" s="512" t="s">
        <v>1746</v>
      </c>
      <c r="G620" s="39" t="s">
        <v>314</v>
      </c>
      <c r="H620" s="513" t="s">
        <v>309</v>
      </c>
      <c r="I620" s="41" t="s">
        <v>1748</v>
      </c>
      <c r="J620" s="276" t="str">
        <f>VLOOKUP($I620,'Price List, Weapons &amp; Items'!A:B,2,0)</f>
        <v>Humanitarian</v>
      </c>
      <c r="K620" s="276" t="str">
        <f>IF(I620=".",I620,VLOOKUP($I620,'Price List, Weapons &amp; Items'!A:C,3,0))</f>
        <v>.</v>
      </c>
      <c r="L620" s="514">
        <f>VLOOKUP(I620,'Price List, Weapons &amp; Items'!A:D,4,0)</f>
        <v>0</v>
      </c>
      <c r="M620" s="515">
        <v>10000</v>
      </c>
      <c r="N620" s="515" t="s">
        <v>232</v>
      </c>
      <c r="O620" s="516">
        <f>VLOOKUP($I620,'Price List, Weapons &amp; Items'!A:F,6,0)</f>
        <v>200</v>
      </c>
      <c r="P620" s="513">
        <f t="shared" si="129"/>
        <v>2000000</v>
      </c>
      <c r="Q620" s="513" t="str">
        <f t="shared" si="130"/>
        <v>.</v>
      </c>
      <c r="R620" s="513" t="str">
        <f t="shared" si="121"/>
        <v/>
      </c>
      <c r="S620" s="513" t="str">
        <f>IF(AND(AD620=1,R620&lt;&gt;".")=TRUE,R620/VLOOKUP(G620,'Exchange rates'!B:C,2,0),IF(R620=".",".",""))</f>
        <v/>
      </c>
      <c r="T620" s="513" t="str">
        <f>IF(AD620=1,IF(AF620="Value is not given at all",".",IF(AF620="Value is given by the source",S620,IF(AF620="Value is calculated with prices",(IF(SUMIFS(Q:Q,A:A,A620)&gt;0,SUMIFS(Q:Q,A:A,A620),"."))/VLOOKUP("USD",'Exchange rates'!B:C,2,0),"Error with coding"))),"")</f>
        <v/>
      </c>
      <c r="U620" s="39" t="s">
        <v>372</v>
      </c>
      <c r="V620" s="376" t="s">
        <v>1747</v>
      </c>
      <c r="W620" s="530" t="s">
        <v>232</v>
      </c>
      <c r="X620" s="530" t="s">
        <v>232</v>
      </c>
      <c r="Y620" s="530" t="s">
        <v>232</v>
      </c>
      <c r="Z620" s="39">
        <v>0</v>
      </c>
      <c r="AA620" s="518">
        <v>0</v>
      </c>
      <c r="AB620" s="523" t="s">
        <v>232</v>
      </c>
      <c r="AC620" s="519" t="str">
        <f>""</f>
        <v/>
      </c>
      <c r="AD620" s="520">
        <v>0</v>
      </c>
      <c r="AE620" s="520" t="s">
        <v>300</v>
      </c>
      <c r="AF620" s="520" t="s">
        <v>237</v>
      </c>
      <c r="AG620" s="520">
        <v>1</v>
      </c>
      <c r="AH620" s="520">
        <v>3</v>
      </c>
      <c r="AI620" s="520">
        <v>0</v>
      </c>
      <c r="AJ620" s="520">
        <f>VLOOKUP($I620,'Price List, Weapons &amp; Items'!A:E,5,0)</f>
        <v>0</v>
      </c>
      <c r="AK620" s="520">
        <f t="shared" si="122"/>
        <v>0</v>
      </c>
      <c r="AL620" s="520">
        <f t="shared" si="123"/>
        <v>0</v>
      </c>
      <c r="AM620" s="520">
        <f t="shared" si="124"/>
        <v>0</v>
      </c>
      <c r="AN620" s="521" t="str">
        <f>VLOOKUP($I620,'Price List, Weapons &amp; Items'!A:K,COLUMN('Price List, Weapons &amp; Items'!$I$1),0)</f>
        <v>Media reports (incl. social media)</v>
      </c>
      <c r="AO620" s="521" t="str">
        <f>IF(I620=".",".",VLOOKUP($I620,'Price List, Weapons &amp; Items'!A:I,3,0))</f>
        <v>.</v>
      </c>
      <c r="AP620" s="517" t="str">
        <f t="shared" ca="1" si="131"/>
        <v/>
      </c>
      <c r="AQ620" s="521">
        <f>VLOOKUP($I620,'Price List, Weapons &amp; Items'!A:K,COLUMN('Price List, Weapons &amp; Items'!$K$1),0)</f>
        <v>0</v>
      </c>
      <c r="AS620" s="521">
        <f t="shared" si="125"/>
        <v>0</v>
      </c>
      <c r="AT620" s="521">
        <f t="shared" si="126"/>
        <v>0</v>
      </c>
      <c r="AU620" s="521">
        <f t="shared" si="127"/>
        <v>1</v>
      </c>
      <c r="AV620" s="521" t="str">
        <f t="shared" si="128"/>
        <v>.</v>
      </c>
    </row>
    <row r="621" spans="1:48" ht="15" customHeight="1">
      <c r="A621" s="18" t="s">
        <v>1745</v>
      </c>
      <c r="B621" s="18" t="s">
        <v>1687</v>
      </c>
      <c r="C621" s="511">
        <v>44622</v>
      </c>
      <c r="D621" s="18" t="s">
        <v>228</v>
      </c>
      <c r="E621" s="18" t="s">
        <v>239</v>
      </c>
      <c r="F621" s="512" t="s">
        <v>1746</v>
      </c>
      <c r="G621" s="39" t="s">
        <v>314</v>
      </c>
      <c r="H621" s="513" t="s">
        <v>309</v>
      </c>
      <c r="I621" s="41" t="s">
        <v>1749</v>
      </c>
      <c r="J621" s="276" t="str">
        <f>VLOOKUP($I621,'Price List, Weapons &amp; Items'!A:B,2,0)</f>
        <v>Humanitarian</v>
      </c>
      <c r="K621" s="276" t="str">
        <f>IF(I621=".",I621,VLOOKUP($I621,'Price List, Weapons &amp; Items'!A:C,3,0))</f>
        <v>.</v>
      </c>
      <c r="L621" s="514">
        <f>VLOOKUP(I621,'Price List, Weapons &amp; Items'!A:D,4,0)</f>
        <v>0</v>
      </c>
      <c r="M621" s="515">
        <v>50000</v>
      </c>
      <c r="N621" s="515" t="s">
        <v>232</v>
      </c>
      <c r="O621" s="516">
        <f>VLOOKUP($I621,'Price List, Weapons &amp; Items'!A:F,6,0)</f>
        <v>0.24</v>
      </c>
      <c r="P621" s="513">
        <f t="shared" si="129"/>
        <v>12000</v>
      </c>
      <c r="Q621" s="513" t="str">
        <f t="shared" si="130"/>
        <v>.</v>
      </c>
      <c r="R621" s="513" t="str">
        <f t="shared" si="121"/>
        <v/>
      </c>
      <c r="S621" s="513" t="str">
        <f>IF(AND(AD621=1,R621&lt;&gt;".")=TRUE,R621/VLOOKUP(G621,'Exchange rates'!B:C,2,0),IF(R621=".",".",""))</f>
        <v/>
      </c>
      <c r="T621" s="513" t="str">
        <f>IF(AD621=1,IF(AF621="Value is not given at all",".",IF(AF621="Value is given by the source",S621,IF(AF621="Value is calculated with prices",(IF(SUMIFS(Q:Q,A:A,A621)&gt;0,SUMIFS(Q:Q,A:A,A621),"."))/VLOOKUP("USD",'Exchange rates'!B:C,2,0),"Error with coding"))),"")</f>
        <v/>
      </c>
      <c r="U621" s="39" t="s">
        <v>372</v>
      </c>
      <c r="V621" s="376" t="s">
        <v>1747</v>
      </c>
      <c r="W621" s="530" t="s">
        <v>232</v>
      </c>
      <c r="X621" s="530" t="s">
        <v>232</v>
      </c>
      <c r="Y621" s="530" t="s">
        <v>232</v>
      </c>
      <c r="Z621" s="39">
        <v>0</v>
      </c>
      <c r="AA621" s="518">
        <v>0</v>
      </c>
      <c r="AB621" s="523" t="s">
        <v>232</v>
      </c>
      <c r="AC621" s="519" t="str">
        <f>""</f>
        <v/>
      </c>
      <c r="AD621" s="520">
        <v>0</v>
      </c>
      <c r="AE621" s="520" t="s">
        <v>300</v>
      </c>
      <c r="AF621" s="520" t="s">
        <v>237</v>
      </c>
      <c r="AG621" s="520">
        <v>1</v>
      </c>
      <c r="AH621" s="520">
        <v>3</v>
      </c>
      <c r="AI621" s="520">
        <v>0</v>
      </c>
      <c r="AJ621" s="520">
        <f>VLOOKUP($I621,'Price List, Weapons &amp; Items'!A:E,5,0)</f>
        <v>0</v>
      </c>
      <c r="AK621" s="520">
        <f t="shared" si="122"/>
        <v>0</v>
      </c>
      <c r="AL621" s="520">
        <f t="shared" si="123"/>
        <v>0</v>
      </c>
      <c r="AM621" s="520">
        <f t="shared" si="124"/>
        <v>0</v>
      </c>
      <c r="AN621" s="521" t="str">
        <f>VLOOKUP($I621,'Price List, Weapons &amp; Items'!A:K,COLUMN('Price List, Weapons &amp; Items'!$I$1),0)</f>
        <v>Online marketplaces and stores</v>
      </c>
      <c r="AO621" s="521" t="str">
        <f>IF(I621=".",".",VLOOKUP($I621,'Price List, Weapons &amp; Items'!A:I,3,0))</f>
        <v>.</v>
      </c>
      <c r="AP621" s="517" t="str">
        <f t="shared" ca="1" si="131"/>
        <v/>
      </c>
      <c r="AQ621" s="521">
        <f>VLOOKUP($I621,'Price List, Weapons &amp; Items'!A:K,COLUMN('Price List, Weapons &amp; Items'!$K$1),0)</f>
        <v>0</v>
      </c>
      <c r="AS621" s="521">
        <f t="shared" si="125"/>
        <v>0</v>
      </c>
      <c r="AT621" s="521">
        <f t="shared" si="126"/>
        <v>0</v>
      </c>
      <c r="AU621" s="521">
        <f t="shared" si="127"/>
        <v>1</v>
      </c>
      <c r="AV621" s="521" t="str">
        <f t="shared" si="128"/>
        <v>.</v>
      </c>
    </row>
    <row r="622" spans="1:48" ht="15" customHeight="1">
      <c r="A622" s="40" t="s">
        <v>1750</v>
      </c>
      <c r="B622" s="40" t="s">
        <v>1687</v>
      </c>
      <c r="C622" s="511">
        <v>44686</v>
      </c>
      <c r="D622" s="541" t="s">
        <v>228</v>
      </c>
      <c r="E622" s="541" t="s">
        <v>239</v>
      </c>
      <c r="F622" s="512" t="s">
        <v>1751</v>
      </c>
      <c r="G622" s="542" t="s">
        <v>314</v>
      </c>
      <c r="H622" s="513" t="s">
        <v>309</v>
      </c>
      <c r="I622" s="40" t="s">
        <v>326</v>
      </c>
      <c r="J622" s="276" t="str">
        <f>VLOOKUP($I622,'Price List, Weapons &amp; Items'!A:B,2,0)</f>
        <v>Humanitarian</v>
      </c>
      <c r="K622" s="276" t="str">
        <f>IF(I622=".",I622,VLOOKUP($I622,'Price List, Weapons &amp; Items'!A:C,3,0))</f>
        <v>.</v>
      </c>
      <c r="L622" s="514">
        <f>VLOOKUP(I622,'Price List, Weapons &amp; Items'!A:D,4,0)</f>
        <v>0</v>
      </c>
      <c r="M622" s="515">
        <v>17</v>
      </c>
      <c r="N622" s="515" t="s">
        <v>232</v>
      </c>
      <c r="O622" s="516">
        <f>VLOOKUP($I622,'Price List, Weapons &amp; Items'!A:F,6,0)</f>
        <v>317500</v>
      </c>
      <c r="P622" s="513">
        <f t="shared" si="129"/>
        <v>5397500</v>
      </c>
      <c r="Q622" s="513" t="str">
        <f t="shared" si="130"/>
        <v>.</v>
      </c>
      <c r="R622" s="513">
        <f t="shared" si="121"/>
        <v>5397500</v>
      </c>
      <c r="S622" s="513">
        <f>IF(AND(AD622=1,R622&lt;&gt;".")=TRUE,R622/VLOOKUP(G622,'Exchange rates'!B:C,2,0),IF(R622=".",".",""))</f>
        <v>5378674.6387643246</v>
      </c>
      <c r="T622" s="513" t="str">
        <f>IF(AD622=1,IF(AF622="Value is not given at all",".",IF(AF622="Value is given by the source",S622,IF(AF622="Value is calculated with prices",(IF(SUMIFS(Q:Q,A:A,A622)&gt;0,SUMIFS(Q:Q,A:A,A622),"."))/VLOOKUP("USD",'Exchange rates'!B:C,2,0),"Error with coding"))),"")</f>
        <v>.</v>
      </c>
      <c r="U622" s="514" t="s">
        <v>233</v>
      </c>
      <c r="V622" s="132" t="s">
        <v>1673</v>
      </c>
      <c r="W622" s="543" t="s">
        <v>232</v>
      </c>
      <c r="X622" s="543" t="s">
        <v>232</v>
      </c>
      <c r="Y622" s="543" t="s">
        <v>232</v>
      </c>
      <c r="Z622" s="39">
        <v>0</v>
      </c>
      <c r="AA622" s="39">
        <v>0</v>
      </c>
      <c r="AB622" s="521" t="s">
        <v>232</v>
      </c>
      <c r="AC622" s="519" t="str">
        <f>""</f>
        <v/>
      </c>
      <c r="AD622" s="522">
        <v>1</v>
      </c>
      <c r="AE622" s="522" t="s">
        <v>300</v>
      </c>
      <c r="AF622" s="522" t="s">
        <v>237</v>
      </c>
      <c r="AG622" s="522">
        <v>1</v>
      </c>
      <c r="AH622" s="520">
        <v>5</v>
      </c>
      <c r="AI622" s="520">
        <v>0</v>
      </c>
      <c r="AJ622" s="520">
        <f>VLOOKUP($I622,'Price List, Weapons &amp; Items'!A:E,5,0)</f>
        <v>0</v>
      </c>
      <c r="AK622" s="520">
        <f t="shared" si="122"/>
        <v>0</v>
      </c>
      <c r="AL622" s="520">
        <f t="shared" si="123"/>
        <v>0</v>
      </c>
      <c r="AM622" s="520">
        <f t="shared" si="124"/>
        <v>0</v>
      </c>
      <c r="AN622" s="521" t="str">
        <f>VLOOKUP($I622,'Price List, Weapons &amp; Items'!A:K,COLUMN('Price List, Weapons &amp; Items'!$I$1),0)</f>
        <v>Media reports (incl. social media)</v>
      </c>
      <c r="AO622" s="521" t="str">
        <f>IF(I622=".",".",VLOOKUP($I622,'Price List, Weapons &amp; Items'!A:I,3,0))</f>
        <v>.</v>
      </c>
      <c r="AP622" s="517" t="str">
        <f t="shared" ca="1" si="131"/>
        <v>ambulance H</v>
      </c>
      <c r="AQ622" s="521">
        <f>VLOOKUP($I622,'Price List, Weapons &amp; Items'!A:K,COLUMN('Price List, Weapons &amp; Items'!$K$1),0)</f>
        <v>0</v>
      </c>
      <c r="AS622" s="521">
        <f t="shared" si="125"/>
        <v>1</v>
      </c>
      <c r="AT622" s="521">
        <f t="shared" si="126"/>
        <v>0</v>
      </c>
      <c r="AU622" s="521">
        <f t="shared" si="127"/>
        <v>1</v>
      </c>
      <c r="AV622" s="521" t="str">
        <f t="shared" si="128"/>
        <v>.</v>
      </c>
    </row>
    <row r="623" spans="1:48" ht="15" customHeight="1">
      <c r="A623" s="40" t="s">
        <v>1752</v>
      </c>
      <c r="B623" s="40" t="s">
        <v>1687</v>
      </c>
      <c r="C623" s="511">
        <v>44686</v>
      </c>
      <c r="D623" s="541" t="s">
        <v>228</v>
      </c>
      <c r="E623" s="541" t="s">
        <v>239</v>
      </c>
      <c r="F623" s="512" t="s">
        <v>1753</v>
      </c>
      <c r="G623" s="542" t="s">
        <v>332</v>
      </c>
      <c r="H623" s="513">
        <v>5000000</v>
      </c>
      <c r="I623" s="40" t="s">
        <v>1340</v>
      </c>
      <c r="J623" s="276" t="str">
        <f>VLOOKUP($I623,'Price List, Weapons &amp; Items'!A:B,2,0)</f>
        <v>Humanitarian</v>
      </c>
      <c r="K623" s="276" t="str">
        <f>IF(I623=".",I623,VLOOKUP($I623,'Price List, Weapons &amp; Items'!A:C,3,0))</f>
        <v>.</v>
      </c>
      <c r="L623" s="514">
        <f>VLOOKUP(I623,'Price List, Weapons &amp; Items'!A:D,4,0)</f>
        <v>0</v>
      </c>
      <c r="M623" s="515" t="s">
        <v>264</v>
      </c>
      <c r="N623" s="515" t="s">
        <v>232</v>
      </c>
      <c r="O623" s="516">
        <f>VLOOKUP($I623,'Price List, Weapons &amp; Items'!A:F,6,0)</f>
        <v>1.29</v>
      </c>
      <c r="P623" s="513" t="str">
        <f t="shared" si="129"/>
        <v>.</v>
      </c>
      <c r="Q623" s="513" t="str">
        <f t="shared" si="130"/>
        <v>.</v>
      </c>
      <c r="R623" s="513">
        <f t="shared" si="121"/>
        <v>5000000</v>
      </c>
      <c r="S623" s="513">
        <f>IF(AND(AD623=1,R623&lt;&gt;".")=TRUE,R623/VLOOKUP(G623,'Exchange rates'!B:C,2,0),IF(R623=".",".",""))</f>
        <v>5000000</v>
      </c>
      <c r="T623" s="513" t="str">
        <f>IF(AD623=1,IF(AF623="Value is not given at all",".",IF(AF623="Value is given by the source",S623,IF(AF623="Value is calculated with prices",(IF(SUMIFS(Q:Q,A:A,A623)&gt;0,SUMIFS(Q:Q,A:A,A623),"."))/VLOOKUP("USD",'Exchange rates'!B:C,2,0),"Error with coding"))),"")</f>
        <v>.</v>
      </c>
      <c r="U623" s="514" t="s">
        <v>233</v>
      </c>
      <c r="V623" s="132" t="s">
        <v>1673</v>
      </c>
      <c r="W623" s="543" t="s">
        <v>232</v>
      </c>
      <c r="X623" s="543" t="s">
        <v>232</v>
      </c>
      <c r="Y623" s="543" t="s">
        <v>232</v>
      </c>
      <c r="Z623" s="39">
        <v>0</v>
      </c>
      <c r="AA623" s="39">
        <v>0</v>
      </c>
      <c r="AB623" s="521" t="s">
        <v>232</v>
      </c>
      <c r="AC623" s="519" t="str">
        <f>""</f>
        <v/>
      </c>
      <c r="AD623" s="522">
        <v>1</v>
      </c>
      <c r="AE623" s="522" t="s">
        <v>236</v>
      </c>
      <c r="AF623" s="522" t="s">
        <v>237</v>
      </c>
      <c r="AG623" s="522">
        <v>1</v>
      </c>
      <c r="AH623" s="520">
        <v>5</v>
      </c>
      <c r="AI623" s="520">
        <v>0</v>
      </c>
      <c r="AJ623" s="520">
        <f>VLOOKUP($I623,'Price List, Weapons &amp; Items'!A:E,5,0)</f>
        <v>0</v>
      </c>
      <c r="AK623" s="520">
        <f t="shared" si="122"/>
        <v>0</v>
      </c>
      <c r="AL623" s="520">
        <f t="shared" si="123"/>
        <v>0</v>
      </c>
      <c r="AM623" s="520">
        <f t="shared" si="124"/>
        <v>0</v>
      </c>
      <c r="AN623" s="521" t="str">
        <f>VLOOKUP($I623,'Price List, Weapons &amp; Items'!A:K,COLUMN('Price List, Weapons &amp; Items'!$I$1),0)</f>
        <v>Miscellaneous</v>
      </c>
      <c r="AO623" s="521" t="str">
        <f>IF(I623=".",".",VLOOKUP($I623,'Price List, Weapons &amp; Items'!A:I,3,0))</f>
        <v>.</v>
      </c>
      <c r="AP623" s="517" t="str">
        <f t="shared" ca="1" si="131"/>
        <v>liter of fuel H</v>
      </c>
      <c r="AQ623" s="521">
        <f>VLOOKUP($I623,'Price List, Weapons &amp; Items'!A:K,COLUMN('Price List, Weapons &amp; Items'!$K$1),0)</f>
        <v>0</v>
      </c>
      <c r="AS623" s="521">
        <f t="shared" si="125"/>
        <v>1</v>
      </c>
      <c r="AT623" s="521">
        <f t="shared" si="126"/>
        <v>0</v>
      </c>
      <c r="AU623" s="521">
        <f t="shared" si="127"/>
        <v>1</v>
      </c>
      <c r="AV623" s="521" t="str">
        <f t="shared" si="128"/>
        <v>.</v>
      </c>
    </row>
    <row r="624" spans="1:48" ht="15" customHeight="1">
      <c r="A624" s="40" t="s">
        <v>1754</v>
      </c>
      <c r="B624" s="40" t="s">
        <v>1687</v>
      </c>
      <c r="C624" s="511">
        <v>44846</v>
      </c>
      <c r="D624" s="541" t="s">
        <v>228</v>
      </c>
      <c r="E624" s="18" t="s">
        <v>229</v>
      </c>
      <c r="F624" s="512" t="s">
        <v>1755</v>
      </c>
      <c r="G624" s="542" t="s">
        <v>332</v>
      </c>
      <c r="H624" s="513">
        <v>180000000</v>
      </c>
      <c r="I624" s="40" t="s">
        <v>232</v>
      </c>
      <c r="J624" s="276" t="str">
        <f>VLOOKUP($I624,'Price List, Weapons &amp; Items'!A:B,2,0)</f>
        <v>.</v>
      </c>
      <c r="K624" s="276" t="str">
        <f>IF(I624=".",I624,VLOOKUP($I624,'Price List, Weapons &amp; Items'!A:C,3,0))</f>
        <v>.</v>
      </c>
      <c r="L624" s="514">
        <f>VLOOKUP(I624,'Price List, Weapons &amp; Items'!A:D,4,0)</f>
        <v>0</v>
      </c>
      <c r="M624" s="515" t="s">
        <v>232</v>
      </c>
      <c r="N624" s="515" t="s">
        <v>232</v>
      </c>
      <c r="O624" s="516" t="str">
        <f>VLOOKUP($I624,'Price List, Weapons &amp; Items'!A:F,6,0)</f>
        <v>.</v>
      </c>
      <c r="P624" s="513" t="str">
        <f t="shared" si="129"/>
        <v>.</v>
      </c>
      <c r="Q624" s="513" t="str">
        <f t="shared" si="130"/>
        <v>.</v>
      </c>
      <c r="R624" s="513">
        <f t="shared" si="121"/>
        <v>180000000</v>
      </c>
      <c r="S624" s="513">
        <f>IF(AND(AD624=1,R624&lt;&gt;".")=TRUE,R624/VLOOKUP(G624,'Exchange rates'!B:C,2,0),IF(R624=".",".",""))</f>
        <v>180000000</v>
      </c>
      <c r="T624" s="513" t="str">
        <f>IF(AD624=1,IF(AF624="Value is not given at all",".",IF(AF624="Value is given by the source",S624,IF(AF624="Value is calculated with prices",(IF(SUMIFS(Q:Q,A:A,A624)&gt;0,SUMIFS(Q:Q,A:A,A624),"."))/VLOOKUP("USD",'Exchange rates'!B:C,2,0),"Error with coding"))),"")</f>
        <v>.</v>
      </c>
      <c r="U624" s="514" t="s">
        <v>233</v>
      </c>
      <c r="V624" s="132" t="s">
        <v>1756</v>
      </c>
      <c r="W624" s="382" t="s">
        <v>1757</v>
      </c>
      <c r="X624" s="543" t="s">
        <v>232</v>
      </c>
      <c r="Y624" s="543" t="s">
        <v>232</v>
      </c>
      <c r="Z624" s="39">
        <v>0</v>
      </c>
      <c r="AA624" s="39">
        <v>1</v>
      </c>
      <c r="AB624" s="521" t="s">
        <v>232</v>
      </c>
      <c r="AC624" s="519" t="str">
        <f>""</f>
        <v/>
      </c>
      <c r="AD624" s="522">
        <v>1</v>
      </c>
      <c r="AE624" s="522" t="s">
        <v>236</v>
      </c>
      <c r="AF624" s="522" t="s">
        <v>237</v>
      </c>
      <c r="AG624" s="522">
        <v>1</v>
      </c>
      <c r="AH624" s="520">
        <v>10</v>
      </c>
      <c r="AI624" s="520">
        <v>0</v>
      </c>
      <c r="AJ624" s="520">
        <f>VLOOKUP($I624,'Price List, Weapons &amp; Items'!A:E,5,0)</f>
        <v>0</v>
      </c>
      <c r="AK624" s="520">
        <f t="shared" si="122"/>
        <v>0</v>
      </c>
      <c r="AL624" s="520">
        <f t="shared" si="123"/>
        <v>0</v>
      </c>
      <c r="AM624" s="520">
        <f t="shared" si="124"/>
        <v>0</v>
      </c>
      <c r="AN624" s="521" t="str">
        <f>VLOOKUP($I624,'Price List, Weapons &amp; Items'!A:K,COLUMN('Price List, Weapons &amp; Items'!$I$1),0)</f>
        <v>.</v>
      </c>
      <c r="AO624" s="521" t="str">
        <f>IF(I624=".",".",VLOOKUP($I624,'Price List, Weapons &amp; Items'!A:I,3,0))</f>
        <v>.</v>
      </c>
      <c r="AP624" s="517" t="str">
        <f t="shared" ca="1" si="131"/>
        <v>.</v>
      </c>
      <c r="AQ624" s="521" t="str">
        <f>VLOOKUP($I624,'Price List, Weapons &amp; Items'!A:K,COLUMN('Price List, Weapons &amp; Items'!$K$1),0)</f>
        <v>no price, 0 count</v>
      </c>
      <c r="AS624" s="521">
        <f t="shared" si="125"/>
        <v>1</v>
      </c>
      <c r="AT624" s="521">
        <f t="shared" si="126"/>
        <v>0</v>
      </c>
      <c r="AU624" s="521">
        <f t="shared" si="127"/>
        <v>1</v>
      </c>
      <c r="AV624" s="521" t="str">
        <f t="shared" si="128"/>
        <v>.</v>
      </c>
    </row>
    <row r="625" spans="1:48" ht="15" customHeight="1">
      <c r="A625" s="41" t="s">
        <v>1758</v>
      </c>
      <c r="B625" s="41" t="s">
        <v>1687</v>
      </c>
      <c r="C625" s="511">
        <v>44627</v>
      </c>
      <c r="D625" s="18" t="s">
        <v>366</v>
      </c>
      <c r="E625" s="18" t="s">
        <v>344</v>
      </c>
      <c r="F625" s="512" t="s">
        <v>1759</v>
      </c>
      <c r="G625" s="39" t="s">
        <v>332</v>
      </c>
      <c r="H625" s="513">
        <v>80000000</v>
      </c>
      <c r="I625" s="41" t="s">
        <v>232</v>
      </c>
      <c r="J625" s="276" t="str">
        <f>VLOOKUP($I625,'Price List, Weapons &amp; Items'!A:B,2,0)</f>
        <v>.</v>
      </c>
      <c r="K625" s="276" t="str">
        <f>IF(I625=".",I625,VLOOKUP($I625,'Price List, Weapons &amp; Items'!A:C,3,0))</f>
        <v>.</v>
      </c>
      <c r="L625" s="514">
        <f>VLOOKUP(I625,'Price List, Weapons &amp; Items'!A:D,4,0)</f>
        <v>0</v>
      </c>
      <c r="M625" s="515" t="s">
        <v>232</v>
      </c>
      <c r="N625" s="515" t="s">
        <v>232</v>
      </c>
      <c r="O625" s="516" t="str">
        <f>VLOOKUP($I625,'Price List, Weapons &amp; Items'!A:F,6,0)</f>
        <v>.</v>
      </c>
      <c r="P625" s="513" t="str">
        <f t="shared" si="129"/>
        <v>.</v>
      </c>
      <c r="Q625" s="513" t="str">
        <f t="shared" si="130"/>
        <v>.</v>
      </c>
      <c r="R625" s="513">
        <f t="shared" si="121"/>
        <v>80000000</v>
      </c>
      <c r="S625" s="513">
        <f>IF(AND(AD625=1,R625&lt;&gt;".")=TRUE,R625/VLOOKUP(G625,'Exchange rates'!B:C,2,0),IF(R625=".",".",""))</f>
        <v>80000000</v>
      </c>
      <c r="T625" s="513" t="str">
        <f>IF(AD625=1,IF(AF625="Value is not given at all",".",IF(AF625="Value is given by the source",S625,IF(AF625="Value is calculated with prices",(IF(SUMIFS(Q:Q,A:A,A625)&gt;0,SUMIFS(Q:Q,A:A,A625),"."))/VLOOKUP("USD",'Exchange rates'!B:C,2,0),"Error with coding"))),"")</f>
        <v>.</v>
      </c>
      <c r="U625" s="39" t="s">
        <v>233</v>
      </c>
      <c r="V625" s="42" t="s">
        <v>833</v>
      </c>
      <c r="W625" s="543" t="s">
        <v>232</v>
      </c>
      <c r="X625" s="543" t="s">
        <v>232</v>
      </c>
      <c r="Y625" s="543" t="s">
        <v>232</v>
      </c>
      <c r="Z625" s="39">
        <v>1</v>
      </c>
      <c r="AA625" s="518">
        <v>0</v>
      </c>
      <c r="AB625" s="523" t="s">
        <v>232</v>
      </c>
      <c r="AC625" s="519" t="str">
        <f>""</f>
        <v/>
      </c>
      <c r="AD625" s="520">
        <v>1</v>
      </c>
      <c r="AE625" s="520" t="s">
        <v>236</v>
      </c>
      <c r="AF625" s="520" t="s">
        <v>237</v>
      </c>
      <c r="AG625" s="520">
        <v>1</v>
      </c>
      <c r="AH625" s="520">
        <v>3</v>
      </c>
      <c r="AI625" s="520">
        <v>0</v>
      </c>
      <c r="AJ625" s="520">
        <f>VLOOKUP($I625,'Price List, Weapons &amp; Items'!A:E,5,0)</f>
        <v>0</v>
      </c>
      <c r="AK625" s="520">
        <f t="shared" si="122"/>
        <v>0</v>
      </c>
      <c r="AL625" s="520">
        <f t="shared" si="123"/>
        <v>0</v>
      </c>
      <c r="AM625" s="520">
        <f t="shared" si="124"/>
        <v>0</v>
      </c>
      <c r="AN625" s="521" t="str">
        <f>VLOOKUP($I625,'Price List, Weapons &amp; Items'!A:K,COLUMN('Price List, Weapons &amp; Items'!$I$1),0)</f>
        <v>.</v>
      </c>
      <c r="AO625" s="521" t="str">
        <f>IF(I625=".",".",VLOOKUP($I625,'Price List, Weapons &amp; Items'!A:I,3,0))</f>
        <v>.</v>
      </c>
      <c r="AP625" s="517" t="str">
        <f t="shared" ca="1" si="131"/>
        <v>.</v>
      </c>
      <c r="AQ625" s="521" t="str">
        <f>VLOOKUP($I625,'Price List, Weapons &amp; Items'!A:K,COLUMN('Price List, Weapons &amp; Items'!$K$1),0)</f>
        <v>no price, 0 count</v>
      </c>
      <c r="AS625" s="521">
        <f t="shared" si="125"/>
        <v>1</v>
      </c>
      <c r="AT625" s="521">
        <f t="shared" si="126"/>
        <v>0</v>
      </c>
      <c r="AU625" s="521">
        <f t="shared" si="127"/>
        <v>1</v>
      </c>
      <c r="AV625" s="521" t="str">
        <f t="shared" si="128"/>
        <v>.</v>
      </c>
    </row>
    <row r="626" spans="1:48" ht="15" customHeight="1">
      <c r="A626" s="41" t="s">
        <v>1760</v>
      </c>
      <c r="B626" s="41" t="s">
        <v>1687</v>
      </c>
      <c r="C626" s="511">
        <v>44687</v>
      </c>
      <c r="D626" s="18" t="s">
        <v>366</v>
      </c>
      <c r="E626" s="18" t="s">
        <v>453</v>
      </c>
      <c r="F626" s="512" t="s">
        <v>1761</v>
      </c>
      <c r="G626" s="39" t="s">
        <v>332</v>
      </c>
      <c r="H626" s="513">
        <v>200000000</v>
      </c>
      <c r="I626" s="41" t="s">
        <v>232</v>
      </c>
      <c r="J626" s="276" t="str">
        <f>VLOOKUP($I626,'Price List, Weapons &amp; Items'!A:B,2,0)</f>
        <v>.</v>
      </c>
      <c r="K626" s="276" t="str">
        <f>IF(I626=".",I626,VLOOKUP($I626,'Price List, Weapons &amp; Items'!A:C,3,0))</f>
        <v>.</v>
      </c>
      <c r="L626" s="514">
        <f>VLOOKUP(I626,'Price List, Weapons &amp; Items'!A:D,4,0)</f>
        <v>0</v>
      </c>
      <c r="M626" s="527" t="s">
        <v>232</v>
      </c>
      <c r="N626" s="527" t="s">
        <v>232</v>
      </c>
      <c r="O626" s="516" t="str">
        <f>VLOOKUP($I626,'Price List, Weapons &amp; Items'!A:F,6,0)</f>
        <v>.</v>
      </c>
      <c r="P626" s="513" t="str">
        <f t="shared" si="129"/>
        <v>.</v>
      </c>
      <c r="Q626" s="513" t="str">
        <f t="shared" si="130"/>
        <v>.</v>
      </c>
      <c r="R626" s="513">
        <f t="shared" si="121"/>
        <v>200000000</v>
      </c>
      <c r="S626" s="513">
        <f>IF(AND(AD626=1,R626&lt;&gt;".")=TRUE,R626/VLOOKUP(G626,'Exchange rates'!B:C,2,0),IF(R626=".",".",""))</f>
        <v>200000000</v>
      </c>
      <c r="T626" s="513" t="str">
        <f>IF(AD626=1,IF(AF626="Value is not given at all",".",IF(AF626="Value is given by the source",S626,IF(AF626="Value is calculated with prices",(IF(SUMIFS(Q:Q,A:A,A626)&gt;0,SUMIFS(Q:Q,A:A,A626),"."))/VLOOKUP("USD",'Exchange rates'!B:C,2,0),"Error with coding"))),"")</f>
        <v>.</v>
      </c>
      <c r="U626" s="39" t="s">
        <v>372</v>
      </c>
      <c r="V626" s="42" t="s">
        <v>1762</v>
      </c>
      <c r="W626" s="512" t="s">
        <v>232</v>
      </c>
      <c r="X626" s="512" t="s">
        <v>232</v>
      </c>
      <c r="Y626" s="512" t="s">
        <v>232</v>
      </c>
      <c r="Z626" s="39">
        <v>1</v>
      </c>
      <c r="AA626" s="518">
        <v>0</v>
      </c>
      <c r="AB626" s="41" t="s">
        <v>232</v>
      </c>
      <c r="AC626" s="519" t="str">
        <f>""</f>
        <v/>
      </c>
      <c r="AD626" s="522">
        <v>1</v>
      </c>
      <c r="AE626" s="522" t="s">
        <v>236</v>
      </c>
      <c r="AF626" s="522" t="s">
        <v>237</v>
      </c>
      <c r="AG626" s="522">
        <v>1</v>
      </c>
      <c r="AH626" s="520">
        <v>5</v>
      </c>
      <c r="AI626" s="520">
        <v>0</v>
      </c>
      <c r="AJ626" s="520">
        <f>VLOOKUP($I626,'Price List, Weapons &amp; Items'!A:E,5,0)</f>
        <v>0</v>
      </c>
      <c r="AK626" s="520">
        <f t="shared" si="122"/>
        <v>0</v>
      </c>
      <c r="AL626" s="520">
        <f t="shared" si="123"/>
        <v>0</v>
      </c>
      <c r="AM626" s="520">
        <f t="shared" si="124"/>
        <v>0</v>
      </c>
      <c r="AN626" s="521" t="str">
        <f>VLOOKUP($I626,'Price List, Weapons &amp; Items'!A:K,COLUMN('Price List, Weapons &amp; Items'!$I$1),0)</f>
        <v>.</v>
      </c>
      <c r="AO626" s="521" t="str">
        <f>IF(I626=".",".",VLOOKUP($I626,'Price List, Weapons &amp; Items'!A:I,3,0))</f>
        <v>.</v>
      </c>
      <c r="AP626" s="517" t="str">
        <f t="shared" ca="1" si="131"/>
        <v>.</v>
      </c>
      <c r="AQ626" s="521" t="str">
        <f>VLOOKUP($I626,'Price List, Weapons &amp; Items'!A:K,COLUMN('Price List, Weapons &amp; Items'!$K$1),0)</f>
        <v>no price, 0 count</v>
      </c>
      <c r="AS626" s="521">
        <f t="shared" si="125"/>
        <v>0</v>
      </c>
      <c r="AT626" s="521">
        <f t="shared" si="126"/>
        <v>0</v>
      </c>
      <c r="AU626" s="521">
        <f t="shared" si="127"/>
        <v>1</v>
      </c>
      <c r="AV626" s="521" t="str">
        <f t="shared" si="128"/>
        <v>.</v>
      </c>
    </row>
    <row r="627" spans="1:48" s="41" customFormat="1" ht="15" customHeight="1">
      <c r="A627" s="41" t="s">
        <v>1763</v>
      </c>
      <c r="B627" s="41" t="s">
        <v>1687</v>
      </c>
      <c r="C627" s="511">
        <v>44801</v>
      </c>
      <c r="D627" s="18" t="s">
        <v>366</v>
      </c>
      <c r="E627" s="18" t="s">
        <v>330</v>
      </c>
      <c r="F627" s="512" t="s">
        <v>1764</v>
      </c>
      <c r="G627" s="39" t="s">
        <v>332</v>
      </c>
      <c r="H627" s="513">
        <f>65000000+1000000+2500000</f>
        <v>68500000</v>
      </c>
      <c r="I627" s="41" t="s">
        <v>232</v>
      </c>
      <c r="J627" s="276" t="str">
        <f>VLOOKUP($I627,'Price List, Weapons &amp; Items'!A:B,2,0)</f>
        <v>.</v>
      </c>
      <c r="K627" s="276" t="str">
        <f>IF(I627=".",I627,VLOOKUP($I627,'Price List, Weapons &amp; Items'!A:C,3,0))</f>
        <v>.</v>
      </c>
      <c r="L627" s="514">
        <f>VLOOKUP(I627,'Price List, Weapons &amp; Items'!A:D,4,0)</f>
        <v>0</v>
      </c>
      <c r="M627" s="527" t="s">
        <v>232</v>
      </c>
      <c r="N627" s="527" t="s">
        <v>232</v>
      </c>
      <c r="O627" s="516" t="str">
        <f>VLOOKUP($I627,'Price List, Weapons &amp; Items'!A:F,6,0)</f>
        <v>.</v>
      </c>
      <c r="P627" s="513" t="str">
        <f t="shared" si="129"/>
        <v>.</v>
      </c>
      <c r="Q627" s="513" t="str">
        <f t="shared" si="130"/>
        <v>.</v>
      </c>
      <c r="R627" s="513">
        <f t="shared" si="121"/>
        <v>68500000</v>
      </c>
      <c r="S627" s="513">
        <f>IF(AND(AD627=1,R627&lt;&gt;".")=TRUE,R627/VLOOKUP(G627,'Exchange rates'!B:C,2,0),IF(R627=".",".",""))</f>
        <v>68500000</v>
      </c>
      <c r="T627" s="513" t="str">
        <f>IF(AD627=1,IF(AF627="Value is not given at all",".",IF(AF627="Value is given by the source",S627,IF(AF627="Value is calculated with prices",(IF(SUMIFS(Q:Q,A:A,A627)&gt;0,SUMIFS(Q:Q,A:A,A627),"."))/VLOOKUP("USD",'Exchange rates'!B:C,2,0),"Error with coding"))),"")</f>
        <v>.</v>
      </c>
      <c r="U627" s="39" t="s">
        <v>233</v>
      </c>
      <c r="V627" s="658" t="s">
        <v>1730</v>
      </c>
      <c r="W627" s="512" t="s">
        <v>232</v>
      </c>
      <c r="X627" s="512" t="s">
        <v>232</v>
      </c>
      <c r="Y627" s="512" t="s">
        <v>232</v>
      </c>
      <c r="Z627" s="39">
        <v>0</v>
      </c>
      <c r="AA627" s="39">
        <v>0</v>
      </c>
      <c r="AB627" s="41" t="s">
        <v>232</v>
      </c>
      <c r="AC627" s="519" t="str">
        <f>""</f>
        <v/>
      </c>
      <c r="AD627" s="522">
        <v>1</v>
      </c>
      <c r="AE627" s="522" t="s">
        <v>236</v>
      </c>
      <c r="AF627" s="522" t="s">
        <v>237</v>
      </c>
      <c r="AG627" s="522"/>
      <c r="AH627" s="522">
        <v>8</v>
      </c>
      <c r="AI627" s="522">
        <v>0</v>
      </c>
      <c r="AJ627" s="520">
        <f>VLOOKUP($I627,'Price List, Weapons &amp; Items'!A:E,5,0)</f>
        <v>0</v>
      </c>
      <c r="AK627" s="520">
        <f t="shared" si="122"/>
        <v>0</v>
      </c>
      <c r="AL627" s="520">
        <f t="shared" si="123"/>
        <v>0</v>
      </c>
      <c r="AM627" s="520">
        <f t="shared" si="124"/>
        <v>0</v>
      </c>
      <c r="AN627" s="521" t="str">
        <f>VLOOKUP($I627,'Price List, Weapons &amp; Items'!A:K,COLUMN('Price List, Weapons &amp; Items'!$I$1),0)</f>
        <v>.</v>
      </c>
      <c r="AO627" s="521" t="str">
        <f>IF(I627=".",".",VLOOKUP($I627,'Price List, Weapons &amp; Items'!A:I,3,0))</f>
        <v>.</v>
      </c>
      <c r="AP627" s="517" t="str">
        <f t="shared" ca="1" si="131"/>
        <v>.</v>
      </c>
      <c r="AQ627" s="521" t="str">
        <f>VLOOKUP($I627,'Price List, Weapons &amp; Items'!A:K,COLUMN('Price List, Weapons &amp; Items'!$K$1),0)</f>
        <v>no price, 0 count</v>
      </c>
      <c r="AS627" s="521">
        <f t="shared" si="125"/>
        <v>1</v>
      </c>
      <c r="AT627" s="521">
        <f t="shared" si="126"/>
        <v>0</v>
      </c>
      <c r="AU627" s="521">
        <f t="shared" si="127"/>
        <v>1</v>
      </c>
      <c r="AV627" s="521" t="str">
        <f t="shared" si="128"/>
        <v>.</v>
      </c>
    </row>
    <row r="628" spans="1:48" s="41" customFormat="1" ht="15" customHeight="1">
      <c r="A628" s="18" t="s">
        <v>1765</v>
      </c>
      <c r="B628" s="18" t="s">
        <v>1766</v>
      </c>
      <c r="C628" s="511">
        <v>44641</v>
      </c>
      <c r="D628" s="18" t="s">
        <v>252</v>
      </c>
      <c r="E628" s="18" t="s">
        <v>261</v>
      </c>
      <c r="F628" s="512" t="s">
        <v>1767</v>
      </c>
      <c r="G628" s="39" t="s">
        <v>314</v>
      </c>
      <c r="H628" s="513" t="s">
        <v>309</v>
      </c>
      <c r="I628" s="523" t="s">
        <v>446</v>
      </c>
      <c r="J628" s="276" t="str">
        <f>VLOOKUP($I628,'Price List, Weapons &amp; Items'!A:B,2,0)</f>
        <v>Military equipment</v>
      </c>
      <c r="K628" s="276" t="str">
        <f>IF(I628=".",I628,VLOOKUP($I628,'Price List, Weapons &amp; Items'!A:C,3,0))</f>
        <v>.</v>
      </c>
      <c r="L628" s="514">
        <f>VLOOKUP(I628,'Price List, Weapons &amp; Items'!A:D,4,0)</f>
        <v>0</v>
      </c>
      <c r="M628" s="515">
        <v>1066</v>
      </c>
      <c r="N628" s="515">
        <v>1066</v>
      </c>
      <c r="O628" s="516">
        <f>VLOOKUP($I628,'Price List, Weapons &amp; Items'!A:F,6,0)</f>
        <v>500</v>
      </c>
      <c r="P628" s="513">
        <f t="shared" si="129"/>
        <v>533000</v>
      </c>
      <c r="Q628" s="513">
        <f t="shared" si="130"/>
        <v>533000</v>
      </c>
      <c r="R628" s="513">
        <f t="shared" si="121"/>
        <v>1223750</v>
      </c>
      <c r="S628" s="513">
        <f>IF(AND(AD628=1,R628&lt;&gt;".")=TRUE,R628/VLOOKUP(G628,'Exchange rates'!B:C,2,0),IF(R628=".",".",""))</f>
        <v>1219481.8136522172</v>
      </c>
      <c r="T628" s="513">
        <f>IF(AD628=1,IF(AF628="Value is not given at all",".",IF(AF628="Value is given by the source",S628,IF(AF628="Value is calculated with prices",(IF(SUMIFS(Q:Q,A:A,A628)&gt;0,SUMIFS(Q:Q,A:A,A628),"."))/VLOOKUP("USD",'Exchange rates'!B:C,2,0),"Error with coding"))),"")</f>
        <v>1219481.8136522172</v>
      </c>
      <c r="U628" s="39" t="s">
        <v>233</v>
      </c>
      <c r="V628" s="376" t="s">
        <v>1768</v>
      </c>
      <c r="W628" s="376" t="s">
        <v>1769</v>
      </c>
      <c r="X628" s="530" t="s">
        <v>232</v>
      </c>
      <c r="Y628" s="530" t="s">
        <v>232</v>
      </c>
      <c r="Z628" s="39">
        <v>0</v>
      </c>
      <c r="AA628" s="39">
        <v>0</v>
      </c>
      <c r="AB628" s="394" t="s">
        <v>1770</v>
      </c>
      <c r="AC628" s="519" t="str">
        <f>""</f>
        <v/>
      </c>
      <c r="AD628" s="522">
        <v>1</v>
      </c>
      <c r="AE628" s="522" t="s">
        <v>300</v>
      </c>
      <c r="AF628" s="522" t="s">
        <v>300</v>
      </c>
      <c r="AG628" s="522">
        <v>1</v>
      </c>
      <c r="AH628" s="522">
        <v>3</v>
      </c>
      <c r="AI628" s="522">
        <v>0</v>
      </c>
      <c r="AJ628" s="520">
        <f>VLOOKUP($I628,'Price List, Weapons &amp; Items'!A:E,5,0)</f>
        <v>0</v>
      </c>
      <c r="AK628" s="520">
        <f t="shared" si="122"/>
        <v>0</v>
      </c>
      <c r="AL628" s="520">
        <f t="shared" si="123"/>
        <v>0</v>
      </c>
      <c r="AM628" s="520">
        <f t="shared" si="124"/>
        <v>0</v>
      </c>
      <c r="AN628" s="521" t="str">
        <f>VLOOKUP($I628,'Price List, Weapons &amp; Items'!A:K,COLUMN('Price List, Weapons &amp; Items'!$I$1),0)</f>
        <v>Military media (incl. websites)</v>
      </c>
      <c r="AO628" s="521" t="str">
        <f>IF(I628=".",".",VLOOKUP($I628,'Price List, Weapons &amp; Items'!A:I,3,0))</f>
        <v>.</v>
      </c>
      <c r="AP628" s="517" t="str">
        <f t="shared" ca="1" si="131"/>
        <v>ballistic vest; helmet; camouflage vest</v>
      </c>
      <c r="AQ628" s="521">
        <f>VLOOKUP($I628,'Price List, Weapons &amp; Items'!A:K,COLUMN('Price List, Weapons &amp; Items'!$K$1),0)</f>
        <v>2</v>
      </c>
      <c r="AS628" s="521">
        <f t="shared" si="125"/>
        <v>1</v>
      </c>
      <c r="AT628" s="521">
        <f t="shared" si="126"/>
        <v>1</v>
      </c>
      <c r="AU628" s="521">
        <f t="shared" si="127"/>
        <v>1</v>
      </c>
      <c r="AV628" s="521" t="str">
        <f t="shared" si="128"/>
        <v>.</v>
      </c>
    </row>
    <row r="629" spans="1:48" s="41" customFormat="1" ht="15" customHeight="1">
      <c r="A629" s="18" t="s">
        <v>1765</v>
      </c>
      <c r="B629" s="18" t="s">
        <v>1766</v>
      </c>
      <c r="C629" s="511">
        <v>44641</v>
      </c>
      <c r="D629" s="18" t="s">
        <v>252</v>
      </c>
      <c r="E629" s="18" t="s">
        <v>261</v>
      </c>
      <c r="F629" s="512" t="s">
        <v>1767</v>
      </c>
      <c r="G629" s="39" t="s">
        <v>314</v>
      </c>
      <c r="H629" s="513" t="s">
        <v>309</v>
      </c>
      <c r="I629" s="523" t="s">
        <v>419</v>
      </c>
      <c r="J629" s="276" t="str">
        <f>VLOOKUP($I629,'Price List, Weapons &amp; Items'!A:B,2,0)</f>
        <v>Military equipment</v>
      </c>
      <c r="K629" s="276" t="str">
        <f>IF(I629=".",I629,VLOOKUP($I629,'Price List, Weapons &amp; Items'!A:C,3,0))</f>
        <v>.</v>
      </c>
      <c r="L629" s="514">
        <f>VLOOKUP(I629,'Price List, Weapons &amp; Items'!A:D,4,0)</f>
        <v>0</v>
      </c>
      <c r="M629" s="515">
        <v>473</v>
      </c>
      <c r="N629" s="515">
        <v>473</v>
      </c>
      <c r="O629" s="516">
        <f>VLOOKUP($I629,'Price List, Weapons &amp; Items'!A:F,6,0)</f>
        <v>1400</v>
      </c>
      <c r="P629" s="513">
        <f t="shared" si="129"/>
        <v>662200</v>
      </c>
      <c r="Q629" s="513">
        <f t="shared" si="130"/>
        <v>662200</v>
      </c>
      <c r="R629" s="513" t="str">
        <f t="shared" si="121"/>
        <v/>
      </c>
      <c r="S629" s="513" t="str">
        <f>IF(AND(AD629=1,R629&lt;&gt;".")=TRUE,R629/VLOOKUP(G629,'Exchange rates'!B:C,2,0),IF(R629=".",".",""))</f>
        <v/>
      </c>
      <c r="T629" s="513" t="str">
        <f>IF(AD629=1,IF(AF629="Value is not given at all",".",IF(AF629="Value is given by the source",S629,IF(AF629="Value is calculated with prices",(IF(SUMIFS(Q:Q,A:A,A629)&gt;0,SUMIFS(Q:Q,A:A,A629),"."))/VLOOKUP("USD",'Exchange rates'!B:C,2,0),"Error with coding"))),"")</f>
        <v/>
      </c>
      <c r="U629" s="39" t="s">
        <v>233</v>
      </c>
      <c r="V629" s="376" t="s">
        <v>1768</v>
      </c>
      <c r="W629" s="376" t="s">
        <v>1769</v>
      </c>
      <c r="X629" s="530" t="s">
        <v>232</v>
      </c>
      <c r="Y629" s="530" t="s">
        <v>232</v>
      </c>
      <c r="Z629" s="39">
        <v>0</v>
      </c>
      <c r="AA629" s="39">
        <v>0</v>
      </c>
      <c r="AB629" s="394" t="s">
        <v>1770</v>
      </c>
      <c r="AC629" s="519" t="str">
        <f>""</f>
        <v/>
      </c>
      <c r="AD629" s="522">
        <v>0</v>
      </c>
      <c r="AE629" s="522" t="s">
        <v>300</v>
      </c>
      <c r="AF629" s="522" t="s">
        <v>300</v>
      </c>
      <c r="AG629" s="522">
        <v>1</v>
      </c>
      <c r="AH629" s="522">
        <v>3</v>
      </c>
      <c r="AI629" s="522">
        <v>0</v>
      </c>
      <c r="AJ629" s="520">
        <f>VLOOKUP($I629,'Price List, Weapons &amp; Items'!A:E,5,0)</f>
        <v>0</v>
      </c>
      <c r="AK629" s="520">
        <f t="shared" si="122"/>
        <v>0</v>
      </c>
      <c r="AL629" s="520">
        <f t="shared" si="123"/>
        <v>0</v>
      </c>
      <c r="AM629" s="520">
        <f t="shared" si="124"/>
        <v>0</v>
      </c>
      <c r="AN629" s="521" t="str">
        <f>VLOOKUP($I629,'Price List, Weapons &amp; Items'!A:K,COLUMN('Price List, Weapons &amp; Items'!$I$1),0)</f>
        <v>Military media (incl. websites)</v>
      </c>
      <c r="AO629" s="521" t="str">
        <f>IF(I629=".",".",VLOOKUP($I629,'Price List, Weapons &amp; Items'!A:I,3,0))</f>
        <v>.</v>
      </c>
      <c r="AP629" s="517" t="str">
        <f t="shared" ca="1" si="131"/>
        <v/>
      </c>
      <c r="AQ629" s="521">
        <f>VLOOKUP($I629,'Price List, Weapons &amp; Items'!A:K,COLUMN('Price List, Weapons &amp; Items'!$K$1),0)</f>
        <v>2</v>
      </c>
      <c r="AS629" s="521">
        <f t="shared" si="125"/>
        <v>1</v>
      </c>
      <c r="AT629" s="521">
        <f t="shared" si="126"/>
        <v>1</v>
      </c>
      <c r="AU629" s="521">
        <f t="shared" si="127"/>
        <v>1</v>
      </c>
      <c r="AV629" s="521" t="str">
        <f t="shared" si="128"/>
        <v>.</v>
      </c>
    </row>
    <row r="630" spans="1:48" s="41" customFormat="1" ht="15" customHeight="1">
      <c r="A630" s="18" t="s">
        <v>1765</v>
      </c>
      <c r="B630" s="18" t="s">
        <v>1766</v>
      </c>
      <c r="C630" s="511">
        <v>44641</v>
      </c>
      <c r="D630" s="18" t="s">
        <v>252</v>
      </c>
      <c r="E630" s="18" t="s">
        <v>261</v>
      </c>
      <c r="F630" s="512" t="s">
        <v>1767</v>
      </c>
      <c r="G630" s="39" t="s">
        <v>314</v>
      </c>
      <c r="H630" s="513" t="s">
        <v>309</v>
      </c>
      <c r="I630" s="41" t="s">
        <v>1771</v>
      </c>
      <c r="J630" s="276" t="str">
        <f>VLOOKUP($I630,'Price List, Weapons &amp; Items'!A:B,2,0)</f>
        <v>Military equipment</v>
      </c>
      <c r="K630" s="276" t="str">
        <f>IF(I630=".",I630,VLOOKUP($I630,'Price List, Weapons &amp; Items'!A:C,3,0))</f>
        <v>.</v>
      </c>
      <c r="L630" s="514">
        <f>VLOOKUP(I630,'Price List, Weapons &amp; Items'!A:D,4,0)</f>
        <v>0</v>
      </c>
      <c r="M630" s="515">
        <v>571</v>
      </c>
      <c r="N630" s="515">
        <v>571</v>
      </c>
      <c r="O630" s="516">
        <f>VLOOKUP($I630,'Price List, Weapons &amp; Items'!A:F,6,0)</f>
        <v>50</v>
      </c>
      <c r="P630" s="513">
        <f t="shared" si="129"/>
        <v>28550</v>
      </c>
      <c r="Q630" s="513">
        <f t="shared" si="130"/>
        <v>28550</v>
      </c>
      <c r="R630" s="513" t="str">
        <f t="shared" si="121"/>
        <v/>
      </c>
      <c r="S630" s="513" t="str">
        <f>IF(AND(AD630=1,R630&lt;&gt;".")=TRUE,R630/VLOOKUP(G630,'Exchange rates'!B:C,2,0),IF(R630=".",".",""))</f>
        <v/>
      </c>
      <c r="T630" s="513" t="str">
        <f>IF(AD630=1,IF(AF630="Value is not given at all",".",IF(AF630="Value is given by the source",S630,IF(AF630="Value is calculated with prices",(IF(SUMIFS(Q:Q,A:A,A630)&gt;0,SUMIFS(Q:Q,A:A,A630),"."))/VLOOKUP("USD",'Exchange rates'!B:C,2,0),"Error with coding"))),"")</f>
        <v/>
      </c>
      <c r="U630" s="39" t="s">
        <v>233</v>
      </c>
      <c r="V630" s="376" t="s">
        <v>1768</v>
      </c>
      <c r="W630" s="376" t="s">
        <v>1769</v>
      </c>
      <c r="X630" s="530" t="s">
        <v>232</v>
      </c>
      <c r="Y630" s="530" t="s">
        <v>232</v>
      </c>
      <c r="Z630" s="39">
        <v>0</v>
      </c>
      <c r="AA630" s="39">
        <v>0</v>
      </c>
      <c r="AB630" s="394" t="s">
        <v>1770</v>
      </c>
      <c r="AC630" s="519" t="str">
        <f>""</f>
        <v/>
      </c>
      <c r="AD630" s="522">
        <v>0</v>
      </c>
      <c r="AE630" s="522" t="s">
        <v>300</v>
      </c>
      <c r="AF630" s="522" t="s">
        <v>300</v>
      </c>
      <c r="AG630" s="522">
        <v>1</v>
      </c>
      <c r="AH630" s="522">
        <v>3</v>
      </c>
      <c r="AI630" s="522">
        <v>0</v>
      </c>
      <c r="AJ630" s="520">
        <f>VLOOKUP($I630,'Price List, Weapons &amp; Items'!A:E,5,0)</f>
        <v>0</v>
      </c>
      <c r="AK630" s="520">
        <f t="shared" si="122"/>
        <v>0</v>
      </c>
      <c r="AL630" s="520">
        <f t="shared" si="123"/>
        <v>0</v>
      </c>
      <c r="AM630" s="520">
        <f t="shared" si="124"/>
        <v>0</v>
      </c>
      <c r="AN630" s="521" t="str">
        <f>VLOOKUP($I630,'Price List, Weapons &amp; Items'!A:K,COLUMN('Price List, Weapons &amp; Items'!$I$1),0)</f>
        <v>Online marketplaces and stores</v>
      </c>
      <c r="AO630" s="521" t="str">
        <f>IF(I630=".",".",VLOOKUP($I630,'Price List, Weapons &amp; Items'!A:I,3,0))</f>
        <v>.</v>
      </c>
      <c r="AP630" s="517" t="str">
        <f t="shared" ca="1" si="131"/>
        <v/>
      </c>
      <c r="AQ630" s="521">
        <f>VLOOKUP($I630,'Price List, Weapons &amp; Items'!A:K,COLUMN('Price List, Weapons &amp; Items'!$K$1),0)</f>
        <v>1</v>
      </c>
      <c r="AS630" s="521">
        <f t="shared" si="125"/>
        <v>1</v>
      </c>
      <c r="AT630" s="521">
        <f t="shared" si="126"/>
        <v>1</v>
      </c>
      <c r="AU630" s="521">
        <f t="shared" si="127"/>
        <v>1</v>
      </c>
      <c r="AV630" s="521" t="str">
        <f t="shared" si="128"/>
        <v>.</v>
      </c>
    </row>
    <row r="631" spans="1:48" ht="15" customHeight="1">
      <c r="A631" s="41" t="s">
        <v>1772</v>
      </c>
      <c r="B631" s="41" t="s">
        <v>1766</v>
      </c>
      <c r="C631" s="511">
        <v>44641</v>
      </c>
      <c r="D631" s="18" t="s">
        <v>252</v>
      </c>
      <c r="E631" s="18" t="s">
        <v>229</v>
      </c>
      <c r="F631" s="512" t="s">
        <v>1773</v>
      </c>
      <c r="G631" s="39" t="s">
        <v>1774</v>
      </c>
      <c r="H631" s="513">
        <v>5000000</v>
      </c>
      <c r="I631" s="523" t="s">
        <v>232</v>
      </c>
      <c r="J631" s="276" t="str">
        <f>VLOOKUP($I631,'Price List, Weapons &amp; Items'!A:B,2,0)</f>
        <v>.</v>
      </c>
      <c r="K631" s="276" t="str">
        <f>IF(I631=".",I631,VLOOKUP($I631,'Price List, Weapons &amp; Items'!A:C,3,0))</f>
        <v>.</v>
      </c>
      <c r="L631" s="514">
        <f>VLOOKUP(I631,'Price List, Weapons &amp; Items'!A:D,4,0)</f>
        <v>0</v>
      </c>
      <c r="M631" s="515" t="s">
        <v>232</v>
      </c>
      <c r="N631" s="515" t="s">
        <v>232</v>
      </c>
      <c r="O631" s="516" t="str">
        <f>VLOOKUP($I631,'Price List, Weapons &amp; Items'!A:F,6,0)</f>
        <v>.</v>
      </c>
      <c r="P631" s="513" t="str">
        <f t="shared" si="129"/>
        <v>.</v>
      </c>
      <c r="Q631" s="513" t="str">
        <f t="shared" si="130"/>
        <v>.</v>
      </c>
      <c r="R631" s="513">
        <f t="shared" si="121"/>
        <v>5000000</v>
      </c>
      <c r="S631" s="513">
        <f>IF(AND(AD631=1,R631&lt;&gt;".")=TRUE,R631/VLOOKUP(G631,'Exchange rates'!B:C,2,0),IF(R631=".",".",""))</f>
        <v>2935650.5401596995</v>
      </c>
      <c r="T631" s="513" t="str">
        <f>IF(AD631=1,IF(AF631="Value is not given at all",".",IF(AF631="Value is given by the source",S631,IF(AF631="Value is calculated with prices",(IF(SUMIFS(Q:Q,A:A,A631)&gt;0,SUMIFS(Q:Q,A:A,A631),"."))/VLOOKUP("USD",'Exchange rates'!B:C,2,0),"Error with coding"))),"")</f>
        <v>.</v>
      </c>
      <c r="U631" s="39" t="s">
        <v>233</v>
      </c>
      <c r="V631" s="42" t="s">
        <v>1775</v>
      </c>
      <c r="W631" s="42" t="s">
        <v>1768</v>
      </c>
      <c r="X631" s="42" t="s">
        <v>1769</v>
      </c>
      <c r="Y631" s="42" t="s">
        <v>1776</v>
      </c>
      <c r="Z631" s="39">
        <v>0</v>
      </c>
      <c r="AA631" s="518">
        <v>0</v>
      </c>
      <c r="AB631" s="38" t="s">
        <v>232</v>
      </c>
      <c r="AC631" s="519" t="str">
        <f>""</f>
        <v/>
      </c>
      <c r="AD631" s="520">
        <v>1</v>
      </c>
      <c r="AE631" s="520" t="s">
        <v>236</v>
      </c>
      <c r="AF631" s="520" t="s">
        <v>237</v>
      </c>
      <c r="AG631" s="520">
        <v>1</v>
      </c>
      <c r="AH631" s="520">
        <v>3</v>
      </c>
      <c r="AI631" s="520">
        <v>0</v>
      </c>
      <c r="AJ631" s="520">
        <f>VLOOKUP($I631,'Price List, Weapons &amp; Items'!A:E,5,0)</f>
        <v>0</v>
      </c>
      <c r="AK631" s="520">
        <f t="shared" si="122"/>
        <v>0</v>
      </c>
      <c r="AL631" s="520">
        <f t="shared" si="123"/>
        <v>0</v>
      </c>
      <c r="AM631" s="520">
        <f t="shared" si="124"/>
        <v>0</v>
      </c>
      <c r="AN631" s="521" t="str">
        <f>VLOOKUP($I631,'Price List, Weapons &amp; Items'!A:K,COLUMN('Price List, Weapons &amp; Items'!$I$1),0)</f>
        <v>.</v>
      </c>
      <c r="AO631" s="521" t="str">
        <f>IF(I631=".",".",VLOOKUP($I631,'Price List, Weapons &amp; Items'!A:I,3,0))</f>
        <v>.</v>
      </c>
      <c r="AP631" s="517" t="str">
        <f t="shared" ca="1" si="131"/>
        <v>.</v>
      </c>
      <c r="AQ631" s="521" t="str">
        <f>VLOOKUP($I631,'Price List, Weapons &amp; Items'!A:K,COLUMN('Price List, Weapons &amp; Items'!$K$1),0)</f>
        <v>no price, 0 count</v>
      </c>
      <c r="AS631" s="521">
        <f t="shared" si="125"/>
        <v>1</v>
      </c>
      <c r="AT631" s="521">
        <f t="shared" si="126"/>
        <v>0</v>
      </c>
      <c r="AU631" s="521">
        <f t="shared" si="127"/>
        <v>1</v>
      </c>
      <c r="AV631" s="521" t="str">
        <f t="shared" si="128"/>
        <v>.</v>
      </c>
    </row>
    <row r="632" spans="1:48" ht="15" customHeight="1">
      <c r="A632" s="41" t="s">
        <v>1777</v>
      </c>
      <c r="B632" s="41" t="s">
        <v>1766</v>
      </c>
      <c r="C632" s="511">
        <v>44662</v>
      </c>
      <c r="D632" s="18" t="s">
        <v>252</v>
      </c>
      <c r="E632" s="18" t="s">
        <v>261</v>
      </c>
      <c r="F632" s="512" t="s">
        <v>1778</v>
      </c>
      <c r="G632" s="39" t="s">
        <v>1774</v>
      </c>
      <c r="H632" s="513">
        <v>4100000</v>
      </c>
      <c r="I632" s="523" t="s">
        <v>232</v>
      </c>
      <c r="J632" s="276" t="str">
        <f>VLOOKUP($I632,'Price List, Weapons &amp; Items'!A:B,2,0)</f>
        <v>.</v>
      </c>
      <c r="K632" s="276" t="str">
        <f>IF(I632=".",I632,VLOOKUP($I632,'Price List, Weapons &amp; Items'!A:C,3,0))</f>
        <v>.</v>
      </c>
      <c r="L632" s="514">
        <f>VLOOKUP(I632,'Price List, Weapons &amp; Items'!A:D,4,0)</f>
        <v>0</v>
      </c>
      <c r="M632" s="515" t="s">
        <v>232</v>
      </c>
      <c r="N632" s="515" t="s">
        <v>232</v>
      </c>
      <c r="O632" s="516" t="str">
        <f>VLOOKUP($I632,'Price List, Weapons &amp; Items'!A:F,6,0)</f>
        <v>.</v>
      </c>
      <c r="P632" s="513" t="str">
        <f t="shared" si="129"/>
        <v>.</v>
      </c>
      <c r="Q632" s="513" t="str">
        <f t="shared" si="130"/>
        <v>.</v>
      </c>
      <c r="R632" s="513">
        <f t="shared" si="121"/>
        <v>4100000</v>
      </c>
      <c r="S632" s="513">
        <f>IF(AND(AD632=1,R632&lt;&gt;".")=TRUE,R632/VLOOKUP(G632,'Exchange rates'!B:C,2,0),IF(R632=".",".",""))</f>
        <v>2407233.4429309536</v>
      </c>
      <c r="T632" s="513" t="str">
        <f>IF(AD632=1,IF(AF632="Value is not given at all",".",IF(AF632="Value is given by the source",S632,IF(AF632="Value is calculated with prices",(IF(SUMIFS(Q:Q,A:A,A632)&gt;0,SUMIFS(Q:Q,A:A,A632),"."))/VLOOKUP("USD",'Exchange rates'!B:C,2,0),"Error with coding"))),"")</f>
        <v>.</v>
      </c>
      <c r="U632" s="39" t="s">
        <v>233</v>
      </c>
      <c r="V632" s="42" t="s">
        <v>1775</v>
      </c>
      <c r="W632" s="42" t="s">
        <v>1779</v>
      </c>
      <c r="X632" s="42" t="s">
        <v>1780</v>
      </c>
      <c r="Y632" s="543" t="s">
        <v>232</v>
      </c>
      <c r="Z632" s="39">
        <v>0</v>
      </c>
      <c r="AA632" s="518">
        <v>0</v>
      </c>
      <c r="AB632" s="38" t="s">
        <v>232</v>
      </c>
      <c r="AC632" s="519" t="str">
        <f>""</f>
        <v/>
      </c>
      <c r="AD632" s="520">
        <v>1</v>
      </c>
      <c r="AE632" s="520" t="s">
        <v>236</v>
      </c>
      <c r="AF632" s="520" t="s">
        <v>237</v>
      </c>
      <c r="AG632" s="520">
        <v>1</v>
      </c>
      <c r="AH632" s="520">
        <v>4</v>
      </c>
      <c r="AI632" s="520">
        <v>0</v>
      </c>
      <c r="AJ632" s="520">
        <f>VLOOKUP($I632,'Price List, Weapons &amp; Items'!A:E,5,0)</f>
        <v>0</v>
      </c>
      <c r="AK632" s="520">
        <f t="shared" si="122"/>
        <v>0</v>
      </c>
      <c r="AL632" s="520">
        <f t="shared" si="123"/>
        <v>0</v>
      </c>
      <c r="AM632" s="520">
        <f t="shared" si="124"/>
        <v>0</v>
      </c>
      <c r="AN632" s="521" t="str">
        <f>VLOOKUP($I632,'Price List, Weapons &amp; Items'!A:K,COLUMN('Price List, Weapons &amp; Items'!$I$1),0)</f>
        <v>.</v>
      </c>
      <c r="AO632" s="521" t="str">
        <f>IF(I632=".",".",VLOOKUP($I632,'Price List, Weapons &amp; Items'!A:I,3,0))</f>
        <v>.</v>
      </c>
      <c r="AP632" s="517" t="str">
        <f t="shared" ca="1" si="131"/>
        <v>.</v>
      </c>
      <c r="AQ632" s="521" t="str">
        <f>VLOOKUP($I632,'Price List, Weapons &amp; Items'!A:K,COLUMN('Price List, Weapons &amp; Items'!$K$1),0)</f>
        <v>no price, 0 count</v>
      </c>
      <c r="AS632" s="521">
        <f t="shared" si="125"/>
        <v>1</v>
      </c>
      <c r="AT632" s="521">
        <f t="shared" si="126"/>
        <v>1</v>
      </c>
      <c r="AU632" s="521">
        <f t="shared" si="127"/>
        <v>1</v>
      </c>
      <c r="AV632" s="521" t="str">
        <f t="shared" si="128"/>
        <v>.</v>
      </c>
    </row>
    <row r="633" spans="1:48" ht="15" customHeight="1">
      <c r="A633" s="41" t="s">
        <v>1781</v>
      </c>
      <c r="B633" s="41" t="s">
        <v>1766</v>
      </c>
      <c r="C633" s="511">
        <v>44662</v>
      </c>
      <c r="D633" s="18" t="s">
        <v>252</v>
      </c>
      <c r="E633" s="18" t="s">
        <v>229</v>
      </c>
      <c r="F633" s="512" t="s">
        <v>1782</v>
      </c>
      <c r="G633" s="39" t="s">
        <v>1774</v>
      </c>
      <c r="H633" s="513">
        <v>7500000</v>
      </c>
      <c r="I633" s="523" t="s">
        <v>232</v>
      </c>
      <c r="J633" s="276" t="str">
        <f>VLOOKUP($I633,'Price List, Weapons &amp; Items'!A:B,2,0)</f>
        <v>.</v>
      </c>
      <c r="K633" s="276" t="str">
        <f>IF(I633=".",I633,VLOOKUP($I633,'Price List, Weapons &amp; Items'!A:C,3,0))</f>
        <v>.</v>
      </c>
      <c r="L633" s="514">
        <f>VLOOKUP(I633,'Price List, Weapons &amp; Items'!A:D,4,0)</f>
        <v>0</v>
      </c>
      <c r="M633" s="515" t="s">
        <v>232</v>
      </c>
      <c r="N633" s="515" t="s">
        <v>232</v>
      </c>
      <c r="O633" s="516" t="str">
        <f>VLOOKUP($I633,'Price List, Weapons &amp; Items'!A:F,6,0)</f>
        <v>.</v>
      </c>
      <c r="P633" s="513" t="str">
        <f t="shared" si="129"/>
        <v>.</v>
      </c>
      <c r="Q633" s="513" t="str">
        <f t="shared" si="130"/>
        <v>.</v>
      </c>
      <c r="R633" s="513">
        <f t="shared" si="121"/>
        <v>7500000</v>
      </c>
      <c r="S633" s="513">
        <f>IF(AND(AD633=1,R633&lt;&gt;".")=TRUE,R633/VLOOKUP(G633,'Exchange rates'!B:C,2,0),IF(R633=".",".",""))</f>
        <v>4403475.8102395488</v>
      </c>
      <c r="T633" s="513" t="str">
        <f>IF(AD633=1,IF(AF633="Value is not given at all",".",IF(AF633="Value is given by the source",S633,IF(AF633="Value is calculated with prices",(IF(SUMIFS(Q:Q,A:A,A633)&gt;0,SUMIFS(Q:Q,A:A,A633),"."))/VLOOKUP("USD",'Exchange rates'!B:C,2,0),"Error with coding"))),"")</f>
        <v>.</v>
      </c>
      <c r="U633" s="39" t="s">
        <v>233</v>
      </c>
      <c r="V633" s="42" t="s">
        <v>1775</v>
      </c>
      <c r="W633" s="42" t="s">
        <v>1780</v>
      </c>
      <c r="X633" s="42" t="s">
        <v>1780</v>
      </c>
      <c r="Y633" s="543" t="s">
        <v>232</v>
      </c>
      <c r="Z633" s="39">
        <v>0</v>
      </c>
      <c r="AA633" s="518">
        <v>0</v>
      </c>
      <c r="AB633" s="38" t="s">
        <v>232</v>
      </c>
      <c r="AC633" s="519" t="str">
        <f>""</f>
        <v/>
      </c>
      <c r="AD633" s="520">
        <v>1</v>
      </c>
      <c r="AE633" s="520" t="s">
        <v>236</v>
      </c>
      <c r="AF633" s="520" t="s">
        <v>237</v>
      </c>
      <c r="AG633" s="520">
        <v>1</v>
      </c>
      <c r="AH633" s="520">
        <v>4</v>
      </c>
      <c r="AI633" s="520">
        <v>0</v>
      </c>
      <c r="AJ633" s="520">
        <f>VLOOKUP($I633,'Price List, Weapons &amp; Items'!A:E,5,0)</f>
        <v>0</v>
      </c>
      <c r="AK633" s="520">
        <f t="shared" si="122"/>
        <v>0</v>
      </c>
      <c r="AL633" s="520">
        <f t="shared" si="123"/>
        <v>0</v>
      </c>
      <c r="AM633" s="520">
        <f t="shared" si="124"/>
        <v>0</v>
      </c>
      <c r="AN633" s="521" t="str">
        <f>VLOOKUP($I633,'Price List, Weapons &amp; Items'!A:K,COLUMN('Price List, Weapons &amp; Items'!$I$1),0)</f>
        <v>.</v>
      </c>
      <c r="AO633" s="521" t="str">
        <f>IF(I633=".",".",VLOOKUP($I633,'Price List, Weapons &amp; Items'!A:I,3,0))</f>
        <v>.</v>
      </c>
      <c r="AP633" s="517" t="str">
        <f t="shared" ca="1" si="131"/>
        <v>.</v>
      </c>
      <c r="AQ633" s="521" t="str">
        <f>VLOOKUP($I633,'Price List, Weapons &amp; Items'!A:K,COLUMN('Price List, Weapons &amp; Items'!$K$1),0)</f>
        <v>no price, 0 count</v>
      </c>
      <c r="AS633" s="521">
        <f t="shared" si="125"/>
        <v>1</v>
      </c>
      <c r="AT633" s="521">
        <f t="shared" si="126"/>
        <v>0</v>
      </c>
      <c r="AU633" s="521">
        <f t="shared" si="127"/>
        <v>1</v>
      </c>
      <c r="AV633" s="521" t="str">
        <f t="shared" si="128"/>
        <v>.</v>
      </c>
    </row>
    <row r="634" spans="1:48" ht="15" customHeight="1">
      <c r="A634" s="18" t="s">
        <v>1783</v>
      </c>
      <c r="B634" s="18" t="s">
        <v>1766</v>
      </c>
      <c r="C634" s="511">
        <v>44704</v>
      </c>
      <c r="D634" s="18" t="s">
        <v>252</v>
      </c>
      <c r="E634" s="18" t="s">
        <v>261</v>
      </c>
      <c r="F634" s="512" t="s">
        <v>1784</v>
      </c>
      <c r="G634" s="39" t="s">
        <v>314</v>
      </c>
      <c r="H634" s="513" t="s">
        <v>309</v>
      </c>
      <c r="I634" s="523" t="s">
        <v>1785</v>
      </c>
      <c r="J634" s="276" t="str">
        <f>VLOOKUP($I634,'Price List, Weapons &amp; Items'!A:B,2,0)</f>
        <v>Military equipment</v>
      </c>
      <c r="K634" s="276" t="str">
        <f>IF(I634=".",I634,VLOOKUP($I634,'Price List, Weapons &amp; Items'!A:C,3,0))</f>
        <v>.</v>
      </c>
      <c r="L634" s="514">
        <f>VLOOKUP(I634,'Price List, Weapons &amp; Items'!A:D,4,0)</f>
        <v>0</v>
      </c>
      <c r="M634" s="515">
        <v>40</v>
      </c>
      <c r="N634" s="515" t="s">
        <v>232</v>
      </c>
      <c r="O634" s="516" t="str">
        <f>VLOOKUP($I634,'Price List, Weapons &amp; Items'!A:F,6,0)</f>
        <v>.</v>
      </c>
      <c r="P634" s="513" t="str">
        <f t="shared" si="129"/>
        <v>No price</v>
      </c>
      <c r="Q634" s="513" t="str">
        <f t="shared" si="130"/>
        <v>.</v>
      </c>
      <c r="R634" s="513" t="str">
        <f t="shared" si="121"/>
        <v>.</v>
      </c>
      <c r="S634" s="513" t="str">
        <f>IF(AND(AD634=1,R634&lt;&gt;".")=TRUE,R634/VLOOKUP(G634,'Exchange rates'!B:C,2,0),IF(R634=".",".",""))</f>
        <v>.</v>
      </c>
      <c r="T634" s="513" t="str">
        <f>IF(AD634=1,IF(AF634="Value is not given at all",".",IF(AF634="Value is given by the source",S634,IF(AF634="Value is calculated with prices",(IF(SUMIFS(Q:Q,A:A,A634)&gt;0,SUMIFS(Q:Q,A:A,A634),"."))/VLOOKUP("USD",'Exchange rates'!B:C,2,0),"Error with coding"))),"")</f>
        <v>.</v>
      </c>
      <c r="U634" s="39" t="s">
        <v>233</v>
      </c>
      <c r="V634" s="376" t="s">
        <v>1786</v>
      </c>
      <c r="W634" s="376" t="s">
        <v>1787</v>
      </c>
      <c r="X634" s="530" t="s">
        <v>232</v>
      </c>
      <c r="Y634" s="530" t="s">
        <v>232</v>
      </c>
      <c r="Z634" s="39">
        <v>0</v>
      </c>
      <c r="AA634" s="518">
        <v>0</v>
      </c>
      <c r="AB634" s="38" t="s">
        <v>232</v>
      </c>
      <c r="AC634" s="519" t="str">
        <f>""</f>
        <v/>
      </c>
      <c r="AD634" s="520">
        <v>1</v>
      </c>
      <c r="AE634" s="520" t="s">
        <v>237</v>
      </c>
      <c r="AF634" s="520" t="s">
        <v>237</v>
      </c>
      <c r="AG634" s="520">
        <v>1</v>
      </c>
      <c r="AH634" s="520">
        <v>5</v>
      </c>
      <c r="AI634" s="520">
        <v>0</v>
      </c>
      <c r="AJ634" s="520">
        <f>VLOOKUP($I634,'Price List, Weapons &amp; Items'!A:E,5,0)</f>
        <v>0</v>
      </c>
      <c r="AK634" s="520">
        <f t="shared" si="122"/>
        <v>0</v>
      </c>
      <c r="AL634" s="520">
        <f t="shared" si="123"/>
        <v>0</v>
      </c>
      <c r="AM634" s="520">
        <f t="shared" si="124"/>
        <v>0</v>
      </c>
      <c r="AN634" s="521" t="str">
        <f>VLOOKUP($I634,'Price List, Weapons &amp; Items'!A:K,COLUMN('Price List, Weapons &amp; Items'!$I$1),0)</f>
        <v>.</v>
      </c>
      <c r="AO634" s="521" t="str">
        <f>IF(I634=".",".",VLOOKUP($I634,'Price List, Weapons &amp; Items'!A:I,3,0))</f>
        <v>.</v>
      </c>
      <c r="AP634" s="517" t="str">
        <f t="shared" ca="1" si="131"/>
        <v>gun sight for L119 Light Field gun; 105mm light field gun ammunition</v>
      </c>
      <c r="AQ634" s="521">
        <f>VLOOKUP($I634,'Price List, Weapons &amp; Items'!A:K,COLUMN('Price List, Weapons &amp; Items'!$K$1),0)</f>
        <v>0</v>
      </c>
      <c r="AS634" s="521">
        <f t="shared" si="125"/>
        <v>1</v>
      </c>
      <c r="AT634" s="521">
        <f t="shared" si="126"/>
        <v>1</v>
      </c>
      <c r="AU634" s="521">
        <f t="shared" si="127"/>
        <v>1</v>
      </c>
      <c r="AV634" s="521" t="str">
        <f t="shared" si="128"/>
        <v>.</v>
      </c>
    </row>
    <row r="635" spans="1:48" ht="15" customHeight="1">
      <c r="A635" s="18" t="s">
        <v>1783</v>
      </c>
      <c r="B635" s="18" t="s">
        <v>1766</v>
      </c>
      <c r="C635" s="511">
        <v>44704</v>
      </c>
      <c r="D635" s="18" t="s">
        <v>252</v>
      </c>
      <c r="E635" s="18" t="s">
        <v>261</v>
      </c>
      <c r="F635" s="512" t="s">
        <v>1784</v>
      </c>
      <c r="G635" s="39" t="s">
        <v>314</v>
      </c>
      <c r="H635" s="513" t="s">
        <v>309</v>
      </c>
      <c r="I635" s="523" t="s">
        <v>1448</v>
      </c>
      <c r="J635" s="276" t="str">
        <f>VLOOKUP($I635,'Price List, Weapons &amp; Items'!A:B,2,0)</f>
        <v>Ammunition for heavy weapon</v>
      </c>
      <c r="K635" s="276" t="str">
        <f>IF(I635=".",I635,VLOOKUP($I635,'Price List, Weapons &amp; Items'!A:C,3,0))</f>
        <v>105mm</v>
      </c>
      <c r="L635" s="514">
        <f>VLOOKUP(I635,'Price List, Weapons &amp; Items'!A:D,4,0)</f>
        <v>0</v>
      </c>
      <c r="M635" s="515" t="s">
        <v>264</v>
      </c>
      <c r="N635" s="515" t="s">
        <v>232</v>
      </c>
      <c r="O635" s="516">
        <f>VLOOKUP($I635,'Price List, Weapons &amp; Items'!A:F,6,0)</f>
        <v>400</v>
      </c>
      <c r="P635" s="513" t="str">
        <f t="shared" si="129"/>
        <v>.</v>
      </c>
      <c r="Q635" s="513" t="str">
        <f t="shared" si="130"/>
        <v>.</v>
      </c>
      <c r="R635" s="513" t="str">
        <f t="shared" si="121"/>
        <v/>
      </c>
      <c r="S635" s="513" t="str">
        <f>IF(AND(AD635=1,R635&lt;&gt;".")=TRUE,R635/VLOOKUP(G635,'Exchange rates'!B:C,2,0),IF(R635=".",".",""))</f>
        <v/>
      </c>
      <c r="T635" s="513" t="str">
        <f>IF(AD635=1,IF(AF635="Value is not given at all",".",IF(AF635="Value is given by the source",S635,IF(AF635="Value is calculated with prices",(IF(SUMIFS(Q:Q,A:A,A635)&gt;0,SUMIFS(Q:Q,A:A,A635),"."))/VLOOKUP("USD",'Exchange rates'!B:C,2,0),"Error with coding"))),"")</f>
        <v/>
      </c>
      <c r="U635" s="39" t="s">
        <v>233</v>
      </c>
      <c r="V635" s="376" t="s">
        <v>1786</v>
      </c>
      <c r="W635" s="376" t="s">
        <v>1787</v>
      </c>
      <c r="X635" s="530" t="s">
        <v>232</v>
      </c>
      <c r="Y635" s="530" t="s">
        <v>232</v>
      </c>
      <c r="Z635" s="39">
        <v>0</v>
      </c>
      <c r="AA635" s="518">
        <v>0</v>
      </c>
      <c r="AB635" s="38" t="s">
        <v>232</v>
      </c>
      <c r="AC635" s="519" t="str">
        <f>""</f>
        <v/>
      </c>
      <c r="AD635" s="520">
        <v>0</v>
      </c>
      <c r="AE635" s="520" t="s">
        <v>237</v>
      </c>
      <c r="AF635" s="520" t="s">
        <v>237</v>
      </c>
      <c r="AG635" s="520">
        <v>1</v>
      </c>
      <c r="AH635" s="520">
        <v>5</v>
      </c>
      <c r="AI635" s="520">
        <v>0</v>
      </c>
      <c r="AJ635" s="520">
        <f>VLOOKUP($I635,'Price List, Weapons &amp; Items'!A:E,5,0)</f>
        <v>0</v>
      </c>
      <c r="AK635" s="520">
        <f t="shared" si="122"/>
        <v>0</v>
      </c>
      <c r="AL635" s="520">
        <f t="shared" si="123"/>
        <v>0</v>
      </c>
      <c r="AM635" s="520">
        <f t="shared" si="124"/>
        <v>1</v>
      </c>
      <c r="AN635" s="521" t="str">
        <f>VLOOKUP($I635,'Price List, Weapons &amp; Items'!A:K,COLUMN('Price List, Weapons &amp; Items'!$I$1),0)</f>
        <v>Military media (incl. websites)</v>
      </c>
      <c r="AO635" s="521" t="str">
        <f>IF(I635=".",".",VLOOKUP($I635,'Price List, Weapons &amp; Items'!A:I,3,0))</f>
        <v>105mm</v>
      </c>
      <c r="AP635" s="517" t="str">
        <f t="shared" ca="1" si="131"/>
        <v/>
      </c>
      <c r="AQ635" s="521">
        <f>VLOOKUP($I635,'Price List, Weapons &amp; Items'!A:K,COLUMN('Price List, Weapons &amp; Items'!$K$1),0)</f>
        <v>2</v>
      </c>
      <c r="AS635" s="521">
        <f t="shared" si="125"/>
        <v>1</v>
      </c>
      <c r="AT635" s="521">
        <f t="shared" si="126"/>
        <v>1</v>
      </c>
      <c r="AU635" s="521">
        <f t="shared" si="127"/>
        <v>1</v>
      </c>
      <c r="AV635" s="521" t="str">
        <f t="shared" si="128"/>
        <v>.</v>
      </c>
    </row>
    <row r="636" spans="1:48" ht="15" customHeight="1">
      <c r="A636" s="41" t="s">
        <v>1788</v>
      </c>
      <c r="B636" s="41" t="s">
        <v>1766</v>
      </c>
      <c r="C636" s="511">
        <v>44739</v>
      </c>
      <c r="D636" s="18" t="s">
        <v>252</v>
      </c>
      <c r="E636" s="18" t="s">
        <v>229</v>
      </c>
      <c r="F636" s="512" t="s">
        <v>1789</v>
      </c>
      <c r="G636" s="39" t="s">
        <v>1774</v>
      </c>
      <c r="H636" s="513">
        <v>4500000</v>
      </c>
      <c r="I636" s="41" t="s">
        <v>232</v>
      </c>
      <c r="J636" s="276" t="str">
        <f>VLOOKUP($I636,'Price List, Weapons &amp; Items'!A:B,2,0)</f>
        <v>.</v>
      </c>
      <c r="K636" s="276" t="str">
        <f>IF(I636=".",I636,VLOOKUP($I636,'Price List, Weapons &amp; Items'!A:C,3,0))</f>
        <v>.</v>
      </c>
      <c r="L636" s="514">
        <f>VLOOKUP(I636,'Price List, Weapons &amp; Items'!A:D,4,0)</f>
        <v>0</v>
      </c>
      <c r="M636" s="515" t="s">
        <v>232</v>
      </c>
      <c r="N636" s="515" t="s">
        <v>232</v>
      </c>
      <c r="O636" s="516" t="str">
        <f>VLOOKUP($I636,'Price List, Weapons &amp; Items'!A:F,6,0)</f>
        <v>.</v>
      </c>
      <c r="P636" s="513" t="str">
        <f t="shared" si="129"/>
        <v>.</v>
      </c>
      <c r="Q636" s="513" t="str">
        <f t="shared" si="130"/>
        <v>.</v>
      </c>
      <c r="R636" s="513">
        <f t="shared" si="121"/>
        <v>4500000</v>
      </c>
      <c r="S636" s="513">
        <f>IF(AND(AD636=1,R636&lt;&gt;".")=TRUE,R636/VLOOKUP(G636,'Exchange rates'!B:C,2,0),IF(R636=".",".",""))</f>
        <v>2642085.4861437292</v>
      </c>
      <c r="T636" s="513" t="str">
        <f>IF(AD636=1,IF(AF636="Value is not given at all",".",IF(AF636="Value is given by the source",S636,IF(AF636="Value is calculated with prices",(IF(SUMIFS(Q:Q,A:A,A636)&gt;0,SUMIFS(Q:Q,A:A,A636),"."))/VLOOKUP("USD",'Exchange rates'!B:C,2,0),"Error with coding"))),"")</f>
        <v>.</v>
      </c>
      <c r="U636" s="39" t="s">
        <v>233</v>
      </c>
      <c r="V636" s="42" t="s">
        <v>1776</v>
      </c>
      <c r="W636" s="531" t="s">
        <v>232</v>
      </c>
      <c r="X636" s="512" t="s">
        <v>232</v>
      </c>
      <c r="Y636" s="517" t="s">
        <v>232</v>
      </c>
      <c r="Z636" s="39">
        <v>0</v>
      </c>
      <c r="AA636" s="39">
        <v>0</v>
      </c>
      <c r="AB636" s="523" t="s">
        <v>232</v>
      </c>
      <c r="AC636" s="519" t="str">
        <f>""</f>
        <v/>
      </c>
      <c r="AD636" s="522">
        <v>1</v>
      </c>
      <c r="AE636" s="522" t="s">
        <v>236</v>
      </c>
      <c r="AF636" s="522" t="s">
        <v>237</v>
      </c>
      <c r="AG636" s="522">
        <v>1</v>
      </c>
      <c r="AH636" s="520">
        <v>6</v>
      </c>
      <c r="AI636" s="520">
        <v>0</v>
      </c>
      <c r="AJ636" s="520">
        <f>VLOOKUP($I636,'Price List, Weapons &amp; Items'!A:E,5,0)</f>
        <v>0</v>
      </c>
      <c r="AK636" s="520">
        <f t="shared" si="122"/>
        <v>0</v>
      </c>
      <c r="AL636" s="520">
        <f t="shared" si="123"/>
        <v>0</v>
      </c>
      <c r="AM636" s="520">
        <f t="shared" si="124"/>
        <v>0</v>
      </c>
      <c r="AN636" s="521" t="str">
        <f>VLOOKUP($I636,'Price List, Weapons &amp; Items'!A:K,COLUMN('Price List, Weapons &amp; Items'!$I$1),0)</f>
        <v>.</v>
      </c>
      <c r="AO636" s="521" t="str">
        <f>IF(I636=".",".",VLOOKUP($I636,'Price List, Weapons &amp; Items'!A:I,3,0))</f>
        <v>.</v>
      </c>
      <c r="AP636" s="517" t="str">
        <f t="shared" ca="1" si="131"/>
        <v>.</v>
      </c>
      <c r="AQ636" s="521" t="str">
        <f>VLOOKUP($I636,'Price List, Weapons &amp; Items'!A:K,COLUMN('Price List, Weapons &amp; Items'!$K$1),0)</f>
        <v>no price, 0 count</v>
      </c>
      <c r="AS636" s="521">
        <f t="shared" si="125"/>
        <v>1</v>
      </c>
      <c r="AT636" s="521">
        <f t="shared" si="126"/>
        <v>0</v>
      </c>
      <c r="AU636" s="521">
        <f t="shared" si="127"/>
        <v>1</v>
      </c>
      <c r="AV636" s="521" t="str">
        <f t="shared" si="128"/>
        <v>.</v>
      </c>
    </row>
    <row r="637" spans="1:48" ht="15" customHeight="1">
      <c r="A637" s="41" t="s">
        <v>1790</v>
      </c>
      <c r="B637" s="41" t="s">
        <v>1766</v>
      </c>
      <c r="C637" s="511">
        <v>44769</v>
      </c>
      <c r="D637" s="18" t="s">
        <v>252</v>
      </c>
      <c r="E637" s="18" t="s">
        <v>229</v>
      </c>
      <c r="F637" s="512" t="s">
        <v>1791</v>
      </c>
      <c r="G637" s="39" t="s">
        <v>314</v>
      </c>
      <c r="H637" s="527" t="s">
        <v>309</v>
      </c>
      <c r="I637" s="41" t="s">
        <v>232</v>
      </c>
      <c r="J637" s="276" t="str">
        <f>VLOOKUP($I637,'Price List, Weapons &amp; Items'!A:B,2,0)</f>
        <v>.</v>
      </c>
      <c r="K637" s="276" t="str">
        <f>IF(I637=".",I637,VLOOKUP($I637,'Price List, Weapons &amp; Items'!A:C,3,0))</f>
        <v>.</v>
      </c>
      <c r="L637" s="514">
        <f>VLOOKUP(I637,'Price List, Weapons &amp; Items'!A:D,4,0)</f>
        <v>0</v>
      </c>
      <c r="M637" s="527" t="s">
        <v>232</v>
      </c>
      <c r="N637" s="527" t="s">
        <v>232</v>
      </c>
      <c r="O637" s="516" t="str">
        <f>VLOOKUP($I637,'Price List, Weapons &amp; Items'!A:F,6,0)</f>
        <v>.</v>
      </c>
      <c r="P637" s="513" t="str">
        <f t="shared" si="129"/>
        <v>.</v>
      </c>
      <c r="Q637" s="513" t="str">
        <f t="shared" si="130"/>
        <v>.</v>
      </c>
      <c r="R637" s="513" t="str">
        <f t="shared" si="121"/>
        <v>.</v>
      </c>
      <c r="S637" s="513" t="str">
        <f>IF(AND(AD637=1,R637&lt;&gt;".")=TRUE,R637/VLOOKUP(G637,'Exchange rates'!B:C,2,0),IF(R637=".",".",""))</f>
        <v>.</v>
      </c>
      <c r="T637" s="513" t="str">
        <f>IF(AD637=1,IF(AF637="Value is not given at all",".",IF(AF637="Value is given by the source",S637,IF(AF637="Value is calculated with prices",(IF(SUMIFS(Q:Q,A:A,A637)&gt;0,SUMIFS(Q:Q,A:A,A637),"."))/VLOOKUP("USD",'Exchange rates'!B:C,2,0),"Error with coding"))),"")</f>
        <v>.</v>
      </c>
      <c r="U637" s="39" t="s">
        <v>372</v>
      </c>
      <c r="V637" s="531" t="s">
        <v>1792</v>
      </c>
      <c r="W637" s="531" t="s">
        <v>232</v>
      </c>
      <c r="X637" s="512" t="s">
        <v>232</v>
      </c>
      <c r="Y637" s="517" t="s">
        <v>232</v>
      </c>
      <c r="Z637" s="39">
        <v>0</v>
      </c>
      <c r="AA637" s="518">
        <v>0</v>
      </c>
      <c r="AB637" s="523" t="s">
        <v>232</v>
      </c>
      <c r="AC637" s="519" t="str">
        <f>""</f>
        <v/>
      </c>
      <c r="AD637" s="522">
        <v>1</v>
      </c>
      <c r="AE637" s="522" t="s">
        <v>237</v>
      </c>
      <c r="AF637" s="522" t="s">
        <v>237</v>
      </c>
      <c r="AG637" s="522">
        <v>1</v>
      </c>
      <c r="AH637" s="520">
        <v>7</v>
      </c>
      <c r="AI637" s="520">
        <v>0</v>
      </c>
      <c r="AJ637" s="520">
        <f>VLOOKUP($I637,'Price List, Weapons &amp; Items'!A:E,5,0)</f>
        <v>0</v>
      </c>
      <c r="AK637" s="520">
        <f t="shared" si="122"/>
        <v>0</v>
      </c>
      <c r="AL637" s="520">
        <f t="shared" si="123"/>
        <v>0</v>
      </c>
      <c r="AM637" s="520">
        <f t="shared" si="124"/>
        <v>0</v>
      </c>
      <c r="AN637" s="521" t="str">
        <f>VLOOKUP($I637,'Price List, Weapons &amp; Items'!A:K,COLUMN('Price List, Weapons &amp; Items'!$I$1),0)</f>
        <v>.</v>
      </c>
      <c r="AO637" s="521" t="str">
        <f>IF(I637=".",".",VLOOKUP($I637,'Price List, Weapons &amp; Items'!A:I,3,0))</f>
        <v>.</v>
      </c>
      <c r="AP637" s="517" t="str">
        <f t="shared" ca="1" si="131"/>
        <v>.</v>
      </c>
      <c r="AQ637" s="521" t="str">
        <f>VLOOKUP($I637,'Price List, Weapons &amp; Items'!A:K,COLUMN('Price List, Weapons &amp; Items'!$K$1),0)</f>
        <v>no price, 0 count</v>
      </c>
      <c r="AS637" s="521">
        <f t="shared" si="125"/>
        <v>0</v>
      </c>
      <c r="AT637" s="521">
        <f t="shared" si="126"/>
        <v>0</v>
      </c>
      <c r="AU637" s="521">
        <f t="shared" si="127"/>
        <v>1</v>
      </c>
      <c r="AV637" s="521" t="str">
        <f t="shared" si="128"/>
        <v>.</v>
      </c>
    </row>
    <row r="638" spans="1:48" ht="15" customHeight="1">
      <c r="A638" s="41" t="s">
        <v>1793</v>
      </c>
      <c r="B638" s="41" t="s">
        <v>1766</v>
      </c>
      <c r="C638" s="511">
        <v>44879</v>
      </c>
      <c r="D638" s="18" t="s">
        <v>252</v>
      </c>
      <c r="E638" s="18" t="s">
        <v>1794</v>
      </c>
      <c r="F638" s="512" t="s">
        <v>1795</v>
      </c>
      <c r="G638" s="39" t="s">
        <v>1774</v>
      </c>
      <c r="H638" s="527">
        <v>1850000</v>
      </c>
      <c r="I638" s="41" t="s">
        <v>232</v>
      </c>
      <c r="J638" s="276" t="str">
        <f>VLOOKUP($I638,'Price List, Weapons &amp; Items'!A:B,2,0)</f>
        <v>.</v>
      </c>
      <c r="K638" s="276" t="str">
        <f>IF(I638=".",I638,VLOOKUP($I638,'Price List, Weapons &amp; Items'!A:C,3,0))</f>
        <v>.</v>
      </c>
      <c r="L638" s="514">
        <f>VLOOKUP(I638,'Price List, Weapons &amp; Items'!A:D,4,0)</f>
        <v>0</v>
      </c>
      <c r="M638" s="527" t="s">
        <v>232</v>
      </c>
      <c r="N638" s="527"/>
      <c r="O638" s="516"/>
      <c r="R638" s="513">
        <f t="shared" si="121"/>
        <v>1850000</v>
      </c>
      <c r="S638" s="513">
        <f>IF(AND(AD638=1,R638&lt;&gt;".")=TRUE,R638/VLOOKUP(G638,'Exchange rates'!B:C,2,0),IF(R638=".",".",""))</f>
        <v>1086190.6998590888</v>
      </c>
      <c r="T638" s="513" t="str">
        <f>IF(AD638=1,IF(AF638="Value is not given at all",".",IF(AF638="Value is given by the source",S638,IF(AF638="Value is calculated with prices",(IF(SUMIFS(Q:Q,A:A,A638)&gt;0,SUMIFS(Q:Q,A:A,A638),"."))/VLOOKUP("USD",'Exchange rates'!B:C,2,0),"Error with coding"))),"")</f>
        <v>.</v>
      </c>
      <c r="U638" s="39" t="s">
        <v>233</v>
      </c>
      <c r="V638" s="827" t="s">
        <v>1796</v>
      </c>
      <c r="W638" s="42" t="s">
        <v>232</v>
      </c>
      <c r="X638" s="42" t="s">
        <v>232</v>
      </c>
      <c r="Y638" s="825" t="s">
        <v>232</v>
      </c>
      <c r="Z638" s="39">
        <v>0</v>
      </c>
      <c r="AA638" s="518">
        <v>1</v>
      </c>
      <c r="AB638" s="395" t="s">
        <v>232</v>
      </c>
      <c r="AC638" s="519" t="str">
        <f>""</f>
        <v/>
      </c>
      <c r="AD638" s="522">
        <v>1</v>
      </c>
      <c r="AE638" s="522" t="s">
        <v>236</v>
      </c>
      <c r="AF638" s="522" t="s">
        <v>237</v>
      </c>
      <c r="AG638" s="522">
        <v>1</v>
      </c>
      <c r="AH638" s="520">
        <v>11</v>
      </c>
      <c r="AI638" s="520">
        <v>0</v>
      </c>
      <c r="AJ638" s="520">
        <f>VLOOKUP($I638,'Price List, Weapons &amp; Items'!A:E,5,0)</f>
        <v>0</v>
      </c>
      <c r="AK638" s="520">
        <f t="shared" si="122"/>
        <v>0</v>
      </c>
      <c r="AL638" s="520">
        <f t="shared" si="123"/>
        <v>0</v>
      </c>
      <c r="AM638" s="520">
        <f t="shared" si="124"/>
        <v>0</v>
      </c>
      <c r="AN638" s="521" t="str">
        <f>VLOOKUP($I638,'Price List, Weapons &amp; Items'!A:K,COLUMN('Price List, Weapons &amp; Items'!$I$1),0)</f>
        <v>.</v>
      </c>
      <c r="AO638" s="521" t="str">
        <f>IF(I638=".",".",VLOOKUP($I638,'Price List, Weapons &amp; Items'!A:I,3,0))</f>
        <v>.</v>
      </c>
      <c r="AP638" s="517" t="str">
        <f t="shared" ca="1" si="131"/>
        <v>.</v>
      </c>
      <c r="AQ638" s="521" t="str">
        <f>VLOOKUP($I638,'Price List, Weapons &amp; Items'!A:K,COLUMN('Price List, Weapons &amp; Items'!$K$1),0)</f>
        <v>no price, 0 count</v>
      </c>
      <c r="AS638" s="521">
        <f t="shared" si="125"/>
        <v>1</v>
      </c>
      <c r="AT638" s="521">
        <f t="shared" si="126"/>
        <v>0</v>
      </c>
      <c r="AU638" s="521">
        <f t="shared" si="127"/>
        <v>1</v>
      </c>
      <c r="AV638" s="521" t="str">
        <f t="shared" si="128"/>
        <v>.</v>
      </c>
    </row>
    <row r="639" spans="1:48" ht="15" customHeight="1">
      <c r="A639" s="41" t="s">
        <v>1797</v>
      </c>
      <c r="B639" s="41" t="s">
        <v>1766</v>
      </c>
      <c r="C639" s="511">
        <v>44620</v>
      </c>
      <c r="D639" s="18" t="s">
        <v>228</v>
      </c>
      <c r="E639" s="18" t="s">
        <v>229</v>
      </c>
      <c r="F639" s="512" t="s">
        <v>1798</v>
      </c>
      <c r="G639" s="39" t="s">
        <v>1774</v>
      </c>
      <c r="H639" s="513">
        <v>2000000</v>
      </c>
      <c r="I639" s="523" t="s">
        <v>232</v>
      </c>
      <c r="J639" s="276" t="str">
        <f>VLOOKUP($I639,'Price List, Weapons &amp; Items'!A:B,2,0)</f>
        <v>.</v>
      </c>
      <c r="K639" s="276" t="str">
        <f>IF(I639=".",I639,VLOOKUP($I639,'Price List, Weapons &amp; Items'!A:C,3,0))</f>
        <v>.</v>
      </c>
      <c r="L639" s="514">
        <f>VLOOKUP(I639,'Price List, Weapons &amp; Items'!A:D,4,0)</f>
        <v>0</v>
      </c>
      <c r="M639" s="515" t="s">
        <v>232</v>
      </c>
      <c r="N639" s="515" t="s">
        <v>232</v>
      </c>
      <c r="O639" s="516" t="str">
        <f>VLOOKUP($I639,'Price List, Weapons &amp; Items'!A:F,6,0)</f>
        <v>.</v>
      </c>
      <c r="P639" s="513" t="str">
        <f t="shared" si="129"/>
        <v>.</v>
      </c>
      <c r="Q639" s="513" t="str">
        <f t="shared" si="130"/>
        <v>.</v>
      </c>
      <c r="R639" s="513">
        <f t="shared" si="121"/>
        <v>2000000</v>
      </c>
      <c r="S639" s="513">
        <f>IF(AND(AD639=1,R639&lt;&gt;".")=TRUE,R639/VLOOKUP(G639,'Exchange rates'!B:C,2,0),IF(R639=".",".",""))</f>
        <v>1174260.2160638797</v>
      </c>
      <c r="T639" s="513" t="str">
        <f>IF(AD639=1,IF(AF639="Value is not given at all",".",IF(AF639="Value is given by the source",S639,IF(AF639="Value is calculated with prices",(IF(SUMIFS(Q:Q,A:A,A639)&gt;0,SUMIFS(Q:Q,A:A,A639),"."))/VLOOKUP("USD",'Exchange rates'!B:C,2,0),"Error with coding"))),"")</f>
        <v>.</v>
      </c>
      <c r="U639" s="39" t="s">
        <v>233</v>
      </c>
      <c r="V639" s="42" t="s">
        <v>1775</v>
      </c>
      <c r="W639" s="42" t="s">
        <v>1799</v>
      </c>
      <c r="X639" s="42" t="s">
        <v>1800</v>
      </c>
      <c r="Y639" s="543" t="s">
        <v>232</v>
      </c>
      <c r="Z639" s="39">
        <v>0</v>
      </c>
      <c r="AA639" s="518">
        <v>0</v>
      </c>
      <c r="AB639" s="38" t="s">
        <v>232</v>
      </c>
      <c r="AC639" s="519" t="str">
        <f>""</f>
        <v/>
      </c>
      <c r="AD639" s="520">
        <v>1</v>
      </c>
      <c r="AE639" s="520" t="s">
        <v>236</v>
      </c>
      <c r="AF639" s="520" t="s">
        <v>237</v>
      </c>
      <c r="AG639" s="520">
        <v>1</v>
      </c>
      <c r="AH639" s="520">
        <v>2</v>
      </c>
      <c r="AI639" s="520">
        <v>0</v>
      </c>
      <c r="AJ639" s="520">
        <f>VLOOKUP($I639,'Price List, Weapons &amp; Items'!A:E,5,0)</f>
        <v>0</v>
      </c>
      <c r="AK639" s="520">
        <f t="shared" si="122"/>
        <v>0</v>
      </c>
      <c r="AL639" s="520">
        <f t="shared" si="123"/>
        <v>0</v>
      </c>
      <c r="AM639" s="520">
        <f t="shared" si="124"/>
        <v>0</v>
      </c>
      <c r="AN639" s="521" t="str">
        <f>VLOOKUP($I639,'Price List, Weapons &amp; Items'!A:K,COLUMN('Price List, Weapons &amp; Items'!$I$1),0)</f>
        <v>.</v>
      </c>
      <c r="AO639" s="521" t="str">
        <f>IF(I639=".",".",VLOOKUP($I639,'Price List, Weapons &amp; Items'!A:I,3,0))</f>
        <v>.</v>
      </c>
      <c r="AP639" s="517" t="str">
        <f t="shared" ca="1" si="131"/>
        <v>.</v>
      </c>
      <c r="AQ639" s="521" t="str">
        <f>VLOOKUP($I639,'Price List, Weapons &amp; Items'!A:K,COLUMN('Price List, Weapons &amp; Items'!$K$1),0)</f>
        <v>no price, 0 count</v>
      </c>
      <c r="AS639" s="521">
        <f t="shared" si="125"/>
        <v>1</v>
      </c>
      <c r="AT639" s="521">
        <f t="shared" si="126"/>
        <v>0</v>
      </c>
      <c r="AU639" s="521">
        <f t="shared" si="127"/>
        <v>1</v>
      </c>
      <c r="AV639" s="521" t="str">
        <f t="shared" si="128"/>
        <v>.</v>
      </c>
    </row>
    <row r="640" spans="1:48" ht="15" customHeight="1">
      <c r="A640" s="41" t="s">
        <v>1801</v>
      </c>
      <c r="B640" s="41" t="s">
        <v>1766</v>
      </c>
      <c r="C640" s="511">
        <v>44620</v>
      </c>
      <c r="D640" s="18" t="s">
        <v>228</v>
      </c>
      <c r="E640" s="18" t="s">
        <v>229</v>
      </c>
      <c r="F640" s="512" t="s">
        <v>1802</v>
      </c>
      <c r="G640" s="39" t="s">
        <v>1774</v>
      </c>
      <c r="H640" s="513">
        <v>2000000</v>
      </c>
      <c r="I640" s="41" t="s">
        <v>232</v>
      </c>
      <c r="J640" s="276" t="str">
        <f>VLOOKUP($I640,'Price List, Weapons &amp; Items'!A:B,2,0)</f>
        <v>.</v>
      </c>
      <c r="K640" s="276" t="str">
        <f>IF(I640=".",I640,VLOOKUP($I640,'Price List, Weapons &amp; Items'!A:C,3,0))</f>
        <v>.</v>
      </c>
      <c r="L640" s="514">
        <f>VLOOKUP(I640,'Price List, Weapons &amp; Items'!A:D,4,0)</f>
        <v>0</v>
      </c>
      <c r="M640" s="515" t="s">
        <v>232</v>
      </c>
      <c r="N640" s="515" t="s">
        <v>232</v>
      </c>
      <c r="O640" s="516" t="str">
        <f>VLOOKUP($I640,'Price List, Weapons &amp; Items'!A:F,6,0)</f>
        <v>.</v>
      </c>
      <c r="P640" s="513" t="str">
        <f t="shared" si="129"/>
        <v>.</v>
      </c>
      <c r="Q640" s="513" t="str">
        <f t="shared" si="130"/>
        <v>.</v>
      </c>
      <c r="R640" s="513">
        <f t="shared" si="121"/>
        <v>2000000</v>
      </c>
      <c r="S640" s="513">
        <f>IF(AND(AD640=1,R640&lt;&gt;".")=TRUE,R640/VLOOKUP(G640,'Exchange rates'!B:C,2,0),IF(R640=".",".",""))</f>
        <v>1174260.2160638797</v>
      </c>
      <c r="T640" s="513" t="str">
        <f>IF(AD640=1,IF(AF640="Value is not given at all",".",IF(AF640="Value is given by the source",S640,IF(AF640="Value is calculated with prices",(IF(SUMIFS(Q:Q,A:A,A640)&gt;0,SUMIFS(Q:Q,A:A,A640),"."))/VLOOKUP("USD",'Exchange rates'!B:C,2,0),"Error with coding"))),"")</f>
        <v>.</v>
      </c>
      <c r="U640" s="39" t="s">
        <v>233</v>
      </c>
      <c r="V640" s="42" t="s">
        <v>1775</v>
      </c>
      <c r="W640" s="531" t="s">
        <v>232</v>
      </c>
      <c r="X640" s="531" t="s">
        <v>232</v>
      </c>
      <c r="Y640" s="517" t="s">
        <v>232</v>
      </c>
      <c r="Z640" s="39">
        <v>0</v>
      </c>
      <c r="AA640" s="39">
        <v>0</v>
      </c>
      <c r="AB640" s="523" t="s">
        <v>232</v>
      </c>
      <c r="AC640" s="519" t="str">
        <f>""</f>
        <v/>
      </c>
      <c r="AD640" s="522">
        <v>1</v>
      </c>
      <c r="AE640" s="522" t="s">
        <v>236</v>
      </c>
      <c r="AF640" s="522" t="s">
        <v>237</v>
      </c>
      <c r="AG640" s="522">
        <v>1</v>
      </c>
      <c r="AH640" s="520">
        <v>2</v>
      </c>
      <c r="AI640" s="520">
        <v>0</v>
      </c>
      <c r="AJ640" s="520">
        <f>VLOOKUP($I640,'Price List, Weapons &amp; Items'!A:E,5,0)</f>
        <v>0</v>
      </c>
      <c r="AK640" s="520">
        <f t="shared" si="122"/>
        <v>0</v>
      </c>
      <c r="AL640" s="520">
        <f t="shared" si="123"/>
        <v>0</v>
      </c>
      <c r="AM640" s="520">
        <f t="shared" si="124"/>
        <v>0</v>
      </c>
      <c r="AN640" s="521" t="str">
        <f>VLOOKUP($I640,'Price List, Weapons &amp; Items'!A:K,COLUMN('Price List, Weapons &amp; Items'!$I$1),0)</f>
        <v>.</v>
      </c>
      <c r="AO640" s="521" t="str">
        <f>IF(I640=".",".",VLOOKUP($I640,'Price List, Weapons &amp; Items'!A:I,3,0))</f>
        <v>.</v>
      </c>
      <c r="AP640" s="517" t="str">
        <f t="shared" ca="1" si="131"/>
        <v>.</v>
      </c>
      <c r="AQ640" s="521" t="str">
        <f>VLOOKUP($I640,'Price List, Weapons &amp; Items'!A:K,COLUMN('Price List, Weapons &amp; Items'!$K$1),0)</f>
        <v>no price, 0 count</v>
      </c>
      <c r="AS640" s="521">
        <f t="shared" si="125"/>
        <v>1</v>
      </c>
      <c r="AT640" s="521">
        <f t="shared" si="126"/>
        <v>0</v>
      </c>
      <c r="AU640" s="521">
        <f t="shared" si="127"/>
        <v>1</v>
      </c>
      <c r="AV640" s="521" t="str">
        <f t="shared" si="128"/>
        <v>.</v>
      </c>
    </row>
    <row r="641" spans="1:48" ht="15" customHeight="1">
      <c r="A641" s="41" t="s">
        <v>1803</v>
      </c>
      <c r="B641" s="41" t="s">
        <v>1804</v>
      </c>
      <c r="C641" s="511">
        <v>44620</v>
      </c>
      <c r="D641" s="18" t="s">
        <v>252</v>
      </c>
      <c r="E641" s="18" t="s">
        <v>307</v>
      </c>
      <c r="F641" s="512" t="s">
        <v>1805</v>
      </c>
      <c r="G641" s="39" t="s">
        <v>314</v>
      </c>
      <c r="H641" s="513" t="s">
        <v>309</v>
      </c>
      <c r="I641" s="41" t="s">
        <v>398</v>
      </c>
      <c r="J641" s="276" t="str">
        <f>VLOOKUP($I641,'Price List, Weapons &amp; Items'!A:B,2,0)</f>
        <v>Portable defence system</v>
      </c>
      <c r="K641" s="276" t="str">
        <f>IF(I641=".",I641,VLOOKUP($I641,'Price List, Weapons &amp; Items'!A:C,3,0))</f>
        <v>Light Anti-armor Weapon (LAW)</v>
      </c>
      <c r="L641" s="514">
        <f>VLOOKUP(I641,'Price List, Weapons &amp; Items'!A:D,4,0)</f>
        <v>0</v>
      </c>
      <c r="M641" s="515">
        <v>2000</v>
      </c>
      <c r="N641" s="515">
        <v>2000</v>
      </c>
      <c r="O641" s="516">
        <f>VLOOKUP($I641,'Price List, Weapons &amp; Items'!A:F,6,0)</f>
        <v>1475</v>
      </c>
      <c r="P641" s="513">
        <f t="shared" si="129"/>
        <v>2950000</v>
      </c>
      <c r="Q641" s="513">
        <f t="shared" si="130"/>
        <v>2950000</v>
      </c>
      <c r="R641" s="513">
        <f t="shared" si="121"/>
        <v>2950000</v>
      </c>
      <c r="S641" s="513">
        <f>IF(AND(AD641=1,R641&lt;&gt;".")=TRUE,R641/VLOOKUP(G641,'Exchange rates'!B:C,2,0),IF(R641=".",".",""))</f>
        <v>2939711.0114598903</v>
      </c>
      <c r="T641" s="513">
        <f>IF(AD641=1,IF(AF641="Value is not given at all",".",IF(AF641="Value is given by the source",S641,IF(AF641="Value is calculated with prices",(IF(SUMIFS(Q:Q,A:A,A641)&gt;0,SUMIFS(Q:Q,A:A,A641),"."))/VLOOKUP("USD",'Exchange rates'!B:C,2,0),"Error with coding"))),"")</f>
        <v>2939711.0114598903</v>
      </c>
      <c r="U641" s="39" t="s">
        <v>233</v>
      </c>
      <c r="V641" s="42" t="s">
        <v>1806</v>
      </c>
      <c r="W641" s="42" t="s">
        <v>1807</v>
      </c>
      <c r="X641" s="42" t="s">
        <v>1808</v>
      </c>
      <c r="Y641" s="543" t="s">
        <v>232</v>
      </c>
      <c r="Z641" s="39">
        <v>0</v>
      </c>
      <c r="AA641" s="518">
        <v>0</v>
      </c>
      <c r="AB641" s="394" t="s">
        <v>1809</v>
      </c>
      <c r="AC641" s="519" t="str">
        <f>""</f>
        <v/>
      </c>
      <c r="AD641" s="520">
        <v>1</v>
      </c>
      <c r="AE641" s="520" t="s">
        <v>300</v>
      </c>
      <c r="AF641" s="520" t="s">
        <v>300</v>
      </c>
      <c r="AG641" s="520">
        <v>1</v>
      </c>
      <c r="AH641" s="520">
        <v>2</v>
      </c>
      <c r="AI641" s="520">
        <v>0</v>
      </c>
      <c r="AJ641" s="520">
        <f>VLOOKUP($I641,'Price List, Weapons &amp; Items'!A:E,5,0)</f>
        <v>0</v>
      </c>
      <c r="AK641" s="520">
        <f t="shared" si="122"/>
        <v>0</v>
      </c>
      <c r="AL641" s="520">
        <f t="shared" si="123"/>
        <v>0</v>
      </c>
      <c r="AM641" s="520">
        <f t="shared" si="124"/>
        <v>0</v>
      </c>
      <c r="AN641" s="521" t="str">
        <f>VLOOKUP($I641,'Price List, Weapons &amp; Items'!A:K,COLUMN('Price List, Weapons &amp; Items'!$I$1),0)</f>
        <v>Military media (incl. websites)</v>
      </c>
      <c r="AO641" s="521" t="str">
        <f>IF(I641=".",".",VLOOKUP($I641,'Price List, Weapons &amp; Items'!A:I,3,0))</f>
        <v>Light Anti-armor Weapon (LAW)</v>
      </c>
      <c r="AP641" s="517" t="str">
        <f t="shared" ca="1" si="131"/>
        <v>M72 rocket launcher</v>
      </c>
      <c r="AQ641" s="521">
        <f>VLOOKUP($I641,'Price List, Weapons &amp; Items'!A:K,COLUMN('Price List, Weapons &amp; Items'!$K$1),0)</f>
        <v>2</v>
      </c>
      <c r="AS641" s="521">
        <f t="shared" si="125"/>
        <v>1</v>
      </c>
      <c r="AT641" s="521">
        <f t="shared" si="126"/>
        <v>1</v>
      </c>
      <c r="AU641" s="521">
        <f t="shared" si="127"/>
        <v>1</v>
      </c>
      <c r="AV641" s="521" t="str">
        <f t="shared" si="128"/>
        <v>.</v>
      </c>
    </row>
    <row r="642" spans="1:48" ht="15" customHeight="1">
      <c r="A642" s="41" t="s">
        <v>1810</v>
      </c>
      <c r="B642" s="41" t="s">
        <v>1804</v>
      </c>
      <c r="C642" s="511">
        <v>44651</v>
      </c>
      <c r="D642" s="18" t="s">
        <v>252</v>
      </c>
      <c r="E642" s="18" t="s">
        <v>307</v>
      </c>
      <c r="F642" s="512" t="s">
        <v>1811</v>
      </c>
      <c r="G642" s="39" t="s">
        <v>314</v>
      </c>
      <c r="H642" s="513" t="s">
        <v>309</v>
      </c>
      <c r="I642" s="41" t="s">
        <v>398</v>
      </c>
      <c r="J642" s="276" t="str">
        <f>VLOOKUP($I642,'Price List, Weapons &amp; Items'!A:B,2,0)</f>
        <v>Portable defence system</v>
      </c>
      <c r="K642" s="276" t="str">
        <f>IF(I642=".",I642,VLOOKUP($I642,'Price List, Weapons &amp; Items'!A:C,3,0))</f>
        <v>Light Anti-armor Weapon (LAW)</v>
      </c>
      <c r="L642" s="514">
        <f>VLOOKUP(I642,'Price List, Weapons &amp; Items'!A:D,4,0)</f>
        <v>0</v>
      </c>
      <c r="M642" s="515">
        <v>2000</v>
      </c>
      <c r="N642" s="515">
        <v>2000</v>
      </c>
      <c r="O642" s="516">
        <f>VLOOKUP($I642,'Price List, Weapons &amp; Items'!A:F,6,0)</f>
        <v>1475</v>
      </c>
      <c r="P642" s="513">
        <f t="shared" si="129"/>
        <v>2950000</v>
      </c>
      <c r="Q642" s="513">
        <f t="shared" si="130"/>
        <v>2950000</v>
      </c>
      <c r="R642" s="513">
        <f t="shared" ref="R642:R673" si="132">IF(AD642=1,IF(H642&lt;&gt;"Not given",H642,IF(TYPE(H642)=2,IF(SUMIFS(P:P,A:A,A642)&gt;0,SUMIFS(P:P,A:A,A642),"."),"Format error")),"")</f>
        <v>2950000</v>
      </c>
      <c r="S642" s="513">
        <f>IF(AND(AD642=1,R642&lt;&gt;".")=TRUE,R642/VLOOKUP(G642,'Exchange rates'!B:C,2,0),IF(R642=".",".",""))</f>
        <v>2939711.0114598903</v>
      </c>
      <c r="T642" s="513">
        <f>IF(AD642=1,IF(AF642="Value is not given at all",".",IF(AF642="Value is given by the source",S642,IF(AF642="Value is calculated with prices",(IF(SUMIFS(Q:Q,A:A,A642)&gt;0,SUMIFS(Q:Q,A:A,A642),"."))/VLOOKUP("USD",'Exchange rates'!B:C,2,0),"Error with coding"))),"")</f>
        <v>2939711.0114598903</v>
      </c>
      <c r="U642" s="39" t="s">
        <v>233</v>
      </c>
      <c r="V642" s="42" t="s">
        <v>1812</v>
      </c>
      <c r="W642" s="42" t="s">
        <v>1807</v>
      </c>
      <c r="X642" s="42" t="s">
        <v>1808</v>
      </c>
      <c r="Y642" s="543" t="s">
        <v>232</v>
      </c>
      <c r="Z642" s="39">
        <v>0</v>
      </c>
      <c r="AA642" s="518">
        <v>0</v>
      </c>
      <c r="AB642" s="394" t="s">
        <v>1809</v>
      </c>
      <c r="AC642" s="519" t="str">
        <f>""</f>
        <v/>
      </c>
      <c r="AD642" s="520">
        <v>1</v>
      </c>
      <c r="AE642" s="520" t="s">
        <v>300</v>
      </c>
      <c r="AF642" s="520" t="s">
        <v>300</v>
      </c>
      <c r="AG642" s="520">
        <v>1</v>
      </c>
      <c r="AH642" s="520">
        <v>3</v>
      </c>
      <c r="AI642" s="520">
        <v>0</v>
      </c>
      <c r="AJ642" s="520">
        <f>VLOOKUP($I642,'Price List, Weapons &amp; Items'!A:E,5,0)</f>
        <v>0</v>
      </c>
      <c r="AK642" s="520">
        <f t="shared" ref="AK642:AK708" si="133">IF(AND(AJ642=1,M642="undisclosed")=TRUE,1,0)</f>
        <v>0</v>
      </c>
      <c r="AL642" s="520">
        <f t="shared" ref="AL642:AL708" si="134">IF(AND(AJ642=1,N642="undisclosed")=TRUE,1,0)</f>
        <v>0</v>
      </c>
      <c r="AM642" s="520">
        <f t="shared" ref="AM642:AM708" si="135">IFERROR(IF(SEARCH("ammuni",I642,1)&gt;0,1,0),0)</f>
        <v>0</v>
      </c>
      <c r="AN642" s="521" t="str">
        <f>VLOOKUP($I642,'Price List, Weapons &amp; Items'!A:K,COLUMN('Price List, Weapons &amp; Items'!$I$1),0)</f>
        <v>Military media (incl. websites)</v>
      </c>
      <c r="AO642" s="521" t="str">
        <f>IF(I642=".",".",VLOOKUP($I642,'Price List, Weapons &amp; Items'!A:I,3,0))</f>
        <v>Light Anti-armor Weapon (LAW)</v>
      </c>
      <c r="AP642" s="517" t="str">
        <f t="shared" ca="1" si="131"/>
        <v>M72 rocket launcher</v>
      </c>
      <c r="AQ642" s="521">
        <f>VLOOKUP($I642,'Price List, Weapons &amp; Items'!A:K,COLUMN('Price List, Weapons &amp; Items'!$K$1),0)</f>
        <v>2</v>
      </c>
      <c r="AS642" s="521">
        <f t="shared" ref="AS642:AS708" si="136">IF(U642="Yes",1,0)</f>
        <v>1</v>
      </c>
      <c r="AT642" s="521">
        <f t="shared" ref="AT642:AT708" si="137">IF(OR((E642="Weapons"),(E642="Weapons and equipment"),(E642="Weapons and training"),(E642="Weapons and Assistance"),(E642="Military Equipment"))=FALSE,0,1)</f>
        <v>1</v>
      </c>
      <c r="AU642" s="521">
        <f t="shared" ref="AU642:AU708" si="138">IFERROR(IF(VALUE(TEXT(C642,"mm"))=AH642,".",1),"Value is not in date format")</f>
        <v>1</v>
      </c>
      <c r="AV642" s="521" t="str">
        <f t="shared" si="128"/>
        <v>.</v>
      </c>
    </row>
    <row r="643" spans="1:48" ht="15" customHeight="1">
      <c r="A643" s="18" t="s">
        <v>1813</v>
      </c>
      <c r="B643" s="18" t="s">
        <v>1804</v>
      </c>
      <c r="C643" s="511">
        <v>44671</v>
      </c>
      <c r="D643" s="18" t="s">
        <v>252</v>
      </c>
      <c r="E643" s="18" t="s">
        <v>307</v>
      </c>
      <c r="F643" s="512" t="s">
        <v>1814</v>
      </c>
      <c r="G643" s="39" t="s">
        <v>314</v>
      </c>
      <c r="H643" s="513" t="s">
        <v>309</v>
      </c>
      <c r="I643" s="41" t="s">
        <v>1815</v>
      </c>
      <c r="J643" s="276" t="str">
        <f>VLOOKUP($I643,'Price List, Weapons &amp; Items'!A:B,2,0)</f>
        <v>Heavy weapon</v>
      </c>
      <c r="K643" s="276" t="str">
        <f>IF(I643=".",I643,VLOOKUP($I643,'Price List, Weapons &amp; Items'!A:C,3,0))</f>
        <v>Anti-aircraft surface-to-air missile (SAM) system (point-defense)</v>
      </c>
      <c r="L643" s="514">
        <f>VLOOKUP(I643,'Price List, Weapons &amp; Items'!A:D,4,0)</f>
        <v>0</v>
      </c>
      <c r="M643" s="515" t="s">
        <v>264</v>
      </c>
      <c r="N643" s="515" t="s">
        <v>232</v>
      </c>
      <c r="O643" s="516">
        <f>VLOOKUP($I643,'Price List, Weapons &amp; Items'!A:F,6,0)</f>
        <v>2600000</v>
      </c>
      <c r="P643" s="513" t="str">
        <f t="shared" si="129"/>
        <v>.</v>
      </c>
      <c r="Q643" s="513" t="str">
        <f t="shared" si="130"/>
        <v>.</v>
      </c>
      <c r="R643" s="513">
        <f t="shared" si="132"/>
        <v>69235545.178616971</v>
      </c>
      <c r="S643" s="513">
        <f>IF(AND(AD643=1,R643&lt;&gt;".")=TRUE,R643/VLOOKUP(G643,'Exchange rates'!B:C,2,0),IF(R643=".",".",""))</f>
        <v>68994065.947799668</v>
      </c>
      <c r="T643" s="513">
        <f>IF(AD643=1,IF(AF643="Value is not given at all",".",IF(AF643="Value is given by the source",S643,IF(AF643="Value is calculated with prices",(IF(SUMIFS(Q:Q,A:A,A643)&gt;0,SUMIFS(Q:Q,A:A,A643),"."))/VLOOKUP("USD",'Exchange rates'!B:C,2,0),"Error with coding"))),"")</f>
        <v>68994065.947799668</v>
      </c>
      <c r="U643" s="39" t="s">
        <v>233</v>
      </c>
      <c r="V643" s="376" t="s">
        <v>1808</v>
      </c>
      <c r="W643" s="376" t="s">
        <v>1816</v>
      </c>
      <c r="X643" s="530" t="s">
        <v>232</v>
      </c>
      <c r="Y643" s="583" t="s">
        <v>232</v>
      </c>
      <c r="Z643" s="39">
        <v>0</v>
      </c>
      <c r="AA643" s="518">
        <v>0</v>
      </c>
      <c r="AB643" s="38" t="s">
        <v>232</v>
      </c>
      <c r="AC643" s="519" t="str">
        <f>""</f>
        <v/>
      </c>
      <c r="AD643" s="520">
        <v>1</v>
      </c>
      <c r="AE643" s="520" t="s">
        <v>300</v>
      </c>
      <c r="AF643" s="520" t="s">
        <v>300</v>
      </c>
      <c r="AG643" s="520">
        <v>1</v>
      </c>
      <c r="AH643" s="520">
        <v>4</v>
      </c>
      <c r="AI643" s="520">
        <v>0</v>
      </c>
      <c r="AJ643" s="520">
        <f>VLOOKUP($I643,'Price List, Weapons &amp; Items'!A:E,5,0)</f>
        <v>0</v>
      </c>
      <c r="AK643" s="520">
        <f t="shared" si="133"/>
        <v>0</v>
      </c>
      <c r="AL643" s="520">
        <f t="shared" si="134"/>
        <v>0</v>
      </c>
      <c r="AM643" s="520">
        <f t="shared" si="135"/>
        <v>0</v>
      </c>
      <c r="AN643" s="521" t="str">
        <f>VLOOKUP($I643,'Price List, Weapons &amp; Items'!A:K,COLUMN('Price List, Weapons &amp; Items'!$I$1),0)</f>
        <v>Military media (incl. websites)</v>
      </c>
      <c r="AO643" s="521" t="str">
        <f>IF(I643=".",".",VLOOKUP($I643,'Price List, Weapons &amp; Items'!A:I,3,0))</f>
        <v>Anti-aircraft surface-to-air missile (SAM) system (point-defense)</v>
      </c>
      <c r="AP643" s="517" t="str">
        <f t="shared" ca="1" si="131"/>
        <v>Mistral Air Defence Launcher; Mistral Air Defence Missile</v>
      </c>
      <c r="AQ643" s="521" t="str">
        <f>VLOOKUP($I643,'Price List, Weapons &amp; Items'!A:K,COLUMN('Price List, Weapons &amp; Items'!$K$1),0)</f>
        <v>no price, 0 count</v>
      </c>
      <c r="AS643" s="521">
        <f t="shared" si="136"/>
        <v>1</v>
      </c>
      <c r="AT643" s="521">
        <f t="shared" si="137"/>
        <v>1</v>
      </c>
      <c r="AU643" s="521">
        <f t="shared" si="138"/>
        <v>1</v>
      </c>
      <c r="AV643" s="521" t="str">
        <f t="shared" ref="AV643:AV709" si="139">IF(AND(A643=A642,C643=C642)=TRUE,IF(F643=F642,".","1"),".")</f>
        <v>.</v>
      </c>
    </row>
    <row r="644" spans="1:48" ht="15" customHeight="1">
      <c r="A644" s="18" t="s">
        <v>1813</v>
      </c>
      <c r="B644" s="18" t="s">
        <v>1804</v>
      </c>
      <c r="C644" s="511">
        <v>44671</v>
      </c>
      <c r="D644" s="18" t="s">
        <v>252</v>
      </c>
      <c r="E644" s="18" t="s">
        <v>307</v>
      </c>
      <c r="F644" s="512" t="s">
        <v>1814</v>
      </c>
      <c r="G644" s="39" t="s">
        <v>314</v>
      </c>
      <c r="H644" s="513" t="s">
        <v>309</v>
      </c>
      <c r="I644" s="41" t="s">
        <v>1817</v>
      </c>
      <c r="J644" s="276" t="str">
        <f>VLOOKUP($I644,'Price List, Weapons &amp; Items'!A:B,2,0)</f>
        <v>Ammunition for heavy weapon</v>
      </c>
      <c r="K644" s="276" t="str">
        <f>IF(I644=".",I644,VLOOKUP($I644,'Price List, Weapons &amp; Items'!A:C,3,0))</f>
        <v>Light Anti-armor Weapon (LAW) ammunition</v>
      </c>
      <c r="L644" s="514">
        <f>VLOOKUP(I644,'Price List, Weapons &amp; Items'!A:D,4,0)</f>
        <v>0</v>
      </c>
      <c r="M644" s="515">
        <v>100</v>
      </c>
      <c r="N644" s="515">
        <v>100</v>
      </c>
      <c r="O644" s="516">
        <f>VLOOKUP($I644,'Price List, Weapons &amp; Items'!A:F,6,0)</f>
        <v>692355.45178616967</v>
      </c>
      <c r="P644" s="513">
        <f t="shared" si="129"/>
        <v>69235545.178616971</v>
      </c>
      <c r="Q644" s="513">
        <f t="shared" si="130"/>
        <v>69235545.178616971</v>
      </c>
      <c r="R644" s="513" t="str">
        <f t="shared" si="132"/>
        <v/>
      </c>
      <c r="S644" s="513" t="str">
        <f>IF(AND(AD644=1,R644&lt;&gt;".")=TRUE,R644/VLOOKUP(G644,'Exchange rates'!B:C,2,0),IF(R644=".",".",""))</f>
        <v/>
      </c>
      <c r="T644" s="513" t="str">
        <f>IF(AD644=1,IF(AF644="Value is not given at all",".",IF(AF644="Value is given by the source",S644,IF(AF644="Value is calculated with prices",(IF(SUMIFS(Q:Q,A:A,A644)&gt;0,SUMIFS(Q:Q,A:A,A644),"."))/VLOOKUP("USD",'Exchange rates'!B:C,2,0),"Error with coding"))),"")</f>
        <v/>
      </c>
      <c r="U644" s="39" t="s">
        <v>233</v>
      </c>
      <c r="V644" s="376" t="s">
        <v>1808</v>
      </c>
      <c r="W644" s="376" t="s">
        <v>1816</v>
      </c>
      <c r="X644" s="530" t="s">
        <v>232</v>
      </c>
      <c r="Y644" s="583" t="s">
        <v>232</v>
      </c>
      <c r="Z644" s="39">
        <v>0</v>
      </c>
      <c r="AA644" s="518">
        <v>0</v>
      </c>
      <c r="AB644" s="394" t="s">
        <v>1818</v>
      </c>
      <c r="AC644" s="519" t="str">
        <f>""</f>
        <v/>
      </c>
      <c r="AD644" s="520">
        <v>0</v>
      </c>
      <c r="AE644" s="520" t="s">
        <v>300</v>
      </c>
      <c r="AF644" s="520" t="s">
        <v>300</v>
      </c>
      <c r="AG644" s="520">
        <v>1</v>
      </c>
      <c r="AH644" s="520">
        <v>4</v>
      </c>
      <c r="AI644" s="520">
        <v>0</v>
      </c>
      <c r="AJ644" s="520">
        <f>VLOOKUP($I644,'Price List, Weapons &amp; Items'!A:E,5,0)</f>
        <v>0</v>
      </c>
      <c r="AK644" s="520">
        <f t="shared" si="133"/>
        <v>0</v>
      </c>
      <c r="AL644" s="520">
        <f t="shared" si="134"/>
        <v>0</v>
      </c>
      <c r="AM644" s="520">
        <f t="shared" si="135"/>
        <v>0</v>
      </c>
      <c r="AN644" s="521" t="str">
        <f>VLOOKUP($I644,'Price List, Weapons &amp; Items'!A:K,COLUMN('Price List, Weapons &amp; Items'!$I$1),0)</f>
        <v>Contracts</v>
      </c>
      <c r="AO644" s="521" t="str">
        <f>IF(I644=".",".",VLOOKUP($I644,'Price List, Weapons &amp; Items'!A:I,3,0))</f>
        <v>Light Anti-armor Weapon (LAW) ammunition</v>
      </c>
      <c r="AP644" s="517" t="str">
        <f t="shared" ca="1" si="131"/>
        <v/>
      </c>
      <c r="AQ644" s="521">
        <f>VLOOKUP($I644,'Price List, Weapons &amp; Items'!A:K,COLUMN('Price List, Weapons &amp; Items'!$K$1),0)</f>
        <v>2</v>
      </c>
      <c r="AS644" s="521">
        <f t="shared" si="136"/>
        <v>1</v>
      </c>
      <c r="AT644" s="521">
        <f t="shared" si="137"/>
        <v>1</v>
      </c>
      <c r="AU644" s="521">
        <f t="shared" si="138"/>
        <v>1</v>
      </c>
      <c r="AV644" s="521" t="str">
        <f t="shared" si="139"/>
        <v>.</v>
      </c>
    </row>
    <row r="645" spans="1:48" ht="15" customHeight="1">
      <c r="A645" s="18" t="s">
        <v>1819</v>
      </c>
      <c r="B645" s="18" t="s">
        <v>1804</v>
      </c>
      <c r="C645" s="511" t="s">
        <v>1820</v>
      </c>
      <c r="D645" s="18" t="s">
        <v>252</v>
      </c>
      <c r="E645" s="18" t="s">
        <v>261</v>
      </c>
      <c r="F645" s="512" t="s">
        <v>1821</v>
      </c>
      <c r="G645" s="39" t="s">
        <v>314</v>
      </c>
      <c r="H645" s="513" t="s">
        <v>309</v>
      </c>
      <c r="I645" s="41" t="s">
        <v>446</v>
      </c>
      <c r="J645" s="276" t="str">
        <f>VLOOKUP($I645,'Price List, Weapons &amp; Items'!A:B,2,0)</f>
        <v>Military equipment</v>
      </c>
      <c r="K645" s="276" t="str">
        <f>IF(I645=".",I645,VLOOKUP($I645,'Price List, Weapons &amp; Items'!A:C,3,0))</f>
        <v>.</v>
      </c>
      <c r="L645" s="514">
        <f>VLOOKUP(I645,'Price List, Weapons &amp; Items'!A:D,4,0)</f>
        <v>0</v>
      </c>
      <c r="M645" s="515">
        <v>1500</v>
      </c>
      <c r="N645" s="515">
        <v>1500</v>
      </c>
      <c r="O645" s="516">
        <f>VLOOKUP($I645,'Price List, Weapons &amp; Items'!A:F,6,0)</f>
        <v>500</v>
      </c>
      <c r="P645" s="513">
        <f t="shared" si="129"/>
        <v>750000</v>
      </c>
      <c r="Q645" s="513">
        <f t="shared" si="130"/>
        <v>750000</v>
      </c>
      <c r="R645" s="513">
        <f t="shared" si="132"/>
        <v>8780400</v>
      </c>
      <c r="S645" s="513">
        <f>IF(AND(AD645=1,R645&lt;&gt;".")=TRUE,R645/VLOOKUP(G645,'Exchange rates'!B:C,2,0),IF(R645=".",".",""))</f>
        <v>8749775.7847533636</v>
      </c>
      <c r="T645" s="513">
        <f>IF(AD645=1,IF(AF645="Value is not given at all",".",IF(AF645="Value is given by the source",S645,IF(AF645="Value is calculated with prices",(IF(SUMIFS(Q:Q,A:A,A645)&gt;0,SUMIFS(Q:Q,A:A,A645),"."))/VLOOKUP("USD",'Exchange rates'!B:C,2,0),"Error with coding"))),"")</f>
        <v>8749775.7847533636</v>
      </c>
      <c r="U645" s="39" t="s">
        <v>233</v>
      </c>
      <c r="V645" s="376" t="s">
        <v>1816</v>
      </c>
      <c r="W645" s="376" t="s">
        <v>1822</v>
      </c>
      <c r="X645" s="530" t="s">
        <v>232</v>
      </c>
      <c r="Y645" s="530" t="s">
        <v>232</v>
      </c>
      <c r="Z645" s="39">
        <v>0</v>
      </c>
      <c r="AA645" s="518">
        <v>0</v>
      </c>
      <c r="AB645" s="394" t="s">
        <v>1823</v>
      </c>
      <c r="AC645" s="519" t="str">
        <f>""</f>
        <v/>
      </c>
      <c r="AD645" s="520">
        <v>1</v>
      </c>
      <c r="AE645" s="520" t="s">
        <v>300</v>
      </c>
      <c r="AF645" s="520" t="s">
        <v>300</v>
      </c>
      <c r="AG645" s="520">
        <v>1</v>
      </c>
      <c r="AH645" s="520">
        <v>4</v>
      </c>
      <c r="AI645" s="520">
        <v>0</v>
      </c>
      <c r="AJ645" s="520">
        <f>VLOOKUP($I645,'Price List, Weapons &amp; Items'!A:E,5,0)</f>
        <v>0</v>
      </c>
      <c r="AK645" s="520">
        <f t="shared" si="133"/>
        <v>0</v>
      </c>
      <c r="AL645" s="520">
        <f t="shared" si="134"/>
        <v>0</v>
      </c>
      <c r="AM645" s="520">
        <f t="shared" si="135"/>
        <v>0</v>
      </c>
      <c r="AN645" s="521" t="str">
        <f>VLOOKUP($I645,'Price List, Weapons &amp; Items'!A:K,COLUMN('Price List, Weapons &amp; Items'!$I$1),0)</f>
        <v>Military media (incl. websites)</v>
      </c>
      <c r="AO645" s="521" t="str">
        <f>IF(I645=".",".",VLOOKUP($I645,'Price List, Weapons &amp; Items'!A:I,3,0))</f>
        <v>.</v>
      </c>
      <c r="AP645" s="517" t="str">
        <f t="shared" ca="1" si="131"/>
        <v>ballistic vest; helmet; combat ration package; protective mask with filter; sleeping bag; sleeping mat; Clothes</v>
      </c>
      <c r="AQ645" s="521">
        <f>VLOOKUP($I645,'Price List, Weapons &amp; Items'!A:K,COLUMN('Price List, Weapons &amp; Items'!$K$1),0)</f>
        <v>2</v>
      </c>
      <c r="AS645" s="521">
        <f t="shared" si="136"/>
        <v>1</v>
      </c>
      <c r="AT645" s="521">
        <f t="shared" si="137"/>
        <v>1</v>
      </c>
      <c r="AU645" s="521" t="str">
        <f t="shared" si="138"/>
        <v>Value is not in date format</v>
      </c>
      <c r="AV645" s="521" t="str">
        <f t="shared" si="139"/>
        <v>.</v>
      </c>
    </row>
    <row r="646" spans="1:48" ht="15" customHeight="1">
      <c r="A646" s="18" t="s">
        <v>1819</v>
      </c>
      <c r="B646" s="18" t="s">
        <v>1804</v>
      </c>
      <c r="C646" s="511" t="s">
        <v>1820</v>
      </c>
      <c r="D646" s="18" t="s">
        <v>252</v>
      </c>
      <c r="E646" s="18" t="s">
        <v>261</v>
      </c>
      <c r="F646" s="512" t="s">
        <v>1821</v>
      </c>
      <c r="G646" s="39" t="s">
        <v>314</v>
      </c>
      <c r="H646" s="513" t="s">
        <v>309</v>
      </c>
      <c r="I646" s="41" t="s">
        <v>419</v>
      </c>
      <c r="J646" s="276" t="str">
        <f>VLOOKUP($I646,'Price List, Weapons &amp; Items'!A:B,2,0)</f>
        <v>Military equipment</v>
      </c>
      <c r="K646" s="276" t="str">
        <f>IF(I646=".",I646,VLOOKUP($I646,'Price List, Weapons &amp; Items'!A:C,3,0))</f>
        <v>.</v>
      </c>
      <c r="L646" s="514">
        <f>VLOOKUP(I646,'Price List, Weapons &amp; Items'!A:D,4,0)</f>
        <v>0</v>
      </c>
      <c r="M646" s="515">
        <v>5000</v>
      </c>
      <c r="N646" s="515">
        <v>5000</v>
      </c>
      <c r="O646" s="516">
        <f>VLOOKUP($I646,'Price List, Weapons &amp; Items'!A:F,6,0)</f>
        <v>1400</v>
      </c>
      <c r="P646" s="513">
        <f t="shared" si="129"/>
        <v>7000000</v>
      </c>
      <c r="Q646" s="513">
        <f t="shared" si="130"/>
        <v>7000000</v>
      </c>
      <c r="R646" s="513" t="str">
        <f t="shared" si="132"/>
        <v/>
      </c>
      <c r="S646" s="513" t="str">
        <f>IF(AND(AD646=1,R646&lt;&gt;".")=TRUE,R646/VLOOKUP(G646,'Exchange rates'!B:C,2,0),IF(R646=".",".",""))</f>
        <v/>
      </c>
      <c r="T646" s="513" t="str">
        <f>IF(AD646=1,IF(AF646="Value is not given at all",".",IF(AF646="Value is given by the source",S646,IF(AF646="Value is calculated with prices",(IF(SUMIFS(Q:Q,A:A,A646)&gt;0,SUMIFS(Q:Q,A:A,A646),"."))/VLOOKUP("USD",'Exchange rates'!B:C,2,0),"Error with coding"))),"")</f>
        <v/>
      </c>
      <c r="U646" s="39" t="s">
        <v>233</v>
      </c>
      <c r="V646" s="530" t="s">
        <v>1816</v>
      </c>
      <c r="W646" s="530" t="s">
        <v>1822</v>
      </c>
      <c r="X646" s="530" t="s">
        <v>232</v>
      </c>
      <c r="Y646" s="530" t="s">
        <v>232</v>
      </c>
      <c r="Z646" s="39">
        <v>0</v>
      </c>
      <c r="AA646" s="518">
        <v>0</v>
      </c>
      <c r="AB646" s="394" t="s">
        <v>1823</v>
      </c>
      <c r="AC646" s="519" t="str">
        <f>""</f>
        <v/>
      </c>
      <c r="AD646" s="520">
        <v>0</v>
      </c>
      <c r="AE646" s="520" t="s">
        <v>300</v>
      </c>
      <c r="AF646" s="520" t="s">
        <v>300</v>
      </c>
      <c r="AG646" s="520">
        <v>1</v>
      </c>
      <c r="AH646" s="520">
        <v>4</v>
      </c>
      <c r="AI646" s="520">
        <v>0</v>
      </c>
      <c r="AJ646" s="520">
        <f>VLOOKUP($I646,'Price List, Weapons &amp; Items'!A:E,5,0)</f>
        <v>0</v>
      </c>
      <c r="AK646" s="520">
        <f t="shared" si="133"/>
        <v>0</v>
      </c>
      <c r="AL646" s="520">
        <f t="shared" si="134"/>
        <v>0</v>
      </c>
      <c r="AM646" s="520">
        <f t="shared" si="135"/>
        <v>0</v>
      </c>
      <c r="AN646" s="521" t="str">
        <f>VLOOKUP($I646,'Price List, Weapons &amp; Items'!A:K,COLUMN('Price List, Weapons &amp; Items'!$I$1),0)</f>
        <v>Military media (incl. websites)</v>
      </c>
      <c r="AO646" s="521" t="str">
        <f>IF(I646=".",".",VLOOKUP($I646,'Price List, Weapons &amp; Items'!A:I,3,0))</f>
        <v>.</v>
      </c>
      <c r="AP646" s="517" t="str">
        <f t="shared" ca="1" si="131"/>
        <v/>
      </c>
      <c r="AQ646" s="521">
        <f>VLOOKUP($I646,'Price List, Weapons &amp; Items'!A:K,COLUMN('Price List, Weapons &amp; Items'!$K$1),0)</f>
        <v>2</v>
      </c>
      <c r="AS646" s="521">
        <f t="shared" si="136"/>
        <v>1</v>
      </c>
      <c r="AT646" s="521">
        <f t="shared" si="137"/>
        <v>1</v>
      </c>
      <c r="AU646" s="521" t="str">
        <f t="shared" si="138"/>
        <v>Value is not in date format</v>
      </c>
      <c r="AV646" s="521" t="str">
        <f t="shared" si="139"/>
        <v>.</v>
      </c>
    </row>
    <row r="647" spans="1:48" ht="15" customHeight="1">
      <c r="A647" s="18" t="s">
        <v>1819</v>
      </c>
      <c r="B647" s="18" t="s">
        <v>1804</v>
      </c>
      <c r="C647" s="511" t="s">
        <v>1820</v>
      </c>
      <c r="D647" s="18" t="s">
        <v>252</v>
      </c>
      <c r="E647" s="18" t="s">
        <v>261</v>
      </c>
      <c r="F647" s="512" t="s">
        <v>1821</v>
      </c>
      <c r="G647" s="39" t="s">
        <v>314</v>
      </c>
      <c r="H647" s="513" t="s">
        <v>309</v>
      </c>
      <c r="I647" s="41" t="s">
        <v>974</v>
      </c>
      <c r="J647" s="276" t="str">
        <f>VLOOKUP($I647,'Price List, Weapons &amp; Items'!A:B,2,0)</f>
        <v>Military equipment</v>
      </c>
      <c r="K647" s="276" t="str">
        <f>IF(I647=".",I647,VLOOKUP($I647,'Price List, Weapons &amp; Items'!A:C,3,0))</f>
        <v>.</v>
      </c>
      <c r="L647" s="514">
        <f>VLOOKUP(I647,'Price List, Weapons &amp; Items'!A:D,4,0)</f>
        <v>0</v>
      </c>
      <c r="M647" s="515">
        <v>15000</v>
      </c>
      <c r="N647" s="515">
        <v>15000</v>
      </c>
      <c r="O647" s="516">
        <f>VLOOKUP($I647,'Price List, Weapons &amp; Items'!A:F,6,0)</f>
        <v>22</v>
      </c>
      <c r="P647" s="513">
        <f t="shared" si="129"/>
        <v>330000</v>
      </c>
      <c r="Q647" s="513">
        <f t="shared" si="130"/>
        <v>330000</v>
      </c>
      <c r="R647" s="513" t="str">
        <f t="shared" si="132"/>
        <v/>
      </c>
      <c r="S647" s="513" t="str">
        <f>IF(AND(AD647=1,R647&lt;&gt;".")=TRUE,R647/VLOOKUP(G647,'Exchange rates'!B:C,2,0),IF(R647=".",".",""))</f>
        <v/>
      </c>
      <c r="T647" s="513" t="str">
        <f>IF(AD647=1,IF(AF647="Value is not given at all",".",IF(AF647="Value is given by the source",S647,IF(AF647="Value is calculated with prices",(IF(SUMIFS(Q:Q,A:A,A647)&gt;0,SUMIFS(Q:Q,A:A,A647),"."))/VLOOKUP("USD",'Exchange rates'!B:C,2,0),"Error with coding"))),"")</f>
        <v/>
      </c>
      <c r="U647" s="39" t="s">
        <v>233</v>
      </c>
      <c r="V647" s="530" t="s">
        <v>1816</v>
      </c>
      <c r="W647" s="530" t="s">
        <v>1822</v>
      </c>
      <c r="X647" s="530" t="s">
        <v>232</v>
      </c>
      <c r="Y647" s="530" t="s">
        <v>232</v>
      </c>
      <c r="Z647" s="39">
        <v>0</v>
      </c>
      <c r="AA647" s="518">
        <v>0</v>
      </c>
      <c r="AB647" s="394" t="s">
        <v>1823</v>
      </c>
      <c r="AC647" s="519" t="str">
        <f>""</f>
        <v/>
      </c>
      <c r="AD647" s="520">
        <v>0</v>
      </c>
      <c r="AE647" s="520" t="s">
        <v>300</v>
      </c>
      <c r="AF647" s="520" t="s">
        <v>300</v>
      </c>
      <c r="AG647" s="520">
        <v>1</v>
      </c>
      <c r="AH647" s="520">
        <v>4</v>
      </c>
      <c r="AI647" s="520">
        <v>0</v>
      </c>
      <c r="AJ647" s="520">
        <f>VLOOKUP($I647,'Price List, Weapons &amp; Items'!A:E,5,0)</f>
        <v>0</v>
      </c>
      <c r="AK647" s="520">
        <f t="shared" si="133"/>
        <v>0</v>
      </c>
      <c r="AL647" s="520">
        <f t="shared" si="134"/>
        <v>0</v>
      </c>
      <c r="AM647" s="520">
        <f t="shared" si="135"/>
        <v>0</v>
      </c>
      <c r="AN647" s="521" t="str">
        <f>VLOOKUP($I647,'Price List, Weapons &amp; Items'!A:K,COLUMN('Price List, Weapons &amp; Items'!$I$1),0)</f>
        <v>Online marketplaces and stores</v>
      </c>
      <c r="AO647" s="521" t="str">
        <f>IF(I647=".",".",VLOOKUP($I647,'Price List, Weapons &amp; Items'!A:I,3,0))</f>
        <v>.</v>
      </c>
      <c r="AP647" s="517" t="str">
        <f t="shared" ca="1" si="131"/>
        <v/>
      </c>
      <c r="AQ647" s="521">
        <f>VLOOKUP($I647,'Price List, Weapons &amp; Items'!A:K,COLUMN('Price List, Weapons &amp; Items'!$K$1),0)</f>
        <v>2</v>
      </c>
      <c r="AS647" s="521">
        <f t="shared" si="136"/>
        <v>1</v>
      </c>
      <c r="AT647" s="521">
        <f t="shared" si="137"/>
        <v>1</v>
      </c>
      <c r="AU647" s="521" t="str">
        <f t="shared" si="138"/>
        <v>Value is not in date format</v>
      </c>
      <c r="AV647" s="521" t="str">
        <f t="shared" si="139"/>
        <v>.</v>
      </c>
    </row>
    <row r="648" spans="1:48" ht="15" customHeight="1">
      <c r="A648" s="18" t="s">
        <v>1819</v>
      </c>
      <c r="B648" s="18" t="s">
        <v>1804</v>
      </c>
      <c r="C648" s="511" t="s">
        <v>1820</v>
      </c>
      <c r="D648" s="18" t="s">
        <v>252</v>
      </c>
      <c r="E648" s="18" t="s">
        <v>261</v>
      </c>
      <c r="F648" s="512" t="s">
        <v>1821</v>
      </c>
      <c r="G648" s="39" t="s">
        <v>314</v>
      </c>
      <c r="H648" s="513" t="s">
        <v>309</v>
      </c>
      <c r="I648" s="41" t="s">
        <v>1494</v>
      </c>
      <c r="J648" s="276" t="str">
        <f>VLOOKUP($I648,'Price List, Weapons &amp; Items'!A:B,2,0)</f>
        <v>Military equipment</v>
      </c>
      <c r="K648" s="276" t="str">
        <f>IF(I648=".",I648,VLOOKUP($I648,'Price List, Weapons &amp; Items'!A:C,3,0))</f>
        <v>.</v>
      </c>
      <c r="L648" s="514">
        <f>VLOOKUP(I648,'Price List, Weapons &amp; Items'!A:D,4,0)</f>
        <v>0</v>
      </c>
      <c r="M648" s="515">
        <v>1000</v>
      </c>
      <c r="N648" s="515">
        <v>1000</v>
      </c>
      <c r="O648" s="516">
        <f>VLOOKUP($I648,'Price List, Weapons &amp; Items'!A:F,6,0)</f>
        <v>0.4</v>
      </c>
      <c r="P648" s="513">
        <f t="shared" si="129"/>
        <v>400</v>
      </c>
      <c r="Q648" s="513">
        <f t="shared" si="130"/>
        <v>400</v>
      </c>
      <c r="R648" s="513" t="str">
        <f t="shared" si="132"/>
        <v/>
      </c>
      <c r="S648" s="513" t="str">
        <f>IF(AND(AD648=1,R648&lt;&gt;".")=TRUE,R648/VLOOKUP(G648,'Exchange rates'!B:C,2,0),IF(R648=".",".",""))</f>
        <v/>
      </c>
      <c r="T648" s="513" t="str">
        <f>IF(AD648=1,IF(AF648="Value is not given at all",".",IF(AF648="Value is given by the source",S648,IF(AF648="Value is calculated with prices",(IF(SUMIFS(Q:Q,A:A,A648)&gt;0,SUMIFS(Q:Q,A:A,A648),"."))/VLOOKUP("USD",'Exchange rates'!B:C,2,0),"Error with coding"))),"")</f>
        <v/>
      </c>
      <c r="U648" s="39" t="s">
        <v>233</v>
      </c>
      <c r="V648" s="530" t="s">
        <v>1816</v>
      </c>
      <c r="W648" s="530" t="s">
        <v>1822</v>
      </c>
      <c r="X648" s="530" t="s">
        <v>232</v>
      </c>
      <c r="Y648" s="530" t="s">
        <v>232</v>
      </c>
      <c r="Z648" s="39">
        <v>0</v>
      </c>
      <c r="AA648" s="518">
        <v>0</v>
      </c>
      <c r="AB648" s="394" t="s">
        <v>1823</v>
      </c>
      <c r="AC648" s="519" t="str">
        <f>""</f>
        <v/>
      </c>
      <c r="AD648" s="520">
        <v>0</v>
      </c>
      <c r="AE648" s="520" t="s">
        <v>300</v>
      </c>
      <c r="AF648" s="520" t="s">
        <v>300</v>
      </c>
      <c r="AG648" s="520">
        <v>1</v>
      </c>
      <c r="AH648" s="520">
        <v>4</v>
      </c>
      <c r="AI648" s="520">
        <v>0</v>
      </c>
      <c r="AJ648" s="520">
        <f>VLOOKUP($I648,'Price List, Weapons &amp; Items'!A:E,5,0)</f>
        <v>0</v>
      </c>
      <c r="AK648" s="520">
        <f t="shared" si="133"/>
        <v>0</v>
      </c>
      <c r="AL648" s="520">
        <f t="shared" si="134"/>
        <v>0</v>
      </c>
      <c r="AM648" s="520">
        <f t="shared" si="135"/>
        <v>0</v>
      </c>
      <c r="AN648" s="521" t="str">
        <f>VLOOKUP($I648,'Price List, Weapons &amp; Items'!A:K,COLUMN('Price List, Weapons &amp; Items'!$I$1),0)</f>
        <v>Online marketplaces and stores</v>
      </c>
      <c r="AO648" s="521" t="str">
        <f>IF(I648=".",".",VLOOKUP($I648,'Price List, Weapons &amp; Items'!A:I,3,0))</f>
        <v>.</v>
      </c>
      <c r="AP648" s="517" t="str">
        <f t="shared" ca="1" si="131"/>
        <v/>
      </c>
      <c r="AQ648" s="521">
        <f>VLOOKUP($I648,'Price List, Weapons &amp; Items'!A:K,COLUMN('Price List, Weapons &amp; Items'!$K$1),0)</f>
        <v>1</v>
      </c>
      <c r="AS648" s="521">
        <f t="shared" si="136"/>
        <v>1</v>
      </c>
      <c r="AT648" s="521">
        <f t="shared" si="137"/>
        <v>1</v>
      </c>
      <c r="AU648" s="521" t="str">
        <f t="shared" si="138"/>
        <v>Value is not in date format</v>
      </c>
      <c r="AV648" s="521" t="str">
        <f t="shared" si="139"/>
        <v>.</v>
      </c>
    </row>
    <row r="649" spans="1:48" ht="15" customHeight="1">
      <c r="A649" s="18" t="s">
        <v>1819</v>
      </c>
      <c r="B649" s="18" t="s">
        <v>1804</v>
      </c>
      <c r="C649" s="511" t="s">
        <v>1820</v>
      </c>
      <c r="D649" s="18" t="s">
        <v>252</v>
      </c>
      <c r="E649" s="18" t="s">
        <v>261</v>
      </c>
      <c r="F649" s="512" t="s">
        <v>1821</v>
      </c>
      <c r="G649" s="39" t="s">
        <v>314</v>
      </c>
      <c r="H649" s="513" t="s">
        <v>309</v>
      </c>
      <c r="I649" s="41" t="s">
        <v>322</v>
      </c>
      <c r="J649" s="276" t="str">
        <f>VLOOKUP($I649,'Price List, Weapons &amp; Items'!A:B,2,0)</f>
        <v>Humanitarian</v>
      </c>
      <c r="K649" s="276" t="str">
        <f>IF(I649=".",I649,VLOOKUP($I649,'Price List, Weapons &amp; Items'!A:C,3,0))</f>
        <v>.</v>
      </c>
      <c r="L649" s="514">
        <f>VLOOKUP(I649,'Price List, Weapons &amp; Items'!A:D,4,0)</f>
        <v>0</v>
      </c>
      <c r="M649" s="515">
        <v>2000</v>
      </c>
      <c r="N649" s="515">
        <v>2000</v>
      </c>
      <c r="O649" s="516">
        <f>VLOOKUP($I649,'Price List, Weapons &amp; Items'!A:F,6,0)</f>
        <v>150</v>
      </c>
      <c r="P649" s="513">
        <f t="shared" si="129"/>
        <v>300000</v>
      </c>
      <c r="Q649" s="513">
        <f t="shared" si="130"/>
        <v>300000</v>
      </c>
      <c r="R649" s="513" t="str">
        <f t="shared" si="132"/>
        <v/>
      </c>
      <c r="S649" s="513" t="str">
        <f>IF(AND(AD649=1,R649&lt;&gt;".")=TRUE,R649/VLOOKUP(G649,'Exchange rates'!B:C,2,0),IF(R649=".",".",""))</f>
        <v/>
      </c>
      <c r="T649" s="513" t="str">
        <f>IF(AD649=1,IF(AF649="Value is not given at all",".",IF(AF649="Value is given by the source",S649,IF(AF649="Value is calculated with prices",(IF(SUMIFS(Q:Q,A:A,A649)&gt;0,SUMIFS(Q:Q,A:A,A649),"."))/VLOOKUP("USD",'Exchange rates'!B:C,2,0),"Error with coding"))),"")</f>
        <v/>
      </c>
      <c r="U649" s="39" t="s">
        <v>233</v>
      </c>
      <c r="V649" s="530" t="s">
        <v>1816</v>
      </c>
      <c r="W649" s="530" t="s">
        <v>1822</v>
      </c>
      <c r="X649" s="530" t="s">
        <v>232</v>
      </c>
      <c r="Y649" s="530" t="s">
        <v>232</v>
      </c>
      <c r="Z649" s="39">
        <v>0</v>
      </c>
      <c r="AA649" s="518">
        <v>0</v>
      </c>
      <c r="AB649" s="394" t="s">
        <v>1823</v>
      </c>
      <c r="AC649" s="519" t="str">
        <f>""</f>
        <v/>
      </c>
      <c r="AD649" s="520">
        <v>0</v>
      </c>
      <c r="AE649" s="520" t="s">
        <v>300</v>
      </c>
      <c r="AF649" s="520" t="s">
        <v>300</v>
      </c>
      <c r="AG649" s="520">
        <v>1</v>
      </c>
      <c r="AH649" s="520">
        <v>4</v>
      </c>
      <c r="AI649" s="520">
        <v>0</v>
      </c>
      <c r="AJ649" s="520">
        <f>VLOOKUP($I649,'Price List, Weapons &amp; Items'!A:E,5,0)</f>
        <v>0</v>
      </c>
      <c r="AK649" s="520">
        <f t="shared" si="133"/>
        <v>0</v>
      </c>
      <c r="AL649" s="520">
        <f t="shared" si="134"/>
        <v>0</v>
      </c>
      <c r="AM649" s="520">
        <f t="shared" si="135"/>
        <v>0</v>
      </c>
      <c r="AN649" s="521" t="str">
        <f>VLOOKUP($I649,'Price List, Weapons &amp; Items'!A:K,COLUMN('Price List, Weapons &amp; Items'!$I$1),0)</f>
        <v>Miscellaneous</v>
      </c>
      <c r="AO649" s="521" t="str">
        <f>IF(I649=".",".",VLOOKUP($I649,'Price List, Weapons &amp; Items'!A:I,3,0))</f>
        <v>.</v>
      </c>
      <c r="AP649" s="517" t="str">
        <f t="shared" ca="1" si="131"/>
        <v/>
      </c>
      <c r="AQ649" s="521">
        <f>VLOOKUP($I649,'Price List, Weapons &amp; Items'!A:K,COLUMN('Price List, Weapons &amp; Items'!$K$1),0)</f>
        <v>0</v>
      </c>
      <c r="AS649" s="521">
        <f t="shared" si="136"/>
        <v>1</v>
      </c>
      <c r="AT649" s="521">
        <f t="shared" si="137"/>
        <v>1</v>
      </c>
      <c r="AU649" s="521" t="str">
        <f t="shared" si="138"/>
        <v>Value is not in date format</v>
      </c>
      <c r="AV649" s="521" t="str">
        <f t="shared" si="139"/>
        <v>.</v>
      </c>
    </row>
    <row r="650" spans="1:48" ht="15" customHeight="1">
      <c r="A650" s="18" t="s">
        <v>1819</v>
      </c>
      <c r="B650" s="18" t="s">
        <v>1804</v>
      </c>
      <c r="C650" s="511" t="s">
        <v>1820</v>
      </c>
      <c r="D650" s="18" t="s">
        <v>252</v>
      </c>
      <c r="E650" s="18" t="s">
        <v>261</v>
      </c>
      <c r="F650" s="512" t="s">
        <v>1821</v>
      </c>
      <c r="G650" s="39" t="s">
        <v>314</v>
      </c>
      <c r="H650" s="513" t="s">
        <v>309</v>
      </c>
      <c r="I650" s="41" t="s">
        <v>1824</v>
      </c>
      <c r="J650" s="276" t="str">
        <f>VLOOKUP($I650,'Price List, Weapons &amp; Items'!A:B,2,0)</f>
        <v>Humanitarian</v>
      </c>
      <c r="K650" s="276" t="str">
        <f>IF(I650=".",I650,VLOOKUP($I650,'Price List, Weapons &amp; Items'!A:C,3,0))</f>
        <v>.</v>
      </c>
      <c r="L650" s="514">
        <f>VLOOKUP(I650,'Price List, Weapons &amp; Items'!A:D,4,0)</f>
        <v>0</v>
      </c>
      <c r="M650" s="515">
        <v>10000</v>
      </c>
      <c r="N650" s="515">
        <v>10000</v>
      </c>
      <c r="O650" s="516">
        <f>VLOOKUP($I650,'Price List, Weapons &amp; Items'!A:F,6,0)</f>
        <v>40</v>
      </c>
      <c r="P650" s="513">
        <f t="shared" si="129"/>
        <v>400000</v>
      </c>
      <c r="Q650" s="513">
        <f t="shared" si="130"/>
        <v>400000</v>
      </c>
      <c r="R650" s="513" t="str">
        <f t="shared" si="132"/>
        <v/>
      </c>
      <c r="S650" s="513" t="str">
        <f>IF(AND(AD650=1,R650&lt;&gt;".")=TRUE,R650/VLOOKUP(G650,'Exchange rates'!B:C,2,0),IF(R650=".",".",""))</f>
        <v/>
      </c>
      <c r="T650" s="513" t="str">
        <f>IF(AD650=1,IF(AF650="Value is not given at all",".",IF(AF650="Value is given by the source",S650,IF(AF650="Value is calculated with prices",(IF(SUMIFS(Q:Q,A:A,A650)&gt;0,SUMIFS(Q:Q,A:A,A650),"."))/VLOOKUP("USD",'Exchange rates'!B:C,2,0),"Error with coding"))),"")</f>
        <v/>
      </c>
      <c r="U650" s="39" t="s">
        <v>233</v>
      </c>
      <c r="V650" s="530" t="s">
        <v>1816</v>
      </c>
      <c r="W650" s="530" t="s">
        <v>1822</v>
      </c>
      <c r="X650" s="530" t="s">
        <v>232</v>
      </c>
      <c r="Y650" s="530" t="s">
        <v>232</v>
      </c>
      <c r="Z650" s="39">
        <v>0</v>
      </c>
      <c r="AA650" s="518">
        <v>0</v>
      </c>
      <c r="AB650" s="394" t="s">
        <v>1823</v>
      </c>
      <c r="AC650" s="519" t="str">
        <f>""</f>
        <v/>
      </c>
      <c r="AD650" s="520">
        <v>0</v>
      </c>
      <c r="AE650" s="520" t="s">
        <v>300</v>
      </c>
      <c r="AF650" s="520" t="s">
        <v>300</v>
      </c>
      <c r="AG650" s="520">
        <v>1</v>
      </c>
      <c r="AH650" s="520">
        <v>4</v>
      </c>
      <c r="AI650" s="520">
        <v>0</v>
      </c>
      <c r="AJ650" s="520">
        <f>VLOOKUP($I650,'Price List, Weapons &amp; Items'!A:E,5,0)</f>
        <v>0</v>
      </c>
      <c r="AK650" s="520">
        <f t="shared" si="133"/>
        <v>0</v>
      </c>
      <c r="AL650" s="520">
        <f t="shared" si="134"/>
        <v>0</v>
      </c>
      <c r="AM650" s="520">
        <f t="shared" si="135"/>
        <v>0</v>
      </c>
      <c r="AN650" s="521" t="str">
        <f>VLOOKUP($I650,'Price List, Weapons &amp; Items'!A:K,COLUMN('Price List, Weapons &amp; Items'!$I$1),0)</f>
        <v>Online marketplaces and stores</v>
      </c>
      <c r="AO650" s="521" t="str">
        <f>IF(I650=".",".",VLOOKUP($I650,'Price List, Weapons &amp; Items'!A:I,3,0))</f>
        <v>.</v>
      </c>
      <c r="AP650" s="517" t="str">
        <f t="shared" ca="1" si="131"/>
        <v/>
      </c>
      <c r="AQ650" s="521">
        <f>VLOOKUP($I650,'Price List, Weapons &amp; Items'!A:K,COLUMN('Price List, Weapons &amp; Items'!$K$1),0)</f>
        <v>0</v>
      </c>
      <c r="AS650" s="521">
        <f t="shared" si="136"/>
        <v>1</v>
      </c>
      <c r="AT650" s="521">
        <f t="shared" si="137"/>
        <v>1</v>
      </c>
      <c r="AU650" s="521" t="str">
        <f t="shared" si="138"/>
        <v>Value is not in date format</v>
      </c>
      <c r="AV650" s="521" t="str">
        <f t="shared" si="139"/>
        <v>.</v>
      </c>
    </row>
    <row r="651" spans="1:48" ht="15" customHeight="1">
      <c r="A651" s="18" t="s">
        <v>1819</v>
      </c>
      <c r="B651" s="18" t="s">
        <v>1804</v>
      </c>
      <c r="C651" s="511" t="s">
        <v>1820</v>
      </c>
      <c r="D651" s="18" t="s">
        <v>252</v>
      </c>
      <c r="E651" s="18" t="s">
        <v>261</v>
      </c>
      <c r="F651" s="512" t="s">
        <v>1821</v>
      </c>
      <c r="G651" s="39" t="s">
        <v>314</v>
      </c>
      <c r="H651" s="513" t="s">
        <v>309</v>
      </c>
      <c r="I651" s="41" t="s">
        <v>1825</v>
      </c>
      <c r="J651" s="276" t="str">
        <f>VLOOKUP($I651,'Price List, Weapons &amp; Items'!A:B,2,0)</f>
        <v>Humanitarian</v>
      </c>
      <c r="K651" s="276" t="str">
        <f>IF(I651=".",I651,VLOOKUP($I651,'Price List, Weapons &amp; Items'!A:C,3,0))</f>
        <v>.</v>
      </c>
      <c r="L651" s="514">
        <f>VLOOKUP(I651,'Price List, Weapons &amp; Items'!A:D,4,0)</f>
        <v>0</v>
      </c>
      <c r="M651" s="515" t="s">
        <v>232</v>
      </c>
      <c r="N651" s="515" t="s">
        <v>232</v>
      </c>
      <c r="O651" s="516" t="str">
        <f>VLOOKUP($I651,'Price List, Weapons &amp; Items'!A:F,6,0)</f>
        <v>.</v>
      </c>
      <c r="P651" s="513" t="str">
        <f t="shared" si="129"/>
        <v>.</v>
      </c>
      <c r="Q651" s="513" t="str">
        <f t="shared" si="130"/>
        <v>.</v>
      </c>
      <c r="R651" s="513" t="str">
        <f t="shared" si="132"/>
        <v/>
      </c>
      <c r="S651" s="513" t="str">
        <f>IF(AND(AD651=1,R651&lt;&gt;".")=TRUE,R651/VLOOKUP(G651,'Exchange rates'!B:C,2,0),IF(R651=".",".",""))</f>
        <v/>
      </c>
      <c r="T651" s="513" t="str">
        <f>IF(AD651=1,IF(AF651="Value is not given at all",".",IF(AF651="Value is given by the source",S651,IF(AF651="Value is calculated with prices",(IF(SUMIFS(Q:Q,A:A,A651)&gt;0,SUMIFS(Q:Q,A:A,A651),"."))/VLOOKUP("USD",'Exchange rates'!B:C,2,0),"Error with coding"))),"")</f>
        <v/>
      </c>
      <c r="U651" s="39" t="s">
        <v>233</v>
      </c>
      <c r="V651" s="530" t="s">
        <v>1816</v>
      </c>
      <c r="W651" s="530" t="s">
        <v>1822</v>
      </c>
      <c r="X651" s="530" t="s">
        <v>232</v>
      </c>
      <c r="Y651" s="530" t="s">
        <v>232</v>
      </c>
      <c r="Z651" s="39">
        <v>0</v>
      </c>
      <c r="AA651" s="518">
        <v>0</v>
      </c>
      <c r="AB651" s="394" t="s">
        <v>1823</v>
      </c>
      <c r="AC651" s="519" t="str">
        <f>""</f>
        <v/>
      </c>
      <c r="AD651" s="520">
        <v>0</v>
      </c>
      <c r="AE651" s="520" t="s">
        <v>300</v>
      </c>
      <c r="AF651" s="520" t="s">
        <v>300</v>
      </c>
      <c r="AG651" s="520">
        <v>1</v>
      </c>
      <c r="AH651" s="520">
        <v>4</v>
      </c>
      <c r="AI651" s="520">
        <v>0</v>
      </c>
      <c r="AJ651" s="520">
        <f>VLOOKUP($I651,'Price List, Weapons &amp; Items'!A:E,5,0)</f>
        <v>0</v>
      </c>
      <c r="AK651" s="520">
        <f t="shared" si="133"/>
        <v>0</v>
      </c>
      <c r="AL651" s="520">
        <f t="shared" si="134"/>
        <v>0</v>
      </c>
      <c r="AM651" s="520">
        <f t="shared" si="135"/>
        <v>0</v>
      </c>
      <c r="AN651" s="521" t="str">
        <f>VLOOKUP($I651,'Price List, Weapons &amp; Items'!A:K,COLUMN('Price List, Weapons &amp; Items'!$I$1),0)</f>
        <v>.</v>
      </c>
      <c r="AO651" s="521" t="str">
        <f>IF(I651=".",".",VLOOKUP($I651,'Price List, Weapons &amp; Items'!A:I,3,0))</f>
        <v>.</v>
      </c>
      <c r="AP651" s="517" t="str">
        <f t="shared" ca="1" si="131"/>
        <v/>
      </c>
      <c r="AQ651" s="521">
        <f>VLOOKUP($I651,'Price List, Weapons &amp; Items'!A:K,COLUMN('Price List, Weapons &amp; Items'!$K$1),0)</f>
        <v>0</v>
      </c>
      <c r="AS651" s="521">
        <f t="shared" si="136"/>
        <v>1</v>
      </c>
      <c r="AT651" s="521">
        <f t="shared" si="137"/>
        <v>1</v>
      </c>
      <c r="AU651" s="521" t="str">
        <f t="shared" si="138"/>
        <v>Value is not in date format</v>
      </c>
      <c r="AV651" s="521" t="str">
        <f t="shared" si="139"/>
        <v>.</v>
      </c>
    </row>
    <row r="652" spans="1:48" ht="15" customHeight="1">
      <c r="A652" s="41" t="s">
        <v>1826</v>
      </c>
      <c r="B652" s="41" t="s">
        <v>1804</v>
      </c>
      <c r="C652" s="511" t="s">
        <v>1820</v>
      </c>
      <c r="D652" s="18" t="s">
        <v>252</v>
      </c>
      <c r="E652" s="18" t="s">
        <v>1827</v>
      </c>
      <c r="F652" s="512" t="s">
        <v>1828</v>
      </c>
      <c r="G652" s="39" t="s">
        <v>1829</v>
      </c>
      <c r="H652" s="513">
        <v>400000000</v>
      </c>
      <c r="I652" s="523" t="s">
        <v>232</v>
      </c>
      <c r="J652" s="276" t="str">
        <f>VLOOKUP($I652,'Price List, Weapons &amp; Items'!A:B,2,0)</f>
        <v>.</v>
      </c>
      <c r="K652" s="276" t="str">
        <f>IF(I652=".",I652,VLOOKUP($I652,'Price List, Weapons &amp; Items'!A:C,3,0))</f>
        <v>.</v>
      </c>
      <c r="L652" s="514">
        <f>VLOOKUP(I652,'Price List, Weapons &amp; Items'!A:D,4,0)</f>
        <v>0</v>
      </c>
      <c r="M652" s="515" t="s">
        <v>232</v>
      </c>
      <c r="N652" s="515" t="s">
        <v>232</v>
      </c>
      <c r="O652" s="516" t="str">
        <f>VLOOKUP($I652,'Price List, Weapons &amp; Items'!A:F,6,0)</f>
        <v>.</v>
      </c>
      <c r="P652" s="513" t="str">
        <f t="shared" si="129"/>
        <v>.</v>
      </c>
      <c r="Q652" s="513" t="str">
        <f t="shared" si="130"/>
        <v>.</v>
      </c>
      <c r="R652" s="513">
        <f t="shared" si="132"/>
        <v>400000000</v>
      </c>
      <c r="S652" s="513">
        <f>IF(AND(AD652=1,R652&lt;&gt;".")=TRUE,R652/VLOOKUP(G652,'Exchange rates'!B:C,2,0),IF(R652=".",".",""))</f>
        <v>38706056.530195557</v>
      </c>
      <c r="T652" s="513" t="str">
        <f>IF(AD652=1,IF(AF652="Value is not given at all",".",IF(AF652="Value is given by the source",S652,IF(AF652="Value is calculated with prices",(IF(SUMIFS(Q:Q,A:A,A652)&gt;0,SUMIFS(Q:Q,A:A,A652),"."))/VLOOKUP("USD",'Exchange rates'!B:C,2,0),"Error with coding"))),"")</f>
        <v>.</v>
      </c>
      <c r="U652" s="39" t="s">
        <v>233</v>
      </c>
      <c r="V652" s="42" t="s">
        <v>1816</v>
      </c>
      <c r="W652" s="42" t="s">
        <v>1807</v>
      </c>
      <c r="X652" s="517" t="s">
        <v>232</v>
      </c>
      <c r="Y652" s="517" t="s">
        <v>232</v>
      </c>
      <c r="Z652" s="39">
        <v>0</v>
      </c>
      <c r="AA652" s="518">
        <v>0</v>
      </c>
      <c r="AB652" s="38" t="s">
        <v>232</v>
      </c>
      <c r="AC652" s="519" t="str">
        <f>""</f>
        <v/>
      </c>
      <c r="AD652" s="520">
        <v>1</v>
      </c>
      <c r="AE652" s="520" t="s">
        <v>236</v>
      </c>
      <c r="AF652" s="520" t="s">
        <v>237</v>
      </c>
      <c r="AG652" s="520">
        <v>1</v>
      </c>
      <c r="AH652" s="520">
        <v>4</v>
      </c>
      <c r="AI652" s="520">
        <v>0</v>
      </c>
      <c r="AJ652" s="520">
        <f>VLOOKUP($I652,'Price List, Weapons &amp; Items'!A:E,5,0)</f>
        <v>0</v>
      </c>
      <c r="AK652" s="520">
        <f t="shared" si="133"/>
        <v>0</v>
      </c>
      <c r="AL652" s="520">
        <f t="shared" si="134"/>
        <v>0</v>
      </c>
      <c r="AM652" s="520">
        <f t="shared" si="135"/>
        <v>0</v>
      </c>
      <c r="AN652" s="521" t="str">
        <f>VLOOKUP($I652,'Price List, Weapons &amp; Items'!A:K,COLUMN('Price List, Weapons &amp; Items'!$I$1),0)</f>
        <v>.</v>
      </c>
      <c r="AO652" s="521" t="str">
        <f>IF(I652=".",".",VLOOKUP($I652,'Price List, Weapons &amp; Items'!A:I,3,0))</f>
        <v>.</v>
      </c>
      <c r="AP652" s="517" t="str">
        <f t="shared" ca="1" si="131"/>
        <v>.</v>
      </c>
      <c r="AQ652" s="521" t="str">
        <f>VLOOKUP($I652,'Price List, Weapons &amp; Items'!A:K,COLUMN('Price List, Weapons &amp; Items'!$K$1),0)</f>
        <v>no price, 0 count</v>
      </c>
      <c r="AS652" s="521">
        <f t="shared" si="136"/>
        <v>1</v>
      </c>
      <c r="AT652" s="521">
        <f t="shared" si="137"/>
        <v>0</v>
      </c>
      <c r="AU652" s="521" t="str">
        <f t="shared" si="138"/>
        <v>Value is not in date format</v>
      </c>
      <c r="AV652" s="521" t="str">
        <f t="shared" si="139"/>
        <v>.</v>
      </c>
    </row>
    <row r="653" spans="1:48" ht="15" customHeight="1">
      <c r="A653" s="18" t="s">
        <v>1830</v>
      </c>
      <c r="B653" s="18" t="s">
        <v>1804</v>
      </c>
      <c r="C653" s="511" t="s">
        <v>841</v>
      </c>
      <c r="D653" s="18" t="s">
        <v>252</v>
      </c>
      <c r="E653" s="18" t="s">
        <v>253</v>
      </c>
      <c r="F653" s="512" t="s">
        <v>1831</v>
      </c>
      <c r="G653" s="39" t="s">
        <v>314</v>
      </c>
      <c r="H653" s="513" t="s">
        <v>309</v>
      </c>
      <c r="I653" s="523" t="s">
        <v>1462</v>
      </c>
      <c r="J653" s="276" t="str">
        <f>VLOOKUP($I653,'Price List, Weapons &amp; Items'!A:B,2,0)</f>
        <v>Heavy weapon</v>
      </c>
      <c r="K653" s="276" t="str">
        <f>IF(I653=".",I653,VLOOKUP($I653,'Price List, Weapons &amp; Items'!A:C,3,0))</f>
        <v>155mm howitzer</v>
      </c>
      <c r="L653" s="514">
        <f>VLOOKUP(I653,'Price List, Weapons &amp; Items'!A:D,4,0)</f>
        <v>0</v>
      </c>
      <c r="M653" s="515">
        <v>22</v>
      </c>
      <c r="N653" s="515">
        <v>22</v>
      </c>
      <c r="O653" s="516">
        <f>VLOOKUP($I653,'Price List, Weapons &amp; Items'!A:F,6,0)</f>
        <v>1734787.30789614</v>
      </c>
      <c r="P653" s="513">
        <f t="shared" si="129"/>
        <v>38165320.773715079</v>
      </c>
      <c r="Q653" s="513">
        <f t="shared" si="130"/>
        <v>38165320.773715079</v>
      </c>
      <c r="R653" s="513">
        <f t="shared" si="132"/>
        <v>66745831.813715078</v>
      </c>
      <c r="S653" s="513">
        <f>IF(AND(AD653=1,R653&lt;&gt;".")=TRUE,R653/VLOOKUP(G653,'Exchange rates'!B:C,2,0),IF(R653=".",".",""))</f>
        <v>66513036.187060364</v>
      </c>
      <c r="T653" s="513">
        <f>IF(AD653=1,IF(AF653="Value is not given at all",".",IF(AF653="Value is given by the source",S653,IF(AF653="Value is calculated with prices",(IF(SUMIFS(Q:Q,A:A,A653)&gt;0,SUMIFS(Q:Q,A:A,A653),"."))/VLOOKUP("USD",'Exchange rates'!B:C,2,0),"Error with coding"))),"")</f>
        <v>66513036.187060364</v>
      </c>
      <c r="U653" s="39" t="s">
        <v>233</v>
      </c>
      <c r="V653" s="376" t="s">
        <v>1832</v>
      </c>
      <c r="W653" s="376" t="s">
        <v>1833</v>
      </c>
      <c r="X653" s="376" t="s">
        <v>1834</v>
      </c>
      <c r="Y653" s="376" t="s">
        <v>1835</v>
      </c>
      <c r="Z653" s="39">
        <v>0</v>
      </c>
      <c r="AA653" s="518">
        <v>0</v>
      </c>
      <c r="AB653" s="394" t="s">
        <v>1836</v>
      </c>
      <c r="AC653" s="519" t="str">
        <f>""</f>
        <v/>
      </c>
      <c r="AD653" s="520">
        <v>1</v>
      </c>
      <c r="AE653" s="520" t="s">
        <v>300</v>
      </c>
      <c r="AF653" s="520" t="s">
        <v>300</v>
      </c>
      <c r="AG653" s="520">
        <v>1</v>
      </c>
      <c r="AH653" s="520">
        <v>6</v>
      </c>
      <c r="AI653" s="520">
        <v>0</v>
      </c>
      <c r="AJ653" s="520">
        <f>VLOOKUP($I653,'Price List, Weapons &amp; Items'!A:E,5,0)</f>
        <v>1</v>
      </c>
      <c r="AK653" s="520">
        <f t="shared" si="133"/>
        <v>0</v>
      </c>
      <c r="AL653" s="520">
        <f t="shared" si="134"/>
        <v>0</v>
      </c>
      <c r="AM653" s="520">
        <f t="shared" si="135"/>
        <v>0</v>
      </c>
      <c r="AN653" s="521" t="str">
        <f>VLOOKUP($I653,'Price List, Weapons &amp; Items'!A:K,COLUMN('Price List, Weapons &amp; Items'!$I$1),0)</f>
        <v>Contracts</v>
      </c>
      <c r="AO653" s="521" t="str">
        <f>IF(I653=".",".",VLOOKUP($I653,'Price List, Weapons &amp; Items'!A:I,3,0))</f>
        <v>155mm howitzer</v>
      </c>
      <c r="AP653" s="517" t="str">
        <f t="shared" ca="1" si="131"/>
        <v>M109 A3GM 155mm howitzer; equipment for M109 artillery gun; spare parts for M109 artillery gun; round of ammunition for 155mm howitzer; M270 weapon system (Norway)</v>
      </c>
      <c r="AQ653" s="521">
        <f>VLOOKUP($I653,'Price List, Weapons &amp; Items'!A:K,COLUMN('Price List, Weapons &amp; Items'!$K$1),0)</f>
        <v>2</v>
      </c>
      <c r="AS653" s="521">
        <f t="shared" si="136"/>
        <v>1</v>
      </c>
      <c r="AT653" s="521">
        <f t="shared" si="137"/>
        <v>1</v>
      </c>
      <c r="AU653" s="521" t="str">
        <f t="shared" si="138"/>
        <v>Value is not in date format</v>
      </c>
      <c r="AV653" s="521" t="str">
        <f t="shared" si="139"/>
        <v>.</v>
      </c>
    </row>
    <row r="654" spans="1:48" ht="15" customHeight="1">
      <c r="A654" s="18" t="s">
        <v>1830</v>
      </c>
      <c r="B654" s="18" t="s">
        <v>1804</v>
      </c>
      <c r="C654" s="511" t="s">
        <v>841</v>
      </c>
      <c r="D654" s="18" t="s">
        <v>252</v>
      </c>
      <c r="E654" s="18" t="s">
        <v>253</v>
      </c>
      <c r="F654" s="512" t="s">
        <v>1831</v>
      </c>
      <c r="G654" s="39" t="s">
        <v>314</v>
      </c>
      <c r="H654" s="513" t="s">
        <v>309</v>
      </c>
      <c r="I654" s="523" t="s">
        <v>1837</v>
      </c>
      <c r="J654" s="276" t="str">
        <f>VLOOKUP($I654,'Price List, Weapons &amp; Items'!A:B,2,0)</f>
        <v>Ammunition for heavy weapon</v>
      </c>
      <c r="K654" s="276" t="str">
        <f>IF(I654=".",I654,VLOOKUP($I654,'Price List, Weapons &amp; Items'!A:C,3,0))</f>
        <v>155mm howitzer ammunition</v>
      </c>
      <c r="L654" s="514">
        <f>VLOOKUP(I654,'Price List, Weapons &amp; Items'!A:D,4,0)</f>
        <v>0</v>
      </c>
      <c r="M654" s="515" t="s">
        <v>232</v>
      </c>
      <c r="N654" s="515" t="s">
        <v>264</v>
      </c>
      <c r="O654" s="516" t="str">
        <f>VLOOKUP($I654,'Price List, Weapons &amp; Items'!A:F,6,0)</f>
        <v>.</v>
      </c>
      <c r="P654" s="513" t="str">
        <f t="shared" si="129"/>
        <v>.</v>
      </c>
      <c r="Q654" s="513" t="str">
        <f t="shared" si="130"/>
        <v>.</v>
      </c>
      <c r="R654" s="513" t="str">
        <f t="shared" si="132"/>
        <v/>
      </c>
      <c r="S654" s="513" t="str">
        <f>IF(AND(AD654=1,R654&lt;&gt;".")=TRUE,R654/VLOOKUP(G654,'Exchange rates'!B:C,2,0),IF(R654=".",".",""))</f>
        <v/>
      </c>
      <c r="T654" s="513" t="str">
        <f>IF(AD654=1,IF(AF654="Value is not given at all",".",IF(AF654="Value is given by the source",S654,IF(AF654="Value is calculated with prices",(IF(SUMIFS(Q:Q,A:A,A654)&gt;0,SUMIFS(Q:Q,A:A,A654),"."))/VLOOKUP("USD",'Exchange rates'!B:C,2,0),"Error with coding"))),"")</f>
        <v/>
      </c>
      <c r="U654" s="39" t="s">
        <v>233</v>
      </c>
      <c r="V654" s="376" t="s">
        <v>1832</v>
      </c>
      <c r="W654" s="376" t="s">
        <v>1833</v>
      </c>
      <c r="X654" s="376" t="s">
        <v>1834</v>
      </c>
      <c r="Y654" s="376" t="s">
        <v>1835</v>
      </c>
      <c r="Z654" s="39">
        <v>0</v>
      </c>
      <c r="AA654" s="518">
        <v>0</v>
      </c>
      <c r="AB654" s="394" t="s">
        <v>1836</v>
      </c>
      <c r="AC654" s="519" t="str">
        <f>""</f>
        <v/>
      </c>
      <c r="AD654" s="520">
        <v>0</v>
      </c>
      <c r="AE654" s="520" t="s">
        <v>300</v>
      </c>
      <c r="AF654" s="520" t="s">
        <v>300</v>
      </c>
      <c r="AG654" s="520">
        <v>1</v>
      </c>
      <c r="AH654" s="520">
        <v>6</v>
      </c>
      <c r="AI654" s="520">
        <v>0</v>
      </c>
      <c r="AJ654" s="520">
        <f>VLOOKUP($I654,'Price List, Weapons &amp; Items'!A:E,5,0)</f>
        <v>1</v>
      </c>
      <c r="AK654" s="520">
        <f t="shared" si="133"/>
        <v>0</v>
      </c>
      <c r="AL654" s="520">
        <f t="shared" si="134"/>
        <v>1</v>
      </c>
      <c r="AM654" s="520">
        <f t="shared" si="135"/>
        <v>0</v>
      </c>
      <c r="AN654" s="521" t="str">
        <f>VLOOKUP($I654,'Price List, Weapons &amp; Items'!A:K,COLUMN('Price List, Weapons &amp; Items'!$I$1),0)</f>
        <v>.</v>
      </c>
      <c r="AO654" s="521" t="str">
        <f>IF(I654=".",".",VLOOKUP($I654,'Price List, Weapons &amp; Items'!A:I,3,0))</f>
        <v>155mm howitzer ammunition</v>
      </c>
      <c r="AP654" s="517" t="str">
        <f t="shared" ca="1" si="131"/>
        <v/>
      </c>
      <c r="AQ654" s="521" t="str">
        <f>VLOOKUP($I654,'Price List, Weapons &amp; Items'!A:K,COLUMN('Price List, Weapons &amp; Items'!$K$1),0)</f>
        <v>no price, 0 count</v>
      </c>
      <c r="AS654" s="521">
        <f t="shared" si="136"/>
        <v>1</v>
      </c>
      <c r="AT654" s="521">
        <f t="shared" si="137"/>
        <v>1</v>
      </c>
      <c r="AU654" s="521" t="str">
        <f t="shared" si="138"/>
        <v>Value is not in date format</v>
      </c>
      <c r="AV654" s="521" t="str">
        <f t="shared" si="139"/>
        <v>.</v>
      </c>
    </row>
    <row r="655" spans="1:48" ht="15" customHeight="1">
      <c r="A655" s="18" t="s">
        <v>1830</v>
      </c>
      <c r="B655" s="18" t="s">
        <v>1804</v>
      </c>
      <c r="C655" s="511" t="s">
        <v>841</v>
      </c>
      <c r="D655" s="18" t="s">
        <v>252</v>
      </c>
      <c r="E655" s="18" t="s">
        <v>253</v>
      </c>
      <c r="F655" s="512" t="s">
        <v>1831</v>
      </c>
      <c r="G655" s="39" t="s">
        <v>314</v>
      </c>
      <c r="H655" s="513" t="s">
        <v>309</v>
      </c>
      <c r="I655" s="523" t="s">
        <v>1838</v>
      </c>
      <c r="J655" s="276" t="str">
        <f>VLOOKUP($I655,'Price List, Weapons &amp; Items'!A:B,2,0)</f>
        <v>Ammunition for heavy weapon</v>
      </c>
      <c r="K655" s="276" t="str">
        <f>IF(I655=".",I655,VLOOKUP($I655,'Price List, Weapons &amp; Items'!A:C,3,0))</f>
        <v>155mm howitzer ammunition</v>
      </c>
      <c r="L655" s="514">
        <f>VLOOKUP(I655,'Price List, Weapons &amp; Items'!A:D,4,0)</f>
        <v>0</v>
      </c>
      <c r="M655" s="515" t="s">
        <v>232</v>
      </c>
      <c r="N655" s="515" t="s">
        <v>264</v>
      </c>
      <c r="O655" s="516" t="str">
        <f>VLOOKUP($I655,'Price List, Weapons &amp; Items'!A:F,6,0)</f>
        <v>.</v>
      </c>
      <c r="P655" s="513" t="str">
        <f t="shared" si="129"/>
        <v>.</v>
      </c>
      <c r="Q655" s="513" t="str">
        <f t="shared" si="130"/>
        <v>.</v>
      </c>
      <c r="R655" s="513" t="str">
        <f t="shared" si="132"/>
        <v/>
      </c>
      <c r="S655" s="513" t="str">
        <f>IF(AND(AD655=1,R655&lt;&gt;".")=TRUE,R655/VLOOKUP(G655,'Exchange rates'!B:C,2,0),IF(R655=".",".",""))</f>
        <v/>
      </c>
      <c r="T655" s="513" t="str">
        <f>IF(AD655=1,IF(AF655="Value is not given at all",".",IF(AF655="Value is given by the source",S655,IF(AF655="Value is calculated with prices",(IF(SUMIFS(Q:Q,A:A,A655)&gt;0,SUMIFS(Q:Q,A:A,A655),"."))/VLOOKUP("USD",'Exchange rates'!B:C,2,0),"Error with coding"))),"")</f>
        <v/>
      </c>
      <c r="U655" s="39" t="s">
        <v>233</v>
      </c>
      <c r="V655" s="376" t="s">
        <v>1832</v>
      </c>
      <c r="W655" s="376" t="s">
        <v>1833</v>
      </c>
      <c r="X655" s="376" t="s">
        <v>1834</v>
      </c>
      <c r="Y655" s="376" t="s">
        <v>1835</v>
      </c>
      <c r="Z655" s="39">
        <v>0</v>
      </c>
      <c r="AA655" s="518">
        <v>0</v>
      </c>
      <c r="AB655" s="394" t="s">
        <v>1836</v>
      </c>
      <c r="AC655" s="519" t="str">
        <f>""</f>
        <v/>
      </c>
      <c r="AD655" s="520">
        <v>0</v>
      </c>
      <c r="AE655" s="520" t="s">
        <v>300</v>
      </c>
      <c r="AF655" s="520" t="s">
        <v>300</v>
      </c>
      <c r="AG655" s="520">
        <v>1</v>
      </c>
      <c r="AH655" s="520">
        <v>6</v>
      </c>
      <c r="AI655" s="520">
        <v>0</v>
      </c>
      <c r="AJ655" s="520">
        <f>VLOOKUP($I655,'Price List, Weapons &amp; Items'!A:E,5,0)</f>
        <v>1</v>
      </c>
      <c r="AK655" s="520">
        <f t="shared" si="133"/>
        <v>0</v>
      </c>
      <c r="AL655" s="520">
        <f t="shared" si="134"/>
        <v>1</v>
      </c>
      <c r="AM655" s="520">
        <f t="shared" si="135"/>
        <v>0</v>
      </c>
      <c r="AN655" s="521" t="str">
        <f>VLOOKUP($I655,'Price List, Weapons &amp; Items'!A:K,COLUMN('Price List, Weapons &amp; Items'!$I$1),0)</f>
        <v>.</v>
      </c>
      <c r="AO655" s="521" t="str">
        <f>IF(I655=".",".",VLOOKUP($I655,'Price List, Weapons &amp; Items'!A:I,3,0))</f>
        <v>155mm howitzer ammunition</v>
      </c>
      <c r="AP655" s="517" t="str">
        <f t="shared" ca="1" si="131"/>
        <v/>
      </c>
      <c r="AQ655" s="521" t="str">
        <f>VLOOKUP($I655,'Price List, Weapons &amp; Items'!A:K,COLUMN('Price List, Weapons &amp; Items'!$K$1),0)</f>
        <v>no price, 0 count</v>
      </c>
      <c r="AS655" s="521">
        <f t="shared" si="136"/>
        <v>1</v>
      </c>
      <c r="AT655" s="521">
        <f t="shared" si="137"/>
        <v>1</v>
      </c>
      <c r="AU655" s="521" t="str">
        <f t="shared" si="138"/>
        <v>Value is not in date format</v>
      </c>
      <c r="AV655" s="521" t="str">
        <f t="shared" si="139"/>
        <v>.</v>
      </c>
    </row>
    <row r="656" spans="1:48" ht="15" customHeight="1">
      <c r="A656" s="18" t="s">
        <v>1830</v>
      </c>
      <c r="B656" s="18" t="s">
        <v>1804</v>
      </c>
      <c r="C656" s="511" t="s">
        <v>841</v>
      </c>
      <c r="D656" s="18" t="s">
        <v>252</v>
      </c>
      <c r="E656" s="18" t="s">
        <v>253</v>
      </c>
      <c r="F656" s="512" t="s">
        <v>1831</v>
      </c>
      <c r="G656" s="39" t="s">
        <v>314</v>
      </c>
      <c r="H656" s="513" t="s">
        <v>309</v>
      </c>
      <c r="I656" s="524" t="s">
        <v>555</v>
      </c>
      <c r="J656" s="276" t="str">
        <f>VLOOKUP($I656,'Price List, Weapons &amp; Items'!A:B,2,0)</f>
        <v>Ammunition for heavy weapon</v>
      </c>
      <c r="K656" s="276" t="str">
        <f>IF(I656=".",I656,VLOOKUP($I656,'Price List, Weapons &amp; Items'!A:C,3,0))</f>
        <v>155mm howitzer ammunition</v>
      </c>
      <c r="L656" s="514">
        <f>VLOOKUP(I656,'Price List, Weapons &amp; Items'!A:D,4,0)</f>
        <v>0</v>
      </c>
      <c r="M656" s="515">
        <v>5000</v>
      </c>
      <c r="N656" s="515">
        <v>5000</v>
      </c>
      <c r="O656" s="516">
        <f>VLOOKUP($I656,'Price List, Weapons &amp; Items'!A:F,6,0)</f>
        <v>3800</v>
      </c>
      <c r="P656" s="513">
        <f t="shared" si="129"/>
        <v>19000000</v>
      </c>
      <c r="Q656" s="513">
        <f t="shared" si="130"/>
        <v>19000000</v>
      </c>
      <c r="R656" s="513" t="str">
        <f t="shared" si="132"/>
        <v/>
      </c>
      <c r="S656" s="513" t="str">
        <f>IF(AND(AD656=1,R656&lt;&gt;".")=TRUE,R656/VLOOKUP(G656,'Exchange rates'!B:C,2,0),IF(R656=".",".",""))</f>
        <v/>
      </c>
      <c r="T656" s="513" t="str">
        <f>IF(AD656=1,IF(AF656="Value is not given at all",".",IF(AF656="Value is given by the source",S656,IF(AF656="Value is calculated with prices",(IF(SUMIFS(Q:Q,A:A,A656)&gt;0,SUMIFS(Q:Q,A:A,A656),"."))/VLOOKUP("USD",'Exchange rates'!B:C,2,0),"Error with coding"))),"")</f>
        <v/>
      </c>
      <c r="U656" s="39" t="s">
        <v>233</v>
      </c>
      <c r="V656" s="376" t="s">
        <v>1832</v>
      </c>
      <c r="W656" s="376" t="s">
        <v>1833</v>
      </c>
      <c r="X656" s="376" t="s">
        <v>1834</v>
      </c>
      <c r="Y656" s="376" t="s">
        <v>1835</v>
      </c>
      <c r="Z656" s="39">
        <v>0</v>
      </c>
      <c r="AA656" s="518">
        <v>0</v>
      </c>
      <c r="AB656" s="394" t="s">
        <v>1836</v>
      </c>
      <c r="AC656" s="519" t="str">
        <f>""</f>
        <v/>
      </c>
      <c r="AD656" s="520">
        <v>0</v>
      </c>
      <c r="AE656" s="520" t="s">
        <v>300</v>
      </c>
      <c r="AF656" s="520" t="s">
        <v>300</v>
      </c>
      <c r="AG656" s="520">
        <v>1</v>
      </c>
      <c r="AH656" s="520">
        <v>6</v>
      </c>
      <c r="AI656" s="520">
        <v>0</v>
      </c>
      <c r="AJ656" s="520">
        <f>VLOOKUP($I656,'Price List, Weapons &amp; Items'!A:E,5,0)</f>
        <v>1</v>
      </c>
      <c r="AK656" s="520">
        <f t="shared" si="133"/>
        <v>0</v>
      </c>
      <c r="AL656" s="520">
        <f t="shared" si="134"/>
        <v>0</v>
      </c>
      <c r="AM656" s="520">
        <f t="shared" si="135"/>
        <v>1</v>
      </c>
      <c r="AN656" s="521" t="str">
        <f>VLOOKUP($I656,'Price List, Weapons &amp; Items'!A:K,COLUMN('Price List, Weapons &amp; Items'!$I$1),0)</f>
        <v>Government information</v>
      </c>
      <c r="AO656" s="521" t="str">
        <f>IF(I656=".",".",VLOOKUP($I656,'Price List, Weapons &amp; Items'!A:I,3,0))</f>
        <v>155mm howitzer ammunition</v>
      </c>
      <c r="AP656" s="517" t="str">
        <f t="shared" ca="1" si="131"/>
        <v/>
      </c>
      <c r="AQ656" s="521">
        <f>VLOOKUP($I656,'Price List, Weapons &amp; Items'!A:K,COLUMN('Price List, Weapons &amp; Items'!$K$1),0)</f>
        <v>2</v>
      </c>
      <c r="AS656" s="521">
        <f t="shared" si="136"/>
        <v>1</v>
      </c>
      <c r="AT656" s="521">
        <f t="shared" si="137"/>
        <v>1</v>
      </c>
      <c r="AU656" s="521" t="str">
        <f t="shared" si="138"/>
        <v>Value is not in date format</v>
      </c>
      <c r="AV656" s="521" t="str">
        <f t="shared" si="139"/>
        <v>.</v>
      </c>
    </row>
    <row r="657" spans="1:48" ht="15" customHeight="1">
      <c r="A657" s="18" t="s">
        <v>1830</v>
      </c>
      <c r="B657" s="18" t="s">
        <v>1804</v>
      </c>
      <c r="C657" s="511" t="s">
        <v>1839</v>
      </c>
      <c r="D657" s="18" t="s">
        <v>252</v>
      </c>
      <c r="E657" s="18" t="s">
        <v>253</v>
      </c>
      <c r="F657" s="512" t="s">
        <v>1831</v>
      </c>
      <c r="G657" s="39" t="s">
        <v>314</v>
      </c>
      <c r="H657" s="513" t="s">
        <v>309</v>
      </c>
      <c r="I657" s="524" t="s">
        <v>1840</v>
      </c>
      <c r="J657" s="276" t="str">
        <f>VLOOKUP($I657,'Price List, Weapons &amp; Items'!A:B,2,0)</f>
        <v>Heavy weapon</v>
      </c>
      <c r="K657" s="276" t="str">
        <f>IF(I657=".",I657,VLOOKUP($I657,'Price List, Weapons &amp; Items'!A:C,3,0))</f>
        <v>227mm MLRS</v>
      </c>
      <c r="L657" s="514">
        <f>VLOOKUP(I657,'Price List, Weapons &amp; Items'!A:D,4,0)</f>
        <v>0</v>
      </c>
      <c r="M657" s="515">
        <v>3</v>
      </c>
      <c r="N657" s="515">
        <v>3</v>
      </c>
      <c r="O657" s="516">
        <f>VLOOKUP($I657,'Price List, Weapons &amp; Items'!A:F,6,0)</f>
        <v>3193503.68</v>
      </c>
      <c r="P657" s="513">
        <f t="shared" si="129"/>
        <v>9580511.040000001</v>
      </c>
      <c r="Q657" s="513">
        <f t="shared" si="130"/>
        <v>9580511.040000001</v>
      </c>
      <c r="R657" s="513" t="str">
        <f t="shared" si="132"/>
        <v/>
      </c>
      <c r="S657" s="513" t="str">
        <f>IF(AND(AD657=1,R657&lt;&gt;".")=TRUE,R657/VLOOKUP(G657,'Exchange rates'!B:C,2,0),IF(R657=".",".",""))</f>
        <v/>
      </c>
      <c r="T657" s="513" t="str">
        <f>IF(AD657=1,IF(AF657="Value is not given at all",".",IF(AF657="Value is given by the source",S657,IF(AF657="Value is calculated with prices",(IF(SUMIFS(Q:Q,A:A,A657)&gt;0,SUMIFS(Q:Q,A:A,A657),"."))/VLOOKUP("USD",'Exchange rates'!B:C,2,0),"Error with coding"))),"")</f>
        <v/>
      </c>
      <c r="U657" s="39" t="s">
        <v>233</v>
      </c>
      <c r="V657" s="376" t="s">
        <v>1832</v>
      </c>
      <c r="W657" s="376" t="s">
        <v>1833</v>
      </c>
      <c r="X657" s="376" t="s">
        <v>1834</v>
      </c>
      <c r="Y657" s="376" t="s">
        <v>1835</v>
      </c>
      <c r="Z657" s="39">
        <v>0</v>
      </c>
      <c r="AA657" s="518">
        <v>0</v>
      </c>
      <c r="AB657" s="394" t="s">
        <v>1836</v>
      </c>
      <c r="AC657" s="519" t="str">
        <f>""</f>
        <v/>
      </c>
      <c r="AD657" s="520">
        <v>0</v>
      </c>
      <c r="AE657" s="520" t="s">
        <v>300</v>
      </c>
      <c r="AF657" s="520" t="s">
        <v>300</v>
      </c>
      <c r="AG657" s="520">
        <v>1</v>
      </c>
      <c r="AH657" s="520">
        <v>6</v>
      </c>
      <c r="AI657" s="520">
        <v>0</v>
      </c>
      <c r="AJ657" s="520">
        <f>VLOOKUP($I657,'Price List, Weapons &amp; Items'!A:E,5,0)</f>
        <v>1</v>
      </c>
      <c r="AK657" s="520">
        <f t="shared" si="133"/>
        <v>0</v>
      </c>
      <c r="AL657" s="520">
        <f t="shared" si="134"/>
        <v>0</v>
      </c>
      <c r="AM657" s="520">
        <f t="shared" si="135"/>
        <v>0</v>
      </c>
      <c r="AN657" s="521" t="str">
        <f>VLOOKUP($I657,'Price List, Weapons &amp; Items'!A:K,COLUMN('Price List, Weapons &amp; Items'!$I$1),0)</f>
        <v>Contracts</v>
      </c>
      <c r="AO657" s="521" t="str">
        <f>IF(I657=".",".",VLOOKUP($I657,'Price List, Weapons &amp; Items'!A:I,3,0))</f>
        <v>227mm MLRS</v>
      </c>
      <c r="AP657" s="517" t="str">
        <f t="shared" ca="1" si="131"/>
        <v/>
      </c>
      <c r="AQ657" s="521">
        <f>VLOOKUP($I657,'Price List, Weapons &amp; Items'!A:K,COLUMN('Price List, Weapons &amp; Items'!$K$1),0)</f>
        <v>2</v>
      </c>
      <c r="AS657" s="521">
        <f t="shared" si="136"/>
        <v>1</v>
      </c>
      <c r="AT657" s="521">
        <f t="shared" si="137"/>
        <v>1</v>
      </c>
      <c r="AU657" s="521" t="str">
        <f t="shared" si="138"/>
        <v>Value is not in date format</v>
      </c>
      <c r="AV657" s="521" t="str">
        <f t="shared" si="139"/>
        <v>.</v>
      </c>
    </row>
    <row r="658" spans="1:48" ht="15" customHeight="1">
      <c r="A658" s="41" t="s">
        <v>1841</v>
      </c>
      <c r="B658" s="41" t="s">
        <v>1804</v>
      </c>
      <c r="C658" s="511">
        <v>44741</v>
      </c>
      <c r="D658" s="18" t="s">
        <v>252</v>
      </c>
      <c r="E658" s="18" t="s">
        <v>253</v>
      </c>
      <c r="F658" s="512" t="s">
        <v>1842</v>
      </c>
      <c r="G658" s="39" t="s">
        <v>314</v>
      </c>
      <c r="H658" s="513" t="s">
        <v>309</v>
      </c>
      <c r="I658" s="41" t="s">
        <v>555</v>
      </c>
      <c r="J658" s="276" t="str">
        <f>VLOOKUP($I658,'Price List, Weapons &amp; Items'!A:B,2,0)</f>
        <v>Ammunition for heavy weapon</v>
      </c>
      <c r="K658" s="276" t="str">
        <f>IF(I658=".",I658,VLOOKUP($I658,'Price List, Weapons &amp; Items'!A:C,3,0))</f>
        <v>155mm howitzer ammunition</v>
      </c>
      <c r="L658" s="514">
        <f>VLOOKUP(I658,'Price List, Weapons &amp; Items'!A:D,4,0)</f>
        <v>0</v>
      </c>
      <c r="M658" s="515">
        <v>5000</v>
      </c>
      <c r="N658" s="515" t="s">
        <v>232</v>
      </c>
      <c r="O658" s="516">
        <f>VLOOKUP($I658,'Price List, Weapons &amp; Items'!A:F,6,0)</f>
        <v>3800</v>
      </c>
      <c r="P658" s="513">
        <f t="shared" ref="P658:P729" si="140">IF(TYPE(M658)=1,IF(TYPE(O658)=1,M658*O658,"No price"),".")</f>
        <v>19000000</v>
      </c>
      <c r="Q658" s="513" t="str">
        <f t="shared" ref="Q658:Q729" si="141">IF(TYPE(N658)=1,IF(TYPE(O658)=1,N658*O658,"No price"),".")</f>
        <v>.</v>
      </c>
      <c r="R658" s="513">
        <f t="shared" si="132"/>
        <v>19000000</v>
      </c>
      <c r="S658" s="513">
        <f>IF(AND(AD658=1,R658&lt;&gt;".")=TRUE,R658/VLOOKUP(G658,'Exchange rates'!B:C,2,0),IF(R658=".",".",""))</f>
        <v>18933731.938216243</v>
      </c>
      <c r="T658" s="513" t="str">
        <f>IF(AD658=1,IF(AF658="Value is not given at all",".",IF(AF658="Value is given by the source",S658,IF(AF658="Value is calculated with prices",(IF(SUMIFS(Q:Q,A:A,A658)&gt;0,SUMIFS(Q:Q,A:A,A658),"."))/VLOOKUP("USD",'Exchange rates'!B:C,2,0),"Error with coding"))),"")</f>
        <v>.</v>
      </c>
      <c r="U658" s="39" t="s">
        <v>233</v>
      </c>
      <c r="V658" s="42" t="s">
        <v>1832</v>
      </c>
      <c r="W658" s="531" t="s">
        <v>232</v>
      </c>
      <c r="X658" s="531" t="s">
        <v>232</v>
      </c>
      <c r="Y658" s="517" t="s">
        <v>232</v>
      </c>
      <c r="Z658" s="39">
        <v>0</v>
      </c>
      <c r="AA658" s="39">
        <v>0</v>
      </c>
      <c r="AB658" s="523" t="s">
        <v>232</v>
      </c>
      <c r="AC658" s="519" t="str">
        <f>""</f>
        <v/>
      </c>
      <c r="AD658" s="522">
        <v>1</v>
      </c>
      <c r="AE658" s="522" t="s">
        <v>300</v>
      </c>
      <c r="AF658" s="522" t="s">
        <v>237</v>
      </c>
      <c r="AG658" s="522">
        <v>1</v>
      </c>
      <c r="AH658" s="520">
        <v>6</v>
      </c>
      <c r="AI658" s="520">
        <v>0</v>
      </c>
      <c r="AJ658" s="520">
        <f>VLOOKUP($I658,'Price List, Weapons &amp; Items'!A:E,5,0)</f>
        <v>1</v>
      </c>
      <c r="AK658" s="520">
        <f t="shared" si="133"/>
        <v>0</v>
      </c>
      <c r="AL658" s="520">
        <f t="shared" si="134"/>
        <v>0</v>
      </c>
      <c r="AM658" s="520">
        <f t="shared" si="135"/>
        <v>1</v>
      </c>
      <c r="AN658" s="521" t="str">
        <f>VLOOKUP($I658,'Price List, Weapons &amp; Items'!A:K,COLUMN('Price List, Weapons &amp; Items'!$I$1),0)</f>
        <v>Government information</v>
      </c>
      <c r="AO658" s="521" t="str">
        <f>IF(I658=".",".",VLOOKUP($I658,'Price List, Weapons &amp; Items'!A:I,3,0))</f>
        <v>155mm howitzer ammunition</v>
      </c>
      <c r="AP658" s="517" t="str">
        <f t="shared" ca="1" si="131"/>
        <v>round of ammunition for 155mm howitzer</v>
      </c>
      <c r="AQ658" s="521">
        <f>VLOOKUP($I658,'Price List, Weapons &amp; Items'!A:K,COLUMN('Price List, Weapons &amp; Items'!$K$1),0)</f>
        <v>2</v>
      </c>
      <c r="AS658" s="521">
        <f t="shared" si="136"/>
        <v>1</v>
      </c>
      <c r="AT658" s="521">
        <f t="shared" si="137"/>
        <v>1</v>
      </c>
      <c r="AU658" s="521">
        <f t="shared" si="138"/>
        <v>1</v>
      </c>
      <c r="AV658" s="521" t="str">
        <f t="shared" si="139"/>
        <v>.</v>
      </c>
    </row>
    <row r="659" spans="1:48" ht="15" customHeight="1">
      <c r="A659" s="41" t="s">
        <v>1843</v>
      </c>
      <c r="B659" s="41" t="s">
        <v>1804</v>
      </c>
      <c r="C659" s="511">
        <v>44771</v>
      </c>
      <c r="D659" s="18" t="s">
        <v>252</v>
      </c>
      <c r="E659" s="18" t="s">
        <v>253</v>
      </c>
      <c r="F659" s="512" t="s">
        <v>1844</v>
      </c>
      <c r="G659" s="39" t="s">
        <v>314</v>
      </c>
      <c r="H659" s="527" t="s">
        <v>309</v>
      </c>
      <c r="I659" s="41" t="s">
        <v>1845</v>
      </c>
      <c r="J659" s="276" t="str">
        <f>VLOOKUP($I659,'Price List, Weapons &amp; Items'!A:B,2,0)</f>
        <v>Heavy weapon</v>
      </c>
      <c r="K659" s="276" t="str">
        <f>IF(I659=".",I659,VLOOKUP($I659,'Price List, Weapons &amp; Items'!A:C,3,0))</f>
        <v>Armoured Utility Vehicle (AUV)</v>
      </c>
      <c r="L659" s="514">
        <f>VLOOKUP(I659,'Price List, Weapons &amp; Items'!A:D,4,0)</f>
        <v>0</v>
      </c>
      <c r="M659" s="527">
        <v>14</v>
      </c>
      <c r="N659" s="527">
        <v>14</v>
      </c>
      <c r="O659" s="516">
        <f>VLOOKUP($I659,'Price List, Weapons &amp; Items'!A:F,6,0)</f>
        <v>1187362.3799999999</v>
      </c>
      <c r="P659" s="513">
        <f t="shared" si="140"/>
        <v>16623073.319999998</v>
      </c>
      <c r="Q659" s="513">
        <f t="shared" si="141"/>
        <v>16623073.319999998</v>
      </c>
      <c r="R659" s="513">
        <f t="shared" si="132"/>
        <v>16623073.319999998</v>
      </c>
      <c r="S659" s="513">
        <f>IF(AND(AD659=1,R659&lt;&gt;".")=TRUE,R659/VLOOKUP(G659,'Exchange rates'!B:C,2,0),IF(R659=".",".",""))</f>
        <v>16565095.485799698</v>
      </c>
      <c r="T659" s="513">
        <f>IF(AD659=1,IF(AF659="Value is not given at all",".",IF(AF659="Value is given by the source",S659,IF(AF659="Value is calculated with prices",(IF(SUMIFS(Q:Q,A:A,A659)&gt;0,SUMIFS(Q:Q,A:A,A659),"."))/VLOOKUP("USD",'Exchange rates'!B:C,2,0),"Error with coding"))),"")</f>
        <v>16565095.485799698</v>
      </c>
      <c r="U659" s="39" t="s">
        <v>233</v>
      </c>
      <c r="V659" s="42" t="s">
        <v>1846</v>
      </c>
      <c r="W659" s="531" t="s">
        <v>232</v>
      </c>
      <c r="X659" s="531" t="s">
        <v>232</v>
      </c>
      <c r="Y659" s="517" t="s">
        <v>232</v>
      </c>
      <c r="Z659" s="39">
        <v>0</v>
      </c>
      <c r="AA659" s="518">
        <v>0</v>
      </c>
      <c r="AB659" s="532" t="s">
        <v>1847</v>
      </c>
      <c r="AC659" s="519" t="str">
        <f>""</f>
        <v/>
      </c>
      <c r="AD659" s="522">
        <v>1</v>
      </c>
      <c r="AE659" s="522" t="s">
        <v>300</v>
      </c>
      <c r="AF659" s="522" t="s">
        <v>300</v>
      </c>
      <c r="AG659" s="522">
        <v>1</v>
      </c>
      <c r="AH659" s="520">
        <v>7</v>
      </c>
      <c r="AI659" s="520">
        <v>0</v>
      </c>
      <c r="AJ659" s="520">
        <f>VLOOKUP($I659,'Price List, Weapons &amp; Items'!A:E,5,0)</f>
        <v>1</v>
      </c>
      <c r="AK659" s="520">
        <f t="shared" si="133"/>
        <v>0</v>
      </c>
      <c r="AL659" s="520">
        <f t="shared" si="134"/>
        <v>0</v>
      </c>
      <c r="AM659" s="520">
        <f t="shared" si="135"/>
        <v>0</v>
      </c>
      <c r="AN659" s="521" t="str">
        <f>VLOOKUP($I659,'Price List, Weapons &amp; Items'!A:K,COLUMN('Price List, Weapons &amp; Items'!$I$1),0)</f>
        <v>Contracts</v>
      </c>
      <c r="AO659" s="521" t="str">
        <f>IF(I659=".",".",VLOOKUP($I659,'Price List, Weapons &amp; Items'!A:I,3,0))</f>
        <v>Armoured Utility Vehicle (AUV)</v>
      </c>
      <c r="AP659" s="517" t="str">
        <f t="shared" ca="1" si="131"/>
        <v>IVECO LAV 3</v>
      </c>
      <c r="AQ659" s="521">
        <f>VLOOKUP($I659,'Price List, Weapons &amp; Items'!A:K,COLUMN('Price List, Weapons &amp; Items'!$K$1),0)</f>
        <v>2</v>
      </c>
      <c r="AS659" s="521">
        <f t="shared" si="136"/>
        <v>1</v>
      </c>
      <c r="AT659" s="521">
        <f t="shared" si="137"/>
        <v>1</v>
      </c>
      <c r="AU659" s="521">
        <f t="shared" si="138"/>
        <v>1</v>
      </c>
      <c r="AV659" s="521" t="str">
        <f t="shared" si="139"/>
        <v>.</v>
      </c>
    </row>
    <row r="660" spans="1:48" ht="15" customHeight="1">
      <c r="A660" s="41" t="s">
        <v>1848</v>
      </c>
      <c r="B660" s="41" t="s">
        <v>1804</v>
      </c>
      <c r="C660" s="511">
        <v>44797</v>
      </c>
      <c r="D660" s="18" t="s">
        <v>252</v>
      </c>
      <c r="E660" s="18" t="s">
        <v>307</v>
      </c>
      <c r="F660" s="512" t="s">
        <v>1849</v>
      </c>
      <c r="G660" s="39" t="s">
        <v>1829</v>
      </c>
      <c r="H660" s="527" t="s">
        <v>309</v>
      </c>
      <c r="I660" s="424" t="s">
        <v>1850</v>
      </c>
      <c r="J660" s="276" t="str">
        <f>VLOOKUP($I660,'Price List, Weapons &amp; Items'!A:B,2,0)</f>
        <v>Aviation and drones</v>
      </c>
      <c r="K660" s="276" t="str">
        <f>IF(I660=".",I660,VLOOKUP($I660,'Price List, Weapons &amp; Items'!A:C,3,0))</f>
        <v>Reconnaissance drone</v>
      </c>
      <c r="L660" s="514">
        <f>VLOOKUP(I660,'Price List, Weapons &amp; Items'!A:D,4,0)</f>
        <v>0</v>
      </c>
      <c r="M660" s="515" t="s">
        <v>264</v>
      </c>
      <c r="N660" s="515" t="s">
        <v>232</v>
      </c>
      <c r="O660" s="516" t="str">
        <f>VLOOKUP($I660,'Price List, Weapons &amp; Items'!A:F,6,0)</f>
        <v>.</v>
      </c>
      <c r="P660" s="513" t="str">
        <f t="shared" si="140"/>
        <v>.</v>
      </c>
      <c r="Q660" s="513" t="str">
        <f t="shared" si="141"/>
        <v>.</v>
      </c>
      <c r="R660" s="513" t="str">
        <f t="shared" si="132"/>
        <v>.</v>
      </c>
      <c r="S660" s="513" t="str">
        <f>IF(AND(AD660=1,R660&lt;&gt;".")=TRUE,R660/VLOOKUP(G660,'Exchange rates'!B:C,2,0),IF(R660=".",".",""))</f>
        <v>.</v>
      </c>
      <c r="T660" s="513" t="str">
        <f>IF(AD660=1,IF(AF660="Value is not given at all",".",IF(AF660="Value is given by the source",S660,IF(AF660="Value is calculated with prices",(IF(SUMIFS(Q:Q,A:A,A660)&gt;0,SUMIFS(Q:Q,A:A,A660),"."))/VLOOKUP("USD",'Exchange rates'!B:C,2,0),"Error with coding"))),"")</f>
        <v>.</v>
      </c>
      <c r="U660" s="39" t="s">
        <v>233</v>
      </c>
      <c r="V660" s="42" t="s">
        <v>1851</v>
      </c>
      <c r="W660" s="531" t="s">
        <v>232</v>
      </c>
      <c r="X660" s="531" t="s">
        <v>232</v>
      </c>
      <c r="Y660" s="531" t="s">
        <v>232</v>
      </c>
      <c r="Z660" s="39">
        <v>0</v>
      </c>
      <c r="AA660" s="518">
        <v>1</v>
      </c>
      <c r="AB660" s="532" t="s">
        <v>232</v>
      </c>
      <c r="AC660" s="519" t="str">
        <f>""</f>
        <v/>
      </c>
      <c r="AD660" s="522">
        <v>1</v>
      </c>
      <c r="AE660" s="522" t="s">
        <v>237</v>
      </c>
      <c r="AF660" s="522" t="s">
        <v>237</v>
      </c>
      <c r="AG660" s="522">
        <v>1</v>
      </c>
      <c r="AH660" s="520">
        <v>8</v>
      </c>
      <c r="AI660" s="520">
        <v>0</v>
      </c>
      <c r="AJ660" s="520">
        <f>VLOOKUP($I660,'Price List, Weapons &amp; Items'!A:E,5,0)</f>
        <v>0</v>
      </c>
      <c r="AK660" s="520">
        <f t="shared" si="133"/>
        <v>0</v>
      </c>
      <c r="AL660" s="520">
        <f t="shared" si="134"/>
        <v>0</v>
      </c>
      <c r="AM660" s="520">
        <f t="shared" si="135"/>
        <v>0</v>
      </c>
      <c r="AN660" s="521" t="str">
        <f>VLOOKUP($I660,'Price List, Weapons &amp; Items'!A:K,COLUMN('Price List, Weapons &amp; Items'!$I$1),0)</f>
        <v>.</v>
      </c>
      <c r="AO660" s="521" t="str">
        <f>IF(I660=".",".",VLOOKUP($I660,'Price List, Weapons &amp; Items'!A:I,3,0))</f>
        <v>Reconnaissance drone</v>
      </c>
      <c r="AP660" s="517" t="str">
        <f t="shared" ca="1" si="131"/>
        <v>Black Hornet drone</v>
      </c>
      <c r="AQ660" s="521">
        <f>VLOOKUP($I660,'Price List, Weapons &amp; Items'!A:K,COLUMN('Price List, Weapons &amp; Items'!$K$1),0)</f>
        <v>0</v>
      </c>
      <c r="AS660" s="521">
        <f t="shared" si="136"/>
        <v>1</v>
      </c>
      <c r="AT660" s="521">
        <f t="shared" si="137"/>
        <v>1</v>
      </c>
      <c r="AU660" s="521">
        <f t="shared" si="138"/>
        <v>1</v>
      </c>
      <c r="AV660" s="521" t="str">
        <f t="shared" si="139"/>
        <v>.</v>
      </c>
    </row>
    <row r="661" spans="1:48" ht="15" customHeight="1">
      <c r="A661" s="41" t="s">
        <v>1852</v>
      </c>
      <c r="B661" s="41" t="s">
        <v>1804</v>
      </c>
      <c r="C661" s="511">
        <v>44812</v>
      </c>
      <c r="D661" s="18" t="s">
        <v>252</v>
      </c>
      <c r="E661" s="18" t="s">
        <v>253</v>
      </c>
      <c r="F661" s="512" t="s">
        <v>1853</v>
      </c>
      <c r="G661" s="39" t="s">
        <v>314</v>
      </c>
      <c r="H661" s="527" t="s">
        <v>309</v>
      </c>
      <c r="I661" s="424" t="s">
        <v>1854</v>
      </c>
      <c r="J661" s="276" t="str">
        <f>VLOOKUP($I661,'Price List, Weapons &amp; Items'!A:B,2,0)</f>
        <v>Ammunition for portable defence system</v>
      </c>
      <c r="K661" s="276" t="str">
        <f>IF(I661=".",I661,VLOOKUP($I661,'Price List, Weapons &amp; Items'!A:C,3,0))</f>
        <v>MANPADS ammunition</v>
      </c>
      <c r="L661" s="514">
        <f>VLOOKUP(I661,'Price List, Weapons &amp; Items'!A:D,4,0)</f>
        <v>0</v>
      </c>
      <c r="M661" s="527">
        <v>160</v>
      </c>
      <c r="N661" s="527" t="s">
        <v>232</v>
      </c>
      <c r="O661" s="516">
        <f>VLOOKUP($I661,'Price List, Weapons &amp; Items'!A:F,6,0)</f>
        <v>93090</v>
      </c>
      <c r="P661" s="513">
        <f t="shared" si="140"/>
        <v>14894400</v>
      </c>
      <c r="Q661" s="513" t="str">
        <f t="shared" si="141"/>
        <v>.</v>
      </c>
      <c r="R661" s="513">
        <f t="shared" si="132"/>
        <v>14894400</v>
      </c>
      <c r="S661" s="513">
        <f>IF(AND(AD661=1,R661&lt;&gt;".")=TRUE,R661/VLOOKUP(G661,'Exchange rates'!B:C,2,0),IF(R661=".",".",""))</f>
        <v>14842451.420029895</v>
      </c>
      <c r="T661" s="513" t="str">
        <f>IF(AD661=1,IF(AF661="Value is not given at all",".",IF(AF661="Value is given by the source",S661,IF(AF661="Value is calculated with prices",(IF(SUMIFS(Q:Q,A:A,A661)&gt;0,SUMIFS(Q:Q,A:A,A661),"."))/VLOOKUP("USD",'Exchange rates'!B:C,2,0),"Error with coding"))),"")</f>
        <v>.</v>
      </c>
      <c r="U661" s="39" t="s">
        <v>233</v>
      </c>
      <c r="V661" s="42" t="s">
        <v>1855</v>
      </c>
      <c r="W661" s="531" t="s">
        <v>232</v>
      </c>
      <c r="X661" s="531" t="s">
        <v>232</v>
      </c>
      <c r="Y661" s="531" t="s">
        <v>232</v>
      </c>
      <c r="Z661" s="39">
        <v>0</v>
      </c>
      <c r="AA661" s="518">
        <v>0</v>
      </c>
      <c r="AB661" s="532" t="s">
        <v>232</v>
      </c>
      <c r="AC661" s="519" t="str">
        <f>""</f>
        <v/>
      </c>
      <c r="AD661" s="522">
        <v>1</v>
      </c>
      <c r="AE661" s="522" t="s">
        <v>300</v>
      </c>
      <c r="AF661" s="522" t="s">
        <v>237</v>
      </c>
      <c r="AG661" s="522">
        <v>1</v>
      </c>
      <c r="AH661" s="520">
        <v>9</v>
      </c>
      <c r="AI661" s="520">
        <v>0</v>
      </c>
      <c r="AJ661" s="520">
        <f>VLOOKUP($I661,'Price List, Weapons &amp; Items'!A:E,5,0)</f>
        <v>0</v>
      </c>
      <c r="AK661" s="520">
        <f t="shared" si="133"/>
        <v>0</v>
      </c>
      <c r="AL661" s="520">
        <f t="shared" si="134"/>
        <v>0</v>
      </c>
      <c r="AM661" s="520">
        <f t="shared" si="135"/>
        <v>0</v>
      </c>
      <c r="AN661" s="521" t="str">
        <f>VLOOKUP($I661,'Price List, Weapons &amp; Items'!A:K,COLUMN('Price List, Weapons &amp; Items'!$I$1),0)</f>
        <v>Government information</v>
      </c>
      <c r="AO661" s="521" t="str">
        <f>IF(I661=".",".",VLOOKUP($I661,'Price List, Weapons &amp; Items'!A:I,3,0))</f>
        <v>MANPADS ammunition</v>
      </c>
      <c r="AP661" s="517" t="str">
        <f t="shared" ca="1" si="131"/>
        <v>Hellfire missiles; Hellfire missiles launching pad; Hellfire missiles guidance unit; Night vision device</v>
      </c>
      <c r="AQ661" s="521">
        <f>VLOOKUP($I661,'Price List, Weapons &amp; Items'!A:K,COLUMN('Price List, Weapons &amp; Items'!$K$1),0)</f>
        <v>2</v>
      </c>
      <c r="AS661" s="521">
        <f t="shared" si="136"/>
        <v>1</v>
      </c>
      <c r="AT661" s="521">
        <f t="shared" si="137"/>
        <v>1</v>
      </c>
      <c r="AU661" s="521">
        <f t="shared" si="138"/>
        <v>1</v>
      </c>
      <c r="AV661" s="521" t="str">
        <f t="shared" si="139"/>
        <v>.</v>
      </c>
    </row>
    <row r="662" spans="1:48" ht="15" customHeight="1">
      <c r="A662" s="41" t="s">
        <v>1852</v>
      </c>
      <c r="B662" s="41" t="s">
        <v>1804</v>
      </c>
      <c r="C662" s="511">
        <v>44812</v>
      </c>
      <c r="D662" s="18" t="s">
        <v>252</v>
      </c>
      <c r="E662" s="18" t="s">
        <v>253</v>
      </c>
      <c r="F662" s="512" t="s">
        <v>1853</v>
      </c>
      <c r="G662" s="39" t="s">
        <v>314</v>
      </c>
      <c r="H662" s="527" t="s">
        <v>309</v>
      </c>
      <c r="I662" s="424" t="s">
        <v>1856</v>
      </c>
      <c r="J662" s="276" t="str">
        <f>VLOOKUP($I662,'Price List, Weapons &amp; Items'!A:B,2,0)</f>
        <v>Portable defence system</v>
      </c>
      <c r="K662" s="276" t="str">
        <f>IF(I662=".",I662,VLOOKUP($I662,'Price List, Weapons &amp; Items'!A:C,3,0))</f>
        <v>MANPADS</v>
      </c>
      <c r="L662" s="514">
        <f>VLOOKUP(I662,'Price List, Weapons &amp; Items'!A:D,4,0)</f>
        <v>0</v>
      </c>
      <c r="M662" s="515" t="s">
        <v>264</v>
      </c>
      <c r="N662" s="527" t="s">
        <v>232</v>
      </c>
      <c r="O662" s="516">
        <f>VLOOKUP($I662,'Price List, Weapons &amp; Items'!A:F,6,0)</f>
        <v>2497000</v>
      </c>
      <c r="P662" s="513" t="str">
        <f t="shared" si="140"/>
        <v>.</v>
      </c>
      <c r="Q662" s="513" t="str">
        <f t="shared" si="141"/>
        <v>.</v>
      </c>
      <c r="R662" s="513" t="str">
        <f t="shared" si="132"/>
        <v/>
      </c>
      <c r="S662" s="513" t="str">
        <f>IF(AND(AD662=1,R662&lt;&gt;".")=TRUE,R662/VLOOKUP(G662,'Exchange rates'!B:C,2,0),IF(R662=".",".",""))</f>
        <v/>
      </c>
      <c r="T662" s="513" t="str">
        <f>IF(AD662=1,IF(AF662="Value is not given at all",".",IF(AF662="Value is given by the source",S662,IF(AF662="Value is calculated with prices",(IF(SUMIFS(Q:Q,A:A,A662)&gt;0,SUMIFS(Q:Q,A:A,A662),"."))/VLOOKUP("USD",'Exchange rates'!B:C,2,0),"Error with coding"))),"")</f>
        <v/>
      </c>
      <c r="U662" s="39" t="s">
        <v>233</v>
      </c>
      <c r="V662" s="42" t="s">
        <v>1855</v>
      </c>
      <c r="W662" s="531" t="s">
        <v>232</v>
      </c>
      <c r="X662" s="531" t="s">
        <v>232</v>
      </c>
      <c r="Y662" s="531" t="s">
        <v>232</v>
      </c>
      <c r="Z662" s="39">
        <v>0</v>
      </c>
      <c r="AA662" s="518">
        <v>0</v>
      </c>
      <c r="AB662" s="532" t="s">
        <v>232</v>
      </c>
      <c r="AC662" s="519" t="str">
        <f>""</f>
        <v/>
      </c>
      <c r="AD662" s="522">
        <v>0</v>
      </c>
      <c r="AE662" s="522" t="s">
        <v>300</v>
      </c>
      <c r="AF662" s="522" t="s">
        <v>237</v>
      </c>
      <c r="AG662" s="522">
        <v>1</v>
      </c>
      <c r="AH662" s="520">
        <v>9</v>
      </c>
      <c r="AI662" s="520">
        <v>0</v>
      </c>
      <c r="AJ662" s="520">
        <f>VLOOKUP($I662,'Price List, Weapons &amp; Items'!A:E,5,0)</f>
        <v>0</v>
      </c>
      <c r="AK662" s="520">
        <f t="shared" si="133"/>
        <v>0</v>
      </c>
      <c r="AL662" s="520">
        <f t="shared" si="134"/>
        <v>0</v>
      </c>
      <c r="AM662" s="520">
        <f t="shared" si="135"/>
        <v>0</v>
      </c>
      <c r="AN662" s="521" t="str">
        <f>VLOOKUP($I662,'Price List, Weapons &amp; Items'!A:K,COLUMN('Price List, Weapons &amp; Items'!$I$1),0)</f>
        <v>Government information</v>
      </c>
      <c r="AO662" s="521" t="str">
        <f>IF(I662=".",".",VLOOKUP($I662,'Price List, Weapons &amp; Items'!A:I,3,0))</f>
        <v>MANPADS</v>
      </c>
      <c r="AP662" s="517" t="str">
        <f t="shared" ca="1" si="131"/>
        <v/>
      </c>
      <c r="AQ662" s="521" t="str">
        <f>VLOOKUP($I662,'Price List, Weapons &amp; Items'!A:K,COLUMN('Price List, Weapons &amp; Items'!$K$1),0)</f>
        <v>no price, 0 count</v>
      </c>
      <c r="AS662" s="521">
        <f t="shared" si="136"/>
        <v>1</v>
      </c>
      <c r="AT662" s="521">
        <f t="shared" si="137"/>
        <v>1</v>
      </c>
      <c r="AU662" s="521">
        <f t="shared" si="138"/>
        <v>1</v>
      </c>
      <c r="AV662" s="521" t="str">
        <f t="shared" si="139"/>
        <v>.</v>
      </c>
    </row>
    <row r="663" spans="1:48" ht="15" customHeight="1">
      <c r="A663" s="41" t="s">
        <v>1852</v>
      </c>
      <c r="B663" s="41" t="s">
        <v>1804</v>
      </c>
      <c r="C663" s="511">
        <v>44812</v>
      </c>
      <c r="D663" s="18" t="s">
        <v>252</v>
      </c>
      <c r="E663" s="18" t="s">
        <v>253</v>
      </c>
      <c r="F663" s="512" t="s">
        <v>1853</v>
      </c>
      <c r="G663" s="39" t="s">
        <v>314</v>
      </c>
      <c r="H663" s="527" t="s">
        <v>309</v>
      </c>
      <c r="I663" s="424" t="s">
        <v>1857</v>
      </c>
      <c r="J663" s="276" t="str">
        <f>VLOOKUP($I663,'Price List, Weapons &amp; Items'!A:B,2,0)</f>
        <v>Portable defence system</v>
      </c>
      <c r="K663" s="276" t="str">
        <f>IF(I663=".",I663,VLOOKUP($I663,'Price List, Weapons &amp; Items'!A:C,3,0))</f>
        <v>MANPADS</v>
      </c>
      <c r="L663" s="514">
        <f>VLOOKUP(I663,'Price List, Weapons &amp; Items'!A:D,4,0)</f>
        <v>0</v>
      </c>
      <c r="M663" s="515" t="s">
        <v>264</v>
      </c>
      <c r="N663" s="527" t="s">
        <v>232</v>
      </c>
      <c r="O663" s="516" t="str">
        <f>VLOOKUP($I663,'Price List, Weapons &amp; Items'!A:F,6,0)</f>
        <v>.</v>
      </c>
      <c r="P663" s="513" t="str">
        <f t="shared" si="140"/>
        <v>.</v>
      </c>
      <c r="Q663" s="513" t="str">
        <f t="shared" si="141"/>
        <v>.</v>
      </c>
      <c r="R663" s="513" t="str">
        <f t="shared" si="132"/>
        <v/>
      </c>
      <c r="S663" s="513" t="str">
        <f>IF(AND(AD663=1,R663&lt;&gt;".")=TRUE,R663/VLOOKUP(G663,'Exchange rates'!B:C,2,0),IF(R663=".",".",""))</f>
        <v/>
      </c>
      <c r="T663" s="513" t="str">
        <f>IF(AD663=1,IF(AF663="Value is not given at all",".",IF(AF663="Value is given by the source",S663,IF(AF663="Value is calculated with prices",(IF(SUMIFS(Q:Q,A:A,A663)&gt;0,SUMIFS(Q:Q,A:A,A663),"."))/VLOOKUP("USD",'Exchange rates'!B:C,2,0),"Error with coding"))),"")</f>
        <v/>
      </c>
      <c r="U663" s="39" t="s">
        <v>233</v>
      </c>
      <c r="V663" s="42" t="s">
        <v>1855</v>
      </c>
      <c r="W663" s="531" t="s">
        <v>232</v>
      </c>
      <c r="X663" s="531" t="s">
        <v>232</v>
      </c>
      <c r="Y663" s="531" t="s">
        <v>232</v>
      </c>
      <c r="Z663" s="39">
        <v>0</v>
      </c>
      <c r="AA663" s="518">
        <v>0</v>
      </c>
      <c r="AB663" s="532" t="s">
        <v>232</v>
      </c>
      <c r="AC663" s="519" t="str">
        <f>""</f>
        <v/>
      </c>
      <c r="AD663" s="522">
        <v>0</v>
      </c>
      <c r="AE663" s="522" t="s">
        <v>300</v>
      </c>
      <c r="AF663" s="522" t="s">
        <v>237</v>
      </c>
      <c r="AG663" s="522">
        <v>1</v>
      </c>
      <c r="AH663" s="520">
        <v>9</v>
      </c>
      <c r="AI663" s="520">
        <v>0</v>
      </c>
      <c r="AJ663" s="520">
        <f>VLOOKUP($I663,'Price List, Weapons &amp; Items'!A:E,5,0)</f>
        <v>0</v>
      </c>
      <c r="AK663" s="520">
        <f t="shared" si="133"/>
        <v>0</v>
      </c>
      <c r="AL663" s="520">
        <f t="shared" si="134"/>
        <v>0</v>
      </c>
      <c r="AM663" s="520">
        <f t="shared" si="135"/>
        <v>0</v>
      </c>
      <c r="AN663" s="521" t="str">
        <f>VLOOKUP($I663,'Price List, Weapons &amp; Items'!A:K,COLUMN('Price List, Weapons &amp; Items'!$I$1),0)</f>
        <v>.</v>
      </c>
      <c r="AO663" s="521" t="str">
        <f>IF(I663=".",".",VLOOKUP($I663,'Price List, Weapons &amp; Items'!A:I,3,0))</f>
        <v>MANPADS</v>
      </c>
      <c r="AP663" s="517" t="str">
        <f t="shared" ca="1" si="131"/>
        <v/>
      </c>
      <c r="AQ663" s="521" t="str">
        <f>VLOOKUP($I663,'Price List, Weapons &amp; Items'!A:K,COLUMN('Price List, Weapons &amp; Items'!$K$1),0)</f>
        <v>no price, 0 count</v>
      </c>
      <c r="AS663" s="521">
        <f t="shared" si="136"/>
        <v>1</v>
      </c>
      <c r="AT663" s="521">
        <f t="shared" si="137"/>
        <v>1</v>
      </c>
      <c r="AU663" s="521">
        <f t="shared" si="138"/>
        <v>1</v>
      </c>
      <c r="AV663" s="521" t="str">
        <f t="shared" si="139"/>
        <v>.</v>
      </c>
    </row>
    <row r="664" spans="1:48" ht="15" customHeight="1">
      <c r="A664" s="41" t="s">
        <v>1852</v>
      </c>
      <c r="B664" s="41" t="s">
        <v>1804</v>
      </c>
      <c r="C664" s="511">
        <v>44812</v>
      </c>
      <c r="D664" s="18" t="s">
        <v>252</v>
      </c>
      <c r="E664" s="18" t="s">
        <v>253</v>
      </c>
      <c r="F664" s="512" t="s">
        <v>1853</v>
      </c>
      <c r="G664" s="39" t="s">
        <v>314</v>
      </c>
      <c r="H664" s="527" t="s">
        <v>309</v>
      </c>
      <c r="I664" s="41" t="s">
        <v>1858</v>
      </c>
      <c r="J664" s="276" t="str">
        <f>VLOOKUP($I664,'Price List, Weapons &amp; Items'!A:B,2,0)</f>
        <v>Military equipment</v>
      </c>
      <c r="K664" s="276" t="str">
        <f>IF(I664=".",I664,VLOOKUP($I664,'Price List, Weapons &amp; Items'!A:C,3,0))</f>
        <v>.</v>
      </c>
      <c r="L664" s="514">
        <f>VLOOKUP(I664,'Price List, Weapons &amp; Items'!A:D,4,0)</f>
        <v>0</v>
      </c>
      <c r="M664" s="515" t="s">
        <v>264</v>
      </c>
      <c r="N664" s="527" t="s">
        <v>232</v>
      </c>
      <c r="O664" s="516">
        <f>VLOOKUP($I664,'Price List, Weapons &amp; Items'!A:F,6,0)</f>
        <v>2320</v>
      </c>
      <c r="P664" s="513" t="str">
        <f t="shared" si="140"/>
        <v>.</v>
      </c>
      <c r="Q664" s="513" t="str">
        <f t="shared" si="141"/>
        <v>.</v>
      </c>
      <c r="R664" s="513" t="str">
        <f t="shared" si="132"/>
        <v/>
      </c>
      <c r="S664" s="513" t="str">
        <f>IF(AND(AD664=1,R664&lt;&gt;".")=TRUE,R664/VLOOKUP(G664,'Exchange rates'!B:C,2,0),IF(R664=".",".",""))</f>
        <v/>
      </c>
      <c r="T664" s="513" t="str">
        <f>IF(AD664=1,IF(AF664="Value is not given at all",".",IF(AF664="Value is given by the source",S664,IF(AF664="Value is calculated with prices",(IF(SUMIFS(Q:Q,A:A,A664)&gt;0,SUMIFS(Q:Q,A:A,A664),"."))/VLOOKUP("USD",'Exchange rates'!B:C,2,0),"Error with coding"))),"")</f>
        <v/>
      </c>
      <c r="U664" s="39" t="s">
        <v>233</v>
      </c>
      <c r="V664" s="42" t="s">
        <v>1855</v>
      </c>
      <c r="W664" s="531" t="s">
        <v>232</v>
      </c>
      <c r="X664" s="531" t="s">
        <v>232</v>
      </c>
      <c r="Y664" s="531" t="s">
        <v>232</v>
      </c>
      <c r="Z664" s="39">
        <v>0</v>
      </c>
      <c r="AA664" s="518">
        <v>0</v>
      </c>
      <c r="AB664" s="532" t="s">
        <v>232</v>
      </c>
      <c r="AC664" s="519" t="str">
        <f>""</f>
        <v/>
      </c>
      <c r="AD664" s="522">
        <v>0</v>
      </c>
      <c r="AE664" s="522" t="s">
        <v>300</v>
      </c>
      <c r="AF664" s="522" t="s">
        <v>237</v>
      </c>
      <c r="AG664" s="522">
        <v>1</v>
      </c>
      <c r="AH664" s="520">
        <v>9</v>
      </c>
      <c r="AI664" s="520">
        <v>0</v>
      </c>
      <c r="AJ664" s="520">
        <f>VLOOKUP($I664,'Price List, Weapons &amp; Items'!A:E,5,0)</f>
        <v>0</v>
      </c>
      <c r="AK664" s="520">
        <f t="shared" si="133"/>
        <v>0</v>
      </c>
      <c r="AL664" s="520">
        <f t="shared" si="134"/>
        <v>0</v>
      </c>
      <c r="AM664" s="520">
        <f t="shared" si="135"/>
        <v>0</v>
      </c>
      <c r="AN664" s="521" t="str">
        <f>VLOOKUP($I664,'Price List, Weapons &amp; Items'!A:K,COLUMN('Price List, Weapons &amp; Items'!$I$1),0)</f>
        <v>Media reports (incl. social media)</v>
      </c>
      <c r="AO664" s="521" t="str">
        <f>IF(I664=".",".",VLOOKUP($I664,'Price List, Weapons &amp; Items'!A:I,3,0))</f>
        <v>.</v>
      </c>
      <c r="AP664" s="517" t="str">
        <f t="shared" ref="AP664:AP673" ca="1" si="142">IF(AD664=1,_xlfn.ARRAYTOTEXT(OFFSET(I664,0,0,COUNTIF(A:A,A664),1)),"")</f>
        <v/>
      </c>
      <c r="AQ664" s="521">
        <f>VLOOKUP($I664,'Price List, Weapons &amp; Items'!A:K,COLUMN('Price List, Weapons &amp; Items'!$K$1),0)</f>
        <v>2</v>
      </c>
      <c r="AS664" s="521">
        <f t="shared" si="136"/>
        <v>1</v>
      </c>
      <c r="AT664" s="521">
        <f t="shared" si="137"/>
        <v>1</v>
      </c>
      <c r="AU664" s="521">
        <f t="shared" si="138"/>
        <v>1</v>
      </c>
      <c r="AV664" s="521" t="str">
        <f t="shared" si="139"/>
        <v>.</v>
      </c>
    </row>
    <row r="665" spans="1:48" ht="15" customHeight="1">
      <c r="A665" s="18" t="s">
        <v>1859</v>
      </c>
      <c r="B665" s="18" t="s">
        <v>1804</v>
      </c>
      <c r="C665" s="511">
        <v>44836</v>
      </c>
      <c r="D665" s="18" t="s">
        <v>252</v>
      </c>
      <c r="E665" s="18" t="s">
        <v>1280</v>
      </c>
      <c r="F665" s="512" t="s">
        <v>1860</v>
      </c>
      <c r="G665" s="39" t="s">
        <v>332</v>
      </c>
      <c r="H665" s="513">
        <v>30666666</v>
      </c>
      <c r="I665" s="46" t="s">
        <v>824</v>
      </c>
      <c r="J665" s="276" t="str">
        <f>VLOOKUP($I665,'Price List, Weapons &amp; Items'!A:B,2,0)</f>
        <v>Heavy weapon</v>
      </c>
      <c r="K665" s="276" t="str">
        <f>IF(I665=".",I665,VLOOKUP($I665,'Price List, Weapons &amp; Items'!A:C,3,0))</f>
        <v>155mm howitzer</v>
      </c>
      <c r="L665" s="514">
        <f>VLOOKUP(I665,'Price List, Weapons &amp; Items'!A:D,4,0)</f>
        <v>1</v>
      </c>
      <c r="M665" s="527">
        <v>5</v>
      </c>
      <c r="N665" s="515" t="s">
        <v>232</v>
      </c>
      <c r="O665" s="516">
        <f>VLOOKUP($I665,'Price List, Weapons &amp; Items'!A:F,6,0)</f>
        <v>8661378.4511823338</v>
      </c>
      <c r="P665" s="513">
        <f t="shared" si="140"/>
        <v>43306892.255911671</v>
      </c>
      <c r="Q665" s="513" t="str">
        <f t="shared" si="141"/>
        <v>.</v>
      </c>
      <c r="R665" s="513">
        <f t="shared" si="132"/>
        <v>30666666</v>
      </c>
      <c r="S665" s="513">
        <f>IF(AND(AD665=1,R665&lt;&gt;".")=TRUE,R665/VLOOKUP(G665,'Exchange rates'!B:C,2,0),IF(R665=".",".",""))</f>
        <v>30666666</v>
      </c>
      <c r="T665" s="513" t="str">
        <f>IF(AD665=1,IF(AF665="Value is not given at all",".",IF(AF665="Value is given by the source",S665,IF(AF665="Value is calculated with prices",(IF(SUMIFS(Q:Q,A:A,A665)&gt;0,SUMIFS(Q:Q,A:A,A665),"."))/VLOOKUP("USD",'Exchange rates'!B:C,2,0),"Error with coding"))),"")</f>
        <v>.</v>
      </c>
      <c r="U665" s="39" t="s">
        <v>233</v>
      </c>
      <c r="V665" s="376" t="s">
        <v>1282</v>
      </c>
      <c r="W665" s="376" t="s">
        <v>1283</v>
      </c>
      <c r="X665" s="376" t="s">
        <v>1284</v>
      </c>
      <c r="Y665" s="377" t="s">
        <v>1285</v>
      </c>
      <c r="Z665" s="39">
        <v>0</v>
      </c>
      <c r="AA665" s="518">
        <v>0</v>
      </c>
      <c r="AB665" s="523" t="s">
        <v>232</v>
      </c>
      <c r="AC665" s="519" t="str">
        <f>""</f>
        <v/>
      </c>
      <c r="AD665" s="522">
        <v>1</v>
      </c>
      <c r="AE665" s="522" t="s">
        <v>236</v>
      </c>
      <c r="AF665" s="522" t="s">
        <v>237</v>
      </c>
      <c r="AG665" s="522">
        <v>1</v>
      </c>
      <c r="AH665" s="520">
        <v>10</v>
      </c>
      <c r="AI665" s="520">
        <v>0</v>
      </c>
      <c r="AJ665" s="520">
        <f>VLOOKUP($I665,'Price List, Weapons &amp; Items'!A:E,5,0)</f>
        <v>1</v>
      </c>
      <c r="AK665" s="520">
        <f t="shared" si="133"/>
        <v>0</v>
      </c>
      <c r="AL665" s="520">
        <f t="shared" si="134"/>
        <v>0</v>
      </c>
      <c r="AM665" s="520">
        <f t="shared" si="135"/>
        <v>0</v>
      </c>
      <c r="AN665" s="521" t="str">
        <f>VLOOKUP($I665,'Price List, Weapons &amp; Items'!A:K,COLUMN('Price List, Weapons &amp; Items'!$I$1),0)</f>
        <v>Government information</v>
      </c>
      <c r="AO665" s="521" t="str">
        <f>IF(I665=".",".",VLOOKUP($I665,'Price List, Weapons &amp; Items'!A:I,3,0))</f>
        <v>155mm howitzer</v>
      </c>
      <c r="AP665" s="517" t="str">
        <f t="shared" ca="1" si="142"/>
        <v>Zusana-2 howitzer</v>
      </c>
      <c r="AQ665" s="521">
        <f>VLOOKUP($I665,'Price List, Weapons &amp; Items'!A:K,COLUMN('Price List, Weapons &amp; Items'!$K$1),0)</f>
        <v>2</v>
      </c>
      <c r="AS665" s="521">
        <f t="shared" si="136"/>
        <v>1</v>
      </c>
      <c r="AT665" s="521">
        <f t="shared" si="137"/>
        <v>0</v>
      </c>
      <c r="AU665" s="521">
        <f t="shared" si="138"/>
        <v>1</v>
      </c>
      <c r="AV665" s="521" t="str">
        <f t="shared" si="139"/>
        <v>.</v>
      </c>
    </row>
    <row r="666" spans="1:48" ht="15" customHeight="1">
      <c r="A666" s="18" t="s">
        <v>1861</v>
      </c>
      <c r="B666" s="18" t="s">
        <v>1804</v>
      </c>
      <c r="C666" s="511">
        <v>44834</v>
      </c>
      <c r="D666" s="18" t="s">
        <v>252</v>
      </c>
      <c r="E666" s="18" t="s">
        <v>330</v>
      </c>
      <c r="F666" s="512" t="s">
        <v>1862</v>
      </c>
      <c r="G666" s="39" t="s">
        <v>1829</v>
      </c>
      <c r="H666" s="513">
        <v>3000000000</v>
      </c>
      <c r="I666" s="46" t="s">
        <v>232</v>
      </c>
      <c r="J666" s="276" t="str">
        <f>VLOOKUP($I666,'Price List, Weapons &amp; Items'!A:B,2,0)</f>
        <v>.</v>
      </c>
      <c r="K666" s="276" t="str">
        <f>IF(I666=".",I666,VLOOKUP($I666,'Price List, Weapons &amp; Items'!A:C,3,0))</f>
        <v>.</v>
      </c>
      <c r="L666" s="514">
        <f>VLOOKUP(I666,'Price List, Weapons &amp; Items'!A:D,4,0)</f>
        <v>0</v>
      </c>
      <c r="M666" s="526" t="s">
        <v>232</v>
      </c>
      <c r="N666" s="515" t="s">
        <v>232</v>
      </c>
      <c r="O666" s="516" t="s">
        <v>232</v>
      </c>
      <c r="R666" s="513">
        <f t="shared" si="132"/>
        <v>3000000000</v>
      </c>
      <c r="S666" s="513">
        <f>IF(AND(AD666=1,R666&lt;&gt;".")=TRUE,R666/VLOOKUP(G666,'Exchange rates'!B:C,2,0),IF(R666=".",".",""))</f>
        <v>290295423.97646672</v>
      </c>
      <c r="T666" s="513" t="str">
        <f>IF(AD666=1,IF(AF666="Value is not given at all",".",IF(AF666="Value is given by the source",S666,IF(AF666="Value is calculated with prices",(IF(SUMIFS(Q:Q,A:A,A666)&gt;0,SUMIFS(Q:Q,A:A,A666),"."))/VLOOKUP("USD",'Exchange rates'!B:C,2,0),"Error with coding"))),"")</f>
        <v>.</v>
      </c>
      <c r="U666" s="39" t="s">
        <v>233</v>
      </c>
      <c r="V666" s="827" t="s">
        <v>1863</v>
      </c>
      <c r="W666" s="42" t="s">
        <v>232</v>
      </c>
      <c r="X666" s="42" t="s">
        <v>232</v>
      </c>
      <c r="Y666" s="825" t="s">
        <v>232</v>
      </c>
      <c r="Z666" s="39">
        <v>0</v>
      </c>
      <c r="AA666" s="518">
        <v>1</v>
      </c>
      <c r="AB666" s="523" t="s">
        <v>232</v>
      </c>
      <c r="AC666" s="519" t="str">
        <f>""</f>
        <v/>
      </c>
      <c r="AD666" s="522">
        <v>1</v>
      </c>
      <c r="AE666" s="522" t="s">
        <v>236</v>
      </c>
      <c r="AF666" s="522" t="s">
        <v>237</v>
      </c>
      <c r="AG666" s="522">
        <v>1</v>
      </c>
      <c r="AH666" s="520">
        <v>9</v>
      </c>
      <c r="AI666" s="520">
        <v>0</v>
      </c>
      <c r="AJ666" s="520">
        <f>VLOOKUP($I666,'Price List, Weapons &amp; Items'!A:E,5,0)</f>
        <v>0</v>
      </c>
      <c r="AK666" s="520">
        <f t="shared" si="133"/>
        <v>0</v>
      </c>
      <c r="AL666" s="520">
        <f t="shared" si="134"/>
        <v>0</v>
      </c>
      <c r="AM666" s="520">
        <f t="shared" si="135"/>
        <v>0</v>
      </c>
      <c r="AN666" s="521" t="str">
        <f>VLOOKUP($I666,'Price List, Weapons &amp; Items'!A:K,COLUMN('Price List, Weapons &amp; Items'!$I$1),0)</f>
        <v>.</v>
      </c>
      <c r="AO666" s="521" t="str">
        <f>IF(I666=".",".",VLOOKUP($I666,'Price List, Weapons &amp; Items'!A:I,3,0))</f>
        <v>.</v>
      </c>
      <c r="AP666" s="517" t="str">
        <f t="shared" ca="1" si="142"/>
        <v>.</v>
      </c>
      <c r="AQ666" s="521" t="str">
        <f>VLOOKUP($I666,'Price List, Weapons &amp; Items'!A:K,COLUMN('Price List, Weapons &amp; Items'!$K$1),0)</f>
        <v>no price, 0 count</v>
      </c>
      <c r="AS666" s="521">
        <f t="shared" si="136"/>
        <v>1</v>
      </c>
      <c r="AT666" s="521">
        <f t="shared" si="137"/>
        <v>0</v>
      </c>
      <c r="AU666" s="521">
        <f t="shared" si="138"/>
        <v>1</v>
      </c>
      <c r="AV666" s="521" t="str">
        <f t="shared" si="139"/>
        <v>.</v>
      </c>
    </row>
    <row r="667" spans="1:48" ht="15" customHeight="1">
      <c r="A667" s="41" t="s">
        <v>1864</v>
      </c>
      <c r="B667" s="41" t="s">
        <v>1804</v>
      </c>
      <c r="C667" s="511" t="s">
        <v>1820</v>
      </c>
      <c r="D667" s="18" t="s">
        <v>228</v>
      </c>
      <c r="E667" s="18" t="s">
        <v>239</v>
      </c>
      <c r="F667" s="512" t="s">
        <v>1865</v>
      </c>
      <c r="G667" s="39" t="s">
        <v>1829</v>
      </c>
      <c r="H667" s="513">
        <v>265000000</v>
      </c>
      <c r="I667" s="523" t="s">
        <v>232</v>
      </c>
      <c r="J667" s="276" t="str">
        <f>VLOOKUP($I667,'Price List, Weapons &amp; Items'!A:B,2,0)</f>
        <v>.</v>
      </c>
      <c r="K667" s="276" t="str">
        <f>IF(I667=".",I667,VLOOKUP($I667,'Price List, Weapons &amp; Items'!A:C,3,0))</f>
        <v>.</v>
      </c>
      <c r="L667" s="514">
        <f>VLOOKUP(I667,'Price List, Weapons &amp; Items'!A:D,4,0)</f>
        <v>0</v>
      </c>
      <c r="M667" s="515" t="s">
        <v>232</v>
      </c>
      <c r="N667" s="515" t="s">
        <v>232</v>
      </c>
      <c r="O667" s="516" t="str">
        <f>VLOOKUP($I667,'Price List, Weapons &amp; Items'!A:F,6,0)</f>
        <v>.</v>
      </c>
      <c r="P667" s="513" t="str">
        <f t="shared" si="140"/>
        <v>.</v>
      </c>
      <c r="Q667" s="513" t="str">
        <f t="shared" si="141"/>
        <v>.</v>
      </c>
      <c r="R667" s="513">
        <f t="shared" si="132"/>
        <v>265000000</v>
      </c>
      <c r="S667" s="513">
        <f>IF(AND(AD667=1,R667&lt;&gt;".")=TRUE,R667/VLOOKUP(G667,'Exchange rates'!B:C,2,0),IF(R667=".",".",""))</f>
        <v>25642762.451254558</v>
      </c>
      <c r="T667" s="513" t="str">
        <f>IF(AD667=1,IF(AF667="Value is not given at all",".",IF(AF667="Value is given by the source",S667,IF(AF667="Value is calculated with prices",(IF(SUMIFS(Q:Q,A:A,A667)&gt;0,SUMIFS(Q:Q,A:A,A667),"."))/VLOOKUP("USD",'Exchange rates'!B:C,2,0),"Error with coding"))),"")</f>
        <v>.</v>
      </c>
      <c r="U667" s="39" t="s">
        <v>233</v>
      </c>
      <c r="V667" s="42" t="s">
        <v>1866</v>
      </c>
      <c r="W667" s="42" t="s">
        <v>1867</v>
      </c>
      <c r="X667" s="517" t="s">
        <v>232</v>
      </c>
      <c r="Y667" s="517" t="s">
        <v>232</v>
      </c>
      <c r="Z667" s="39">
        <v>0</v>
      </c>
      <c r="AA667" s="518">
        <v>0</v>
      </c>
      <c r="AB667" s="38" t="s">
        <v>232</v>
      </c>
      <c r="AC667" s="519" t="str">
        <f>""</f>
        <v/>
      </c>
      <c r="AD667" s="520">
        <v>1</v>
      </c>
      <c r="AE667" s="520" t="s">
        <v>236</v>
      </c>
      <c r="AF667" s="520" t="s">
        <v>237</v>
      </c>
      <c r="AG667" s="520">
        <v>1</v>
      </c>
      <c r="AH667" s="520">
        <v>4</v>
      </c>
      <c r="AI667" s="520">
        <v>0</v>
      </c>
      <c r="AJ667" s="520">
        <f>VLOOKUP($I667,'Price List, Weapons &amp; Items'!A:E,5,0)</f>
        <v>0</v>
      </c>
      <c r="AK667" s="520">
        <f t="shared" si="133"/>
        <v>0</v>
      </c>
      <c r="AL667" s="520">
        <f t="shared" si="134"/>
        <v>0</v>
      </c>
      <c r="AM667" s="520">
        <f t="shared" si="135"/>
        <v>0</v>
      </c>
      <c r="AN667" s="521" t="str">
        <f>VLOOKUP($I667,'Price List, Weapons &amp; Items'!A:K,COLUMN('Price List, Weapons &amp; Items'!$I$1),0)</f>
        <v>.</v>
      </c>
      <c r="AO667" s="521" t="str">
        <f>IF(I667=".",".",VLOOKUP($I667,'Price List, Weapons &amp; Items'!A:I,3,0))</f>
        <v>.</v>
      </c>
      <c r="AP667" s="517" t="str">
        <f t="shared" ca="1" si="142"/>
        <v>.</v>
      </c>
      <c r="AQ667" s="521" t="str">
        <f>VLOOKUP($I667,'Price List, Weapons &amp; Items'!A:K,COLUMN('Price List, Weapons &amp; Items'!$K$1),0)</f>
        <v>no price, 0 count</v>
      </c>
      <c r="AS667" s="521">
        <f t="shared" si="136"/>
        <v>1</v>
      </c>
      <c r="AT667" s="521">
        <f t="shared" si="137"/>
        <v>0</v>
      </c>
      <c r="AU667" s="521" t="str">
        <f t="shared" si="138"/>
        <v>Value is not in date format</v>
      </c>
      <c r="AV667" s="521" t="str">
        <f t="shared" si="139"/>
        <v>.</v>
      </c>
    </row>
    <row r="668" spans="1:48" ht="15" customHeight="1">
      <c r="A668" s="41" t="s">
        <v>1868</v>
      </c>
      <c r="B668" s="41" t="s">
        <v>1804</v>
      </c>
      <c r="C668" s="511" t="s">
        <v>1820</v>
      </c>
      <c r="D668" s="18" t="s">
        <v>228</v>
      </c>
      <c r="E668" s="18" t="s">
        <v>239</v>
      </c>
      <c r="F668" s="512" t="s">
        <v>1869</v>
      </c>
      <c r="G668" s="39" t="s">
        <v>1829</v>
      </c>
      <c r="H668" s="513">
        <v>100000000</v>
      </c>
      <c r="I668" s="523" t="s">
        <v>232</v>
      </c>
      <c r="J668" s="276" t="str">
        <f>VLOOKUP($I668,'Price List, Weapons &amp; Items'!A:B,2,0)</f>
        <v>.</v>
      </c>
      <c r="K668" s="276" t="str">
        <f>IF(I668=".",I668,VLOOKUP($I668,'Price List, Weapons &amp; Items'!A:C,3,0))</f>
        <v>.</v>
      </c>
      <c r="L668" s="514">
        <f>VLOOKUP(I668,'Price List, Weapons &amp; Items'!A:D,4,0)</f>
        <v>0</v>
      </c>
      <c r="M668" s="515" t="s">
        <v>232</v>
      </c>
      <c r="N668" s="515" t="s">
        <v>232</v>
      </c>
      <c r="O668" s="516" t="str">
        <f>VLOOKUP($I668,'Price List, Weapons &amp; Items'!A:F,6,0)</f>
        <v>.</v>
      </c>
      <c r="P668" s="513" t="str">
        <f t="shared" si="140"/>
        <v>.</v>
      </c>
      <c r="Q668" s="513" t="str">
        <f t="shared" si="141"/>
        <v>.</v>
      </c>
      <c r="R668" s="513">
        <f t="shared" si="132"/>
        <v>100000000</v>
      </c>
      <c r="S668" s="513">
        <f>IF(AND(AD668=1,R668&lt;&gt;".")=TRUE,R668/VLOOKUP(G668,'Exchange rates'!B:C,2,0),IF(R668=".",".",""))</f>
        <v>9676514.1325488891</v>
      </c>
      <c r="T668" s="513" t="str">
        <f>IF(AD668=1,IF(AF668="Value is not given at all",".",IF(AF668="Value is given by the source",S668,IF(AF668="Value is calculated with prices",(IF(SUMIFS(Q:Q,A:A,A668)&gt;0,SUMIFS(Q:Q,A:A,A668),"."))/VLOOKUP("USD",'Exchange rates'!B:C,2,0),"Error with coding"))),"")</f>
        <v>.</v>
      </c>
      <c r="U668" s="39" t="s">
        <v>233</v>
      </c>
      <c r="V668" s="42" t="s">
        <v>1816</v>
      </c>
      <c r="W668" s="517" t="s">
        <v>232</v>
      </c>
      <c r="X668" s="517" t="s">
        <v>232</v>
      </c>
      <c r="Y668" s="517" t="s">
        <v>232</v>
      </c>
      <c r="Z668" s="39">
        <v>0</v>
      </c>
      <c r="AA668" s="518">
        <v>0</v>
      </c>
      <c r="AB668" s="38" t="s">
        <v>232</v>
      </c>
      <c r="AC668" s="519" t="str">
        <f>""</f>
        <v/>
      </c>
      <c r="AD668" s="520">
        <v>1</v>
      </c>
      <c r="AE668" s="520" t="s">
        <v>236</v>
      </c>
      <c r="AF668" s="520" t="s">
        <v>237</v>
      </c>
      <c r="AG668" s="520">
        <v>1</v>
      </c>
      <c r="AH668" s="520">
        <v>4</v>
      </c>
      <c r="AI668" s="520">
        <v>0</v>
      </c>
      <c r="AJ668" s="520">
        <f>VLOOKUP($I668,'Price List, Weapons &amp; Items'!A:E,5,0)</f>
        <v>0</v>
      </c>
      <c r="AK668" s="520">
        <f t="shared" si="133"/>
        <v>0</v>
      </c>
      <c r="AL668" s="520">
        <f t="shared" si="134"/>
        <v>0</v>
      </c>
      <c r="AM668" s="520">
        <f t="shared" si="135"/>
        <v>0</v>
      </c>
      <c r="AN668" s="521" t="str">
        <f>VLOOKUP($I668,'Price List, Weapons &amp; Items'!A:K,COLUMN('Price List, Weapons &amp; Items'!$I$1),0)</f>
        <v>.</v>
      </c>
      <c r="AO668" s="521" t="str">
        <f>IF(I668=".",".",VLOOKUP($I668,'Price List, Weapons &amp; Items'!A:I,3,0))</f>
        <v>.</v>
      </c>
      <c r="AP668" s="517" t="str">
        <f t="shared" ca="1" si="142"/>
        <v>.</v>
      </c>
      <c r="AQ668" s="521" t="str">
        <f>VLOOKUP($I668,'Price List, Weapons &amp; Items'!A:K,COLUMN('Price List, Weapons &amp; Items'!$K$1),0)</f>
        <v>no price, 0 count</v>
      </c>
      <c r="AS668" s="521">
        <f t="shared" si="136"/>
        <v>1</v>
      </c>
      <c r="AT668" s="521">
        <f t="shared" si="137"/>
        <v>0</v>
      </c>
      <c r="AU668" s="521" t="str">
        <f t="shared" si="138"/>
        <v>Value is not in date format</v>
      </c>
      <c r="AV668" s="521" t="str">
        <f t="shared" si="139"/>
        <v>.</v>
      </c>
    </row>
    <row r="669" spans="1:48" ht="15" customHeight="1">
      <c r="A669" s="41" t="s">
        <v>1870</v>
      </c>
      <c r="B669" s="41" t="s">
        <v>1804</v>
      </c>
      <c r="C669" s="511">
        <v>44725</v>
      </c>
      <c r="D669" s="18" t="s">
        <v>228</v>
      </c>
      <c r="E669" s="18" t="s">
        <v>229</v>
      </c>
      <c r="F669" s="512" t="s">
        <v>1871</v>
      </c>
      <c r="G669" s="39" t="s">
        <v>1829</v>
      </c>
      <c r="H669" s="513" t="s">
        <v>309</v>
      </c>
      <c r="I669" s="41" t="s">
        <v>232</v>
      </c>
      <c r="J669" s="276" t="str">
        <f>VLOOKUP($I669,'Price List, Weapons &amp; Items'!A:B,2,0)</f>
        <v>.</v>
      </c>
      <c r="K669" s="276" t="str">
        <f>IF(I669=".",I669,VLOOKUP($I669,'Price List, Weapons &amp; Items'!A:C,3,0))</f>
        <v>.</v>
      </c>
      <c r="L669" s="514">
        <f>VLOOKUP(I669,'Price List, Weapons &amp; Items'!A:D,4,0)</f>
        <v>0</v>
      </c>
      <c r="M669" s="515" t="s">
        <v>232</v>
      </c>
      <c r="N669" s="515" t="s">
        <v>232</v>
      </c>
      <c r="O669" s="516" t="str">
        <f>VLOOKUP($I669,'Price List, Weapons &amp; Items'!A:F,6,0)</f>
        <v>.</v>
      </c>
      <c r="P669" s="513" t="str">
        <f t="shared" si="140"/>
        <v>.</v>
      </c>
      <c r="Q669" s="513" t="str">
        <f t="shared" si="141"/>
        <v>.</v>
      </c>
      <c r="R669" s="513" t="str">
        <f t="shared" si="132"/>
        <v>.</v>
      </c>
      <c r="S669" s="513" t="str">
        <f>IF(AND(AD669=1,R669&lt;&gt;".")=TRUE,R669/VLOOKUP(G669,'Exchange rates'!B:C,2,0),IF(R669=".",".",""))</f>
        <v>.</v>
      </c>
      <c r="T669" s="513" t="str">
        <f>IF(AD669=1,IF(AF669="Value is not given at all",".",IF(AF669="Value is given by the source",S669,IF(AF669="Value is calculated with prices",(IF(SUMIFS(Q:Q,A:A,A669)&gt;0,SUMIFS(Q:Q,A:A,A669),"."))/VLOOKUP("USD",'Exchange rates'!B:C,2,0),"Error with coding"))),"")</f>
        <v>.</v>
      </c>
      <c r="U669" s="39" t="s">
        <v>233</v>
      </c>
      <c r="V669" s="42" t="s">
        <v>1872</v>
      </c>
      <c r="W669" s="42" t="s">
        <v>1816</v>
      </c>
      <c r="X669" s="531" t="s">
        <v>232</v>
      </c>
      <c r="Y669" s="517" t="s">
        <v>232</v>
      </c>
      <c r="Z669" s="39">
        <v>0</v>
      </c>
      <c r="AA669" s="39">
        <v>0</v>
      </c>
      <c r="AB669" s="523" t="s">
        <v>232</v>
      </c>
      <c r="AC669" s="519" t="str">
        <f>""</f>
        <v/>
      </c>
      <c r="AD669" s="522">
        <v>1</v>
      </c>
      <c r="AE669" s="522" t="s">
        <v>237</v>
      </c>
      <c r="AF669" s="522" t="s">
        <v>237</v>
      </c>
      <c r="AG669" s="522">
        <v>1</v>
      </c>
      <c r="AH669" s="520">
        <v>6</v>
      </c>
      <c r="AI669" s="520">
        <v>0</v>
      </c>
      <c r="AJ669" s="520">
        <f>VLOOKUP($I669,'Price List, Weapons &amp; Items'!A:E,5,0)</f>
        <v>0</v>
      </c>
      <c r="AK669" s="520">
        <f t="shared" si="133"/>
        <v>0</v>
      </c>
      <c r="AL669" s="520">
        <f t="shared" si="134"/>
        <v>0</v>
      </c>
      <c r="AM669" s="520">
        <f t="shared" si="135"/>
        <v>0</v>
      </c>
      <c r="AN669" s="521" t="str">
        <f>VLOOKUP($I669,'Price List, Weapons &amp; Items'!A:K,COLUMN('Price List, Weapons &amp; Items'!$I$1),0)</f>
        <v>.</v>
      </c>
      <c r="AO669" s="521" t="str">
        <f>IF(I669=".",".",VLOOKUP($I669,'Price List, Weapons &amp; Items'!A:I,3,0))</f>
        <v>.</v>
      </c>
      <c r="AP669" s="517" t="str">
        <f t="shared" ca="1" si="142"/>
        <v>.</v>
      </c>
      <c r="AQ669" s="521" t="str">
        <f>VLOOKUP($I669,'Price List, Weapons &amp; Items'!A:K,COLUMN('Price List, Weapons &amp; Items'!$K$1),0)</f>
        <v>no price, 0 count</v>
      </c>
      <c r="AS669" s="521">
        <f t="shared" si="136"/>
        <v>1</v>
      </c>
      <c r="AT669" s="521">
        <f t="shared" si="137"/>
        <v>0</v>
      </c>
      <c r="AU669" s="521">
        <f t="shared" si="138"/>
        <v>1</v>
      </c>
      <c r="AV669" s="521" t="str">
        <f t="shared" si="139"/>
        <v>.</v>
      </c>
    </row>
    <row r="670" spans="1:48" ht="15" customHeight="1">
      <c r="A670" s="41" t="s">
        <v>1873</v>
      </c>
      <c r="B670" s="41" t="s">
        <v>1804</v>
      </c>
      <c r="C670" s="511" t="s">
        <v>1874</v>
      </c>
      <c r="D670" s="18" t="s">
        <v>228</v>
      </c>
      <c r="E670" s="18" t="s">
        <v>229</v>
      </c>
      <c r="F670" s="512" t="s">
        <v>1875</v>
      </c>
      <c r="G670" s="39" t="s">
        <v>1829</v>
      </c>
      <c r="H670" s="513">
        <v>1000000000</v>
      </c>
      <c r="I670" s="41" t="s">
        <v>232</v>
      </c>
      <c r="J670" s="276" t="str">
        <f>VLOOKUP($I670,'Price List, Weapons &amp; Items'!A:B,2,0)</f>
        <v>.</v>
      </c>
      <c r="K670" s="276" t="str">
        <f>IF(I670=".",I670,VLOOKUP($I670,'Price List, Weapons &amp; Items'!A:C,3,0))</f>
        <v>.</v>
      </c>
      <c r="L670" s="514">
        <f>VLOOKUP(I670,'Price List, Weapons &amp; Items'!A:D,4,0)</f>
        <v>0</v>
      </c>
      <c r="M670" s="515" t="s">
        <v>232</v>
      </c>
      <c r="N670" s="515" t="s">
        <v>232</v>
      </c>
      <c r="O670" s="516" t="str">
        <f>VLOOKUP($I670,'Price List, Weapons &amp; Items'!A:F,6,0)</f>
        <v>.</v>
      </c>
      <c r="P670" s="513" t="str">
        <f t="shared" ref="P670" si="143">IF(TYPE(M670)=1,IF(TYPE(O670)=1,M670*O670,"No price"),".")</f>
        <v>.</v>
      </c>
      <c r="Q670" s="513" t="str">
        <f t="shared" ref="Q670" si="144">IF(TYPE(N670)=1,IF(TYPE(O670)=1,N670*O670,"No price"),".")</f>
        <v>.</v>
      </c>
      <c r="R670" s="513">
        <f t="shared" si="132"/>
        <v>1000000000</v>
      </c>
      <c r="S670" s="513">
        <f>IF(AND(AD670=1,R670&lt;&gt;".")=TRUE,R670/VLOOKUP(G670,'Exchange rates'!B:C,2,0),IF(R670=".",".",""))</f>
        <v>96765141.325488895</v>
      </c>
      <c r="T670" s="513" t="str">
        <f>IF(AD670=1,IF(AF670="Value is not given at all",".",IF(AF670="Value is given by the source",S670,IF(AF670="Value is calculated with prices",(IF(SUMIFS(Q:Q,A:A,A670)&gt;0,SUMIFS(Q:Q,A:A,A670),"."))/VLOOKUP("USD",'Exchange rates'!B:C,2,0),"Error with coding"))),"")</f>
        <v>.</v>
      </c>
      <c r="U670" s="39" t="s">
        <v>233</v>
      </c>
      <c r="V670" s="42" t="s">
        <v>1816</v>
      </c>
      <c r="W670" s="42"/>
      <c r="X670" s="531" t="s">
        <v>232</v>
      </c>
      <c r="Y670" s="517" t="s">
        <v>232</v>
      </c>
      <c r="Z670" s="39">
        <v>0</v>
      </c>
      <c r="AA670" s="39">
        <v>0</v>
      </c>
      <c r="AB670" s="523" t="s">
        <v>232</v>
      </c>
      <c r="AC670" s="519" t="str">
        <f>""</f>
        <v/>
      </c>
      <c r="AD670" s="522">
        <v>1</v>
      </c>
      <c r="AE670" s="522" t="s">
        <v>237</v>
      </c>
      <c r="AF670" s="522" t="s">
        <v>237</v>
      </c>
      <c r="AG670" s="522">
        <v>1</v>
      </c>
      <c r="AH670" s="520">
        <v>6</v>
      </c>
      <c r="AI670" s="520">
        <v>0</v>
      </c>
      <c r="AJ670" s="520">
        <f>VLOOKUP($I670,'Price List, Weapons &amp; Items'!A:E,5,0)</f>
        <v>0</v>
      </c>
      <c r="AK670" s="520">
        <f t="shared" ref="AK670" si="145">IF(AND(AJ670=1,M670="undisclosed")=TRUE,1,0)</f>
        <v>0</v>
      </c>
      <c r="AL670" s="520">
        <f t="shared" ref="AL670" si="146">IF(AND(AJ670=1,N670="undisclosed")=TRUE,1,0)</f>
        <v>0</v>
      </c>
      <c r="AM670" s="520">
        <f t="shared" ref="AM670" si="147">IFERROR(IF(SEARCH("ammuni",I670,1)&gt;0,1,0),0)</f>
        <v>0</v>
      </c>
      <c r="AN670" s="521" t="str">
        <f>VLOOKUP($I670,'Price List, Weapons &amp; Items'!A:K,COLUMN('Price List, Weapons &amp; Items'!$I$1),0)</f>
        <v>.</v>
      </c>
      <c r="AO670" s="521" t="str">
        <f>IF(I670=".",".",VLOOKUP($I670,'Price List, Weapons &amp; Items'!A:I,3,0))</f>
        <v>.</v>
      </c>
      <c r="AP670" s="517" t="str">
        <f t="shared" ca="1" si="142"/>
        <v>.</v>
      </c>
      <c r="AQ670" s="521" t="str">
        <f>VLOOKUP($I670,'Price List, Weapons &amp; Items'!A:K,COLUMN('Price List, Weapons &amp; Items'!$K$1),0)</f>
        <v>no price, 0 count</v>
      </c>
      <c r="AS670" s="521">
        <f t="shared" ref="AS670" si="148">IF(U670="Yes",1,0)</f>
        <v>1</v>
      </c>
      <c r="AT670" s="521">
        <f t="shared" ref="AT670" si="149">IF(OR((E670="Weapons"),(E670="Weapons and equipment"),(E670="Weapons and training"),(E670="Weapons and Assistance"),(E670="Military Equipment"))=FALSE,0,1)</f>
        <v>0</v>
      </c>
      <c r="AU670" s="521" t="str">
        <f t="shared" ref="AU670" si="150">IFERROR(IF(VALUE(TEXT(C670,"mm"))=AH670,".",1),"Value is not in date format")</f>
        <v>Value is not in date format</v>
      </c>
      <c r="AV670" s="521" t="str">
        <f t="shared" ref="AV670" si="151">IF(AND(A670=A669,C670=C669)=TRUE,IF(F670=F669,".","1"),".")</f>
        <v>.</v>
      </c>
    </row>
    <row r="671" spans="1:48" ht="15" customHeight="1">
      <c r="A671" s="41" t="s">
        <v>1876</v>
      </c>
      <c r="B671" s="41" t="s">
        <v>1804</v>
      </c>
      <c r="C671" s="511" t="s">
        <v>1874</v>
      </c>
      <c r="D671" s="18" t="s">
        <v>228</v>
      </c>
      <c r="E671" s="18" t="s">
        <v>229</v>
      </c>
      <c r="F671" s="512" t="s">
        <v>1877</v>
      </c>
      <c r="G671" s="39" t="s">
        <v>1829</v>
      </c>
      <c r="H671" s="513">
        <v>2000000000</v>
      </c>
      <c r="I671" s="41" t="s">
        <v>232</v>
      </c>
      <c r="J671" s="276" t="str">
        <f>VLOOKUP($I671,'Price List, Weapons &amp; Items'!A:B,2,0)</f>
        <v>.</v>
      </c>
      <c r="K671" s="276" t="str">
        <f>IF(I671=".",I671,VLOOKUP($I671,'Price List, Weapons &amp; Items'!A:C,3,0))</f>
        <v>.</v>
      </c>
      <c r="L671" s="514">
        <f>VLOOKUP(I671,'Price List, Weapons &amp; Items'!A:D,4,0)</f>
        <v>0</v>
      </c>
      <c r="M671" s="515" t="s">
        <v>232</v>
      </c>
      <c r="N671" s="515" t="s">
        <v>232</v>
      </c>
      <c r="O671" s="516" t="str">
        <f>VLOOKUP($I671,'Price List, Weapons &amp; Items'!A:F,6,0)</f>
        <v>.</v>
      </c>
      <c r="P671" s="513" t="str">
        <f t="shared" ref="P671" si="152">IF(TYPE(M671)=1,IF(TYPE(O671)=1,M671*O671,"No price"),".")</f>
        <v>.</v>
      </c>
      <c r="Q671" s="513" t="str">
        <f t="shared" ref="Q671" si="153">IF(TYPE(N671)=1,IF(TYPE(O671)=1,N671*O671,"No price"),".")</f>
        <v>.</v>
      </c>
      <c r="R671" s="513">
        <f t="shared" si="132"/>
        <v>2000000000</v>
      </c>
      <c r="S671" s="513">
        <f>IF(AND(AD671=1,R671&lt;&gt;".")=TRUE,R671/VLOOKUP(G671,'Exchange rates'!B:C,2,0),IF(R671=".",".",""))</f>
        <v>193530282.65097779</v>
      </c>
      <c r="T671" s="513" t="str">
        <f>IF(AD671=1,IF(AF671="Value is not given at all",".",IF(AF671="Value is given by the source",S671,IF(AF671="Value is calculated with prices",(IF(SUMIFS(Q:Q,A:A,A671)&gt;0,SUMIFS(Q:Q,A:A,A671),"."))/VLOOKUP("USD",'Exchange rates'!B:C,2,0),"Error with coding"))),"")</f>
        <v>.</v>
      </c>
      <c r="U671" s="39" t="s">
        <v>233</v>
      </c>
      <c r="V671" s="42" t="s">
        <v>1816</v>
      </c>
      <c r="W671" s="42"/>
      <c r="X671" s="531" t="s">
        <v>232</v>
      </c>
      <c r="Y671" s="517" t="s">
        <v>232</v>
      </c>
      <c r="Z671" s="39">
        <v>0</v>
      </c>
      <c r="AA671" s="39">
        <v>0</v>
      </c>
      <c r="AB671" s="523" t="s">
        <v>232</v>
      </c>
      <c r="AC671" s="519" t="str">
        <f>""</f>
        <v/>
      </c>
      <c r="AD671" s="522">
        <v>1</v>
      </c>
      <c r="AE671" s="522" t="s">
        <v>237</v>
      </c>
      <c r="AF671" s="522" t="s">
        <v>237</v>
      </c>
      <c r="AG671" s="522">
        <v>1</v>
      </c>
      <c r="AH671" s="520">
        <v>6</v>
      </c>
      <c r="AI671" s="520">
        <v>0</v>
      </c>
      <c r="AJ671" s="520">
        <f>VLOOKUP($I671,'Price List, Weapons &amp; Items'!A:E,5,0)</f>
        <v>0</v>
      </c>
      <c r="AK671" s="520">
        <f t="shared" ref="AK671" si="154">IF(AND(AJ671=1,M671="undisclosed")=TRUE,1,0)</f>
        <v>0</v>
      </c>
      <c r="AL671" s="520">
        <f t="shared" ref="AL671" si="155">IF(AND(AJ671=1,N671="undisclosed")=TRUE,1,0)</f>
        <v>0</v>
      </c>
      <c r="AM671" s="520">
        <f t="shared" ref="AM671" si="156">IFERROR(IF(SEARCH("ammuni",I671,1)&gt;0,1,0),0)</f>
        <v>0</v>
      </c>
      <c r="AN671" s="521" t="str">
        <f>VLOOKUP($I671,'Price List, Weapons &amp; Items'!A:K,COLUMN('Price List, Weapons &amp; Items'!$I$1),0)</f>
        <v>.</v>
      </c>
      <c r="AO671" s="521" t="str">
        <f>IF(I671=".",".",VLOOKUP($I671,'Price List, Weapons &amp; Items'!A:I,3,0))</f>
        <v>.</v>
      </c>
      <c r="AP671" s="517" t="str">
        <f t="shared" ca="1" si="142"/>
        <v>.</v>
      </c>
      <c r="AQ671" s="521" t="str">
        <f>VLOOKUP($I671,'Price List, Weapons &amp; Items'!A:K,COLUMN('Price List, Weapons &amp; Items'!$K$1),0)</f>
        <v>no price, 0 count</v>
      </c>
      <c r="AS671" s="521">
        <f t="shared" ref="AS671" si="157">IF(U671="Yes",1,0)</f>
        <v>1</v>
      </c>
      <c r="AT671" s="521">
        <f t="shared" ref="AT671" si="158">IF(OR((E671="Weapons"),(E671="Weapons and equipment"),(E671="Weapons and training"),(E671="Weapons and Assistance"),(E671="Military Equipment"))=FALSE,0,1)</f>
        <v>0</v>
      </c>
      <c r="AU671" s="521" t="str">
        <f t="shared" ref="AU671" si="159">IFERROR(IF(VALUE(TEXT(C671,"mm"))=AH671,".",1),"Value is not in date format")</f>
        <v>Value is not in date format</v>
      </c>
      <c r="AV671" s="521" t="str">
        <f t="shared" ref="AV671" si="160">IF(AND(A671=A670,C671=C670)=TRUE,IF(F671=F670,".","1"),".")</f>
        <v>.</v>
      </c>
    </row>
    <row r="672" spans="1:48" ht="15" customHeight="1">
      <c r="A672" s="41" t="s">
        <v>1878</v>
      </c>
      <c r="B672" s="41" t="s">
        <v>1804</v>
      </c>
      <c r="C672" s="511" t="s">
        <v>1879</v>
      </c>
      <c r="D672" s="18" t="s">
        <v>366</v>
      </c>
      <c r="E672" s="18" t="s">
        <v>330</v>
      </c>
      <c r="F672" s="512" t="s">
        <v>1880</v>
      </c>
      <c r="G672" s="39" t="s">
        <v>1829</v>
      </c>
      <c r="H672" s="513">
        <v>300000000</v>
      </c>
      <c r="I672" s="523" t="s">
        <v>232</v>
      </c>
      <c r="J672" s="276" t="str">
        <f>VLOOKUP($I672,'Price List, Weapons &amp; Items'!A:B,2,0)</f>
        <v>.</v>
      </c>
      <c r="K672" s="276" t="str">
        <f>IF(I672=".",I672,VLOOKUP($I672,'Price List, Weapons &amp; Items'!A:C,3,0))</f>
        <v>.</v>
      </c>
      <c r="L672" s="514">
        <f>VLOOKUP(I672,'Price List, Weapons &amp; Items'!A:D,4,0)</f>
        <v>0</v>
      </c>
      <c r="M672" s="515" t="s">
        <v>232</v>
      </c>
      <c r="N672" s="515" t="s">
        <v>232</v>
      </c>
      <c r="O672" s="516" t="str">
        <f>VLOOKUP($I672,'Price List, Weapons &amp; Items'!A:F,6,0)</f>
        <v>.</v>
      </c>
      <c r="P672" s="513" t="str">
        <f t="shared" si="140"/>
        <v>.</v>
      </c>
      <c r="Q672" s="513" t="str">
        <f t="shared" si="141"/>
        <v>.</v>
      </c>
      <c r="R672" s="513">
        <f t="shared" si="132"/>
        <v>300000000</v>
      </c>
      <c r="S672" s="513">
        <f>IF(AND(AD672=1,R672&lt;&gt;".")=TRUE,R672/VLOOKUP(G672,'Exchange rates'!B:C,2,0),IF(R672=".",".",""))</f>
        <v>29029542.397646669</v>
      </c>
      <c r="T672" s="513" t="str">
        <f>IF(AD672=1,IF(AF672="Value is not given at all",".",IF(AF672="Value is given by the source",S672,IF(AF672="Value is calculated with prices",(IF(SUMIFS(Q:Q,A:A,A672)&gt;0,SUMIFS(Q:Q,A:A,A672),"."))/VLOOKUP("USD",'Exchange rates'!B:C,2,0),"Error with coding"))),"")</f>
        <v>.</v>
      </c>
      <c r="U672" s="39" t="s">
        <v>233</v>
      </c>
      <c r="V672" s="42" t="s">
        <v>1816</v>
      </c>
      <c r="W672" s="42" t="s">
        <v>1881</v>
      </c>
      <c r="X672" s="42" t="s">
        <v>1882</v>
      </c>
      <c r="Y672" s="517" t="s">
        <v>232</v>
      </c>
      <c r="Z672" s="39">
        <v>1</v>
      </c>
      <c r="AA672" s="518">
        <v>0</v>
      </c>
      <c r="AB672" s="38" t="s">
        <v>232</v>
      </c>
      <c r="AC672" s="519" t="str">
        <f>""</f>
        <v/>
      </c>
      <c r="AD672" s="520">
        <v>1</v>
      </c>
      <c r="AE672" s="520" t="s">
        <v>236</v>
      </c>
      <c r="AF672" s="520" t="s">
        <v>237</v>
      </c>
      <c r="AG672" s="520">
        <v>1</v>
      </c>
      <c r="AH672" s="520">
        <v>5</v>
      </c>
      <c r="AI672" s="520">
        <v>0</v>
      </c>
      <c r="AJ672" s="520">
        <f>VLOOKUP($I672,'Price List, Weapons &amp; Items'!A:E,5,0)</f>
        <v>0</v>
      </c>
      <c r="AK672" s="520">
        <f t="shared" si="133"/>
        <v>0</v>
      </c>
      <c r="AL672" s="520">
        <f t="shared" si="134"/>
        <v>0</v>
      </c>
      <c r="AM672" s="520">
        <f t="shared" si="135"/>
        <v>0</v>
      </c>
      <c r="AN672" s="521" t="str">
        <f>VLOOKUP($I672,'Price List, Weapons &amp; Items'!A:K,COLUMN('Price List, Weapons &amp; Items'!$I$1),0)</f>
        <v>.</v>
      </c>
      <c r="AO672" s="521" t="str">
        <f>IF(I672=".",".",VLOOKUP($I672,'Price List, Weapons &amp; Items'!A:I,3,0))</f>
        <v>.</v>
      </c>
      <c r="AP672" s="517" t="str">
        <f t="shared" ca="1" si="142"/>
        <v>.</v>
      </c>
      <c r="AQ672" s="521" t="str">
        <f>VLOOKUP($I672,'Price List, Weapons &amp; Items'!A:K,COLUMN('Price List, Weapons &amp; Items'!$K$1),0)</f>
        <v>no price, 0 count</v>
      </c>
      <c r="AS672" s="521">
        <f t="shared" si="136"/>
        <v>1</v>
      </c>
      <c r="AT672" s="521">
        <f t="shared" si="137"/>
        <v>0</v>
      </c>
      <c r="AU672" s="521" t="str">
        <f t="shared" si="138"/>
        <v>Value is not in date format</v>
      </c>
      <c r="AV672" s="521" t="str">
        <f>IF(AND(A672=A669,C672=C669)=TRUE,IF(F672=F669,".","1"),".")</f>
        <v>.</v>
      </c>
    </row>
    <row r="673" spans="1:48" ht="15" customHeight="1">
      <c r="A673" s="41" t="s">
        <v>1883</v>
      </c>
      <c r="B673" s="41" t="s">
        <v>1804</v>
      </c>
      <c r="C673" s="511">
        <v>44693</v>
      </c>
      <c r="D673" s="18" t="s">
        <v>366</v>
      </c>
      <c r="E673" s="18" t="s">
        <v>330</v>
      </c>
      <c r="F673" s="512" t="s">
        <v>1884</v>
      </c>
      <c r="G673" s="39" t="s">
        <v>1829</v>
      </c>
      <c r="H673" s="513">
        <v>50000000</v>
      </c>
      <c r="I673" s="523" t="s">
        <v>232</v>
      </c>
      <c r="J673" s="276" t="str">
        <f>VLOOKUP($I673,'Price List, Weapons &amp; Items'!A:B,2,0)</f>
        <v>.</v>
      </c>
      <c r="K673" s="276" t="str">
        <f>IF(I673=".",I673,VLOOKUP($I673,'Price List, Weapons &amp; Items'!A:C,3,0))</f>
        <v>.</v>
      </c>
      <c r="L673" s="514">
        <f>VLOOKUP(I673,'Price List, Weapons &amp; Items'!A:D,4,0)</f>
        <v>0</v>
      </c>
      <c r="M673" s="515" t="s">
        <v>232</v>
      </c>
      <c r="N673" s="515" t="s">
        <v>232</v>
      </c>
      <c r="O673" s="516" t="str">
        <f>VLOOKUP($I673,'Price List, Weapons &amp; Items'!A:F,6,0)</f>
        <v>.</v>
      </c>
      <c r="P673" s="513" t="str">
        <f t="shared" si="140"/>
        <v>.</v>
      </c>
      <c r="Q673" s="513" t="str">
        <f t="shared" si="141"/>
        <v>.</v>
      </c>
      <c r="R673" s="513">
        <f t="shared" si="132"/>
        <v>50000000</v>
      </c>
      <c r="S673" s="513">
        <f>IF(AND(AD673=1,R673&lt;&gt;".")=TRUE,R673/VLOOKUP(G673,'Exchange rates'!B:C,2,0),IF(R673=".",".",""))</f>
        <v>4838257.0662744446</v>
      </c>
      <c r="T673" s="513" t="str">
        <f>IF(AD673=1,IF(AF673="Value is not given at all",".",IF(AF673="Value is given by the source",S673,IF(AF673="Value is calculated with prices",(IF(SUMIFS(Q:Q,A:A,A673)&gt;0,SUMIFS(Q:Q,A:A,A673),"."))/VLOOKUP("USD",'Exchange rates'!B:C,2,0),"Error with coding"))),"")</f>
        <v>.</v>
      </c>
      <c r="U673" s="39" t="s">
        <v>233</v>
      </c>
      <c r="V673" s="42" t="s">
        <v>1885</v>
      </c>
      <c r="W673" s="531" t="s">
        <v>1886</v>
      </c>
      <c r="X673" s="517" t="s">
        <v>232</v>
      </c>
      <c r="Y673" s="517" t="s">
        <v>232</v>
      </c>
      <c r="Z673" s="39">
        <v>0</v>
      </c>
      <c r="AA673" s="518">
        <v>0</v>
      </c>
      <c r="AB673" s="38" t="s">
        <v>232</v>
      </c>
      <c r="AC673" s="519" t="str">
        <f>""</f>
        <v/>
      </c>
      <c r="AD673" s="520">
        <v>1</v>
      </c>
      <c r="AE673" s="520" t="s">
        <v>236</v>
      </c>
      <c r="AF673" s="520" t="s">
        <v>237</v>
      </c>
      <c r="AG673" s="520">
        <v>1</v>
      </c>
      <c r="AH673" s="520">
        <v>5</v>
      </c>
      <c r="AI673" s="520">
        <v>0</v>
      </c>
      <c r="AJ673" s="520">
        <f>VLOOKUP($I673,'Price List, Weapons &amp; Items'!A:E,5,0)</f>
        <v>0</v>
      </c>
      <c r="AK673" s="520">
        <f t="shared" si="133"/>
        <v>0</v>
      </c>
      <c r="AL673" s="520">
        <f t="shared" si="134"/>
        <v>0</v>
      </c>
      <c r="AM673" s="520">
        <f t="shared" si="135"/>
        <v>0</v>
      </c>
      <c r="AN673" s="521" t="str">
        <f>VLOOKUP($I673,'Price List, Weapons &amp; Items'!A:K,COLUMN('Price List, Weapons &amp; Items'!$I$1),0)</f>
        <v>.</v>
      </c>
      <c r="AO673" s="521" t="str">
        <f>IF(I673=".",".",VLOOKUP($I673,'Price List, Weapons &amp; Items'!A:I,3,0))</f>
        <v>.</v>
      </c>
      <c r="AP673" s="517" t="str">
        <f t="shared" ca="1" si="142"/>
        <v>.</v>
      </c>
      <c r="AQ673" s="521" t="str">
        <f>VLOOKUP($I673,'Price List, Weapons &amp; Items'!A:K,COLUMN('Price List, Weapons &amp; Items'!$K$1),0)</f>
        <v>no price, 0 count</v>
      </c>
      <c r="AS673" s="521">
        <f t="shared" si="136"/>
        <v>1</v>
      </c>
      <c r="AT673" s="521">
        <f t="shared" si="137"/>
        <v>0</v>
      </c>
      <c r="AU673" s="521">
        <f t="shared" si="138"/>
        <v>1</v>
      </c>
      <c r="AV673" s="521" t="str">
        <f t="shared" si="139"/>
        <v>.</v>
      </c>
    </row>
    <row r="674" spans="1:48" ht="15" customHeight="1">
      <c r="A674" s="521" t="s">
        <v>1887</v>
      </c>
      <c r="B674" s="41" t="s">
        <v>1804</v>
      </c>
      <c r="C674" s="511">
        <v>44691</v>
      </c>
      <c r="D674" s="18" t="s">
        <v>366</v>
      </c>
      <c r="E674" s="18" t="s">
        <v>330</v>
      </c>
      <c r="F674" s="512" t="s">
        <v>1888</v>
      </c>
      <c r="G674" s="39" t="s">
        <v>1829</v>
      </c>
      <c r="H674" s="513">
        <v>2000000000</v>
      </c>
      <c r="I674" s="41" t="s">
        <v>232</v>
      </c>
      <c r="J674" s="276" t="str">
        <f>VLOOKUP($I674,'Price List, Weapons &amp; Items'!A:B,2,0)</f>
        <v>.</v>
      </c>
      <c r="K674" s="276" t="str">
        <f>IF(I674=".",I674,VLOOKUP($I674,'Price List, Weapons &amp; Items'!A:C,3,0))</f>
        <v>.</v>
      </c>
      <c r="L674" s="514">
        <f>VLOOKUP(I674,'Price List, Weapons &amp; Items'!A:D,4,0)</f>
        <v>0</v>
      </c>
      <c r="M674" s="527" t="s">
        <v>232</v>
      </c>
      <c r="N674" s="527" t="s">
        <v>232</v>
      </c>
      <c r="O674" s="516" t="str">
        <f>VLOOKUP($I674,'Price List, Weapons &amp; Items'!A:F,6,0)</f>
        <v>.</v>
      </c>
      <c r="P674" s="513" t="str">
        <f t="shared" si="140"/>
        <v>.</v>
      </c>
      <c r="Q674" s="513" t="str">
        <f t="shared" si="141"/>
        <v>.</v>
      </c>
      <c r="R674" s="513">
        <f>IF(AD674=1,IF(H674&lt;&gt;"Not given",H674,IF(TYPE(H674)=2,IF(SUMIFS(P:P,A:A,A675)&gt;0,SUMIFS(P:P,A:A,A675),"."),"Format error")),"")</f>
        <v>2000000000</v>
      </c>
      <c r="S674" s="513">
        <f>IF(AND(AD674=1,R674&lt;&gt;".")=TRUE,R674/VLOOKUP(G674,'Exchange rates'!B:C,2,0),IF(R674=".",".",""))</f>
        <v>193530282.65097779</v>
      </c>
      <c r="T674" s="513" t="str">
        <f>IF(AD674=1,IF(AF674="Value is not given at all",".",IF(AF674="Value is given by the source",S674,IF(AF674="Value is calculated with prices",(IF(SUMIFS(Q:Q,A:A,A675)&gt;0,SUMIFS(Q:Q,A:A,A675),"."))/VLOOKUP("USD",'Exchange rates'!B:C,2,0),"Error with coding"))),"")</f>
        <v>.</v>
      </c>
      <c r="U674" s="39" t="s">
        <v>233</v>
      </c>
      <c r="V674" s="42" t="s">
        <v>1889</v>
      </c>
      <c r="W674" s="825" t="s">
        <v>1890</v>
      </c>
      <c r="X674" s="42"/>
      <c r="Y674" s="42"/>
      <c r="Z674" s="39">
        <v>0</v>
      </c>
      <c r="AA674" s="518">
        <v>1</v>
      </c>
      <c r="AB674" s="523" t="s">
        <v>232</v>
      </c>
      <c r="AC674" s="519" t="str">
        <f>""</f>
        <v/>
      </c>
      <c r="AD674" s="522">
        <v>1</v>
      </c>
      <c r="AE674" s="522" t="s">
        <v>236</v>
      </c>
      <c r="AF674" s="522" t="s">
        <v>237</v>
      </c>
      <c r="AG674" s="522">
        <v>1</v>
      </c>
      <c r="AH674" s="520">
        <v>10</v>
      </c>
      <c r="AI674" s="520">
        <v>0</v>
      </c>
      <c r="AJ674" s="520">
        <f>VLOOKUP($I674,'Price List, Weapons &amp; Items'!A:E,5,0)</f>
        <v>0</v>
      </c>
      <c r="AK674" s="520">
        <f t="shared" si="133"/>
        <v>0</v>
      </c>
      <c r="AL674" s="520">
        <f t="shared" si="134"/>
        <v>0</v>
      </c>
      <c r="AM674" s="520">
        <f t="shared" si="135"/>
        <v>0</v>
      </c>
      <c r="AN674" s="521" t="str">
        <f>VLOOKUP($I674,'Price List, Weapons &amp; Items'!A:K,COLUMN('Price List, Weapons &amp; Items'!$I$1),0)</f>
        <v>.</v>
      </c>
      <c r="AO674" s="521" t="str">
        <f>IF(I674=".",".",VLOOKUP($I674,'Price List, Weapons &amp; Items'!A:I,3,0))</f>
        <v>.</v>
      </c>
      <c r="AP674" s="517" t="str">
        <f ca="1">IF(AD674=1,_xlfn.ARRAYTOTEXT(OFFSET(I674,0,0,COUNTIF(A:A,A675),1)),"")</f>
        <v>.</v>
      </c>
      <c r="AQ674" s="521" t="str">
        <f>VLOOKUP($I674,'Price List, Weapons &amp; Items'!A:K,COLUMN('Price List, Weapons &amp; Items'!$K$1),0)</f>
        <v>no price, 0 count</v>
      </c>
      <c r="AS674" s="521">
        <f t="shared" si="136"/>
        <v>1</v>
      </c>
      <c r="AT674" s="521">
        <f t="shared" si="137"/>
        <v>0</v>
      </c>
      <c r="AU674" s="521">
        <f t="shared" si="138"/>
        <v>1</v>
      </c>
      <c r="AV674" s="521" t="str">
        <f>IF(AND(A675=A673,C674=C673)=TRUE,IF(F674=F673,".","1"),".")</f>
        <v>.</v>
      </c>
    </row>
    <row r="675" spans="1:48" ht="15" customHeight="1">
      <c r="A675" s="41" t="s">
        <v>1891</v>
      </c>
      <c r="B675" s="41" t="s">
        <v>1804</v>
      </c>
      <c r="C675" s="511">
        <v>44691</v>
      </c>
      <c r="D675" s="18" t="s">
        <v>366</v>
      </c>
      <c r="E675" s="18" t="s">
        <v>330</v>
      </c>
      <c r="F675" s="512" t="s">
        <v>1892</v>
      </c>
      <c r="G675" s="39" t="s">
        <v>1829</v>
      </c>
      <c r="H675" s="513">
        <v>1000000000</v>
      </c>
      <c r="I675" s="41" t="s">
        <v>232</v>
      </c>
      <c r="J675" s="276" t="str">
        <f>VLOOKUP($I675,'Price List, Weapons &amp; Items'!A:B,2,0)</f>
        <v>.</v>
      </c>
      <c r="K675" s="276" t="str">
        <f>IF(I675=".",I675,VLOOKUP($I675,'Price List, Weapons &amp; Items'!A:C,3,0))</f>
        <v>.</v>
      </c>
      <c r="L675" s="514">
        <f>VLOOKUP(I675,'Price List, Weapons &amp; Items'!A:D,4,0)</f>
        <v>0</v>
      </c>
      <c r="M675" s="527" t="s">
        <v>232</v>
      </c>
      <c r="N675" s="527" t="s">
        <v>232</v>
      </c>
      <c r="O675" s="516" t="str">
        <f>VLOOKUP($I675,'Price List, Weapons &amp; Items'!A:F,6,0)</f>
        <v>.</v>
      </c>
      <c r="P675" s="513" t="str">
        <f t="shared" si="140"/>
        <v>.</v>
      </c>
      <c r="Q675" s="513" t="str">
        <f t="shared" si="141"/>
        <v>.</v>
      </c>
      <c r="R675" s="513">
        <f>IF(AD675=1,IF(H675&lt;&gt;"Not given",H675,IF(TYPE(H675)=2,IF(SUMIFS(P:P,A:A,A676)&gt;0,SUMIFS(P:P,A:A,A676),"."),"Format error")),"")</f>
        <v>1000000000</v>
      </c>
      <c r="S675" s="513">
        <f>IF(AND(AD675=1,R675&lt;&gt;".")=TRUE,R675/VLOOKUP(G675,'Exchange rates'!B:C,2,0),IF(R675=".",".",""))</f>
        <v>96765141.325488895</v>
      </c>
      <c r="T675" s="513" t="str">
        <f>IF(AD675=1,IF(AF675="Value is not given at all",".",IF(AF675="Value is given by the source",S675,IF(AF675="Value is calculated with prices",(IF(SUMIFS(Q:Q,A:A,A676)&gt;0,SUMIFS(Q:Q,A:A,A676),"."))/VLOOKUP("USD",'Exchange rates'!B:C,2,0),"Error with coding"))),"")</f>
        <v>.</v>
      </c>
      <c r="U675" s="39" t="s">
        <v>233</v>
      </c>
      <c r="V675" s="182" t="s">
        <v>1816</v>
      </c>
      <c r="W675" s="182" t="s">
        <v>1890</v>
      </c>
      <c r="X675" s="42"/>
      <c r="Y675" s="42"/>
      <c r="Z675" s="39">
        <v>1</v>
      </c>
      <c r="AA675" s="518">
        <v>1</v>
      </c>
      <c r="AB675" s="523" t="s">
        <v>232</v>
      </c>
      <c r="AD675" s="522">
        <v>1</v>
      </c>
      <c r="AE675" s="522" t="s">
        <v>236</v>
      </c>
      <c r="AF675" s="522" t="s">
        <v>237</v>
      </c>
      <c r="AG675" s="522">
        <v>1</v>
      </c>
      <c r="AH675" s="520">
        <v>10</v>
      </c>
      <c r="AI675" s="520"/>
      <c r="AJ675" s="520"/>
      <c r="AK675" s="520"/>
      <c r="AL675" s="520"/>
      <c r="AM675" s="520"/>
    </row>
    <row r="676" spans="1:48" ht="15.95" customHeight="1">
      <c r="A676" s="41" t="s">
        <v>1893</v>
      </c>
      <c r="B676" s="41" t="s">
        <v>1894</v>
      </c>
      <c r="C676" s="511">
        <v>44653</v>
      </c>
      <c r="D676" s="18" t="s">
        <v>228</v>
      </c>
      <c r="E676" s="18" t="s">
        <v>239</v>
      </c>
      <c r="F676" s="512" t="s">
        <v>1895</v>
      </c>
      <c r="G676" s="39" t="s">
        <v>314</v>
      </c>
      <c r="H676" s="513" t="s">
        <v>309</v>
      </c>
      <c r="I676" s="41" t="s">
        <v>620</v>
      </c>
      <c r="J676" s="276" t="str">
        <f>VLOOKUP($I676,'Price List, Weapons &amp; Items'!A:B,2,0)</f>
        <v>Humanitarian</v>
      </c>
      <c r="K676" s="276" t="str">
        <f>IF(I676=".",I676,VLOOKUP($I676,'Price List, Weapons &amp; Items'!A:C,3,0))</f>
        <v>.</v>
      </c>
      <c r="L676" s="514">
        <f>VLOOKUP(I676,'Price List, Weapons &amp; Items'!A:D,4,0)</f>
        <v>0</v>
      </c>
      <c r="M676" s="515">
        <v>1500</v>
      </c>
      <c r="N676" s="515" t="s">
        <v>232</v>
      </c>
      <c r="O676" s="516">
        <f>VLOOKUP($I676,'Price List, Weapons &amp; Items'!A:F,6,0)</f>
        <v>2430</v>
      </c>
      <c r="P676" s="513">
        <f t="shared" si="140"/>
        <v>3645000</v>
      </c>
      <c r="Q676" s="513" t="str">
        <f t="shared" si="141"/>
        <v>.</v>
      </c>
      <c r="R676" s="513">
        <f t="shared" ref="R676:R739" si="161">IF(AD676=1,IF(H676&lt;&gt;"Not given",H676,IF(TYPE(H676)=2,IF(SUMIFS(P:P,A:A,A676)&gt;0,SUMIFS(P:P,A:A,A676),"."),"Format error")),"")</f>
        <v>3645000</v>
      </c>
      <c r="S676" s="513">
        <f>IF(AND(AD676=1,R676&lt;&gt;".")=TRUE,R676/VLOOKUP(G676,'Exchange rates'!B:C,2,0),IF(R676=".",".",""))</f>
        <v>3632286.9955156948</v>
      </c>
      <c r="T676" s="513" t="str">
        <f>IF(AD676=1,IF(AF676="Value is not given at all",".",IF(AF676="Value is given by the source",S676,IF(AF676="Value is calculated with prices",(IF(SUMIFS(Q:Q,A:A,A676)&gt;0,SUMIFS(Q:Q,A:A,A676),"."))/VLOOKUP("USD",'Exchange rates'!B:C,2,0),"Error with coding"))),"")</f>
        <v>.</v>
      </c>
      <c r="U676" s="39" t="s">
        <v>233</v>
      </c>
      <c r="V676" s="42" t="s">
        <v>1896</v>
      </c>
      <c r="W676" s="42" t="s">
        <v>1897</v>
      </c>
      <c r="X676" s="42" t="s">
        <v>1898</v>
      </c>
      <c r="Y676" s="517" t="s">
        <v>232</v>
      </c>
      <c r="Z676" s="39">
        <v>0</v>
      </c>
      <c r="AA676" s="518">
        <v>0</v>
      </c>
      <c r="AB676" s="523" t="s">
        <v>232</v>
      </c>
      <c r="AC676" s="519" t="str">
        <f>""</f>
        <v/>
      </c>
      <c r="AD676" s="520">
        <v>1</v>
      </c>
      <c r="AE676" s="520" t="s">
        <v>300</v>
      </c>
      <c r="AF676" s="520" t="s">
        <v>237</v>
      </c>
      <c r="AG676" s="520">
        <v>1</v>
      </c>
      <c r="AH676" s="520">
        <v>4</v>
      </c>
      <c r="AI676" s="520">
        <v>0</v>
      </c>
      <c r="AJ676" s="520">
        <f>VLOOKUP($I676,'Price List, Weapons &amp; Items'!A:E,5,0)</f>
        <v>0</v>
      </c>
      <c r="AK676" s="520">
        <f t="shared" si="133"/>
        <v>0</v>
      </c>
      <c r="AL676" s="520">
        <f t="shared" si="134"/>
        <v>0</v>
      </c>
      <c r="AM676" s="520">
        <f t="shared" si="135"/>
        <v>0</v>
      </c>
      <c r="AN676" s="521" t="str">
        <f>VLOOKUP($I676,'Price List, Weapons &amp; Items'!A:K,COLUMN('Price List, Weapons &amp; Items'!$I$1),0)</f>
        <v>Government information</v>
      </c>
      <c r="AO676" s="521" t="str">
        <f>IF(I676=".",".",VLOOKUP($I676,'Price List, Weapons &amp; Items'!A:I,3,0))</f>
        <v>.</v>
      </c>
      <c r="AP676" s="517" t="str">
        <f t="shared" ref="AP676:AP739" ca="1" si="162">IF(AD676=1,_xlfn.ARRAYTOTEXT(OFFSET(I676,0,0,COUNTIF(A:A,A676),1)),"")</f>
        <v>ton of food</v>
      </c>
      <c r="AQ676" s="521">
        <f>VLOOKUP($I676,'Price List, Weapons &amp; Items'!A:K,COLUMN('Price List, Weapons &amp; Items'!$K$1),0)</f>
        <v>0</v>
      </c>
      <c r="AS676" s="521">
        <f t="shared" si="136"/>
        <v>1</v>
      </c>
      <c r="AT676" s="521">
        <f t="shared" si="137"/>
        <v>0</v>
      </c>
      <c r="AU676" s="521">
        <f t="shared" si="138"/>
        <v>1</v>
      </c>
      <c r="AV676" s="521" t="str">
        <f>IF(AND(A676=A675,C676=C674)=TRUE,IF(F676=F674,".","1"),".")</f>
        <v>.</v>
      </c>
    </row>
    <row r="677" spans="1:48" ht="15" customHeight="1">
      <c r="A677" s="41" t="s">
        <v>1899</v>
      </c>
      <c r="B677" s="41" t="s">
        <v>1894</v>
      </c>
      <c r="C677" s="511">
        <v>44686</v>
      </c>
      <c r="D677" s="18" t="s">
        <v>228</v>
      </c>
      <c r="E677" s="18" t="s">
        <v>239</v>
      </c>
      <c r="F677" s="512" t="s">
        <v>1900</v>
      </c>
      <c r="G677" s="39" t="s">
        <v>332</v>
      </c>
      <c r="H677" s="513">
        <v>100000000</v>
      </c>
      <c r="I677" s="41" t="s">
        <v>232</v>
      </c>
      <c r="J677" s="276" t="str">
        <f>VLOOKUP($I677,'Price List, Weapons &amp; Items'!A:B,2,0)</f>
        <v>.</v>
      </c>
      <c r="K677" s="276" t="str">
        <f>IF(I677=".",I677,VLOOKUP($I677,'Price List, Weapons &amp; Items'!A:C,3,0))</f>
        <v>.</v>
      </c>
      <c r="L677" s="514">
        <f>VLOOKUP(I677,'Price List, Weapons &amp; Items'!A:D,4,0)</f>
        <v>0</v>
      </c>
      <c r="M677" s="515" t="s">
        <v>232</v>
      </c>
      <c r="N677" s="515" t="s">
        <v>232</v>
      </c>
      <c r="O677" s="516" t="str">
        <f>VLOOKUP($I677,'Price List, Weapons &amp; Items'!A:F,6,0)</f>
        <v>.</v>
      </c>
      <c r="P677" s="513" t="str">
        <f>IF(TYPE(M677)=1,IF(TYPE(O677)=1,M677*O677,"No price"),".")</f>
        <v>.</v>
      </c>
      <c r="Q677" s="513" t="str">
        <f>IF(TYPE(N677)=1,IF(TYPE(O677)=1,N677*O677,"No price"),".")</f>
        <v>.</v>
      </c>
      <c r="R677" s="513">
        <f t="shared" si="161"/>
        <v>100000000</v>
      </c>
      <c r="S677" s="513">
        <f>IF(AND(AD677=1,R677&lt;&gt;".")=TRUE,R677/VLOOKUP(G677,'Exchange rates'!B:C,2,0),IF(R677=".",".",""))</f>
        <v>100000000</v>
      </c>
      <c r="T677" s="513" t="str">
        <f>IF(AD677=1,IF(AF677="Value is not given at all",".",IF(AF677="Value is given by the source",S677,IF(AF677="Value is calculated with prices",(IF(SUMIFS(Q:Q,A:A,A677)&gt;0,SUMIFS(Q:Q,A:A,A677),"."))/VLOOKUP("USD",'Exchange rates'!B:C,2,0),"Error with coding"))),"")</f>
        <v>.</v>
      </c>
      <c r="U677" s="39" t="s">
        <v>233</v>
      </c>
      <c r="V677" s="42" t="s">
        <v>385</v>
      </c>
      <c r="W677" s="517" t="s">
        <v>232</v>
      </c>
      <c r="X677" s="517" t="s">
        <v>232</v>
      </c>
      <c r="Y677" s="517" t="s">
        <v>232</v>
      </c>
      <c r="Z677" s="39">
        <v>0</v>
      </c>
      <c r="AA677" s="518">
        <v>0</v>
      </c>
      <c r="AB677" s="523" t="s">
        <v>232</v>
      </c>
      <c r="AC677" s="519" t="str">
        <f>""</f>
        <v/>
      </c>
      <c r="AD677" s="520">
        <v>1</v>
      </c>
      <c r="AE677" s="520" t="s">
        <v>236</v>
      </c>
      <c r="AF677" s="520" t="s">
        <v>237</v>
      </c>
      <c r="AG677" s="520">
        <v>1</v>
      </c>
      <c r="AH677" s="520">
        <v>5</v>
      </c>
      <c r="AI677" s="520">
        <v>0</v>
      </c>
      <c r="AJ677" s="520">
        <f>VLOOKUP($I677,'Price List, Weapons &amp; Items'!A:E,5,0)</f>
        <v>0</v>
      </c>
      <c r="AK677" s="520">
        <f t="shared" si="133"/>
        <v>0</v>
      </c>
      <c r="AL677" s="520">
        <f t="shared" si="134"/>
        <v>0</v>
      </c>
      <c r="AM677" s="520">
        <f t="shared" si="135"/>
        <v>0</v>
      </c>
      <c r="AN677" s="521" t="str">
        <f>VLOOKUP($I677,'Price List, Weapons &amp; Items'!A:K,COLUMN('Price List, Weapons &amp; Items'!$I$1),0)</f>
        <v>.</v>
      </c>
      <c r="AO677" s="521" t="str">
        <f>IF(I677=".",".",VLOOKUP($I677,'Price List, Weapons &amp; Items'!A:I,3,0))</f>
        <v>.</v>
      </c>
      <c r="AP677" s="517" t="str">
        <f t="shared" ca="1" si="162"/>
        <v>.</v>
      </c>
      <c r="AQ677" s="521" t="str">
        <f>VLOOKUP($I677,'Price List, Weapons &amp; Items'!A:K,COLUMN('Price List, Weapons &amp; Items'!$K$1),0)</f>
        <v>no price, 0 count</v>
      </c>
      <c r="AS677" s="521">
        <f t="shared" si="136"/>
        <v>1</v>
      </c>
      <c r="AT677" s="521">
        <f t="shared" si="137"/>
        <v>0</v>
      </c>
      <c r="AU677" s="521">
        <f t="shared" si="138"/>
        <v>1</v>
      </c>
      <c r="AV677" s="521" t="str">
        <f t="shared" si="139"/>
        <v>.</v>
      </c>
    </row>
    <row r="678" spans="1:48" ht="15.95" customHeight="1">
      <c r="A678" s="41" t="s">
        <v>1901</v>
      </c>
      <c r="B678" s="41" t="s">
        <v>1894</v>
      </c>
      <c r="C678" s="511">
        <v>44795</v>
      </c>
      <c r="D678" s="18" t="s">
        <v>228</v>
      </c>
      <c r="E678" s="18" t="s">
        <v>239</v>
      </c>
      <c r="F678" s="512" t="s">
        <v>1902</v>
      </c>
      <c r="G678" s="39" t="s">
        <v>314</v>
      </c>
      <c r="H678" s="513" t="s">
        <v>309</v>
      </c>
      <c r="I678" s="41" t="s">
        <v>1903</v>
      </c>
      <c r="J678" s="276" t="str">
        <f>VLOOKUP($I678,'Price List, Weapons &amp; Items'!A:B,2,0)</f>
        <v>humanitarian</v>
      </c>
      <c r="K678" s="276" t="str">
        <f>IF(I678=".",I678,VLOOKUP($I678,'Price List, Weapons &amp; Items'!A:C,3,0))</f>
        <v>.</v>
      </c>
      <c r="L678" s="514">
        <f>VLOOKUP(I678,'Price List, Weapons &amp; Items'!A:D,4,0)</f>
        <v>0</v>
      </c>
      <c r="M678" s="515">
        <v>5000</v>
      </c>
      <c r="N678" s="515" t="s">
        <v>232</v>
      </c>
      <c r="O678" s="516">
        <f>VLOOKUP($I678,'Price List, Weapons &amp; Items'!A:F,6,0)</f>
        <v>1500</v>
      </c>
      <c r="P678" s="513">
        <f>IF(TYPE(M678)=1,IF(TYPE(O678)=1,M678*O678,"No price"),".")</f>
        <v>7500000</v>
      </c>
      <c r="Q678" s="513" t="str">
        <f>IF(TYPE(N678)=1,IF(TYPE(O678)=1,N678*O678,"No price"),".")</f>
        <v>.</v>
      </c>
      <c r="R678" s="513">
        <f t="shared" si="161"/>
        <v>7500000</v>
      </c>
      <c r="S678" s="513">
        <f>IF(AND(AD678=1,R678&lt;&gt;".")=TRUE,R678/VLOOKUP(G678,'Exchange rates'!B:C,2,0),IF(R678=".",".",""))</f>
        <v>7473841.5545590427</v>
      </c>
      <c r="T678" s="513" t="str">
        <f>IF(AD678=1,IF(AF678="Value is not given at all",".",IF(AF678="Value is given by the source",S678,IF(AF678="Value is calculated with prices",(IF(SUMIFS(Q:Q,A:A,A678)&gt;0,SUMIFS(Q:Q,A:A,A678),"."))/VLOOKUP("USD",'Exchange rates'!B:C,2,0),"Error with coding"))),"")</f>
        <v>.</v>
      </c>
      <c r="U678" s="39" t="s">
        <v>233</v>
      </c>
      <c r="V678" s="42" t="s">
        <v>1904</v>
      </c>
      <c r="W678" s="42" t="s">
        <v>232</v>
      </c>
      <c r="X678" s="42" t="s">
        <v>232</v>
      </c>
      <c r="Y678" s="517" t="s">
        <v>232</v>
      </c>
      <c r="Z678" s="39">
        <v>0</v>
      </c>
      <c r="AA678" s="518">
        <v>1</v>
      </c>
      <c r="AB678" s="523" t="s">
        <v>232</v>
      </c>
      <c r="AC678" s="519" t="str">
        <f>""</f>
        <v/>
      </c>
      <c r="AD678" s="520">
        <v>1</v>
      </c>
      <c r="AE678" s="520" t="s">
        <v>300</v>
      </c>
      <c r="AF678" s="520" t="s">
        <v>237</v>
      </c>
      <c r="AG678" s="520">
        <v>1</v>
      </c>
      <c r="AH678" s="520">
        <v>8</v>
      </c>
      <c r="AI678" s="520">
        <v>0</v>
      </c>
      <c r="AJ678" s="520">
        <f>VLOOKUP($I678,'Price List, Weapons &amp; Items'!A:E,5,0)</f>
        <v>0</v>
      </c>
      <c r="AK678" s="520">
        <f t="shared" si="133"/>
        <v>0</v>
      </c>
      <c r="AL678" s="520">
        <f t="shared" si="134"/>
        <v>0</v>
      </c>
      <c r="AM678" s="520">
        <f t="shared" si="135"/>
        <v>0</v>
      </c>
      <c r="AN678" s="521" t="str">
        <f>VLOOKUP($I678,'Price List, Weapons &amp; Items'!A:K,COLUMN('Price List, Weapons &amp; Items'!$I$1),0)</f>
        <v>Contracts</v>
      </c>
      <c r="AO678" s="521" t="str">
        <f>IF(I678=".",".",VLOOKUP($I678,'Price List, Weapons &amp; Items'!A:I,3,0))</f>
        <v>.</v>
      </c>
      <c r="AP678" s="517" t="str">
        <f t="shared" ca="1" si="162"/>
        <v>Starlink terminal</v>
      </c>
      <c r="AQ678" s="521">
        <f>VLOOKUP($I678,'Price List, Weapons &amp; Items'!A:K,COLUMN('Price List, Weapons &amp; Items'!$K$1),0)</f>
        <v>0</v>
      </c>
      <c r="AS678" s="521">
        <f t="shared" si="136"/>
        <v>1</v>
      </c>
      <c r="AT678" s="521">
        <f t="shared" si="137"/>
        <v>0</v>
      </c>
      <c r="AU678" s="521">
        <f t="shared" si="138"/>
        <v>1</v>
      </c>
      <c r="AV678" s="521" t="str">
        <f t="shared" si="139"/>
        <v>.</v>
      </c>
    </row>
    <row r="679" spans="1:48" ht="15" customHeight="1">
      <c r="A679" s="41" t="s">
        <v>1905</v>
      </c>
      <c r="B679" s="41" t="s">
        <v>1894</v>
      </c>
      <c r="C679" s="511" t="s">
        <v>1667</v>
      </c>
      <c r="D679" s="18" t="s">
        <v>228</v>
      </c>
      <c r="E679" s="18" t="s">
        <v>229</v>
      </c>
      <c r="F679" s="512" t="s">
        <v>1906</v>
      </c>
      <c r="G679" s="39" t="s">
        <v>314</v>
      </c>
      <c r="H679" s="513">
        <f>177000000-((100000000*1.0375)+7500000+3645000)</f>
        <v>62104999.999999985</v>
      </c>
      <c r="I679" s="41" t="s">
        <v>232</v>
      </c>
      <c r="J679" s="276" t="str">
        <f>VLOOKUP($I679,'Price List, Weapons &amp; Items'!A:B,2,0)</f>
        <v>.</v>
      </c>
      <c r="K679" s="276" t="str">
        <f>IF(I679=".",I679,VLOOKUP($I679,'Price List, Weapons &amp; Items'!A:C,3,0))</f>
        <v>.</v>
      </c>
      <c r="L679" s="514">
        <f>VLOOKUP(I679,'Price List, Weapons &amp; Items'!A:D,4,0)</f>
        <v>0</v>
      </c>
      <c r="M679" s="515" t="s">
        <v>232</v>
      </c>
      <c r="N679" s="515" t="s">
        <v>232</v>
      </c>
      <c r="O679" s="515" t="s">
        <v>232</v>
      </c>
      <c r="P679" s="513" t="s">
        <v>232</v>
      </c>
      <c r="Q679" s="513" t="s">
        <v>232</v>
      </c>
      <c r="R679" s="513">
        <f t="shared" si="161"/>
        <v>62104999.999999985</v>
      </c>
      <c r="S679" s="513">
        <f>IF(AND(AD679=1,R679&lt;&gt;".")=TRUE,R679/VLOOKUP(G679,'Exchange rates'!B:C,2,0),IF(R679=".",".",""))</f>
        <v>61888390.632785231</v>
      </c>
      <c r="T679" s="513" t="str">
        <f>IF(AD679=1,IF(AF679="Value is not given at all",".",IF(AF679="Value is given by the source",S679,IF(AF679="Value is calculated with prices",(IF(SUMIFS(Q:Q,A:A,A679)&gt;0,SUMIFS(Q:Q,A:A,A679),"."))/VLOOKUP("USD",'Exchange rates'!B:C,2,0),"Error with coding"))),"")</f>
        <v>.</v>
      </c>
      <c r="U679" s="39" t="s">
        <v>233</v>
      </c>
      <c r="V679" s="825" t="s">
        <v>1907</v>
      </c>
      <c r="W679" s="517" t="s">
        <v>232</v>
      </c>
      <c r="X679" s="517" t="s">
        <v>232</v>
      </c>
      <c r="Y679" s="517" t="s">
        <v>232</v>
      </c>
      <c r="Z679" s="39">
        <v>0</v>
      </c>
      <c r="AA679" s="518">
        <v>1</v>
      </c>
      <c r="AB679" s="38" t="s">
        <v>232</v>
      </c>
      <c r="AC679" s="519" t="str">
        <f>""</f>
        <v/>
      </c>
      <c r="AD679" s="518">
        <v>1</v>
      </c>
      <c r="AE679" s="520" t="s">
        <v>300</v>
      </c>
      <c r="AF679" s="520" t="s">
        <v>237</v>
      </c>
      <c r="AG679" s="518">
        <v>1</v>
      </c>
      <c r="AH679" s="518">
        <v>4</v>
      </c>
      <c r="AJ679" s="520">
        <f>VLOOKUP($I679,'Price List, Weapons &amp; Items'!A:E,5,0)</f>
        <v>0</v>
      </c>
      <c r="AK679" s="520">
        <f t="shared" si="133"/>
        <v>0</v>
      </c>
      <c r="AL679" s="520">
        <f t="shared" si="134"/>
        <v>0</v>
      </c>
      <c r="AM679" s="520">
        <f t="shared" si="135"/>
        <v>0</v>
      </c>
      <c r="AN679" s="521" t="str">
        <f>VLOOKUP($I679,'Price List, Weapons &amp; Items'!A:K,COLUMN('Price List, Weapons &amp; Items'!$I$1),0)</f>
        <v>.</v>
      </c>
      <c r="AO679" s="521" t="str">
        <f>IF(I679=".",".",VLOOKUP($I679,'Price List, Weapons &amp; Items'!A:I,3,0))</f>
        <v>.</v>
      </c>
      <c r="AP679" s="517" t="str">
        <f t="shared" ca="1" si="162"/>
        <v>.</v>
      </c>
      <c r="AQ679" s="521" t="str">
        <f>VLOOKUP($I679,'Price List, Weapons &amp; Items'!A:K,COLUMN('Price List, Weapons &amp; Items'!$K$1),0)</f>
        <v>no price, 0 count</v>
      </c>
      <c r="AS679" s="521">
        <f t="shared" si="136"/>
        <v>1</v>
      </c>
      <c r="AT679" s="521">
        <f t="shared" si="137"/>
        <v>0</v>
      </c>
      <c r="AU679" s="521" t="str">
        <f t="shared" si="138"/>
        <v>Value is not in date format</v>
      </c>
      <c r="AV679" s="521" t="str">
        <f t="shared" si="139"/>
        <v>.</v>
      </c>
    </row>
    <row r="680" spans="1:48" ht="15" customHeight="1">
      <c r="A680" s="41" t="s">
        <v>1908</v>
      </c>
      <c r="B680" s="41" t="s">
        <v>1894</v>
      </c>
      <c r="C680" s="511">
        <v>44875</v>
      </c>
      <c r="D680" s="18" t="s">
        <v>228</v>
      </c>
      <c r="E680" s="18" t="s">
        <v>239</v>
      </c>
      <c r="F680" s="512" t="s">
        <v>1909</v>
      </c>
      <c r="G680" s="39" t="s">
        <v>314</v>
      </c>
      <c r="H680" s="513" t="s">
        <v>309</v>
      </c>
      <c r="I680" s="41" t="s">
        <v>1903</v>
      </c>
      <c r="J680" s="276" t="str">
        <f>VLOOKUP($I680,'Price List, Weapons &amp; Items'!A:B,2,0)</f>
        <v>humanitarian</v>
      </c>
      <c r="K680" s="276" t="str">
        <f>IF(I680=".",I680,VLOOKUP($I680,'Price List, Weapons &amp; Items'!A:C,3,0))</f>
        <v>.</v>
      </c>
      <c r="L680" s="514">
        <f>VLOOKUP(I680,'Price List, Weapons &amp; Items'!A:D,4,0)</f>
        <v>0</v>
      </c>
      <c r="M680" s="515">
        <f>1570</f>
        <v>1570</v>
      </c>
      <c r="N680" s="515" t="s">
        <v>232</v>
      </c>
      <c r="O680" s="516">
        <f>VLOOKUP($I680,'Price List, Weapons &amp; Items'!A:F,6,0)</f>
        <v>1500</v>
      </c>
      <c r="P680" s="513">
        <f t="shared" ref="P680" si="163">IF(TYPE(M680)=1,IF(TYPE(O680)=1,M680*O680,"No price"),".")</f>
        <v>2355000</v>
      </c>
      <c r="Q680" s="513" t="str">
        <f t="shared" ref="Q680" si="164">IF(TYPE(N680)=1,IF(TYPE(O680)=1,N680*O680,"No price"),".")</f>
        <v>.</v>
      </c>
      <c r="R680" s="513">
        <f t="shared" si="161"/>
        <v>2355000</v>
      </c>
      <c r="S680" s="513">
        <f>IF(AND(AD680=1,R680&lt;&gt;".")=TRUE,R680/VLOOKUP(G680,'Exchange rates'!B:C,2,0),IF(R680=".",".",""))</f>
        <v>2346786.2481315397</v>
      </c>
      <c r="T680" s="513" t="str">
        <f>IF(AD680=1,IF(AF680="Value is not given at all",".",IF(AF680="Value is given by the source",S680,IF(AF680="Value is calculated with prices",(IF(SUMIFS(Q:Q,A:A,A680)&gt;0,SUMIFS(Q:Q,A:A,A680),"."))/VLOOKUP("USD",'Exchange rates'!B:C,2,0),"Error with coding"))),"")</f>
        <v>.</v>
      </c>
      <c r="U680" s="39" t="s">
        <v>233</v>
      </c>
      <c r="V680" s="42" t="s">
        <v>1910</v>
      </c>
      <c r="W680" s="42" t="s">
        <v>232</v>
      </c>
      <c r="X680" s="42" t="s">
        <v>232</v>
      </c>
      <c r="Y680" s="517" t="s">
        <v>232</v>
      </c>
      <c r="Z680" s="39">
        <v>0</v>
      </c>
      <c r="AA680" s="518">
        <v>1</v>
      </c>
      <c r="AB680" s="523" t="s">
        <v>232</v>
      </c>
      <c r="AC680" s="519" t="str">
        <f>""</f>
        <v/>
      </c>
      <c r="AD680" s="520">
        <v>1</v>
      </c>
      <c r="AE680" s="520" t="s">
        <v>300</v>
      </c>
      <c r="AF680" s="520" t="s">
        <v>237</v>
      </c>
      <c r="AG680" s="520">
        <v>1</v>
      </c>
      <c r="AH680" s="520">
        <v>11</v>
      </c>
      <c r="AI680" s="520">
        <v>0</v>
      </c>
      <c r="AJ680" s="520">
        <f>VLOOKUP($I680,'Price List, Weapons &amp; Items'!A:E,5,0)</f>
        <v>0</v>
      </c>
      <c r="AK680" s="520">
        <f t="shared" si="133"/>
        <v>0</v>
      </c>
      <c r="AL680" s="520">
        <f t="shared" si="134"/>
        <v>0</v>
      </c>
      <c r="AM680" s="520">
        <f t="shared" si="135"/>
        <v>0</v>
      </c>
      <c r="AN680" s="521" t="str">
        <f>VLOOKUP($I680,'Price List, Weapons &amp; Items'!A:K,COLUMN('Price List, Weapons &amp; Items'!$I$1),0)</f>
        <v>Contracts</v>
      </c>
      <c r="AO680" s="521" t="str">
        <f>IF(I680=".",".",VLOOKUP($I680,'Price List, Weapons &amp; Items'!A:I,3,0))</f>
        <v>.</v>
      </c>
      <c r="AP680" s="517" t="str">
        <f t="shared" ca="1" si="162"/>
        <v>Starlink terminal</v>
      </c>
      <c r="AQ680" s="521">
        <f>VLOOKUP($I680,'Price List, Weapons &amp; Items'!A:K,COLUMN('Price List, Weapons &amp; Items'!$K$1),0)</f>
        <v>0</v>
      </c>
      <c r="AS680" s="521">
        <f t="shared" si="136"/>
        <v>1</v>
      </c>
      <c r="AT680" s="521">
        <f t="shared" si="137"/>
        <v>0</v>
      </c>
      <c r="AU680" s="521">
        <f t="shared" si="138"/>
        <v>1</v>
      </c>
      <c r="AV680" s="521" t="str">
        <f t="shared" si="139"/>
        <v>.</v>
      </c>
    </row>
    <row r="681" spans="1:48" ht="15" customHeight="1">
      <c r="A681" s="41" t="s">
        <v>1911</v>
      </c>
      <c r="B681" s="41" t="s">
        <v>1894</v>
      </c>
      <c r="C681" s="511">
        <v>44609</v>
      </c>
      <c r="D681" s="18" t="s">
        <v>252</v>
      </c>
      <c r="E681" s="18" t="s">
        <v>253</v>
      </c>
      <c r="F681" s="512" t="s">
        <v>1912</v>
      </c>
      <c r="G681" s="39" t="s">
        <v>232</v>
      </c>
      <c r="H681" s="513" t="s">
        <v>309</v>
      </c>
      <c r="I681" s="41" t="s">
        <v>232</v>
      </c>
      <c r="J681" s="276" t="str">
        <f>VLOOKUP($I681,'Price List, Weapons &amp; Items'!A:B,2,0)</f>
        <v>.</v>
      </c>
      <c r="K681" s="276" t="str">
        <f>IF(I681=".",I681,VLOOKUP($I681,'Price List, Weapons &amp; Items'!A:C,3,0))</f>
        <v>.</v>
      </c>
      <c r="L681" s="514">
        <f>VLOOKUP(I681,'Price List, Weapons &amp; Items'!A:D,4,0)</f>
        <v>0</v>
      </c>
      <c r="M681" s="515" t="s">
        <v>232</v>
      </c>
      <c r="N681" s="515" t="s">
        <v>232</v>
      </c>
      <c r="O681" s="516" t="str">
        <f>VLOOKUP($I681,'Price List, Weapons &amp; Items'!A:F,6,0)</f>
        <v>.</v>
      </c>
      <c r="P681" s="513" t="str">
        <f t="shared" si="140"/>
        <v>.</v>
      </c>
      <c r="Q681" s="513" t="str">
        <f t="shared" si="141"/>
        <v>.</v>
      </c>
      <c r="R681" s="513" t="str">
        <f t="shared" si="161"/>
        <v>.</v>
      </c>
      <c r="S681" s="513" t="str">
        <f>IF(AND(AD681=1,R681&lt;&gt;".")=TRUE,R681/VLOOKUP(G681,'Exchange rates'!B:C,2,0),IF(R681=".",".",""))</f>
        <v>.</v>
      </c>
      <c r="T681" s="513" t="str">
        <f>IF(AD681=1,IF(AF681="Value is not given at all",".",IF(AF681="Value is given by the source",S681,IF(AF681="Value is calculated with prices",(IF(SUMIFS(Q:Q,A:A,A681)&gt;0,SUMIFS(Q:Q,A:A,A681),"."))/VLOOKUP("USD",'Exchange rates'!B:C,2,0),"Error with coding"))),"")</f>
        <v>.</v>
      </c>
      <c r="U681" s="39" t="s">
        <v>233</v>
      </c>
      <c r="V681" s="42" t="s">
        <v>1913</v>
      </c>
      <c r="W681" s="512" t="s">
        <v>232</v>
      </c>
      <c r="X681" s="512" t="s">
        <v>232</v>
      </c>
      <c r="Y681" s="512" t="s">
        <v>232</v>
      </c>
      <c r="Z681" s="39">
        <v>0</v>
      </c>
      <c r="AA681" s="39">
        <v>0</v>
      </c>
      <c r="AB681" s="41" t="s">
        <v>232</v>
      </c>
      <c r="AC681" s="519" t="str">
        <f>""</f>
        <v/>
      </c>
      <c r="AD681" s="522">
        <v>1</v>
      </c>
      <c r="AE681" s="522" t="s">
        <v>237</v>
      </c>
      <c r="AF681" s="522" t="s">
        <v>237</v>
      </c>
      <c r="AG681" s="522">
        <v>1</v>
      </c>
      <c r="AH681" s="520">
        <v>2</v>
      </c>
      <c r="AI681" s="520">
        <v>1</v>
      </c>
      <c r="AJ681" s="520">
        <f>VLOOKUP($I681,'Price List, Weapons &amp; Items'!A:E,5,0)</f>
        <v>0</v>
      </c>
      <c r="AK681" s="520">
        <f t="shared" si="133"/>
        <v>0</v>
      </c>
      <c r="AL681" s="520">
        <f t="shared" si="134"/>
        <v>0</v>
      </c>
      <c r="AM681" s="520">
        <f t="shared" si="135"/>
        <v>0</v>
      </c>
      <c r="AN681" s="521" t="str">
        <f>VLOOKUP($I681,'Price List, Weapons &amp; Items'!A:K,COLUMN('Price List, Weapons &amp; Items'!$I$1),0)</f>
        <v>.</v>
      </c>
      <c r="AO681" s="521" t="str">
        <f>IF(I681=".",".",VLOOKUP($I681,'Price List, Weapons &amp; Items'!A:I,3,0))</f>
        <v>.</v>
      </c>
      <c r="AP681" s="517" t="str">
        <f t="shared" ca="1" si="162"/>
        <v>.</v>
      </c>
      <c r="AQ681" s="521" t="str">
        <f>VLOOKUP($I681,'Price List, Weapons &amp; Items'!A:K,COLUMN('Price List, Weapons &amp; Items'!$K$1),0)</f>
        <v>no price, 0 count</v>
      </c>
      <c r="AS681" s="521">
        <f t="shared" si="136"/>
        <v>1</v>
      </c>
      <c r="AT681" s="521">
        <f t="shared" si="137"/>
        <v>1</v>
      </c>
      <c r="AU681" s="521">
        <f t="shared" si="138"/>
        <v>1</v>
      </c>
      <c r="AV681" s="521" t="str">
        <f t="shared" si="139"/>
        <v>.</v>
      </c>
    </row>
    <row r="682" spans="1:48" ht="15" customHeight="1">
      <c r="A682" s="18" t="s">
        <v>1914</v>
      </c>
      <c r="B682" s="18" t="s">
        <v>1894</v>
      </c>
      <c r="C682" s="511">
        <v>44680</v>
      </c>
      <c r="D682" s="18" t="s">
        <v>252</v>
      </c>
      <c r="E682" s="18" t="s">
        <v>253</v>
      </c>
      <c r="F682" s="512" t="s">
        <v>1915</v>
      </c>
      <c r="G682" s="39" t="s">
        <v>332</v>
      </c>
      <c r="H682" s="513">
        <v>1800000000</v>
      </c>
      <c r="I682" s="524" t="s">
        <v>1916</v>
      </c>
      <c r="J682" s="276" t="str">
        <f>VLOOKUP($I682,'Price List, Weapons &amp; Items'!A:B,2,0)</f>
        <v>Portable defence system</v>
      </c>
      <c r="K682" s="276" t="str">
        <f>IF(I682=".",I682,VLOOKUP($I682,'Price List, Weapons &amp; Items'!A:C,3,0))</f>
        <v>Light Anti-armor Weapon (LAW)</v>
      </c>
      <c r="L682" s="514">
        <f>VLOOKUP(I682,'Price List, Weapons &amp; Items'!A:D,4,0)</f>
        <v>0</v>
      </c>
      <c r="M682" s="515" t="s">
        <v>264</v>
      </c>
      <c r="N682" s="515" t="s">
        <v>264</v>
      </c>
      <c r="O682" s="516">
        <f>VLOOKUP($I682,'Price List, Weapons &amp; Items'!A:F,6,0)</f>
        <v>155476</v>
      </c>
      <c r="P682" s="513" t="str">
        <f t="shared" si="140"/>
        <v>.</v>
      </c>
      <c r="Q682" s="513" t="str">
        <f t="shared" si="141"/>
        <v>.</v>
      </c>
      <c r="R682" s="513">
        <f t="shared" si="161"/>
        <v>1800000000</v>
      </c>
      <c r="S682" s="513">
        <f>IF(AND(AD682=1,R682&lt;&gt;".")=TRUE,R682/VLOOKUP(G682,'Exchange rates'!B:C,2,0),IF(R682=".",".",""))</f>
        <v>1800000000</v>
      </c>
      <c r="T682" s="513">
        <f>IF(AD682=1,IF(AF682="Value is not given at all",".",IF(AF682="Value is given by the source",S682,IF(AF682="Value is calculated with prices",(IF(SUMIFS(Q:Q,A:A,A682)&gt;0,SUMIFS(Q:Q,A:A,A682),"."))/VLOOKUP("USD",'Exchange rates'!B:C,2,0),"Error with coding"))),"")</f>
        <v>1800000000</v>
      </c>
      <c r="U682" s="39" t="s">
        <v>372</v>
      </c>
      <c r="V682" s="376" t="s">
        <v>1917</v>
      </c>
      <c r="W682" s="376" t="s">
        <v>1918</v>
      </c>
      <c r="X682" s="376" t="s">
        <v>1919</v>
      </c>
      <c r="Y682" s="376" t="s">
        <v>1920</v>
      </c>
      <c r="Z682" s="39">
        <v>0</v>
      </c>
      <c r="AA682" s="518">
        <v>0</v>
      </c>
      <c r="AB682" s="395" t="s">
        <v>1921</v>
      </c>
      <c r="AC682" s="519" t="str">
        <f>""</f>
        <v/>
      </c>
      <c r="AD682" s="522">
        <v>1</v>
      </c>
      <c r="AE682" s="522" t="s">
        <v>236</v>
      </c>
      <c r="AF682" s="522" t="s">
        <v>236</v>
      </c>
      <c r="AG682" s="522">
        <v>1</v>
      </c>
      <c r="AH682" s="522">
        <v>4</v>
      </c>
      <c r="AI682" s="522">
        <v>0</v>
      </c>
      <c r="AJ682" s="520">
        <f>VLOOKUP($I682,'Price List, Weapons &amp; Items'!A:E,5,0)</f>
        <v>0</v>
      </c>
      <c r="AK682" s="520">
        <f t="shared" si="133"/>
        <v>0</v>
      </c>
      <c r="AL682" s="520">
        <f t="shared" si="134"/>
        <v>0</v>
      </c>
      <c r="AM682" s="520">
        <f t="shared" si="135"/>
        <v>0</v>
      </c>
      <c r="AN682" s="521" t="str">
        <f>VLOOKUP($I682,'Price List, Weapons &amp; Items'!A:K,COLUMN('Price List, Weapons &amp; Items'!$I$1),0)</f>
        <v>Military media (incl. websites)</v>
      </c>
      <c r="AO682" s="521" t="str">
        <f>IF(I682=".",".",VLOOKUP($I682,'Price List, Weapons &amp; Items'!A:I,3,0))</f>
        <v>Light Anti-armor Weapon (LAW)</v>
      </c>
      <c r="AP682" s="517" t="str">
        <f t="shared" ca="1" si="162"/>
        <v>Piorun man-portable air-defense system; anti-tank weapon; 60 mm LMP-2017 mortar; FlyEye drone; 5.56 mm, 23 mm firearms for the ZU-23-2 cannon; 152 mm, 125 mm and 122 mm artillery ammunition; Javelin anti-tank missile; helmet; round of ammunition for 60 mm LMP 2017 mortar; Modified T-72 tank (T-72A/T-72M1/M1R); Warmate drone; AHS Krab self-propelled howitzer</v>
      </c>
      <c r="AQ682" s="521" t="str">
        <f>VLOOKUP($I682,'Price List, Weapons &amp; Items'!A:K,COLUMN('Price List, Weapons &amp; Items'!$K$1),0)</f>
        <v>no price, 0 count</v>
      </c>
      <c r="AS682" s="521">
        <f t="shared" si="136"/>
        <v>0</v>
      </c>
      <c r="AT682" s="521">
        <f t="shared" si="137"/>
        <v>1</v>
      </c>
      <c r="AU682" s="521">
        <f t="shared" si="138"/>
        <v>1</v>
      </c>
      <c r="AV682" s="521" t="str">
        <f t="shared" si="139"/>
        <v>.</v>
      </c>
    </row>
    <row r="683" spans="1:48" ht="15" customHeight="1">
      <c r="A683" s="18" t="s">
        <v>1914</v>
      </c>
      <c r="B683" s="18" t="s">
        <v>1894</v>
      </c>
      <c r="C683" s="511" t="s">
        <v>1922</v>
      </c>
      <c r="D683" s="18" t="s">
        <v>252</v>
      </c>
      <c r="E683" s="18" t="s">
        <v>253</v>
      </c>
      <c r="F683" s="512" t="s">
        <v>1915</v>
      </c>
      <c r="G683" s="39" t="s">
        <v>332</v>
      </c>
      <c r="H683" s="513">
        <v>1800000000</v>
      </c>
      <c r="I683" s="524" t="s">
        <v>886</v>
      </c>
      <c r="J683" s="276" t="str">
        <f>VLOOKUP($I683,'Price List, Weapons &amp; Items'!A:B,2,0)</f>
        <v>Portable defence system</v>
      </c>
      <c r="K683" s="276" t="str">
        <f>IF(I683=".",I683,VLOOKUP($I683,'Price List, Weapons &amp; Items'!A:C,3,0))</f>
        <v>Light Anti-armor Weapon (LAW)</v>
      </c>
      <c r="L683" s="514">
        <f>VLOOKUP(I683,'Price List, Weapons &amp; Items'!A:D,4,0)</f>
        <v>0</v>
      </c>
      <c r="M683" s="515" t="s">
        <v>264</v>
      </c>
      <c r="N683" s="515" t="s">
        <v>264</v>
      </c>
      <c r="O683" s="516">
        <f>VLOOKUP($I683,'Price List, Weapons &amp; Items'!A:F,6,0)</f>
        <v>40000</v>
      </c>
      <c r="P683" s="513" t="str">
        <f t="shared" si="140"/>
        <v>.</v>
      </c>
      <c r="Q683" s="513" t="str">
        <f t="shared" si="141"/>
        <v>.</v>
      </c>
      <c r="R683" s="513" t="str">
        <f t="shared" si="161"/>
        <v/>
      </c>
      <c r="S683" s="513" t="str">
        <f>IF(AND(AD683=1,R683&lt;&gt;".")=TRUE,R683/VLOOKUP(G683,'Exchange rates'!B:C,2,0),IF(R683=".",".",""))</f>
        <v/>
      </c>
      <c r="T683" s="513" t="str">
        <f>IF(AD683=1,IF(AF683="Value is not given at all",".",IF(AF683="Value is given by the source",S683,IF(AF683="Value is calculated with prices",(IF(SUMIFS(Q:Q,A:A,A683)&gt;0,SUMIFS(Q:Q,A:A,A683),"."))/VLOOKUP("USD",'Exchange rates'!B:C,2,0),"Error with coding"))),"")</f>
        <v/>
      </c>
      <c r="U683" s="39" t="s">
        <v>372</v>
      </c>
      <c r="V683" s="376" t="s">
        <v>1917</v>
      </c>
      <c r="W683" s="376" t="s">
        <v>1918</v>
      </c>
      <c r="X683" s="376" t="s">
        <v>1919</v>
      </c>
      <c r="Y683" s="376" t="s">
        <v>1920</v>
      </c>
      <c r="Z683" s="39">
        <v>0</v>
      </c>
      <c r="AA683" s="518">
        <v>0</v>
      </c>
      <c r="AB683" s="395" t="s">
        <v>1923</v>
      </c>
      <c r="AC683" s="519" t="str">
        <f>""</f>
        <v/>
      </c>
      <c r="AD683" s="522">
        <v>0</v>
      </c>
      <c r="AE683" s="522" t="s">
        <v>236</v>
      </c>
      <c r="AF683" s="522" t="s">
        <v>236</v>
      </c>
      <c r="AG683" s="522">
        <v>0</v>
      </c>
      <c r="AH683" s="522">
        <v>0</v>
      </c>
      <c r="AI683" s="522">
        <v>0</v>
      </c>
      <c r="AJ683" s="520">
        <f>VLOOKUP($I683,'Price List, Weapons &amp; Items'!A:E,5,0)</f>
        <v>0</v>
      </c>
      <c r="AK683" s="520">
        <f t="shared" si="133"/>
        <v>0</v>
      </c>
      <c r="AL683" s="520">
        <f t="shared" si="134"/>
        <v>0</v>
      </c>
      <c r="AM683" s="520">
        <f t="shared" si="135"/>
        <v>0</v>
      </c>
      <c r="AN683" s="521" t="str">
        <f>VLOOKUP($I683,'Price List, Weapons &amp; Items'!A:K,COLUMN('Price List, Weapons &amp; Items'!$I$1),0)</f>
        <v>Media reports (incl. social media)</v>
      </c>
      <c r="AO683" s="521" t="str">
        <f>IF(I683=".",".",VLOOKUP($I683,'Price List, Weapons &amp; Items'!A:I,3,0))</f>
        <v>Light Anti-armor Weapon (LAW)</v>
      </c>
      <c r="AP683" s="517" t="str">
        <f t="shared" ca="1" si="162"/>
        <v/>
      </c>
      <c r="AQ683" s="521">
        <f>VLOOKUP($I683,'Price List, Weapons &amp; Items'!A:K,COLUMN('Price List, Weapons &amp; Items'!$K$1),0)</f>
        <v>2</v>
      </c>
      <c r="AS683" s="521">
        <f t="shared" si="136"/>
        <v>0</v>
      </c>
      <c r="AT683" s="521">
        <f t="shared" si="137"/>
        <v>1</v>
      </c>
      <c r="AU683" s="521" t="str">
        <f t="shared" si="138"/>
        <v>Value is not in date format</v>
      </c>
      <c r="AV683" s="521" t="str">
        <f t="shared" si="139"/>
        <v>.</v>
      </c>
    </row>
    <row r="684" spans="1:48" ht="15" customHeight="1">
      <c r="A684" s="18" t="s">
        <v>1914</v>
      </c>
      <c r="B684" s="18" t="s">
        <v>1894</v>
      </c>
      <c r="C684" s="511" t="s">
        <v>1922</v>
      </c>
      <c r="D684" s="18" t="s">
        <v>252</v>
      </c>
      <c r="E684" s="18" t="s">
        <v>253</v>
      </c>
      <c r="F684" s="512" t="s">
        <v>1915</v>
      </c>
      <c r="G684" s="39" t="s">
        <v>332</v>
      </c>
      <c r="H684" s="513">
        <v>1800000000</v>
      </c>
      <c r="I684" s="524" t="s">
        <v>1924</v>
      </c>
      <c r="J684" s="276" t="str">
        <f>VLOOKUP($I684,'Price List, Weapons &amp; Items'!A:B,2,0)</f>
        <v>Light armaments &amp; infantry</v>
      </c>
      <c r="K684" s="276" t="str">
        <f>IF(I684=".",I684,VLOOKUP($I684,'Price List, Weapons &amp; Items'!A:C,3,0))</f>
        <v>Mortar</v>
      </c>
      <c r="L684" s="514">
        <f>VLOOKUP(I684,'Price List, Weapons &amp; Items'!A:D,4,0)</f>
        <v>0</v>
      </c>
      <c r="M684" s="515">
        <v>100</v>
      </c>
      <c r="N684" s="515">
        <v>100</v>
      </c>
      <c r="O684" s="516">
        <f>VLOOKUP($I684,'Price List, Weapons &amp; Items'!A:F,6,0)</f>
        <v>10658</v>
      </c>
      <c r="P684" s="513">
        <f t="shared" si="140"/>
        <v>1065800</v>
      </c>
      <c r="Q684" s="513">
        <f t="shared" si="141"/>
        <v>1065800</v>
      </c>
      <c r="R684" s="513" t="str">
        <f t="shared" si="161"/>
        <v/>
      </c>
      <c r="S684" s="513" t="str">
        <f>IF(AND(AD684=1,R684&lt;&gt;".")=TRUE,R684/VLOOKUP(G684,'Exchange rates'!B:C,2,0),IF(R684=".",".",""))</f>
        <v/>
      </c>
      <c r="T684" s="513" t="str">
        <f>IF(AD684=1,IF(AF684="Value is not given at all",".",IF(AF684="Value is given by the source",S684,IF(AF684="Value is calculated with prices",(IF(SUMIFS(Q:Q,A:A,A684)&gt;0,SUMIFS(Q:Q,A:A,A684),"."))/VLOOKUP("USD",'Exchange rates'!B:C,2,0),"Error with coding"))),"")</f>
        <v/>
      </c>
      <c r="U684" s="39" t="s">
        <v>372</v>
      </c>
      <c r="V684" s="376" t="s">
        <v>1917</v>
      </c>
      <c r="W684" s="376" t="s">
        <v>1918</v>
      </c>
      <c r="X684" s="376" t="s">
        <v>1919</v>
      </c>
      <c r="Y684" s="376" t="s">
        <v>1920</v>
      </c>
      <c r="Z684" s="39">
        <v>0</v>
      </c>
      <c r="AA684" s="518">
        <v>0</v>
      </c>
      <c r="AB684" s="395" t="s">
        <v>1923</v>
      </c>
      <c r="AC684" s="519" t="str">
        <f>""</f>
        <v/>
      </c>
      <c r="AD684" s="522">
        <v>0</v>
      </c>
      <c r="AE684" s="522" t="s">
        <v>236</v>
      </c>
      <c r="AF684" s="522" t="s">
        <v>236</v>
      </c>
      <c r="AG684" s="522">
        <v>0</v>
      </c>
      <c r="AH684" s="522">
        <v>0</v>
      </c>
      <c r="AI684" s="522">
        <v>0</v>
      </c>
      <c r="AJ684" s="520">
        <f>VLOOKUP($I684,'Price List, Weapons &amp; Items'!A:E,5,0)</f>
        <v>0</v>
      </c>
      <c r="AK684" s="520">
        <f t="shared" si="133"/>
        <v>0</v>
      </c>
      <c r="AL684" s="520">
        <f t="shared" si="134"/>
        <v>0</v>
      </c>
      <c r="AM684" s="520">
        <f t="shared" si="135"/>
        <v>0</v>
      </c>
      <c r="AN684" s="521" t="str">
        <f>VLOOKUP($I684,'Price List, Weapons &amp; Items'!A:K,COLUMN('Price List, Weapons &amp; Items'!$I$1),0)</f>
        <v>Military media (incl. websites)</v>
      </c>
      <c r="AO684" s="521" t="str">
        <f>IF(I684=".",".",VLOOKUP($I684,'Price List, Weapons &amp; Items'!A:I,3,0))</f>
        <v>Mortar</v>
      </c>
      <c r="AP684" s="517" t="str">
        <f t="shared" ca="1" si="162"/>
        <v/>
      </c>
      <c r="AQ684" s="521">
        <f>VLOOKUP($I684,'Price List, Weapons &amp; Items'!A:K,COLUMN('Price List, Weapons &amp; Items'!$K$1),0)</f>
        <v>2</v>
      </c>
      <c r="AS684" s="521">
        <f t="shared" si="136"/>
        <v>0</v>
      </c>
      <c r="AT684" s="521">
        <f t="shared" si="137"/>
        <v>1</v>
      </c>
      <c r="AU684" s="521" t="str">
        <f t="shared" si="138"/>
        <v>Value is not in date format</v>
      </c>
      <c r="AV684" s="521" t="str">
        <f t="shared" si="139"/>
        <v>.</v>
      </c>
    </row>
    <row r="685" spans="1:48" ht="15" customHeight="1">
      <c r="A685" s="18" t="s">
        <v>1914</v>
      </c>
      <c r="B685" s="18" t="s">
        <v>1894</v>
      </c>
      <c r="C685" s="511" t="s">
        <v>1922</v>
      </c>
      <c r="D685" s="18" t="s">
        <v>252</v>
      </c>
      <c r="E685" s="18" t="s">
        <v>253</v>
      </c>
      <c r="F685" s="512" t="s">
        <v>1915</v>
      </c>
      <c r="G685" s="39" t="s">
        <v>332</v>
      </c>
      <c r="H685" s="513">
        <v>1800000000</v>
      </c>
      <c r="I685" s="524" t="s">
        <v>1925</v>
      </c>
      <c r="J685" s="276" t="str">
        <f>VLOOKUP($I685,'Price List, Weapons &amp; Items'!A:B,2,0)</f>
        <v>Aviation and drones</v>
      </c>
      <c r="K685" s="276" t="str">
        <f>IF(I685=".",I685,VLOOKUP($I685,'Price List, Weapons &amp; Items'!A:C,3,0))</f>
        <v>Reconnaissance drone</v>
      </c>
      <c r="L685" s="514">
        <f>VLOOKUP(I685,'Price List, Weapons &amp; Items'!A:D,4,0)</f>
        <v>0</v>
      </c>
      <c r="M685" s="515" t="s">
        <v>264</v>
      </c>
      <c r="N685" s="515" t="s">
        <v>264</v>
      </c>
      <c r="O685" s="516">
        <f>VLOOKUP($I685,'Price List, Weapons &amp; Items'!A:F,6,0)</f>
        <v>150</v>
      </c>
      <c r="P685" s="513" t="str">
        <f t="shared" si="140"/>
        <v>.</v>
      </c>
      <c r="Q685" s="513" t="str">
        <f t="shared" si="141"/>
        <v>.</v>
      </c>
      <c r="R685" s="513" t="str">
        <f t="shared" si="161"/>
        <v/>
      </c>
      <c r="S685" s="513" t="str">
        <f>IF(AND(AD685=1,R685&lt;&gt;".")=TRUE,R685/VLOOKUP(G685,'Exchange rates'!B:C,2,0),IF(R685=".",".",""))</f>
        <v/>
      </c>
      <c r="T685" s="513" t="str">
        <f>IF(AD685=1,IF(AF685="Value is not given at all",".",IF(AF685="Value is given by the source",S685,IF(AF685="Value is calculated with prices",(IF(SUMIFS(Q:Q,A:A,A685)&gt;0,SUMIFS(Q:Q,A:A,A685),"."))/VLOOKUP("USD",'Exchange rates'!B:C,2,0),"Error with coding"))),"")</f>
        <v/>
      </c>
      <c r="U685" s="39" t="s">
        <v>372</v>
      </c>
      <c r="V685" s="376" t="s">
        <v>1917</v>
      </c>
      <c r="W685" s="376" t="s">
        <v>1918</v>
      </c>
      <c r="X685" s="376" t="s">
        <v>1919</v>
      </c>
      <c r="Y685" s="376" t="s">
        <v>1920</v>
      </c>
      <c r="Z685" s="39">
        <v>0</v>
      </c>
      <c r="AA685" s="518">
        <v>0</v>
      </c>
      <c r="AB685" s="395" t="s">
        <v>1926</v>
      </c>
      <c r="AC685" s="519" t="str">
        <f>""</f>
        <v/>
      </c>
      <c r="AD685" s="522">
        <v>0</v>
      </c>
      <c r="AE685" s="522" t="s">
        <v>236</v>
      </c>
      <c r="AF685" s="522" t="s">
        <v>236</v>
      </c>
      <c r="AG685" s="522">
        <v>0</v>
      </c>
      <c r="AH685" s="522">
        <v>0</v>
      </c>
      <c r="AI685" s="522">
        <v>0</v>
      </c>
      <c r="AJ685" s="520">
        <f>VLOOKUP($I685,'Price List, Weapons &amp; Items'!A:E,5,0)</f>
        <v>0</v>
      </c>
      <c r="AK685" s="520">
        <f t="shared" si="133"/>
        <v>0</v>
      </c>
      <c r="AL685" s="520">
        <f t="shared" si="134"/>
        <v>0</v>
      </c>
      <c r="AM685" s="520">
        <f t="shared" si="135"/>
        <v>0</v>
      </c>
      <c r="AN685" s="521" t="str">
        <f>VLOOKUP($I685,'Price List, Weapons &amp; Items'!A:K,COLUMN('Price List, Weapons &amp; Items'!$I$1),0)</f>
        <v>Miscellaneous</v>
      </c>
      <c r="AO685" s="521" t="str">
        <f>IF(I685=".",".",VLOOKUP($I685,'Price List, Weapons &amp; Items'!A:I,3,0))</f>
        <v>Reconnaissance drone</v>
      </c>
      <c r="AP685" s="517" t="str">
        <f t="shared" ca="1" si="162"/>
        <v/>
      </c>
      <c r="AQ685" s="521" t="str">
        <f>VLOOKUP($I685,'Price List, Weapons &amp; Items'!A:K,COLUMN('Price List, Weapons &amp; Items'!$K$1),0)</f>
        <v>no price, 0 count</v>
      </c>
      <c r="AS685" s="521">
        <f t="shared" si="136"/>
        <v>0</v>
      </c>
      <c r="AT685" s="521">
        <f t="shared" si="137"/>
        <v>1</v>
      </c>
      <c r="AU685" s="521" t="str">
        <f t="shared" si="138"/>
        <v>Value is not in date format</v>
      </c>
      <c r="AV685" s="521" t="str">
        <f t="shared" si="139"/>
        <v>.</v>
      </c>
    </row>
    <row r="686" spans="1:48" ht="15" customHeight="1">
      <c r="A686" s="18" t="s">
        <v>1914</v>
      </c>
      <c r="B686" s="18" t="s">
        <v>1894</v>
      </c>
      <c r="C686" s="511" t="s">
        <v>1922</v>
      </c>
      <c r="D686" s="18" t="s">
        <v>252</v>
      </c>
      <c r="E686" s="18" t="s">
        <v>253</v>
      </c>
      <c r="F686" s="512" t="s">
        <v>1915</v>
      </c>
      <c r="G686" s="39" t="s">
        <v>332</v>
      </c>
      <c r="H686" s="513">
        <v>1800000000</v>
      </c>
      <c r="I686" s="524" t="s">
        <v>1927</v>
      </c>
      <c r="J686" s="276" t="str">
        <f>VLOOKUP($I686,'Price List, Weapons &amp; Items'!A:B,2,0)</f>
        <v>Ammunition for light infantry</v>
      </c>
      <c r="K686" s="276" t="str">
        <f>IF(I686=".",I686,VLOOKUP($I686,'Price List, Weapons &amp; Items'!A:C,3,0))</f>
        <v>Anti-aircraft guns ammunition</v>
      </c>
      <c r="L686" s="514">
        <f>VLOOKUP(I686,'Price List, Weapons &amp; Items'!A:D,4,0)</f>
        <v>1</v>
      </c>
      <c r="M686" s="515">
        <v>30000</v>
      </c>
      <c r="N686" s="515">
        <v>30000</v>
      </c>
      <c r="O686" s="516">
        <f>VLOOKUP($I686,'Price List, Weapons &amp; Items'!A:F,6,0)</f>
        <v>100</v>
      </c>
      <c r="P686" s="513">
        <f t="shared" si="140"/>
        <v>3000000</v>
      </c>
      <c r="Q686" s="513">
        <f t="shared" si="141"/>
        <v>3000000</v>
      </c>
      <c r="R686" s="513" t="str">
        <f t="shared" si="161"/>
        <v/>
      </c>
      <c r="S686" s="513" t="str">
        <f>IF(AND(AD686=1,R686&lt;&gt;".")=TRUE,R686/VLOOKUP(G686,'Exchange rates'!B:C,2,0),IF(R686=".",".",""))</f>
        <v/>
      </c>
      <c r="T686" s="513" t="str">
        <f>IF(AD686=1,IF(AF686="Value is not given at all",".",IF(AF686="Value is given by the source",S686,IF(AF686="Value is calculated with prices",(IF(SUMIFS(Q:Q,A:A,A686)&gt;0,SUMIFS(Q:Q,A:A,A686),"."))/VLOOKUP("USD",'Exchange rates'!B:C,2,0),"Error with coding"))),"")</f>
        <v/>
      </c>
      <c r="U686" s="39" t="s">
        <v>372</v>
      </c>
      <c r="V686" s="376" t="s">
        <v>1917</v>
      </c>
      <c r="W686" s="376" t="s">
        <v>1918</v>
      </c>
      <c r="X686" s="376" t="s">
        <v>1919</v>
      </c>
      <c r="Y686" s="376" t="s">
        <v>1920</v>
      </c>
      <c r="Z686" s="39">
        <v>0</v>
      </c>
      <c r="AA686" s="518">
        <v>0</v>
      </c>
      <c r="AB686" s="395" t="s">
        <v>1923</v>
      </c>
      <c r="AC686" s="519" t="str">
        <f>""</f>
        <v/>
      </c>
      <c r="AD686" s="522">
        <v>0</v>
      </c>
      <c r="AE686" s="522" t="s">
        <v>236</v>
      </c>
      <c r="AF686" s="522" t="s">
        <v>236</v>
      </c>
      <c r="AG686" s="522">
        <v>0</v>
      </c>
      <c r="AH686" s="522">
        <v>0</v>
      </c>
      <c r="AI686" s="522">
        <v>0</v>
      </c>
      <c r="AJ686" s="520">
        <f>VLOOKUP($I686,'Price List, Weapons &amp; Items'!A:E,5,0)</f>
        <v>0</v>
      </c>
      <c r="AK686" s="520">
        <f t="shared" si="133"/>
        <v>0</v>
      </c>
      <c r="AL686" s="520">
        <f t="shared" si="134"/>
        <v>0</v>
      </c>
      <c r="AM686" s="520">
        <f t="shared" si="135"/>
        <v>0</v>
      </c>
      <c r="AN686" s="521" t="str">
        <f>VLOOKUP($I686,'Price List, Weapons &amp; Items'!A:K,COLUMN('Price List, Weapons &amp; Items'!$I$1),0)</f>
        <v>Media reports (incl. social media)</v>
      </c>
      <c r="AO686" s="521" t="str">
        <f>IF(I686=".",".",VLOOKUP($I686,'Price List, Weapons &amp; Items'!A:I,3,0))</f>
        <v>Anti-aircraft guns ammunition</v>
      </c>
      <c r="AP686" s="517" t="str">
        <f t="shared" ca="1" si="162"/>
        <v/>
      </c>
      <c r="AQ686" s="521">
        <f>VLOOKUP($I686,'Price List, Weapons &amp; Items'!A:K,COLUMN('Price List, Weapons &amp; Items'!$K$1),0)</f>
        <v>2</v>
      </c>
      <c r="AS686" s="521">
        <f t="shared" si="136"/>
        <v>0</v>
      </c>
      <c r="AT686" s="521">
        <f t="shared" si="137"/>
        <v>1</v>
      </c>
      <c r="AU686" s="521" t="str">
        <f t="shared" si="138"/>
        <v>Value is not in date format</v>
      </c>
      <c r="AV686" s="521" t="str">
        <f t="shared" si="139"/>
        <v>.</v>
      </c>
    </row>
    <row r="687" spans="1:48" ht="15" customHeight="1">
      <c r="A687" s="18" t="s">
        <v>1914</v>
      </c>
      <c r="B687" s="18" t="s">
        <v>1894</v>
      </c>
      <c r="C687" s="511" t="s">
        <v>1922</v>
      </c>
      <c r="D687" s="18" t="s">
        <v>252</v>
      </c>
      <c r="E687" s="18" t="s">
        <v>253</v>
      </c>
      <c r="F687" s="512" t="s">
        <v>1915</v>
      </c>
      <c r="G687" s="39" t="s">
        <v>332</v>
      </c>
      <c r="H687" s="513">
        <v>1800000000</v>
      </c>
      <c r="I687" s="524" t="s">
        <v>1928</v>
      </c>
      <c r="J687" s="276" t="str">
        <f>VLOOKUP($I687,'Price List, Weapons &amp; Items'!A:B,2,0)</f>
        <v>Ammunition for heavy weapon</v>
      </c>
      <c r="K687" s="276" t="str">
        <f>IF(I687=".",I687,VLOOKUP($I687,'Price List, Weapons &amp; Items'!A:C,3,0))</f>
        <v>152mm howitzer ammunition</v>
      </c>
      <c r="L687" s="514">
        <f>VLOOKUP(I687,'Price List, Weapons &amp; Items'!A:D,4,0)</f>
        <v>0</v>
      </c>
      <c r="M687" s="515">
        <v>1170</v>
      </c>
      <c r="N687" s="515">
        <v>1170</v>
      </c>
      <c r="O687" s="516">
        <f>VLOOKUP($I687,'Price List, Weapons &amp; Items'!A:F,6,0)</f>
        <v>2000</v>
      </c>
      <c r="P687" s="513">
        <f t="shared" si="140"/>
        <v>2340000</v>
      </c>
      <c r="Q687" s="513">
        <f t="shared" si="141"/>
        <v>2340000</v>
      </c>
      <c r="R687" s="513" t="str">
        <f t="shared" si="161"/>
        <v/>
      </c>
      <c r="S687" s="513" t="str">
        <f>IF(AND(AD687=1,R687&lt;&gt;".")=TRUE,R687/VLOOKUP(G687,'Exchange rates'!B:C,2,0),IF(R687=".",".",""))</f>
        <v/>
      </c>
      <c r="T687" s="513" t="str">
        <f>IF(AD687=1,IF(AF687="Value is not given at all",".",IF(AF687="Value is given by the source",S687,IF(AF687="Value is calculated with prices",(IF(SUMIFS(Q:Q,A:A,A687)&gt;0,SUMIFS(Q:Q,A:A,A687),"."))/VLOOKUP("USD",'Exchange rates'!B:C,2,0),"Error with coding"))),"")</f>
        <v/>
      </c>
      <c r="U687" s="39" t="s">
        <v>372</v>
      </c>
      <c r="V687" s="376" t="s">
        <v>1917</v>
      </c>
      <c r="W687" s="376" t="s">
        <v>1918</v>
      </c>
      <c r="X687" s="376" t="s">
        <v>1919</v>
      </c>
      <c r="Y687" s="376" t="s">
        <v>1920</v>
      </c>
      <c r="Z687" s="39">
        <v>0</v>
      </c>
      <c r="AA687" s="518">
        <v>0</v>
      </c>
      <c r="AB687" s="395" t="s">
        <v>1923</v>
      </c>
      <c r="AC687" s="519" t="str">
        <f>""</f>
        <v/>
      </c>
      <c r="AD687" s="522">
        <v>0</v>
      </c>
      <c r="AE687" s="522" t="s">
        <v>236</v>
      </c>
      <c r="AF687" s="522" t="s">
        <v>236</v>
      </c>
      <c r="AG687" s="522">
        <v>0</v>
      </c>
      <c r="AH687" s="522">
        <v>0</v>
      </c>
      <c r="AI687" s="522">
        <v>0</v>
      </c>
      <c r="AJ687" s="520">
        <f>VLOOKUP($I687,'Price List, Weapons &amp; Items'!A:E,5,0)</f>
        <v>1</v>
      </c>
      <c r="AK687" s="520">
        <f t="shared" si="133"/>
        <v>0</v>
      </c>
      <c r="AL687" s="520">
        <f t="shared" si="134"/>
        <v>0</v>
      </c>
      <c r="AM687" s="520">
        <f t="shared" si="135"/>
        <v>1</v>
      </c>
      <c r="AN687" s="521" t="str">
        <f>VLOOKUP($I687,'Price List, Weapons &amp; Items'!A:K,COLUMN('Price List, Weapons &amp; Items'!$I$1),0)</f>
        <v>Media reports (incl. social media)</v>
      </c>
      <c r="AO687" s="521" t="str">
        <f>IF(I687=".",".",VLOOKUP($I687,'Price List, Weapons &amp; Items'!A:I,3,0))</f>
        <v>152mm howitzer ammunition</v>
      </c>
      <c r="AP687" s="517" t="str">
        <f t="shared" ca="1" si="162"/>
        <v/>
      </c>
      <c r="AQ687" s="521">
        <f>VLOOKUP($I687,'Price List, Weapons &amp; Items'!A:K,COLUMN('Price List, Weapons &amp; Items'!$K$1),0)</f>
        <v>2</v>
      </c>
      <c r="AS687" s="521">
        <f t="shared" si="136"/>
        <v>0</v>
      </c>
      <c r="AT687" s="521">
        <f t="shared" si="137"/>
        <v>1</v>
      </c>
      <c r="AU687" s="521" t="str">
        <f t="shared" si="138"/>
        <v>Value is not in date format</v>
      </c>
      <c r="AV687" s="521" t="str">
        <f t="shared" si="139"/>
        <v>.</v>
      </c>
    </row>
    <row r="688" spans="1:48" ht="15" customHeight="1">
      <c r="A688" s="18" t="s">
        <v>1914</v>
      </c>
      <c r="B688" s="18" t="s">
        <v>1894</v>
      </c>
      <c r="C688" s="511" t="s">
        <v>1922</v>
      </c>
      <c r="D688" s="18" t="s">
        <v>252</v>
      </c>
      <c r="E688" s="18" t="s">
        <v>253</v>
      </c>
      <c r="F688" s="512" t="s">
        <v>1915</v>
      </c>
      <c r="G688" s="39" t="s">
        <v>332</v>
      </c>
      <c r="H688" s="513">
        <v>1800000000</v>
      </c>
      <c r="I688" s="524" t="s">
        <v>849</v>
      </c>
      <c r="J688" s="276" t="str">
        <f>VLOOKUP($I688,'Price List, Weapons &amp; Items'!A:B,2,0)</f>
        <v>Ammunition for portable defence system</v>
      </c>
      <c r="K688" s="276" t="str">
        <f>IF(I688=".",I688,VLOOKUP($I688,'Price List, Weapons &amp; Items'!A:C,3,0))</f>
        <v>Light Anti-armor Weapon (LAW) ammunition</v>
      </c>
      <c r="L688" s="514">
        <f>VLOOKUP(I688,'Price List, Weapons &amp; Items'!A:D,4,0)</f>
        <v>0</v>
      </c>
      <c r="M688" s="515" t="s">
        <v>264</v>
      </c>
      <c r="N688" s="515" t="s">
        <v>264</v>
      </c>
      <c r="O688" s="516">
        <f>VLOOKUP($I688,'Price List, Weapons &amp; Items'!A:F,6,0)</f>
        <v>78000</v>
      </c>
      <c r="P688" s="513" t="str">
        <f t="shared" si="140"/>
        <v>.</v>
      </c>
      <c r="Q688" s="513" t="str">
        <f t="shared" si="141"/>
        <v>.</v>
      </c>
      <c r="R688" s="513" t="str">
        <f t="shared" si="161"/>
        <v/>
      </c>
      <c r="S688" s="513" t="str">
        <f>IF(AND(AD688=1,R688&lt;&gt;".")=TRUE,R688/VLOOKUP(G688,'Exchange rates'!B:C,2,0),IF(R688=".",".",""))</f>
        <v/>
      </c>
      <c r="T688" s="513" t="str">
        <f>IF(AD688=1,IF(AF688="Value is not given at all",".",IF(AF688="Value is given by the source",S688,IF(AF688="Value is calculated with prices",(IF(SUMIFS(Q:Q,A:A,A688)&gt;0,SUMIFS(Q:Q,A:A,A688),"."))/VLOOKUP("USD",'Exchange rates'!B:C,2,0),"Error with coding"))),"")</f>
        <v/>
      </c>
      <c r="U688" s="39" t="s">
        <v>372</v>
      </c>
      <c r="V688" s="376" t="s">
        <v>1917</v>
      </c>
      <c r="W688" s="376" t="s">
        <v>1918</v>
      </c>
      <c r="X688" s="376" t="s">
        <v>1919</v>
      </c>
      <c r="Y688" s="376" t="s">
        <v>1920</v>
      </c>
      <c r="Z688" s="39">
        <v>0</v>
      </c>
      <c r="AA688" s="518">
        <v>0</v>
      </c>
      <c r="AB688" s="395" t="s">
        <v>1923</v>
      </c>
      <c r="AC688" s="519" t="str">
        <f>""</f>
        <v/>
      </c>
      <c r="AD688" s="522">
        <v>0</v>
      </c>
      <c r="AE688" s="522" t="s">
        <v>236</v>
      </c>
      <c r="AF688" s="522" t="s">
        <v>236</v>
      </c>
      <c r="AG688" s="522">
        <v>0</v>
      </c>
      <c r="AH688" s="522">
        <v>0</v>
      </c>
      <c r="AI688" s="522">
        <v>0</v>
      </c>
      <c r="AJ688" s="520">
        <f>VLOOKUP($I688,'Price List, Weapons &amp; Items'!A:E,5,0)</f>
        <v>0</v>
      </c>
      <c r="AK688" s="520">
        <f t="shared" si="133"/>
        <v>0</v>
      </c>
      <c r="AL688" s="520">
        <f t="shared" si="134"/>
        <v>0</v>
      </c>
      <c r="AM688" s="520">
        <f t="shared" si="135"/>
        <v>0</v>
      </c>
      <c r="AN688" s="521" t="str">
        <f>VLOOKUP($I688,'Price List, Weapons &amp; Items'!A:K,COLUMN('Price List, Weapons &amp; Items'!$I$1),0)</f>
        <v>Military media (incl. websites)</v>
      </c>
      <c r="AO688" s="521" t="str">
        <f>IF(I688=".",".",VLOOKUP($I688,'Price List, Weapons &amp; Items'!A:I,3,0))</f>
        <v>Light Anti-armor Weapon (LAW) ammunition</v>
      </c>
      <c r="AP688" s="517" t="str">
        <f t="shared" ca="1" si="162"/>
        <v/>
      </c>
      <c r="AQ688" s="521">
        <f>VLOOKUP($I688,'Price List, Weapons &amp; Items'!A:K,COLUMN('Price List, Weapons &amp; Items'!$K$1),0)</f>
        <v>2</v>
      </c>
      <c r="AS688" s="521">
        <f t="shared" si="136"/>
        <v>0</v>
      </c>
      <c r="AT688" s="521">
        <f t="shared" si="137"/>
        <v>1</v>
      </c>
      <c r="AU688" s="521" t="str">
        <f t="shared" si="138"/>
        <v>Value is not in date format</v>
      </c>
      <c r="AV688" s="521" t="str">
        <f t="shared" si="139"/>
        <v>.</v>
      </c>
    </row>
    <row r="689" spans="1:48" ht="15" customHeight="1">
      <c r="A689" s="18" t="s">
        <v>1914</v>
      </c>
      <c r="B689" s="18" t="s">
        <v>1894</v>
      </c>
      <c r="C689" s="511" t="s">
        <v>1922</v>
      </c>
      <c r="D689" s="18" t="s">
        <v>252</v>
      </c>
      <c r="E689" s="18" t="s">
        <v>253</v>
      </c>
      <c r="F689" s="512" t="s">
        <v>1915</v>
      </c>
      <c r="G689" s="39" t="s">
        <v>332</v>
      </c>
      <c r="H689" s="513">
        <v>1800000000</v>
      </c>
      <c r="I689" s="524" t="s">
        <v>419</v>
      </c>
      <c r="J689" s="276" t="str">
        <f>VLOOKUP($I689,'Price List, Weapons &amp; Items'!A:B,2,0)</f>
        <v>Military equipment</v>
      </c>
      <c r="K689" s="276" t="str">
        <f>IF(I689=".",I689,VLOOKUP($I689,'Price List, Weapons &amp; Items'!A:C,3,0))</f>
        <v>.</v>
      </c>
      <c r="L689" s="514">
        <f>VLOOKUP(I689,'Price List, Weapons &amp; Items'!A:D,4,0)</f>
        <v>0</v>
      </c>
      <c r="M689" s="515">
        <v>42000</v>
      </c>
      <c r="N689" s="515">
        <v>42000</v>
      </c>
      <c r="O689" s="516">
        <f>VLOOKUP($I689,'Price List, Weapons &amp; Items'!A:F,6,0)</f>
        <v>1400</v>
      </c>
      <c r="P689" s="513">
        <f t="shared" si="140"/>
        <v>58800000</v>
      </c>
      <c r="Q689" s="513">
        <f t="shared" si="141"/>
        <v>58800000</v>
      </c>
      <c r="R689" s="513" t="str">
        <f t="shared" si="161"/>
        <v/>
      </c>
      <c r="S689" s="513" t="str">
        <f>IF(AND(AD689=1,R689&lt;&gt;".")=TRUE,R689/VLOOKUP(G689,'Exchange rates'!B:C,2,0),IF(R689=".",".",""))</f>
        <v/>
      </c>
      <c r="T689" s="513" t="str">
        <f>IF(AD689=1,IF(AF689="Value is not given at all",".",IF(AF689="Value is given by the source",S689,IF(AF689="Value is calculated with prices",(IF(SUMIFS(Q:Q,A:A,A689)&gt;0,SUMIFS(Q:Q,A:A,A689),"."))/VLOOKUP("USD",'Exchange rates'!B:C,2,0),"Error with coding"))),"")</f>
        <v/>
      </c>
      <c r="U689" s="39" t="s">
        <v>372</v>
      </c>
      <c r="V689" s="376" t="s">
        <v>1917</v>
      </c>
      <c r="W689" s="376" t="s">
        <v>1918</v>
      </c>
      <c r="X689" s="376" t="s">
        <v>1919</v>
      </c>
      <c r="Y689" s="376" t="s">
        <v>1920</v>
      </c>
      <c r="Z689" s="39">
        <v>0</v>
      </c>
      <c r="AA689" s="518">
        <v>0</v>
      </c>
      <c r="AB689" s="395" t="s">
        <v>1923</v>
      </c>
      <c r="AC689" s="519" t="str">
        <f>""</f>
        <v/>
      </c>
      <c r="AD689" s="522">
        <v>0</v>
      </c>
      <c r="AE689" s="522" t="s">
        <v>236</v>
      </c>
      <c r="AF689" s="522" t="s">
        <v>236</v>
      </c>
      <c r="AG689" s="522">
        <v>0</v>
      </c>
      <c r="AH689" s="522">
        <v>0</v>
      </c>
      <c r="AI689" s="522">
        <v>0</v>
      </c>
      <c r="AJ689" s="520">
        <f>VLOOKUP($I689,'Price List, Weapons &amp; Items'!A:E,5,0)</f>
        <v>0</v>
      </c>
      <c r="AK689" s="520">
        <f t="shared" si="133"/>
        <v>0</v>
      </c>
      <c r="AL689" s="520">
        <f t="shared" si="134"/>
        <v>0</v>
      </c>
      <c r="AM689" s="520">
        <f t="shared" si="135"/>
        <v>0</v>
      </c>
      <c r="AN689" s="521" t="str">
        <f>VLOOKUP($I689,'Price List, Weapons &amp; Items'!A:K,COLUMN('Price List, Weapons &amp; Items'!$I$1),0)</f>
        <v>Military media (incl. websites)</v>
      </c>
      <c r="AO689" s="521" t="str">
        <f>IF(I689=".",".",VLOOKUP($I689,'Price List, Weapons &amp; Items'!A:I,3,0))</f>
        <v>.</v>
      </c>
      <c r="AP689" s="517" t="str">
        <f t="shared" ca="1" si="162"/>
        <v/>
      </c>
      <c r="AQ689" s="521">
        <f>VLOOKUP($I689,'Price List, Weapons &amp; Items'!A:K,COLUMN('Price List, Weapons &amp; Items'!$K$1),0)</f>
        <v>2</v>
      </c>
      <c r="AS689" s="521">
        <f t="shared" si="136"/>
        <v>0</v>
      </c>
      <c r="AT689" s="521">
        <f t="shared" si="137"/>
        <v>1</v>
      </c>
      <c r="AU689" s="521" t="str">
        <f t="shared" si="138"/>
        <v>Value is not in date format</v>
      </c>
      <c r="AV689" s="521" t="str">
        <f t="shared" si="139"/>
        <v>.</v>
      </c>
    </row>
    <row r="690" spans="1:48" ht="15" customHeight="1">
      <c r="A690" s="18" t="s">
        <v>1914</v>
      </c>
      <c r="B690" s="18" t="s">
        <v>1894</v>
      </c>
      <c r="C690" s="511" t="s">
        <v>1922</v>
      </c>
      <c r="D690" s="18" t="s">
        <v>252</v>
      </c>
      <c r="E690" s="18" t="s">
        <v>253</v>
      </c>
      <c r="F690" s="512" t="s">
        <v>1915</v>
      </c>
      <c r="G690" s="39" t="s">
        <v>332</v>
      </c>
      <c r="H690" s="513">
        <v>1800000000</v>
      </c>
      <c r="I690" s="524" t="s">
        <v>1929</v>
      </c>
      <c r="J690" s="276" t="str">
        <f>VLOOKUP($I690,'Price List, Weapons &amp; Items'!A:B,2,0)</f>
        <v>Ammunition for light infantry</v>
      </c>
      <c r="K690" s="276" t="str">
        <f>IF(I690=".",I690,VLOOKUP($I690,'Price List, Weapons &amp; Items'!A:C,3,0))</f>
        <v>Mortar ammunition</v>
      </c>
      <c r="L690" s="514">
        <f>VLOOKUP(I690,'Price List, Weapons &amp; Items'!A:D,4,0)</f>
        <v>0</v>
      </c>
      <c r="M690" s="515">
        <v>1500</v>
      </c>
      <c r="N690" s="515">
        <v>1500</v>
      </c>
      <c r="O690" s="516">
        <f>VLOOKUP($I690,'Price List, Weapons &amp; Items'!A:F,6,0)</f>
        <v>329</v>
      </c>
      <c r="P690" s="513">
        <f t="shared" si="140"/>
        <v>493500</v>
      </c>
      <c r="Q690" s="513">
        <f t="shared" si="141"/>
        <v>493500</v>
      </c>
      <c r="R690" s="513" t="str">
        <f t="shared" si="161"/>
        <v/>
      </c>
      <c r="S690" s="513" t="str">
        <f>IF(AND(AD690=1,R690&lt;&gt;".")=TRUE,R690/VLOOKUP(G690,'Exchange rates'!B:C,2,0),IF(R690=".",".",""))</f>
        <v/>
      </c>
      <c r="T690" s="513" t="str">
        <f>IF(AD690=1,IF(AF690="Value is not given at all",".",IF(AF690="Value is given by the source",S690,IF(AF690="Value is calculated with prices",(IF(SUMIFS(Q:Q,A:A,A690)&gt;0,SUMIFS(Q:Q,A:A,A690),"."))/VLOOKUP("USD",'Exchange rates'!B:C,2,0),"Error with coding"))),"")</f>
        <v/>
      </c>
      <c r="U690" s="39" t="s">
        <v>372</v>
      </c>
      <c r="V690" s="376" t="s">
        <v>1917</v>
      </c>
      <c r="W690" s="376" t="s">
        <v>1918</v>
      </c>
      <c r="X690" s="376" t="s">
        <v>1919</v>
      </c>
      <c r="Y690" s="376" t="s">
        <v>1920</v>
      </c>
      <c r="Z690" s="39">
        <v>0</v>
      </c>
      <c r="AA690" s="518">
        <v>0</v>
      </c>
      <c r="AB690" s="395" t="s">
        <v>1923</v>
      </c>
      <c r="AC690" s="519" t="str">
        <f>""</f>
        <v/>
      </c>
      <c r="AD690" s="522">
        <v>0</v>
      </c>
      <c r="AE690" s="522" t="s">
        <v>236</v>
      </c>
      <c r="AF690" s="522" t="s">
        <v>236</v>
      </c>
      <c r="AG690" s="522">
        <v>0</v>
      </c>
      <c r="AH690" s="522">
        <v>0</v>
      </c>
      <c r="AI690" s="522">
        <v>0</v>
      </c>
      <c r="AJ690" s="520">
        <f>VLOOKUP($I690,'Price List, Weapons &amp; Items'!A:E,5,0)</f>
        <v>0</v>
      </c>
      <c r="AK690" s="520">
        <f t="shared" si="133"/>
        <v>0</v>
      </c>
      <c r="AL690" s="520">
        <f t="shared" si="134"/>
        <v>0</v>
      </c>
      <c r="AM690" s="520">
        <f t="shared" si="135"/>
        <v>1</v>
      </c>
      <c r="AN690" s="521" t="str">
        <f>VLOOKUP($I690,'Price List, Weapons &amp; Items'!A:K,COLUMN('Price List, Weapons &amp; Items'!$I$1),0)</f>
        <v>Military media (incl. websites)</v>
      </c>
      <c r="AO690" s="521" t="str">
        <f>IF(I690=".",".",VLOOKUP($I690,'Price List, Weapons &amp; Items'!A:I,3,0))</f>
        <v>Mortar ammunition</v>
      </c>
      <c r="AP690" s="517" t="str">
        <f t="shared" ca="1" si="162"/>
        <v/>
      </c>
      <c r="AQ690" s="521">
        <f>VLOOKUP($I690,'Price List, Weapons &amp; Items'!A:K,COLUMN('Price List, Weapons &amp; Items'!$K$1),0)</f>
        <v>1</v>
      </c>
      <c r="AS690" s="521">
        <f t="shared" si="136"/>
        <v>0</v>
      </c>
      <c r="AT690" s="521">
        <f t="shared" si="137"/>
        <v>1</v>
      </c>
      <c r="AU690" s="521" t="str">
        <f t="shared" si="138"/>
        <v>Value is not in date format</v>
      </c>
      <c r="AV690" s="521" t="str">
        <f t="shared" si="139"/>
        <v>.</v>
      </c>
    </row>
    <row r="691" spans="1:48" ht="15" customHeight="1">
      <c r="A691" s="18" t="s">
        <v>1914</v>
      </c>
      <c r="B691" s="18" t="s">
        <v>1894</v>
      </c>
      <c r="C691" s="511" t="s">
        <v>1922</v>
      </c>
      <c r="D691" s="18" t="s">
        <v>252</v>
      </c>
      <c r="E691" s="18" t="s">
        <v>253</v>
      </c>
      <c r="F691" s="512" t="s">
        <v>1915</v>
      </c>
      <c r="G691" s="39" t="s">
        <v>332</v>
      </c>
      <c r="H691" s="513">
        <v>1800000000</v>
      </c>
      <c r="I691" s="524" t="s">
        <v>697</v>
      </c>
      <c r="J691" s="276" t="str">
        <f>VLOOKUP($I691,'Price List, Weapons &amp; Items'!A:B,2,0)</f>
        <v>Heavy weapon</v>
      </c>
      <c r="K691" s="276" t="str">
        <f>IF(I691=".",I691,VLOOKUP($I691,'Price List, Weapons &amp; Items'!A:C,3,0))</f>
        <v>Main Battle Tank (MBT)</v>
      </c>
      <c r="L691" s="514">
        <f>VLOOKUP(I691,'Price List, Weapons &amp; Items'!A:D,4,0)</f>
        <v>1</v>
      </c>
      <c r="M691" s="515">
        <v>240</v>
      </c>
      <c r="N691" s="515">
        <v>240</v>
      </c>
      <c r="O691" s="516">
        <f>VLOOKUP($I691,'Price List, Weapons &amp; Items'!A:F,6,0)</f>
        <v>1616065.9562782401</v>
      </c>
      <c r="P691" s="513">
        <f t="shared" si="140"/>
        <v>387855829.50677764</v>
      </c>
      <c r="Q691" s="513">
        <f t="shared" si="141"/>
        <v>387855829.50677764</v>
      </c>
      <c r="R691" s="513" t="str">
        <f t="shared" si="161"/>
        <v/>
      </c>
      <c r="S691" s="513" t="str">
        <f>IF(AND(AD691=1,R691&lt;&gt;".")=TRUE,R691/VLOOKUP(G691,'Exchange rates'!B:C,2,0),IF(R691=".",".",""))</f>
        <v/>
      </c>
      <c r="T691" s="513" t="str">
        <f>IF(AD691=1,IF(AF691="Value is not given at all",".",IF(AF691="Value is given by the source",S691,IF(AF691="Value is calculated with prices",(IF(SUMIFS(Q:Q,A:A,A691)&gt;0,SUMIFS(Q:Q,A:A,A691),"."))/VLOOKUP("USD",'Exchange rates'!B:C,2,0),"Error with coding"))),"")</f>
        <v/>
      </c>
      <c r="U691" s="39" t="s">
        <v>372</v>
      </c>
      <c r="V691" s="376" t="s">
        <v>1917</v>
      </c>
      <c r="W691" s="376" t="s">
        <v>1918</v>
      </c>
      <c r="X691" s="376" t="s">
        <v>1919</v>
      </c>
      <c r="Y691" s="376" t="s">
        <v>1920</v>
      </c>
      <c r="Z691" s="39">
        <v>0</v>
      </c>
      <c r="AA691" s="518">
        <v>0</v>
      </c>
      <c r="AB691" s="395" t="s">
        <v>1930</v>
      </c>
      <c r="AC691" s="519" t="str">
        <f>""</f>
        <v/>
      </c>
      <c r="AD691" s="522">
        <v>0</v>
      </c>
      <c r="AE691" s="522" t="s">
        <v>236</v>
      </c>
      <c r="AF691" s="522" t="s">
        <v>236</v>
      </c>
      <c r="AG691" s="522">
        <v>0</v>
      </c>
      <c r="AH691" s="522">
        <v>0</v>
      </c>
      <c r="AI691" s="522">
        <v>0</v>
      </c>
      <c r="AJ691" s="520">
        <f>VLOOKUP($I691,'Price List, Weapons &amp; Items'!A:E,5,0)</f>
        <v>1</v>
      </c>
      <c r="AK691" s="520">
        <f t="shared" si="133"/>
        <v>0</v>
      </c>
      <c r="AL691" s="520">
        <f t="shared" si="134"/>
        <v>0</v>
      </c>
      <c r="AM691" s="520">
        <f t="shared" si="135"/>
        <v>0</v>
      </c>
      <c r="AN691" s="521" t="str">
        <f>VLOOKUP($I691,'Price List, Weapons &amp; Items'!A:K,COLUMN('Price List, Weapons &amp; Items'!$I$1),0)</f>
        <v>Contracts</v>
      </c>
      <c r="AO691" s="521" t="str">
        <f>IF(I691=".",".",VLOOKUP($I691,'Price List, Weapons &amp; Items'!A:I,3,0))</f>
        <v>Main Battle Tank (MBT)</v>
      </c>
      <c r="AP691" s="517" t="str">
        <f t="shared" ca="1" si="162"/>
        <v/>
      </c>
      <c r="AQ691" s="521">
        <f>VLOOKUP($I691,'Price List, Weapons &amp; Items'!A:K,COLUMN('Price List, Weapons &amp; Items'!$K$1),0)</f>
        <v>2</v>
      </c>
      <c r="AS691" s="521">
        <f t="shared" si="136"/>
        <v>0</v>
      </c>
      <c r="AT691" s="521">
        <f t="shared" si="137"/>
        <v>1</v>
      </c>
      <c r="AU691" s="521" t="str">
        <f t="shared" si="138"/>
        <v>Value is not in date format</v>
      </c>
      <c r="AV691" s="521" t="str">
        <f t="shared" si="139"/>
        <v>.</v>
      </c>
    </row>
    <row r="692" spans="1:48" ht="15" customHeight="1">
      <c r="A692" s="18" t="s">
        <v>1914</v>
      </c>
      <c r="B692" s="18" t="s">
        <v>1894</v>
      </c>
      <c r="C692" s="511" t="s">
        <v>1922</v>
      </c>
      <c r="D692" s="18" t="s">
        <v>252</v>
      </c>
      <c r="E692" s="18" t="s">
        <v>253</v>
      </c>
      <c r="F692" s="512" t="s">
        <v>1915</v>
      </c>
      <c r="G692" s="39" t="s">
        <v>332</v>
      </c>
      <c r="H692" s="513">
        <v>1800000000</v>
      </c>
      <c r="I692" s="524" t="s">
        <v>1931</v>
      </c>
      <c r="J692" s="276" t="str">
        <f>VLOOKUP($I692,'Price List, Weapons &amp; Items'!A:B,2,0)</f>
        <v>Aviation and drones</v>
      </c>
      <c r="K692" s="276" t="str">
        <f>IF(I692=".",I692,VLOOKUP($I692,'Price List, Weapons &amp; Items'!A:C,3,0))</f>
        <v>Loitering munition (suicide drone)</v>
      </c>
      <c r="L692" s="514">
        <f>VLOOKUP(I692,'Price List, Weapons &amp; Items'!A:D,4,0)</f>
        <v>0</v>
      </c>
      <c r="M692" s="515" t="s">
        <v>264</v>
      </c>
      <c r="N692" s="515" t="s">
        <v>264</v>
      </c>
      <c r="O692" s="516">
        <f>VLOOKUP($I692,'Price List, Weapons &amp; Items'!A:F,6,0)</f>
        <v>12000</v>
      </c>
      <c r="P692" s="513" t="str">
        <f t="shared" si="140"/>
        <v>.</v>
      </c>
      <c r="Q692" s="513" t="str">
        <f t="shared" si="141"/>
        <v>.</v>
      </c>
      <c r="R692" s="513" t="str">
        <f t="shared" si="161"/>
        <v/>
      </c>
      <c r="S692" s="513" t="str">
        <f>IF(AND(AD692=1,R692&lt;&gt;".")=TRUE,R692/VLOOKUP(G692,'Exchange rates'!B:C,2,0),IF(R692=".",".",""))</f>
        <v/>
      </c>
      <c r="T692" s="513" t="str">
        <f>IF(AD692=1,IF(AF692="Value is not given at all",".",IF(AF692="Value is given by the source",S692,IF(AF692="Value is calculated with prices",(IF(SUMIFS(Q:Q,A:A,A692)&gt;0,SUMIFS(Q:Q,A:A,A692),"."))/VLOOKUP("USD",'Exchange rates'!B:C,2,0),"Error with coding"))),"")</f>
        <v/>
      </c>
      <c r="U692" s="39" t="s">
        <v>372</v>
      </c>
      <c r="V692" s="42" t="s">
        <v>1932</v>
      </c>
      <c r="W692" s="512" t="s">
        <v>232</v>
      </c>
      <c r="X692" s="512" t="s">
        <v>232</v>
      </c>
      <c r="Y692" s="512" t="s">
        <v>232</v>
      </c>
      <c r="Z692" s="39">
        <v>0</v>
      </c>
      <c r="AA692" s="518">
        <v>0</v>
      </c>
      <c r="AB692" s="395" t="s">
        <v>1926</v>
      </c>
      <c r="AC692" s="519" t="str">
        <f>""</f>
        <v/>
      </c>
      <c r="AD692" s="522">
        <v>0</v>
      </c>
      <c r="AE692" s="522" t="s">
        <v>236</v>
      </c>
      <c r="AF692" s="522" t="s">
        <v>236</v>
      </c>
      <c r="AG692" s="522">
        <v>0</v>
      </c>
      <c r="AH692" s="522">
        <v>0</v>
      </c>
      <c r="AI692" s="522">
        <v>0</v>
      </c>
      <c r="AJ692" s="520">
        <f>VLOOKUP($I692,'Price List, Weapons &amp; Items'!A:E,5,0)</f>
        <v>0</v>
      </c>
      <c r="AK692" s="520">
        <f t="shared" si="133"/>
        <v>0</v>
      </c>
      <c r="AL692" s="520">
        <f t="shared" si="134"/>
        <v>0</v>
      </c>
      <c r="AM692" s="520">
        <f t="shared" si="135"/>
        <v>0</v>
      </c>
      <c r="AN692" s="521" t="str">
        <f>VLOOKUP($I692,'Price List, Weapons &amp; Items'!A:K,COLUMN('Price List, Weapons &amp; Items'!$I$1),0)</f>
        <v>Media reports (incl. social media)</v>
      </c>
      <c r="AO692" s="521" t="str">
        <f>IF(I692=".",".",VLOOKUP($I692,'Price List, Weapons &amp; Items'!A:I,3,0))</f>
        <v>Loitering munition (suicide drone)</v>
      </c>
      <c r="AP692" s="517" t="str">
        <f t="shared" ca="1" si="162"/>
        <v/>
      </c>
      <c r="AQ692" s="521" t="str">
        <f>VLOOKUP($I692,'Price List, Weapons &amp; Items'!A:K,COLUMN('Price List, Weapons &amp; Items'!$K$1),0)</f>
        <v>no price, 0 count</v>
      </c>
      <c r="AS692" s="521">
        <f t="shared" si="136"/>
        <v>0</v>
      </c>
      <c r="AT692" s="521">
        <f t="shared" si="137"/>
        <v>1</v>
      </c>
      <c r="AU692" s="521" t="str">
        <f t="shared" si="138"/>
        <v>Value is not in date format</v>
      </c>
      <c r="AV692" s="521" t="str">
        <f t="shared" si="139"/>
        <v>.</v>
      </c>
    </row>
    <row r="693" spans="1:48" ht="15" customHeight="1">
      <c r="A693" s="18" t="s">
        <v>1914</v>
      </c>
      <c r="B693" s="18" t="s">
        <v>1894</v>
      </c>
      <c r="C693" s="511" t="s">
        <v>1922</v>
      </c>
      <c r="D693" s="18" t="s">
        <v>252</v>
      </c>
      <c r="E693" s="18" t="s">
        <v>253</v>
      </c>
      <c r="F693" s="512" t="s">
        <v>1915</v>
      </c>
      <c r="G693" s="39" t="s">
        <v>332</v>
      </c>
      <c r="H693" s="513">
        <v>1800000000</v>
      </c>
      <c r="I693" s="524" t="s">
        <v>1933</v>
      </c>
      <c r="J693" s="276" t="str">
        <f>VLOOKUP($I693,'Price List, Weapons &amp; Items'!A:B,2,0)</f>
        <v>Heavy weapon</v>
      </c>
      <c r="K693" s="276" t="str">
        <f>IF(I693=".",I693,VLOOKUP($I693,'Price List, Weapons &amp; Items'!A:C,3,0))</f>
        <v>155mm howitzer</v>
      </c>
      <c r="L693" s="514">
        <f>VLOOKUP(I693,'Price List, Weapons &amp; Items'!A:D,4,0)</f>
        <v>0</v>
      </c>
      <c r="M693" s="515">
        <v>18</v>
      </c>
      <c r="N693" s="515">
        <v>18</v>
      </c>
      <c r="O693" s="516">
        <f>VLOOKUP($I693,'Price List, Weapons &amp; Items'!A:F,6,0)</f>
        <v>12781188.5</v>
      </c>
      <c r="P693" s="513">
        <f t="shared" si="140"/>
        <v>230061393</v>
      </c>
      <c r="Q693" s="513">
        <f t="shared" si="141"/>
        <v>230061393</v>
      </c>
      <c r="R693" s="513" t="str">
        <f t="shared" si="161"/>
        <v/>
      </c>
      <c r="S693" s="513" t="str">
        <f>IF(AND(AD693=1,R693&lt;&gt;".")=TRUE,R693/VLOOKUP(G693,'Exchange rates'!B:C,2,0),IF(R693=".",".",""))</f>
        <v/>
      </c>
      <c r="T693" s="513" t="str">
        <f>IF(AD693=1,IF(AF693="Value is not given at all",".",IF(AF693="Value is given by the source",S693,IF(AF693="Value is calculated with prices",(IF(SUMIFS(Q:Q,A:A,A693)&gt;0,SUMIFS(Q:Q,A:A,A693),"."))/VLOOKUP("USD",'Exchange rates'!B:C,2,0),"Error with coding"))),"")</f>
        <v/>
      </c>
      <c r="U693" s="39" t="s">
        <v>372</v>
      </c>
      <c r="V693" s="42" t="s">
        <v>1934</v>
      </c>
      <c r="W693" s="512" t="s">
        <v>232</v>
      </c>
      <c r="X693" s="512" t="s">
        <v>232</v>
      </c>
      <c r="Y693" s="512" t="s">
        <v>232</v>
      </c>
      <c r="Z693" s="39">
        <v>0</v>
      </c>
      <c r="AA693" s="518">
        <v>0</v>
      </c>
      <c r="AB693" s="395" t="s">
        <v>1935</v>
      </c>
      <c r="AC693" s="519" t="str">
        <f>""</f>
        <v/>
      </c>
      <c r="AD693" s="522">
        <v>0</v>
      </c>
      <c r="AE693" s="522" t="s">
        <v>236</v>
      </c>
      <c r="AF693" s="522" t="s">
        <v>236</v>
      </c>
      <c r="AG693" s="522">
        <v>0</v>
      </c>
      <c r="AH693" s="522">
        <v>0</v>
      </c>
      <c r="AI693" s="522">
        <v>0</v>
      </c>
      <c r="AJ693" s="520">
        <f>VLOOKUP($I693,'Price List, Weapons &amp; Items'!A:E,5,0)</f>
        <v>1</v>
      </c>
      <c r="AK693" s="520">
        <f t="shared" si="133"/>
        <v>0</v>
      </c>
      <c r="AL693" s="520">
        <f t="shared" si="134"/>
        <v>0</v>
      </c>
      <c r="AM693" s="520">
        <f t="shared" si="135"/>
        <v>0</v>
      </c>
      <c r="AN693" s="521" t="str">
        <f>VLOOKUP($I693,'Price List, Weapons &amp; Items'!A:K,COLUMN('Price List, Weapons &amp; Items'!$I$1),0)</f>
        <v>Government information</v>
      </c>
      <c r="AO693" s="521" t="str">
        <f>IF(I693=".",".",VLOOKUP($I693,'Price List, Weapons &amp; Items'!A:I,3,0))</f>
        <v>155mm howitzer</v>
      </c>
      <c r="AP693" s="517" t="str">
        <f t="shared" ca="1" si="162"/>
        <v/>
      </c>
      <c r="AQ693" s="521">
        <f>VLOOKUP($I693,'Price List, Weapons &amp; Items'!A:K,COLUMN('Price List, Weapons &amp; Items'!$K$1),0)</f>
        <v>2</v>
      </c>
      <c r="AS693" s="521">
        <f t="shared" si="136"/>
        <v>0</v>
      </c>
      <c r="AT693" s="521">
        <f t="shared" si="137"/>
        <v>1</v>
      </c>
      <c r="AU693" s="521" t="str">
        <f t="shared" si="138"/>
        <v>Value is not in date format</v>
      </c>
      <c r="AV693" s="521" t="str">
        <f t="shared" si="139"/>
        <v>.</v>
      </c>
    </row>
    <row r="694" spans="1:48" ht="15" customHeight="1">
      <c r="A694" s="41" t="s">
        <v>1936</v>
      </c>
      <c r="B694" s="41" t="s">
        <v>1894</v>
      </c>
      <c r="C694" s="511">
        <v>44767</v>
      </c>
      <c r="D694" s="18" t="s">
        <v>252</v>
      </c>
      <c r="E694" s="18" t="s">
        <v>253</v>
      </c>
      <c r="F694" s="512" t="s">
        <v>1937</v>
      </c>
      <c r="G694" s="39" t="s">
        <v>232</v>
      </c>
      <c r="H694" s="513" t="s">
        <v>309</v>
      </c>
      <c r="I694" s="41" t="s">
        <v>1938</v>
      </c>
      <c r="J694" s="276" t="str">
        <f>VLOOKUP($I694,'Price List, Weapons &amp; Items'!A:B,2,0)</f>
        <v>Heavy weapon</v>
      </c>
      <c r="K694" s="276" t="str">
        <f>IF(I694=".",I694,VLOOKUP($I694,'Price List, Weapons &amp; Items'!A:C,3,0))</f>
        <v>Main Battle Tank (MBT)</v>
      </c>
      <c r="L694" s="514">
        <f>VLOOKUP(I694,'Price List, Weapons &amp; Items'!A:D,4,0)</f>
        <v>1</v>
      </c>
      <c r="M694" s="515" t="s">
        <v>264</v>
      </c>
      <c r="N694" s="515" t="s">
        <v>264</v>
      </c>
      <c r="O694" s="516">
        <f>VLOOKUP($I694,'Price List, Weapons &amp; Items'!A:F,6,0)</f>
        <v>9241922.0370000005</v>
      </c>
      <c r="P694" s="513" t="str">
        <f t="shared" si="140"/>
        <v>.</v>
      </c>
      <c r="Q694" s="513" t="str">
        <f t="shared" si="141"/>
        <v>.</v>
      </c>
      <c r="R694" s="513" t="str">
        <f t="shared" si="161"/>
        <v>.</v>
      </c>
      <c r="S694" s="513" t="str">
        <f>IF(AND(AD694=1,R694&lt;&gt;".")=TRUE,R694/VLOOKUP(G694,'Exchange rates'!B:C,2,0),IF(R694=".",".",""))</f>
        <v>.</v>
      </c>
      <c r="T694" s="513" t="str">
        <f>IF(AD694=1,IF(AF694="Value is not given at all",".",IF(AF694="Value is given by the source",S694,IF(AF694="Value is calculated with prices",(IF(SUMIFS(Q:Q,A:A,A694)&gt;0,SUMIFS(Q:Q,A:A,A694),"."))/VLOOKUP("USD",'Exchange rates'!B:C,2,0),"Error with coding"))),"")</f>
        <v>.</v>
      </c>
      <c r="U694" s="39" t="s">
        <v>233</v>
      </c>
      <c r="V694" s="42" t="s">
        <v>1939</v>
      </c>
      <c r="W694" s="42" t="s">
        <v>1940</v>
      </c>
      <c r="X694" s="512" t="s">
        <v>232</v>
      </c>
      <c r="Y694" s="512" t="s">
        <v>232</v>
      </c>
      <c r="Z694" s="39">
        <v>0</v>
      </c>
      <c r="AA694" s="518">
        <v>0</v>
      </c>
      <c r="AB694" s="395" t="s">
        <v>1939</v>
      </c>
      <c r="AC694" s="519" t="str">
        <f>""</f>
        <v/>
      </c>
      <c r="AD694" s="522">
        <v>1</v>
      </c>
      <c r="AE694" s="522" t="s">
        <v>237</v>
      </c>
      <c r="AF694" s="522" t="s">
        <v>237</v>
      </c>
      <c r="AG694" s="522">
        <v>1</v>
      </c>
      <c r="AH694" s="520">
        <v>7</v>
      </c>
      <c r="AI694" s="520">
        <v>0</v>
      </c>
      <c r="AJ694" s="520">
        <f>VLOOKUP($I694,'Price List, Weapons &amp; Items'!A:E,5,0)</f>
        <v>1</v>
      </c>
      <c r="AK694" s="520">
        <f t="shared" si="133"/>
        <v>1</v>
      </c>
      <c r="AL694" s="520">
        <f t="shared" si="134"/>
        <v>1</v>
      </c>
      <c r="AM694" s="520">
        <f t="shared" si="135"/>
        <v>0</v>
      </c>
      <c r="AN694" s="521" t="str">
        <f>VLOOKUP($I694,'Price List, Weapons &amp; Items'!A:K,COLUMN('Price List, Weapons &amp; Items'!$I$1),0)</f>
        <v>Contracts</v>
      </c>
      <c r="AO694" s="521" t="str">
        <f>IF(I694=".",".",VLOOKUP($I694,'Price List, Weapons &amp; Items'!A:I,3,0))</f>
        <v>Main Battle Tank (MBT)</v>
      </c>
      <c r="AP694" s="517" t="str">
        <f t="shared" ca="1" si="162"/>
        <v>PT-91 Twardy</v>
      </c>
      <c r="AQ694" s="521" t="str">
        <f>VLOOKUP($I694,'Price List, Weapons &amp; Items'!A:K,COLUMN('Price List, Weapons &amp; Items'!$K$1),0)</f>
        <v>no price, 0 count</v>
      </c>
      <c r="AS694" s="521">
        <f t="shared" si="136"/>
        <v>1</v>
      </c>
      <c r="AT694" s="521">
        <f t="shared" si="137"/>
        <v>1</v>
      </c>
      <c r="AU694" s="521">
        <f t="shared" si="138"/>
        <v>1</v>
      </c>
      <c r="AV694" s="521" t="str">
        <f t="shared" si="139"/>
        <v>.</v>
      </c>
    </row>
    <row r="695" spans="1:48" ht="15" customHeight="1">
      <c r="A695" s="41" t="s">
        <v>1941</v>
      </c>
      <c r="B695" s="41" t="s">
        <v>1894</v>
      </c>
      <c r="C695" s="550">
        <v>44680</v>
      </c>
      <c r="D695" s="46" t="s">
        <v>252</v>
      </c>
      <c r="E695" s="46" t="s">
        <v>253</v>
      </c>
      <c r="F695" s="46" t="s">
        <v>1942</v>
      </c>
      <c r="G695" s="39" t="s">
        <v>314</v>
      </c>
      <c r="H695" s="513" t="s">
        <v>309</v>
      </c>
      <c r="I695" s="41" t="s">
        <v>1330</v>
      </c>
      <c r="J695" s="276" t="str">
        <f>VLOOKUP($I695,'Price List, Weapons &amp; Items'!A:B,2,0)</f>
        <v>Heavy weapon</v>
      </c>
      <c r="K695" s="276" t="str">
        <f>IF(I695=".",I695,VLOOKUP($I695,'Price List, Weapons &amp; Items'!A:C,3,0))</f>
        <v>Infantry fighting vehicle (IFV)</v>
      </c>
      <c r="L695" s="514">
        <f>VLOOKUP(I695,'Price List, Weapons &amp; Items'!A:D,4,0)</f>
        <v>1</v>
      </c>
      <c r="M695" s="515">
        <v>40</v>
      </c>
      <c r="N695" s="515">
        <v>40</v>
      </c>
      <c r="O695" s="516">
        <f>VLOOKUP($I695,'Price List, Weapons &amp; Items'!A:F,6,0)</f>
        <v>561542.53</v>
      </c>
      <c r="P695" s="513">
        <f t="shared" si="140"/>
        <v>22461701.200000003</v>
      </c>
      <c r="Q695" s="513">
        <f t="shared" si="141"/>
        <v>22461701.200000003</v>
      </c>
      <c r="R695" s="513">
        <f t="shared" si="161"/>
        <v>22461701.200000003</v>
      </c>
      <c r="S695" s="513">
        <f>IF(AND(AD695=1,R695&lt;&gt;".")=TRUE,R695/VLOOKUP(G695,'Exchange rates'!B:C,2,0),IF(R695=".",".",""))</f>
        <v>22383359.441953167</v>
      </c>
      <c r="T695" s="513">
        <f>IF(AD695=1,IF(AF695="Value is not given at all",".",IF(AF695="Value is given by the source",S695,IF(AF695="Value is calculated with prices",(IF(SUMIFS(Q:Q,A:A,A695)&gt;0,SUMIFS(Q:Q,A:A,A695),"."))/VLOOKUP("USD",'Exchange rates'!B:C,2,0),"Error with coding"))),"")</f>
        <v>22383359.441953167</v>
      </c>
      <c r="U695" s="39" t="s">
        <v>372</v>
      </c>
      <c r="V695" s="826" t="s">
        <v>1943</v>
      </c>
      <c r="W695" s="826" t="s">
        <v>1944</v>
      </c>
      <c r="X695" s="826" t="s">
        <v>1945</v>
      </c>
      <c r="Y695" s="825" t="s">
        <v>232</v>
      </c>
      <c r="Z695" s="39">
        <v>0</v>
      </c>
      <c r="AA695" s="518">
        <v>0</v>
      </c>
      <c r="AB695" s="826" t="s">
        <v>1943</v>
      </c>
      <c r="AC695" s="519" t="str">
        <f>""</f>
        <v/>
      </c>
      <c r="AD695" s="522">
        <v>1</v>
      </c>
      <c r="AE695" s="522" t="s">
        <v>300</v>
      </c>
      <c r="AF695" s="522" t="s">
        <v>300</v>
      </c>
      <c r="AG695" s="522">
        <v>1</v>
      </c>
      <c r="AH695" s="520">
        <v>4</v>
      </c>
      <c r="AI695" s="520">
        <v>0</v>
      </c>
      <c r="AJ695" s="520">
        <f>VLOOKUP($I695,'Price List, Weapons &amp; Items'!A:E,5,0)</f>
        <v>1</v>
      </c>
      <c r="AK695" s="520">
        <f t="shared" si="133"/>
        <v>0</v>
      </c>
      <c r="AL695" s="520">
        <f t="shared" si="134"/>
        <v>0</v>
      </c>
      <c r="AM695" s="520">
        <f t="shared" si="135"/>
        <v>0</v>
      </c>
      <c r="AN695" s="521" t="str">
        <f>VLOOKUP($I695,'Price List, Weapons &amp; Items'!A:K,COLUMN('Price List, Weapons &amp; Items'!$I$1),0)</f>
        <v>Contracts</v>
      </c>
      <c r="AO695" s="521" t="str">
        <f>IF(I695=".",".",VLOOKUP($I695,'Price List, Weapons &amp; Items'!A:I,3,0))</f>
        <v>Infantry fighting vehicle (IFV)</v>
      </c>
      <c r="AP695" s="517" t="str">
        <f t="shared" ca="1" si="162"/>
        <v>BMP-1</v>
      </c>
      <c r="AQ695" s="521">
        <f>VLOOKUP($I695,'Price List, Weapons &amp; Items'!A:K,COLUMN('Price List, Weapons &amp; Items'!$K$1),0)</f>
        <v>2</v>
      </c>
      <c r="AS695" s="521">
        <f t="shared" si="136"/>
        <v>0</v>
      </c>
      <c r="AT695" s="521">
        <f t="shared" si="137"/>
        <v>1</v>
      </c>
      <c r="AU695" s="521">
        <f t="shared" si="138"/>
        <v>1</v>
      </c>
      <c r="AV695" s="521" t="str">
        <f t="shared" si="139"/>
        <v>.</v>
      </c>
    </row>
    <row r="696" spans="1:48" ht="15" customHeight="1">
      <c r="A696" s="41" t="s">
        <v>1946</v>
      </c>
      <c r="B696" s="41" t="s">
        <v>1894</v>
      </c>
      <c r="C696" s="511">
        <v>44616</v>
      </c>
      <c r="D696" s="18" t="s">
        <v>366</v>
      </c>
      <c r="E696" s="18" t="s">
        <v>1947</v>
      </c>
      <c r="F696" s="512" t="s">
        <v>1948</v>
      </c>
      <c r="G696" s="39" t="s">
        <v>314</v>
      </c>
      <c r="H696" s="513">
        <v>1000000000</v>
      </c>
      <c r="I696" s="41" t="s">
        <v>232</v>
      </c>
      <c r="J696" s="276" t="str">
        <f>VLOOKUP($I696,'Price List, Weapons &amp; Items'!A:B,2,0)</f>
        <v>.</v>
      </c>
      <c r="K696" s="276" t="str">
        <f>IF(I696=".",I696,VLOOKUP($I696,'Price List, Weapons &amp; Items'!A:C,3,0))</f>
        <v>.</v>
      </c>
      <c r="L696" s="514">
        <f>VLOOKUP(I696,'Price List, Weapons &amp; Items'!A:D,4,0)</f>
        <v>0</v>
      </c>
      <c r="M696" s="515" t="s">
        <v>232</v>
      </c>
      <c r="N696" s="515" t="s">
        <v>232</v>
      </c>
      <c r="O696" s="516" t="str">
        <f>VLOOKUP($I696,'Price List, Weapons &amp; Items'!A:F,6,0)</f>
        <v>.</v>
      </c>
      <c r="P696" s="513" t="str">
        <f t="shared" si="140"/>
        <v>.</v>
      </c>
      <c r="Q696" s="513" t="str">
        <f t="shared" si="141"/>
        <v>.</v>
      </c>
      <c r="R696" s="513">
        <f t="shared" si="161"/>
        <v>1000000000</v>
      </c>
      <c r="S696" s="513">
        <f>IF(AND(AD696=1,R696&lt;&gt;".")=TRUE,R696/VLOOKUP(G696,'Exchange rates'!B:C,2,0),IF(R696=".",".",""))</f>
        <v>996512207.27453911</v>
      </c>
      <c r="T696" s="513" t="str">
        <f>IF(AD696=1,IF(AF696="Value is not given at all",".",IF(AF696="Value is given by the source",S696,IF(AF696="Value is calculated with prices",(IF(SUMIFS(Q:Q,A:A,A696)&gt;0,SUMIFS(Q:Q,A:A,A696),"."))/VLOOKUP("USD",'Exchange rates'!B:C,2,0),"Error with coding"))),"")</f>
        <v>.</v>
      </c>
      <c r="U696" s="39" t="s">
        <v>233</v>
      </c>
      <c r="V696" s="42" t="s">
        <v>1949</v>
      </c>
      <c r="W696" s="42" t="s">
        <v>1950</v>
      </c>
      <c r="X696" s="42" t="s">
        <v>1951</v>
      </c>
      <c r="Y696" s="517" t="s">
        <v>232</v>
      </c>
      <c r="Z696" s="39">
        <v>0</v>
      </c>
      <c r="AA696" s="39">
        <v>0</v>
      </c>
      <c r="AB696" s="38" t="s">
        <v>232</v>
      </c>
      <c r="AC696" s="519" t="str">
        <f>""</f>
        <v/>
      </c>
      <c r="AD696" s="522">
        <v>1</v>
      </c>
      <c r="AE696" s="522" t="s">
        <v>236</v>
      </c>
      <c r="AF696" s="522" t="s">
        <v>237</v>
      </c>
      <c r="AG696" s="522">
        <v>1</v>
      </c>
      <c r="AH696" s="520">
        <v>2</v>
      </c>
      <c r="AI696" s="520">
        <v>0</v>
      </c>
      <c r="AJ696" s="520">
        <f>VLOOKUP($I696,'Price List, Weapons &amp; Items'!A:E,5,0)</f>
        <v>0</v>
      </c>
      <c r="AK696" s="520">
        <f t="shared" si="133"/>
        <v>0</v>
      </c>
      <c r="AL696" s="520">
        <f t="shared" si="134"/>
        <v>0</v>
      </c>
      <c r="AM696" s="520">
        <f t="shared" si="135"/>
        <v>0</v>
      </c>
      <c r="AN696" s="521" t="str">
        <f>VLOOKUP($I696,'Price List, Weapons &amp; Items'!A:K,COLUMN('Price List, Weapons &amp; Items'!$I$1),0)</f>
        <v>.</v>
      </c>
      <c r="AO696" s="521" t="str">
        <f>IF(I696=".",".",VLOOKUP($I696,'Price List, Weapons &amp; Items'!A:I,3,0))</f>
        <v>.</v>
      </c>
      <c r="AP696" s="517" t="str">
        <f t="shared" ca="1" si="162"/>
        <v>.</v>
      </c>
      <c r="AQ696" s="521" t="str">
        <f>VLOOKUP($I696,'Price List, Weapons &amp; Items'!A:K,COLUMN('Price List, Weapons &amp; Items'!$K$1),0)</f>
        <v>no price, 0 count</v>
      </c>
      <c r="AS696" s="521">
        <f t="shared" si="136"/>
        <v>1</v>
      </c>
      <c r="AT696" s="521">
        <f t="shared" si="137"/>
        <v>0</v>
      </c>
      <c r="AU696" s="521">
        <f t="shared" si="138"/>
        <v>1</v>
      </c>
      <c r="AV696" s="521" t="str">
        <f t="shared" si="139"/>
        <v>.</v>
      </c>
    </row>
    <row r="697" spans="1:48" ht="15" customHeight="1">
      <c r="A697" s="41" t="s">
        <v>1952</v>
      </c>
      <c r="B697" s="41" t="s">
        <v>1894</v>
      </c>
      <c r="C697" s="511">
        <v>44623</v>
      </c>
      <c r="D697" s="18" t="s">
        <v>366</v>
      </c>
      <c r="E697" s="18" t="s">
        <v>330</v>
      </c>
      <c r="F697" s="512" t="s">
        <v>1953</v>
      </c>
      <c r="G697" s="39" t="s">
        <v>1954</v>
      </c>
      <c r="H697" s="513">
        <v>30000000</v>
      </c>
      <c r="I697" s="41" t="s">
        <v>232</v>
      </c>
      <c r="J697" s="276" t="str">
        <f>VLOOKUP($I697,'Price List, Weapons &amp; Items'!A:B,2,0)</f>
        <v>.</v>
      </c>
      <c r="K697" s="276" t="str">
        <f>IF(I697=".",I697,VLOOKUP($I697,'Price List, Weapons &amp; Items'!A:C,3,0))</f>
        <v>.</v>
      </c>
      <c r="L697" s="514">
        <f>VLOOKUP(I697,'Price List, Weapons &amp; Items'!A:D,4,0)</f>
        <v>0</v>
      </c>
      <c r="M697" s="515" t="s">
        <v>232</v>
      </c>
      <c r="N697" s="515" t="s">
        <v>232</v>
      </c>
      <c r="O697" s="516" t="str">
        <f>VLOOKUP($I697,'Price List, Weapons &amp; Items'!A:F,6,0)</f>
        <v>.</v>
      </c>
      <c r="P697" s="513" t="str">
        <f t="shared" si="140"/>
        <v>.</v>
      </c>
      <c r="Q697" s="513" t="str">
        <f t="shared" si="141"/>
        <v>.</v>
      </c>
      <c r="R697" s="513">
        <f t="shared" si="161"/>
        <v>30000000</v>
      </c>
      <c r="S697" s="513">
        <f>IF(AND(AD697=1,R697&lt;&gt;".")=TRUE,R697/VLOOKUP(G697,'Exchange rates'!B:C,2,0),IF(R697=".",".",""))</f>
        <v>6354585.892819318</v>
      </c>
      <c r="T697" s="513" t="str">
        <f>IF(AD697=1,IF(AF697="Value is not given at all",".",IF(AF697="Value is given by the source",S697,IF(AF697="Value is calculated with prices",(IF(SUMIFS(Q:Q,A:A,A697)&gt;0,SUMIFS(Q:Q,A:A,A697),"."))/VLOOKUP("USD",'Exchange rates'!B:C,2,0),"Error with coding"))),"")</f>
        <v>.</v>
      </c>
      <c r="U697" s="39" t="s">
        <v>233</v>
      </c>
      <c r="V697" s="42" t="s">
        <v>1955</v>
      </c>
      <c r="W697" s="512" t="s">
        <v>232</v>
      </c>
      <c r="X697" s="512" t="s">
        <v>232</v>
      </c>
      <c r="Y697" s="517" t="s">
        <v>232</v>
      </c>
      <c r="Z697" s="39">
        <v>0</v>
      </c>
      <c r="AA697" s="39">
        <v>0</v>
      </c>
      <c r="AB697" s="38" t="s">
        <v>232</v>
      </c>
      <c r="AC697" s="519" t="str">
        <f>""</f>
        <v/>
      </c>
      <c r="AD697" s="522">
        <v>1</v>
      </c>
      <c r="AE697" s="522" t="s">
        <v>236</v>
      </c>
      <c r="AF697" s="522" t="s">
        <v>237</v>
      </c>
      <c r="AG697" s="522">
        <v>1</v>
      </c>
      <c r="AH697" s="520">
        <v>3</v>
      </c>
      <c r="AI697" s="520">
        <v>0</v>
      </c>
      <c r="AJ697" s="520">
        <f>VLOOKUP($I697,'Price List, Weapons &amp; Items'!A:E,5,0)</f>
        <v>0</v>
      </c>
      <c r="AK697" s="520">
        <f t="shared" si="133"/>
        <v>0</v>
      </c>
      <c r="AL697" s="520">
        <f t="shared" si="134"/>
        <v>0</v>
      </c>
      <c r="AM697" s="520">
        <f t="shared" si="135"/>
        <v>0</v>
      </c>
      <c r="AN697" s="521" t="str">
        <f>VLOOKUP($I697,'Price List, Weapons &amp; Items'!A:K,COLUMN('Price List, Weapons &amp; Items'!$I$1),0)</f>
        <v>.</v>
      </c>
      <c r="AO697" s="521" t="str">
        <f>IF(I697=".",".",VLOOKUP($I697,'Price List, Weapons &amp; Items'!A:I,3,0))</f>
        <v>.</v>
      </c>
      <c r="AP697" s="517" t="str">
        <f t="shared" ca="1" si="162"/>
        <v>.</v>
      </c>
      <c r="AQ697" s="521" t="str">
        <f>VLOOKUP($I697,'Price List, Weapons &amp; Items'!A:K,COLUMN('Price List, Weapons &amp; Items'!$K$1),0)</f>
        <v>no price, 0 count</v>
      </c>
      <c r="AS697" s="521">
        <f t="shared" si="136"/>
        <v>1</v>
      </c>
      <c r="AT697" s="521">
        <f t="shared" si="137"/>
        <v>0</v>
      </c>
      <c r="AU697" s="521">
        <f t="shared" si="138"/>
        <v>1</v>
      </c>
      <c r="AV697" s="521" t="str">
        <f t="shared" si="139"/>
        <v>.</v>
      </c>
    </row>
    <row r="698" spans="1:48" ht="15" customHeight="1">
      <c r="A698" s="41" t="s">
        <v>1956</v>
      </c>
      <c r="B698" s="41" t="s">
        <v>1957</v>
      </c>
      <c r="C698" s="511">
        <v>44624</v>
      </c>
      <c r="D698" s="18" t="s">
        <v>228</v>
      </c>
      <c r="E698" s="18" t="s">
        <v>239</v>
      </c>
      <c r="F698" s="512" t="s">
        <v>1958</v>
      </c>
      <c r="G698" s="39" t="s">
        <v>332</v>
      </c>
      <c r="H698" s="513">
        <v>100000</v>
      </c>
      <c r="I698" s="41" t="s">
        <v>232</v>
      </c>
      <c r="J698" s="276" t="str">
        <f>VLOOKUP($I698,'Price List, Weapons &amp; Items'!A:B,2,0)</f>
        <v>.</v>
      </c>
      <c r="K698" s="276" t="str">
        <f>IF(I698=".",I698,VLOOKUP($I698,'Price List, Weapons &amp; Items'!A:C,3,0))</f>
        <v>.</v>
      </c>
      <c r="L698" s="514">
        <f>VLOOKUP(I698,'Price List, Weapons &amp; Items'!A:D,4,0)</f>
        <v>0</v>
      </c>
      <c r="M698" s="515" t="s">
        <v>232</v>
      </c>
      <c r="N698" s="515" t="s">
        <v>232</v>
      </c>
      <c r="O698" s="516" t="str">
        <f>VLOOKUP($I698,'Price List, Weapons &amp; Items'!A:F,6,0)</f>
        <v>.</v>
      </c>
      <c r="P698" s="513" t="str">
        <f t="shared" si="140"/>
        <v>.</v>
      </c>
      <c r="Q698" s="513" t="str">
        <f t="shared" si="141"/>
        <v>.</v>
      </c>
      <c r="R698" s="513">
        <f t="shared" si="161"/>
        <v>100000</v>
      </c>
      <c r="S698" s="513">
        <f>IF(AND(AD698=1,R698&lt;&gt;".")=TRUE,R698/VLOOKUP(G698,'Exchange rates'!B:C,2,0),IF(R698=".",".",""))</f>
        <v>100000</v>
      </c>
      <c r="T698" s="513" t="str">
        <f>IF(AD698=1,IF(AF698="Value is not given at all",".",IF(AF698="Value is given by the source",S698,IF(AF698="Value is calculated with prices",(IF(SUMIFS(Q:Q,A:A,A698)&gt;0,SUMIFS(Q:Q,A:A,A698),"."))/VLOOKUP("USD",'Exchange rates'!B:C,2,0),"Error with coding"))),"")</f>
        <v>.</v>
      </c>
      <c r="U698" s="39" t="s">
        <v>372</v>
      </c>
      <c r="V698" s="42" t="s">
        <v>1959</v>
      </c>
      <c r="W698" s="42" t="s">
        <v>1960</v>
      </c>
      <c r="X698" s="512" t="s">
        <v>232</v>
      </c>
      <c r="Y698" s="512" t="s">
        <v>232</v>
      </c>
      <c r="Z698" s="39">
        <v>0</v>
      </c>
      <c r="AA698" s="39">
        <v>0</v>
      </c>
      <c r="AB698" s="38" t="s">
        <v>232</v>
      </c>
      <c r="AC698" s="519" t="str">
        <f>""</f>
        <v/>
      </c>
      <c r="AD698" s="522">
        <v>1</v>
      </c>
      <c r="AE698" s="522" t="s">
        <v>236</v>
      </c>
      <c r="AF698" s="522" t="s">
        <v>237</v>
      </c>
      <c r="AG698" s="522">
        <v>1</v>
      </c>
      <c r="AH698" s="520">
        <v>3</v>
      </c>
      <c r="AI698" s="520">
        <v>0</v>
      </c>
      <c r="AJ698" s="520">
        <f>VLOOKUP($I698,'Price List, Weapons &amp; Items'!A:E,5,0)</f>
        <v>0</v>
      </c>
      <c r="AK698" s="520">
        <f t="shared" si="133"/>
        <v>0</v>
      </c>
      <c r="AL698" s="520">
        <f t="shared" si="134"/>
        <v>0</v>
      </c>
      <c r="AM698" s="520">
        <f t="shared" si="135"/>
        <v>0</v>
      </c>
      <c r="AN698" s="521" t="str">
        <f>VLOOKUP($I698,'Price List, Weapons &amp; Items'!A:K,COLUMN('Price List, Weapons &amp; Items'!$I$1),0)</f>
        <v>.</v>
      </c>
      <c r="AO698" s="521" t="str">
        <f>IF(I698=".",".",VLOOKUP($I698,'Price List, Weapons &amp; Items'!A:I,3,0))</f>
        <v>.</v>
      </c>
      <c r="AP698" s="517" t="str">
        <f t="shared" ca="1" si="162"/>
        <v>.</v>
      </c>
      <c r="AQ698" s="521" t="str">
        <f>VLOOKUP($I698,'Price List, Weapons &amp; Items'!A:K,COLUMN('Price List, Weapons &amp; Items'!$K$1),0)</f>
        <v>no price, 0 count</v>
      </c>
      <c r="AS698" s="521">
        <f t="shared" si="136"/>
        <v>0</v>
      </c>
      <c r="AT698" s="521">
        <f t="shared" si="137"/>
        <v>0</v>
      </c>
      <c r="AU698" s="521">
        <f t="shared" si="138"/>
        <v>1</v>
      </c>
      <c r="AV698" s="521" t="str">
        <f t="shared" si="139"/>
        <v>.</v>
      </c>
    </row>
    <row r="699" spans="1:48" ht="15" customHeight="1">
      <c r="A699" s="41" t="s">
        <v>1961</v>
      </c>
      <c r="B699" s="41" t="s">
        <v>1957</v>
      </c>
      <c r="C699" s="511">
        <v>44686</v>
      </c>
      <c r="D699" s="18" t="s">
        <v>228</v>
      </c>
      <c r="E699" s="18" t="s">
        <v>229</v>
      </c>
      <c r="F699" s="512" t="s">
        <v>1962</v>
      </c>
      <c r="G699" s="39" t="s">
        <v>332</v>
      </c>
      <c r="H699" s="513">
        <v>1100000</v>
      </c>
      <c r="I699" s="41" t="s">
        <v>232</v>
      </c>
      <c r="J699" s="276" t="str">
        <f>VLOOKUP($I699,'Price List, Weapons &amp; Items'!A:B,2,0)</f>
        <v>.</v>
      </c>
      <c r="K699" s="276" t="str">
        <f>IF(I699=".",I699,VLOOKUP($I699,'Price List, Weapons &amp; Items'!A:C,3,0))</f>
        <v>.</v>
      </c>
      <c r="L699" s="514">
        <f>VLOOKUP(I699,'Price List, Weapons &amp; Items'!A:D,4,0)</f>
        <v>0</v>
      </c>
      <c r="M699" s="515" t="s">
        <v>232</v>
      </c>
      <c r="N699" s="515" t="s">
        <v>232</v>
      </c>
      <c r="O699" s="516" t="str">
        <f>VLOOKUP($I699,'Price List, Weapons &amp; Items'!A:F,6,0)</f>
        <v>.</v>
      </c>
      <c r="P699" s="513" t="str">
        <f t="shared" si="140"/>
        <v>.</v>
      </c>
      <c r="Q699" s="513" t="str">
        <f t="shared" si="141"/>
        <v>.</v>
      </c>
      <c r="R699" s="513">
        <f t="shared" si="161"/>
        <v>1100000</v>
      </c>
      <c r="S699" s="513">
        <f>IF(AND(AD699=1,R699&lt;&gt;".")=TRUE,R699/VLOOKUP(G699,'Exchange rates'!B:C,2,0),IF(R699=".",".",""))</f>
        <v>1100000</v>
      </c>
      <c r="T699" s="513" t="str">
        <f>IF(AD699=1,IF(AF699="Value is not given at all",".",IF(AF699="Value is given by the source",S699,IF(AF699="Value is calculated with prices",(IF(SUMIFS(Q:Q,A:A,A699)&gt;0,SUMIFS(Q:Q,A:A,A699),"."))/VLOOKUP("USD",'Exchange rates'!B:C,2,0),"Error with coding"))),"")</f>
        <v>.</v>
      </c>
      <c r="U699" s="39" t="s">
        <v>233</v>
      </c>
      <c r="V699" s="42" t="s">
        <v>1963</v>
      </c>
      <c r="W699" s="512" t="s">
        <v>232</v>
      </c>
      <c r="X699" s="512" t="s">
        <v>232</v>
      </c>
      <c r="Y699" s="517" t="s">
        <v>232</v>
      </c>
      <c r="Z699" s="39">
        <v>0</v>
      </c>
      <c r="AA699" s="39">
        <v>0</v>
      </c>
      <c r="AB699" s="38" t="s">
        <v>232</v>
      </c>
      <c r="AC699" s="519" t="str">
        <f>""</f>
        <v/>
      </c>
      <c r="AD699" s="522">
        <v>1</v>
      </c>
      <c r="AE699" s="522" t="s">
        <v>236</v>
      </c>
      <c r="AF699" s="522" t="s">
        <v>237</v>
      </c>
      <c r="AG699" s="522">
        <v>1</v>
      </c>
      <c r="AH699" s="520">
        <v>5</v>
      </c>
      <c r="AI699" s="520">
        <v>0</v>
      </c>
      <c r="AJ699" s="520">
        <f>VLOOKUP($I699,'Price List, Weapons &amp; Items'!A:E,5,0)</f>
        <v>0</v>
      </c>
      <c r="AK699" s="520">
        <f t="shared" si="133"/>
        <v>0</v>
      </c>
      <c r="AL699" s="520">
        <f t="shared" si="134"/>
        <v>0</v>
      </c>
      <c r="AM699" s="520">
        <f t="shared" si="135"/>
        <v>0</v>
      </c>
      <c r="AN699" s="521" t="str">
        <f>VLOOKUP($I699,'Price List, Weapons &amp; Items'!A:K,COLUMN('Price List, Weapons &amp; Items'!$I$1),0)</f>
        <v>.</v>
      </c>
      <c r="AO699" s="521" t="str">
        <f>IF(I699=".",".",VLOOKUP($I699,'Price List, Weapons &amp; Items'!A:I,3,0))</f>
        <v>.</v>
      </c>
      <c r="AP699" s="517" t="str">
        <f t="shared" ca="1" si="162"/>
        <v>.</v>
      </c>
      <c r="AQ699" s="521" t="str">
        <f>VLOOKUP($I699,'Price List, Weapons &amp; Items'!A:K,COLUMN('Price List, Weapons &amp; Items'!$K$1),0)</f>
        <v>no price, 0 count</v>
      </c>
      <c r="AS699" s="521">
        <f t="shared" si="136"/>
        <v>1</v>
      </c>
      <c r="AT699" s="521">
        <f t="shared" si="137"/>
        <v>0</v>
      </c>
      <c r="AU699" s="521">
        <f t="shared" si="138"/>
        <v>1</v>
      </c>
      <c r="AV699" s="521" t="str">
        <f t="shared" si="139"/>
        <v>.</v>
      </c>
    </row>
    <row r="700" spans="1:48" ht="15" customHeight="1">
      <c r="A700" s="41" t="s">
        <v>1964</v>
      </c>
      <c r="B700" s="40" t="s">
        <v>1957</v>
      </c>
      <c r="C700" s="511">
        <v>44848</v>
      </c>
      <c r="D700" s="18" t="s">
        <v>252</v>
      </c>
      <c r="E700" s="18" t="s">
        <v>261</v>
      </c>
      <c r="F700" s="512" t="s">
        <v>1965</v>
      </c>
      <c r="G700" s="39" t="s">
        <v>314</v>
      </c>
      <c r="H700" s="513" t="s">
        <v>309</v>
      </c>
      <c r="I700" s="41" t="s">
        <v>1966</v>
      </c>
      <c r="J700" s="276" t="str">
        <f>VLOOKUP($I700,'Price List, Weapons &amp; Items'!A:B,2,0)</f>
        <v>Humanitarian</v>
      </c>
      <c r="K700" s="276" t="str">
        <f>IF(I700=".",I700,VLOOKUP($I700,'Price List, Weapons &amp; Items'!A:C,3,0))</f>
        <v>.</v>
      </c>
      <c r="L700" s="514">
        <f>VLOOKUP(I700,'Price List, Weapons &amp; Items'!A:D,4,0)</f>
        <v>1</v>
      </c>
      <c r="M700" s="515">
        <v>6</v>
      </c>
      <c r="N700" s="515" t="s">
        <v>232</v>
      </c>
      <c r="O700" s="516">
        <f>VLOOKUP($I700,'Price List, Weapons &amp; Items'!A:F,6,0)</f>
        <v>5850000</v>
      </c>
      <c r="P700" s="513">
        <f>IF(TYPE(M700)=1,IF(TYPE(O700)=1,M700*O700,"No price"),".")</f>
        <v>35100000</v>
      </c>
      <c r="Q700" s="513" t="str">
        <f>IF(TYPE(N700)=1,IF(TYPE(O700)=1,N700*O700,"No price"),".")</f>
        <v>.</v>
      </c>
      <c r="R700" s="513">
        <f t="shared" si="161"/>
        <v>37522800</v>
      </c>
      <c r="S700" s="513">
        <f>IF(AND(AD700=1,R700&lt;&gt;".")=TRUE,R700/VLOOKUP(G700,'Exchange rates'!B:C,2,0),IF(R700=".",".",""))</f>
        <v>37391928.251121074</v>
      </c>
      <c r="T700" s="513" t="str">
        <f>IF(AD700=1,IF(AF700="Value is not given at all",".",IF(AF700="Value is given by the source",S700,IF(AF700="Value is calculated with prices",(IF(SUMIFS(Q:Q,A:A,A700)&gt;0,SUMIFS(Q:Q,A:A,A700),"."))/VLOOKUP("USD",'Exchange rates'!B:C,2,0),"Error with coding"))),"")</f>
        <v>.</v>
      </c>
      <c r="U700" s="39" t="s">
        <v>372</v>
      </c>
      <c r="V700" s="829" t="s">
        <v>1967</v>
      </c>
      <c r="W700" s="555" t="s">
        <v>232</v>
      </c>
      <c r="X700" s="512" t="s">
        <v>232</v>
      </c>
      <c r="Y700" s="512" t="s">
        <v>232</v>
      </c>
      <c r="Z700" s="39">
        <v>0</v>
      </c>
      <c r="AA700" s="39">
        <v>1</v>
      </c>
      <c r="AB700" s="521" t="s">
        <v>232</v>
      </c>
      <c r="AC700" s="519" t="str">
        <f>""</f>
        <v/>
      </c>
      <c r="AD700" s="522">
        <v>1</v>
      </c>
      <c r="AE700" s="522" t="s">
        <v>300</v>
      </c>
      <c r="AF700" s="522" t="s">
        <v>237</v>
      </c>
      <c r="AG700" s="522">
        <v>1</v>
      </c>
      <c r="AH700" s="520">
        <v>10</v>
      </c>
      <c r="AI700" s="520">
        <v>0</v>
      </c>
      <c r="AJ700" s="520">
        <f>VLOOKUP($I700,'Price List, Weapons &amp; Items'!A:E,5,0)</f>
        <v>0</v>
      </c>
      <c r="AK700" s="520">
        <f>IF(AND(AJ700=1,M700="undisclosed")=TRUE,1,0)</f>
        <v>0</v>
      </c>
      <c r="AL700" s="520">
        <f>IF(AND(AJ700=1,N700="undisclosed")=TRUE,1,0)</f>
        <v>0</v>
      </c>
      <c r="AM700" s="520">
        <f>IFERROR(IF(SEARCH("ammuni",I700,1)&gt;0,1,0),0)</f>
        <v>0</v>
      </c>
      <c r="AN700" s="521" t="str">
        <f>VLOOKUP($I700,'Price List, Weapons &amp; Items'!A:K,COLUMN('Price List, Weapons &amp; Items'!$I$1),0)</f>
        <v>Media reports (incl. social media)</v>
      </c>
      <c r="AO700" s="521" t="str">
        <f>IF(I700=".",".",VLOOKUP($I700,'Price List, Weapons &amp; Items'!A:I,3,0))</f>
        <v>.</v>
      </c>
      <c r="AP700" s="517" t="str">
        <f t="shared" ca="1" si="162"/>
        <v>K-32 helicopter; ballistic vest</v>
      </c>
      <c r="AQ700" s="521">
        <f>VLOOKUP($I700,'Price List, Weapons &amp; Items'!A:K,COLUMN('Price List, Weapons &amp; Items'!$K$1),0)</f>
        <v>0</v>
      </c>
      <c r="AS700" s="521">
        <f>IF(U700="Yes",1,0)</f>
        <v>0</v>
      </c>
      <c r="AT700" s="521">
        <f>IF(OR((E700="Weapons"),(E700="Weapons and equipment"),(E700="Weapons and training"),(E700="Weapons and Assistance"),(E700="Military Equipment"))=FALSE,0,1)</f>
        <v>1</v>
      </c>
      <c r="AU700" s="521">
        <f>IFERROR(IF(VALUE(TEXT(C700,"mm"))=AH700,".",1),"Value is not in date format")</f>
        <v>1</v>
      </c>
      <c r="AV700" s="521" t="str">
        <f>IF(AND(A700=A699,C700=C699)=TRUE,IF(F700=F699,".","1"),".")</f>
        <v>.</v>
      </c>
    </row>
    <row r="701" spans="1:48" ht="15" customHeight="1">
      <c r="A701" s="18" t="s">
        <v>1968</v>
      </c>
      <c r="B701" s="18" t="s">
        <v>1957</v>
      </c>
      <c r="C701" s="511">
        <v>44618</v>
      </c>
      <c r="D701" s="18" t="s">
        <v>252</v>
      </c>
      <c r="E701" s="18" t="s">
        <v>261</v>
      </c>
      <c r="F701" s="512" t="s">
        <v>1969</v>
      </c>
      <c r="G701" s="39" t="s">
        <v>314</v>
      </c>
      <c r="H701" s="513" t="s">
        <v>309</v>
      </c>
      <c r="I701" s="41" t="s">
        <v>446</v>
      </c>
      <c r="J701" s="276" t="str">
        <f>VLOOKUP($I701,'Price List, Weapons &amp; Items'!A:B,2,0)</f>
        <v>Military equipment</v>
      </c>
      <c r="K701" s="276" t="str">
        <f>IF(I701=".",I701,VLOOKUP($I701,'Price List, Weapons &amp; Items'!A:C,3,0))</f>
        <v>.</v>
      </c>
      <c r="L701" s="514">
        <f>VLOOKUP(I701,'Price List, Weapons &amp; Items'!A:D,4,0)</f>
        <v>0</v>
      </c>
      <c r="M701" s="515" t="s">
        <v>264</v>
      </c>
      <c r="N701" s="515" t="s">
        <v>264</v>
      </c>
      <c r="O701" s="516">
        <f>VLOOKUP($I701,'Price List, Weapons &amp; Items'!A:F,6,0)</f>
        <v>500</v>
      </c>
      <c r="P701" s="513" t="str">
        <f t="shared" si="140"/>
        <v>.</v>
      </c>
      <c r="Q701" s="513" t="str">
        <f t="shared" si="141"/>
        <v>.</v>
      </c>
      <c r="R701" s="513" t="str">
        <f t="shared" si="161"/>
        <v>.</v>
      </c>
      <c r="S701" s="513" t="str">
        <f>IF(AND(AD701=1,R701&lt;&gt;".")=TRUE,R701/VLOOKUP(G701,'Exchange rates'!B:C,2,0),IF(R701=".",".",""))</f>
        <v>.</v>
      </c>
      <c r="T701" s="513" t="str">
        <f>IF(AD701=1,IF(AF701="Value is not given at all",".",IF(AF701="Value is given by the source",S701,IF(AF701="Value is calculated with prices",(IF(SUMIFS(Q:Q,A:A,A701)&gt;0,SUMIFS(Q:Q,A:A,A701),"."))/VLOOKUP("USD",'Exchange rates'!B:C,2,0),"Error with coding"))),"")</f>
        <v>.</v>
      </c>
      <c r="U701" s="589" t="s">
        <v>233</v>
      </c>
      <c r="V701" s="376" t="s">
        <v>1970</v>
      </c>
      <c r="W701" s="376" t="s">
        <v>1971</v>
      </c>
      <c r="X701" s="528" t="s">
        <v>232</v>
      </c>
      <c r="Y701" s="528" t="s">
        <v>232</v>
      </c>
      <c r="Z701" s="39">
        <v>0</v>
      </c>
      <c r="AA701" s="39">
        <v>0</v>
      </c>
      <c r="AB701" s="395" t="s">
        <v>1972</v>
      </c>
      <c r="AC701" s="519" t="str">
        <f>""</f>
        <v/>
      </c>
      <c r="AD701" s="522">
        <v>1</v>
      </c>
      <c r="AE701" s="522" t="s">
        <v>237</v>
      </c>
      <c r="AF701" s="522" t="s">
        <v>237</v>
      </c>
      <c r="AG701" s="522">
        <v>1</v>
      </c>
      <c r="AH701" s="522">
        <v>2</v>
      </c>
      <c r="AI701" s="522">
        <v>0</v>
      </c>
      <c r="AJ701" s="520">
        <f>VLOOKUP($I701,'Price List, Weapons &amp; Items'!A:E,5,0)</f>
        <v>0</v>
      </c>
      <c r="AK701" s="520">
        <f t="shared" si="133"/>
        <v>0</v>
      </c>
      <c r="AL701" s="520">
        <f t="shared" si="134"/>
        <v>0</v>
      </c>
      <c r="AM701" s="520">
        <f t="shared" si="135"/>
        <v>0</v>
      </c>
      <c r="AN701" s="521" t="str">
        <f>VLOOKUP($I701,'Price List, Weapons &amp; Items'!A:K,COLUMN('Price List, Weapons &amp; Items'!$I$1),0)</f>
        <v>Military media (incl. websites)</v>
      </c>
      <c r="AO701" s="521" t="str">
        <f>IF(I701=".",".",VLOOKUP($I701,'Price List, Weapons &amp; Items'!A:I,3,0))</f>
        <v>.</v>
      </c>
      <c r="AP701" s="517" t="str">
        <f t="shared" ca="1" si="162"/>
        <v>ballistic vest; helmet; night vision device; hand grenade; rifle + MG round; portable radio; G3 automatic rifle</v>
      </c>
      <c r="AQ701" s="521">
        <f>VLOOKUP($I701,'Price List, Weapons &amp; Items'!A:K,COLUMN('Price List, Weapons &amp; Items'!$K$1),0)</f>
        <v>2</v>
      </c>
      <c r="AS701" s="521">
        <f t="shared" si="136"/>
        <v>1</v>
      </c>
      <c r="AT701" s="521">
        <f t="shared" si="137"/>
        <v>1</v>
      </c>
      <c r="AU701" s="521">
        <f t="shared" si="138"/>
        <v>1</v>
      </c>
      <c r="AV701" s="521" t="str">
        <f>IF(AND(A701=A700,C701=C700)=TRUE,IF(F701=F700,".","1"),".")</f>
        <v>.</v>
      </c>
    </row>
    <row r="702" spans="1:48" ht="15" customHeight="1">
      <c r="A702" s="18" t="s">
        <v>1968</v>
      </c>
      <c r="B702" s="18" t="s">
        <v>1957</v>
      </c>
      <c r="C702" s="511">
        <v>44618</v>
      </c>
      <c r="D702" s="18" t="s">
        <v>252</v>
      </c>
      <c r="E702" s="18" t="s">
        <v>261</v>
      </c>
      <c r="F702" s="512" t="s">
        <v>1969</v>
      </c>
      <c r="G702" s="39" t="s">
        <v>314</v>
      </c>
      <c r="H702" s="513" t="s">
        <v>309</v>
      </c>
      <c r="I702" s="41" t="s">
        <v>419</v>
      </c>
      <c r="J702" s="276" t="str">
        <f>VLOOKUP($I702,'Price List, Weapons &amp; Items'!A:B,2,0)</f>
        <v>Military equipment</v>
      </c>
      <c r="K702" s="276" t="str">
        <f>IF(I702=".",I702,VLOOKUP($I702,'Price List, Weapons &amp; Items'!A:C,3,0))</f>
        <v>.</v>
      </c>
      <c r="L702" s="514">
        <f>VLOOKUP(I702,'Price List, Weapons &amp; Items'!A:D,4,0)</f>
        <v>0</v>
      </c>
      <c r="M702" s="515" t="s">
        <v>264</v>
      </c>
      <c r="N702" s="515" t="s">
        <v>264</v>
      </c>
      <c r="O702" s="516">
        <f>VLOOKUP($I702,'Price List, Weapons &amp; Items'!A:F,6,0)</f>
        <v>1400</v>
      </c>
      <c r="P702" s="513" t="str">
        <f t="shared" si="140"/>
        <v>.</v>
      </c>
      <c r="Q702" s="513" t="str">
        <f t="shared" si="141"/>
        <v>.</v>
      </c>
      <c r="R702" s="513" t="str">
        <f t="shared" si="161"/>
        <v/>
      </c>
      <c r="S702" s="513" t="str">
        <f>IF(AND(AD702=1,R702&lt;&gt;".")=TRUE,R702/VLOOKUP(G702,'Exchange rates'!B:C,2,0),IF(R702=".",".",""))</f>
        <v/>
      </c>
      <c r="T702" s="513" t="str">
        <f>IF(AD702=1,IF(AF702="Value is not given at all",".",IF(AF702="Value is given by the source",S702,IF(AF702="Value is calculated with prices",(IF(SUMIFS(Q:Q,A:A,A702)&gt;0,SUMIFS(Q:Q,A:A,A702),"."))/VLOOKUP("USD",'Exchange rates'!B:C,2,0),"Error with coding"))),"")</f>
        <v/>
      </c>
      <c r="U702" s="589" t="s">
        <v>233</v>
      </c>
      <c r="V702" s="376" t="s">
        <v>1970</v>
      </c>
      <c r="W702" s="376" t="s">
        <v>1971</v>
      </c>
      <c r="X702" s="528" t="s">
        <v>232</v>
      </c>
      <c r="Y702" s="528" t="s">
        <v>232</v>
      </c>
      <c r="Z702" s="39">
        <v>0</v>
      </c>
      <c r="AA702" s="39">
        <v>0</v>
      </c>
      <c r="AB702" s="395" t="s">
        <v>1972</v>
      </c>
      <c r="AC702" s="519" t="str">
        <f>""</f>
        <v/>
      </c>
      <c r="AD702" s="522">
        <v>0</v>
      </c>
      <c r="AE702" s="522" t="s">
        <v>237</v>
      </c>
      <c r="AF702" s="522" t="s">
        <v>237</v>
      </c>
      <c r="AG702" s="522">
        <v>1</v>
      </c>
      <c r="AH702" s="522">
        <v>2</v>
      </c>
      <c r="AI702" s="522">
        <v>0</v>
      </c>
      <c r="AJ702" s="520">
        <f>VLOOKUP($I702,'Price List, Weapons &amp; Items'!A:E,5,0)</f>
        <v>0</v>
      </c>
      <c r="AK702" s="520">
        <f t="shared" si="133"/>
        <v>0</v>
      </c>
      <c r="AL702" s="520">
        <f t="shared" si="134"/>
        <v>0</v>
      </c>
      <c r="AM702" s="520">
        <f t="shared" si="135"/>
        <v>0</v>
      </c>
      <c r="AN702" s="521" t="str">
        <f>VLOOKUP($I702,'Price List, Weapons &amp; Items'!A:K,COLUMN('Price List, Weapons &amp; Items'!$I$1),0)</f>
        <v>Military media (incl. websites)</v>
      </c>
      <c r="AO702" s="521" t="str">
        <f>IF(I702=".",".",VLOOKUP($I702,'Price List, Weapons &amp; Items'!A:I,3,0))</f>
        <v>.</v>
      </c>
      <c r="AP702" s="517" t="str">
        <f t="shared" ca="1" si="162"/>
        <v/>
      </c>
      <c r="AQ702" s="521">
        <f>VLOOKUP($I702,'Price List, Weapons &amp; Items'!A:K,COLUMN('Price List, Weapons &amp; Items'!$K$1),0)</f>
        <v>2</v>
      </c>
      <c r="AS702" s="521">
        <f t="shared" si="136"/>
        <v>1</v>
      </c>
      <c r="AT702" s="521">
        <f t="shared" si="137"/>
        <v>1</v>
      </c>
      <c r="AU702" s="521">
        <f t="shared" si="138"/>
        <v>1</v>
      </c>
      <c r="AV702" s="521" t="str">
        <f t="shared" si="139"/>
        <v>.</v>
      </c>
    </row>
    <row r="703" spans="1:48" ht="15" customHeight="1">
      <c r="A703" s="18" t="s">
        <v>1968</v>
      </c>
      <c r="B703" s="18" t="s">
        <v>1957</v>
      </c>
      <c r="C703" s="511">
        <v>44618</v>
      </c>
      <c r="D703" s="18" t="s">
        <v>252</v>
      </c>
      <c r="E703" s="18" t="s">
        <v>261</v>
      </c>
      <c r="F703" s="512" t="s">
        <v>1969</v>
      </c>
      <c r="G703" s="39" t="s">
        <v>314</v>
      </c>
      <c r="H703" s="513" t="s">
        <v>309</v>
      </c>
      <c r="I703" s="41" t="s">
        <v>529</v>
      </c>
      <c r="J703" s="276" t="str">
        <f>VLOOKUP($I703,'Price List, Weapons &amp; Items'!A:B,2,0)</f>
        <v>Military equipment</v>
      </c>
      <c r="K703" s="276" t="str">
        <f>IF(I703=".",I703,VLOOKUP($I703,'Price List, Weapons &amp; Items'!A:C,3,0))</f>
        <v>.</v>
      </c>
      <c r="L703" s="514">
        <f>VLOOKUP(I703,'Price List, Weapons &amp; Items'!A:D,4,0)</f>
        <v>0</v>
      </c>
      <c r="M703" s="515" t="s">
        <v>264</v>
      </c>
      <c r="N703" s="515" t="s">
        <v>264</v>
      </c>
      <c r="O703" s="516">
        <f>VLOOKUP($I703,'Price List, Weapons &amp; Items'!A:F,6,0)</f>
        <v>2320</v>
      </c>
      <c r="P703" s="513" t="str">
        <f t="shared" si="140"/>
        <v>.</v>
      </c>
      <c r="Q703" s="513" t="str">
        <f t="shared" si="141"/>
        <v>.</v>
      </c>
      <c r="R703" s="513" t="str">
        <f t="shared" si="161"/>
        <v/>
      </c>
      <c r="S703" s="513" t="str">
        <f>IF(AND(AD703=1,R703&lt;&gt;".")=TRUE,R703/VLOOKUP(G703,'Exchange rates'!B:C,2,0),IF(R703=".",".",""))</f>
        <v/>
      </c>
      <c r="T703" s="513" t="str">
        <f>IF(AD703=1,IF(AF703="Value is not given at all",".",IF(AF703="Value is given by the source",S703,IF(AF703="Value is calculated with prices",(IF(SUMIFS(Q:Q,A:A,A703)&gt;0,SUMIFS(Q:Q,A:A,A703),"."))/VLOOKUP("USD",'Exchange rates'!B:C,2,0),"Error with coding"))),"")</f>
        <v/>
      </c>
      <c r="U703" s="589" t="s">
        <v>233</v>
      </c>
      <c r="V703" s="376" t="s">
        <v>1970</v>
      </c>
      <c r="W703" s="376" t="s">
        <v>1971</v>
      </c>
      <c r="X703" s="528" t="s">
        <v>232</v>
      </c>
      <c r="Y703" s="528" t="s">
        <v>232</v>
      </c>
      <c r="Z703" s="39">
        <v>0</v>
      </c>
      <c r="AA703" s="39">
        <v>0</v>
      </c>
      <c r="AB703" s="395" t="s">
        <v>1972</v>
      </c>
      <c r="AC703" s="519" t="str">
        <f>""</f>
        <v/>
      </c>
      <c r="AD703" s="522">
        <v>0</v>
      </c>
      <c r="AE703" s="522" t="s">
        <v>237</v>
      </c>
      <c r="AF703" s="522" t="s">
        <v>237</v>
      </c>
      <c r="AG703" s="522">
        <v>1</v>
      </c>
      <c r="AH703" s="522">
        <v>2</v>
      </c>
      <c r="AI703" s="522">
        <v>0</v>
      </c>
      <c r="AJ703" s="520">
        <f>VLOOKUP($I703,'Price List, Weapons &amp; Items'!A:E,5,0)</f>
        <v>0</v>
      </c>
      <c r="AK703" s="520">
        <f t="shared" si="133"/>
        <v>0</v>
      </c>
      <c r="AL703" s="520">
        <f t="shared" si="134"/>
        <v>0</v>
      </c>
      <c r="AM703" s="520">
        <f t="shared" si="135"/>
        <v>0</v>
      </c>
      <c r="AN703" s="521" t="str">
        <f>VLOOKUP($I703,'Price List, Weapons &amp; Items'!A:K,COLUMN('Price List, Weapons &amp; Items'!$I$1),0)</f>
        <v>Media reports (incl. social media)</v>
      </c>
      <c r="AO703" s="521" t="str">
        <f>IF(I703=".",".",VLOOKUP($I703,'Price List, Weapons &amp; Items'!A:I,3,0))</f>
        <v>.</v>
      </c>
      <c r="AP703" s="517" t="str">
        <f t="shared" ca="1" si="162"/>
        <v/>
      </c>
      <c r="AQ703" s="521">
        <f>VLOOKUP($I703,'Price List, Weapons &amp; Items'!A:K,COLUMN('Price List, Weapons &amp; Items'!$K$1),0)</f>
        <v>2</v>
      </c>
      <c r="AS703" s="521">
        <f t="shared" si="136"/>
        <v>1</v>
      </c>
      <c r="AT703" s="521">
        <f t="shared" si="137"/>
        <v>1</v>
      </c>
      <c r="AU703" s="521">
        <f t="shared" si="138"/>
        <v>1</v>
      </c>
      <c r="AV703" s="521" t="str">
        <f t="shared" si="139"/>
        <v>.</v>
      </c>
    </row>
    <row r="704" spans="1:48" ht="15" customHeight="1">
      <c r="A704" s="18" t="s">
        <v>1968</v>
      </c>
      <c r="B704" s="18" t="s">
        <v>1957</v>
      </c>
      <c r="C704" s="511">
        <v>44618</v>
      </c>
      <c r="D704" s="18" t="s">
        <v>252</v>
      </c>
      <c r="E704" s="18" t="s">
        <v>261</v>
      </c>
      <c r="F704" s="512" t="s">
        <v>1969</v>
      </c>
      <c r="G704" s="39" t="s">
        <v>314</v>
      </c>
      <c r="H704" s="513" t="s">
        <v>309</v>
      </c>
      <c r="I704" s="41" t="s">
        <v>533</v>
      </c>
      <c r="J704" s="276" t="str">
        <f>VLOOKUP($I704,'Price List, Weapons &amp; Items'!A:B,2,0)</f>
        <v>Light armaments &amp; infantry</v>
      </c>
      <c r="K704" s="276" t="str">
        <f>IF(I704=".",I704,VLOOKUP($I704,'Price List, Weapons &amp; Items'!A:C,3,0))</f>
        <v>Explosive</v>
      </c>
      <c r="L704" s="514">
        <f>VLOOKUP(I704,'Price List, Weapons &amp; Items'!A:D,4,0)</f>
        <v>0</v>
      </c>
      <c r="M704" s="515" t="s">
        <v>264</v>
      </c>
      <c r="N704" s="515" t="s">
        <v>264</v>
      </c>
      <c r="O704" s="516">
        <f>VLOOKUP($I704,'Price List, Weapons &amp; Items'!A:F,6,0)</f>
        <v>45</v>
      </c>
      <c r="P704" s="513" t="str">
        <f t="shared" si="140"/>
        <v>.</v>
      </c>
      <c r="Q704" s="513" t="str">
        <f t="shared" si="141"/>
        <v>.</v>
      </c>
      <c r="R704" s="513" t="str">
        <f t="shared" si="161"/>
        <v/>
      </c>
      <c r="S704" s="513" t="str">
        <f>IF(AND(AD704=1,R704&lt;&gt;".")=TRUE,R704/VLOOKUP(G704,'Exchange rates'!B:C,2,0),IF(R704=".",".",""))</f>
        <v/>
      </c>
      <c r="T704" s="513" t="str">
        <f>IF(AD704=1,IF(AF704="Value is not given at all",".",IF(AF704="Value is given by the source",S704,IF(AF704="Value is calculated with prices",(IF(SUMIFS(Q:Q,A:A,A704)&gt;0,SUMIFS(Q:Q,A:A,A704),"."))/VLOOKUP("USD",'Exchange rates'!B:C,2,0),"Error with coding"))),"")</f>
        <v/>
      </c>
      <c r="U704" s="589" t="s">
        <v>233</v>
      </c>
      <c r="V704" s="376" t="s">
        <v>1970</v>
      </c>
      <c r="W704" s="376" t="s">
        <v>1971</v>
      </c>
      <c r="X704" s="528" t="s">
        <v>232</v>
      </c>
      <c r="Y704" s="528" t="s">
        <v>232</v>
      </c>
      <c r="Z704" s="39">
        <v>0</v>
      </c>
      <c r="AA704" s="39">
        <v>0</v>
      </c>
      <c r="AB704" s="395" t="s">
        <v>1972</v>
      </c>
      <c r="AC704" s="519" t="str">
        <f>""</f>
        <v/>
      </c>
      <c r="AD704" s="522">
        <v>0</v>
      </c>
      <c r="AE704" s="522" t="s">
        <v>237</v>
      </c>
      <c r="AF704" s="522" t="s">
        <v>237</v>
      </c>
      <c r="AG704" s="522">
        <v>1</v>
      </c>
      <c r="AH704" s="522">
        <v>2</v>
      </c>
      <c r="AI704" s="522">
        <v>0</v>
      </c>
      <c r="AJ704" s="520">
        <f>VLOOKUP($I704,'Price List, Weapons &amp; Items'!A:E,5,0)</f>
        <v>0</v>
      </c>
      <c r="AK704" s="520">
        <f t="shared" si="133"/>
        <v>0</v>
      </c>
      <c r="AL704" s="520">
        <f t="shared" si="134"/>
        <v>0</v>
      </c>
      <c r="AM704" s="520">
        <f t="shared" si="135"/>
        <v>0</v>
      </c>
      <c r="AN704" s="521" t="str">
        <f>VLOOKUP($I704,'Price List, Weapons &amp; Items'!A:K,COLUMN('Price List, Weapons &amp; Items'!$I$1),0)</f>
        <v>Miscellaneous</v>
      </c>
      <c r="AO704" s="521" t="str">
        <f>IF(I704=".",".",VLOOKUP($I704,'Price List, Weapons &amp; Items'!A:I,3,0))</f>
        <v>Explosive</v>
      </c>
      <c r="AP704" s="517" t="str">
        <f t="shared" ca="1" si="162"/>
        <v/>
      </c>
      <c r="AQ704" s="521">
        <f>VLOOKUP($I704,'Price List, Weapons &amp; Items'!A:K,COLUMN('Price List, Weapons &amp; Items'!$K$1),0)</f>
        <v>2</v>
      </c>
      <c r="AS704" s="521">
        <f t="shared" si="136"/>
        <v>1</v>
      </c>
      <c r="AT704" s="521">
        <f t="shared" si="137"/>
        <v>1</v>
      </c>
      <c r="AU704" s="521">
        <f t="shared" si="138"/>
        <v>1</v>
      </c>
      <c r="AV704" s="521" t="str">
        <f t="shared" si="139"/>
        <v>.</v>
      </c>
    </row>
    <row r="705" spans="1:48" ht="15" customHeight="1">
      <c r="A705" s="18" t="s">
        <v>1968</v>
      </c>
      <c r="B705" s="18" t="s">
        <v>1957</v>
      </c>
      <c r="C705" s="511">
        <v>44618</v>
      </c>
      <c r="D705" s="18" t="s">
        <v>252</v>
      </c>
      <c r="E705" s="18" t="s">
        <v>261</v>
      </c>
      <c r="F705" s="512" t="s">
        <v>1969</v>
      </c>
      <c r="G705" s="39" t="s">
        <v>314</v>
      </c>
      <c r="H705" s="513" t="s">
        <v>309</v>
      </c>
      <c r="I705" s="41" t="s">
        <v>1973</v>
      </c>
      <c r="J705" s="276" t="str">
        <f>VLOOKUP($I705,'Price List, Weapons &amp; Items'!A:B,2,0)</f>
        <v>Ammunition for light infantry</v>
      </c>
      <c r="K705" s="276" t="str">
        <f>IF(I705=".",I705,VLOOKUP($I705,'Price List, Weapons &amp; Items'!A:C,3,0))</f>
        <v>Small Arms and Light Weapons (SALW) ammunition</v>
      </c>
      <c r="L705" s="514">
        <f>VLOOKUP(I705,'Price List, Weapons &amp; Items'!A:D,4,0)</f>
        <v>0</v>
      </c>
      <c r="M705" s="515" t="s">
        <v>264</v>
      </c>
      <c r="N705" s="515" t="s">
        <v>264</v>
      </c>
      <c r="O705" s="516">
        <f>VLOOKUP($I705,'Price List, Weapons &amp; Items'!A:F,6,0)</f>
        <v>0.85</v>
      </c>
      <c r="P705" s="513" t="str">
        <f t="shared" si="140"/>
        <v>.</v>
      </c>
      <c r="Q705" s="513" t="str">
        <f t="shared" si="141"/>
        <v>.</v>
      </c>
      <c r="R705" s="513" t="str">
        <f t="shared" si="161"/>
        <v/>
      </c>
      <c r="S705" s="513" t="str">
        <f>IF(AND(AD705=1,R705&lt;&gt;".")=TRUE,R705/VLOOKUP(G705,'Exchange rates'!B:C,2,0),IF(R705=".",".",""))</f>
        <v/>
      </c>
      <c r="T705" s="513" t="str">
        <f>IF(AD705=1,IF(AF705="Value is not given at all",".",IF(AF705="Value is given by the source",S705,IF(AF705="Value is calculated with prices",(IF(SUMIFS(Q:Q,A:A,A705)&gt;0,SUMIFS(Q:Q,A:A,A705),"."))/VLOOKUP("USD",'Exchange rates'!B:C,2,0),"Error with coding"))),"")</f>
        <v/>
      </c>
      <c r="U705" s="589" t="s">
        <v>233</v>
      </c>
      <c r="V705" s="376" t="s">
        <v>1970</v>
      </c>
      <c r="W705" s="376" t="s">
        <v>1971</v>
      </c>
      <c r="X705" s="528" t="s">
        <v>232</v>
      </c>
      <c r="Y705" s="528" t="s">
        <v>232</v>
      </c>
      <c r="Z705" s="39">
        <v>0</v>
      </c>
      <c r="AA705" s="39">
        <v>0</v>
      </c>
      <c r="AB705" s="395" t="s">
        <v>1972</v>
      </c>
      <c r="AC705" s="519" t="str">
        <f>""</f>
        <v/>
      </c>
      <c r="AD705" s="522">
        <v>0</v>
      </c>
      <c r="AE705" s="522" t="s">
        <v>237</v>
      </c>
      <c r="AF705" s="522" t="s">
        <v>237</v>
      </c>
      <c r="AG705" s="522">
        <v>1</v>
      </c>
      <c r="AH705" s="522">
        <v>2</v>
      </c>
      <c r="AI705" s="522">
        <v>0</v>
      </c>
      <c r="AJ705" s="520">
        <f>VLOOKUP($I705,'Price List, Weapons &amp; Items'!A:E,5,0)</f>
        <v>0</v>
      </c>
      <c r="AK705" s="520">
        <f t="shared" si="133"/>
        <v>0</v>
      </c>
      <c r="AL705" s="520">
        <f t="shared" si="134"/>
        <v>0</v>
      </c>
      <c r="AM705" s="520">
        <f t="shared" si="135"/>
        <v>0</v>
      </c>
      <c r="AN705" s="521" t="str">
        <f>VLOOKUP($I705,'Price List, Weapons &amp; Items'!A:K,COLUMN('Price List, Weapons &amp; Items'!$I$1),0)</f>
        <v>Online marketplaces and stores</v>
      </c>
      <c r="AO705" s="521" t="str">
        <f>IF(I705=".",".",VLOOKUP($I705,'Price List, Weapons &amp; Items'!A:I,3,0))</f>
        <v>Small Arms and Light Weapons (SALW) ammunition</v>
      </c>
      <c r="AP705" s="517" t="str">
        <f t="shared" ca="1" si="162"/>
        <v/>
      </c>
      <c r="AQ705" s="521">
        <f>VLOOKUP($I705,'Price List, Weapons &amp; Items'!A:K,COLUMN('Price List, Weapons &amp; Items'!$K$1),0)</f>
        <v>1</v>
      </c>
      <c r="AS705" s="521">
        <f t="shared" si="136"/>
        <v>1</v>
      </c>
      <c r="AT705" s="521">
        <f t="shared" si="137"/>
        <v>1</v>
      </c>
      <c r="AU705" s="521">
        <f t="shared" si="138"/>
        <v>1</v>
      </c>
      <c r="AV705" s="521" t="str">
        <f t="shared" si="139"/>
        <v>.</v>
      </c>
    </row>
    <row r="706" spans="1:48" ht="15" customHeight="1">
      <c r="A706" s="18" t="s">
        <v>1968</v>
      </c>
      <c r="B706" s="18" t="s">
        <v>1957</v>
      </c>
      <c r="C706" s="511">
        <v>44618</v>
      </c>
      <c r="D706" s="18" t="s">
        <v>252</v>
      </c>
      <c r="E706" s="18" t="s">
        <v>261</v>
      </c>
      <c r="F706" s="512" t="s">
        <v>1969</v>
      </c>
      <c r="G706" s="39" t="s">
        <v>314</v>
      </c>
      <c r="H706" s="513" t="s">
        <v>309</v>
      </c>
      <c r="I706" s="41" t="s">
        <v>1974</v>
      </c>
      <c r="J706" s="276" t="str">
        <f>VLOOKUP($I706,'Price List, Weapons &amp; Items'!A:B,2,0)</f>
        <v>Military equipment</v>
      </c>
      <c r="K706" s="276" t="str">
        <f>IF(I706=".",I706,VLOOKUP($I706,'Price List, Weapons &amp; Items'!A:C,3,0))</f>
        <v>.</v>
      </c>
      <c r="L706" s="514">
        <f>VLOOKUP(I706,'Price List, Weapons &amp; Items'!A:D,4,0)</f>
        <v>0</v>
      </c>
      <c r="M706" s="515" t="s">
        <v>264</v>
      </c>
      <c r="N706" s="515" t="s">
        <v>264</v>
      </c>
      <c r="O706" s="516">
        <f>VLOOKUP($I706,'Price List, Weapons &amp; Items'!A:F,6,0)</f>
        <v>40</v>
      </c>
      <c r="P706" s="513" t="str">
        <f t="shared" si="140"/>
        <v>.</v>
      </c>
      <c r="Q706" s="513" t="str">
        <f t="shared" si="141"/>
        <v>.</v>
      </c>
      <c r="R706" s="513" t="str">
        <f t="shared" si="161"/>
        <v/>
      </c>
      <c r="S706" s="513" t="str">
        <f>IF(AND(AD706=1,R706&lt;&gt;".")=TRUE,R706/VLOOKUP(G706,'Exchange rates'!B:C,2,0),IF(R706=".",".",""))</f>
        <v/>
      </c>
      <c r="T706" s="513" t="str">
        <f>IF(AD706=1,IF(AF706="Value is not given at all",".",IF(AF706="Value is given by the source",S706,IF(AF706="Value is calculated with prices",(IF(SUMIFS(Q:Q,A:A,A706)&gt;0,SUMIFS(Q:Q,A:A,A706),"."))/VLOOKUP("USD",'Exchange rates'!B:C,2,0),"Error with coding"))),"")</f>
        <v/>
      </c>
      <c r="U706" s="589" t="s">
        <v>233</v>
      </c>
      <c r="V706" s="376" t="s">
        <v>1970</v>
      </c>
      <c r="W706" s="376" t="s">
        <v>1971</v>
      </c>
      <c r="X706" s="528" t="s">
        <v>232</v>
      </c>
      <c r="Y706" s="528" t="s">
        <v>232</v>
      </c>
      <c r="Z706" s="39">
        <v>0</v>
      </c>
      <c r="AA706" s="39">
        <v>0</v>
      </c>
      <c r="AB706" s="395" t="s">
        <v>1972</v>
      </c>
      <c r="AC706" s="519" t="str">
        <f>""</f>
        <v/>
      </c>
      <c r="AD706" s="522">
        <v>0</v>
      </c>
      <c r="AE706" s="522" t="s">
        <v>237</v>
      </c>
      <c r="AF706" s="522" t="s">
        <v>237</v>
      </c>
      <c r="AG706" s="522">
        <v>1</v>
      </c>
      <c r="AH706" s="522">
        <v>2</v>
      </c>
      <c r="AI706" s="522">
        <v>0</v>
      </c>
      <c r="AJ706" s="520">
        <f>VLOOKUP($I706,'Price List, Weapons &amp; Items'!A:E,5,0)</f>
        <v>0</v>
      </c>
      <c r="AK706" s="520">
        <f t="shared" si="133"/>
        <v>0</v>
      </c>
      <c r="AL706" s="520">
        <f t="shared" si="134"/>
        <v>0</v>
      </c>
      <c r="AM706" s="520">
        <f t="shared" si="135"/>
        <v>0</v>
      </c>
      <c r="AN706" s="521" t="str">
        <f>VLOOKUP($I706,'Price List, Weapons &amp; Items'!A:K,COLUMN('Price List, Weapons &amp; Items'!$I$1),0)</f>
        <v>Online marketplaces and stores</v>
      </c>
      <c r="AO706" s="521" t="str">
        <f>IF(I706=".",".",VLOOKUP($I706,'Price List, Weapons &amp; Items'!A:I,3,0))</f>
        <v>.</v>
      </c>
      <c r="AP706" s="517" t="str">
        <f t="shared" ca="1" si="162"/>
        <v/>
      </c>
      <c r="AQ706" s="521" t="str">
        <f>VLOOKUP($I706,'Price List, Weapons &amp; Items'!A:K,COLUMN('Price List, Weapons &amp; Items'!$K$1),0)</f>
        <v>no price, 0 count</v>
      </c>
      <c r="AS706" s="521">
        <f t="shared" si="136"/>
        <v>1</v>
      </c>
      <c r="AT706" s="521">
        <f t="shared" si="137"/>
        <v>1</v>
      </c>
      <c r="AU706" s="521">
        <f t="shared" si="138"/>
        <v>1</v>
      </c>
      <c r="AV706" s="521" t="str">
        <f t="shared" si="139"/>
        <v>.</v>
      </c>
    </row>
    <row r="707" spans="1:48" ht="15" customHeight="1">
      <c r="A707" s="18" t="s">
        <v>1968</v>
      </c>
      <c r="B707" s="18" t="s">
        <v>1957</v>
      </c>
      <c r="C707" s="511">
        <v>44618</v>
      </c>
      <c r="D707" s="18" t="s">
        <v>252</v>
      </c>
      <c r="E707" s="18" t="s">
        <v>261</v>
      </c>
      <c r="F707" s="512" t="s">
        <v>1969</v>
      </c>
      <c r="G707" s="39" t="s">
        <v>314</v>
      </c>
      <c r="H707" s="513" t="s">
        <v>309</v>
      </c>
      <c r="I707" s="41" t="s">
        <v>1975</v>
      </c>
      <c r="J707" s="276" t="str">
        <f>VLOOKUP($I707,'Price List, Weapons &amp; Items'!A:B,2,0)</f>
        <v>Light armaments &amp; infantry</v>
      </c>
      <c r="K707" s="276" t="str">
        <f>IF(I707=".",I707,VLOOKUP($I707,'Price List, Weapons &amp; Items'!A:C,3,0))</f>
        <v>Light Anti-armor Weapon (LAW)</v>
      </c>
      <c r="L707" s="514">
        <f>VLOOKUP(I707,'Price List, Weapons &amp; Items'!A:D,4,0)</f>
        <v>0</v>
      </c>
      <c r="M707" s="515" t="s">
        <v>264</v>
      </c>
      <c r="N707" s="515" t="s">
        <v>264</v>
      </c>
      <c r="O707" s="516">
        <f>VLOOKUP($I707,'Price List, Weapons &amp; Items'!A:F,6,0)</f>
        <v>2462.4299999999998</v>
      </c>
      <c r="P707" s="513" t="str">
        <f t="shared" si="140"/>
        <v>.</v>
      </c>
      <c r="Q707" s="513" t="str">
        <f t="shared" si="141"/>
        <v>.</v>
      </c>
      <c r="R707" s="513" t="str">
        <f t="shared" si="161"/>
        <v/>
      </c>
      <c r="S707" s="513" t="str">
        <f>IF(AND(AD707=1,R707&lt;&gt;".")=TRUE,R707/VLOOKUP(G707,'Exchange rates'!B:C,2,0),IF(R707=".",".",""))</f>
        <v/>
      </c>
      <c r="T707" s="513" t="str">
        <f>IF(AD707=1,IF(AF707="Value is not given at all",".",IF(AF707="Value is given by the source",S707,IF(AF707="Value is calculated with prices",(IF(SUMIFS(Q:Q,A:A,A707)&gt;0,SUMIFS(Q:Q,A:A,A707),"."))/VLOOKUP("USD",'Exchange rates'!B:C,2,0),"Error with coding"))),"")</f>
        <v/>
      </c>
      <c r="U707" s="589" t="s">
        <v>233</v>
      </c>
      <c r="V707" s="376" t="s">
        <v>1970</v>
      </c>
      <c r="W707" s="376" t="s">
        <v>1971</v>
      </c>
      <c r="X707" s="528" t="s">
        <v>232</v>
      </c>
      <c r="Y707" s="528" t="s">
        <v>232</v>
      </c>
      <c r="Z707" s="39">
        <v>0</v>
      </c>
      <c r="AA707" s="39">
        <v>0</v>
      </c>
      <c r="AB707" s="395" t="s">
        <v>1972</v>
      </c>
      <c r="AC707" s="519" t="str">
        <f>""</f>
        <v/>
      </c>
      <c r="AD707" s="522">
        <v>0</v>
      </c>
      <c r="AE707" s="522" t="s">
        <v>237</v>
      </c>
      <c r="AF707" s="522" t="s">
        <v>237</v>
      </c>
      <c r="AG707" s="522">
        <v>1</v>
      </c>
      <c r="AH707" s="522">
        <v>2</v>
      </c>
      <c r="AI707" s="522">
        <v>0</v>
      </c>
      <c r="AJ707" s="520">
        <f>VLOOKUP($I707,'Price List, Weapons &amp; Items'!A:E,5,0)</f>
        <v>0</v>
      </c>
      <c r="AK707" s="520">
        <f t="shared" si="133"/>
        <v>0</v>
      </c>
      <c r="AL707" s="520">
        <f t="shared" si="134"/>
        <v>0</v>
      </c>
      <c r="AM707" s="520">
        <f t="shared" si="135"/>
        <v>0</v>
      </c>
      <c r="AN707" s="521" t="str">
        <f>VLOOKUP($I707,'Price List, Weapons &amp; Items'!A:K,COLUMN('Price List, Weapons &amp; Items'!$I$1),0)</f>
        <v>Online marketplaces and stores</v>
      </c>
      <c r="AO707" s="521" t="str">
        <f>IF(I707=".",".",VLOOKUP($I707,'Price List, Weapons &amp; Items'!A:I,3,0))</f>
        <v>Light Anti-armor Weapon (LAW)</v>
      </c>
      <c r="AP707" s="517" t="str">
        <f t="shared" ca="1" si="162"/>
        <v/>
      </c>
      <c r="AQ707" s="521" t="str">
        <f>VLOOKUP($I707,'Price List, Weapons &amp; Items'!A:K,COLUMN('Price List, Weapons &amp; Items'!$K$1),0)</f>
        <v>no price, 0 count</v>
      </c>
      <c r="AS707" s="521">
        <f t="shared" si="136"/>
        <v>1</v>
      </c>
      <c r="AT707" s="521">
        <f t="shared" si="137"/>
        <v>1</v>
      </c>
      <c r="AU707" s="521">
        <f t="shared" si="138"/>
        <v>1</v>
      </c>
      <c r="AV707" s="521" t="str">
        <f t="shared" si="139"/>
        <v>.</v>
      </c>
    </row>
    <row r="708" spans="1:48" ht="15" customHeight="1">
      <c r="A708" s="41" t="s">
        <v>1976</v>
      </c>
      <c r="B708" s="41" t="s">
        <v>1957</v>
      </c>
      <c r="C708" s="511">
        <v>44663</v>
      </c>
      <c r="D708" s="18" t="s">
        <v>252</v>
      </c>
      <c r="E708" s="18" t="s">
        <v>261</v>
      </c>
      <c r="F708" s="512" t="s">
        <v>1977</v>
      </c>
      <c r="G708" s="39" t="s">
        <v>232</v>
      </c>
      <c r="H708" s="513" t="s">
        <v>309</v>
      </c>
      <c r="I708" s="41" t="s">
        <v>232</v>
      </c>
      <c r="J708" s="276" t="str">
        <f>VLOOKUP($I708,'Price List, Weapons &amp; Items'!A:B,2,0)</f>
        <v>.</v>
      </c>
      <c r="K708" s="276" t="str">
        <f>IF(I708=".",I708,VLOOKUP($I708,'Price List, Weapons &amp; Items'!A:C,3,0))</f>
        <v>.</v>
      </c>
      <c r="L708" s="514">
        <f>VLOOKUP(I708,'Price List, Weapons &amp; Items'!A:D,4,0)</f>
        <v>0</v>
      </c>
      <c r="M708" s="515" t="s">
        <v>232</v>
      </c>
      <c r="N708" s="515" t="s">
        <v>232</v>
      </c>
      <c r="O708" s="516" t="str">
        <f>VLOOKUP($I708,'Price List, Weapons &amp; Items'!A:F,6,0)</f>
        <v>.</v>
      </c>
      <c r="P708" s="513" t="str">
        <f t="shared" si="140"/>
        <v>.</v>
      </c>
      <c r="Q708" s="513" t="str">
        <f t="shared" si="141"/>
        <v>.</v>
      </c>
      <c r="R708" s="513" t="str">
        <f t="shared" si="161"/>
        <v>.</v>
      </c>
      <c r="S708" s="513" t="str">
        <f>IF(AND(AD708=1,R708&lt;&gt;".")=TRUE,R708/VLOOKUP(G708,'Exchange rates'!B:C,2,0),IF(R708=".",".",""))</f>
        <v>.</v>
      </c>
      <c r="T708" s="513" t="str">
        <f>IF(AD708=1,IF(AF708="Value is not given at all",".",IF(AF708="Value is given by the source",S708,IF(AF708="Value is calculated with prices",(IF(SUMIFS(Q:Q,A:A,A708)&gt;0,SUMIFS(Q:Q,A:A,A708),"."))/VLOOKUP("USD",'Exchange rates'!B:C,2,0),"Error with coding"))),"")</f>
        <v>.</v>
      </c>
      <c r="U708" s="39" t="s">
        <v>233</v>
      </c>
      <c r="V708" s="42" t="s">
        <v>1978</v>
      </c>
      <c r="W708" s="42" t="s">
        <v>1979</v>
      </c>
      <c r="X708" s="42" t="s">
        <v>1980</v>
      </c>
      <c r="Y708" s="512" t="s">
        <v>232</v>
      </c>
      <c r="Z708" s="39">
        <v>0</v>
      </c>
      <c r="AA708" s="39">
        <v>0</v>
      </c>
      <c r="AB708" s="41" t="s">
        <v>232</v>
      </c>
      <c r="AC708" s="519" t="str">
        <f>""</f>
        <v/>
      </c>
      <c r="AD708" s="522">
        <v>1</v>
      </c>
      <c r="AE708" s="522" t="s">
        <v>237</v>
      </c>
      <c r="AF708" s="522" t="s">
        <v>237</v>
      </c>
      <c r="AG708" s="522">
        <v>1</v>
      </c>
      <c r="AH708" s="520">
        <v>4</v>
      </c>
      <c r="AI708" s="520">
        <v>0</v>
      </c>
      <c r="AJ708" s="520">
        <f>VLOOKUP($I708,'Price List, Weapons &amp; Items'!A:E,5,0)</f>
        <v>0</v>
      </c>
      <c r="AK708" s="520">
        <f t="shared" si="133"/>
        <v>0</v>
      </c>
      <c r="AL708" s="520">
        <f t="shared" si="134"/>
        <v>0</v>
      </c>
      <c r="AM708" s="520">
        <f t="shared" si="135"/>
        <v>0</v>
      </c>
      <c r="AN708" s="521" t="str">
        <f>VLOOKUP($I708,'Price List, Weapons &amp; Items'!A:K,COLUMN('Price List, Weapons &amp; Items'!$I$1),0)</f>
        <v>.</v>
      </c>
      <c r="AO708" s="521" t="str">
        <f>IF(I708=".",".",VLOOKUP($I708,'Price List, Weapons &amp; Items'!A:I,3,0))</f>
        <v>.</v>
      </c>
      <c r="AP708" s="517" t="str">
        <f t="shared" ca="1" si="162"/>
        <v>.</v>
      </c>
      <c r="AQ708" s="521" t="str">
        <f>VLOOKUP($I708,'Price List, Weapons &amp; Items'!A:K,COLUMN('Price List, Weapons &amp; Items'!$K$1),0)</f>
        <v>no price, 0 count</v>
      </c>
      <c r="AS708" s="521">
        <f t="shared" si="136"/>
        <v>1</v>
      </c>
      <c r="AT708" s="521">
        <f t="shared" si="137"/>
        <v>1</v>
      </c>
      <c r="AU708" s="521">
        <f t="shared" si="138"/>
        <v>1</v>
      </c>
      <c r="AV708" s="521" t="str">
        <f t="shared" si="139"/>
        <v>.</v>
      </c>
    </row>
    <row r="709" spans="1:48" ht="15" customHeight="1">
      <c r="A709" s="41" t="s">
        <v>1964</v>
      </c>
      <c r="B709" s="41" t="s">
        <v>1957</v>
      </c>
      <c r="C709" s="511">
        <v>44681</v>
      </c>
      <c r="D709" s="18" t="s">
        <v>252</v>
      </c>
      <c r="E709" s="18" t="s">
        <v>261</v>
      </c>
      <c r="F709" s="512" t="s">
        <v>1981</v>
      </c>
      <c r="G709" s="39" t="s">
        <v>314</v>
      </c>
      <c r="H709" s="513" t="s">
        <v>309</v>
      </c>
      <c r="I709" s="41" t="s">
        <v>1982</v>
      </c>
      <c r="J709" s="276" t="str">
        <f>VLOOKUP($I709,'Price List, Weapons &amp; Items'!A:B,2,0)</f>
        <v>Military equipment</v>
      </c>
      <c r="K709" s="276" t="str">
        <f>IF(I709=".",I709,VLOOKUP($I709,'Price List, Weapons &amp; Items'!A:C,3,0))</f>
        <v>Armoured Utility Vehicle (AUV)</v>
      </c>
      <c r="L709" s="514">
        <f>VLOOKUP(I709,'Price List, Weapons &amp; Items'!A:D,4,0)</f>
        <v>0</v>
      </c>
      <c r="M709" s="515">
        <v>4</v>
      </c>
      <c r="N709" s="515" t="s">
        <v>232</v>
      </c>
      <c r="O709" s="516">
        <f>VLOOKUP($I709,'Price List, Weapons &amp; Items'!A:F,6,0)</f>
        <v>605700</v>
      </c>
      <c r="P709" s="513">
        <f t="shared" si="140"/>
        <v>2422800</v>
      </c>
      <c r="Q709" s="513" t="str">
        <f t="shared" si="141"/>
        <v>.</v>
      </c>
      <c r="R709" s="513">
        <f t="shared" si="161"/>
        <v>37522800</v>
      </c>
      <c r="S709" s="513">
        <f>IF(AND(AD709=1,R709&lt;&gt;".")=TRUE,R709/VLOOKUP(G709,'Exchange rates'!B:C,2,0),IF(R709=".",".",""))</f>
        <v>37391928.251121074</v>
      </c>
      <c r="T709" s="513" t="str">
        <f>IF(AD709=1,IF(AF709="Value is not given at all",".",IF(AF709="Value is given by the source",S709,IF(AF709="Value is calculated with prices",(IF(SUMIFS(Q:Q,A:A,A709)&gt;0,SUMIFS(Q:Q,A:A,A709),"."))/VLOOKUP("USD",'Exchange rates'!B:C,2,0),"Error with coding"))),"")</f>
        <v>.</v>
      </c>
      <c r="U709" s="39" t="s">
        <v>372</v>
      </c>
      <c r="V709" s="42" t="s">
        <v>1983</v>
      </c>
      <c r="W709" s="42" t="s">
        <v>1984</v>
      </c>
      <c r="X709" s="42" t="s">
        <v>1980</v>
      </c>
      <c r="Y709" s="512" t="s">
        <v>232</v>
      </c>
      <c r="Z709" s="39">
        <v>0</v>
      </c>
      <c r="AA709" s="39">
        <v>0</v>
      </c>
      <c r="AB709" s="41" t="s">
        <v>232</v>
      </c>
      <c r="AC709" s="519" t="str">
        <f>""</f>
        <v/>
      </c>
      <c r="AD709" s="522">
        <v>1</v>
      </c>
      <c r="AE709" s="522" t="s">
        <v>300</v>
      </c>
      <c r="AF709" s="522" t="s">
        <v>237</v>
      </c>
      <c r="AG709" s="522">
        <v>1</v>
      </c>
      <c r="AH709" s="520">
        <v>4</v>
      </c>
      <c r="AI709" s="520">
        <v>0</v>
      </c>
      <c r="AJ709" s="520">
        <f>VLOOKUP($I709,'Price List, Weapons &amp; Items'!A:E,5,0)</f>
        <v>1</v>
      </c>
      <c r="AK709" s="520">
        <f t="shared" ref="AK709:AK772" si="165">IF(AND(AJ709=1,M709="undisclosed")=TRUE,1,0)</f>
        <v>0</v>
      </c>
      <c r="AL709" s="520">
        <f t="shared" ref="AL709:AL772" si="166">IF(AND(AJ709=1,N709="undisclosed")=TRUE,1,0)</f>
        <v>0</v>
      </c>
      <c r="AM709" s="520">
        <f t="shared" ref="AM709:AM772" si="167">IFERROR(IF(SEARCH("ammuni",I709,1)&gt;0,1,0),0)</f>
        <v>0</v>
      </c>
      <c r="AN709" s="521" t="str">
        <f>VLOOKUP($I709,'Price List, Weapons &amp; Items'!A:K,COLUMN('Price List, Weapons &amp; Items'!$I$1),0)</f>
        <v>Military media (incl. websites)</v>
      </c>
      <c r="AO709" s="521" t="str">
        <f>IF(I709=".",".",VLOOKUP($I709,'Price List, Weapons &amp; Items'!A:I,3,0))</f>
        <v>Armoured Utility Vehicle (AUV)</v>
      </c>
      <c r="AP709" s="517" t="str">
        <f t="shared" ca="1" si="162"/>
        <v>Iveco M 40.12 WM/P 4x4 armored vehicle; M113 armored personnel carrier</v>
      </c>
      <c r="AQ709" s="521">
        <f>VLOOKUP($I709,'Price List, Weapons &amp; Items'!A:K,COLUMN('Price List, Weapons &amp; Items'!$K$1),0)</f>
        <v>2</v>
      </c>
      <c r="AS709" s="521">
        <f t="shared" ref="AS709:AS772" si="168">IF(U709="Yes",1,0)</f>
        <v>0</v>
      </c>
      <c r="AT709" s="521">
        <f t="shared" ref="AT709:AT772" si="169">IF(OR((E709="Weapons"),(E709="Weapons and equipment"),(E709="Weapons and training"),(E709="Weapons and Assistance"),(E709="Military Equipment"))=FALSE,0,1)</f>
        <v>1</v>
      </c>
      <c r="AU709" s="521">
        <f t="shared" ref="AU709:AU772" si="170">IFERROR(IF(VALUE(TEXT(C709,"mm"))=AH709,".",1),"Value is not in date format")</f>
        <v>1</v>
      </c>
      <c r="AV709" s="521" t="str">
        <f t="shared" si="139"/>
        <v>.</v>
      </c>
    </row>
    <row r="710" spans="1:48" ht="15" customHeight="1">
      <c r="A710" s="18" t="s">
        <v>1985</v>
      </c>
      <c r="B710" s="18" t="s">
        <v>1957</v>
      </c>
      <c r="C710" s="511">
        <v>44689</v>
      </c>
      <c r="D710" s="18" t="s">
        <v>252</v>
      </c>
      <c r="E710" s="18" t="s">
        <v>261</v>
      </c>
      <c r="F710" s="512" t="s">
        <v>1986</v>
      </c>
      <c r="G710" s="39" t="s">
        <v>314</v>
      </c>
      <c r="H710" s="513" t="s">
        <v>309</v>
      </c>
      <c r="I710" s="41" t="s">
        <v>292</v>
      </c>
      <c r="J710" s="276" t="str">
        <f>VLOOKUP($I710,'Price List, Weapons &amp; Items'!A:B,2,0)</f>
        <v>Heavy weapon</v>
      </c>
      <c r="K710" s="276" t="str">
        <f>IF(I710=".",I710,VLOOKUP($I710,'Price List, Weapons &amp; Items'!A:C,3,0))</f>
        <v>Armoured Personnel Carrier (APC)</v>
      </c>
      <c r="L710" s="514">
        <f>VLOOKUP(I710,'Price List, Weapons &amp; Items'!A:D,4,0)</f>
        <v>0</v>
      </c>
      <c r="M710" s="515">
        <v>15</v>
      </c>
      <c r="N710" s="515">
        <v>14</v>
      </c>
      <c r="O710" s="516">
        <f>VLOOKUP($I710,'Price List, Weapons &amp; Items'!A:F,6,0)</f>
        <v>300000</v>
      </c>
      <c r="P710" s="513">
        <f t="shared" si="140"/>
        <v>4500000</v>
      </c>
      <c r="Q710" s="513">
        <f t="shared" si="141"/>
        <v>4200000</v>
      </c>
      <c r="R710" s="513">
        <f t="shared" si="161"/>
        <v>8829223.7811919115</v>
      </c>
      <c r="S710" s="513">
        <f>IF(AND(AD710=1,R710&lt;&gt;".")=TRUE,R710/VLOOKUP(G710,'Exchange rates'!B:C,2,0),IF(R710=".",".",""))</f>
        <v>8798429.278716404</v>
      </c>
      <c r="T710" s="513" t="str">
        <f>IF(AD710=1,IF(AF710="Value is not given at all",".",IF(AF710="Value is given by the source",S710,IF(AF710="Value is calculated with prices",(IF(SUMIFS(Q:Q,A:A,A710)&gt;0,SUMIFS(Q:Q,A:A,A710),"."))/VLOOKUP("USD",'Exchange rates'!B:C,2,0),"Error with coding"))),"")</f>
        <v>.</v>
      </c>
      <c r="U710" s="39" t="s">
        <v>372</v>
      </c>
      <c r="V710" s="376" t="s">
        <v>1987</v>
      </c>
      <c r="W710" s="376" t="s">
        <v>1988</v>
      </c>
      <c r="X710" s="528" t="s">
        <v>232</v>
      </c>
      <c r="Y710" s="528" t="s">
        <v>232</v>
      </c>
      <c r="Z710" s="39">
        <v>0</v>
      </c>
      <c r="AA710" s="39">
        <v>0</v>
      </c>
      <c r="AB710" s="395" t="s">
        <v>1989</v>
      </c>
      <c r="AC710" s="519" t="str">
        <f>""</f>
        <v/>
      </c>
      <c r="AD710" s="522">
        <v>1</v>
      </c>
      <c r="AE710" s="522" t="s">
        <v>300</v>
      </c>
      <c r="AF710" s="522" t="s">
        <v>237</v>
      </c>
      <c r="AG710" s="522">
        <v>1</v>
      </c>
      <c r="AH710" s="522">
        <v>5</v>
      </c>
      <c r="AI710" s="522">
        <v>0</v>
      </c>
      <c r="AJ710" s="520">
        <f>VLOOKUP($I710,'Price List, Weapons &amp; Items'!A:E,5,0)</f>
        <v>1</v>
      </c>
      <c r="AK710" s="520">
        <f t="shared" si="165"/>
        <v>0</v>
      </c>
      <c r="AL710" s="520">
        <f t="shared" si="166"/>
        <v>0</v>
      </c>
      <c r="AM710" s="520">
        <f t="shared" si="167"/>
        <v>0</v>
      </c>
      <c r="AN710" s="521" t="str">
        <f>VLOOKUP($I710,'Price List, Weapons &amp; Items'!A:K,COLUMN('Price List, Weapons &amp; Items'!$I$1),0)</f>
        <v>Military media (incl. websites)</v>
      </c>
      <c r="AO710" s="521" t="str">
        <f>IF(I710=".",".",VLOOKUP($I710,'Price List, Weapons &amp; Items'!A:I,3,0))</f>
        <v>Armoured Personnel Carrier (APC)</v>
      </c>
      <c r="AP710" s="517" t="str">
        <f t="shared" ca="1" si="162"/>
        <v>M113 armored personnel carrier; M114 155mm Howitzer</v>
      </c>
      <c r="AQ710" s="521">
        <f>VLOOKUP($I710,'Price List, Weapons &amp; Items'!A:K,COLUMN('Price List, Weapons &amp; Items'!$K$1),0)</f>
        <v>2</v>
      </c>
      <c r="AS710" s="521">
        <f t="shared" si="168"/>
        <v>0</v>
      </c>
      <c r="AT710" s="521">
        <f t="shared" si="169"/>
        <v>1</v>
      </c>
      <c r="AU710" s="521">
        <f t="shared" si="170"/>
        <v>1</v>
      </c>
      <c r="AV710" s="521" t="str">
        <f t="shared" ref="AV710:AV773" si="171">IF(AND(A710=A709,C710=C709)=TRUE,IF(F710=F709,".","1"),".")</f>
        <v>.</v>
      </c>
    </row>
    <row r="711" spans="1:48" ht="15" customHeight="1">
      <c r="A711" s="18" t="s">
        <v>1985</v>
      </c>
      <c r="B711" s="18" t="s">
        <v>1957</v>
      </c>
      <c r="C711" s="511">
        <v>44689</v>
      </c>
      <c r="D711" s="18" t="s">
        <v>252</v>
      </c>
      <c r="E711" s="18" t="s">
        <v>261</v>
      </c>
      <c r="F711" s="512" t="s">
        <v>1986</v>
      </c>
      <c r="G711" s="39" t="s">
        <v>314</v>
      </c>
      <c r="H711" s="513" t="s">
        <v>309</v>
      </c>
      <c r="I711" s="41" t="s">
        <v>1990</v>
      </c>
      <c r="J711" s="276" t="str">
        <f>VLOOKUP($I711,'Price List, Weapons &amp; Items'!A:B,2,0)</f>
        <v>Heavy weapon</v>
      </c>
      <c r="K711" s="276" t="str">
        <f>IF(I711=".",I711,VLOOKUP($I711,'Price List, Weapons &amp; Items'!A:C,3,0))</f>
        <v>155mm howitzer</v>
      </c>
      <c r="L711" s="514">
        <f>VLOOKUP(I711,'Price List, Weapons &amp; Items'!A:D,4,0)</f>
        <v>0</v>
      </c>
      <c r="M711" s="515">
        <v>5</v>
      </c>
      <c r="N711" s="515" t="s">
        <v>232</v>
      </c>
      <c r="O711" s="516">
        <f>VLOOKUP($I711,'Price List, Weapons &amp; Items'!A:F,6,0)</f>
        <v>865844.75623838219</v>
      </c>
      <c r="P711" s="513">
        <f t="shared" si="140"/>
        <v>4329223.7811919106</v>
      </c>
      <c r="Q711" s="513" t="str">
        <f t="shared" si="141"/>
        <v>.</v>
      </c>
      <c r="R711" s="513" t="str">
        <f t="shared" si="161"/>
        <v/>
      </c>
      <c r="S711" s="513" t="str">
        <f>IF(AND(AD711=1,R711&lt;&gt;".")=TRUE,R711/VLOOKUP(G711,'Exchange rates'!B:C,2,0),IF(R711=".",".",""))</f>
        <v/>
      </c>
      <c r="T711" s="513" t="str">
        <f>IF(AD711=1,IF(AF711="Value is not given at all",".",IF(AF711="Value is given by the source",S711,IF(AF711="Value is calculated with prices",(IF(SUMIFS(Q:Q,A:A,A711)&gt;0,SUMIFS(Q:Q,A:A,A711),"."))/VLOOKUP("USD",'Exchange rates'!B:C,2,0),"Error with coding"))),"")</f>
        <v/>
      </c>
      <c r="U711" s="39" t="s">
        <v>372</v>
      </c>
      <c r="V711" s="376" t="s">
        <v>1987</v>
      </c>
      <c r="W711" s="376" t="s">
        <v>1988</v>
      </c>
      <c r="X711" s="528" t="s">
        <v>232</v>
      </c>
      <c r="Y711" s="528" t="s">
        <v>232</v>
      </c>
      <c r="Z711" s="39">
        <v>0</v>
      </c>
      <c r="AA711" s="39">
        <v>0</v>
      </c>
      <c r="AB711" s="41" t="s">
        <v>232</v>
      </c>
      <c r="AC711" s="519" t="str">
        <f>""</f>
        <v/>
      </c>
      <c r="AD711" s="522">
        <v>0</v>
      </c>
      <c r="AE711" s="522" t="s">
        <v>300</v>
      </c>
      <c r="AF711" s="522" t="s">
        <v>237</v>
      </c>
      <c r="AG711" s="522">
        <v>1</v>
      </c>
      <c r="AH711" s="522">
        <v>5</v>
      </c>
      <c r="AI711" s="522">
        <v>0</v>
      </c>
      <c r="AJ711" s="520">
        <f>VLOOKUP($I711,'Price List, Weapons &amp; Items'!A:E,5,0)</f>
        <v>1</v>
      </c>
      <c r="AK711" s="520">
        <f t="shared" si="165"/>
        <v>0</v>
      </c>
      <c r="AL711" s="520">
        <f t="shared" si="166"/>
        <v>0</v>
      </c>
      <c r="AM711" s="520">
        <f t="shared" si="167"/>
        <v>0</v>
      </c>
      <c r="AN711" s="521" t="str">
        <f>VLOOKUP($I711,'Price List, Weapons &amp; Items'!A:K,COLUMN('Price List, Weapons &amp; Items'!$I$1),0)</f>
        <v>Contracts</v>
      </c>
      <c r="AO711" s="521" t="str">
        <f>IF(I711=".",".",VLOOKUP($I711,'Price List, Weapons &amp; Items'!A:I,3,0))</f>
        <v>155mm howitzer</v>
      </c>
      <c r="AP711" s="517" t="str">
        <f t="shared" ca="1" si="162"/>
        <v/>
      </c>
      <c r="AQ711" s="521">
        <f>VLOOKUP($I711,'Price List, Weapons &amp; Items'!A:K,COLUMN('Price List, Weapons &amp; Items'!$K$1),0)</f>
        <v>2</v>
      </c>
      <c r="AS711" s="521">
        <f t="shared" si="168"/>
        <v>0</v>
      </c>
      <c r="AT711" s="521">
        <f t="shared" si="169"/>
        <v>1</v>
      </c>
      <c r="AU711" s="521">
        <f t="shared" si="170"/>
        <v>1</v>
      </c>
      <c r="AV711" s="521" t="str">
        <f t="shared" si="171"/>
        <v>.</v>
      </c>
    </row>
    <row r="712" spans="1:48" ht="15" customHeight="1">
      <c r="A712" s="41" t="s">
        <v>1991</v>
      </c>
      <c r="B712" s="41" t="s">
        <v>1957</v>
      </c>
      <c r="C712" s="511">
        <v>44699</v>
      </c>
      <c r="D712" s="18" t="s">
        <v>252</v>
      </c>
      <c r="E712" s="18" t="s">
        <v>261</v>
      </c>
      <c r="F712" s="512" t="s">
        <v>1992</v>
      </c>
      <c r="G712" s="39" t="s">
        <v>232</v>
      </c>
      <c r="H712" s="513" t="s">
        <v>309</v>
      </c>
      <c r="I712" s="41" t="s">
        <v>232</v>
      </c>
      <c r="J712" s="276" t="str">
        <f>VLOOKUP($I712,'Price List, Weapons &amp; Items'!A:B,2,0)</f>
        <v>.</v>
      </c>
      <c r="K712" s="276" t="str">
        <f>IF(I712=".",I712,VLOOKUP($I712,'Price List, Weapons &amp; Items'!A:C,3,0))</f>
        <v>.</v>
      </c>
      <c r="L712" s="514">
        <f>VLOOKUP(I712,'Price List, Weapons &amp; Items'!A:D,4,0)</f>
        <v>0</v>
      </c>
      <c r="M712" s="515" t="s">
        <v>232</v>
      </c>
      <c r="N712" s="515" t="s">
        <v>232</v>
      </c>
      <c r="O712" s="516" t="str">
        <f>VLOOKUP($I712,'Price List, Weapons &amp; Items'!A:F,6,0)</f>
        <v>.</v>
      </c>
      <c r="P712" s="513" t="str">
        <f t="shared" si="140"/>
        <v>.</v>
      </c>
      <c r="Q712" s="513" t="str">
        <f t="shared" si="141"/>
        <v>.</v>
      </c>
      <c r="R712" s="513" t="str">
        <f t="shared" si="161"/>
        <v>.</v>
      </c>
      <c r="S712" s="513" t="str">
        <f>IF(AND(AD712=1,R712&lt;&gt;".")=TRUE,R712/VLOOKUP(G712,'Exchange rates'!B:C,2,0),IF(R712=".",".",""))</f>
        <v>.</v>
      </c>
      <c r="T712" s="513" t="str">
        <f>IF(AD712=1,IF(AF712="Value is not given at all",".",IF(AF712="Value is given by the source",S712,IF(AF712="Value is calculated with prices",(IF(SUMIFS(Q:Q,A:A,A712)&gt;0,SUMIFS(Q:Q,A:A,A712),"."))/VLOOKUP("USD",'Exchange rates'!B:C,2,0),"Error with coding"))),"")</f>
        <v>.</v>
      </c>
      <c r="U712" s="39" t="s">
        <v>372</v>
      </c>
      <c r="V712" s="42" t="s">
        <v>1993</v>
      </c>
      <c r="W712" s="42" t="s">
        <v>1994</v>
      </c>
      <c r="X712" s="512" t="s">
        <v>232</v>
      </c>
      <c r="Y712" s="512" t="s">
        <v>232</v>
      </c>
      <c r="Z712" s="39">
        <v>0</v>
      </c>
      <c r="AA712" s="39">
        <v>0</v>
      </c>
      <c r="AB712" s="521" t="s">
        <v>232</v>
      </c>
      <c r="AC712" s="519" t="str">
        <f>""</f>
        <v/>
      </c>
      <c r="AD712" s="522">
        <v>1</v>
      </c>
      <c r="AE712" s="522" t="s">
        <v>237</v>
      </c>
      <c r="AF712" s="522" t="s">
        <v>237</v>
      </c>
      <c r="AG712" s="522">
        <v>1</v>
      </c>
      <c r="AH712" s="520">
        <v>5</v>
      </c>
      <c r="AI712" s="520">
        <v>0</v>
      </c>
      <c r="AJ712" s="520">
        <f>VLOOKUP($I712,'Price List, Weapons &amp; Items'!A:E,5,0)</f>
        <v>0</v>
      </c>
      <c r="AK712" s="520">
        <f t="shared" si="165"/>
        <v>0</v>
      </c>
      <c r="AL712" s="520">
        <f t="shared" si="166"/>
        <v>0</v>
      </c>
      <c r="AM712" s="520">
        <f t="shared" si="167"/>
        <v>0</v>
      </c>
      <c r="AN712" s="521" t="str">
        <f>VLOOKUP($I712,'Price List, Weapons &amp; Items'!A:K,COLUMN('Price List, Weapons &amp; Items'!$I$1),0)</f>
        <v>.</v>
      </c>
      <c r="AO712" s="521" t="str">
        <f>IF(I712=".",".",VLOOKUP($I712,'Price List, Weapons &amp; Items'!A:I,3,0))</f>
        <v>.</v>
      </c>
      <c r="AP712" s="517" t="str">
        <f t="shared" ca="1" si="162"/>
        <v>.</v>
      </c>
      <c r="AQ712" s="521" t="str">
        <f>VLOOKUP($I712,'Price List, Weapons &amp; Items'!A:K,COLUMN('Price List, Weapons &amp; Items'!$K$1),0)</f>
        <v>no price, 0 count</v>
      </c>
      <c r="AS712" s="521">
        <f t="shared" si="168"/>
        <v>0</v>
      </c>
      <c r="AT712" s="521">
        <f t="shared" si="169"/>
        <v>1</v>
      </c>
      <c r="AU712" s="521">
        <f t="shared" si="170"/>
        <v>1</v>
      </c>
      <c r="AV712" s="521" t="str">
        <f t="shared" si="171"/>
        <v>.</v>
      </c>
    </row>
    <row r="713" spans="1:48" ht="15" customHeight="1">
      <c r="A713" s="41" t="s">
        <v>1995</v>
      </c>
      <c r="B713" s="41" t="s">
        <v>1957</v>
      </c>
      <c r="C713" s="511">
        <v>44702</v>
      </c>
      <c r="D713" s="18" t="s">
        <v>366</v>
      </c>
      <c r="E713" s="18" t="s">
        <v>330</v>
      </c>
      <c r="F713" s="512" t="s">
        <v>1996</v>
      </c>
      <c r="G713" s="39" t="s">
        <v>332</v>
      </c>
      <c r="H713" s="513">
        <v>250000000</v>
      </c>
      <c r="I713" s="41" t="s">
        <v>232</v>
      </c>
      <c r="J713" s="276" t="str">
        <f>VLOOKUP($I713,'Price List, Weapons &amp; Items'!A:B,2,0)</f>
        <v>.</v>
      </c>
      <c r="K713" s="276" t="str">
        <f>IF(I713=".",I713,VLOOKUP($I713,'Price List, Weapons &amp; Items'!A:C,3,0))</f>
        <v>.</v>
      </c>
      <c r="L713" s="514">
        <f>VLOOKUP(I713,'Price List, Weapons &amp; Items'!A:D,4,0)</f>
        <v>0</v>
      </c>
      <c r="M713" s="515" t="s">
        <v>232</v>
      </c>
      <c r="N713" s="515" t="s">
        <v>232</v>
      </c>
      <c r="O713" s="516" t="str">
        <f>VLOOKUP($I713,'Price List, Weapons &amp; Items'!A:F,6,0)</f>
        <v>.</v>
      </c>
      <c r="P713" s="513" t="str">
        <f t="shared" si="140"/>
        <v>.</v>
      </c>
      <c r="Q713" s="513" t="str">
        <f t="shared" si="141"/>
        <v>.</v>
      </c>
      <c r="R713" s="513">
        <f t="shared" si="161"/>
        <v>250000000</v>
      </c>
      <c r="S713" s="513">
        <f>IF(AND(AD713=1,R713&lt;&gt;".")=TRUE,R713/VLOOKUP(G713,'Exchange rates'!B:C,2,0),IF(R713=".",".",""))</f>
        <v>250000000</v>
      </c>
      <c r="T713" s="513" t="str">
        <f>IF(AD713=1,IF(AF713="Value is not given at all",".",IF(AF713="Value is given by the source",S713,IF(AF713="Value is calculated with prices",(IF(SUMIFS(Q:Q,A:A,A713)&gt;0,SUMIFS(Q:Q,A:A,A713),"."))/VLOOKUP("USD",'Exchange rates'!B:C,2,0),"Error with coding"))),"")</f>
        <v>.</v>
      </c>
      <c r="U713" s="39" t="s">
        <v>233</v>
      </c>
      <c r="V713" s="42" t="s">
        <v>1997</v>
      </c>
      <c r="W713" s="42" t="s">
        <v>1998</v>
      </c>
      <c r="X713" s="42" t="s">
        <v>1999</v>
      </c>
      <c r="Y713" s="42" t="s">
        <v>2000</v>
      </c>
      <c r="Z713" s="39">
        <v>1</v>
      </c>
      <c r="AA713" s="39">
        <v>0</v>
      </c>
      <c r="AB713" s="521" t="s">
        <v>232</v>
      </c>
      <c r="AC713" s="519" t="str">
        <f>""</f>
        <v/>
      </c>
      <c r="AD713" s="522">
        <v>1</v>
      </c>
      <c r="AE713" s="522" t="s">
        <v>236</v>
      </c>
      <c r="AF713" s="522" t="s">
        <v>237</v>
      </c>
      <c r="AG713" s="522">
        <v>1</v>
      </c>
      <c r="AH713" s="520">
        <v>5</v>
      </c>
      <c r="AI713" s="520">
        <v>0</v>
      </c>
      <c r="AJ713" s="520">
        <f>VLOOKUP($I713,'Price List, Weapons &amp; Items'!A:E,5,0)</f>
        <v>0</v>
      </c>
      <c r="AK713" s="520">
        <f t="shared" si="165"/>
        <v>0</v>
      </c>
      <c r="AL713" s="520">
        <f t="shared" si="166"/>
        <v>0</v>
      </c>
      <c r="AM713" s="520">
        <f t="shared" si="167"/>
        <v>0</v>
      </c>
      <c r="AN713" s="521" t="str">
        <f>VLOOKUP($I713,'Price List, Weapons &amp; Items'!A:K,COLUMN('Price List, Weapons &amp; Items'!$I$1),0)</f>
        <v>.</v>
      </c>
      <c r="AO713" s="521" t="str">
        <f>IF(I713=".",".",VLOOKUP($I713,'Price List, Weapons &amp; Items'!A:I,3,0))</f>
        <v>.</v>
      </c>
      <c r="AP713" s="517" t="str">
        <f t="shared" ca="1" si="162"/>
        <v>.</v>
      </c>
      <c r="AQ713" s="521" t="str">
        <f>VLOOKUP($I713,'Price List, Weapons &amp; Items'!A:K,COLUMN('Price List, Weapons &amp; Items'!$K$1),0)</f>
        <v>no price, 0 count</v>
      </c>
      <c r="AS713" s="521">
        <f t="shared" si="168"/>
        <v>1</v>
      </c>
      <c r="AT713" s="521">
        <f t="shared" si="169"/>
        <v>0</v>
      </c>
      <c r="AU713" s="521">
        <f t="shared" si="170"/>
        <v>1</v>
      </c>
      <c r="AV713" s="521" t="str">
        <f>IF(AND(A713=A712,C713=C712)=TRUE,IF(F713=F712,".","1"),".")</f>
        <v>.</v>
      </c>
    </row>
    <row r="714" spans="1:48" ht="15" customHeight="1">
      <c r="A714" s="41" t="s">
        <v>2001</v>
      </c>
      <c r="B714" s="41" t="s">
        <v>2002</v>
      </c>
      <c r="C714" s="511">
        <v>44620</v>
      </c>
      <c r="D714" s="18" t="s">
        <v>228</v>
      </c>
      <c r="E714" s="18" t="s">
        <v>239</v>
      </c>
      <c r="F714" s="512" t="s">
        <v>2003</v>
      </c>
      <c r="G714" s="39" t="s">
        <v>314</v>
      </c>
      <c r="H714" s="513">
        <v>10000000</v>
      </c>
      <c r="I714" s="523" t="s">
        <v>232</v>
      </c>
      <c r="J714" s="276" t="str">
        <f>VLOOKUP($I714,'Price List, Weapons &amp; Items'!A:B,2,0)</f>
        <v>.</v>
      </c>
      <c r="K714" s="276" t="str">
        <f>IF(I714=".",I714,VLOOKUP($I714,'Price List, Weapons &amp; Items'!A:C,3,0))</f>
        <v>.</v>
      </c>
      <c r="L714" s="514">
        <f>VLOOKUP(I714,'Price List, Weapons &amp; Items'!A:D,4,0)</f>
        <v>0</v>
      </c>
      <c r="M714" s="515" t="s">
        <v>232</v>
      </c>
      <c r="N714" s="515" t="s">
        <v>232</v>
      </c>
      <c r="O714" s="516" t="str">
        <f>VLOOKUP($I714,'Price List, Weapons &amp; Items'!A:F,6,0)</f>
        <v>.</v>
      </c>
      <c r="P714" s="513" t="str">
        <f t="shared" si="140"/>
        <v>.</v>
      </c>
      <c r="Q714" s="513" t="str">
        <f t="shared" si="141"/>
        <v>.</v>
      </c>
      <c r="R714" s="513">
        <f t="shared" si="161"/>
        <v>10000000</v>
      </c>
      <c r="S714" s="513">
        <f>IF(AND(AD714=1,R714&lt;&gt;".")=TRUE,R714/VLOOKUP(G714,'Exchange rates'!B:C,2,0),IF(R714=".",".",""))</f>
        <v>9965122.0727453902</v>
      </c>
      <c r="T714" s="513" t="str">
        <f>IF(AD714=1,IF(AF714="Value is not given at all",".",IF(AF714="Value is given by the source",S714,IF(AF714="Value is calculated with prices",(IF(SUMIFS(Q:Q,A:A,A714)&gt;0,SUMIFS(Q:Q,A:A,A714),"."))/VLOOKUP("USD",'Exchange rates'!B:C,2,0),"Error with coding"))),"")</f>
        <v>.</v>
      </c>
      <c r="U714" s="39" t="s">
        <v>233</v>
      </c>
      <c r="V714" s="42" t="s">
        <v>2004</v>
      </c>
      <c r="W714" s="42" t="s">
        <v>2005</v>
      </c>
      <c r="X714" s="42" t="s">
        <v>2006</v>
      </c>
      <c r="Y714" s="512" t="s">
        <v>232</v>
      </c>
      <c r="Z714" s="39">
        <v>0</v>
      </c>
      <c r="AA714" s="518">
        <v>0</v>
      </c>
      <c r="AB714" s="38" t="s">
        <v>232</v>
      </c>
      <c r="AC714" s="519" t="str">
        <f>""</f>
        <v/>
      </c>
      <c r="AD714" s="520">
        <v>1</v>
      </c>
      <c r="AE714" s="520" t="s">
        <v>236</v>
      </c>
      <c r="AF714" s="520" t="s">
        <v>237</v>
      </c>
      <c r="AG714" s="520">
        <v>1</v>
      </c>
      <c r="AH714" s="520">
        <v>2</v>
      </c>
      <c r="AI714" s="520">
        <v>0</v>
      </c>
      <c r="AJ714" s="520">
        <f>VLOOKUP($I714,'Price List, Weapons &amp; Items'!A:E,5,0)</f>
        <v>0</v>
      </c>
      <c r="AK714" s="520">
        <f t="shared" si="165"/>
        <v>0</v>
      </c>
      <c r="AL714" s="520">
        <f t="shared" si="166"/>
        <v>0</v>
      </c>
      <c r="AM714" s="520">
        <f t="shared" si="167"/>
        <v>0</v>
      </c>
      <c r="AN714" s="521" t="str">
        <f>VLOOKUP($I714,'Price List, Weapons &amp; Items'!A:K,COLUMN('Price List, Weapons &amp; Items'!$I$1),0)</f>
        <v>.</v>
      </c>
      <c r="AO714" s="521" t="str">
        <f>IF(I714=".",".",VLOOKUP($I714,'Price List, Weapons &amp; Items'!A:I,3,0))</f>
        <v>.</v>
      </c>
      <c r="AP714" s="517" t="str">
        <f t="shared" ca="1" si="162"/>
        <v>.</v>
      </c>
      <c r="AQ714" s="521" t="str">
        <f>VLOOKUP($I714,'Price List, Weapons &amp; Items'!A:K,COLUMN('Price List, Weapons &amp; Items'!$K$1),0)</f>
        <v>no price, 0 count</v>
      </c>
      <c r="AS714" s="521">
        <f t="shared" si="168"/>
        <v>1</v>
      </c>
      <c r="AT714" s="521">
        <f t="shared" si="169"/>
        <v>0</v>
      </c>
      <c r="AU714" s="521">
        <f t="shared" si="170"/>
        <v>1</v>
      </c>
      <c r="AV714" s="521" t="str">
        <f t="shared" si="171"/>
        <v>.</v>
      </c>
    </row>
    <row r="715" spans="1:48" ht="15" customHeight="1">
      <c r="A715" s="41" t="s">
        <v>2007</v>
      </c>
      <c r="B715" s="41" t="s">
        <v>2002</v>
      </c>
      <c r="C715" s="511">
        <v>44671</v>
      </c>
      <c r="D715" s="18" t="s">
        <v>228</v>
      </c>
      <c r="E715" s="18" t="s">
        <v>239</v>
      </c>
      <c r="F715" s="512" t="s">
        <v>2008</v>
      </c>
      <c r="G715" s="39" t="s">
        <v>314</v>
      </c>
      <c r="H715" s="513">
        <v>30000000</v>
      </c>
      <c r="I715" s="523" t="s">
        <v>232</v>
      </c>
      <c r="J715" s="276" t="str">
        <f>VLOOKUP($I715,'Price List, Weapons &amp; Items'!A:B,2,0)</f>
        <v>.</v>
      </c>
      <c r="K715" s="276" t="str">
        <f>IF(I715=".",I715,VLOOKUP($I715,'Price List, Weapons &amp; Items'!A:C,3,0))</f>
        <v>.</v>
      </c>
      <c r="L715" s="514">
        <f>VLOOKUP(I715,'Price List, Weapons &amp; Items'!A:D,4,0)</f>
        <v>0</v>
      </c>
      <c r="M715" s="515" t="s">
        <v>232</v>
      </c>
      <c r="N715" s="515" t="s">
        <v>232</v>
      </c>
      <c r="O715" s="516" t="str">
        <f>VLOOKUP($I715,'Price List, Weapons &amp; Items'!A:F,6,0)</f>
        <v>.</v>
      </c>
      <c r="P715" s="513" t="str">
        <f t="shared" si="140"/>
        <v>.</v>
      </c>
      <c r="Q715" s="513" t="str">
        <f t="shared" si="141"/>
        <v>.</v>
      </c>
      <c r="R715" s="513">
        <f t="shared" si="161"/>
        <v>30000000</v>
      </c>
      <c r="S715" s="513">
        <f>IF(AND(AD715=1,R715&lt;&gt;".")=TRUE,R715/VLOOKUP(G715,'Exchange rates'!B:C,2,0),IF(R715=".",".",""))</f>
        <v>29895366.218236171</v>
      </c>
      <c r="T715" s="513" t="str">
        <f>IF(AD715=1,IF(AF715="Value is not given at all",".",IF(AF715="Value is given by the source",S715,IF(AF715="Value is calculated with prices",(IF(SUMIFS(Q:Q,A:A,A715)&gt;0,SUMIFS(Q:Q,A:A,A715),"."))/VLOOKUP("USD",'Exchange rates'!B:C,2,0),"Error with coding"))),"")</f>
        <v>.</v>
      </c>
      <c r="U715" s="39" t="s">
        <v>372</v>
      </c>
      <c r="V715" s="42" t="s">
        <v>2005</v>
      </c>
      <c r="W715" s="42" t="s">
        <v>2009</v>
      </c>
      <c r="X715" s="42" t="s">
        <v>2010</v>
      </c>
      <c r="Y715" s="512" t="s">
        <v>232</v>
      </c>
      <c r="Z715" s="39">
        <v>0</v>
      </c>
      <c r="AA715" s="518">
        <v>0</v>
      </c>
      <c r="AB715" s="38" t="s">
        <v>232</v>
      </c>
      <c r="AC715" s="519" t="str">
        <f>""</f>
        <v/>
      </c>
      <c r="AD715" s="520">
        <v>1</v>
      </c>
      <c r="AE715" s="520" t="s">
        <v>236</v>
      </c>
      <c r="AF715" s="520" t="s">
        <v>237</v>
      </c>
      <c r="AG715" s="520">
        <v>1</v>
      </c>
      <c r="AH715" s="520">
        <v>4</v>
      </c>
      <c r="AI715" s="520">
        <v>0</v>
      </c>
      <c r="AJ715" s="520">
        <f>VLOOKUP($I715,'Price List, Weapons &amp; Items'!A:E,5,0)</f>
        <v>0</v>
      </c>
      <c r="AK715" s="520">
        <f t="shared" si="165"/>
        <v>0</v>
      </c>
      <c r="AL715" s="520">
        <f t="shared" si="166"/>
        <v>0</v>
      </c>
      <c r="AM715" s="520">
        <f t="shared" si="167"/>
        <v>0</v>
      </c>
      <c r="AN715" s="521" t="str">
        <f>VLOOKUP($I715,'Price List, Weapons &amp; Items'!A:K,COLUMN('Price List, Weapons &amp; Items'!$I$1),0)</f>
        <v>.</v>
      </c>
      <c r="AO715" s="521" t="str">
        <f>IF(I715=".",".",VLOOKUP($I715,'Price List, Weapons &amp; Items'!A:I,3,0))</f>
        <v>.</v>
      </c>
      <c r="AP715" s="517" t="str">
        <f t="shared" ca="1" si="162"/>
        <v>.</v>
      </c>
      <c r="AQ715" s="521" t="str">
        <f>VLOOKUP($I715,'Price List, Weapons &amp; Items'!A:K,COLUMN('Price List, Weapons &amp; Items'!$K$1),0)</f>
        <v>no price, 0 count</v>
      </c>
      <c r="AS715" s="521">
        <f t="shared" si="168"/>
        <v>0</v>
      </c>
      <c r="AT715" s="521">
        <f t="shared" si="169"/>
        <v>0</v>
      </c>
      <c r="AU715" s="521">
        <f t="shared" si="170"/>
        <v>1</v>
      </c>
      <c r="AV715" s="521" t="str">
        <f t="shared" si="171"/>
        <v>.</v>
      </c>
    </row>
    <row r="716" spans="1:48" ht="15" customHeight="1">
      <c r="A716" s="41" t="s">
        <v>2011</v>
      </c>
      <c r="B716" s="41" t="s">
        <v>2002</v>
      </c>
      <c r="C716" s="511">
        <v>44720</v>
      </c>
      <c r="D716" s="18" t="s">
        <v>228</v>
      </c>
      <c r="E716" s="18" t="s">
        <v>229</v>
      </c>
      <c r="F716" s="512" t="s">
        <v>2012</v>
      </c>
      <c r="G716" s="39" t="s">
        <v>314</v>
      </c>
      <c r="H716" s="513">
        <v>1200000</v>
      </c>
      <c r="I716" s="523" t="s">
        <v>232</v>
      </c>
      <c r="J716" s="276" t="str">
        <f>VLOOKUP($I716,'Price List, Weapons &amp; Items'!A:B,2,0)</f>
        <v>.</v>
      </c>
      <c r="K716" s="276" t="str">
        <f>IF(I716=".",I716,VLOOKUP($I716,'Price List, Weapons &amp; Items'!A:C,3,0))</f>
        <v>.</v>
      </c>
      <c r="L716" s="514">
        <f>VLOOKUP(I716,'Price List, Weapons &amp; Items'!A:D,4,0)</f>
        <v>0</v>
      </c>
      <c r="M716" s="515" t="s">
        <v>232</v>
      </c>
      <c r="N716" s="515" t="s">
        <v>232</v>
      </c>
      <c r="O716" s="516" t="str">
        <f>VLOOKUP($I716,'Price List, Weapons &amp; Items'!A:F,6,0)</f>
        <v>.</v>
      </c>
      <c r="P716" s="513" t="str">
        <f t="shared" si="140"/>
        <v>.</v>
      </c>
      <c r="Q716" s="513" t="str">
        <f t="shared" si="141"/>
        <v>.</v>
      </c>
      <c r="R716" s="513">
        <f t="shared" si="161"/>
        <v>1200000</v>
      </c>
      <c r="S716" s="513">
        <f>IF(AND(AD716=1,R716&lt;&gt;".")=TRUE,R716/VLOOKUP(G716,'Exchange rates'!B:C,2,0),IF(R716=".",".",""))</f>
        <v>1195814.6487294468</v>
      </c>
      <c r="T716" s="513" t="str">
        <f>IF(AD716=1,IF(AF716="Value is not given at all",".",IF(AF716="Value is given by the source",S716,IF(AF716="Value is calculated with prices",(IF(SUMIFS(Q:Q,A:A,A716)&gt;0,SUMIFS(Q:Q,A:A,A716),"."))/VLOOKUP("USD",'Exchange rates'!B:C,2,0),"Error with coding"))),"")</f>
        <v>.</v>
      </c>
      <c r="U716" s="39" t="s">
        <v>233</v>
      </c>
      <c r="V716" s="42" t="s">
        <v>2013</v>
      </c>
      <c r="W716" s="42" t="s">
        <v>2014</v>
      </c>
      <c r="X716" s="42" t="s">
        <v>2010</v>
      </c>
      <c r="Y716" s="512" t="s">
        <v>232</v>
      </c>
      <c r="Z716" s="39">
        <v>0</v>
      </c>
      <c r="AA716" s="518">
        <v>0</v>
      </c>
      <c r="AB716" s="38" t="s">
        <v>232</v>
      </c>
      <c r="AC716" s="519" t="str">
        <f>""</f>
        <v/>
      </c>
      <c r="AD716" s="520">
        <v>1</v>
      </c>
      <c r="AE716" s="520" t="s">
        <v>236</v>
      </c>
      <c r="AF716" s="520" t="s">
        <v>237</v>
      </c>
      <c r="AG716" s="520">
        <v>1</v>
      </c>
      <c r="AH716" s="520">
        <v>6</v>
      </c>
      <c r="AI716" s="520">
        <v>0</v>
      </c>
      <c r="AJ716" s="520">
        <f>VLOOKUP($I716,'Price List, Weapons &amp; Items'!A:E,5,0)</f>
        <v>0</v>
      </c>
      <c r="AK716" s="520">
        <f t="shared" si="165"/>
        <v>0</v>
      </c>
      <c r="AL716" s="520">
        <f t="shared" si="166"/>
        <v>0</v>
      </c>
      <c r="AM716" s="520">
        <f t="shared" si="167"/>
        <v>0</v>
      </c>
      <c r="AN716" s="521" t="str">
        <f>VLOOKUP($I716,'Price List, Weapons &amp; Items'!A:K,COLUMN('Price List, Weapons &amp; Items'!$I$1),0)</f>
        <v>.</v>
      </c>
      <c r="AO716" s="521" t="str">
        <f>IF(I716=".",".",VLOOKUP($I716,'Price List, Weapons &amp; Items'!A:I,3,0))</f>
        <v>.</v>
      </c>
      <c r="AP716" s="517" t="str">
        <f t="shared" ca="1" si="162"/>
        <v>.</v>
      </c>
      <c r="AQ716" s="521" t="str">
        <f>VLOOKUP($I716,'Price List, Weapons &amp; Items'!A:K,COLUMN('Price List, Weapons &amp; Items'!$K$1),0)</f>
        <v>no price, 0 count</v>
      </c>
      <c r="AS716" s="521">
        <f t="shared" si="168"/>
        <v>1</v>
      </c>
      <c r="AT716" s="521">
        <f t="shared" si="169"/>
        <v>0</v>
      </c>
      <c r="AU716" s="521">
        <f t="shared" si="170"/>
        <v>1</v>
      </c>
      <c r="AV716" s="521" t="str">
        <f t="shared" si="171"/>
        <v>.</v>
      </c>
    </row>
    <row r="717" spans="1:48" ht="15" customHeight="1">
      <c r="A717" s="41" t="s">
        <v>2015</v>
      </c>
      <c r="B717" s="41" t="s">
        <v>2002</v>
      </c>
      <c r="C717" s="511">
        <v>44733</v>
      </c>
      <c r="D717" s="18" t="s">
        <v>228</v>
      </c>
      <c r="E717" s="18" t="s">
        <v>229</v>
      </c>
      <c r="F717" s="512" t="s">
        <v>2016</v>
      </c>
      <c r="G717" s="39" t="s">
        <v>314</v>
      </c>
      <c r="H717" s="513">
        <v>50000000</v>
      </c>
      <c r="I717" s="41" t="s">
        <v>232</v>
      </c>
      <c r="J717" s="276" t="str">
        <f>VLOOKUP($I717,'Price List, Weapons &amp; Items'!A:B,2,0)</f>
        <v>.</v>
      </c>
      <c r="K717" s="276" t="str">
        <f>IF(I717=".",I717,VLOOKUP($I717,'Price List, Weapons &amp; Items'!A:C,3,0))</f>
        <v>.</v>
      </c>
      <c r="L717" s="514">
        <f>VLOOKUP(I717,'Price List, Weapons &amp; Items'!A:D,4,0)</f>
        <v>0</v>
      </c>
      <c r="M717" s="527" t="s">
        <v>232</v>
      </c>
      <c r="N717" s="527" t="s">
        <v>232</v>
      </c>
      <c r="O717" s="516" t="str">
        <f>VLOOKUP($I717,'Price List, Weapons &amp; Items'!A:F,6,0)</f>
        <v>.</v>
      </c>
      <c r="P717" s="513" t="str">
        <f t="shared" si="140"/>
        <v>.</v>
      </c>
      <c r="Q717" s="513" t="str">
        <f t="shared" si="141"/>
        <v>.</v>
      </c>
      <c r="R717" s="513">
        <f t="shared" si="161"/>
        <v>50000000</v>
      </c>
      <c r="S717" s="513">
        <f>IF(AND(AD717=1,R717&lt;&gt;".")=TRUE,R717/VLOOKUP(G717,'Exchange rates'!B:C,2,0),IF(R717=".",".",""))</f>
        <v>49825610.363726951</v>
      </c>
      <c r="T717" s="513" t="str">
        <f>IF(AD717=1,IF(AF717="Value is not given at all",".",IF(AF717="Value is given by the source",S717,IF(AF717="Value is calculated with prices",(IF(SUMIFS(Q:Q,A:A,A717)&gt;0,SUMIFS(Q:Q,A:A,A717),"."))/VLOOKUP("USD",'Exchange rates'!B:C,2,0),"Error with coding"))),"")</f>
        <v>.</v>
      </c>
      <c r="U717" s="39" t="s">
        <v>233</v>
      </c>
      <c r="V717" s="531" t="s">
        <v>2017</v>
      </c>
      <c r="W717" s="531" t="s">
        <v>232</v>
      </c>
      <c r="X717" s="531" t="s">
        <v>232</v>
      </c>
      <c r="Y717" s="512" t="s">
        <v>232</v>
      </c>
      <c r="Z717" s="39">
        <v>0</v>
      </c>
      <c r="AA717" s="518">
        <v>0</v>
      </c>
      <c r="AB717" s="41" t="s">
        <v>232</v>
      </c>
      <c r="AC717" s="519" t="str">
        <f>""</f>
        <v/>
      </c>
      <c r="AD717" s="522">
        <v>1</v>
      </c>
      <c r="AE717" s="522" t="s">
        <v>236</v>
      </c>
      <c r="AF717" s="522" t="s">
        <v>237</v>
      </c>
      <c r="AG717" s="522">
        <v>1</v>
      </c>
      <c r="AH717" s="520">
        <v>6</v>
      </c>
      <c r="AI717" s="520">
        <v>0</v>
      </c>
      <c r="AJ717" s="520">
        <f>VLOOKUP($I717,'Price List, Weapons &amp; Items'!A:E,5,0)</f>
        <v>0</v>
      </c>
      <c r="AK717" s="520">
        <f t="shared" si="165"/>
        <v>0</v>
      </c>
      <c r="AL717" s="520">
        <f t="shared" si="166"/>
        <v>0</v>
      </c>
      <c r="AM717" s="520">
        <f t="shared" si="167"/>
        <v>0</v>
      </c>
      <c r="AN717" s="521" t="str">
        <f>VLOOKUP($I717,'Price List, Weapons &amp; Items'!A:K,COLUMN('Price List, Weapons &amp; Items'!$I$1),0)</f>
        <v>.</v>
      </c>
      <c r="AO717" s="521" t="str">
        <f>IF(I717=".",".",VLOOKUP($I717,'Price List, Weapons &amp; Items'!A:I,3,0))</f>
        <v>.</v>
      </c>
      <c r="AP717" s="517" t="str">
        <f t="shared" ca="1" si="162"/>
        <v>.</v>
      </c>
      <c r="AQ717" s="521" t="str">
        <f>VLOOKUP($I717,'Price List, Weapons &amp; Items'!A:K,COLUMN('Price List, Weapons &amp; Items'!$K$1),0)</f>
        <v>no price, 0 count</v>
      </c>
      <c r="AS717" s="521">
        <f t="shared" si="168"/>
        <v>1</v>
      </c>
      <c r="AT717" s="521">
        <f t="shared" si="169"/>
        <v>0</v>
      </c>
      <c r="AU717" s="521">
        <f t="shared" si="170"/>
        <v>1</v>
      </c>
      <c r="AV717" s="521" t="str">
        <f t="shared" si="171"/>
        <v>.</v>
      </c>
    </row>
    <row r="718" spans="1:48" ht="15" customHeight="1">
      <c r="A718" s="41" t="s">
        <v>2018</v>
      </c>
      <c r="B718" s="41" t="s">
        <v>2002</v>
      </c>
      <c r="C718" s="511">
        <v>44621</v>
      </c>
      <c r="D718" s="18" t="s">
        <v>252</v>
      </c>
      <c r="E718" s="18" t="s">
        <v>261</v>
      </c>
      <c r="F718" s="512" t="s">
        <v>2019</v>
      </c>
      <c r="G718" s="39" t="s">
        <v>314</v>
      </c>
      <c r="H718" s="513">
        <v>800000</v>
      </c>
      <c r="I718" s="523" t="s">
        <v>232</v>
      </c>
      <c r="J718" s="276" t="str">
        <f>VLOOKUP($I718,'Price List, Weapons &amp; Items'!A:B,2,0)</f>
        <v>.</v>
      </c>
      <c r="K718" s="276" t="str">
        <f>IF(I718=".",I718,VLOOKUP($I718,'Price List, Weapons &amp; Items'!A:C,3,0))</f>
        <v>.</v>
      </c>
      <c r="L718" s="514">
        <f>VLOOKUP(I718,'Price List, Weapons &amp; Items'!A:D,4,0)</f>
        <v>0</v>
      </c>
      <c r="M718" s="515" t="s">
        <v>232</v>
      </c>
      <c r="N718" s="515" t="s">
        <v>232</v>
      </c>
      <c r="O718" s="516" t="str">
        <f>VLOOKUP($I718,'Price List, Weapons &amp; Items'!A:F,6,0)</f>
        <v>.</v>
      </c>
      <c r="P718" s="513" t="str">
        <f t="shared" si="140"/>
        <v>.</v>
      </c>
      <c r="Q718" s="513" t="str">
        <f t="shared" si="141"/>
        <v>.</v>
      </c>
      <c r="R718" s="513">
        <f t="shared" si="161"/>
        <v>800000</v>
      </c>
      <c r="S718" s="513">
        <f>IF(AND(AD718=1,R718&lt;&gt;".")=TRUE,R718/VLOOKUP(G718,'Exchange rates'!B:C,2,0),IF(R718=".",".",""))</f>
        <v>797209.76581963128</v>
      </c>
      <c r="T718" s="513" t="str">
        <f>IF(AD718=1,IF(AF718="Value is not given at all",".",IF(AF718="Value is given by the source",S718,IF(AF718="Value is calculated with prices",(IF(SUMIFS(Q:Q,A:A,A718)&gt;0,SUMIFS(Q:Q,A:A,A718),"."))/VLOOKUP("USD",'Exchange rates'!B:C,2,0),"Error with coding"))),"")</f>
        <v>.</v>
      </c>
      <c r="U718" s="39" t="s">
        <v>372</v>
      </c>
      <c r="V718" s="42" t="s">
        <v>2020</v>
      </c>
      <c r="W718" s="42" t="s">
        <v>2021</v>
      </c>
      <c r="X718" s="42" t="s">
        <v>2022</v>
      </c>
      <c r="Y718" s="512" t="s">
        <v>232</v>
      </c>
      <c r="Z718" s="39">
        <v>0</v>
      </c>
      <c r="AA718" s="518">
        <v>0</v>
      </c>
      <c r="AB718" s="38" t="s">
        <v>232</v>
      </c>
      <c r="AC718" s="519" t="str">
        <f>""</f>
        <v/>
      </c>
      <c r="AD718" s="520">
        <v>1</v>
      </c>
      <c r="AE718" s="520" t="s">
        <v>236</v>
      </c>
      <c r="AF718" s="520" t="s">
        <v>237</v>
      </c>
      <c r="AG718" s="520">
        <v>1</v>
      </c>
      <c r="AH718" s="520">
        <v>3</v>
      </c>
      <c r="AI718" s="520">
        <v>0</v>
      </c>
      <c r="AJ718" s="520">
        <f>VLOOKUP($I718,'Price List, Weapons &amp; Items'!A:E,5,0)</f>
        <v>0</v>
      </c>
      <c r="AK718" s="520">
        <f t="shared" si="165"/>
        <v>0</v>
      </c>
      <c r="AL718" s="520">
        <f t="shared" si="166"/>
        <v>0</v>
      </c>
      <c r="AM718" s="520">
        <f t="shared" si="167"/>
        <v>0</v>
      </c>
      <c r="AN718" s="521" t="str">
        <f>VLOOKUP($I718,'Price List, Weapons &amp; Items'!A:K,COLUMN('Price List, Weapons &amp; Items'!$I$1),0)</f>
        <v>.</v>
      </c>
      <c r="AO718" s="521" t="str">
        <f>IF(I718=".",".",VLOOKUP($I718,'Price List, Weapons &amp; Items'!A:I,3,0))</f>
        <v>.</v>
      </c>
      <c r="AP718" s="517" t="str">
        <f t="shared" ca="1" si="162"/>
        <v>.</v>
      </c>
      <c r="AQ718" s="521" t="str">
        <f>VLOOKUP($I718,'Price List, Weapons &amp; Items'!A:K,COLUMN('Price List, Weapons &amp; Items'!$K$1),0)</f>
        <v>no price, 0 count</v>
      </c>
      <c r="AS718" s="521">
        <f t="shared" si="168"/>
        <v>0</v>
      </c>
      <c r="AT718" s="521">
        <f t="shared" si="169"/>
        <v>1</v>
      </c>
      <c r="AU718" s="521">
        <f t="shared" si="170"/>
        <v>1</v>
      </c>
      <c r="AV718" s="521" t="str">
        <f t="shared" si="171"/>
        <v>.</v>
      </c>
    </row>
    <row r="719" spans="1:48" ht="15" customHeight="1">
      <c r="A719" s="18" t="s">
        <v>2023</v>
      </c>
      <c r="B719" s="18" t="s">
        <v>2002</v>
      </c>
      <c r="C719" s="511">
        <v>44664</v>
      </c>
      <c r="D719" s="18" t="s">
        <v>252</v>
      </c>
      <c r="E719" s="18" t="s">
        <v>261</v>
      </c>
      <c r="F719" s="512" t="s">
        <v>2024</v>
      </c>
      <c r="G719" s="39" t="s">
        <v>314</v>
      </c>
      <c r="H719" s="513">
        <v>1600000</v>
      </c>
      <c r="I719" s="523" t="s">
        <v>446</v>
      </c>
      <c r="J719" s="276" t="str">
        <f>VLOOKUP($I719,'Price List, Weapons &amp; Items'!A:B,2,0)</f>
        <v>Military equipment</v>
      </c>
      <c r="K719" s="276" t="str">
        <f>IF(I719=".",I719,VLOOKUP($I719,'Price List, Weapons &amp; Items'!A:C,3,0))</f>
        <v>.</v>
      </c>
      <c r="L719" s="514">
        <f>VLOOKUP(I719,'Price List, Weapons &amp; Items'!A:D,4,0)</f>
        <v>0</v>
      </c>
      <c r="M719" s="515" t="s">
        <v>264</v>
      </c>
      <c r="N719" s="515" t="s">
        <v>232</v>
      </c>
      <c r="O719" s="516">
        <f>VLOOKUP($I719,'Price List, Weapons &amp; Items'!A:F,6,0)</f>
        <v>500</v>
      </c>
      <c r="P719" s="513" t="str">
        <f t="shared" si="140"/>
        <v>.</v>
      </c>
      <c r="Q719" s="513" t="str">
        <f t="shared" si="141"/>
        <v>.</v>
      </c>
      <c r="R719" s="513">
        <f t="shared" si="161"/>
        <v>1600000</v>
      </c>
      <c r="S719" s="513">
        <f>IF(AND(AD719=1,R719&lt;&gt;".")=TRUE,R719/VLOOKUP(G719,'Exchange rates'!B:C,2,0),IF(R719=".",".",""))</f>
        <v>1594419.5316392626</v>
      </c>
      <c r="T719" s="513" t="str">
        <f>IF(AD719=1,IF(AF719="Value is not given at all",".",IF(AF719="Value is given by the source",S719,IF(AF719="Value is calculated with prices",(IF(SUMIFS(Q:Q,A:A,A719)&gt;0,SUMIFS(Q:Q,A:A,A719),"."))/VLOOKUP("USD",'Exchange rates'!B:C,2,0),"Error with coding"))),"")</f>
        <v>.</v>
      </c>
      <c r="U719" s="39" t="s">
        <v>372</v>
      </c>
      <c r="V719" s="376" t="s">
        <v>2025</v>
      </c>
      <c r="W719" s="376" t="s">
        <v>2026</v>
      </c>
      <c r="X719" s="530" t="s">
        <v>232</v>
      </c>
      <c r="Y719" s="530" t="s">
        <v>232</v>
      </c>
      <c r="Z719" s="39">
        <v>0</v>
      </c>
      <c r="AA719" s="518">
        <v>0</v>
      </c>
      <c r="AB719" s="38" t="s">
        <v>232</v>
      </c>
      <c r="AC719" s="519" t="str">
        <f>""</f>
        <v/>
      </c>
      <c r="AD719" s="520">
        <v>1</v>
      </c>
      <c r="AE719" s="520" t="s">
        <v>236</v>
      </c>
      <c r="AF719" s="520" t="s">
        <v>237</v>
      </c>
      <c r="AG719" s="520">
        <v>1</v>
      </c>
      <c r="AH719" s="520">
        <v>4</v>
      </c>
      <c r="AI719" s="520">
        <v>0</v>
      </c>
      <c r="AJ719" s="520">
        <f>VLOOKUP($I719,'Price List, Weapons &amp; Items'!A:E,5,0)</f>
        <v>0</v>
      </c>
      <c r="AK719" s="520">
        <f t="shared" si="165"/>
        <v>0</v>
      </c>
      <c r="AL719" s="520">
        <f t="shared" si="166"/>
        <v>0</v>
      </c>
      <c r="AM719" s="520">
        <f t="shared" si="167"/>
        <v>0</v>
      </c>
      <c r="AN719" s="521" t="str">
        <f>VLOOKUP($I719,'Price List, Weapons &amp; Items'!A:K,COLUMN('Price List, Weapons &amp; Items'!$I$1),0)</f>
        <v>Military media (incl. websites)</v>
      </c>
      <c r="AO719" s="521" t="str">
        <f>IF(I719=".",".",VLOOKUP($I719,'Price List, Weapons &amp; Items'!A:I,3,0))</f>
        <v>.</v>
      </c>
      <c r="AP719" s="517" t="str">
        <f t="shared" ca="1" si="162"/>
        <v>ballistic vest; helmet; medical equipment; MRE</v>
      </c>
      <c r="AQ719" s="521">
        <f>VLOOKUP($I719,'Price List, Weapons &amp; Items'!A:K,COLUMN('Price List, Weapons &amp; Items'!$K$1),0)</f>
        <v>2</v>
      </c>
      <c r="AS719" s="521">
        <f t="shared" si="168"/>
        <v>0</v>
      </c>
      <c r="AT719" s="521">
        <f t="shared" si="169"/>
        <v>1</v>
      </c>
      <c r="AU719" s="521">
        <f t="shared" si="170"/>
        <v>1</v>
      </c>
      <c r="AV719" s="521" t="str">
        <f t="shared" si="171"/>
        <v>.</v>
      </c>
    </row>
    <row r="720" spans="1:48" ht="15" customHeight="1">
      <c r="A720" s="18" t="s">
        <v>2023</v>
      </c>
      <c r="B720" s="18" t="s">
        <v>2002</v>
      </c>
      <c r="C720" s="511">
        <v>44664</v>
      </c>
      <c r="D720" s="18" t="s">
        <v>252</v>
      </c>
      <c r="E720" s="18" t="s">
        <v>261</v>
      </c>
      <c r="F720" s="512" t="s">
        <v>2024</v>
      </c>
      <c r="G720" s="39" t="s">
        <v>314</v>
      </c>
      <c r="H720" s="513">
        <v>1600000</v>
      </c>
      <c r="I720" s="523" t="s">
        <v>419</v>
      </c>
      <c r="J720" s="276" t="str">
        <f>VLOOKUP($I720,'Price List, Weapons &amp; Items'!A:B,2,0)</f>
        <v>Military equipment</v>
      </c>
      <c r="K720" s="276" t="str">
        <f>IF(I720=".",I720,VLOOKUP($I720,'Price List, Weapons &amp; Items'!A:C,3,0))</f>
        <v>.</v>
      </c>
      <c r="L720" s="514">
        <f>VLOOKUP(I720,'Price List, Weapons &amp; Items'!A:D,4,0)</f>
        <v>0</v>
      </c>
      <c r="M720" s="515" t="s">
        <v>264</v>
      </c>
      <c r="N720" s="515" t="s">
        <v>232</v>
      </c>
      <c r="O720" s="516">
        <f>VLOOKUP($I720,'Price List, Weapons &amp; Items'!A:F,6,0)</f>
        <v>1400</v>
      </c>
      <c r="P720" s="513" t="str">
        <f t="shared" si="140"/>
        <v>.</v>
      </c>
      <c r="Q720" s="513" t="str">
        <f t="shared" si="141"/>
        <v>.</v>
      </c>
      <c r="R720" s="513" t="str">
        <f t="shared" si="161"/>
        <v/>
      </c>
      <c r="S720" s="513" t="str">
        <f>IF(AND(AD720=1,R720&lt;&gt;".")=TRUE,R720/VLOOKUP(G720,'Exchange rates'!B:C,2,0),IF(R720=".",".",""))</f>
        <v/>
      </c>
      <c r="T720" s="513" t="str">
        <f>IF(AD720=1,IF(AF720="Value is not given at all",".",IF(AF720="Value is given by the source",S720,IF(AF720="Value is calculated with prices",(IF(SUMIFS(Q:Q,A:A,A720)&gt;0,SUMIFS(Q:Q,A:A,A720),"."))/VLOOKUP("USD",'Exchange rates'!B:C,2,0),"Error with coding"))),"")</f>
        <v/>
      </c>
      <c r="U720" s="39" t="s">
        <v>372</v>
      </c>
      <c r="V720" s="376" t="s">
        <v>2025</v>
      </c>
      <c r="W720" s="376" t="s">
        <v>2026</v>
      </c>
      <c r="X720" s="530" t="s">
        <v>232</v>
      </c>
      <c r="Y720" s="530" t="s">
        <v>232</v>
      </c>
      <c r="Z720" s="39">
        <v>0</v>
      </c>
      <c r="AA720" s="518">
        <v>0</v>
      </c>
      <c r="AB720" s="38" t="s">
        <v>232</v>
      </c>
      <c r="AC720" s="519" t="str">
        <f>""</f>
        <v/>
      </c>
      <c r="AD720" s="520">
        <v>0</v>
      </c>
      <c r="AE720" s="520" t="s">
        <v>236</v>
      </c>
      <c r="AF720" s="520" t="s">
        <v>237</v>
      </c>
      <c r="AG720" s="520">
        <v>1</v>
      </c>
      <c r="AH720" s="520">
        <v>4</v>
      </c>
      <c r="AI720" s="520">
        <v>0</v>
      </c>
      <c r="AJ720" s="520">
        <f>VLOOKUP($I720,'Price List, Weapons &amp; Items'!A:E,5,0)</f>
        <v>0</v>
      </c>
      <c r="AK720" s="520">
        <f t="shared" si="165"/>
        <v>0</v>
      </c>
      <c r="AL720" s="520">
        <f t="shared" si="166"/>
        <v>0</v>
      </c>
      <c r="AM720" s="520">
        <f t="shared" si="167"/>
        <v>0</v>
      </c>
      <c r="AN720" s="521" t="str">
        <f>VLOOKUP($I720,'Price List, Weapons &amp; Items'!A:K,COLUMN('Price List, Weapons &amp; Items'!$I$1),0)</f>
        <v>Military media (incl. websites)</v>
      </c>
      <c r="AO720" s="521" t="str">
        <f>IF(I720=".",".",VLOOKUP($I720,'Price List, Weapons &amp; Items'!A:I,3,0))</f>
        <v>.</v>
      </c>
      <c r="AP720" s="517" t="str">
        <f t="shared" ca="1" si="162"/>
        <v/>
      </c>
      <c r="AQ720" s="521">
        <f>VLOOKUP($I720,'Price List, Weapons &amp; Items'!A:K,COLUMN('Price List, Weapons &amp; Items'!$K$1),0)</f>
        <v>2</v>
      </c>
      <c r="AS720" s="521">
        <f t="shared" si="168"/>
        <v>0</v>
      </c>
      <c r="AT720" s="521">
        <f t="shared" si="169"/>
        <v>1</v>
      </c>
      <c r="AU720" s="521">
        <f t="shared" si="170"/>
        <v>1</v>
      </c>
      <c r="AV720" s="521" t="str">
        <f t="shared" si="171"/>
        <v>.</v>
      </c>
    </row>
    <row r="721" spans="1:48" ht="15" customHeight="1">
      <c r="A721" s="18" t="s">
        <v>2023</v>
      </c>
      <c r="B721" s="18" t="s">
        <v>2002</v>
      </c>
      <c r="C721" s="511">
        <v>44664</v>
      </c>
      <c r="D721" s="18" t="s">
        <v>252</v>
      </c>
      <c r="E721" s="18" t="s">
        <v>261</v>
      </c>
      <c r="F721" s="512" t="s">
        <v>2024</v>
      </c>
      <c r="G721" s="39" t="s">
        <v>314</v>
      </c>
      <c r="H721" s="513">
        <v>1600000</v>
      </c>
      <c r="I721" s="523" t="s">
        <v>2027</v>
      </c>
      <c r="J721" s="276" t="str">
        <f>VLOOKUP($I721,'Price List, Weapons &amp; Items'!A:B,2,0)</f>
        <v>Military equipment</v>
      </c>
      <c r="K721" s="276" t="str">
        <f>IF(I721=".",I721,VLOOKUP($I721,'Price List, Weapons &amp; Items'!A:C,3,0))</f>
        <v>.</v>
      </c>
      <c r="L721" s="514">
        <f>VLOOKUP(I721,'Price List, Weapons &amp; Items'!A:D,4,0)</f>
        <v>0</v>
      </c>
      <c r="M721" s="515" t="s">
        <v>232</v>
      </c>
      <c r="N721" s="515" t="s">
        <v>232</v>
      </c>
      <c r="O721" s="516" t="str">
        <f>VLOOKUP($I721,'Price List, Weapons &amp; Items'!A:F,6,0)</f>
        <v>.</v>
      </c>
      <c r="P721" s="513" t="str">
        <f t="shared" si="140"/>
        <v>.</v>
      </c>
      <c r="Q721" s="513" t="str">
        <f t="shared" si="141"/>
        <v>.</v>
      </c>
      <c r="R721" s="513" t="str">
        <f t="shared" si="161"/>
        <v/>
      </c>
      <c r="S721" s="513" t="str">
        <f>IF(AND(AD721=1,R721&lt;&gt;".")=TRUE,R721/VLOOKUP(G721,'Exchange rates'!B:C,2,0),IF(R721=".",".",""))</f>
        <v/>
      </c>
      <c r="T721" s="513" t="str">
        <f>IF(AD721=1,IF(AF721="Value is not given at all",".",IF(AF721="Value is given by the source",S721,IF(AF721="Value is calculated with prices",(IF(SUMIFS(Q:Q,A:A,A721)&gt;0,SUMIFS(Q:Q,A:A,A721),"."))/VLOOKUP("USD",'Exchange rates'!B:C,2,0),"Error with coding"))),"")</f>
        <v/>
      </c>
      <c r="U721" s="39" t="s">
        <v>372</v>
      </c>
      <c r="V721" s="376" t="s">
        <v>2025</v>
      </c>
      <c r="W721" s="376" t="s">
        <v>2026</v>
      </c>
      <c r="X721" s="530" t="s">
        <v>232</v>
      </c>
      <c r="Y721" s="530" t="s">
        <v>232</v>
      </c>
      <c r="Z721" s="39">
        <v>0</v>
      </c>
      <c r="AA721" s="518">
        <v>0</v>
      </c>
      <c r="AB721" s="38" t="s">
        <v>232</v>
      </c>
      <c r="AC721" s="519" t="str">
        <f>""</f>
        <v/>
      </c>
      <c r="AD721" s="520">
        <v>0</v>
      </c>
      <c r="AE721" s="520" t="s">
        <v>236</v>
      </c>
      <c r="AF721" s="520" t="s">
        <v>237</v>
      </c>
      <c r="AG721" s="520">
        <v>1</v>
      </c>
      <c r="AH721" s="520">
        <v>4</v>
      </c>
      <c r="AI721" s="520">
        <v>0</v>
      </c>
      <c r="AJ721" s="520">
        <f>VLOOKUP($I721,'Price List, Weapons &amp; Items'!A:E,5,0)</f>
        <v>0</v>
      </c>
      <c r="AK721" s="520">
        <f t="shared" si="165"/>
        <v>0</v>
      </c>
      <c r="AL721" s="520">
        <f t="shared" si="166"/>
        <v>0</v>
      </c>
      <c r="AM721" s="520">
        <f t="shared" si="167"/>
        <v>0</v>
      </c>
      <c r="AN721" s="521" t="str">
        <f>VLOOKUP($I721,'Price List, Weapons &amp; Items'!A:K,COLUMN('Price List, Weapons &amp; Items'!$I$1),0)</f>
        <v>.</v>
      </c>
      <c r="AO721" s="521" t="str">
        <f>IF(I721=".",".",VLOOKUP($I721,'Price List, Weapons &amp; Items'!A:I,3,0))</f>
        <v>.</v>
      </c>
      <c r="AP721" s="517" t="str">
        <f t="shared" ca="1" si="162"/>
        <v/>
      </c>
      <c r="AQ721" s="521" t="str">
        <f>VLOOKUP($I721,'Price List, Weapons &amp; Items'!A:K,COLUMN('Price List, Weapons &amp; Items'!$K$1),0)</f>
        <v>no price, 0 count</v>
      </c>
      <c r="AS721" s="521">
        <f t="shared" si="168"/>
        <v>0</v>
      </c>
      <c r="AT721" s="521">
        <f t="shared" si="169"/>
        <v>1</v>
      </c>
      <c r="AU721" s="521">
        <f t="shared" si="170"/>
        <v>1</v>
      </c>
      <c r="AV721" s="521" t="str">
        <f t="shared" si="171"/>
        <v>.</v>
      </c>
    </row>
    <row r="722" spans="1:48" ht="15" customHeight="1">
      <c r="A722" s="18" t="s">
        <v>2023</v>
      </c>
      <c r="B722" s="18" t="s">
        <v>2002</v>
      </c>
      <c r="C722" s="511">
        <v>44664</v>
      </c>
      <c r="D722" s="18" t="s">
        <v>252</v>
      </c>
      <c r="E722" s="18" t="s">
        <v>261</v>
      </c>
      <c r="F722" s="512" t="s">
        <v>2024</v>
      </c>
      <c r="G722" s="39" t="s">
        <v>314</v>
      </c>
      <c r="H722" s="513">
        <v>1600000</v>
      </c>
      <c r="I722" s="523" t="s">
        <v>1541</v>
      </c>
      <c r="J722" s="276" t="str">
        <f>VLOOKUP($I722,'Price List, Weapons &amp; Items'!A:B,2,0)</f>
        <v>Military equipment</v>
      </c>
      <c r="K722" s="276" t="str">
        <f>IF(I722=".",I722,VLOOKUP($I722,'Price List, Weapons &amp; Items'!A:C,3,0))</f>
        <v>.</v>
      </c>
      <c r="L722" s="514">
        <f>VLOOKUP(I722,'Price List, Weapons &amp; Items'!A:D,4,0)</f>
        <v>0</v>
      </c>
      <c r="M722" s="515" t="s">
        <v>264</v>
      </c>
      <c r="N722" s="515" t="s">
        <v>232</v>
      </c>
      <c r="O722" s="516" t="str">
        <f>VLOOKUP($I722,'Price List, Weapons &amp; Items'!A:F,6,0)</f>
        <v>.</v>
      </c>
      <c r="P722" s="513" t="str">
        <f t="shared" si="140"/>
        <v>.</v>
      </c>
      <c r="Q722" s="513" t="str">
        <f t="shared" si="141"/>
        <v>.</v>
      </c>
      <c r="R722" s="513" t="str">
        <f t="shared" si="161"/>
        <v/>
      </c>
      <c r="S722" s="513" t="str">
        <f>IF(AND(AD722=1,R722&lt;&gt;".")=TRUE,R722/VLOOKUP(G722,'Exchange rates'!B:C,2,0),IF(R722=".",".",""))</f>
        <v/>
      </c>
      <c r="T722" s="513" t="str">
        <f>IF(AD722=1,IF(AF722="Value is not given at all",".",IF(AF722="Value is given by the source",S722,IF(AF722="Value is calculated with prices",(IF(SUMIFS(Q:Q,A:A,A722)&gt;0,SUMIFS(Q:Q,A:A,A722),"."))/VLOOKUP("USD",'Exchange rates'!B:C,2,0),"Error with coding"))),"")</f>
        <v/>
      </c>
      <c r="U722" s="39" t="s">
        <v>372</v>
      </c>
      <c r="V722" s="376" t="s">
        <v>2025</v>
      </c>
      <c r="W722" s="376" t="s">
        <v>2026</v>
      </c>
      <c r="X722" s="530" t="s">
        <v>232</v>
      </c>
      <c r="Y722" s="530" t="s">
        <v>232</v>
      </c>
      <c r="Z722" s="39">
        <v>0</v>
      </c>
      <c r="AA722" s="518">
        <v>0</v>
      </c>
      <c r="AB722" s="38" t="s">
        <v>232</v>
      </c>
      <c r="AC722" s="519" t="str">
        <f>""</f>
        <v/>
      </c>
      <c r="AD722" s="520">
        <v>0</v>
      </c>
      <c r="AE722" s="520" t="s">
        <v>236</v>
      </c>
      <c r="AF722" s="520" t="s">
        <v>237</v>
      </c>
      <c r="AG722" s="520">
        <v>1</v>
      </c>
      <c r="AH722" s="520">
        <v>4</v>
      </c>
      <c r="AI722" s="520">
        <v>0</v>
      </c>
      <c r="AJ722" s="520">
        <f>VLOOKUP($I722,'Price List, Weapons &amp; Items'!A:E,5,0)</f>
        <v>0</v>
      </c>
      <c r="AK722" s="520">
        <f t="shared" si="165"/>
        <v>0</v>
      </c>
      <c r="AL722" s="520">
        <f t="shared" si="166"/>
        <v>0</v>
      </c>
      <c r="AM722" s="520">
        <f t="shared" si="167"/>
        <v>0</v>
      </c>
      <c r="AN722" s="521" t="str">
        <f>VLOOKUP($I722,'Price List, Weapons &amp; Items'!A:K,COLUMN('Price List, Weapons &amp; Items'!$I$1),0)</f>
        <v>.</v>
      </c>
      <c r="AO722" s="521" t="str">
        <f>IF(I722=".",".",VLOOKUP($I722,'Price List, Weapons &amp; Items'!A:I,3,0))</f>
        <v>.</v>
      </c>
      <c r="AP722" s="517" t="str">
        <f t="shared" ca="1" si="162"/>
        <v/>
      </c>
      <c r="AQ722" s="521" t="str">
        <f>VLOOKUP($I722,'Price List, Weapons &amp; Items'!A:K,COLUMN('Price List, Weapons &amp; Items'!$K$1),0)</f>
        <v>no price, 0 count</v>
      </c>
      <c r="AS722" s="521">
        <f t="shared" si="168"/>
        <v>0</v>
      </c>
      <c r="AT722" s="521">
        <f t="shared" si="169"/>
        <v>1</v>
      </c>
      <c r="AU722" s="521">
        <f t="shared" si="170"/>
        <v>1</v>
      </c>
      <c r="AV722" s="521" t="str">
        <f t="shared" si="171"/>
        <v>.</v>
      </c>
    </row>
    <row r="723" spans="1:48" ht="15" customHeight="1">
      <c r="A723" s="41" t="s">
        <v>2028</v>
      </c>
      <c r="B723" s="41" t="s">
        <v>2002</v>
      </c>
      <c r="C723" s="511">
        <v>44707</v>
      </c>
      <c r="D723" s="18" t="s">
        <v>252</v>
      </c>
      <c r="E723" s="18" t="s">
        <v>261</v>
      </c>
      <c r="F723" s="512" t="s">
        <v>2029</v>
      </c>
      <c r="G723" s="39" t="s">
        <v>314</v>
      </c>
      <c r="H723" s="513">
        <v>1180000</v>
      </c>
      <c r="I723" s="523" t="s">
        <v>232</v>
      </c>
      <c r="J723" s="276" t="str">
        <f>VLOOKUP($I723,'Price List, Weapons &amp; Items'!A:B,2,0)</f>
        <v>.</v>
      </c>
      <c r="K723" s="276" t="str">
        <f>IF(I723=".",I723,VLOOKUP($I723,'Price List, Weapons &amp; Items'!A:C,3,0))</f>
        <v>.</v>
      </c>
      <c r="L723" s="514">
        <f>VLOOKUP(I723,'Price List, Weapons &amp; Items'!A:D,4,0)</f>
        <v>0</v>
      </c>
      <c r="M723" s="515" t="s">
        <v>232</v>
      </c>
      <c r="N723" s="515" t="s">
        <v>232</v>
      </c>
      <c r="O723" s="516" t="str">
        <f>VLOOKUP($I723,'Price List, Weapons &amp; Items'!A:F,6,0)</f>
        <v>.</v>
      </c>
      <c r="P723" s="513" t="str">
        <f t="shared" si="140"/>
        <v>.</v>
      </c>
      <c r="Q723" s="513" t="str">
        <f t="shared" si="141"/>
        <v>.</v>
      </c>
      <c r="R723" s="513">
        <f t="shared" si="161"/>
        <v>1180000</v>
      </c>
      <c r="S723" s="513">
        <f>IF(AND(AD723=1,R723&lt;&gt;".")=TRUE,R723/VLOOKUP(G723,'Exchange rates'!B:C,2,0),IF(R723=".",".",""))</f>
        <v>1175884.4045839561</v>
      </c>
      <c r="T723" s="513" t="str">
        <f>IF(AD723=1,IF(AF723="Value is not given at all",".",IF(AF723="Value is given by the source",S723,IF(AF723="Value is calculated with prices",(IF(SUMIFS(Q:Q,A:A,A723)&gt;0,SUMIFS(Q:Q,A:A,A723),"."))/VLOOKUP("USD",'Exchange rates'!B:C,2,0),"Error with coding"))),"")</f>
        <v>.</v>
      </c>
      <c r="U723" s="39" t="s">
        <v>372</v>
      </c>
      <c r="V723" s="42" t="s">
        <v>2030</v>
      </c>
      <c r="W723" s="42" t="s">
        <v>2031</v>
      </c>
      <c r="X723" s="42" t="s">
        <v>2032</v>
      </c>
      <c r="Y723" s="512" t="s">
        <v>232</v>
      </c>
      <c r="Z723" s="39">
        <v>0</v>
      </c>
      <c r="AA723" s="518">
        <v>0</v>
      </c>
      <c r="AB723" s="38" t="s">
        <v>232</v>
      </c>
      <c r="AC723" s="519" t="str">
        <f>""</f>
        <v/>
      </c>
      <c r="AD723" s="520">
        <v>1</v>
      </c>
      <c r="AE723" s="520" t="s">
        <v>236</v>
      </c>
      <c r="AF723" s="520" t="s">
        <v>237</v>
      </c>
      <c r="AG723" s="520">
        <v>1</v>
      </c>
      <c r="AH723" s="520">
        <v>5</v>
      </c>
      <c r="AI723" s="520">
        <v>0</v>
      </c>
      <c r="AJ723" s="520">
        <f>VLOOKUP($I723,'Price List, Weapons &amp; Items'!A:E,5,0)</f>
        <v>0</v>
      </c>
      <c r="AK723" s="520">
        <f t="shared" si="165"/>
        <v>0</v>
      </c>
      <c r="AL723" s="520">
        <f t="shared" si="166"/>
        <v>0</v>
      </c>
      <c r="AM723" s="520">
        <f t="shared" si="167"/>
        <v>0</v>
      </c>
      <c r="AN723" s="521" t="str">
        <f>VLOOKUP($I723,'Price List, Weapons &amp; Items'!A:K,COLUMN('Price List, Weapons &amp; Items'!$I$1),0)</f>
        <v>.</v>
      </c>
      <c r="AO723" s="521" t="str">
        <f>IF(I723=".",".",VLOOKUP($I723,'Price List, Weapons &amp; Items'!A:I,3,0))</f>
        <v>.</v>
      </c>
      <c r="AP723" s="517" t="str">
        <f t="shared" ca="1" si="162"/>
        <v>.</v>
      </c>
      <c r="AQ723" s="521" t="str">
        <f>VLOOKUP($I723,'Price List, Weapons &amp; Items'!A:K,COLUMN('Price List, Weapons &amp; Items'!$K$1),0)</f>
        <v>no price, 0 count</v>
      </c>
      <c r="AS723" s="521">
        <f t="shared" si="168"/>
        <v>0</v>
      </c>
      <c r="AT723" s="521">
        <f t="shared" si="169"/>
        <v>1</v>
      </c>
      <c r="AU723" s="521">
        <f t="shared" si="170"/>
        <v>1</v>
      </c>
      <c r="AV723" s="521" t="str">
        <f t="shared" si="171"/>
        <v>.</v>
      </c>
    </row>
    <row r="724" spans="1:48" ht="15" customHeight="1">
      <c r="A724" s="18" t="s">
        <v>2033</v>
      </c>
      <c r="B724" s="18" t="s">
        <v>2034</v>
      </c>
      <c r="C724" s="511">
        <v>44614</v>
      </c>
      <c r="D724" s="18" t="s">
        <v>228</v>
      </c>
      <c r="E724" s="18" t="s">
        <v>239</v>
      </c>
      <c r="F724" s="512" t="s">
        <v>2035</v>
      </c>
      <c r="G724" s="39" t="s">
        <v>314</v>
      </c>
      <c r="H724" s="513" t="s">
        <v>309</v>
      </c>
      <c r="I724" s="41" t="s">
        <v>2036</v>
      </c>
      <c r="J724" s="276" t="str">
        <f>VLOOKUP($I724,'Price List, Weapons &amp; Items'!A:B,2,0)</f>
        <v>Humanitarian</v>
      </c>
      <c r="K724" s="276" t="str">
        <f>IF(I724=".",I724,VLOOKUP($I724,'Price List, Weapons &amp; Items'!A:C,3,0))</f>
        <v>.</v>
      </c>
      <c r="L724" s="514">
        <f>VLOOKUP(I724,'Price List, Weapons &amp; Items'!A:D,4,0)</f>
        <v>0</v>
      </c>
      <c r="M724" s="515">
        <v>5000</v>
      </c>
      <c r="N724" s="515" t="s">
        <v>232</v>
      </c>
      <c r="O724" s="516">
        <f>VLOOKUP($I724,'Price List, Weapons &amp; Items'!A:F,6,0)</f>
        <v>6.2</v>
      </c>
      <c r="P724" s="513">
        <f t="shared" si="140"/>
        <v>31000</v>
      </c>
      <c r="Q724" s="513" t="str">
        <f t="shared" si="141"/>
        <v>.</v>
      </c>
      <c r="R724" s="513">
        <f t="shared" si="161"/>
        <v>146234.04</v>
      </c>
      <c r="S724" s="513">
        <f>IF(AND(AD724=1,R724&lt;&gt;".")=TRUE,R724/VLOOKUP(G724,'Exchange rates'!B:C,2,0),IF(R724=".",".",""))</f>
        <v>145724.00597907323</v>
      </c>
      <c r="T724" s="513" t="str">
        <f>IF(AD724=1,IF(AF724="Value is not given at all",".",IF(AF724="Value is given by the source",S724,IF(AF724="Value is calculated with prices",(IF(SUMIFS(Q:Q,A:A,A724)&gt;0,SUMIFS(Q:Q,A:A,A724),"."))/VLOOKUP("USD",'Exchange rates'!B:C,2,0),"Error with coding"))),"")</f>
        <v>.</v>
      </c>
      <c r="U724" s="39" t="s">
        <v>233</v>
      </c>
      <c r="V724" s="376" t="s">
        <v>2037</v>
      </c>
      <c r="W724" s="376" t="s">
        <v>2038</v>
      </c>
      <c r="X724" s="528" t="s">
        <v>232</v>
      </c>
      <c r="Y724" s="528" t="s">
        <v>232</v>
      </c>
      <c r="Z724" s="39">
        <v>0</v>
      </c>
      <c r="AA724" s="518">
        <v>0</v>
      </c>
      <c r="AB724" s="38" t="s">
        <v>232</v>
      </c>
      <c r="AC724" s="519" t="str">
        <f>""</f>
        <v/>
      </c>
      <c r="AD724" s="520">
        <v>1</v>
      </c>
      <c r="AE724" s="520" t="s">
        <v>300</v>
      </c>
      <c r="AF724" s="520" t="s">
        <v>237</v>
      </c>
      <c r="AG724" s="520">
        <v>1</v>
      </c>
      <c r="AH724" s="520">
        <v>2</v>
      </c>
      <c r="AI724" s="520">
        <v>1</v>
      </c>
      <c r="AJ724" s="520">
        <f>VLOOKUP($I724,'Price List, Weapons &amp; Items'!A:E,5,0)</f>
        <v>0</v>
      </c>
      <c r="AK724" s="520">
        <f t="shared" si="165"/>
        <v>0</v>
      </c>
      <c r="AL724" s="520">
        <f t="shared" si="166"/>
        <v>0</v>
      </c>
      <c r="AM724" s="520">
        <f t="shared" si="167"/>
        <v>0</v>
      </c>
      <c r="AN724" s="521" t="str">
        <f>VLOOKUP($I724,'Price List, Weapons &amp; Items'!A:K,COLUMN('Price List, Weapons &amp; Items'!$I$1),0)</f>
        <v>Online marketplaces and stores</v>
      </c>
      <c r="AO724" s="521" t="str">
        <f>IF(I724=".",".",VLOOKUP($I724,'Price List, Weapons &amp; Items'!A:I,3,0))</f>
        <v>.</v>
      </c>
      <c r="AP724" s="517" t="str">
        <f t="shared" ca="1" si="162"/>
        <v>pack of analgesics; pack of anti-inflammatory; pack of antibiotics; liter of hand disinfectant</v>
      </c>
      <c r="AQ724" s="521">
        <f>VLOOKUP($I724,'Price List, Weapons &amp; Items'!A:K,COLUMN('Price List, Weapons &amp; Items'!$K$1),0)</f>
        <v>0</v>
      </c>
      <c r="AS724" s="521">
        <f t="shared" si="168"/>
        <v>1</v>
      </c>
      <c r="AT724" s="521">
        <f t="shared" si="169"/>
        <v>0</v>
      </c>
      <c r="AU724" s="521">
        <f t="shared" si="170"/>
        <v>1</v>
      </c>
      <c r="AV724" s="521" t="str">
        <f t="shared" si="171"/>
        <v>.</v>
      </c>
    </row>
    <row r="725" spans="1:48" ht="15" customHeight="1">
      <c r="A725" s="18" t="s">
        <v>2033</v>
      </c>
      <c r="B725" s="18" t="s">
        <v>2034</v>
      </c>
      <c r="C725" s="511">
        <v>44614</v>
      </c>
      <c r="D725" s="18" t="s">
        <v>228</v>
      </c>
      <c r="E725" s="18" t="s">
        <v>239</v>
      </c>
      <c r="F725" s="512" t="s">
        <v>2035</v>
      </c>
      <c r="G725" s="39" t="s">
        <v>314</v>
      </c>
      <c r="H725" s="513" t="s">
        <v>309</v>
      </c>
      <c r="I725" s="41" t="s">
        <v>2039</v>
      </c>
      <c r="J725" s="276" t="str">
        <f>VLOOKUP($I725,'Price List, Weapons &amp; Items'!A:B,2,0)</f>
        <v>Humanitarian</v>
      </c>
      <c r="K725" s="276" t="str">
        <f>IF(I725=".",I725,VLOOKUP($I725,'Price List, Weapons &amp; Items'!A:C,3,0))</f>
        <v>.</v>
      </c>
      <c r="L725" s="514">
        <f>VLOOKUP(I725,'Price List, Weapons &amp; Items'!A:D,4,0)</f>
        <v>0</v>
      </c>
      <c r="M725" s="515">
        <v>5000</v>
      </c>
      <c r="N725" s="515" t="s">
        <v>232</v>
      </c>
      <c r="O725" s="516" t="str">
        <f>VLOOKUP($I725,'Price List, Weapons &amp; Items'!A:F,6,0)</f>
        <v>.</v>
      </c>
      <c r="P725" s="513" t="str">
        <f t="shared" si="140"/>
        <v>No price</v>
      </c>
      <c r="Q725" s="513" t="str">
        <f t="shared" si="141"/>
        <v>.</v>
      </c>
      <c r="R725" s="513" t="str">
        <f t="shared" si="161"/>
        <v/>
      </c>
      <c r="S725" s="513" t="str">
        <f>IF(AND(AD725=1,R725&lt;&gt;".")=TRUE,R725/VLOOKUP(G725,'Exchange rates'!B:C,2,0),IF(R725=".",".",""))</f>
        <v/>
      </c>
      <c r="T725" s="513" t="str">
        <f>IF(AD725=1,IF(AF725="Value is not given at all",".",IF(AF725="Value is given by the source",S725,IF(AF725="Value is calculated with prices",(IF(SUMIFS(Q:Q,A:A,A725)&gt;0,SUMIFS(Q:Q,A:A,A725),"."))/VLOOKUP("USD",'Exchange rates'!B:C,2,0),"Error with coding"))),"")</f>
        <v/>
      </c>
      <c r="U725" s="39" t="s">
        <v>233</v>
      </c>
      <c r="V725" s="376" t="s">
        <v>2037</v>
      </c>
      <c r="W725" s="376" t="s">
        <v>2038</v>
      </c>
      <c r="X725" s="528" t="s">
        <v>232</v>
      </c>
      <c r="Y725" s="528" t="s">
        <v>232</v>
      </c>
      <c r="Z725" s="39">
        <v>0</v>
      </c>
      <c r="AA725" s="518">
        <v>0</v>
      </c>
      <c r="AB725" s="38" t="s">
        <v>232</v>
      </c>
      <c r="AC725" s="519" t="str">
        <f>""</f>
        <v/>
      </c>
      <c r="AD725" s="520">
        <v>0</v>
      </c>
      <c r="AE725" s="520" t="s">
        <v>300</v>
      </c>
      <c r="AF725" s="520" t="s">
        <v>237</v>
      </c>
      <c r="AG725" s="520">
        <v>1</v>
      </c>
      <c r="AH725" s="520">
        <v>2</v>
      </c>
      <c r="AI725" s="520">
        <v>1</v>
      </c>
      <c r="AJ725" s="520">
        <f>VLOOKUP($I725,'Price List, Weapons &amp; Items'!A:E,5,0)</f>
        <v>0</v>
      </c>
      <c r="AK725" s="520">
        <f t="shared" si="165"/>
        <v>0</v>
      </c>
      <c r="AL725" s="520">
        <f t="shared" si="166"/>
        <v>0</v>
      </c>
      <c r="AM725" s="520">
        <f t="shared" si="167"/>
        <v>0</v>
      </c>
      <c r="AN725" s="521" t="str">
        <f>VLOOKUP($I725,'Price List, Weapons &amp; Items'!A:K,COLUMN('Price List, Weapons &amp; Items'!$I$1),0)</f>
        <v>.</v>
      </c>
      <c r="AO725" s="521" t="str">
        <f>IF(I725=".",".",VLOOKUP($I725,'Price List, Weapons &amp; Items'!A:I,3,0))</f>
        <v>.</v>
      </c>
      <c r="AP725" s="517" t="str">
        <f t="shared" ca="1" si="162"/>
        <v/>
      </c>
      <c r="AQ725" s="521">
        <f>VLOOKUP($I725,'Price List, Weapons &amp; Items'!A:K,COLUMN('Price List, Weapons &amp; Items'!$K$1),0)</f>
        <v>0</v>
      </c>
      <c r="AS725" s="521">
        <f t="shared" si="168"/>
        <v>1</v>
      </c>
      <c r="AT725" s="521">
        <f t="shared" si="169"/>
        <v>0</v>
      </c>
      <c r="AU725" s="521">
        <f t="shared" si="170"/>
        <v>1</v>
      </c>
      <c r="AV725" s="521" t="str">
        <f t="shared" si="171"/>
        <v>.</v>
      </c>
    </row>
    <row r="726" spans="1:48" ht="15" customHeight="1">
      <c r="A726" s="18" t="s">
        <v>2033</v>
      </c>
      <c r="B726" s="18" t="s">
        <v>2034</v>
      </c>
      <c r="C726" s="511">
        <v>44614</v>
      </c>
      <c r="D726" s="18" t="s">
        <v>228</v>
      </c>
      <c r="E726" s="18" t="s">
        <v>239</v>
      </c>
      <c r="F726" s="512" t="s">
        <v>2035</v>
      </c>
      <c r="G726" s="39" t="s">
        <v>314</v>
      </c>
      <c r="H726" s="513" t="s">
        <v>309</v>
      </c>
      <c r="I726" s="41" t="s">
        <v>2040</v>
      </c>
      <c r="J726" s="276" t="str">
        <f>VLOOKUP($I726,'Price List, Weapons &amp; Items'!A:B,2,0)</f>
        <v>Humanitarian</v>
      </c>
      <c r="K726" s="276" t="str">
        <f>IF(I726=".",I726,VLOOKUP($I726,'Price List, Weapons &amp; Items'!A:C,3,0))</f>
        <v>.</v>
      </c>
      <c r="L726" s="514">
        <f>VLOOKUP(I726,'Price List, Weapons &amp; Items'!A:D,4,0)</f>
        <v>0</v>
      </c>
      <c r="M726" s="515">
        <v>5000</v>
      </c>
      <c r="N726" s="515" t="s">
        <v>232</v>
      </c>
      <c r="O726" s="516">
        <f>VLOOKUP($I726,'Price List, Weapons &amp; Items'!A:F,6,0)</f>
        <v>22</v>
      </c>
      <c r="P726" s="513">
        <f t="shared" si="140"/>
        <v>110000</v>
      </c>
      <c r="Q726" s="513" t="str">
        <f t="shared" si="141"/>
        <v>.</v>
      </c>
      <c r="R726" s="513" t="str">
        <f t="shared" si="161"/>
        <v/>
      </c>
      <c r="S726" s="513" t="str">
        <f>IF(AND(AD726=1,R726&lt;&gt;".")=TRUE,R726/VLOOKUP(G726,'Exchange rates'!B:C,2,0),IF(R726=".",".",""))</f>
        <v/>
      </c>
      <c r="T726" s="513" t="str">
        <f>IF(AD726=1,IF(AF726="Value is not given at all",".",IF(AF726="Value is given by the source",S726,IF(AF726="Value is calculated with prices",(IF(SUMIFS(Q:Q,A:A,A726)&gt;0,SUMIFS(Q:Q,A:A,A726),"."))/VLOOKUP("USD",'Exchange rates'!B:C,2,0),"Error with coding"))),"")</f>
        <v/>
      </c>
      <c r="U726" s="39" t="s">
        <v>233</v>
      </c>
      <c r="V726" s="376" t="s">
        <v>2037</v>
      </c>
      <c r="W726" s="376" t="s">
        <v>2038</v>
      </c>
      <c r="X726" s="528" t="s">
        <v>232</v>
      </c>
      <c r="Y726" s="528" t="s">
        <v>232</v>
      </c>
      <c r="Z726" s="39">
        <v>0</v>
      </c>
      <c r="AA726" s="518">
        <v>0</v>
      </c>
      <c r="AB726" s="38" t="s">
        <v>232</v>
      </c>
      <c r="AC726" s="519" t="str">
        <f>""</f>
        <v/>
      </c>
      <c r="AD726" s="520">
        <v>0</v>
      </c>
      <c r="AE726" s="520" t="s">
        <v>300</v>
      </c>
      <c r="AF726" s="520" t="s">
        <v>237</v>
      </c>
      <c r="AG726" s="520">
        <v>1</v>
      </c>
      <c r="AH726" s="520">
        <v>2</v>
      </c>
      <c r="AI726" s="520">
        <v>1</v>
      </c>
      <c r="AJ726" s="520">
        <f>VLOOKUP($I726,'Price List, Weapons &amp; Items'!A:E,5,0)</f>
        <v>0</v>
      </c>
      <c r="AK726" s="520">
        <f t="shared" si="165"/>
        <v>0</v>
      </c>
      <c r="AL726" s="520">
        <f t="shared" si="166"/>
        <v>0</v>
      </c>
      <c r="AM726" s="520">
        <f t="shared" si="167"/>
        <v>0</v>
      </c>
      <c r="AN726" s="521" t="str">
        <f>VLOOKUP($I726,'Price List, Weapons &amp; Items'!A:K,COLUMN('Price List, Weapons &amp; Items'!$I$1),0)</f>
        <v>Miscellaneous</v>
      </c>
      <c r="AO726" s="521" t="str">
        <f>IF(I726=".",".",VLOOKUP($I726,'Price List, Weapons &amp; Items'!A:I,3,0))</f>
        <v>.</v>
      </c>
      <c r="AP726" s="517" t="str">
        <f t="shared" ca="1" si="162"/>
        <v/>
      </c>
      <c r="AQ726" s="521">
        <f>VLOOKUP($I726,'Price List, Weapons &amp; Items'!A:K,COLUMN('Price List, Weapons &amp; Items'!$K$1),0)</f>
        <v>0</v>
      </c>
      <c r="AS726" s="521">
        <f t="shared" si="168"/>
        <v>1</v>
      </c>
      <c r="AT726" s="521">
        <f t="shared" si="169"/>
        <v>0</v>
      </c>
      <c r="AU726" s="521">
        <f t="shared" si="170"/>
        <v>1</v>
      </c>
      <c r="AV726" s="521" t="str">
        <f t="shared" si="171"/>
        <v>.</v>
      </c>
    </row>
    <row r="727" spans="1:48" ht="15" customHeight="1">
      <c r="A727" s="18" t="s">
        <v>2033</v>
      </c>
      <c r="B727" s="18" t="s">
        <v>2034</v>
      </c>
      <c r="C727" s="511">
        <v>44614</v>
      </c>
      <c r="D727" s="18" t="s">
        <v>228</v>
      </c>
      <c r="E727" s="18" t="s">
        <v>239</v>
      </c>
      <c r="F727" s="512" t="s">
        <v>2035</v>
      </c>
      <c r="G727" s="39" t="s">
        <v>314</v>
      </c>
      <c r="H727" s="513" t="s">
        <v>309</v>
      </c>
      <c r="I727" s="41" t="s">
        <v>315</v>
      </c>
      <c r="J727" s="276" t="str">
        <f>VLOOKUP($I727,'Price List, Weapons &amp; Items'!A:B,2,0)</f>
        <v>Humanitarian</v>
      </c>
      <c r="K727" s="276" t="str">
        <f>IF(I727=".",I727,VLOOKUP($I727,'Price List, Weapons &amp; Items'!A:C,3,0))</f>
        <v>.</v>
      </c>
      <c r="L727" s="514">
        <f>VLOOKUP(I727,'Price List, Weapons &amp; Items'!A:D,4,0)</f>
        <v>0</v>
      </c>
      <c r="M727" s="515">
        <v>840</v>
      </c>
      <c r="N727" s="515" t="s">
        <v>232</v>
      </c>
      <c r="O727" s="516">
        <f>VLOOKUP($I727,'Price List, Weapons &amp; Items'!A:F,6,0)</f>
        <v>6.2309999999999999</v>
      </c>
      <c r="P727" s="513">
        <f t="shared" si="140"/>
        <v>5234.04</v>
      </c>
      <c r="Q727" s="513" t="str">
        <f t="shared" si="141"/>
        <v>.</v>
      </c>
      <c r="R727" s="513" t="str">
        <f t="shared" si="161"/>
        <v/>
      </c>
      <c r="S727" s="513" t="str">
        <f>IF(AND(AD727=1,R727&lt;&gt;".")=TRUE,R727/VLOOKUP(G727,'Exchange rates'!B:C,2,0),IF(R727=".",".",""))</f>
        <v/>
      </c>
      <c r="T727" s="513" t="str">
        <f>IF(AD727=1,IF(AF727="Value is not given at all",".",IF(AF727="Value is given by the source",S727,IF(AF727="Value is calculated with prices",(IF(SUMIFS(Q:Q,A:A,A727)&gt;0,SUMIFS(Q:Q,A:A,A727),"."))/VLOOKUP("USD",'Exchange rates'!B:C,2,0),"Error with coding"))),"")</f>
        <v/>
      </c>
      <c r="U727" s="39" t="s">
        <v>233</v>
      </c>
      <c r="V727" s="376" t="s">
        <v>2037</v>
      </c>
      <c r="W727" s="376" t="s">
        <v>2038</v>
      </c>
      <c r="X727" s="528" t="s">
        <v>232</v>
      </c>
      <c r="Y727" s="528" t="s">
        <v>232</v>
      </c>
      <c r="Z727" s="39">
        <v>0</v>
      </c>
      <c r="AA727" s="518">
        <v>0</v>
      </c>
      <c r="AB727" s="38" t="s">
        <v>232</v>
      </c>
      <c r="AC727" s="519" t="str">
        <f>""</f>
        <v/>
      </c>
      <c r="AD727" s="520">
        <v>0</v>
      </c>
      <c r="AE727" s="520" t="s">
        <v>300</v>
      </c>
      <c r="AF727" s="520" t="s">
        <v>237</v>
      </c>
      <c r="AG727" s="520">
        <v>1</v>
      </c>
      <c r="AH727" s="520">
        <v>2</v>
      </c>
      <c r="AI727" s="520">
        <v>1</v>
      </c>
      <c r="AJ727" s="520">
        <f>VLOOKUP($I727,'Price List, Weapons &amp; Items'!A:E,5,0)</f>
        <v>0</v>
      </c>
      <c r="AK727" s="520">
        <f t="shared" si="165"/>
        <v>0</v>
      </c>
      <c r="AL727" s="520">
        <f t="shared" si="166"/>
        <v>0</v>
      </c>
      <c r="AM727" s="520">
        <f t="shared" si="167"/>
        <v>0</v>
      </c>
      <c r="AN727" s="521" t="str">
        <f>VLOOKUP($I727,'Price List, Weapons &amp; Items'!A:K,COLUMN('Price List, Weapons &amp; Items'!$I$1),0)</f>
        <v>Online marketplaces and stores</v>
      </c>
      <c r="AO727" s="521" t="str">
        <f>IF(I727=".",".",VLOOKUP($I727,'Price List, Weapons &amp; Items'!A:I,3,0))</f>
        <v>.</v>
      </c>
      <c r="AP727" s="517" t="str">
        <f t="shared" ca="1" si="162"/>
        <v/>
      </c>
      <c r="AQ727" s="521">
        <f>VLOOKUP($I727,'Price List, Weapons &amp; Items'!A:K,COLUMN('Price List, Weapons &amp; Items'!$K$1),0)</f>
        <v>0</v>
      </c>
      <c r="AS727" s="521">
        <f t="shared" si="168"/>
        <v>1</v>
      </c>
      <c r="AT727" s="521">
        <f t="shared" si="169"/>
        <v>0</v>
      </c>
      <c r="AU727" s="521">
        <f t="shared" si="170"/>
        <v>1</v>
      </c>
      <c r="AV727" s="521" t="str">
        <f t="shared" si="171"/>
        <v>.</v>
      </c>
    </row>
    <row r="728" spans="1:48" ht="15" customHeight="1">
      <c r="A728" s="41" t="s">
        <v>2041</v>
      </c>
      <c r="B728" s="41" t="s">
        <v>2034</v>
      </c>
      <c r="C728" s="511">
        <v>44621</v>
      </c>
      <c r="D728" s="18" t="s">
        <v>228</v>
      </c>
      <c r="E728" s="18" t="s">
        <v>2042</v>
      </c>
      <c r="F728" s="512" t="s">
        <v>2043</v>
      </c>
      <c r="G728" s="39" t="s">
        <v>2044</v>
      </c>
      <c r="H728" s="513">
        <v>5000000</v>
      </c>
      <c r="I728" s="41" t="s">
        <v>232</v>
      </c>
      <c r="J728" s="276" t="str">
        <f>VLOOKUP($I728,'Price List, Weapons &amp; Items'!A:B,2,0)</f>
        <v>.</v>
      </c>
      <c r="K728" s="276" t="str">
        <f>IF(I728=".",I728,VLOOKUP($I728,'Price List, Weapons &amp; Items'!A:C,3,0))</f>
        <v>.</v>
      </c>
      <c r="L728" s="514">
        <f>VLOOKUP(I728,'Price List, Weapons &amp; Items'!A:D,4,0)</f>
        <v>0</v>
      </c>
      <c r="M728" s="515" t="s">
        <v>232</v>
      </c>
      <c r="N728" s="515" t="s">
        <v>232</v>
      </c>
      <c r="O728" s="516" t="str">
        <f>VLOOKUP($I728,'Price List, Weapons &amp; Items'!A:F,6,0)</f>
        <v>.</v>
      </c>
      <c r="P728" s="513" t="str">
        <f t="shared" si="140"/>
        <v>.</v>
      </c>
      <c r="Q728" s="513" t="str">
        <f t="shared" si="141"/>
        <v>.</v>
      </c>
      <c r="R728" s="513">
        <f t="shared" si="161"/>
        <v>5000000</v>
      </c>
      <c r="S728" s="513">
        <f>IF(AND(AD728=1,R728&lt;&gt;".")=TRUE,R728/VLOOKUP(G728,'Exchange rates'!B:C,2,0),IF(R728=".",".",""))</f>
        <v>1019035.5847226185</v>
      </c>
      <c r="T728" s="513" t="str">
        <f>IF(AD728=1,IF(AF728="Value is not given at all",".",IF(AF728="Value is given by the source",S728,IF(AF728="Value is calculated with prices",(IF(SUMIFS(Q:Q,A:A,A728)&gt;0,SUMIFS(Q:Q,A:A,A728),"."))/VLOOKUP("USD",'Exchange rates'!B:C,2,0),"Error with coding"))),"")</f>
        <v>.</v>
      </c>
      <c r="U728" s="39" t="s">
        <v>233</v>
      </c>
      <c r="V728" s="42" t="s">
        <v>2045</v>
      </c>
      <c r="W728" s="517" t="s">
        <v>232</v>
      </c>
      <c r="X728" s="517" t="s">
        <v>232</v>
      </c>
      <c r="Y728" s="517" t="s">
        <v>232</v>
      </c>
      <c r="Z728" s="39">
        <v>0</v>
      </c>
      <c r="AA728" s="518">
        <v>0</v>
      </c>
      <c r="AB728" s="38" t="s">
        <v>232</v>
      </c>
      <c r="AC728" s="519" t="str">
        <f>""</f>
        <v/>
      </c>
      <c r="AD728" s="520">
        <v>1</v>
      </c>
      <c r="AE728" s="520" t="s">
        <v>236</v>
      </c>
      <c r="AF728" s="520" t="s">
        <v>237</v>
      </c>
      <c r="AG728" s="520">
        <v>1</v>
      </c>
      <c r="AH728" s="520">
        <v>3</v>
      </c>
      <c r="AI728" s="520">
        <v>0</v>
      </c>
      <c r="AJ728" s="520">
        <f>VLOOKUP($I728,'Price List, Weapons &amp; Items'!A:E,5,0)</f>
        <v>0</v>
      </c>
      <c r="AK728" s="520">
        <f t="shared" si="165"/>
        <v>0</v>
      </c>
      <c r="AL728" s="520">
        <f t="shared" si="166"/>
        <v>0</v>
      </c>
      <c r="AM728" s="520">
        <f t="shared" si="167"/>
        <v>0</v>
      </c>
      <c r="AN728" s="521" t="str">
        <f>VLOOKUP($I728,'Price List, Weapons &amp; Items'!A:K,COLUMN('Price List, Weapons &amp; Items'!$I$1),0)</f>
        <v>.</v>
      </c>
      <c r="AO728" s="521" t="str">
        <f>IF(I728=".",".",VLOOKUP($I728,'Price List, Weapons &amp; Items'!A:I,3,0))</f>
        <v>.</v>
      </c>
      <c r="AP728" s="517" t="str">
        <f t="shared" ca="1" si="162"/>
        <v>.</v>
      </c>
      <c r="AQ728" s="521" t="str">
        <f>VLOOKUP($I728,'Price List, Weapons &amp; Items'!A:K,COLUMN('Price List, Weapons &amp; Items'!$K$1),0)</f>
        <v>no price, 0 count</v>
      </c>
      <c r="AS728" s="521">
        <f t="shared" si="168"/>
        <v>1</v>
      </c>
      <c r="AT728" s="521">
        <f t="shared" si="169"/>
        <v>0</v>
      </c>
      <c r="AU728" s="521">
        <f t="shared" si="170"/>
        <v>1</v>
      </c>
      <c r="AV728" s="521" t="str">
        <f t="shared" si="171"/>
        <v>.</v>
      </c>
    </row>
    <row r="729" spans="1:48" ht="15" customHeight="1">
      <c r="A729" s="41" t="s">
        <v>2046</v>
      </c>
      <c r="B729" s="41" t="s">
        <v>2034</v>
      </c>
      <c r="C729" s="511">
        <v>44669</v>
      </c>
      <c r="D729" s="18" t="s">
        <v>228</v>
      </c>
      <c r="E729" s="18" t="s">
        <v>239</v>
      </c>
      <c r="F729" s="512" t="s">
        <v>2047</v>
      </c>
      <c r="G729" s="39" t="s">
        <v>314</v>
      </c>
      <c r="H729" s="513" t="s">
        <v>309</v>
      </c>
      <c r="I729" s="41" t="s">
        <v>326</v>
      </c>
      <c r="J729" s="276" t="str">
        <f>VLOOKUP($I729,'Price List, Weapons &amp; Items'!A:B,2,0)</f>
        <v>Humanitarian</v>
      </c>
      <c r="K729" s="276" t="str">
        <f>IF(I729=".",I729,VLOOKUP($I729,'Price List, Weapons &amp; Items'!A:C,3,0))</f>
        <v>.</v>
      </c>
      <c r="L729" s="514">
        <f>VLOOKUP(I729,'Price List, Weapons &amp; Items'!A:D,4,0)</f>
        <v>0</v>
      </c>
      <c r="M729" s="515">
        <v>11</v>
      </c>
      <c r="N729" s="515" t="s">
        <v>232</v>
      </c>
      <c r="O729" s="516">
        <f>VLOOKUP($I729,'Price List, Weapons &amp; Items'!A:F,6,0)</f>
        <v>317500</v>
      </c>
      <c r="P729" s="513">
        <f t="shared" si="140"/>
        <v>3492500</v>
      </c>
      <c r="Q729" s="513" t="str">
        <f t="shared" si="141"/>
        <v>.</v>
      </c>
      <c r="R729" s="513">
        <f t="shared" si="161"/>
        <v>3492500</v>
      </c>
      <c r="S729" s="513">
        <f>IF(AND(AD729=1,R729&lt;&gt;".")=TRUE,R729/VLOOKUP(G729,'Exchange rates'!B:C,2,0),IF(R729=".",".",""))</f>
        <v>3480318.8839063277</v>
      </c>
      <c r="T729" s="513" t="str">
        <f>IF(AD729=1,IF(AF729="Value is not given at all",".",IF(AF729="Value is given by the source",S729,IF(AF729="Value is calculated with prices",(IF(SUMIFS(Q:Q,A:A,A729)&gt;0,SUMIFS(Q:Q,A:A,A729),"."))/VLOOKUP("USD",'Exchange rates'!B:C,2,0),"Error with coding"))),"")</f>
        <v>.</v>
      </c>
      <c r="U729" s="39" t="s">
        <v>372</v>
      </c>
      <c r="V729" s="42" t="s">
        <v>2048</v>
      </c>
      <c r="W729" s="517" t="s">
        <v>232</v>
      </c>
      <c r="X729" s="517" t="s">
        <v>232</v>
      </c>
      <c r="Y729" s="517" t="s">
        <v>232</v>
      </c>
      <c r="Z729" s="39">
        <v>0</v>
      </c>
      <c r="AA729" s="518">
        <v>0</v>
      </c>
      <c r="AB729" s="38" t="s">
        <v>232</v>
      </c>
      <c r="AC729" s="519" t="str">
        <f>""</f>
        <v/>
      </c>
      <c r="AD729" s="520">
        <v>1</v>
      </c>
      <c r="AE729" s="520" t="s">
        <v>300</v>
      </c>
      <c r="AF729" s="520" t="s">
        <v>237</v>
      </c>
      <c r="AG729" s="520">
        <v>1</v>
      </c>
      <c r="AH729" s="520">
        <v>4</v>
      </c>
      <c r="AI729" s="520">
        <v>0</v>
      </c>
      <c r="AJ729" s="520">
        <f>VLOOKUP($I729,'Price List, Weapons &amp; Items'!A:E,5,0)</f>
        <v>0</v>
      </c>
      <c r="AK729" s="520">
        <f t="shared" si="165"/>
        <v>0</v>
      </c>
      <c r="AL729" s="520">
        <f t="shared" si="166"/>
        <v>0</v>
      </c>
      <c r="AM729" s="520">
        <f t="shared" si="167"/>
        <v>0</v>
      </c>
      <c r="AN729" s="521" t="str">
        <f>VLOOKUP($I729,'Price List, Weapons &amp; Items'!A:K,COLUMN('Price List, Weapons &amp; Items'!$I$1),0)</f>
        <v>Media reports (incl. social media)</v>
      </c>
      <c r="AO729" s="521" t="str">
        <f>IF(I729=".",".",VLOOKUP($I729,'Price List, Weapons &amp; Items'!A:I,3,0))</f>
        <v>.</v>
      </c>
      <c r="AP729" s="517" t="str">
        <f t="shared" ca="1" si="162"/>
        <v>ambulance H</v>
      </c>
      <c r="AQ729" s="521">
        <f>VLOOKUP($I729,'Price List, Weapons &amp; Items'!A:K,COLUMN('Price List, Weapons &amp; Items'!$K$1),0)</f>
        <v>0</v>
      </c>
      <c r="AS729" s="521">
        <f t="shared" si="168"/>
        <v>0</v>
      </c>
      <c r="AT729" s="521">
        <f t="shared" si="169"/>
        <v>0</v>
      </c>
      <c r="AU729" s="521">
        <f t="shared" si="170"/>
        <v>1</v>
      </c>
      <c r="AV729" s="521" t="str">
        <f t="shared" si="171"/>
        <v>.</v>
      </c>
    </row>
    <row r="730" spans="1:48" ht="15" customHeight="1">
      <c r="A730" s="41" t="s">
        <v>2049</v>
      </c>
      <c r="B730" s="41" t="s">
        <v>2034</v>
      </c>
      <c r="C730" s="511">
        <v>44686</v>
      </c>
      <c r="D730" s="18" t="s">
        <v>228</v>
      </c>
      <c r="E730" s="18" t="s">
        <v>239</v>
      </c>
      <c r="F730" s="587" t="s">
        <v>2050</v>
      </c>
      <c r="G730" s="39" t="s">
        <v>332</v>
      </c>
      <c r="H730" s="513">
        <v>3200000</v>
      </c>
      <c r="I730" s="41" t="s">
        <v>395</v>
      </c>
      <c r="J730" s="276" t="str">
        <f>VLOOKUP($I730,'Price List, Weapons &amp; Items'!A:B,2,0)</f>
        <v>Military equipment</v>
      </c>
      <c r="K730" s="276" t="str">
        <f>IF(I730=".",I730,VLOOKUP($I730,'Price List, Weapons &amp; Items'!A:C,3,0))</f>
        <v>.</v>
      </c>
      <c r="L730" s="514">
        <f>VLOOKUP(I730,'Price List, Weapons &amp; Items'!A:D,4,0)</f>
        <v>0</v>
      </c>
      <c r="M730" s="515">
        <v>1900</v>
      </c>
      <c r="N730" s="515" t="s">
        <v>232</v>
      </c>
      <c r="O730" s="516">
        <f>VLOOKUP($I730,'Price List, Weapons &amp; Items'!A:F,6,0)</f>
        <v>1612.5</v>
      </c>
      <c r="P730" s="513">
        <f t="shared" ref="P730:P806" si="172">IF(TYPE(M730)=1,IF(TYPE(O730)=1,M730*O730,"No price"),".")</f>
        <v>3063750</v>
      </c>
      <c r="Q730" s="513" t="str">
        <f t="shared" ref="Q730:Q806" si="173">IF(TYPE(N730)=1,IF(TYPE(O730)=1,N730*O730,"No price"),".")</f>
        <v>.</v>
      </c>
      <c r="R730" s="513">
        <f t="shared" si="161"/>
        <v>3200000</v>
      </c>
      <c r="S730" s="513">
        <f>IF(AND(AD730=1,R730&lt;&gt;".")=TRUE,R730/VLOOKUP(G730,'Exchange rates'!B:C,2,0),IF(R730=".",".",""))</f>
        <v>3200000</v>
      </c>
      <c r="T730" s="513" t="str">
        <f>IF(AD730=1,IF(AF730="Value is not given at all",".",IF(AF730="Value is given by the source",S730,IF(AF730="Value is calculated with prices",(IF(SUMIFS(Q:Q,A:A,A730)&gt;0,SUMIFS(Q:Q,A:A,A730),"."))/VLOOKUP("USD",'Exchange rates'!B:C,2,0),"Error with coding"))),"")</f>
        <v>.</v>
      </c>
      <c r="U730" s="39" t="s">
        <v>233</v>
      </c>
      <c r="V730" s="42" t="s">
        <v>385</v>
      </c>
      <c r="W730" s="42" t="s">
        <v>2051</v>
      </c>
      <c r="X730" s="517" t="s">
        <v>232</v>
      </c>
      <c r="Y730" s="517" t="s">
        <v>232</v>
      </c>
      <c r="Z730" s="39">
        <v>0</v>
      </c>
      <c r="AA730" s="518">
        <v>0</v>
      </c>
      <c r="AB730" s="38" t="s">
        <v>232</v>
      </c>
      <c r="AC730" s="519" t="str">
        <f>""</f>
        <v/>
      </c>
      <c r="AD730" s="520">
        <v>1</v>
      </c>
      <c r="AE730" s="520" t="s">
        <v>236</v>
      </c>
      <c r="AF730" s="520" t="s">
        <v>237</v>
      </c>
      <c r="AG730" s="520">
        <v>1</v>
      </c>
      <c r="AH730" s="520">
        <v>5</v>
      </c>
      <c r="AI730" s="520">
        <v>0</v>
      </c>
      <c r="AJ730" s="520">
        <f>VLOOKUP($I730,'Price List, Weapons &amp; Items'!A:E,5,0)</f>
        <v>0</v>
      </c>
      <c r="AK730" s="520">
        <f t="shared" si="165"/>
        <v>0</v>
      </c>
      <c r="AL730" s="520">
        <f t="shared" si="166"/>
        <v>0</v>
      </c>
      <c r="AM730" s="520">
        <f t="shared" si="167"/>
        <v>0</v>
      </c>
      <c r="AN730" s="521" t="str">
        <f>VLOOKUP($I730,'Price List, Weapons &amp; Items'!A:K,COLUMN('Price List, Weapons &amp; Items'!$I$1),0)</f>
        <v>Miscellaneous</v>
      </c>
      <c r="AO730" s="521" t="str">
        <f>IF(I730=".",".",VLOOKUP($I730,'Price List, Weapons &amp; Items'!A:I,3,0))</f>
        <v>.</v>
      </c>
      <c r="AP730" s="517" t="str">
        <f t="shared" ca="1" si="162"/>
        <v>ton of fuel</v>
      </c>
      <c r="AQ730" s="521">
        <f>VLOOKUP($I730,'Price List, Weapons &amp; Items'!A:K,COLUMN('Price List, Weapons &amp; Items'!$K$1),0)</f>
        <v>2</v>
      </c>
      <c r="AS730" s="521">
        <f t="shared" si="168"/>
        <v>1</v>
      </c>
      <c r="AT730" s="521">
        <f t="shared" si="169"/>
        <v>0</v>
      </c>
      <c r="AU730" s="521">
        <f t="shared" si="170"/>
        <v>1</v>
      </c>
      <c r="AV730" s="521" t="str">
        <f t="shared" si="171"/>
        <v>.</v>
      </c>
    </row>
    <row r="731" spans="1:48" ht="15" customHeight="1">
      <c r="A731" s="41" t="s">
        <v>2052</v>
      </c>
      <c r="B731" s="41" t="s">
        <v>2034</v>
      </c>
      <c r="C731" s="511">
        <v>44619</v>
      </c>
      <c r="D731" s="18" t="s">
        <v>252</v>
      </c>
      <c r="E731" s="18" t="s">
        <v>253</v>
      </c>
      <c r="F731" s="512" t="s">
        <v>2053</v>
      </c>
      <c r="G731" s="39" t="s">
        <v>332</v>
      </c>
      <c r="H731" s="513">
        <v>3000000</v>
      </c>
      <c r="I731" s="41" t="s">
        <v>867</v>
      </c>
      <c r="J731" s="276" t="str">
        <f>VLOOKUP($I731,'Price List, Weapons &amp; Items'!A:B,2,0)</f>
        <v>Military equipment</v>
      </c>
      <c r="K731" s="276" t="str">
        <f>IF(I731=".",I731,VLOOKUP($I731,'Price List, Weapons &amp; Items'!A:C,3,0))</f>
        <v>.</v>
      </c>
      <c r="L731" s="514">
        <f>VLOOKUP(I731,'Price List, Weapons &amp; Items'!A:D,4,0)</f>
        <v>0</v>
      </c>
      <c r="M731" s="515" t="s">
        <v>232</v>
      </c>
      <c r="N731" s="515" t="s">
        <v>232</v>
      </c>
      <c r="O731" s="516">
        <f>VLOOKUP($I731,'Price List, Weapons &amp; Items'!A:F,6,0)</f>
        <v>1.29</v>
      </c>
      <c r="P731" s="513" t="str">
        <f t="shared" si="172"/>
        <v>.</v>
      </c>
      <c r="Q731" s="513" t="str">
        <f t="shared" si="173"/>
        <v>.</v>
      </c>
      <c r="R731" s="513">
        <f t="shared" si="161"/>
        <v>3000000</v>
      </c>
      <c r="S731" s="513">
        <f>IF(AND(AD731=1,R731&lt;&gt;".")=TRUE,R731/VLOOKUP(G731,'Exchange rates'!B:C,2,0),IF(R731=".",".",""))</f>
        <v>3000000</v>
      </c>
      <c r="T731" s="513" t="str">
        <f>IF(AD731=1,IF(AF731="Value is not given at all",".",IF(AF731="Value is given by the source",S731,IF(AF731="Value is calculated with prices",(IF(SUMIFS(Q:Q,A:A,A731)&gt;0,SUMIFS(Q:Q,A:A,A731),"."))/VLOOKUP("USD",'Exchange rates'!B:C,2,0),"Error with coding"))),"")</f>
        <v>.</v>
      </c>
      <c r="U731" s="39" t="s">
        <v>233</v>
      </c>
      <c r="V731" s="42" t="s">
        <v>2054</v>
      </c>
      <c r="W731" s="132" t="s">
        <v>2055</v>
      </c>
      <c r="X731" s="42" t="s">
        <v>2056</v>
      </c>
      <c r="Y731" s="517" t="s">
        <v>232</v>
      </c>
      <c r="Z731" s="39">
        <v>0</v>
      </c>
      <c r="AA731" s="518">
        <v>0</v>
      </c>
      <c r="AB731" s="394" t="s">
        <v>2057</v>
      </c>
      <c r="AC731" s="519" t="str">
        <f>""</f>
        <v/>
      </c>
      <c r="AD731" s="520">
        <v>1</v>
      </c>
      <c r="AE731" s="520" t="s">
        <v>236</v>
      </c>
      <c r="AF731" s="520" t="s">
        <v>237</v>
      </c>
      <c r="AG731" s="520">
        <v>1</v>
      </c>
      <c r="AH731" s="520">
        <v>2</v>
      </c>
      <c r="AI731" s="520">
        <v>0</v>
      </c>
      <c r="AJ731" s="520">
        <f>VLOOKUP($I731,'Price List, Weapons &amp; Items'!A:E,5,0)</f>
        <v>0</v>
      </c>
      <c r="AK731" s="520">
        <f t="shared" si="165"/>
        <v>0</v>
      </c>
      <c r="AL731" s="520">
        <f t="shared" si="166"/>
        <v>0</v>
      </c>
      <c r="AM731" s="520">
        <f t="shared" si="167"/>
        <v>0</v>
      </c>
      <c r="AN731" s="521" t="str">
        <f>VLOOKUP($I731,'Price List, Weapons &amp; Items'!A:K,COLUMN('Price List, Weapons &amp; Items'!$I$1),0)</f>
        <v>Miscellaneous</v>
      </c>
      <c r="AO731" s="521" t="str">
        <f>IF(I731=".",".",VLOOKUP($I731,'Price List, Weapons &amp; Items'!A:I,3,0))</f>
        <v>.</v>
      </c>
      <c r="AP731" s="517" t="str">
        <f t="shared" ca="1" si="162"/>
        <v>liter of fuel M</v>
      </c>
      <c r="AQ731" s="521" t="str">
        <f>VLOOKUP($I731,'Price List, Weapons &amp; Items'!A:K,COLUMN('Price List, Weapons &amp; Items'!$K$1),0)</f>
        <v>no price, 0 count</v>
      </c>
      <c r="AS731" s="521">
        <f t="shared" si="168"/>
        <v>1</v>
      </c>
      <c r="AT731" s="521">
        <f t="shared" si="169"/>
        <v>1</v>
      </c>
      <c r="AU731" s="521">
        <f t="shared" si="170"/>
        <v>1</v>
      </c>
      <c r="AV731" s="521" t="str">
        <f t="shared" si="171"/>
        <v>.</v>
      </c>
    </row>
    <row r="732" spans="1:48" ht="15" customHeight="1">
      <c r="A732" s="41" t="s">
        <v>2058</v>
      </c>
      <c r="B732" s="41" t="s">
        <v>2034</v>
      </c>
      <c r="C732" s="511">
        <v>44670</v>
      </c>
      <c r="D732" s="18" t="s">
        <v>252</v>
      </c>
      <c r="E732" s="18" t="s">
        <v>307</v>
      </c>
      <c r="F732" s="512" t="s">
        <v>2059</v>
      </c>
      <c r="G732" s="39" t="s">
        <v>232</v>
      </c>
      <c r="H732" s="513" t="s">
        <v>309</v>
      </c>
      <c r="I732" s="41" t="s">
        <v>232</v>
      </c>
      <c r="J732" s="276" t="str">
        <f>VLOOKUP($I732,'Price List, Weapons &amp; Items'!A:B,2,0)</f>
        <v>.</v>
      </c>
      <c r="K732" s="276" t="str">
        <f>IF(I732=".",I732,VLOOKUP($I732,'Price List, Weapons &amp; Items'!A:C,3,0))</f>
        <v>.</v>
      </c>
      <c r="L732" s="514">
        <f>VLOOKUP(I732,'Price List, Weapons &amp; Items'!A:D,4,0)</f>
        <v>0</v>
      </c>
      <c r="M732" s="515" t="s">
        <v>232</v>
      </c>
      <c r="N732" s="515" t="s">
        <v>232</v>
      </c>
      <c r="O732" s="516" t="str">
        <f>VLOOKUP($I732,'Price List, Weapons &amp; Items'!A:F,6,0)</f>
        <v>.</v>
      </c>
      <c r="P732" s="513" t="str">
        <f t="shared" si="172"/>
        <v>.</v>
      </c>
      <c r="Q732" s="513" t="str">
        <f t="shared" si="173"/>
        <v>.</v>
      </c>
      <c r="R732" s="513" t="str">
        <f t="shared" si="161"/>
        <v>.</v>
      </c>
      <c r="S732" s="513" t="str">
        <f>IF(AND(AD732=1,R732&lt;&gt;".")=TRUE,R732/VLOOKUP(G732,'Exchange rates'!B:C,2,0),IF(R732=".",".",""))</f>
        <v>.</v>
      </c>
      <c r="T732" s="513" t="str">
        <f>IF(AD732=1,IF(AF732="Value is not given at all",".",IF(AF732="Value is given by the source",S732,IF(AF732="Value is calculated with prices",(IF(SUMIFS(Q:Q,A:A,A732)&gt;0,SUMIFS(Q:Q,A:A,A732),"."))/VLOOKUP("USD",'Exchange rates'!B:C,2,0),"Error with coding"))),"")</f>
        <v>.</v>
      </c>
      <c r="U732" s="39" t="s">
        <v>372</v>
      </c>
      <c r="V732" s="42" t="s">
        <v>2060</v>
      </c>
      <c r="W732" s="132" t="s">
        <v>2061</v>
      </c>
      <c r="X732" s="517" t="s">
        <v>232</v>
      </c>
      <c r="Y732" s="517" t="s">
        <v>232</v>
      </c>
      <c r="Z732" s="39">
        <v>0</v>
      </c>
      <c r="AA732" s="518">
        <v>0</v>
      </c>
      <c r="AB732" s="38" t="s">
        <v>232</v>
      </c>
      <c r="AC732" s="519" t="str">
        <f>""</f>
        <v/>
      </c>
      <c r="AD732" s="520">
        <v>1</v>
      </c>
      <c r="AE732" s="520" t="s">
        <v>237</v>
      </c>
      <c r="AF732" s="520" t="s">
        <v>237</v>
      </c>
      <c r="AG732" s="520">
        <v>1</v>
      </c>
      <c r="AH732" s="520">
        <v>4</v>
      </c>
      <c r="AI732" s="520">
        <v>0</v>
      </c>
      <c r="AJ732" s="520">
        <f>VLOOKUP($I732,'Price List, Weapons &amp; Items'!A:E,5,0)</f>
        <v>0</v>
      </c>
      <c r="AK732" s="520">
        <f t="shared" si="165"/>
        <v>0</v>
      </c>
      <c r="AL732" s="520">
        <f t="shared" si="166"/>
        <v>0</v>
      </c>
      <c r="AM732" s="520">
        <f t="shared" si="167"/>
        <v>0</v>
      </c>
      <c r="AN732" s="521" t="str">
        <f>VLOOKUP($I732,'Price List, Weapons &amp; Items'!A:K,COLUMN('Price List, Weapons &amp; Items'!$I$1),0)</f>
        <v>.</v>
      </c>
      <c r="AO732" s="521" t="str">
        <f>IF(I732=".",".",VLOOKUP($I732,'Price List, Weapons &amp; Items'!A:I,3,0))</f>
        <v>.</v>
      </c>
      <c r="AP732" s="517" t="str">
        <f t="shared" ca="1" si="162"/>
        <v>.</v>
      </c>
      <c r="AQ732" s="521" t="str">
        <f>VLOOKUP($I732,'Price List, Weapons &amp; Items'!A:K,COLUMN('Price List, Weapons &amp; Items'!$K$1),0)</f>
        <v>no price, 0 count</v>
      </c>
      <c r="AS732" s="521">
        <f t="shared" si="168"/>
        <v>0</v>
      </c>
      <c r="AT732" s="521">
        <f t="shared" si="169"/>
        <v>1</v>
      </c>
      <c r="AU732" s="521">
        <f t="shared" si="170"/>
        <v>1</v>
      </c>
      <c r="AV732" s="521" t="str">
        <f t="shared" si="171"/>
        <v>.</v>
      </c>
    </row>
    <row r="733" spans="1:48" ht="15" customHeight="1">
      <c r="A733" s="41" t="s">
        <v>2062</v>
      </c>
      <c r="B733" s="41" t="s">
        <v>2063</v>
      </c>
      <c r="C733" s="511">
        <v>44660</v>
      </c>
      <c r="D733" s="18" t="s">
        <v>228</v>
      </c>
      <c r="E733" s="18" t="s">
        <v>229</v>
      </c>
      <c r="F733" s="512" t="s">
        <v>2064</v>
      </c>
      <c r="G733" s="39" t="s">
        <v>332</v>
      </c>
      <c r="H733" s="513">
        <v>5000000</v>
      </c>
      <c r="I733" s="41" t="s">
        <v>232</v>
      </c>
      <c r="J733" s="276" t="str">
        <f>VLOOKUP($I733,'Price List, Weapons &amp; Items'!A:B,2,0)</f>
        <v>.</v>
      </c>
      <c r="K733" s="276" t="str">
        <f>IF(I733=".",I733,VLOOKUP($I733,'Price List, Weapons &amp; Items'!A:C,3,0))</f>
        <v>.</v>
      </c>
      <c r="L733" s="514">
        <f>VLOOKUP(I733,'Price List, Weapons &amp; Items'!A:D,4,0)</f>
        <v>0</v>
      </c>
      <c r="M733" s="515" t="s">
        <v>232</v>
      </c>
      <c r="N733" s="515" t="s">
        <v>232</v>
      </c>
      <c r="O733" s="516" t="str">
        <f>VLOOKUP($I733,'Price List, Weapons &amp; Items'!A:F,6,0)</f>
        <v>.</v>
      </c>
      <c r="P733" s="513" t="str">
        <f t="shared" si="172"/>
        <v>.</v>
      </c>
      <c r="Q733" s="513" t="str">
        <f t="shared" si="173"/>
        <v>.</v>
      </c>
      <c r="R733" s="513">
        <f t="shared" si="161"/>
        <v>5000000</v>
      </c>
      <c r="S733" s="513">
        <f>IF(AND(AD733=1,R733&lt;&gt;".")=TRUE,R733/VLOOKUP(G733,'Exchange rates'!B:C,2,0),IF(R733=".",".",""))</f>
        <v>5000000</v>
      </c>
      <c r="T733" s="513" t="str">
        <f>IF(AD733=1,IF(AF733="Value is not given at all",".",IF(AF733="Value is given by the source",S733,IF(AF733="Value is calculated with prices",(IF(SUMIFS(Q:Q,A:A,A733)&gt;0,SUMIFS(Q:Q,A:A,A733),"."))/VLOOKUP("USD",'Exchange rates'!B:C,2,0),"Error with coding"))),"")</f>
        <v>.</v>
      </c>
      <c r="U733" s="39" t="s">
        <v>233</v>
      </c>
      <c r="V733" s="42" t="s">
        <v>2065</v>
      </c>
      <c r="W733" s="517" t="s">
        <v>232</v>
      </c>
      <c r="X733" s="517" t="s">
        <v>232</v>
      </c>
      <c r="Y733" s="517" t="s">
        <v>232</v>
      </c>
      <c r="Z733" s="39">
        <v>0</v>
      </c>
      <c r="AA733" s="518">
        <v>0</v>
      </c>
      <c r="AB733" s="38" t="s">
        <v>232</v>
      </c>
      <c r="AC733" s="519" t="str">
        <f>""</f>
        <v/>
      </c>
      <c r="AD733" s="520">
        <v>1</v>
      </c>
      <c r="AE733" s="520" t="s">
        <v>236</v>
      </c>
      <c r="AF733" s="520" t="s">
        <v>237</v>
      </c>
      <c r="AG733" s="520">
        <v>1</v>
      </c>
      <c r="AH733" s="520">
        <v>4</v>
      </c>
      <c r="AI733" s="520">
        <v>0</v>
      </c>
      <c r="AJ733" s="520">
        <f>VLOOKUP($I733,'Price List, Weapons &amp; Items'!A:E,5,0)</f>
        <v>0</v>
      </c>
      <c r="AK733" s="520">
        <f t="shared" si="165"/>
        <v>0</v>
      </c>
      <c r="AL733" s="520">
        <f t="shared" si="166"/>
        <v>0</v>
      </c>
      <c r="AM733" s="520">
        <f t="shared" si="167"/>
        <v>0</v>
      </c>
      <c r="AN733" s="521" t="str">
        <f>VLOOKUP($I733,'Price List, Weapons &amp; Items'!A:K,COLUMN('Price List, Weapons &amp; Items'!$I$1),0)</f>
        <v>.</v>
      </c>
      <c r="AO733" s="521" t="str">
        <f>IF(I733=".",".",VLOOKUP($I733,'Price List, Weapons &amp; Items'!A:I,3,0))</f>
        <v>.</v>
      </c>
      <c r="AP733" s="517" t="str">
        <f t="shared" ca="1" si="162"/>
        <v>.</v>
      </c>
      <c r="AQ733" s="521" t="str">
        <f>VLOOKUP($I733,'Price List, Weapons &amp; Items'!A:K,COLUMN('Price List, Weapons &amp; Items'!$K$1),0)</f>
        <v>no price, 0 count</v>
      </c>
      <c r="AS733" s="521">
        <f t="shared" si="168"/>
        <v>1</v>
      </c>
      <c r="AT733" s="521">
        <f t="shared" si="169"/>
        <v>0</v>
      </c>
      <c r="AU733" s="521">
        <f t="shared" si="170"/>
        <v>1</v>
      </c>
      <c r="AV733" s="521" t="str">
        <f t="shared" si="171"/>
        <v>.</v>
      </c>
    </row>
    <row r="734" spans="1:48" ht="15" customHeight="1">
      <c r="A734" s="41" t="s">
        <v>2066</v>
      </c>
      <c r="B734" s="41" t="s">
        <v>2063</v>
      </c>
      <c r="C734" s="511">
        <v>44613</v>
      </c>
      <c r="D734" s="18" t="s">
        <v>252</v>
      </c>
      <c r="E734" s="18" t="s">
        <v>261</v>
      </c>
      <c r="F734" s="512" t="s">
        <v>2067</v>
      </c>
      <c r="G734" s="39" t="s">
        <v>332</v>
      </c>
      <c r="H734" s="513">
        <v>1700000</v>
      </c>
      <c r="I734" s="41" t="s">
        <v>2068</v>
      </c>
      <c r="J734" s="276" t="str">
        <f>VLOOKUP($I734,'Price List, Weapons &amp; Items'!A:B,2,0)</f>
        <v>Military equipment</v>
      </c>
      <c r="K734" s="276" t="str">
        <f>IF(I734=".",I734,VLOOKUP($I734,'Price List, Weapons &amp; Items'!A:C,3,0))</f>
        <v>.</v>
      </c>
      <c r="L734" s="514">
        <f>VLOOKUP(I734,'Price List, Weapons &amp; Items'!A:D,4,0)</f>
        <v>0</v>
      </c>
      <c r="M734" s="515">
        <v>5</v>
      </c>
      <c r="N734" s="515" t="s">
        <v>232</v>
      </c>
      <c r="O734" s="516">
        <f>VLOOKUP($I734,'Price List, Weapons &amp; Items'!A:F,6,0)</f>
        <v>365200</v>
      </c>
      <c r="P734" s="513">
        <f t="shared" si="172"/>
        <v>1826000</v>
      </c>
      <c r="Q734" s="513" t="str">
        <f t="shared" si="173"/>
        <v>.</v>
      </c>
      <c r="R734" s="513">
        <f t="shared" si="161"/>
        <v>1700000</v>
      </c>
      <c r="S734" s="513">
        <f>IF(AND(AD734=1,R734&lt;&gt;".")=TRUE,R734/VLOOKUP(G734,'Exchange rates'!B:C,2,0),IF(R734=".",".",""))</f>
        <v>1700000</v>
      </c>
      <c r="T734" s="513" t="str">
        <f>IF(AD734=1,IF(AF734="Value is not given at all",".",IF(AF734="Value is given by the source",S734,IF(AF734="Value is calculated with prices",(IF(SUMIFS(Q:Q,A:A,A734)&gt;0,SUMIFS(Q:Q,A:A,A734),"."))/VLOOKUP("USD",'Exchange rates'!B:C,2,0),"Error with coding"))),"")</f>
        <v>.</v>
      </c>
      <c r="U734" s="39" t="s">
        <v>233</v>
      </c>
      <c r="V734" s="42" t="s">
        <v>2069</v>
      </c>
      <c r="W734" s="42" t="s">
        <v>2070</v>
      </c>
      <c r="X734" s="517" t="s">
        <v>232</v>
      </c>
      <c r="Y734" s="517" t="s">
        <v>232</v>
      </c>
      <c r="Z734" s="39">
        <v>0</v>
      </c>
      <c r="AA734" s="518">
        <v>0</v>
      </c>
      <c r="AB734" s="38" t="s">
        <v>232</v>
      </c>
      <c r="AC734" s="519" t="str">
        <f>""</f>
        <v/>
      </c>
      <c r="AD734" s="520">
        <v>1</v>
      </c>
      <c r="AE734" s="520" t="s">
        <v>236</v>
      </c>
      <c r="AF734" s="520" t="s">
        <v>237</v>
      </c>
      <c r="AG734" s="520">
        <v>1</v>
      </c>
      <c r="AH734" s="520">
        <v>2</v>
      </c>
      <c r="AI734" s="520">
        <v>1</v>
      </c>
      <c r="AJ734" s="520">
        <f>VLOOKUP($I734,'Price List, Weapons &amp; Items'!A:E,5,0)</f>
        <v>0</v>
      </c>
      <c r="AK734" s="520">
        <f t="shared" si="165"/>
        <v>0</v>
      </c>
      <c r="AL734" s="520">
        <f t="shared" si="166"/>
        <v>0</v>
      </c>
      <c r="AM734" s="520">
        <f t="shared" si="167"/>
        <v>0</v>
      </c>
      <c r="AN734" s="521" t="str">
        <f>VLOOKUP($I734,'Price List, Weapons &amp; Items'!A:K,COLUMN('Price List, Weapons &amp; Items'!$I$1),0)</f>
        <v>Media reports (incl. social media)</v>
      </c>
      <c r="AO734" s="521" t="str">
        <f>IF(I734=".",".",VLOOKUP($I734,'Price List, Weapons &amp; Items'!A:I,3,0))</f>
        <v>.</v>
      </c>
      <c r="AP734" s="517" t="str">
        <f t="shared" ca="1" si="162"/>
        <v>demining set</v>
      </c>
      <c r="AQ734" s="521">
        <f>VLOOKUP($I734,'Price List, Weapons &amp; Items'!A:K,COLUMN('Price List, Weapons &amp; Items'!$K$1),0)</f>
        <v>2</v>
      </c>
      <c r="AS734" s="521">
        <f t="shared" si="168"/>
        <v>1</v>
      </c>
      <c r="AT734" s="521">
        <f t="shared" si="169"/>
        <v>1</v>
      </c>
      <c r="AU734" s="521">
        <f t="shared" si="170"/>
        <v>1</v>
      </c>
      <c r="AV734" s="521" t="str">
        <f t="shared" si="171"/>
        <v>.</v>
      </c>
    </row>
    <row r="735" spans="1:48" s="14" customFormat="1" ht="15" customHeight="1">
      <c r="A735" s="18" t="s">
        <v>2071</v>
      </c>
      <c r="B735" s="18" t="s">
        <v>2063</v>
      </c>
      <c r="C735" s="511">
        <v>44619</v>
      </c>
      <c r="D735" s="18" t="s">
        <v>252</v>
      </c>
      <c r="E735" s="18" t="s">
        <v>253</v>
      </c>
      <c r="F735" s="512" t="s">
        <v>2072</v>
      </c>
      <c r="G735" s="39" t="s">
        <v>332</v>
      </c>
      <c r="H735" s="513">
        <v>4500000</v>
      </c>
      <c r="I735" s="41" t="s">
        <v>2073</v>
      </c>
      <c r="J735" s="276" t="str">
        <f>VLOOKUP($I735,'Price List, Weapons &amp; Items'!A:B,2,0)</f>
        <v>Portable defence system</v>
      </c>
      <c r="K735" s="276" t="str">
        <f>IF(I735=".",I735,VLOOKUP($I735,'Price List, Weapons &amp; Items'!A:C,3,0))</f>
        <v>Light Anti-armor Weapon (LAW)</v>
      </c>
      <c r="L735" s="514">
        <f>VLOOKUP(I735,'Price List, Weapons &amp; Items'!A:D,4,0)</f>
        <v>0</v>
      </c>
      <c r="M735" s="515">
        <v>486</v>
      </c>
      <c r="N735" s="515">
        <v>486</v>
      </c>
      <c r="O735" s="516">
        <f>VLOOKUP($I735,'Price List, Weapons &amp; Items'!A:F,6,0)</f>
        <v>78000</v>
      </c>
      <c r="P735" s="513">
        <f t="shared" si="172"/>
        <v>37908000</v>
      </c>
      <c r="Q735" s="513">
        <f t="shared" si="173"/>
        <v>37908000</v>
      </c>
      <c r="R735" s="513">
        <f t="shared" si="161"/>
        <v>4500000</v>
      </c>
      <c r="S735" s="513">
        <f>IF(AND(AD735=1,R735&lt;&gt;".")=TRUE,R735/VLOOKUP(G735,'Exchange rates'!B:C,2,0),IF(R735=".",".",""))</f>
        <v>4500000</v>
      </c>
      <c r="T735" s="513">
        <f>IF(AD735=1,IF(AF735="Value is not given at all",".",IF(AF735="Value is given by the source",S735,IF(AF735="Value is calculated with prices",(IF(SUMIFS(Q:Q,A:A,A735)&gt;0,SUMIFS(Q:Q,A:A,A735),"."))/VLOOKUP("USD",'Exchange rates'!B:C,2,0),"Error with coding"))),"")</f>
        <v>4500000</v>
      </c>
      <c r="U735" s="39" t="s">
        <v>233</v>
      </c>
      <c r="V735" s="376" t="s">
        <v>2074</v>
      </c>
      <c r="W735" s="376" t="s">
        <v>2075</v>
      </c>
      <c r="X735" s="376" t="s">
        <v>2076</v>
      </c>
      <c r="Y735" s="530" t="s">
        <v>232</v>
      </c>
      <c r="Z735" s="39">
        <v>0</v>
      </c>
      <c r="AA735" s="518">
        <v>0</v>
      </c>
      <c r="AB735" s="394" t="s">
        <v>2077</v>
      </c>
      <c r="AC735" s="519" t="str">
        <f>""</f>
        <v/>
      </c>
      <c r="AD735" s="520">
        <v>1</v>
      </c>
      <c r="AE735" s="520" t="s">
        <v>236</v>
      </c>
      <c r="AF735" s="520" t="s">
        <v>236</v>
      </c>
      <c r="AG735" s="520">
        <v>1</v>
      </c>
      <c r="AH735" s="520">
        <v>2</v>
      </c>
      <c r="AI735" s="520">
        <v>0</v>
      </c>
      <c r="AJ735" s="520">
        <f>VLOOKUP($I735,'Price List, Weapons &amp; Items'!A:E,5,0)</f>
        <v>0</v>
      </c>
      <c r="AK735" s="520">
        <f t="shared" si="165"/>
        <v>0</v>
      </c>
      <c r="AL735" s="520">
        <f t="shared" si="166"/>
        <v>0</v>
      </c>
      <c r="AM735" s="520">
        <f t="shared" si="167"/>
        <v>0</v>
      </c>
      <c r="AN735" s="521" t="str">
        <f>VLOOKUP($I735,'Price List, Weapons &amp; Items'!A:K,COLUMN('Price List, Weapons &amp; Items'!$I$1),0)</f>
        <v>Military media (incl. websites)</v>
      </c>
      <c r="AO735" s="521" t="str">
        <f>IF(I735=".",".",VLOOKUP($I735,'Price List, Weapons &amp; Items'!A:I,3,0))</f>
        <v>Light Anti-armor Weapon (LAW)</v>
      </c>
      <c r="AP735" s="517" t="str">
        <f t="shared" ca="1" si="162"/>
        <v>anti-tank missile and anti-tank rocket; air defense launcher</v>
      </c>
      <c r="AQ735" s="521">
        <f>VLOOKUP($I735,'Price List, Weapons &amp; Items'!A:K,COLUMN('Price List, Weapons &amp; Items'!$K$1),0)</f>
        <v>2</v>
      </c>
      <c r="AR735" s="14" t="e" cm="1">
        <f t="array" aca="1" ref="AR735" ca="1">_xll.FindOnPage("155mm howitzer")</f>
        <v>#NAME?</v>
      </c>
      <c r="AS735" s="521">
        <f t="shared" si="168"/>
        <v>1</v>
      </c>
      <c r="AT735" s="521">
        <f t="shared" si="169"/>
        <v>1</v>
      </c>
      <c r="AU735" s="521">
        <f t="shared" si="170"/>
        <v>1</v>
      </c>
      <c r="AV735" s="521" t="str">
        <f t="shared" si="171"/>
        <v>.</v>
      </c>
    </row>
    <row r="736" spans="1:48" s="14" customFormat="1" ht="15" customHeight="1">
      <c r="A736" s="18" t="s">
        <v>2071</v>
      </c>
      <c r="B736" s="18" t="s">
        <v>2063</v>
      </c>
      <c r="C736" s="511">
        <v>44619</v>
      </c>
      <c r="D736" s="18" t="s">
        <v>252</v>
      </c>
      <c r="E736" s="18" t="s">
        <v>253</v>
      </c>
      <c r="F736" s="512" t="s">
        <v>2072</v>
      </c>
      <c r="G736" s="39" t="s">
        <v>332</v>
      </c>
      <c r="H736" s="513">
        <v>4500000</v>
      </c>
      <c r="I736" s="41" t="s">
        <v>2078</v>
      </c>
      <c r="J736" s="276" t="str">
        <f>VLOOKUP($I736,'Price List, Weapons &amp; Items'!A:B,2,0)</f>
        <v>Portable defence system</v>
      </c>
      <c r="K736" s="276" t="str">
        <f>IF(I736=".",I736,VLOOKUP($I736,'Price List, Weapons &amp; Items'!A:C,3,0))</f>
        <v xml:space="preserve">MANPADS </v>
      </c>
      <c r="L736" s="514">
        <f>VLOOKUP(I736,'Price List, Weapons &amp; Items'!A:D,4,0)</f>
        <v>0</v>
      </c>
      <c r="M736" s="515">
        <v>100</v>
      </c>
      <c r="N736" s="515">
        <v>100</v>
      </c>
      <c r="O736" s="516">
        <f>VLOOKUP($I736,'Price List, Weapons &amp; Items'!A:F,6,0)</f>
        <v>119000</v>
      </c>
      <c r="P736" s="513">
        <f t="shared" si="172"/>
        <v>11900000</v>
      </c>
      <c r="Q736" s="513">
        <f t="shared" si="173"/>
        <v>11900000</v>
      </c>
      <c r="R736" s="513" t="str">
        <f t="shared" si="161"/>
        <v/>
      </c>
      <c r="S736" s="513" t="str">
        <f>IF(AND(AD736=1,R736&lt;&gt;".")=TRUE,R736/VLOOKUP(G736,'Exchange rates'!B:C,2,0),IF(R736=".",".",""))</f>
        <v/>
      </c>
      <c r="T736" s="513" t="str">
        <f>IF(AD736=1,IF(AF736="Value is not given at all",".",IF(AF736="Value is given by the source",S736,IF(AF736="Value is calculated with prices",(IF(SUMIFS(Q:Q,A:A,A736)&gt;0,SUMIFS(Q:Q,A:A,A736),"."))/VLOOKUP("USD",'Exchange rates'!B:C,2,0),"Error with coding"))),"")</f>
        <v/>
      </c>
      <c r="U736" s="39" t="s">
        <v>233</v>
      </c>
      <c r="V736" s="376" t="s">
        <v>2074</v>
      </c>
      <c r="W736" s="376" t="s">
        <v>2075</v>
      </c>
      <c r="X736" s="376" t="s">
        <v>2076</v>
      </c>
      <c r="Y736" s="530" t="s">
        <v>232</v>
      </c>
      <c r="Z736" s="39">
        <v>0</v>
      </c>
      <c r="AA736" s="518">
        <v>0</v>
      </c>
      <c r="AB736" s="394" t="s">
        <v>2077</v>
      </c>
      <c r="AC736" s="519" t="str">
        <f>""</f>
        <v/>
      </c>
      <c r="AD736" s="520">
        <v>0</v>
      </c>
      <c r="AE736" s="520" t="s">
        <v>236</v>
      </c>
      <c r="AF736" s="520" t="s">
        <v>236</v>
      </c>
      <c r="AG736" s="520">
        <v>1</v>
      </c>
      <c r="AH736" s="520">
        <v>2</v>
      </c>
      <c r="AI736" s="520">
        <v>0</v>
      </c>
      <c r="AJ736" s="520">
        <f>VLOOKUP($I736,'Price List, Weapons &amp; Items'!A:E,5,0)</f>
        <v>0</v>
      </c>
      <c r="AK736" s="520">
        <f t="shared" si="165"/>
        <v>0</v>
      </c>
      <c r="AL736" s="520">
        <f t="shared" si="166"/>
        <v>0</v>
      </c>
      <c r="AM736" s="520">
        <f t="shared" si="167"/>
        <v>0</v>
      </c>
      <c r="AN736" s="521" t="str">
        <f>VLOOKUP($I736,'Price List, Weapons &amp; Items'!A:K,COLUMN('Price List, Weapons &amp; Items'!$I$1),0)</f>
        <v>Miscellaneous</v>
      </c>
      <c r="AO736" s="521" t="str">
        <f>IF(I736=".",".",VLOOKUP($I736,'Price List, Weapons &amp; Items'!A:I,3,0))</f>
        <v xml:space="preserve">MANPADS </v>
      </c>
      <c r="AP736" s="517" t="str">
        <f t="shared" ca="1" si="162"/>
        <v/>
      </c>
      <c r="AQ736" s="521">
        <f>VLOOKUP($I736,'Price List, Weapons &amp; Items'!A:K,COLUMN('Price List, Weapons &amp; Items'!$K$1),0)</f>
        <v>2</v>
      </c>
      <c r="AS736" s="521">
        <f t="shared" si="168"/>
        <v>1</v>
      </c>
      <c r="AT736" s="521">
        <f t="shared" si="169"/>
        <v>1</v>
      </c>
      <c r="AU736" s="521">
        <f t="shared" si="170"/>
        <v>1</v>
      </c>
      <c r="AV736" s="521" t="str">
        <f t="shared" si="171"/>
        <v>.</v>
      </c>
    </row>
    <row r="737" spans="1:48" ht="15" customHeight="1">
      <c r="A737" s="41" t="s">
        <v>2079</v>
      </c>
      <c r="B737" s="41" t="s">
        <v>2063</v>
      </c>
      <c r="C737" s="511">
        <v>44623</v>
      </c>
      <c r="D737" s="18" t="s">
        <v>252</v>
      </c>
      <c r="E737" s="18" t="s">
        <v>253</v>
      </c>
      <c r="F737" s="512" t="s">
        <v>2080</v>
      </c>
      <c r="G737" s="39" t="s">
        <v>332</v>
      </c>
      <c r="H737" s="513">
        <v>32200000</v>
      </c>
      <c r="I737" s="41" t="s">
        <v>232</v>
      </c>
      <c r="J737" s="276" t="str">
        <f>VLOOKUP($I737,'Price List, Weapons &amp; Items'!A:B,2,0)</f>
        <v>.</v>
      </c>
      <c r="K737" s="276" t="str">
        <f>IF(I737=".",I737,VLOOKUP($I737,'Price List, Weapons &amp; Items'!A:C,3,0))</f>
        <v>.</v>
      </c>
      <c r="L737" s="514">
        <f>VLOOKUP(I737,'Price List, Weapons &amp; Items'!A:D,4,0)</f>
        <v>0</v>
      </c>
      <c r="M737" s="515" t="s">
        <v>232</v>
      </c>
      <c r="N737" s="515" t="s">
        <v>232</v>
      </c>
      <c r="O737" s="516" t="str">
        <f>VLOOKUP($I737,'Price List, Weapons &amp; Items'!A:F,6,0)</f>
        <v>.</v>
      </c>
      <c r="P737" s="513" t="str">
        <f t="shared" si="172"/>
        <v>.</v>
      </c>
      <c r="Q737" s="513" t="str">
        <f t="shared" si="173"/>
        <v>.</v>
      </c>
      <c r="R737" s="513">
        <f t="shared" si="161"/>
        <v>32200000</v>
      </c>
      <c r="S737" s="513">
        <f>IF(AND(AD737=1,R737&lt;&gt;".")=TRUE,R737/VLOOKUP(G737,'Exchange rates'!B:C,2,0),IF(R737=".",".",""))</f>
        <v>32200000</v>
      </c>
      <c r="T737" s="513" t="str">
        <f>IF(AD737=1,IF(AF737="Value is not given at all",".",IF(AF737="Value is given by the source",S737,IF(AF737="Value is calculated with prices",(IF(SUMIFS(Q:Q,A:A,A737)&gt;0,SUMIFS(Q:Q,A:A,A737),"."))/VLOOKUP("USD",'Exchange rates'!B:C,2,0),"Error with coding"))),"")</f>
        <v>.</v>
      </c>
      <c r="U737" s="39" t="s">
        <v>233</v>
      </c>
      <c r="V737" s="42" t="s">
        <v>2081</v>
      </c>
      <c r="W737" s="42" t="s">
        <v>2082</v>
      </c>
      <c r="X737" s="517" t="s">
        <v>232</v>
      </c>
      <c r="Y737" s="517" t="s">
        <v>232</v>
      </c>
      <c r="Z737" s="39">
        <v>0</v>
      </c>
      <c r="AA737" s="518">
        <v>0</v>
      </c>
      <c r="AB737" s="38" t="s">
        <v>232</v>
      </c>
      <c r="AC737" s="519" t="str">
        <f>""</f>
        <v/>
      </c>
      <c r="AD737" s="520">
        <v>1</v>
      </c>
      <c r="AE737" s="520" t="s">
        <v>236</v>
      </c>
      <c r="AF737" s="520" t="s">
        <v>237</v>
      </c>
      <c r="AG737" s="520">
        <v>1</v>
      </c>
      <c r="AH737" s="520">
        <v>3</v>
      </c>
      <c r="AI737" s="520">
        <v>0</v>
      </c>
      <c r="AJ737" s="520">
        <f>VLOOKUP($I737,'Price List, Weapons &amp; Items'!A:E,5,0)</f>
        <v>0</v>
      </c>
      <c r="AK737" s="520">
        <f t="shared" si="165"/>
        <v>0</v>
      </c>
      <c r="AL737" s="520">
        <f t="shared" si="166"/>
        <v>0</v>
      </c>
      <c r="AM737" s="520">
        <f t="shared" si="167"/>
        <v>0</v>
      </c>
      <c r="AN737" s="521" t="str">
        <f>VLOOKUP($I737,'Price List, Weapons &amp; Items'!A:K,COLUMN('Price List, Weapons &amp; Items'!$I$1),0)</f>
        <v>.</v>
      </c>
      <c r="AO737" s="521" t="str">
        <f>IF(I737=".",".",VLOOKUP($I737,'Price List, Weapons &amp; Items'!A:I,3,0))</f>
        <v>.</v>
      </c>
      <c r="AP737" s="517" t="str">
        <f t="shared" ca="1" si="162"/>
        <v>.</v>
      </c>
      <c r="AQ737" s="521" t="str">
        <f>VLOOKUP($I737,'Price List, Weapons &amp; Items'!A:K,COLUMN('Price List, Weapons &amp; Items'!$K$1),0)</f>
        <v>no price, 0 count</v>
      </c>
      <c r="AS737" s="521">
        <f t="shared" si="168"/>
        <v>1</v>
      </c>
      <c r="AT737" s="521">
        <f t="shared" si="169"/>
        <v>1</v>
      </c>
      <c r="AU737" s="521">
        <f t="shared" si="170"/>
        <v>1</v>
      </c>
      <c r="AV737" s="521" t="str">
        <f t="shared" si="171"/>
        <v>.</v>
      </c>
    </row>
    <row r="738" spans="1:48" ht="15" customHeight="1">
      <c r="A738" s="41" t="s">
        <v>2083</v>
      </c>
      <c r="B738" s="41" t="s">
        <v>2063</v>
      </c>
      <c r="C738" s="511">
        <v>44618</v>
      </c>
      <c r="D738" s="18" t="s">
        <v>252</v>
      </c>
      <c r="E738" s="18" t="s">
        <v>261</v>
      </c>
      <c r="F738" s="512" t="s">
        <v>2084</v>
      </c>
      <c r="G738" s="39" t="s">
        <v>332</v>
      </c>
      <c r="H738" s="513">
        <v>11000000</v>
      </c>
      <c r="I738" s="41" t="s">
        <v>232</v>
      </c>
      <c r="J738" s="276" t="str">
        <f>VLOOKUP($I738,'Price List, Weapons &amp; Items'!A:B,2,0)</f>
        <v>.</v>
      </c>
      <c r="K738" s="276" t="str">
        <f>IF(I738=".",I738,VLOOKUP($I738,'Price List, Weapons &amp; Items'!A:C,3,0))</f>
        <v>.</v>
      </c>
      <c r="L738" s="514">
        <f>VLOOKUP(I738,'Price List, Weapons &amp; Items'!A:D,4,0)</f>
        <v>0</v>
      </c>
      <c r="M738" s="515" t="s">
        <v>232</v>
      </c>
      <c r="N738" s="515" t="s">
        <v>232</v>
      </c>
      <c r="O738" s="516" t="str">
        <f>VLOOKUP($I738,'Price List, Weapons &amp; Items'!A:F,6,0)</f>
        <v>.</v>
      </c>
      <c r="P738" s="513" t="str">
        <f t="shared" si="172"/>
        <v>.</v>
      </c>
      <c r="Q738" s="513" t="str">
        <f t="shared" si="173"/>
        <v>.</v>
      </c>
      <c r="R738" s="513">
        <f t="shared" si="161"/>
        <v>11000000</v>
      </c>
      <c r="S738" s="513">
        <f>IF(AND(AD738=1,R738&lt;&gt;".")=TRUE,R738/VLOOKUP(G738,'Exchange rates'!B:C,2,0),IF(R738=".",".",""))</f>
        <v>11000000</v>
      </c>
      <c r="T738" s="513" t="str">
        <f>IF(AD738=1,IF(AF738="Value is not given at all",".",IF(AF738="Value is given by the source",S738,IF(AF738="Value is calculated with prices",(IF(SUMIFS(Q:Q,A:A,A738)&gt;0,SUMIFS(Q:Q,A:A,A738),"."))/VLOOKUP("USD",'Exchange rates'!B:C,2,0),"Error with coding"))),"")</f>
        <v>.</v>
      </c>
      <c r="U738" s="39" t="s">
        <v>233</v>
      </c>
      <c r="V738" s="42" t="s">
        <v>2085</v>
      </c>
      <c r="W738" s="517" t="s">
        <v>232</v>
      </c>
      <c r="X738" s="517" t="s">
        <v>232</v>
      </c>
      <c r="Y738" s="517" t="s">
        <v>232</v>
      </c>
      <c r="Z738" s="39">
        <v>0</v>
      </c>
      <c r="AA738" s="518">
        <v>0</v>
      </c>
      <c r="AB738" s="38" t="s">
        <v>232</v>
      </c>
      <c r="AC738" s="519" t="str">
        <f>""</f>
        <v/>
      </c>
      <c r="AD738" s="520">
        <v>1</v>
      </c>
      <c r="AE738" s="520" t="s">
        <v>236</v>
      </c>
      <c r="AF738" s="520" t="s">
        <v>237</v>
      </c>
      <c r="AG738" s="520">
        <v>1</v>
      </c>
      <c r="AH738" s="520">
        <v>2</v>
      </c>
      <c r="AI738" s="520">
        <v>0</v>
      </c>
      <c r="AJ738" s="520">
        <f>VLOOKUP($I738,'Price List, Weapons &amp; Items'!A:E,5,0)</f>
        <v>0</v>
      </c>
      <c r="AK738" s="520">
        <f t="shared" si="165"/>
        <v>0</v>
      </c>
      <c r="AL738" s="520">
        <f t="shared" si="166"/>
        <v>0</v>
      </c>
      <c r="AM738" s="520">
        <f t="shared" si="167"/>
        <v>0</v>
      </c>
      <c r="AN738" s="521" t="str">
        <f>VLOOKUP($I738,'Price List, Weapons &amp; Items'!A:K,COLUMN('Price List, Weapons &amp; Items'!$I$1),0)</f>
        <v>.</v>
      </c>
      <c r="AO738" s="521" t="str">
        <f>IF(I738=".",".",VLOOKUP($I738,'Price List, Weapons &amp; Items'!A:I,3,0))</f>
        <v>.</v>
      </c>
      <c r="AP738" s="517" t="str">
        <f t="shared" ca="1" si="162"/>
        <v>.</v>
      </c>
      <c r="AQ738" s="521" t="str">
        <f>VLOOKUP($I738,'Price List, Weapons &amp; Items'!A:K,COLUMN('Price List, Weapons &amp; Items'!$K$1),0)</f>
        <v>no price, 0 count</v>
      </c>
      <c r="AS738" s="521">
        <f t="shared" si="168"/>
        <v>1</v>
      </c>
      <c r="AT738" s="521">
        <f t="shared" si="169"/>
        <v>1</v>
      </c>
      <c r="AU738" s="521">
        <f t="shared" si="170"/>
        <v>1</v>
      </c>
      <c r="AV738" s="521" t="str">
        <f t="shared" si="171"/>
        <v>.</v>
      </c>
    </row>
    <row r="739" spans="1:48" ht="15" customHeight="1">
      <c r="A739" s="41" t="s">
        <v>2086</v>
      </c>
      <c r="B739" s="41" t="s">
        <v>2063</v>
      </c>
      <c r="C739" s="511">
        <v>44652</v>
      </c>
      <c r="D739" s="18" t="s">
        <v>252</v>
      </c>
      <c r="E739" s="18" t="s">
        <v>229</v>
      </c>
      <c r="F739" s="512" t="s">
        <v>693</v>
      </c>
      <c r="G739" s="39" t="s">
        <v>232</v>
      </c>
      <c r="H739" s="513" t="s">
        <v>309</v>
      </c>
      <c r="I739" s="41" t="s">
        <v>232</v>
      </c>
      <c r="J739" s="276" t="str">
        <f>VLOOKUP($I739,'Price List, Weapons &amp; Items'!A:B,2,0)</f>
        <v>.</v>
      </c>
      <c r="K739" s="276" t="str">
        <f>IF(I739=".",I739,VLOOKUP($I739,'Price List, Weapons &amp; Items'!A:C,3,0))</f>
        <v>.</v>
      </c>
      <c r="L739" s="514">
        <f>VLOOKUP(I739,'Price List, Weapons &amp; Items'!A:D,4,0)</f>
        <v>0</v>
      </c>
      <c r="M739" s="515" t="s">
        <v>232</v>
      </c>
      <c r="N739" s="515" t="s">
        <v>232</v>
      </c>
      <c r="O739" s="516" t="str">
        <f>VLOOKUP($I739,'Price List, Weapons &amp; Items'!A:F,6,0)</f>
        <v>.</v>
      </c>
      <c r="P739" s="513" t="str">
        <f t="shared" si="172"/>
        <v>.</v>
      </c>
      <c r="Q739" s="513" t="str">
        <f t="shared" si="173"/>
        <v>.</v>
      </c>
      <c r="R739" s="513" t="str">
        <f t="shared" si="161"/>
        <v>.</v>
      </c>
      <c r="S739" s="513" t="str">
        <f>IF(AND(AD739=1,R739&lt;&gt;".")=TRUE,R739/VLOOKUP(G739,'Exchange rates'!B:C,2,0),IF(R739=".",".",""))</f>
        <v>.</v>
      </c>
      <c r="T739" s="513" t="str">
        <f>IF(AD739=1,IF(AF739="Value is not given at all",".",IF(AF739="Value is given by the source",S739,IF(AF739="Value is calculated with prices",(IF(SUMIFS(Q:Q,A:A,A739)&gt;0,SUMIFS(Q:Q,A:A,A739),"."))/VLOOKUP("USD",'Exchange rates'!B:C,2,0),"Error with coding"))),"")</f>
        <v>.</v>
      </c>
      <c r="U739" s="39" t="s">
        <v>372</v>
      </c>
      <c r="V739" s="42" t="s">
        <v>2087</v>
      </c>
      <c r="W739" s="531" t="s">
        <v>232</v>
      </c>
      <c r="X739" s="512" t="s">
        <v>232</v>
      </c>
      <c r="Y739" s="512" t="s">
        <v>232</v>
      </c>
      <c r="Z739" s="39">
        <v>0</v>
      </c>
      <c r="AA739" s="39">
        <v>0</v>
      </c>
      <c r="AB739" s="41" t="s">
        <v>232</v>
      </c>
      <c r="AC739" s="519" t="str">
        <f>""</f>
        <v/>
      </c>
      <c r="AD739" s="522">
        <v>1</v>
      </c>
      <c r="AE739" s="522" t="s">
        <v>237</v>
      </c>
      <c r="AF739" s="522" t="s">
        <v>237</v>
      </c>
      <c r="AG739" s="522">
        <v>1</v>
      </c>
      <c r="AH739" s="520">
        <v>4</v>
      </c>
      <c r="AI739" s="520">
        <v>0</v>
      </c>
      <c r="AJ739" s="520">
        <f>VLOOKUP($I739,'Price List, Weapons &amp; Items'!A:E,5,0)</f>
        <v>0</v>
      </c>
      <c r="AK739" s="520">
        <f t="shared" si="165"/>
        <v>0</v>
      </c>
      <c r="AL739" s="520">
        <f t="shared" si="166"/>
        <v>0</v>
      </c>
      <c r="AM739" s="520">
        <f t="shared" si="167"/>
        <v>0</v>
      </c>
      <c r="AN739" s="521" t="str">
        <f>VLOOKUP($I739,'Price List, Weapons &amp; Items'!A:K,COLUMN('Price List, Weapons &amp; Items'!$I$1),0)</f>
        <v>.</v>
      </c>
      <c r="AO739" s="521" t="str">
        <f>IF(I739=".",".",VLOOKUP($I739,'Price List, Weapons &amp; Items'!A:I,3,0))</f>
        <v>.</v>
      </c>
      <c r="AP739" s="517" t="str">
        <f t="shared" ca="1" si="162"/>
        <v>.</v>
      </c>
      <c r="AQ739" s="521" t="str">
        <f>VLOOKUP($I739,'Price List, Weapons &amp; Items'!A:K,COLUMN('Price List, Weapons &amp; Items'!$K$1),0)</f>
        <v>no price, 0 count</v>
      </c>
      <c r="AS739" s="521">
        <f t="shared" si="168"/>
        <v>0</v>
      </c>
      <c r="AT739" s="521">
        <f t="shared" si="169"/>
        <v>0</v>
      </c>
      <c r="AU739" s="521">
        <f t="shared" si="170"/>
        <v>1</v>
      </c>
      <c r="AV739" s="521" t="str">
        <f t="shared" si="171"/>
        <v>.</v>
      </c>
    </row>
    <row r="740" spans="1:48" ht="15" customHeight="1">
      <c r="A740" s="41" t="s">
        <v>2088</v>
      </c>
      <c r="B740" s="41" t="s">
        <v>2063</v>
      </c>
      <c r="C740" s="511">
        <v>44659</v>
      </c>
      <c r="D740" s="18" t="s">
        <v>252</v>
      </c>
      <c r="E740" s="18" t="s">
        <v>307</v>
      </c>
      <c r="F740" s="512" t="s">
        <v>2089</v>
      </c>
      <c r="G740" s="39" t="s">
        <v>332</v>
      </c>
      <c r="H740" s="513">
        <v>68000000</v>
      </c>
      <c r="I740" s="41" t="s">
        <v>2090</v>
      </c>
      <c r="J740" s="276" t="str">
        <f>VLOOKUP($I740,'Price List, Weapons &amp; Items'!A:B,2,0)</f>
        <v>Heavy weapon</v>
      </c>
      <c r="K740" s="276" t="str">
        <f>IF(I740=".",I740,VLOOKUP($I740,'Price List, Weapons &amp; Items'!A:C,3,0))</f>
        <v>Anti-aircraft surface-to-air missile (SAM) system (long-range)</v>
      </c>
      <c r="L740" s="514">
        <f>VLOOKUP(I740,'Price List, Weapons &amp; Items'!A:D,4,0)</f>
        <v>1</v>
      </c>
      <c r="M740" s="515">
        <v>1</v>
      </c>
      <c r="N740" s="515">
        <v>1</v>
      </c>
      <c r="O740" s="516">
        <f>VLOOKUP($I740,'Price List, Weapons &amp; Items'!A:F,6,0)</f>
        <v>208817599.13</v>
      </c>
      <c r="P740" s="513">
        <f t="shared" si="172"/>
        <v>208817599.13</v>
      </c>
      <c r="Q740" s="513">
        <f t="shared" si="173"/>
        <v>208817599.13</v>
      </c>
      <c r="R740" s="513">
        <f t="shared" ref="R740:R803" si="174">IF(AD740=1,IF(H740&lt;&gt;"Not given",H740,IF(TYPE(H740)=2,IF(SUMIFS(P:P,A:A,A740)&gt;0,SUMIFS(P:P,A:A,A740),"."),"Format error")),"")</f>
        <v>68000000</v>
      </c>
      <c r="S740" s="513">
        <f>IF(AND(AD740=1,R740&lt;&gt;".")=TRUE,R740/VLOOKUP(G740,'Exchange rates'!B:C,2,0),IF(R740=".",".",""))</f>
        <v>68000000</v>
      </c>
      <c r="T740" s="513">
        <f>IF(AD740=1,IF(AF740="Value is not given at all",".",IF(AF740="Value is given by the source",S740,IF(AF740="Value is calculated with prices",(IF(SUMIFS(Q:Q,A:A,A740)&gt;0,SUMIFS(Q:Q,A:A,A740),"."))/VLOOKUP("USD",'Exchange rates'!B:C,2,0),"Error with coding"))),"")</f>
        <v>68000000</v>
      </c>
      <c r="U740" s="39" t="s">
        <v>233</v>
      </c>
      <c r="V740" s="42" t="s">
        <v>2091</v>
      </c>
      <c r="W740" s="42" t="s">
        <v>2092</v>
      </c>
      <c r="X740" s="42" t="s">
        <v>2093</v>
      </c>
      <c r="Y740" s="517" t="s">
        <v>232</v>
      </c>
      <c r="Z740" s="39">
        <v>0</v>
      </c>
      <c r="AA740" s="518">
        <v>0</v>
      </c>
      <c r="AB740" s="394" t="s">
        <v>2094</v>
      </c>
      <c r="AC740" s="519" t="str">
        <f>""</f>
        <v/>
      </c>
      <c r="AD740" s="520">
        <v>1</v>
      </c>
      <c r="AE740" s="520" t="s">
        <v>236</v>
      </c>
      <c r="AF740" s="520" t="s">
        <v>236</v>
      </c>
      <c r="AG740" s="520">
        <v>1</v>
      </c>
      <c r="AH740" s="520">
        <v>4</v>
      </c>
      <c r="AI740" s="520">
        <v>0</v>
      </c>
      <c r="AJ740" s="520">
        <f>VLOOKUP($I740,'Price List, Weapons &amp; Items'!A:E,5,0)</f>
        <v>0</v>
      </c>
      <c r="AK740" s="520">
        <f t="shared" si="165"/>
        <v>0</v>
      </c>
      <c r="AL740" s="520">
        <f t="shared" si="166"/>
        <v>0</v>
      </c>
      <c r="AM740" s="520">
        <f t="shared" si="167"/>
        <v>0</v>
      </c>
      <c r="AN740" s="521" t="str">
        <f>VLOOKUP($I740,'Price List, Weapons &amp; Items'!A:K,COLUMN('Price List, Weapons &amp; Items'!$I$1),0)</f>
        <v>Contracts</v>
      </c>
      <c r="AO740" s="521" t="str">
        <f>IF(I740=".",".",VLOOKUP($I740,'Price List, Weapons &amp; Items'!A:I,3,0))</f>
        <v>Anti-aircraft surface-to-air missile (SAM) system (long-range)</v>
      </c>
      <c r="AP740" s="517" t="str">
        <f t="shared" ref="AP740:AP803" ca="1" si="175">IF(AD740=1,_xlfn.ARRAYTOTEXT(OFFSET(I740,0,0,COUNTIF(A:A,A740),1)),"")</f>
        <v>S-300 air defence system</v>
      </c>
      <c r="AQ740" s="521">
        <f>VLOOKUP($I740,'Price List, Weapons &amp; Items'!A:K,COLUMN('Price List, Weapons &amp; Items'!$K$1),0)</f>
        <v>2</v>
      </c>
      <c r="AS740" s="521">
        <f t="shared" si="168"/>
        <v>1</v>
      </c>
      <c r="AT740" s="521">
        <f t="shared" si="169"/>
        <v>1</v>
      </c>
      <c r="AU740" s="521">
        <f t="shared" si="170"/>
        <v>1</v>
      </c>
      <c r="AV740" s="521" t="str">
        <f t="shared" si="171"/>
        <v>.</v>
      </c>
    </row>
    <row r="741" spans="1:48" s="41" customFormat="1" ht="15" customHeight="1">
      <c r="A741" s="18" t="s">
        <v>2095</v>
      </c>
      <c r="B741" s="18" t="s">
        <v>2063</v>
      </c>
      <c r="C741" s="511">
        <v>44728</v>
      </c>
      <c r="D741" s="18" t="s">
        <v>252</v>
      </c>
      <c r="E741" s="18" t="s">
        <v>307</v>
      </c>
      <c r="F741" s="512" t="s">
        <v>2096</v>
      </c>
      <c r="G741" s="39" t="s">
        <v>314</v>
      </c>
      <c r="H741" s="513" t="s">
        <v>309</v>
      </c>
      <c r="I741" s="524" t="s">
        <v>1548</v>
      </c>
      <c r="J741" s="276" t="str">
        <f>VLOOKUP($I741,'Price List, Weapons &amp; Items'!A:B,2,0)</f>
        <v>Aviation and drones</v>
      </c>
      <c r="K741" s="276" t="str">
        <f>IF(I741=".",I741,VLOOKUP($I741,'Price List, Weapons &amp; Items'!A:C,3,0))</f>
        <v>Combat aircraft</v>
      </c>
      <c r="L741" s="514">
        <f>VLOOKUP(I741,'Price List, Weapons &amp; Items'!A:D,4,0)</f>
        <v>1</v>
      </c>
      <c r="M741" s="515">
        <v>4</v>
      </c>
      <c r="N741" s="515">
        <v>4</v>
      </c>
      <c r="O741" s="516">
        <f>VLOOKUP($I741,'Price List, Weapons &amp; Items'!A:F,6,0)</f>
        <v>18400000</v>
      </c>
      <c r="P741" s="513">
        <f t="shared" si="172"/>
        <v>73600000</v>
      </c>
      <c r="Q741" s="513">
        <f t="shared" si="173"/>
        <v>73600000</v>
      </c>
      <c r="R741" s="513">
        <f t="shared" si="174"/>
        <v>76250000</v>
      </c>
      <c r="S741" s="513">
        <f>IF(AND(AD741=1,R741&lt;&gt;".")=TRUE,R741/VLOOKUP(G741,'Exchange rates'!B:C,2,0),IF(R741=".",".",""))</f>
        <v>75984055.804683596</v>
      </c>
      <c r="T741" s="513">
        <f>IF(AD741=1,IF(AF741="Value is not given at all",".",IF(AF741="Value is given by the source",S741,IF(AF741="Value is calculated with prices",(IF(SUMIFS(Q:Q,A:A,A741)&gt;0,SUMIFS(Q:Q,A:A,A741),"."))/VLOOKUP("USD",'Exchange rates'!B:C,2,0),"Error with coding"))),"")</f>
        <v>75984055.804683596</v>
      </c>
      <c r="U741" s="39" t="s">
        <v>372</v>
      </c>
      <c r="V741" s="381" t="s">
        <v>2097</v>
      </c>
      <c r="W741" s="381" t="s">
        <v>2098</v>
      </c>
      <c r="X741" s="381" t="s">
        <v>2098</v>
      </c>
      <c r="Y741" s="528" t="s">
        <v>232</v>
      </c>
      <c r="Z741" s="39">
        <v>0</v>
      </c>
      <c r="AA741" s="39">
        <v>0</v>
      </c>
      <c r="AB741" s="396" t="s">
        <v>2099</v>
      </c>
      <c r="AC741" s="519" t="str">
        <f>""</f>
        <v/>
      </c>
      <c r="AD741" s="522">
        <v>1</v>
      </c>
      <c r="AE741" s="522" t="s">
        <v>300</v>
      </c>
      <c r="AF741" s="522" t="s">
        <v>300</v>
      </c>
      <c r="AG741" s="522">
        <v>1</v>
      </c>
      <c r="AH741" s="522">
        <v>6</v>
      </c>
      <c r="AI741" s="522">
        <v>0</v>
      </c>
      <c r="AJ741" s="520">
        <f>VLOOKUP($I741,'Price List, Weapons &amp; Items'!A:E,5,0)</f>
        <v>0</v>
      </c>
      <c r="AK741" s="520">
        <f t="shared" si="165"/>
        <v>0</v>
      </c>
      <c r="AL741" s="520">
        <f t="shared" si="166"/>
        <v>0</v>
      </c>
      <c r="AM741" s="520">
        <f t="shared" si="167"/>
        <v>0</v>
      </c>
      <c r="AN741" s="521" t="str">
        <f>VLOOKUP($I741,'Price List, Weapons &amp; Items'!A:K,COLUMN('Price List, Weapons &amp; Items'!$I$1),0)</f>
        <v>Media reports (incl. social media)</v>
      </c>
      <c r="AO741" s="521" t="str">
        <f>IF(I741=".",".",VLOOKUP($I741,'Price List, Weapons &amp; Items'!A:I,3,0))</f>
        <v>Combat aircraft</v>
      </c>
      <c r="AP741" s="517" t="str">
        <f t="shared" ca="1" si="175"/>
        <v>Mi-17; Mi-2; GRAD multiple rocket launcher rocket</v>
      </c>
      <c r="AQ741" s="521">
        <f>VLOOKUP($I741,'Price List, Weapons &amp; Items'!A:K,COLUMN('Price List, Weapons &amp; Items'!$K$1),0)</f>
        <v>2</v>
      </c>
      <c r="AS741" s="521">
        <f t="shared" si="168"/>
        <v>0</v>
      </c>
      <c r="AT741" s="521">
        <f t="shared" si="169"/>
        <v>1</v>
      </c>
      <c r="AU741" s="521">
        <f t="shared" si="170"/>
        <v>1</v>
      </c>
      <c r="AV741" s="521" t="str">
        <f t="shared" si="171"/>
        <v>.</v>
      </c>
    </row>
    <row r="742" spans="1:48" s="41" customFormat="1" ht="15" customHeight="1">
      <c r="A742" s="18" t="s">
        <v>2095</v>
      </c>
      <c r="B742" s="18" t="s">
        <v>2063</v>
      </c>
      <c r="C742" s="511">
        <v>44728</v>
      </c>
      <c r="D742" s="18" t="s">
        <v>252</v>
      </c>
      <c r="E742" s="18" t="s">
        <v>307</v>
      </c>
      <c r="F742" s="512" t="s">
        <v>2096</v>
      </c>
      <c r="G742" s="39" t="s">
        <v>314</v>
      </c>
      <c r="H742" s="513" t="s">
        <v>309</v>
      </c>
      <c r="I742" s="524" t="s">
        <v>1551</v>
      </c>
      <c r="J742" s="276" t="str">
        <f>VLOOKUP($I742,'Price List, Weapons &amp; Items'!A:B,2,0)</f>
        <v>Aviation and drones</v>
      </c>
      <c r="K742" s="276" t="str">
        <f>IF(I742=".",I742,VLOOKUP($I742,'Price List, Weapons &amp; Items'!A:C,3,0))</f>
        <v>Transport aircraft</v>
      </c>
      <c r="L742" s="514">
        <f>VLOOKUP(I742,'Price List, Weapons &amp; Items'!A:D,4,0)</f>
        <v>1</v>
      </c>
      <c r="M742" s="515">
        <v>1</v>
      </c>
      <c r="N742" s="515">
        <v>1</v>
      </c>
      <c r="O742" s="516">
        <f>VLOOKUP($I742,'Price List, Weapons &amp; Items'!A:F,6,0)</f>
        <v>650000</v>
      </c>
      <c r="P742" s="513">
        <f t="shared" si="172"/>
        <v>650000</v>
      </c>
      <c r="Q742" s="513">
        <f t="shared" si="173"/>
        <v>650000</v>
      </c>
      <c r="R742" s="513" t="str">
        <f t="shared" si="174"/>
        <v/>
      </c>
      <c r="S742" s="513" t="str">
        <f>IF(AND(AD742=1,R742&lt;&gt;".")=TRUE,R742/VLOOKUP(G742,'Exchange rates'!B:C,2,0),IF(R742=".",".",""))</f>
        <v/>
      </c>
      <c r="T742" s="513" t="str">
        <f>IF(AD742=1,IF(AF742="Value is not given at all",".",IF(AF742="Value is given by the source",S742,IF(AF742="Value is calculated with prices",(IF(SUMIFS(Q:Q,A:A,A742)&gt;0,SUMIFS(Q:Q,A:A,A742),"."))/VLOOKUP("USD",'Exchange rates'!B:C,2,0),"Error with coding"))),"")</f>
        <v/>
      </c>
      <c r="U742" s="39" t="s">
        <v>372</v>
      </c>
      <c r="V742" s="381" t="s">
        <v>2097</v>
      </c>
      <c r="W742" s="381" t="s">
        <v>2098</v>
      </c>
      <c r="X742" s="381" t="s">
        <v>2098</v>
      </c>
      <c r="Y742" s="528" t="s">
        <v>232</v>
      </c>
      <c r="Z742" s="39">
        <v>0</v>
      </c>
      <c r="AA742" s="39">
        <v>0</v>
      </c>
      <c r="AB742" s="396" t="s">
        <v>2099</v>
      </c>
      <c r="AC742" s="519" t="str">
        <f>""</f>
        <v/>
      </c>
      <c r="AD742" s="522">
        <v>0</v>
      </c>
      <c r="AE742" s="522" t="s">
        <v>300</v>
      </c>
      <c r="AF742" s="522" t="s">
        <v>300</v>
      </c>
      <c r="AG742" s="522">
        <v>1</v>
      </c>
      <c r="AH742" s="522">
        <v>6</v>
      </c>
      <c r="AI742" s="522">
        <v>0</v>
      </c>
      <c r="AJ742" s="520">
        <f>VLOOKUP($I742,'Price List, Weapons &amp; Items'!A:E,5,0)</f>
        <v>0</v>
      </c>
      <c r="AK742" s="520">
        <f t="shared" si="165"/>
        <v>0</v>
      </c>
      <c r="AL742" s="520">
        <f t="shared" si="166"/>
        <v>0</v>
      </c>
      <c r="AM742" s="520">
        <f t="shared" si="167"/>
        <v>0</v>
      </c>
      <c r="AN742" s="521" t="str">
        <f>VLOOKUP($I742,'Price List, Weapons &amp; Items'!A:K,COLUMN('Price List, Weapons &amp; Items'!$I$1),0)</f>
        <v>Online marketplaces and stores</v>
      </c>
      <c r="AO742" s="521" t="str">
        <f>IF(I742=".",".",VLOOKUP($I742,'Price List, Weapons &amp; Items'!A:I,3,0))</f>
        <v>Transport aircraft</v>
      </c>
      <c r="AP742" s="517" t="str">
        <f t="shared" ca="1" si="175"/>
        <v/>
      </c>
      <c r="AQ742" s="521">
        <f>VLOOKUP($I742,'Price List, Weapons &amp; Items'!A:K,COLUMN('Price List, Weapons &amp; Items'!$K$1),0)</f>
        <v>2</v>
      </c>
      <c r="AS742" s="521">
        <f t="shared" si="168"/>
        <v>0</v>
      </c>
      <c r="AT742" s="521">
        <f t="shared" si="169"/>
        <v>1</v>
      </c>
      <c r="AU742" s="521">
        <f t="shared" si="170"/>
        <v>1</v>
      </c>
      <c r="AV742" s="521" t="str">
        <f t="shared" si="171"/>
        <v>.</v>
      </c>
    </row>
    <row r="743" spans="1:48" s="41" customFormat="1" ht="15" customHeight="1">
      <c r="A743" s="18" t="s">
        <v>2095</v>
      </c>
      <c r="B743" s="18" t="s">
        <v>2063</v>
      </c>
      <c r="C743" s="511">
        <v>44728</v>
      </c>
      <c r="D743" s="18" t="s">
        <v>252</v>
      </c>
      <c r="E743" s="18" t="s">
        <v>307</v>
      </c>
      <c r="F743" s="512" t="s">
        <v>2096</v>
      </c>
      <c r="G743" s="39" t="s">
        <v>314</v>
      </c>
      <c r="H743" s="513" t="s">
        <v>309</v>
      </c>
      <c r="I743" s="41" t="s">
        <v>1663</v>
      </c>
      <c r="J743" s="276" t="str">
        <f>VLOOKUP($I743,'Price List, Weapons &amp; Items'!A:B,2,0)</f>
        <v>Ammunition for heavy weapon</v>
      </c>
      <c r="K743" s="276" t="str">
        <f>IF(I743=".",I743,VLOOKUP($I743,'Price List, Weapons &amp; Items'!A:C,3,0))</f>
        <v>122mm MLRS ammunition</v>
      </c>
      <c r="L743" s="514">
        <f>VLOOKUP(I743,'Price List, Weapons &amp; Items'!A:D,4,0)</f>
        <v>0</v>
      </c>
      <c r="M743" s="515">
        <v>2000</v>
      </c>
      <c r="N743" s="515">
        <v>2000</v>
      </c>
      <c r="O743" s="516">
        <f>VLOOKUP($I743,'Price List, Weapons &amp; Items'!A:F,6,0)</f>
        <v>1000</v>
      </c>
      <c r="P743" s="513">
        <f t="shared" si="172"/>
        <v>2000000</v>
      </c>
      <c r="Q743" s="513">
        <f t="shared" si="173"/>
        <v>2000000</v>
      </c>
      <c r="R743" s="513" t="str">
        <f t="shared" si="174"/>
        <v/>
      </c>
      <c r="S743" s="513" t="str">
        <f>IF(AND(AD743=1,R743&lt;&gt;".")=TRUE,R743/VLOOKUP(G743,'Exchange rates'!B:C,2,0),IF(R743=".",".",""))</f>
        <v/>
      </c>
      <c r="T743" s="513" t="str">
        <f>IF(AD743=1,IF(AF743="Value is not given at all",".",IF(AF743="Value is given by the source",S743,IF(AF743="Value is calculated with prices",(IF(SUMIFS(Q:Q,A:A,A743)&gt;0,SUMIFS(Q:Q,A:A,A743),"."))/VLOOKUP("USD",'Exchange rates'!B:C,2,0),"Error with coding"))),"")</f>
        <v/>
      </c>
      <c r="U743" s="39" t="s">
        <v>372</v>
      </c>
      <c r="V743" s="381" t="s">
        <v>2097</v>
      </c>
      <c r="W743" s="381" t="s">
        <v>2098</v>
      </c>
      <c r="X743" s="381" t="s">
        <v>2098</v>
      </c>
      <c r="Y743" s="528" t="s">
        <v>232</v>
      </c>
      <c r="Z743" s="39">
        <v>0</v>
      </c>
      <c r="AA743" s="39">
        <v>0</v>
      </c>
      <c r="AB743" s="396" t="s">
        <v>2099</v>
      </c>
      <c r="AC743" s="519" t="str">
        <f>""</f>
        <v/>
      </c>
      <c r="AD743" s="522">
        <v>0</v>
      </c>
      <c r="AE743" s="522" t="s">
        <v>300</v>
      </c>
      <c r="AF743" s="522" t="s">
        <v>300</v>
      </c>
      <c r="AG743" s="522">
        <v>1</v>
      </c>
      <c r="AH743" s="522">
        <v>6</v>
      </c>
      <c r="AI743" s="522">
        <v>0</v>
      </c>
      <c r="AJ743" s="520">
        <f>VLOOKUP($I743,'Price List, Weapons &amp; Items'!A:E,5,0)</f>
        <v>1</v>
      </c>
      <c r="AK743" s="520">
        <f t="shared" si="165"/>
        <v>0</v>
      </c>
      <c r="AL743" s="520">
        <f t="shared" si="166"/>
        <v>0</v>
      </c>
      <c r="AM743" s="520">
        <f t="shared" si="167"/>
        <v>0</v>
      </c>
      <c r="AN743" s="521" t="str">
        <f>VLOOKUP($I743,'Price List, Weapons &amp; Items'!A:K,COLUMN('Price List, Weapons &amp; Items'!$I$1),0)</f>
        <v>Media reports (incl. social media)</v>
      </c>
      <c r="AO743" s="521" t="str">
        <f>IF(I743=".",".",VLOOKUP($I743,'Price List, Weapons &amp; Items'!A:I,3,0))</f>
        <v>122mm MLRS ammunition</v>
      </c>
      <c r="AP743" s="517" t="str">
        <f t="shared" ca="1" si="175"/>
        <v/>
      </c>
      <c r="AQ743" s="521">
        <f>VLOOKUP($I743,'Price List, Weapons &amp; Items'!A:K,COLUMN('Price List, Weapons &amp; Items'!$K$1),0)</f>
        <v>2</v>
      </c>
      <c r="AS743" s="521">
        <f t="shared" si="168"/>
        <v>0</v>
      </c>
      <c r="AT743" s="521">
        <f t="shared" si="169"/>
        <v>1</v>
      </c>
      <c r="AU743" s="521">
        <f t="shared" si="170"/>
        <v>1</v>
      </c>
      <c r="AV743" s="521" t="str">
        <f t="shared" si="171"/>
        <v>.</v>
      </c>
    </row>
    <row r="744" spans="1:48" s="41" customFormat="1" ht="15" customHeight="1">
      <c r="A744" s="46" t="s">
        <v>2100</v>
      </c>
      <c r="B744" s="46" t="s">
        <v>2063</v>
      </c>
      <c r="C744" s="550">
        <v>44796</v>
      </c>
      <c r="D744" s="46" t="s">
        <v>252</v>
      </c>
      <c r="E744" s="46" t="s">
        <v>307</v>
      </c>
      <c r="F744" s="46" t="s">
        <v>2101</v>
      </c>
      <c r="G744" s="39" t="s">
        <v>314</v>
      </c>
      <c r="H744" s="513" t="s">
        <v>309</v>
      </c>
      <c r="I744" s="41" t="s">
        <v>1330</v>
      </c>
      <c r="J744" s="276" t="str">
        <f>VLOOKUP($I744,'Price List, Weapons &amp; Items'!A:B,2,0)</f>
        <v>Heavy weapon</v>
      </c>
      <c r="K744" s="276" t="str">
        <f>IF(I744=".",I744,VLOOKUP($I744,'Price List, Weapons &amp; Items'!A:C,3,0))</f>
        <v>Infantry fighting vehicle (IFV)</v>
      </c>
      <c r="L744" s="514">
        <f>VLOOKUP(I744,'Price List, Weapons &amp; Items'!A:D,4,0)</f>
        <v>1</v>
      </c>
      <c r="M744" s="515">
        <v>30</v>
      </c>
      <c r="N744" s="515" t="s">
        <v>232</v>
      </c>
      <c r="O744" s="516">
        <f>VLOOKUP($I744,'Price List, Weapons &amp; Items'!A:F,6,0)</f>
        <v>561542.53</v>
      </c>
      <c r="P744" s="513">
        <f t="shared" si="172"/>
        <v>16846275.900000002</v>
      </c>
      <c r="Q744" s="513" t="str">
        <f t="shared" si="173"/>
        <v>.</v>
      </c>
      <c r="R744" s="513">
        <f t="shared" si="174"/>
        <v>16846275.900000002</v>
      </c>
      <c r="S744" s="513">
        <f>IF(AND(AD744=1,R744&lt;&gt;".")=TRUE,R744/VLOOKUP(G744,'Exchange rates'!B:C,2,0),IF(R744=".",".",""))</f>
        <v>16787519.581464875</v>
      </c>
      <c r="T744" s="513" t="str">
        <f>IF(AD744=1,IF(AF744="Value is not given at all",".",IF(AF744="Value is given by the source",S744,IF(AF744="Value is calculated with prices",(IF(SUMIFS(Q:Q,A:A,A744)&gt;0,SUMIFS(Q:Q,A:A,A744),"."))/VLOOKUP("USD",'Exchange rates'!B:C,2,0),"Error with coding"))),"")</f>
        <v>.</v>
      </c>
      <c r="U744" s="39" t="s">
        <v>233</v>
      </c>
      <c r="V744" s="826" t="s">
        <v>2102</v>
      </c>
      <c r="W744" s="826" t="s">
        <v>2103</v>
      </c>
      <c r="X744" s="826" t="s">
        <v>2104</v>
      </c>
      <c r="Y744" s="528" t="s">
        <v>232</v>
      </c>
      <c r="Z744" s="39">
        <v>0</v>
      </c>
      <c r="AA744" s="39">
        <v>0</v>
      </c>
      <c r="AB744" s="396" t="s">
        <v>232</v>
      </c>
      <c r="AC744" s="519" t="str">
        <f>""</f>
        <v/>
      </c>
      <c r="AD744" s="522">
        <v>1</v>
      </c>
      <c r="AE744" s="522" t="s">
        <v>300</v>
      </c>
      <c r="AF744" s="522" t="s">
        <v>237</v>
      </c>
      <c r="AG744" s="522">
        <v>1</v>
      </c>
      <c r="AH744" s="522">
        <v>8</v>
      </c>
      <c r="AI744" s="522">
        <v>0</v>
      </c>
      <c r="AJ744" s="520">
        <f>VLOOKUP($I744,'Price List, Weapons &amp; Items'!A:E,5,0)</f>
        <v>1</v>
      </c>
      <c r="AK744" s="520">
        <f t="shared" si="165"/>
        <v>0</v>
      </c>
      <c r="AL744" s="520">
        <f t="shared" si="166"/>
        <v>0</v>
      </c>
      <c r="AM744" s="520">
        <f t="shared" si="167"/>
        <v>0</v>
      </c>
      <c r="AN744" s="521" t="str">
        <f>VLOOKUP($I744,'Price List, Weapons &amp; Items'!A:K,COLUMN('Price List, Weapons &amp; Items'!$I$1),0)</f>
        <v>Contracts</v>
      </c>
      <c r="AO744" s="521" t="str">
        <f>IF(I744=".",".",VLOOKUP($I744,'Price List, Weapons &amp; Items'!A:I,3,0))</f>
        <v>Infantry fighting vehicle (IFV)</v>
      </c>
      <c r="AP744" s="517" t="str">
        <f t="shared" ca="1" si="175"/>
        <v>BMP-1</v>
      </c>
      <c r="AQ744" s="521">
        <f>VLOOKUP($I744,'Price List, Weapons &amp; Items'!A:K,COLUMN('Price List, Weapons &amp; Items'!$K$1),0)</f>
        <v>2</v>
      </c>
      <c r="AS744" s="521">
        <f t="shared" si="168"/>
        <v>1</v>
      </c>
      <c r="AT744" s="521">
        <f t="shared" si="169"/>
        <v>1</v>
      </c>
      <c r="AU744" s="521">
        <f t="shared" si="170"/>
        <v>1</v>
      </c>
      <c r="AV744" s="521" t="str">
        <f t="shared" si="171"/>
        <v>.</v>
      </c>
    </row>
    <row r="745" spans="1:48" ht="15" customHeight="1">
      <c r="A745" s="18" t="s">
        <v>2105</v>
      </c>
      <c r="B745" s="18" t="s">
        <v>2106</v>
      </c>
      <c r="C745" s="511">
        <v>44618</v>
      </c>
      <c r="D745" s="18" t="s">
        <v>228</v>
      </c>
      <c r="E745" s="18" t="s">
        <v>2107</v>
      </c>
      <c r="F745" s="512" t="s">
        <v>2108</v>
      </c>
      <c r="G745" s="39" t="s">
        <v>332</v>
      </c>
      <c r="H745" s="513">
        <v>163000</v>
      </c>
      <c r="I745" s="41" t="s">
        <v>2109</v>
      </c>
      <c r="J745" s="276" t="str">
        <f>VLOOKUP($I745,'Price List, Weapons &amp; Items'!A:B,2,0)</f>
        <v>Military equipment</v>
      </c>
      <c r="K745" s="276" t="str">
        <f>IF(I745=".",I745,VLOOKUP($I745,'Price List, Weapons &amp; Items'!A:C,3,0))</f>
        <v>.</v>
      </c>
      <c r="L745" s="514">
        <f>VLOOKUP(I745,'Price List, Weapons &amp; Items'!A:D,4,0)</f>
        <v>0</v>
      </c>
      <c r="M745" s="515">
        <v>10</v>
      </c>
      <c r="N745" s="515" t="s">
        <v>232</v>
      </c>
      <c r="O745" s="516" t="str">
        <f>VLOOKUP($I745,'Price List, Weapons &amp; Items'!A:F,6,0)</f>
        <v>.</v>
      </c>
      <c r="P745" s="513" t="str">
        <f t="shared" si="172"/>
        <v>No price</v>
      </c>
      <c r="Q745" s="513" t="str">
        <f t="shared" si="173"/>
        <v>.</v>
      </c>
      <c r="R745" s="513">
        <f t="shared" si="174"/>
        <v>163000</v>
      </c>
      <c r="S745" s="513">
        <f>IF(AND(AD745=1,R745&lt;&gt;".")=TRUE,R745/VLOOKUP(G745,'Exchange rates'!B:C,2,0),IF(R745=".",".",""))</f>
        <v>163000</v>
      </c>
      <c r="T745" s="513" t="str">
        <f>IF(AD745=1,IF(AF745="Value is not given at all",".",IF(AF745="Value is given by the source",S745,IF(AF745="Value is calculated with prices",(IF(SUMIFS(Q:Q,A:A,A745)&gt;0,SUMIFS(Q:Q,A:A,A745),"."))/VLOOKUP("USD",'Exchange rates'!B:C,2,0),"Error with coding"))),"")</f>
        <v>.</v>
      </c>
      <c r="U745" s="39" t="s">
        <v>233</v>
      </c>
      <c r="V745" s="376" t="s">
        <v>2110</v>
      </c>
      <c r="W745" s="376" t="s">
        <v>2111</v>
      </c>
      <c r="X745" s="376" t="s">
        <v>2112</v>
      </c>
      <c r="Y745" s="530" t="s">
        <v>232</v>
      </c>
      <c r="Z745" s="39">
        <v>0</v>
      </c>
      <c r="AA745" s="518">
        <v>0</v>
      </c>
      <c r="AB745" s="38" t="s">
        <v>232</v>
      </c>
      <c r="AC745" s="519" t="str">
        <f>""</f>
        <v/>
      </c>
      <c r="AD745" s="522">
        <v>1</v>
      </c>
      <c r="AE745" s="522" t="s">
        <v>236</v>
      </c>
      <c r="AF745" s="522" t="s">
        <v>237</v>
      </c>
      <c r="AG745" s="522">
        <v>1</v>
      </c>
      <c r="AH745" s="522">
        <v>2</v>
      </c>
      <c r="AI745" s="522">
        <v>0</v>
      </c>
      <c r="AJ745" s="520">
        <f>VLOOKUP($I745,'Price List, Weapons &amp; Items'!A:E,5,0)</f>
        <v>0</v>
      </c>
      <c r="AK745" s="520">
        <f t="shared" si="165"/>
        <v>0</v>
      </c>
      <c r="AL745" s="520">
        <f t="shared" si="166"/>
        <v>0</v>
      </c>
      <c r="AM745" s="520">
        <f t="shared" si="167"/>
        <v>0</v>
      </c>
      <c r="AN745" s="521" t="str">
        <f>VLOOKUP($I745,'Price List, Weapons &amp; Items'!A:K,COLUMN('Price List, Weapons &amp; Items'!$I$1),0)</f>
        <v>.</v>
      </c>
      <c r="AO745" s="521" t="str">
        <f>IF(I745=".",".",VLOOKUP($I745,'Price List, Weapons &amp; Items'!A:I,3,0))</f>
        <v>.</v>
      </c>
      <c r="AP745" s="517" t="str">
        <f t="shared" ca="1" si="175"/>
        <v>diesel-powered generator; sleeping bag; pair of rubber boots; pair of latex gloves; pair of nitrile gloves; mouth mask</v>
      </c>
      <c r="AQ745" s="521">
        <f>VLOOKUP($I745,'Price List, Weapons &amp; Items'!A:K,COLUMN('Price List, Weapons &amp; Items'!$K$1),0)</f>
        <v>0</v>
      </c>
      <c r="AS745" s="521">
        <f t="shared" si="168"/>
        <v>1</v>
      </c>
      <c r="AT745" s="521">
        <f t="shared" si="169"/>
        <v>0</v>
      </c>
      <c r="AU745" s="521">
        <f t="shared" si="170"/>
        <v>1</v>
      </c>
      <c r="AV745" s="521" t="str">
        <f t="shared" si="171"/>
        <v>.</v>
      </c>
    </row>
    <row r="746" spans="1:48" ht="15" customHeight="1">
      <c r="A746" s="18" t="s">
        <v>2105</v>
      </c>
      <c r="B746" s="18" t="s">
        <v>2106</v>
      </c>
      <c r="C746" s="511">
        <v>44618</v>
      </c>
      <c r="D746" s="18" t="s">
        <v>228</v>
      </c>
      <c r="E746" s="18" t="s">
        <v>2107</v>
      </c>
      <c r="F746" s="512" t="s">
        <v>2108</v>
      </c>
      <c r="G746" s="39" t="s">
        <v>332</v>
      </c>
      <c r="H746" s="513">
        <v>163000</v>
      </c>
      <c r="I746" s="41" t="s">
        <v>322</v>
      </c>
      <c r="J746" s="276" t="str">
        <f>VLOOKUP($I746,'Price List, Weapons &amp; Items'!A:B,2,0)</f>
        <v>Humanitarian</v>
      </c>
      <c r="K746" s="276" t="str">
        <f>IF(I746=".",I746,VLOOKUP($I746,'Price List, Weapons &amp; Items'!A:C,3,0))</f>
        <v>.</v>
      </c>
      <c r="L746" s="514">
        <f>VLOOKUP(I746,'Price List, Weapons &amp; Items'!A:D,4,0)</f>
        <v>0</v>
      </c>
      <c r="M746" s="515">
        <v>200</v>
      </c>
      <c r="N746" s="515" t="s">
        <v>232</v>
      </c>
      <c r="O746" s="516">
        <f>VLOOKUP($I746,'Price List, Weapons &amp; Items'!A:F,6,0)</f>
        <v>150</v>
      </c>
      <c r="P746" s="513">
        <f t="shared" si="172"/>
        <v>30000</v>
      </c>
      <c r="Q746" s="513" t="str">
        <f t="shared" si="173"/>
        <v>.</v>
      </c>
      <c r="R746" s="513" t="str">
        <f t="shared" si="174"/>
        <v/>
      </c>
      <c r="S746" s="513" t="str">
        <f>IF(AND(AD746=1,R746&lt;&gt;".")=TRUE,R746/VLOOKUP(G746,'Exchange rates'!B:C,2,0),IF(R746=".",".",""))</f>
        <v/>
      </c>
      <c r="T746" s="513" t="str">
        <f>IF(AD746=1,IF(AF746="Value is not given at all",".",IF(AF746="Value is given by the source",S746,IF(AF746="Value is calculated with prices",(IF(SUMIFS(Q:Q,A:A,A746)&gt;0,SUMIFS(Q:Q,A:A,A746),"."))/VLOOKUP("USD",'Exchange rates'!B:C,2,0),"Error with coding"))),"")</f>
        <v/>
      </c>
      <c r="U746" s="39" t="s">
        <v>233</v>
      </c>
      <c r="V746" s="376" t="s">
        <v>2110</v>
      </c>
      <c r="W746" s="376" t="s">
        <v>2111</v>
      </c>
      <c r="X746" s="376" t="s">
        <v>2112</v>
      </c>
      <c r="Y746" s="530" t="s">
        <v>232</v>
      </c>
      <c r="Z746" s="39">
        <v>0</v>
      </c>
      <c r="AA746" s="518">
        <v>0</v>
      </c>
      <c r="AB746" s="38" t="s">
        <v>232</v>
      </c>
      <c r="AC746" s="519" t="str">
        <f>""</f>
        <v/>
      </c>
      <c r="AD746" s="522">
        <v>0</v>
      </c>
      <c r="AE746" s="522" t="s">
        <v>236</v>
      </c>
      <c r="AF746" s="522" t="s">
        <v>237</v>
      </c>
      <c r="AG746" s="522">
        <v>1</v>
      </c>
      <c r="AH746" s="522">
        <v>2</v>
      </c>
      <c r="AI746" s="522">
        <v>0</v>
      </c>
      <c r="AJ746" s="520">
        <f>VLOOKUP($I746,'Price List, Weapons &amp; Items'!A:E,5,0)</f>
        <v>0</v>
      </c>
      <c r="AK746" s="520">
        <f t="shared" si="165"/>
        <v>0</v>
      </c>
      <c r="AL746" s="520">
        <f t="shared" si="166"/>
        <v>0</v>
      </c>
      <c r="AM746" s="520">
        <f t="shared" si="167"/>
        <v>0</v>
      </c>
      <c r="AN746" s="521" t="str">
        <f>VLOOKUP($I746,'Price List, Weapons &amp; Items'!A:K,COLUMN('Price List, Weapons &amp; Items'!$I$1),0)</f>
        <v>Miscellaneous</v>
      </c>
      <c r="AO746" s="521" t="str">
        <f>IF(I746=".",".",VLOOKUP($I746,'Price List, Weapons &amp; Items'!A:I,3,0))</f>
        <v>.</v>
      </c>
      <c r="AP746" s="517" t="str">
        <f t="shared" ca="1" si="175"/>
        <v/>
      </c>
      <c r="AQ746" s="521">
        <f>VLOOKUP($I746,'Price List, Weapons &amp; Items'!A:K,COLUMN('Price List, Weapons &amp; Items'!$K$1),0)</f>
        <v>0</v>
      </c>
      <c r="AS746" s="521">
        <f t="shared" si="168"/>
        <v>1</v>
      </c>
      <c r="AT746" s="521">
        <f t="shared" si="169"/>
        <v>0</v>
      </c>
      <c r="AU746" s="521">
        <f t="shared" si="170"/>
        <v>1</v>
      </c>
      <c r="AV746" s="521" t="str">
        <f t="shared" si="171"/>
        <v>.</v>
      </c>
    </row>
    <row r="747" spans="1:48" ht="15" customHeight="1">
      <c r="A747" s="18" t="s">
        <v>2105</v>
      </c>
      <c r="B747" s="18" t="s">
        <v>2106</v>
      </c>
      <c r="C747" s="511">
        <v>44618</v>
      </c>
      <c r="D747" s="18" t="s">
        <v>228</v>
      </c>
      <c r="E747" s="18" t="s">
        <v>2107</v>
      </c>
      <c r="F747" s="512" t="s">
        <v>2108</v>
      </c>
      <c r="G747" s="39" t="s">
        <v>332</v>
      </c>
      <c r="H747" s="513">
        <v>163000</v>
      </c>
      <c r="I747" s="41" t="s">
        <v>2113</v>
      </c>
      <c r="J747" s="276" t="str">
        <f>VLOOKUP($I747,'Price List, Weapons &amp; Items'!A:B,2,0)</f>
        <v>Humanitarian</v>
      </c>
      <c r="K747" s="276" t="str">
        <f>IF(I747=".",I747,VLOOKUP($I747,'Price List, Weapons &amp; Items'!A:C,3,0))</f>
        <v>.</v>
      </c>
      <c r="L747" s="514">
        <f>VLOOKUP(I747,'Price List, Weapons &amp; Items'!A:D,4,0)</f>
        <v>0</v>
      </c>
      <c r="M747" s="515">
        <v>200</v>
      </c>
      <c r="N747" s="515" t="s">
        <v>232</v>
      </c>
      <c r="O747" s="516">
        <f>VLOOKUP($I747,'Price List, Weapons &amp; Items'!A:F,6,0)</f>
        <v>50</v>
      </c>
      <c r="P747" s="513">
        <f t="shared" si="172"/>
        <v>10000</v>
      </c>
      <c r="Q747" s="513" t="str">
        <f t="shared" si="173"/>
        <v>.</v>
      </c>
      <c r="R747" s="513" t="str">
        <f t="shared" si="174"/>
        <v/>
      </c>
      <c r="S747" s="513" t="str">
        <f>IF(AND(AD747=1,R747&lt;&gt;".")=TRUE,R747/VLOOKUP(G747,'Exchange rates'!B:C,2,0),IF(R747=".",".",""))</f>
        <v/>
      </c>
      <c r="T747" s="513" t="str">
        <f>IF(AD747=1,IF(AF747="Value is not given at all",".",IF(AF747="Value is given by the source",S747,IF(AF747="Value is calculated with prices",(IF(SUMIFS(Q:Q,A:A,A747)&gt;0,SUMIFS(Q:Q,A:A,A747),"."))/VLOOKUP("USD",'Exchange rates'!B:C,2,0),"Error with coding"))),"")</f>
        <v/>
      </c>
      <c r="U747" s="39" t="s">
        <v>233</v>
      </c>
      <c r="V747" s="376" t="s">
        <v>2110</v>
      </c>
      <c r="W747" s="376" t="s">
        <v>2111</v>
      </c>
      <c r="X747" s="376" t="s">
        <v>2112</v>
      </c>
      <c r="Y747" s="530" t="s">
        <v>232</v>
      </c>
      <c r="Z747" s="39">
        <v>0</v>
      </c>
      <c r="AA747" s="518">
        <v>0</v>
      </c>
      <c r="AB747" s="38" t="s">
        <v>232</v>
      </c>
      <c r="AC747" s="519" t="str">
        <f>""</f>
        <v/>
      </c>
      <c r="AD747" s="522">
        <v>0</v>
      </c>
      <c r="AE747" s="522" t="s">
        <v>236</v>
      </c>
      <c r="AF747" s="522" t="s">
        <v>237</v>
      </c>
      <c r="AG747" s="522">
        <v>1</v>
      </c>
      <c r="AH747" s="522">
        <v>2</v>
      </c>
      <c r="AI747" s="522">
        <v>0</v>
      </c>
      <c r="AJ747" s="520">
        <f>VLOOKUP($I747,'Price List, Weapons &amp; Items'!A:E,5,0)</f>
        <v>0</v>
      </c>
      <c r="AK747" s="520">
        <f t="shared" si="165"/>
        <v>0</v>
      </c>
      <c r="AL747" s="520">
        <f t="shared" si="166"/>
        <v>0</v>
      </c>
      <c r="AM747" s="520">
        <f t="shared" si="167"/>
        <v>0</v>
      </c>
      <c r="AN747" s="521" t="str">
        <f>VLOOKUP($I747,'Price List, Weapons &amp; Items'!A:K,COLUMN('Price List, Weapons &amp; Items'!$I$1),0)</f>
        <v>Online marketplaces and stores</v>
      </c>
      <c r="AO747" s="521" t="str">
        <f>IF(I747=".",".",VLOOKUP($I747,'Price List, Weapons &amp; Items'!A:I,3,0))</f>
        <v>.</v>
      </c>
      <c r="AP747" s="517" t="str">
        <f t="shared" ca="1" si="175"/>
        <v/>
      </c>
      <c r="AQ747" s="521">
        <f>VLOOKUP($I747,'Price List, Weapons &amp; Items'!A:K,COLUMN('Price List, Weapons &amp; Items'!$K$1),0)</f>
        <v>0</v>
      </c>
      <c r="AS747" s="521">
        <f t="shared" si="168"/>
        <v>1</v>
      </c>
      <c r="AT747" s="521">
        <f t="shared" si="169"/>
        <v>0</v>
      </c>
      <c r="AU747" s="521">
        <f t="shared" si="170"/>
        <v>1</v>
      </c>
      <c r="AV747" s="521" t="str">
        <f t="shared" si="171"/>
        <v>.</v>
      </c>
    </row>
    <row r="748" spans="1:48" ht="15" customHeight="1">
      <c r="A748" s="18" t="s">
        <v>2105</v>
      </c>
      <c r="B748" s="18" t="s">
        <v>2106</v>
      </c>
      <c r="C748" s="511">
        <v>44618</v>
      </c>
      <c r="D748" s="18" t="s">
        <v>228</v>
      </c>
      <c r="E748" s="18" t="s">
        <v>2107</v>
      </c>
      <c r="F748" s="512" t="s">
        <v>2108</v>
      </c>
      <c r="G748" s="39" t="s">
        <v>332</v>
      </c>
      <c r="H748" s="513">
        <v>163000</v>
      </c>
      <c r="I748" s="41" t="s">
        <v>2114</v>
      </c>
      <c r="J748" s="276" t="str">
        <f>VLOOKUP($I748,'Price List, Weapons &amp; Items'!A:B,2,0)</f>
        <v>Humanitarian</v>
      </c>
      <c r="K748" s="276" t="str">
        <f>IF(I748=".",I748,VLOOKUP($I748,'Price List, Weapons &amp; Items'!A:C,3,0))</f>
        <v>.</v>
      </c>
      <c r="L748" s="514">
        <f>VLOOKUP(I748,'Price List, Weapons &amp; Items'!A:D,4,0)</f>
        <v>0</v>
      </c>
      <c r="M748" s="515">
        <v>250000</v>
      </c>
      <c r="N748" s="515" t="s">
        <v>232</v>
      </c>
      <c r="O748" s="516">
        <f>VLOOKUP($I748,'Price List, Weapons &amp; Items'!A:F,6,0)</f>
        <v>0.32</v>
      </c>
      <c r="P748" s="513">
        <f t="shared" si="172"/>
        <v>80000</v>
      </c>
      <c r="Q748" s="513" t="str">
        <f t="shared" si="173"/>
        <v>.</v>
      </c>
      <c r="R748" s="513" t="str">
        <f t="shared" si="174"/>
        <v/>
      </c>
      <c r="S748" s="513" t="str">
        <f>IF(AND(AD748=1,R748&lt;&gt;".")=TRUE,R748/VLOOKUP(G748,'Exchange rates'!B:C,2,0),IF(R748=".",".",""))</f>
        <v/>
      </c>
      <c r="T748" s="513" t="str">
        <f>IF(AD748=1,IF(AF748="Value is not given at all",".",IF(AF748="Value is given by the source",S748,IF(AF748="Value is calculated with prices",(IF(SUMIFS(Q:Q,A:A,A748)&gt;0,SUMIFS(Q:Q,A:A,A748),"."))/VLOOKUP("USD",'Exchange rates'!B:C,2,0),"Error with coding"))),"")</f>
        <v/>
      </c>
      <c r="U748" s="39" t="s">
        <v>233</v>
      </c>
      <c r="V748" s="376" t="s">
        <v>2110</v>
      </c>
      <c r="W748" s="376" t="s">
        <v>2111</v>
      </c>
      <c r="X748" s="376" t="s">
        <v>2112</v>
      </c>
      <c r="Y748" s="530" t="s">
        <v>232</v>
      </c>
      <c r="Z748" s="39">
        <v>0</v>
      </c>
      <c r="AA748" s="518">
        <v>0</v>
      </c>
      <c r="AB748" s="38" t="s">
        <v>232</v>
      </c>
      <c r="AC748" s="519" t="str">
        <f>""</f>
        <v/>
      </c>
      <c r="AD748" s="522">
        <v>0</v>
      </c>
      <c r="AE748" s="522" t="s">
        <v>236</v>
      </c>
      <c r="AF748" s="522" t="s">
        <v>237</v>
      </c>
      <c r="AG748" s="522">
        <v>1</v>
      </c>
      <c r="AH748" s="522">
        <v>2</v>
      </c>
      <c r="AI748" s="522">
        <v>0</v>
      </c>
      <c r="AJ748" s="520">
        <f>VLOOKUP($I748,'Price List, Weapons &amp; Items'!A:E,5,0)</f>
        <v>0</v>
      </c>
      <c r="AK748" s="520">
        <f t="shared" si="165"/>
        <v>0</v>
      </c>
      <c r="AL748" s="520">
        <f t="shared" si="166"/>
        <v>0</v>
      </c>
      <c r="AM748" s="520">
        <f t="shared" si="167"/>
        <v>0</v>
      </c>
      <c r="AN748" s="521" t="str">
        <f>VLOOKUP($I748,'Price List, Weapons &amp; Items'!A:K,COLUMN('Price List, Weapons &amp; Items'!$I$1),0)</f>
        <v>Online marketplaces and stores</v>
      </c>
      <c r="AO748" s="521" t="str">
        <f>IF(I748=".",".",VLOOKUP($I748,'Price List, Weapons &amp; Items'!A:I,3,0))</f>
        <v>.</v>
      </c>
      <c r="AP748" s="517" t="str">
        <f t="shared" ca="1" si="175"/>
        <v/>
      </c>
      <c r="AQ748" s="521">
        <f>VLOOKUP($I748,'Price List, Weapons &amp; Items'!A:K,COLUMN('Price List, Weapons &amp; Items'!$K$1),0)</f>
        <v>0</v>
      </c>
      <c r="AS748" s="521">
        <f t="shared" si="168"/>
        <v>1</v>
      </c>
      <c r="AT748" s="521">
        <f t="shared" si="169"/>
        <v>0</v>
      </c>
      <c r="AU748" s="521">
        <f t="shared" si="170"/>
        <v>1</v>
      </c>
      <c r="AV748" s="521" t="str">
        <f t="shared" si="171"/>
        <v>.</v>
      </c>
    </row>
    <row r="749" spans="1:48" ht="15" customHeight="1">
      <c r="A749" s="18" t="s">
        <v>2105</v>
      </c>
      <c r="B749" s="18" t="s">
        <v>2106</v>
      </c>
      <c r="C749" s="511">
        <v>44618</v>
      </c>
      <c r="D749" s="18" t="s">
        <v>228</v>
      </c>
      <c r="E749" s="18" t="s">
        <v>2107</v>
      </c>
      <c r="F749" s="512" t="s">
        <v>2108</v>
      </c>
      <c r="G749" s="39" t="s">
        <v>332</v>
      </c>
      <c r="H749" s="513">
        <v>163000</v>
      </c>
      <c r="I749" s="41" t="s">
        <v>2115</v>
      </c>
      <c r="J749" s="276" t="str">
        <f>VLOOKUP($I749,'Price List, Weapons &amp; Items'!A:B,2,0)</f>
        <v>Humanitarian</v>
      </c>
      <c r="K749" s="276" t="str">
        <f>IF(I749=".",I749,VLOOKUP($I749,'Price List, Weapons &amp; Items'!A:C,3,0))</f>
        <v>.</v>
      </c>
      <c r="L749" s="514">
        <f>VLOOKUP(I749,'Price List, Weapons &amp; Items'!A:D,4,0)</f>
        <v>0</v>
      </c>
      <c r="M749" s="515">
        <v>250000</v>
      </c>
      <c r="N749" s="515" t="s">
        <v>232</v>
      </c>
      <c r="O749" s="516">
        <f>VLOOKUP($I749,'Price List, Weapons &amp; Items'!A:F,6,0)</f>
        <v>0.26</v>
      </c>
      <c r="P749" s="513">
        <f t="shared" si="172"/>
        <v>65000</v>
      </c>
      <c r="Q749" s="513" t="str">
        <f t="shared" si="173"/>
        <v>.</v>
      </c>
      <c r="R749" s="513" t="str">
        <f t="shared" si="174"/>
        <v/>
      </c>
      <c r="S749" s="513" t="str">
        <f>IF(AND(AD749=1,R749&lt;&gt;".")=TRUE,R749/VLOOKUP(G749,'Exchange rates'!B:C,2,0),IF(R749=".",".",""))</f>
        <v/>
      </c>
      <c r="T749" s="513" t="str">
        <f>IF(AD749=1,IF(AF749="Value is not given at all",".",IF(AF749="Value is given by the source",S749,IF(AF749="Value is calculated with prices",(IF(SUMIFS(Q:Q,A:A,A749)&gt;0,SUMIFS(Q:Q,A:A,A749),"."))/VLOOKUP("USD",'Exchange rates'!B:C,2,0),"Error with coding"))),"")</f>
        <v/>
      </c>
      <c r="U749" s="39" t="s">
        <v>233</v>
      </c>
      <c r="V749" s="376" t="s">
        <v>2110</v>
      </c>
      <c r="W749" s="376" t="s">
        <v>2111</v>
      </c>
      <c r="X749" s="376" t="s">
        <v>2112</v>
      </c>
      <c r="Y749" s="530" t="s">
        <v>232</v>
      </c>
      <c r="Z749" s="39">
        <v>0</v>
      </c>
      <c r="AA749" s="518">
        <v>0</v>
      </c>
      <c r="AB749" s="38" t="s">
        <v>232</v>
      </c>
      <c r="AC749" s="519" t="str">
        <f>""</f>
        <v/>
      </c>
      <c r="AD749" s="522">
        <v>0</v>
      </c>
      <c r="AE749" s="522" t="s">
        <v>236</v>
      </c>
      <c r="AF749" s="522" t="s">
        <v>237</v>
      </c>
      <c r="AG749" s="522">
        <v>1</v>
      </c>
      <c r="AH749" s="522">
        <v>2</v>
      </c>
      <c r="AI749" s="522">
        <v>0</v>
      </c>
      <c r="AJ749" s="520">
        <f>VLOOKUP($I749,'Price List, Weapons &amp; Items'!A:E,5,0)</f>
        <v>0</v>
      </c>
      <c r="AK749" s="520">
        <f t="shared" si="165"/>
        <v>0</v>
      </c>
      <c r="AL749" s="520">
        <f t="shared" si="166"/>
        <v>0</v>
      </c>
      <c r="AM749" s="520">
        <f t="shared" si="167"/>
        <v>0</v>
      </c>
      <c r="AN749" s="521" t="str">
        <f>VLOOKUP($I749,'Price List, Weapons &amp; Items'!A:K,COLUMN('Price List, Weapons &amp; Items'!$I$1),0)</f>
        <v>Online marketplaces and stores</v>
      </c>
      <c r="AO749" s="521" t="str">
        <f>IF(I749=".",".",VLOOKUP($I749,'Price List, Weapons &amp; Items'!A:I,3,0))</f>
        <v>.</v>
      </c>
      <c r="AP749" s="517" t="str">
        <f t="shared" ca="1" si="175"/>
        <v/>
      </c>
      <c r="AQ749" s="521">
        <f>VLOOKUP($I749,'Price List, Weapons &amp; Items'!A:K,COLUMN('Price List, Weapons &amp; Items'!$K$1),0)</f>
        <v>0</v>
      </c>
      <c r="AS749" s="521">
        <f t="shared" si="168"/>
        <v>1</v>
      </c>
      <c r="AT749" s="521">
        <f t="shared" si="169"/>
        <v>0</v>
      </c>
      <c r="AU749" s="521">
        <f t="shared" si="170"/>
        <v>1</v>
      </c>
      <c r="AV749" s="521" t="str">
        <f t="shared" si="171"/>
        <v>.</v>
      </c>
    </row>
    <row r="750" spans="1:48" ht="15" customHeight="1">
      <c r="A750" s="18" t="s">
        <v>2105</v>
      </c>
      <c r="B750" s="18" t="s">
        <v>2106</v>
      </c>
      <c r="C750" s="511">
        <v>44618</v>
      </c>
      <c r="D750" s="18" t="s">
        <v>228</v>
      </c>
      <c r="E750" s="18" t="s">
        <v>2107</v>
      </c>
      <c r="F750" s="512" t="s">
        <v>2108</v>
      </c>
      <c r="G750" s="39" t="s">
        <v>332</v>
      </c>
      <c r="H750" s="513">
        <v>163000</v>
      </c>
      <c r="I750" s="41" t="s">
        <v>1749</v>
      </c>
      <c r="J750" s="276" t="str">
        <f>VLOOKUP($I750,'Price List, Weapons &amp; Items'!A:B,2,0)</f>
        <v>Humanitarian</v>
      </c>
      <c r="K750" s="276" t="str">
        <f>IF(I750=".",I750,VLOOKUP($I750,'Price List, Weapons &amp; Items'!A:C,3,0))</f>
        <v>.</v>
      </c>
      <c r="L750" s="514">
        <f>VLOOKUP(I750,'Price List, Weapons &amp; Items'!A:D,4,0)</f>
        <v>0</v>
      </c>
      <c r="M750" s="515">
        <v>600000</v>
      </c>
      <c r="N750" s="515" t="s">
        <v>232</v>
      </c>
      <c r="O750" s="516">
        <f>VLOOKUP($I750,'Price List, Weapons &amp; Items'!A:F,6,0)</f>
        <v>0.24</v>
      </c>
      <c r="P750" s="513">
        <f t="shared" si="172"/>
        <v>144000</v>
      </c>
      <c r="Q750" s="513" t="str">
        <f t="shared" si="173"/>
        <v>.</v>
      </c>
      <c r="R750" s="513" t="str">
        <f t="shared" si="174"/>
        <v/>
      </c>
      <c r="S750" s="513" t="str">
        <f>IF(AND(AD750=1,R750&lt;&gt;".")=TRUE,R750/VLOOKUP(G750,'Exchange rates'!B:C,2,0),IF(R750=".",".",""))</f>
        <v/>
      </c>
      <c r="T750" s="513" t="str">
        <f>IF(AD750=1,IF(AF750="Value is not given at all",".",IF(AF750="Value is given by the source",S750,IF(AF750="Value is calculated with prices",(IF(SUMIFS(Q:Q,A:A,A750)&gt;0,SUMIFS(Q:Q,A:A,A750),"."))/VLOOKUP("USD",'Exchange rates'!B:C,2,0),"Error with coding"))),"")</f>
        <v/>
      </c>
      <c r="U750" s="39" t="s">
        <v>233</v>
      </c>
      <c r="V750" s="376" t="s">
        <v>2110</v>
      </c>
      <c r="W750" s="376" t="s">
        <v>2111</v>
      </c>
      <c r="X750" s="376" t="s">
        <v>2112</v>
      </c>
      <c r="Y750" s="530" t="s">
        <v>232</v>
      </c>
      <c r="Z750" s="39">
        <v>0</v>
      </c>
      <c r="AA750" s="518">
        <v>0</v>
      </c>
      <c r="AB750" s="38" t="s">
        <v>232</v>
      </c>
      <c r="AC750" s="519" t="str">
        <f>""</f>
        <v/>
      </c>
      <c r="AD750" s="522">
        <v>0</v>
      </c>
      <c r="AE750" s="522" t="s">
        <v>236</v>
      </c>
      <c r="AF750" s="522" t="s">
        <v>237</v>
      </c>
      <c r="AG750" s="522">
        <v>1</v>
      </c>
      <c r="AH750" s="522">
        <v>2</v>
      </c>
      <c r="AI750" s="522">
        <v>0</v>
      </c>
      <c r="AJ750" s="520">
        <f>VLOOKUP($I750,'Price List, Weapons &amp; Items'!A:E,5,0)</f>
        <v>0</v>
      </c>
      <c r="AK750" s="520">
        <f t="shared" si="165"/>
        <v>0</v>
      </c>
      <c r="AL750" s="520">
        <f t="shared" si="166"/>
        <v>0</v>
      </c>
      <c r="AM750" s="520">
        <f t="shared" si="167"/>
        <v>0</v>
      </c>
      <c r="AN750" s="521" t="str">
        <f>VLOOKUP($I750,'Price List, Weapons &amp; Items'!A:K,COLUMN('Price List, Weapons &amp; Items'!$I$1),0)</f>
        <v>Online marketplaces and stores</v>
      </c>
      <c r="AO750" s="521" t="str">
        <f>IF(I750=".",".",VLOOKUP($I750,'Price List, Weapons &amp; Items'!A:I,3,0))</f>
        <v>.</v>
      </c>
      <c r="AP750" s="517" t="str">
        <f t="shared" ca="1" si="175"/>
        <v/>
      </c>
      <c r="AQ750" s="521">
        <f>VLOOKUP($I750,'Price List, Weapons &amp; Items'!A:K,COLUMN('Price List, Weapons &amp; Items'!$K$1),0)</f>
        <v>0</v>
      </c>
      <c r="AS750" s="521">
        <f t="shared" si="168"/>
        <v>1</v>
      </c>
      <c r="AT750" s="521">
        <f t="shared" si="169"/>
        <v>0</v>
      </c>
      <c r="AU750" s="521">
        <f t="shared" si="170"/>
        <v>1</v>
      </c>
      <c r="AV750" s="521" t="str">
        <f t="shared" si="171"/>
        <v>.</v>
      </c>
    </row>
    <row r="751" spans="1:48" ht="15" customHeight="1">
      <c r="A751" s="41" t="s">
        <v>2116</v>
      </c>
      <c r="B751" s="41" t="s">
        <v>2106</v>
      </c>
      <c r="C751" s="511">
        <v>44619</v>
      </c>
      <c r="D751" s="18" t="s">
        <v>228</v>
      </c>
      <c r="E751" s="18" t="s">
        <v>330</v>
      </c>
      <c r="F751" s="512" t="s">
        <v>2117</v>
      </c>
      <c r="G751" s="39" t="s">
        <v>332</v>
      </c>
      <c r="H751" s="513">
        <v>100000</v>
      </c>
      <c r="I751" s="41" t="s">
        <v>232</v>
      </c>
      <c r="J751" s="276" t="str">
        <f>VLOOKUP($I751,'Price List, Weapons &amp; Items'!A:B,2,0)</f>
        <v>.</v>
      </c>
      <c r="K751" s="276" t="str">
        <f>IF(I751=".",I751,VLOOKUP($I751,'Price List, Weapons &amp; Items'!A:C,3,0))</f>
        <v>.</v>
      </c>
      <c r="L751" s="514">
        <f>VLOOKUP(I751,'Price List, Weapons &amp; Items'!A:D,4,0)</f>
        <v>0</v>
      </c>
      <c r="M751" s="515" t="s">
        <v>232</v>
      </c>
      <c r="N751" s="515" t="s">
        <v>232</v>
      </c>
      <c r="O751" s="516" t="str">
        <f>VLOOKUP($I751,'Price List, Weapons &amp; Items'!A:F,6,0)</f>
        <v>.</v>
      </c>
      <c r="P751" s="513" t="str">
        <f t="shared" si="172"/>
        <v>.</v>
      </c>
      <c r="Q751" s="513" t="str">
        <f t="shared" si="173"/>
        <v>.</v>
      </c>
      <c r="R751" s="513">
        <f t="shared" si="174"/>
        <v>100000</v>
      </c>
      <c r="S751" s="513">
        <f>IF(AND(AD751=1,R751&lt;&gt;".")=TRUE,R751/VLOOKUP(G751,'Exchange rates'!B:C,2,0),IF(R751=".",".",""))</f>
        <v>100000</v>
      </c>
      <c r="T751" s="513" t="str">
        <f>IF(AD751=1,IF(AF751="Value is not given at all",".",IF(AF751="Value is given by the source",S751,IF(AF751="Value is calculated with prices",(IF(SUMIFS(Q:Q,A:A,A751)&gt;0,SUMIFS(Q:Q,A:A,A751),"."))/VLOOKUP("USD",'Exchange rates'!B:C,2,0),"Error with coding"))),"")</f>
        <v>.</v>
      </c>
      <c r="U751" s="39" t="s">
        <v>372</v>
      </c>
      <c r="V751" s="42" t="s">
        <v>2118</v>
      </c>
      <c r="W751" s="517" t="s">
        <v>232</v>
      </c>
      <c r="X751" s="517" t="s">
        <v>232</v>
      </c>
      <c r="Y751" s="517" t="s">
        <v>232</v>
      </c>
      <c r="Z751" s="39">
        <v>0</v>
      </c>
      <c r="AA751" s="518">
        <v>0</v>
      </c>
      <c r="AB751" s="38" t="s">
        <v>232</v>
      </c>
      <c r="AC751" s="519" t="str">
        <f>""</f>
        <v/>
      </c>
      <c r="AD751" s="522">
        <v>1</v>
      </c>
      <c r="AE751" s="522" t="s">
        <v>236</v>
      </c>
      <c r="AF751" s="522" t="s">
        <v>237</v>
      </c>
      <c r="AG751" s="522">
        <v>1</v>
      </c>
      <c r="AH751" s="520">
        <v>2</v>
      </c>
      <c r="AI751" s="520">
        <v>0</v>
      </c>
      <c r="AJ751" s="520">
        <f>VLOOKUP($I751,'Price List, Weapons &amp; Items'!A:E,5,0)</f>
        <v>0</v>
      </c>
      <c r="AK751" s="520">
        <f t="shared" si="165"/>
        <v>0</v>
      </c>
      <c r="AL751" s="520">
        <f t="shared" si="166"/>
        <v>0</v>
      </c>
      <c r="AM751" s="520">
        <f t="shared" si="167"/>
        <v>0</v>
      </c>
      <c r="AN751" s="521" t="str">
        <f>VLOOKUP($I751,'Price List, Weapons &amp; Items'!A:K,COLUMN('Price List, Weapons &amp; Items'!$I$1),0)</f>
        <v>.</v>
      </c>
      <c r="AO751" s="521" t="str">
        <f>IF(I751=".",".",VLOOKUP($I751,'Price List, Weapons &amp; Items'!A:I,3,0))</f>
        <v>.</v>
      </c>
      <c r="AP751" s="517" t="str">
        <f t="shared" ca="1" si="175"/>
        <v>.</v>
      </c>
      <c r="AQ751" s="521" t="str">
        <f>VLOOKUP($I751,'Price List, Weapons &amp; Items'!A:K,COLUMN('Price List, Weapons &amp; Items'!$K$1),0)</f>
        <v>no price, 0 count</v>
      </c>
      <c r="AS751" s="521">
        <f t="shared" si="168"/>
        <v>0</v>
      </c>
      <c r="AT751" s="521">
        <f t="shared" si="169"/>
        <v>0</v>
      </c>
      <c r="AU751" s="521">
        <f t="shared" si="170"/>
        <v>1</v>
      </c>
      <c r="AV751" s="521" t="str">
        <f t="shared" si="171"/>
        <v>.</v>
      </c>
    </row>
    <row r="752" spans="1:48" ht="15" customHeight="1">
      <c r="A752" s="41" t="s">
        <v>2119</v>
      </c>
      <c r="B752" s="41" t="s">
        <v>2106</v>
      </c>
      <c r="C752" s="511">
        <v>44644</v>
      </c>
      <c r="D752" s="18" t="s">
        <v>228</v>
      </c>
      <c r="E752" s="18" t="s">
        <v>239</v>
      </c>
      <c r="F752" s="512" t="s">
        <v>2120</v>
      </c>
      <c r="G752" s="39" t="s">
        <v>232</v>
      </c>
      <c r="H752" s="513" t="s">
        <v>309</v>
      </c>
      <c r="I752" s="41" t="s">
        <v>232</v>
      </c>
      <c r="J752" s="276" t="str">
        <f>VLOOKUP($I752,'Price List, Weapons &amp; Items'!A:B,2,0)</f>
        <v>.</v>
      </c>
      <c r="K752" s="276" t="str">
        <f>IF(I752=".",I752,VLOOKUP($I752,'Price List, Weapons &amp; Items'!A:C,3,0))</f>
        <v>.</v>
      </c>
      <c r="L752" s="514">
        <f>VLOOKUP(I752,'Price List, Weapons &amp; Items'!A:D,4,0)</f>
        <v>0</v>
      </c>
      <c r="M752" s="515" t="s">
        <v>232</v>
      </c>
      <c r="N752" s="515" t="s">
        <v>232</v>
      </c>
      <c r="O752" s="516" t="str">
        <f>VLOOKUP($I752,'Price List, Weapons &amp; Items'!A:F,6,0)</f>
        <v>.</v>
      </c>
      <c r="P752" s="513" t="str">
        <f t="shared" si="172"/>
        <v>.</v>
      </c>
      <c r="Q752" s="513" t="str">
        <f t="shared" si="173"/>
        <v>.</v>
      </c>
      <c r="R752" s="513" t="str">
        <f t="shared" si="174"/>
        <v>.</v>
      </c>
      <c r="S752" s="513" t="str">
        <f>IF(AND(AD752=1,R752&lt;&gt;".")=TRUE,R752/VLOOKUP(G752,'Exchange rates'!B:C,2,0),IF(R752=".",".",""))</f>
        <v>.</v>
      </c>
      <c r="T752" s="513" t="str">
        <f>IF(AD752=1,IF(AF752="Value is not given at all",".",IF(AF752="Value is given by the source",S752,IF(AF752="Value is calculated with prices",(IF(SUMIFS(Q:Q,A:A,A752)&gt;0,SUMIFS(Q:Q,A:A,A752),"."))/VLOOKUP("USD",'Exchange rates'!B:C,2,0),"Error with coding"))),"")</f>
        <v>.</v>
      </c>
      <c r="U752" s="39" t="s">
        <v>372</v>
      </c>
      <c r="V752" s="42" t="s">
        <v>2121</v>
      </c>
      <c r="W752" s="42" t="s">
        <v>2122</v>
      </c>
      <c r="X752" s="517" t="s">
        <v>232</v>
      </c>
      <c r="Y752" s="517" t="s">
        <v>232</v>
      </c>
      <c r="Z752" s="39">
        <v>0</v>
      </c>
      <c r="AA752" s="518">
        <v>0</v>
      </c>
      <c r="AB752" s="38" t="s">
        <v>232</v>
      </c>
      <c r="AC752" s="519" t="str">
        <f>""</f>
        <v/>
      </c>
      <c r="AD752" s="520">
        <v>1</v>
      </c>
      <c r="AE752" s="520" t="s">
        <v>237</v>
      </c>
      <c r="AF752" s="520" t="s">
        <v>237</v>
      </c>
      <c r="AG752" s="520">
        <v>1</v>
      </c>
      <c r="AH752" s="520">
        <v>3</v>
      </c>
      <c r="AI752" s="520">
        <v>0</v>
      </c>
      <c r="AJ752" s="520">
        <f>VLOOKUP($I752,'Price List, Weapons &amp; Items'!A:E,5,0)</f>
        <v>0</v>
      </c>
      <c r="AK752" s="520">
        <f t="shared" si="165"/>
        <v>0</v>
      </c>
      <c r="AL752" s="520">
        <f t="shared" si="166"/>
        <v>0</v>
      </c>
      <c r="AM752" s="520">
        <f t="shared" si="167"/>
        <v>0</v>
      </c>
      <c r="AN752" s="521" t="str">
        <f>VLOOKUP($I752,'Price List, Weapons &amp; Items'!A:K,COLUMN('Price List, Weapons &amp; Items'!$I$1),0)</f>
        <v>.</v>
      </c>
      <c r="AO752" s="521" t="str">
        <f>IF(I752=".",".",VLOOKUP($I752,'Price List, Weapons &amp; Items'!A:I,3,0))</f>
        <v>.</v>
      </c>
      <c r="AP752" s="517" t="str">
        <f t="shared" ca="1" si="175"/>
        <v>.</v>
      </c>
      <c r="AQ752" s="521" t="str">
        <f>VLOOKUP($I752,'Price List, Weapons &amp; Items'!A:K,COLUMN('Price List, Weapons &amp; Items'!$K$1),0)</f>
        <v>no price, 0 count</v>
      </c>
      <c r="AS752" s="521">
        <f t="shared" si="168"/>
        <v>0</v>
      </c>
      <c r="AT752" s="521">
        <f t="shared" si="169"/>
        <v>0</v>
      </c>
      <c r="AU752" s="521">
        <f t="shared" si="170"/>
        <v>1</v>
      </c>
      <c r="AV752" s="521" t="str">
        <f t="shared" si="171"/>
        <v>.</v>
      </c>
    </row>
    <row r="753" spans="1:48" ht="15" customHeight="1">
      <c r="A753" s="41" t="s">
        <v>2123</v>
      </c>
      <c r="B753" s="41" t="s">
        <v>2106</v>
      </c>
      <c r="C753" s="511">
        <v>44657</v>
      </c>
      <c r="D753" s="18" t="s">
        <v>228</v>
      </c>
      <c r="E753" s="18" t="s">
        <v>229</v>
      </c>
      <c r="F753" s="512" t="s">
        <v>2124</v>
      </c>
      <c r="G753" s="39" t="s">
        <v>332</v>
      </c>
      <c r="H753" s="513">
        <v>1640000</v>
      </c>
      <c r="I753" s="41" t="s">
        <v>232</v>
      </c>
      <c r="J753" s="276" t="str">
        <f>VLOOKUP($I753,'Price List, Weapons &amp; Items'!A:B,2,0)</f>
        <v>.</v>
      </c>
      <c r="K753" s="276" t="str">
        <f>IF(I753=".",I753,VLOOKUP($I753,'Price List, Weapons &amp; Items'!A:C,3,0))</f>
        <v>.</v>
      </c>
      <c r="L753" s="514">
        <f>VLOOKUP(I753,'Price List, Weapons &amp; Items'!A:D,4,0)</f>
        <v>0</v>
      </c>
      <c r="M753" s="515" t="s">
        <v>232</v>
      </c>
      <c r="N753" s="515" t="s">
        <v>232</v>
      </c>
      <c r="O753" s="516" t="str">
        <f>VLOOKUP($I753,'Price List, Weapons &amp; Items'!A:F,6,0)</f>
        <v>.</v>
      </c>
      <c r="P753" s="513" t="str">
        <f t="shared" si="172"/>
        <v>.</v>
      </c>
      <c r="Q753" s="513" t="str">
        <f t="shared" si="173"/>
        <v>.</v>
      </c>
      <c r="R753" s="513">
        <f t="shared" si="174"/>
        <v>1640000</v>
      </c>
      <c r="S753" s="513">
        <f>IF(AND(AD753=1,R753&lt;&gt;".")=TRUE,R753/VLOOKUP(G753,'Exchange rates'!B:C,2,0),IF(R753=".",".",""))</f>
        <v>1640000</v>
      </c>
      <c r="T753" s="513" t="str">
        <f>IF(AD753=1,IF(AF753="Value is not given at all",".",IF(AF753="Value is given by the source",S753,IF(AF753="Value is calculated with prices",(IF(SUMIFS(Q:Q,A:A,A753)&gt;0,SUMIFS(Q:Q,A:A,A753),"."))/VLOOKUP("USD",'Exchange rates'!B:C,2,0),"Error with coding"))),"")</f>
        <v>.</v>
      </c>
      <c r="U753" s="39" t="s">
        <v>233</v>
      </c>
      <c r="V753" s="42" t="s">
        <v>2125</v>
      </c>
      <c r="W753" s="42" t="s">
        <v>2126</v>
      </c>
      <c r="X753" s="517" t="s">
        <v>232</v>
      </c>
      <c r="Y753" s="517" t="s">
        <v>232</v>
      </c>
      <c r="Z753" s="39">
        <v>0</v>
      </c>
      <c r="AA753" s="518">
        <v>0</v>
      </c>
      <c r="AB753" s="38" t="s">
        <v>232</v>
      </c>
      <c r="AC753" s="519" t="str">
        <f>""</f>
        <v/>
      </c>
      <c r="AD753" s="520">
        <v>1</v>
      </c>
      <c r="AE753" s="520" t="s">
        <v>236</v>
      </c>
      <c r="AF753" s="520" t="s">
        <v>237</v>
      </c>
      <c r="AG753" s="520">
        <v>1</v>
      </c>
      <c r="AH753" s="520">
        <v>4</v>
      </c>
      <c r="AI753" s="520">
        <v>0</v>
      </c>
      <c r="AJ753" s="520">
        <f>VLOOKUP($I753,'Price List, Weapons &amp; Items'!A:E,5,0)</f>
        <v>0</v>
      </c>
      <c r="AK753" s="520">
        <f t="shared" si="165"/>
        <v>0</v>
      </c>
      <c r="AL753" s="520">
        <f t="shared" si="166"/>
        <v>0</v>
      </c>
      <c r="AM753" s="520">
        <f t="shared" si="167"/>
        <v>0</v>
      </c>
      <c r="AN753" s="521" t="str">
        <f>VLOOKUP($I753,'Price List, Weapons &amp; Items'!A:K,COLUMN('Price List, Weapons &amp; Items'!$I$1),0)</f>
        <v>.</v>
      </c>
      <c r="AO753" s="521" t="str">
        <f>IF(I753=".",".",VLOOKUP($I753,'Price List, Weapons &amp; Items'!A:I,3,0))</f>
        <v>.</v>
      </c>
      <c r="AP753" s="517" t="str">
        <f t="shared" ca="1" si="175"/>
        <v>.</v>
      </c>
      <c r="AQ753" s="521" t="str">
        <f>VLOOKUP($I753,'Price List, Weapons &amp; Items'!A:K,COLUMN('Price List, Weapons &amp; Items'!$K$1),0)</f>
        <v>no price, 0 count</v>
      </c>
      <c r="AS753" s="521">
        <f t="shared" si="168"/>
        <v>1</v>
      </c>
      <c r="AT753" s="521">
        <f t="shared" si="169"/>
        <v>0</v>
      </c>
      <c r="AU753" s="521">
        <f t="shared" si="170"/>
        <v>1</v>
      </c>
      <c r="AV753" s="521" t="str">
        <f t="shared" si="171"/>
        <v>.</v>
      </c>
    </row>
    <row r="754" spans="1:48" ht="15" customHeight="1">
      <c r="A754" s="18" t="s">
        <v>2127</v>
      </c>
      <c r="B754" s="18" t="s">
        <v>2106</v>
      </c>
      <c r="C754" s="511">
        <v>44680</v>
      </c>
      <c r="D754" s="18" t="s">
        <v>228</v>
      </c>
      <c r="E754" s="18" t="s">
        <v>489</v>
      </c>
      <c r="F754" s="512" t="s">
        <v>2128</v>
      </c>
      <c r="G754" s="39" t="s">
        <v>332</v>
      </c>
      <c r="H754" s="513">
        <v>180000</v>
      </c>
      <c r="I754" s="41" t="s">
        <v>2129</v>
      </c>
      <c r="J754" s="276" t="str">
        <f>VLOOKUP($I754,'Price List, Weapons &amp; Items'!A:B,2,0)</f>
        <v>Humanitarian</v>
      </c>
      <c r="K754" s="276" t="str">
        <f>IF(I754=".",I754,VLOOKUP($I754,'Price List, Weapons &amp; Items'!A:C,3,0))</f>
        <v>.</v>
      </c>
      <c r="L754" s="514">
        <f>VLOOKUP(I754,'Price List, Weapons &amp; Items'!A:D,4,0)</f>
        <v>0</v>
      </c>
      <c r="M754" s="515">
        <v>100</v>
      </c>
      <c r="N754" s="515" t="s">
        <v>232</v>
      </c>
      <c r="O754" s="516">
        <f>VLOOKUP($I754,'Price List, Weapons &amp; Items'!A:F,6,0)</f>
        <v>150</v>
      </c>
      <c r="P754" s="513">
        <f t="shared" si="172"/>
        <v>15000</v>
      </c>
      <c r="Q754" s="513" t="str">
        <f t="shared" si="173"/>
        <v>.</v>
      </c>
      <c r="R754" s="513">
        <f t="shared" si="174"/>
        <v>180000</v>
      </c>
      <c r="S754" s="513">
        <f>IF(AND(AD754=1,R754&lt;&gt;".")=TRUE,R754/VLOOKUP(G754,'Exchange rates'!B:C,2,0),IF(R754=".",".",""))</f>
        <v>180000</v>
      </c>
      <c r="T754" s="513" t="str">
        <f>IF(AD754=1,IF(AF754="Value is not given at all",".",IF(AF754="Value is given by the source",S754,IF(AF754="Value is calculated with prices",(IF(SUMIFS(Q:Q,A:A,A754)&gt;0,SUMIFS(Q:Q,A:A,A754),"."))/VLOOKUP("USD",'Exchange rates'!B:C,2,0),"Error with coding"))),"")</f>
        <v>.</v>
      </c>
      <c r="U754" s="39" t="s">
        <v>372</v>
      </c>
      <c r="V754" s="376" t="s">
        <v>2130</v>
      </c>
      <c r="W754" s="376" t="s">
        <v>2131</v>
      </c>
      <c r="X754" s="376" t="s">
        <v>2132</v>
      </c>
      <c r="Y754" s="530" t="s">
        <v>232</v>
      </c>
      <c r="Z754" s="39">
        <v>0</v>
      </c>
      <c r="AA754" s="518">
        <v>0</v>
      </c>
      <c r="AB754" s="38" t="s">
        <v>232</v>
      </c>
      <c r="AC754" s="519" t="str">
        <f>""</f>
        <v/>
      </c>
      <c r="AD754" s="520">
        <v>1</v>
      </c>
      <c r="AE754" s="520" t="s">
        <v>236</v>
      </c>
      <c r="AF754" s="520" t="s">
        <v>237</v>
      </c>
      <c r="AG754" s="520">
        <v>1</v>
      </c>
      <c r="AH754" s="520">
        <v>4</v>
      </c>
      <c r="AI754" s="520">
        <v>0</v>
      </c>
      <c r="AJ754" s="520">
        <f>VLOOKUP($I754,'Price List, Weapons &amp; Items'!A:E,5,0)</f>
        <v>0</v>
      </c>
      <c r="AK754" s="520">
        <f t="shared" si="165"/>
        <v>0</v>
      </c>
      <c r="AL754" s="520">
        <f t="shared" si="166"/>
        <v>0</v>
      </c>
      <c r="AM754" s="520">
        <f t="shared" si="167"/>
        <v>0</v>
      </c>
      <c r="AN754" s="521" t="str">
        <f>VLOOKUP($I754,'Price List, Weapons &amp; Items'!A:K,COLUMN('Price List, Weapons &amp; Items'!$I$1),0)</f>
        <v>Miscellaneous</v>
      </c>
      <c r="AO754" s="521" t="str">
        <f>IF(I754=".",".",VLOOKUP($I754,'Price List, Weapons &amp; Items'!A:I,3,0))</f>
        <v>.</v>
      </c>
      <c r="AP754" s="517" t="str">
        <f t="shared" ca="1" si="175"/>
        <v>IP phone; laptop; desktop; petrol generator; antenna; cable</v>
      </c>
      <c r="AQ754" s="521">
        <f>VLOOKUP($I754,'Price List, Weapons &amp; Items'!A:K,COLUMN('Price List, Weapons &amp; Items'!$K$1),0)</f>
        <v>0</v>
      </c>
      <c r="AS754" s="521">
        <f t="shared" si="168"/>
        <v>0</v>
      </c>
      <c r="AT754" s="521">
        <f t="shared" si="169"/>
        <v>0</v>
      </c>
      <c r="AU754" s="521">
        <f t="shared" si="170"/>
        <v>1</v>
      </c>
      <c r="AV754" s="521" t="str">
        <f t="shared" si="171"/>
        <v>.</v>
      </c>
    </row>
    <row r="755" spans="1:48" ht="15" customHeight="1">
      <c r="A755" s="18" t="s">
        <v>2127</v>
      </c>
      <c r="B755" s="18" t="s">
        <v>2106</v>
      </c>
      <c r="C755" s="511">
        <v>44680</v>
      </c>
      <c r="D755" s="18" t="s">
        <v>228</v>
      </c>
      <c r="E755" s="18" t="s">
        <v>489</v>
      </c>
      <c r="F755" s="512" t="s">
        <v>2128</v>
      </c>
      <c r="G755" s="39" t="s">
        <v>332</v>
      </c>
      <c r="H755" s="513">
        <v>180000</v>
      </c>
      <c r="I755" s="41" t="s">
        <v>2133</v>
      </c>
      <c r="J755" s="276" t="str">
        <f>VLOOKUP($I755,'Price List, Weapons &amp; Items'!A:B,2,0)</f>
        <v>Humanitarian</v>
      </c>
      <c r="K755" s="276" t="str">
        <f>IF(I755=".",I755,VLOOKUP($I755,'Price List, Weapons &amp; Items'!A:C,3,0))</f>
        <v>.</v>
      </c>
      <c r="L755" s="514">
        <f>VLOOKUP(I755,'Price List, Weapons &amp; Items'!A:D,4,0)</f>
        <v>0</v>
      </c>
      <c r="M755" s="515">
        <v>40</v>
      </c>
      <c r="N755" s="515" t="s">
        <v>232</v>
      </c>
      <c r="O755" s="516">
        <f>VLOOKUP($I755,'Price List, Weapons &amp; Items'!A:F,6,0)</f>
        <v>675</v>
      </c>
      <c r="P755" s="513">
        <f t="shared" si="172"/>
        <v>27000</v>
      </c>
      <c r="Q755" s="513" t="str">
        <f t="shared" si="173"/>
        <v>.</v>
      </c>
      <c r="R755" s="513" t="str">
        <f t="shared" si="174"/>
        <v/>
      </c>
      <c r="S755" s="513" t="str">
        <f>IF(AND(AD755=1,R755&lt;&gt;".")=TRUE,R755/VLOOKUP(G755,'Exchange rates'!B:C,2,0),IF(R755=".",".",""))</f>
        <v/>
      </c>
      <c r="T755" s="513" t="str">
        <f>IF(AD755=1,IF(AF755="Value is not given at all",".",IF(AF755="Value is given by the source",S755,IF(AF755="Value is calculated with prices",(IF(SUMIFS(Q:Q,A:A,A755)&gt;0,SUMIFS(Q:Q,A:A,A755),"."))/VLOOKUP("USD",'Exchange rates'!B:C,2,0),"Error with coding"))),"")</f>
        <v/>
      </c>
      <c r="U755" s="39" t="s">
        <v>372</v>
      </c>
      <c r="V755" s="376" t="s">
        <v>2130</v>
      </c>
      <c r="W755" s="376" t="s">
        <v>2131</v>
      </c>
      <c r="X755" s="376" t="s">
        <v>2132</v>
      </c>
      <c r="Y755" s="530" t="s">
        <v>232</v>
      </c>
      <c r="Z755" s="39">
        <v>0</v>
      </c>
      <c r="AA755" s="518">
        <v>0</v>
      </c>
      <c r="AB755" s="38" t="s">
        <v>232</v>
      </c>
      <c r="AC755" s="519" t="str">
        <f>""</f>
        <v/>
      </c>
      <c r="AD755" s="520">
        <v>0</v>
      </c>
      <c r="AE755" s="520" t="s">
        <v>236</v>
      </c>
      <c r="AF755" s="520" t="s">
        <v>237</v>
      </c>
      <c r="AG755" s="520">
        <v>1</v>
      </c>
      <c r="AH755" s="520">
        <v>4</v>
      </c>
      <c r="AI755" s="520">
        <v>0</v>
      </c>
      <c r="AJ755" s="520">
        <f>VLOOKUP($I755,'Price List, Weapons &amp; Items'!A:E,5,0)</f>
        <v>0</v>
      </c>
      <c r="AK755" s="520">
        <f t="shared" si="165"/>
        <v>0</v>
      </c>
      <c r="AL755" s="520">
        <f t="shared" si="166"/>
        <v>0</v>
      </c>
      <c r="AM755" s="520">
        <f t="shared" si="167"/>
        <v>0</v>
      </c>
      <c r="AN755" s="521" t="str">
        <f>VLOOKUP($I755,'Price List, Weapons &amp; Items'!A:K,COLUMN('Price List, Weapons &amp; Items'!$I$1),0)</f>
        <v>Miscellaneous</v>
      </c>
      <c r="AO755" s="521" t="str">
        <f>IF(I755=".",".",VLOOKUP($I755,'Price List, Weapons &amp; Items'!A:I,3,0))</f>
        <v>.</v>
      </c>
      <c r="AP755" s="517" t="str">
        <f t="shared" ca="1" si="175"/>
        <v/>
      </c>
      <c r="AQ755" s="521">
        <f>VLOOKUP($I755,'Price List, Weapons &amp; Items'!A:K,COLUMN('Price List, Weapons &amp; Items'!$K$1),0)</f>
        <v>0</v>
      </c>
      <c r="AS755" s="521">
        <f t="shared" si="168"/>
        <v>0</v>
      </c>
      <c r="AT755" s="521">
        <f t="shared" si="169"/>
        <v>0</v>
      </c>
      <c r="AU755" s="521">
        <f t="shared" si="170"/>
        <v>1</v>
      </c>
      <c r="AV755" s="521" t="str">
        <f t="shared" si="171"/>
        <v>.</v>
      </c>
    </row>
    <row r="756" spans="1:48" ht="15" customHeight="1">
      <c r="A756" s="18" t="s">
        <v>2127</v>
      </c>
      <c r="B756" s="18" t="s">
        <v>2106</v>
      </c>
      <c r="C756" s="511">
        <v>44680</v>
      </c>
      <c r="D756" s="18" t="s">
        <v>228</v>
      </c>
      <c r="E756" s="18" t="s">
        <v>489</v>
      </c>
      <c r="F756" s="512" t="s">
        <v>2128</v>
      </c>
      <c r="G756" s="39" t="s">
        <v>332</v>
      </c>
      <c r="H756" s="513">
        <v>180000</v>
      </c>
      <c r="I756" s="41" t="s">
        <v>2134</v>
      </c>
      <c r="J756" s="276" t="str">
        <f>VLOOKUP($I756,'Price List, Weapons &amp; Items'!A:B,2,0)</f>
        <v>Humanitarian</v>
      </c>
      <c r="K756" s="276" t="str">
        <f>IF(I756=".",I756,VLOOKUP($I756,'Price List, Weapons &amp; Items'!A:C,3,0))</f>
        <v>.</v>
      </c>
      <c r="L756" s="514">
        <f>VLOOKUP(I756,'Price List, Weapons &amp; Items'!A:D,4,0)</f>
        <v>0</v>
      </c>
      <c r="M756" s="515">
        <v>40</v>
      </c>
      <c r="N756" s="515" t="s">
        <v>232</v>
      </c>
      <c r="O756" s="516">
        <f>VLOOKUP($I756,'Price List, Weapons &amp; Items'!A:F,6,0)</f>
        <v>632</v>
      </c>
      <c r="P756" s="513">
        <f t="shared" si="172"/>
        <v>25280</v>
      </c>
      <c r="Q756" s="513" t="str">
        <f t="shared" si="173"/>
        <v>.</v>
      </c>
      <c r="R756" s="513" t="str">
        <f t="shared" si="174"/>
        <v/>
      </c>
      <c r="S756" s="513" t="str">
        <f>IF(AND(AD756=1,R756&lt;&gt;".")=TRUE,R756/VLOOKUP(G756,'Exchange rates'!B:C,2,0),IF(R756=".",".",""))</f>
        <v/>
      </c>
      <c r="T756" s="513" t="str">
        <f>IF(AD756=1,IF(AF756="Value is not given at all",".",IF(AF756="Value is given by the source",S756,IF(AF756="Value is calculated with prices",(IF(SUMIFS(Q:Q,A:A,A756)&gt;0,SUMIFS(Q:Q,A:A,A756),"."))/VLOOKUP("USD",'Exchange rates'!B:C,2,0),"Error with coding"))),"")</f>
        <v/>
      </c>
      <c r="U756" s="39" t="s">
        <v>372</v>
      </c>
      <c r="V756" s="376" t="s">
        <v>2130</v>
      </c>
      <c r="W756" s="376" t="s">
        <v>2131</v>
      </c>
      <c r="X756" s="376" t="s">
        <v>2132</v>
      </c>
      <c r="Y756" s="530" t="s">
        <v>232</v>
      </c>
      <c r="Z756" s="39">
        <v>0</v>
      </c>
      <c r="AA756" s="518">
        <v>0</v>
      </c>
      <c r="AB756" s="38" t="s">
        <v>232</v>
      </c>
      <c r="AC756" s="519" t="str">
        <f>""</f>
        <v/>
      </c>
      <c r="AD756" s="520">
        <v>0</v>
      </c>
      <c r="AE756" s="520" t="s">
        <v>236</v>
      </c>
      <c r="AF756" s="520" t="s">
        <v>237</v>
      </c>
      <c r="AG756" s="520">
        <v>1</v>
      </c>
      <c r="AH756" s="520">
        <v>4</v>
      </c>
      <c r="AI756" s="520">
        <v>0</v>
      </c>
      <c r="AJ756" s="520">
        <f>VLOOKUP($I756,'Price List, Weapons &amp; Items'!A:E,5,0)</f>
        <v>0</v>
      </c>
      <c r="AK756" s="520">
        <f t="shared" si="165"/>
        <v>0</v>
      </c>
      <c r="AL756" s="520">
        <f t="shared" si="166"/>
        <v>0</v>
      </c>
      <c r="AM756" s="520">
        <f t="shared" si="167"/>
        <v>0</v>
      </c>
      <c r="AN756" s="521" t="str">
        <f>VLOOKUP($I756,'Price List, Weapons &amp; Items'!A:K,COLUMN('Price List, Weapons &amp; Items'!$I$1),0)</f>
        <v>Miscellaneous</v>
      </c>
      <c r="AO756" s="521" t="str">
        <f>IF(I756=".",".",VLOOKUP($I756,'Price List, Weapons &amp; Items'!A:I,3,0))</f>
        <v>.</v>
      </c>
      <c r="AP756" s="517" t="str">
        <f t="shared" ca="1" si="175"/>
        <v/>
      </c>
      <c r="AQ756" s="521">
        <f>VLOOKUP($I756,'Price List, Weapons &amp; Items'!A:K,COLUMN('Price List, Weapons &amp; Items'!$K$1),0)</f>
        <v>0</v>
      </c>
      <c r="AS756" s="521">
        <f t="shared" si="168"/>
        <v>0</v>
      </c>
      <c r="AT756" s="521">
        <f t="shared" si="169"/>
        <v>0</v>
      </c>
      <c r="AU756" s="521">
        <f t="shared" si="170"/>
        <v>1</v>
      </c>
      <c r="AV756" s="521" t="str">
        <f t="shared" si="171"/>
        <v>.</v>
      </c>
    </row>
    <row r="757" spans="1:48" ht="15" customHeight="1">
      <c r="A757" s="18" t="s">
        <v>2127</v>
      </c>
      <c r="B757" s="18" t="s">
        <v>2106</v>
      </c>
      <c r="C757" s="511">
        <v>44680</v>
      </c>
      <c r="D757" s="18" t="s">
        <v>228</v>
      </c>
      <c r="E757" s="18" t="s">
        <v>489</v>
      </c>
      <c r="F757" s="512" t="s">
        <v>2128</v>
      </c>
      <c r="G757" s="39" t="s">
        <v>332</v>
      </c>
      <c r="H757" s="513">
        <v>180000</v>
      </c>
      <c r="I757" s="41" t="s">
        <v>2135</v>
      </c>
      <c r="J757" s="276" t="str">
        <f>VLOOKUP($I757,'Price List, Weapons &amp; Items'!A:B,2,0)</f>
        <v>Humanitarian</v>
      </c>
      <c r="K757" s="276" t="str">
        <f>IF(I757=".",I757,VLOOKUP($I757,'Price List, Weapons &amp; Items'!A:C,3,0))</f>
        <v>.</v>
      </c>
      <c r="L757" s="514">
        <f>VLOOKUP(I757,'Price List, Weapons &amp; Items'!A:D,4,0)</f>
        <v>0</v>
      </c>
      <c r="M757" s="515" t="s">
        <v>264</v>
      </c>
      <c r="N757" s="515" t="s">
        <v>232</v>
      </c>
      <c r="O757" s="516">
        <f>VLOOKUP($I757,'Price List, Weapons &amp; Items'!A:F,6,0)</f>
        <v>1500</v>
      </c>
      <c r="P757" s="513" t="str">
        <f t="shared" si="172"/>
        <v>.</v>
      </c>
      <c r="Q757" s="513" t="str">
        <f t="shared" si="173"/>
        <v>.</v>
      </c>
      <c r="R757" s="513" t="str">
        <f t="shared" si="174"/>
        <v/>
      </c>
      <c r="S757" s="513" t="str">
        <f>IF(AND(AD757=1,R757&lt;&gt;".")=TRUE,R757/VLOOKUP(G757,'Exchange rates'!B:C,2,0),IF(R757=".",".",""))</f>
        <v/>
      </c>
      <c r="T757" s="513" t="str">
        <f>IF(AD757=1,IF(AF757="Value is not given at all",".",IF(AF757="Value is given by the source",S757,IF(AF757="Value is calculated with prices",(IF(SUMIFS(Q:Q,A:A,A757)&gt;0,SUMIFS(Q:Q,A:A,A757),"."))/VLOOKUP("USD",'Exchange rates'!B:C,2,0),"Error with coding"))),"")</f>
        <v/>
      </c>
      <c r="U757" s="39" t="s">
        <v>372</v>
      </c>
      <c r="V757" s="376" t="s">
        <v>2130</v>
      </c>
      <c r="W757" s="376" t="s">
        <v>2131</v>
      </c>
      <c r="X757" s="376" t="s">
        <v>2132</v>
      </c>
      <c r="Y757" s="530" t="s">
        <v>232</v>
      </c>
      <c r="Z757" s="39">
        <v>0</v>
      </c>
      <c r="AA757" s="518">
        <v>0</v>
      </c>
      <c r="AB757" s="38" t="s">
        <v>232</v>
      </c>
      <c r="AC757" s="519" t="str">
        <f>""</f>
        <v/>
      </c>
      <c r="AD757" s="520">
        <v>0</v>
      </c>
      <c r="AE757" s="520" t="s">
        <v>236</v>
      </c>
      <c r="AF757" s="520" t="s">
        <v>237</v>
      </c>
      <c r="AG757" s="520">
        <v>1</v>
      </c>
      <c r="AH757" s="520">
        <v>4</v>
      </c>
      <c r="AI757" s="520">
        <v>0</v>
      </c>
      <c r="AJ757" s="520">
        <f>VLOOKUP($I757,'Price List, Weapons &amp; Items'!A:E,5,0)</f>
        <v>0</v>
      </c>
      <c r="AK757" s="520">
        <f t="shared" si="165"/>
        <v>0</v>
      </c>
      <c r="AL757" s="520">
        <f t="shared" si="166"/>
        <v>0</v>
      </c>
      <c r="AM757" s="520">
        <f t="shared" si="167"/>
        <v>0</v>
      </c>
      <c r="AN757" s="521" t="str">
        <f>VLOOKUP($I757,'Price List, Weapons &amp; Items'!A:K,COLUMN('Price List, Weapons &amp; Items'!$I$1),0)</f>
        <v>Miscellaneous</v>
      </c>
      <c r="AO757" s="521" t="str">
        <f>IF(I757=".",".",VLOOKUP($I757,'Price List, Weapons &amp; Items'!A:I,3,0))</f>
        <v>.</v>
      </c>
      <c r="AP757" s="517" t="str">
        <f t="shared" ca="1" si="175"/>
        <v/>
      </c>
      <c r="AQ757" s="521">
        <f>VLOOKUP($I757,'Price List, Weapons &amp; Items'!A:K,COLUMN('Price List, Weapons &amp; Items'!$K$1),0)</f>
        <v>0</v>
      </c>
      <c r="AS757" s="521">
        <f t="shared" si="168"/>
        <v>0</v>
      </c>
      <c r="AT757" s="521">
        <f t="shared" si="169"/>
        <v>0</v>
      </c>
      <c r="AU757" s="521">
        <f t="shared" si="170"/>
        <v>1</v>
      </c>
      <c r="AV757" s="521" t="str">
        <f t="shared" si="171"/>
        <v>.</v>
      </c>
    </row>
    <row r="758" spans="1:48" ht="15" customHeight="1">
      <c r="A758" s="18" t="s">
        <v>2127</v>
      </c>
      <c r="B758" s="18" t="s">
        <v>2106</v>
      </c>
      <c r="C758" s="511">
        <v>44680</v>
      </c>
      <c r="D758" s="18" t="s">
        <v>228</v>
      </c>
      <c r="E758" s="18" t="s">
        <v>489</v>
      </c>
      <c r="F758" s="512" t="s">
        <v>2128</v>
      </c>
      <c r="G758" s="39" t="s">
        <v>332</v>
      </c>
      <c r="H758" s="513">
        <v>180000</v>
      </c>
      <c r="I758" s="41" t="s">
        <v>2136</v>
      </c>
      <c r="J758" s="276" t="str">
        <f>VLOOKUP($I758,'Price List, Weapons &amp; Items'!A:B,2,0)</f>
        <v>Humanitarian</v>
      </c>
      <c r="K758" s="276" t="str">
        <f>IF(I758=".",I758,VLOOKUP($I758,'Price List, Weapons &amp; Items'!A:C,3,0))</f>
        <v>radar and imagery systems</v>
      </c>
      <c r="L758" s="514">
        <f>VLOOKUP(I758,'Price List, Weapons &amp; Items'!A:D,4,0)</f>
        <v>0</v>
      </c>
      <c r="M758" s="515" t="s">
        <v>264</v>
      </c>
      <c r="N758" s="515" t="s">
        <v>232</v>
      </c>
      <c r="O758" s="516">
        <f>VLOOKUP($I758,'Price List, Weapons &amp; Items'!A:F,6,0)</f>
        <v>310</v>
      </c>
      <c r="P758" s="513" t="str">
        <f t="shared" si="172"/>
        <v>.</v>
      </c>
      <c r="Q758" s="513" t="str">
        <f t="shared" si="173"/>
        <v>.</v>
      </c>
      <c r="R758" s="513" t="str">
        <f t="shared" si="174"/>
        <v/>
      </c>
      <c r="S758" s="513" t="str">
        <f>IF(AND(AD758=1,R758&lt;&gt;".")=TRUE,R758/VLOOKUP(G758,'Exchange rates'!B:C,2,0),IF(R758=".",".",""))</f>
        <v/>
      </c>
      <c r="T758" s="513" t="str">
        <f>IF(AD758=1,IF(AF758="Value is not given at all",".",IF(AF758="Value is given by the source",S758,IF(AF758="Value is calculated with prices",(IF(SUMIFS(Q:Q,A:A,A758)&gt;0,SUMIFS(Q:Q,A:A,A758),"."))/VLOOKUP("USD",'Exchange rates'!B:C,2,0),"Error with coding"))),"")</f>
        <v/>
      </c>
      <c r="U758" s="39" t="s">
        <v>372</v>
      </c>
      <c r="V758" s="376" t="s">
        <v>2130</v>
      </c>
      <c r="W758" s="376" t="s">
        <v>2131</v>
      </c>
      <c r="X758" s="376" t="s">
        <v>2132</v>
      </c>
      <c r="Y758" s="530" t="s">
        <v>232</v>
      </c>
      <c r="Z758" s="39">
        <v>0</v>
      </c>
      <c r="AA758" s="518">
        <v>0</v>
      </c>
      <c r="AB758" s="38" t="s">
        <v>232</v>
      </c>
      <c r="AC758" s="519" t="str">
        <f>""</f>
        <v/>
      </c>
      <c r="AD758" s="520">
        <v>0</v>
      </c>
      <c r="AE758" s="520" t="s">
        <v>236</v>
      </c>
      <c r="AF758" s="520" t="s">
        <v>237</v>
      </c>
      <c r="AG758" s="520">
        <v>1</v>
      </c>
      <c r="AH758" s="520">
        <v>4</v>
      </c>
      <c r="AI758" s="520">
        <v>0</v>
      </c>
      <c r="AJ758" s="520">
        <f>VLOOKUP($I758,'Price List, Weapons &amp; Items'!A:E,5,0)</f>
        <v>0</v>
      </c>
      <c r="AK758" s="520">
        <f t="shared" si="165"/>
        <v>0</v>
      </c>
      <c r="AL758" s="520">
        <f t="shared" si="166"/>
        <v>0</v>
      </c>
      <c r="AM758" s="520">
        <f t="shared" si="167"/>
        <v>0</v>
      </c>
      <c r="AN758" s="521" t="str">
        <f>VLOOKUP($I758,'Price List, Weapons &amp; Items'!A:K,COLUMN('Price List, Weapons &amp; Items'!$I$1),0)</f>
        <v>Media reports (incl. social media)</v>
      </c>
      <c r="AO758" s="521" t="str">
        <f>IF(I758=".",".",VLOOKUP($I758,'Price List, Weapons &amp; Items'!A:I,3,0))</f>
        <v>radar and imagery systems</v>
      </c>
      <c r="AP758" s="517" t="str">
        <f t="shared" ca="1" si="175"/>
        <v/>
      </c>
      <c r="AQ758" s="521">
        <f>VLOOKUP($I758,'Price List, Weapons &amp; Items'!A:K,COLUMN('Price List, Weapons &amp; Items'!$K$1),0)</f>
        <v>0</v>
      </c>
      <c r="AS758" s="521">
        <f t="shared" si="168"/>
        <v>0</v>
      </c>
      <c r="AT758" s="521">
        <f t="shared" si="169"/>
        <v>0</v>
      </c>
      <c r="AU758" s="521">
        <f t="shared" si="170"/>
        <v>1</v>
      </c>
      <c r="AV758" s="521" t="str">
        <f t="shared" si="171"/>
        <v>.</v>
      </c>
    </row>
    <row r="759" spans="1:48" ht="15" customHeight="1">
      <c r="A759" s="18" t="s">
        <v>2127</v>
      </c>
      <c r="B759" s="18" t="s">
        <v>2106</v>
      </c>
      <c r="C759" s="511">
        <v>44680</v>
      </c>
      <c r="D759" s="18" t="s">
        <v>228</v>
      </c>
      <c r="E759" s="18" t="s">
        <v>489</v>
      </c>
      <c r="F759" s="512" t="s">
        <v>2128</v>
      </c>
      <c r="G759" s="39" t="s">
        <v>332</v>
      </c>
      <c r="H759" s="513">
        <v>180000</v>
      </c>
      <c r="I759" s="41" t="s">
        <v>2137</v>
      </c>
      <c r="J759" s="276" t="str">
        <f>VLOOKUP($I759,'Price List, Weapons &amp; Items'!A:B,2,0)</f>
        <v>Humanitarian</v>
      </c>
      <c r="K759" s="276" t="str">
        <f>IF(I759=".",I759,VLOOKUP($I759,'Price List, Weapons &amp; Items'!A:C,3,0))</f>
        <v>.</v>
      </c>
      <c r="L759" s="514">
        <f>VLOOKUP(I759,'Price List, Weapons &amp; Items'!A:D,4,0)</f>
        <v>0</v>
      </c>
      <c r="M759" s="515" t="s">
        <v>264</v>
      </c>
      <c r="N759" s="515" t="s">
        <v>232</v>
      </c>
      <c r="O759" s="516">
        <f>VLOOKUP($I759,'Price List, Weapons &amp; Items'!A:F,6,0)</f>
        <v>27.35</v>
      </c>
      <c r="P759" s="513" t="str">
        <f t="shared" si="172"/>
        <v>.</v>
      </c>
      <c r="Q759" s="513" t="str">
        <f t="shared" si="173"/>
        <v>.</v>
      </c>
      <c r="R759" s="513" t="str">
        <f t="shared" si="174"/>
        <v/>
      </c>
      <c r="S759" s="513" t="str">
        <f>IF(AND(AD759=1,R759&lt;&gt;".")=TRUE,R759/VLOOKUP(G759,'Exchange rates'!B:C,2,0),IF(R759=".",".",""))</f>
        <v/>
      </c>
      <c r="T759" s="513" t="str">
        <f>IF(AD759=1,IF(AF759="Value is not given at all",".",IF(AF759="Value is given by the source",S759,IF(AF759="Value is calculated with prices",(IF(SUMIFS(Q:Q,A:A,A759)&gt;0,SUMIFS(Q:Q,A:A,A759),"."))/VLOOKUP("USD",'Exchange rates'!B:C,2,0),"Error with coding"))),"")</f>
        <v/>
      </c>
      <c r="U759" s="39" t="s">
        <v>372</v>
      </c>
      <c r="V759" s="376" t="s">
        <v>2130</v>
      </c>
      <c r="W759" s="376" t="s">
        <v>2131</v>
      </c>
      <c r="X759" s="376" t="s">
        <v>2132</v>
      </c>
      <c r="Y759" s="530" t="s">
        <v>232</v>
      </c>
      <c r="Z759" s="39">
        <v>0</v>
      </c>
      <c r="AA759" s="518">
        <v>0</v>
      </c>
      <c r="AB759" s="38" t="s">
        <v>232</v>
      </c>
      <c r="AC759" s="519" t="str">
        <f>""</f>
        <v/>
      </c>
      <c r="AD759" s="520">
        <v>0</v>
      </c>
      <c r="AE759" s="520" t="s">
        <v>236</v>
      </c>
      <c r="AF759" s="520" t="s">
        <v>237</v>
      </c>
      <c r="AG759" s="520">
        <v>1</v>
      </c>
      <c r="AH759" s="520">
        <v>4</v>
      </c>
      <c r="AI759" s="520">
        <v>0</v>
      </c>
      <c r="AJ759" s="520">
        <f>VLOOKUP($I759,'Price List, Weapons &amp; Items'!A:E,5,0)</f>
        <v>0</v>
      </c>
      <c r="AK759" s="520">
        <f t="shared" si="165"/>
        <v>0</v>
      </c>
      <c r="AL759" s="520">
        <f t="shared" si="166"/>
        <v>0</v>
      </c>
      <c r="AM759" s="520">
        <f t="shared" si="167"/>
        <v>0</v>
      </c>
      <c r="AN759" s="521" t="str">
        <f>VLOOKUP($I759,'Price List, Weapons &amp; Items'!A:K,COLUMN('Price List, Weapons &amp; Items'!$I$1),0)</f>
        <v>Online marketplaces and stores</v>
      </c>
      <c r="AO759" s="521" t="str">
        <f>IF(I759=".",".",VLOOKUP($I759,'Price List, Weapons &amp; Items'!A:I,3,0))</f>
        <v>.</v>
      </c>
      <c r="AP759" s="517" t="str">
        <f t="shared" ca="1" si="175"/>
        <v/>
      </c>
      <c r="AQ759" s="521">
        <f>VLOOKUP($I759,'Price List, Weapons &amp; Items'!A:K,COLUMN('Price List, Weapons &amp; Items'!$K$1),0)</f>
        <v>0</v>
      </c>
      <c r="AS759" s="521">
        <f t="shared" si="168"/>
        <v>0</v>
      </c>
      <c r="AT759" s="521">
        <f t="shared" si="169"/>
        <v>0</v>
      </c>
      <c r="AU759" s="521">
        <f t="shared" si="170"/>
        <v>1</v>
      </c>
      <c r="AV759" s="521" t="str">
        <f t="shared" si="171"/>
        <v>.</v>
      </c>
    </row>
    <row r="760" spans="1:48" ht="15" customHeight="1">
      <c r="A760" s="18" t="s">
        <v>2138</v>
      </c>
      <c r="B760" s="18" t="s">
        <v>2106</v>
      </c>
      <c r="C760" s="511" t="s">
        <v>2139</v>
      </c>
      <c r="D760" s="18" t="s">
        <v>252</v>
      </c>
      <c r="E760" s="18" t="s">
        <v>253</v>
      </c>
      <c r="F760" s="512" t="s">
        <v>2140</v>
      </c>
      <c r="G760" s="39" t="s">
        <v>314</v>
      </c>
      <c r="H760" s="513">
        <v>7000000</v>
      </c>
      <c r="I760" s="524" t="s">
        <v>2141</v>
      </c>
      <c r="J760" s="276" t="str">
        <f>VLOOKUP($I760,'Price List, Weapons &amp; Items'!A:B,2,0)</f>
        <v>Light armaments &amp; infantry</v>
      </c>
      <c r="K760" s="276" t="str">
        <f>IF(I760=".",I760,VLOOKUP($I760,'Price List, Weapons &amp; Items'!A:C,3,0))</f>
        <v>Small Arms and Light Weapons (SALW)</v>
      </c>
      <c r="L760" s="514">
        <f>VLOOKUP(I760,'Price List, Weapons &amp; Items'!A:D,4,0)</f>
        <v>0</v>
      </c>
      <c r="M760" s="515" t="s">
        <v>264</v>
      </c>
      <c r="N760" s="515" t="s">
        <v>264</v>
      </c>
      <c r="O760" s="516">
        <f>VLOOKUP($I760,'Price List, Weapons &amp; Items'!A:F,6,0)</f>
        <v>800</v>
      </c>
      <c r="P760" s="513" t="str">
        <f t="shared" si="172"/>
        <v>.</v>
      </c>
      <c r="Q760" s="513" t="str">
        <f t="shared" si="173"/>
        <v>.</v>
      </c>
      <c r="R760" s="513">
        <f t="shared" si="174"/>
        <v>7000000</v>
      </c>
      <c r="S760" s="513">
        <f>IF(AND(AD760=1,R760&lt;&gt;".")=TRUE,R760/VLOOKUP(G760,'Exchange rates'!B:C,2,0),IF(R760=".",".",""))</f>
        <v>6975585.450921773</v>
      </c>
      <c r="T760" s="513">
        <f>IF(AD760=1,IF(AF760="Value is not given at all",".",IF(AF760="Value is given by the source",S760,IF(AF760="Value is calculated with prices",(IF(SUMIFS(Q:Q,A:A,A760)&gt;0,SUMIFS(Q:Q,A:A,A760),"."))/VLOOKUP("USD",'Exchange rates'!B:C,2,0),"Error with coding"))),"")</f>
        <v>6975585.450921773</v>
      </c>
      <c r="U760" s="39" t="s">
        <v>372</v>
      </c>
      <c r="V760" s="376" t="s">
        <v>2142</v>
      </c>
      <c r="W760" s="376" t="s">
        <v>2143</v>
      </c>
      <c r="X760" s="376" t="s">
        <v>2144</v>
      </c>
      <c r="Y760" s="376" t="s">
        <v>2145</v>
      </c>
      <c r="Z760" s="39">
        <v>0</v>
      </c>
      <c r="AA760" s="39">
        <v>0</v>
      </c>
      <c r="AB760" s="395" t="s">
        <v>2142</v>
      </c>
      <c r="AC760" s="519" t="str">
        <f>""</f>
        <v/>
      </c>
      <c r="AD760" s="522">
        <v>1</v>
      </c>
      <c r="AE760" s="522" t="s">
        <v>236</v>
      </c>
      <c r="AF760" s="522" t="s">
        <v>236</v>
      </c>
      <c r="AG760" s="522">
        <v>0</v>
      </c>
      <c r="AH760" s="522">
        <v>0</v>
      </c>
      <c r="AI760" s="522">
        <v>0</v>
      </c>
      <c r="AJ760" s="520">
        <f>VLOOKUP($I760,'Price List, Weapons &amp; Items'!A:E,5,0)</f>
        <v>0</v>
      </c>
      <c r="AK760" s="520">
        <f t="shared" si="165"/>
        <v>0</v>
      </c>
      <c r="AL760" s="520">
        <f t="shared" si="166"/>
        <v>0</v>
      </c>
      <c r="AM760" s="520">
        <f t="shared" si="167"/>
        <v>0</v>
      </c>
      <c r="AN760" s="521" t="str">
        <f>VLOOKUP($I760,'Price List, Weapons &amp; Items'!A:K,COLUMN('Price List, Weapons &amp; Items'!$I$1),0)</f>
        <v>Military media (incl. websites)</v>
      </c>
      <c r="AO760" s="521" t="str">
        <f>IF(I760=".",".",VLOOKUP($I760,'Price List, Weapons &amp; Items'!A:I,3,0))</f>
        <v>Small Arms and Light Weapons (SALW)</v>
      </c>
      <c r="AP760" s="517" t="str">
        <f t="shared" ca="1" si="175"/>
        <v>rifle; helmet</v>
      </c>
      <c r="AQ760" s="521" t="str">
        <f>VLOOKUP($I760,'Price List, Weapons &amp; Items'!A:K,COLUMN('Price List, Weapons &amp; Items'!$K$1),0)</f>
        <v>no price, 0 count</v>
      </c>
      <c r="AS760" s="521">
        <f t="shared" si="168"/>
        <v>0</v>
      </c>
      <c r="AT760" s="521">
        <f t="shared" si="169"/>
        <v>1</v>
      </c>
      <c r="AU760" s="521" t="str">
        <f t="shared" si="170"/>
        <v>Value is not in date format</v>
      </c>
      <c r="AV760" s="521" t="str">
        <f t="shared" si="171"/>
        <v>.</v>
      </c>
    </row>
    <row r="761" spans="1:48" ht="15" customHeight="1">
      <c r="A761" s="18" t="s">
        <v>2138</v>
      </c>
      <c r="B761" s="18" t="s">
        <v>2106</v>
      </c>
      <c r="C761" s="511" t="s">
        <v>2139</v>
      </c>
      <c r="D761" s="18" t="s">
        <v>252</v>
      </c>
      <c r="E761" s="18" t="s">
        <v>253</v>
      </c>
      <c r="F761" s="512" t="s">
        <v>2140</v>
      </c>
      <c r="G761" s="39" t="s">
        <v>314</v>
      </c>
      <c r="H761" s="513">
        <v>7000000</v>
      </c>
      <c r="I761" s="524" t="s">
        <v>419</v>
      </c>
      <c r="J761" s="276" t="str">
        <f>VLOOKUP($I761,'Price List, Weapons &amp; Items'!A:B,2,0)</f>
        <v>Military equipment</v>
      </c>
      <c r="K761" s="276" t="str">
        <f>IF(I761=".",I761,VLOOKUP($I761,'Price List, Weapons &amp; Items'!A:C,3,0))</f>
        <v>.</v>
      </c>
      <c r="L761" s="514">
        <f>VLOOKUP(I761,'Price List, Weapons &amp; Items'!A:D,4,0)</f>
        <v>0</v>
      </c>
      <c r="M761" s="515" t="s">
        <v>264</v>
      </c>
      <c r="N761" s="515" t="s">
        <v>264</v>
      </c>
      <c r="O761" s="516">
        <f>VLOOKUP($I761,'Price List, Weapons &amp; Items'!A:F,6,0)</f>
        <v>1400</v>
      </c>
      <c r="P761" s="513" t="str">
        <f t="shared" si="172"/>
        <v>.</v>
      </c>
      <c r="Q761" s="513" t="str">
        <f t="shared" si="173"/>
        <v>.</v>
      </c>
      <c r="R761" s="513" t="str">
        <f t="shared" si="174"/>
        <v/>
      </c>
      <c r="S761" s="513" t="str">
        <f>IF(AND(AD761=1,R761&lt;&gt;".")=TRUE,R761/VLOOKUP(G761,'Exchange rates'!B:C,2,0),IF(R761=".",".",""))</f>
        <v/>
      </c>
      <c r="T761" s="513" t="str">
        <f>IF(AD761=1,IF(AF761="Value is not given at all",".",IF(AF761="Value is given by the source",S761,IF(AF761="Value is calculated with prices",(IF(SUMIFS(Q:Q,A:A,A761)&gt;0,SUMIFS(Q:Q,A:A,A761),"."))/VLOOKUP("USD",'Exchange rates'!B:C,2,0),"Error with coding"))),"")</f>
        <v/>
      </c>
      <c r="U761" s="39" t="s">
        <v>372</v>
      </c>
      <c r="V761" s="376" t="s">
        <v>2142</v>
      </c>
      <c r="W761" s="376" t="s">
        <v>2143</v>
      </c>
      <c r="X761" s="376" t="s">
        <v>2144</v>
      </c>
      <c r="Y761" s="376" t="s">
        <v>2145</v>
      </c>
      <c r="Z761" s="39">
        <v>0</v>
      </c>
      <c r="AA761" s="39">
        <v>0</v>
      </c>
      <c r="AB761" s="395" t="s">
        <v>2142</v>
      </c>
      <c r="AC761" s="519" t="str">
        <f>""</f>
        <v/>
      </c>
      <c r="AD761" s="522">
        <v>0</v>
      </c>
      <c r="AE761" s="522" t="s">
        <v>236</v>
      </c>
      <c r="AF761" s="522" t="s">
        <v>236</v>
      </c>
      <c r="AG761" s="522">
        <v>0</v>
      </c>
      <c r="AH761" s="522">
        <v>0</v>
      </c>
      <c r="AI761" s="522">
        <v>0</v>
      </c>
      <c r="AJ761" s="520">
        <f>VLOOKUP($I761,'Price List, Weapons &amp; Items'!A:E,5,0)</f>
        <v>0</v>
      </c>
      <c r="AK761" s="520">
        <f t="shared" si="165"/>
        <v>0</v>
      </c>
      <c r="AL761" s="520">
        <f t="shared" si="166"/>
        <v>0</v>
      </c>
      <c r="AM761" s="520">
        <f t="shared" si="167"/>
        <v>0</v>
      </c>
      <c r="AN761" s="521" t="str">
        <f>VLOOKUP($I761,'Price List, Weapons &amp; Items'!A:K,COLUMN('Price List, Weapons &amp; Items'!$I$1),0)</f>
        <v>Military media (incl. websites)</v>
      </c>
      <c r="AO761" s="521" t="str">
        <f>IF(I761=".",".",VLOOKUP($I761,'Price List, Weapons &amp; Items'!A:I,3,0))</f>
        <v>.</v>
      </c>
      <c r="AP761" s="517" t="str">
        <f t="shared" ca="1" si="175"/>
        <v/>
      </c>
      <c r="AQ761" s="521">
        <f>VLOOKUP($I761,'Price List, Weapons &amp; Items'!A:K,COLUMN('Price List, Weapons &amp; Items'!$K$1),0)</f>
        <v>2</v>
      </c>
      <c r="AS761" s="521">
        <f t="shared" si="168"/>
        <v>0</v>
      </c>
      <c r="AT761" s="521">
        <f t="shared" si="169"/>
        <v>1</v>
      </c>
      <c r="AU761" s="521" t="str">
        <f t="shared" si="170"/>
        <v>Value is not in date format</v>
      </c>
      <c r="AV761" s="521" t="str">
        <f t="shared" si="171"/>
        <v>.</v>
      </c>
    </row>
    <row r="762" spans="1:48" ht="15" customHeight="1">
      <c r="A762" s="41" t="s">
        <v>2146</v>
      </c>
      <c r="B762" s="41" t="s">
        <v>2106</v>
      </c>
      <c r="C762" s="511">
        <v>44728</v>
      </c>
      <c r="D762" s="18" t="s">
        <v>252</v>
      </c>
      <c r="E762" s="18" t="s">
        <v>253</v>
      </c>
      <c r="F762" s="512" t="s">
        <v>2147</v>
      </c>
      <c r="G762" s="39" t="s">
        <v>314</v>
      </c>
      <c r="H762" s="513" t="s">
        <v>309</v>
      </c>
      <c r="I762" s="524" t="s">
        <v>2148</v>
      </c>
      <c r="J762" s="276" t="str">
        <f>VLOOKUP($I762,'Price List, Weapons &amp; Items'!A:B,2,0)</f>
        <v>Heavy weapon</v>
      </c>
      <c r="K762" s="276" t="str">
        <f>IF(I762=".",I762,VLOOKUP($I762,'Price List, Weapons &amp; Items'!A:C,3,0))</f>
        <v>Infantry fighting vehicle (IFV)</v>
      </c>
      <c r="L762" s="514">
        <f>VLOOKUP(I762,'Price List, Weapons &amp; Items'!A:D,4,0)</f>
        <v>1</v>
      </c>
      <c r="M762" s="515">
        <v>35</v>
      </c>
      <c r="N762" s="515">
        <v>35</v>
      </c>
      <c r="O762" s="516">
        <f>VLOOKUP($I762,'Price List, Weapons &amp; Items'!A:F,6,0)</f>
        <v>709034.8872</v>
      </c>
      <c r="P762" s="513">
        <f t="shared" si="172"/>
        <v>24816221.052000001</v>
      </c>
      <c r="Q762" s="513">
        <f t="shared" si="173"/>
        <v>24816221.052000001</v>
      </c>
      <c r="R762" s="513">
        <f t="shared" si="174"/>
        <v>24816221.052000001</v>
      </c>
      <c r="S762" s="513">
        <f>IF(AND(AD762=1,R762&lt;&gt;".")=TRUE,R762/VLOOKUP(G762,'Exchange rates'!B:C,2,0),IF(R762=".",".",""))</f>
        <v>24729667.216741405</v>
      </c>
      <c r="T762" s="513">
        <f>IF(AD762=1,IF(AF762="Value is not given at all",".",IF(AF762="Value is given by the source",S762,IF(AF762="Value is calculated with prices",(IF(SUMIFS(Q:Q,A:A,A762)&gt;0,SUMIFS(Q:Q,A:A,A762),"."))/VLOOKUP("USD",'Exchange rates'!B:C,2,0),"Error with coding"))),"")</f>
        <v>24729667.216741405</v>
      </c>
      <c r="U762" s="39" t="s">
        <v>233</v>
      </c>
      <c r="V762" s="42" t="s">
        <v>2149</v>
      </c>
      <c r="W762" s="42" t="s">
        <v>2150</v>
      </c>
      <c r="X762" s="42" t="s">
        <v>232</v>
      </c>
      <c r="Y762" s="42" t="s">
        <v>232</v>
      </c>
      <c r="Z762" s="39">
        <v>0</v>
      </c>
      <c r="AA762" s="518">
        <v>0</v>
      </c>
      <c r="AB762" s="395" t="s">
        <v>2149</v>
      </c>
      <c r="AC762" s="519" t="str">
        <f>""</f>
        <v/>
      </c>
      <c r="AD762" s="522">
        <v>1</v>
      </c>
      <c r="AE762" s="522" t="s">
        <v>300</v>
      </c>
      <c r="AF762" s="522" t="s">
        <v>300</v>
      </c>
      <c r="AG762" s="522">
        <v>1</v>
      </c>
      <c r="AH762" s="520">
        <v>6</v>
      </c>
      <c r="AI762" s="520">
        <v>0</v>
      </c>
      <c r="AJ762" s="520">
        <f>VLOOKUP($I762,'Price List, Weapons &amp; Items'!A:E,5,0)</f>
        <v>1</v>
      </c>
      <c r="AK762" s="520">
        <f t="shared" si="165"/>
        <v>0</v>
      </c>
      <c r="AL762" s="520">
        <f t="shared" si="166"/>
        <v>0</v>
      </c>
      <c r="AM762" s="520">
        <f t="shared" si="167"/>
        <v>0</v>
      </c>
      <c r="AN762" s="521" t="str">
        <f>VLOOKUP($I762,'Price List, Weapons &amp; Items'!A:K,COLUMN('Price List, Weapons &amp; Items'!$I$1),0)</f>
        <v>Contracts</v>
      </c>
      <c r="AO762" s="521" t="str">
        <f>IF(I762=".",".",VLOOKUP($I762,'Price List, Weapons &amp; Items'!A:I,3,0))</f>
        <v>Infantry fighting vehicle (IFV)</v>
      </c>
      <c r="AP762" s="517" t="str">
        <f t="shared" ca="1" si="175"/>
        <v>M80A infantry fighting vehicle</v>
      </c>
      <c r="AQ762" s="521">
        <f>VLOOKUP($I762,'Price List, Weapons &amp; Items'!A:K,COLUMN('Price List, Weapons &amp; Items'!$K$1),0)</f>
        <v>2</v>
      </c>
      <c r="AS762" s="521">
        <f t="shared" si="168"/>
        <v>1</v>
      </c>
      <c r="AT762" s="521">
        <f t="shared" si="169"/>
        <v>1</v>
      </c>
      <c r="AU762" s="521">
        <f t="shared" si="170"/>
        <v>1</v>
      </c>
      <c r="AV762" s="521" t="str">
        <f t="shared" si="171"/>
        <v>.</v>
      </c>
    </row>
    <row r="763" spans="1:48" ht="15" customHeight="1">
      <c r="A763" s="41" t="s">
        <v>2151</v>
      </c>
      <c r="B763" s="41" t="s">
        <v>2106</v>
      </c>
      <c r="C763" s="511">
        <v>44771</v>
      </c>
      <c r="D763" s="18" t="s">
        <v>252</v>
      </c>
      <c r="E763" s="18" t="s">
        <v>261</v>
      </c>
      <c r="F763" s="512" t="s">
        <v>2152</v>
      </c>
      <c r="G763" s="39" t="s">
        <v>232</v>
      </c>
      <c r="H763" s="527" t="s">
        <v>309</v>
      </c>
      <c r="I763" s="41" t="s">
        <v>2068</v>
      </c>
      <c r="J763" s="276" t="str">
        <f>VLOOKUP($I763,'Price List, Weapons &amp; Items'!A:B,2,0)</f>
        <v>Military equipment</v>
      </c>
      <c r="K763" s="276" t="str">
        <f>IF(I763=".",I763,VLOOKUP($I763,'Price List, Weapons &amp; Items'!A:C,3,0))</f>
        <v>.</v>
      </c>
      <c r="L763" s="514">
        <f>VLOOKUP(I763,'Price List, Weapons &amp; Items'!A:D,4,0)</f>
        <v>0</v>
      </c>
      <c r="M763" s="527" t="s">
        <v>264</v>
      </c>
      <c r="N763" s="515" t="s">
        <v>264</v>
      </c>
      <c r="O763" s="516">
        <f>VLOOKUP($I763,'Price List, Weapons &amp; Items'!A:F,6,0)</f>
        <v>365200</v>
      </c>
      <c r="P763" s="513" t="str">
        <f t="shared" si="172"/>
        <v>.</v>
      </c>
      <c r="Q763" s="513" t="str">
        <f t="shared" si="173"/>
        <v>.</v>
      </c>
      <c r="R763" s="513" t="str">
        <f t="shared" si="174"/>
        <v>.</v>
      </c>
      <c r="S763" s="513" t="str">
        <f>IF(AND(AD763=1,R763&lt;&gt;".")=TRUE,R763/VLOOKUP(G763,'Exchange rates'!B:C,2,0),IF(R763=".",".",""))</f>
        <v>.</v>
      </c>
      <c r="T763" s="513" t="str">
        <f>IF(AD763=1,IF(AF763="Value is not given at all",".",IF(AF763="Value is given by the source",S763,IF(AF763="Value is calculated with prices",(IF(SUMIFS(Q:Q,A:A,A763)&gt;0,SUMIFS(Q:Q,A:A,A763),"."))/VLOOKUP("USD",'Exchange rates'!B:C,2,0),"Error with coding"))),"")</f>
        <v>.</v>
      </c>
      <c r="U763" s="39" t="s">
        <v>233</v>
      </c>
      <c r="V763" s="42" t="s">
        <v>2153</v>
      </c>
      <c r="W763" s="42" t="s">
        <v>2154</v>
      </c>
      <c r="X763" s="42" t="s">
        <v>2155</v>
      </c>
      <c r="Y763" s="42" t="s">
        <v>232</v>
      </c>
      <c r="Z763" s="39">
        <v>0</v>
      </c>
      <c r="AA763" s="518">
        <v>0</v>
      </c>
      <c r="AB763" s="395" t="s">
        <v>2153</v>
      </c>
      <c r="AC763" s="519" t="str">
        <f>""</f>
        <v/>
      </c>
      <c r="AD763" s="522">
        <v>1</v>
      </c>
      <c r="AE763" s="522" t="s">
        <v>237</v>
      </c>
      <c r="AF763" s="522" t="s">
        <v>237</v>
      </c>
      <c r="AG763" s="522">
        <v>1</v>
      </c>
      <c r="AH763" s="520">
        <v>7</v>
      </c>
      <c r="AI763" s="520">
        <v>0</v>
      </c>
      <c r="AJ763" s="520">
        <f>VLOOKUP($I763,'Price List, Weapons &amp; Items'!A:E,5,0)</f>
        <v>0</v>
      </c>
      <c r="AK763" s="520">
        <f t="shared" si="165"/>
        <v>0</v>
      </c>
      <c r="AL763" s="520">
        <f t="shared" si="166"/>
        <v>0</v>
      </c>
      <c r="AM763" s="520">
        <f t="shared" si="167"/>
        <v>0</v>
      </c>
      <c r="AN763" s="521" t="str">
        <f>VLOOKUP($I763,'Price List, Weapons &amp; Items'!A:K,COLUMN('Price List, Weapons &amp; Items'!$I$1),0)</f>
        <v>Media reports (incl. social media)</v>
      </c>
      <c r="AO763" s="521" t="str">
        <f>IF(I763=".",".",VLOOKUP($I763,'Price List, Weapons &amp; Items'!A:I,3,0))</f>
        <v>.</v>
      </c>
      <c r="AP763" s="517" t="str">
        <f t="shared" ca="1" si="175"/>
        <v>demining set</v>
      </c>
      <c r="AQ763" s="521">
        <f>VLOOKUP($I763,'Price List, Weapons &amp; Items'!A:K,COLUMN('Price List, Weapons &amp; Items'!$K$1),0)</f>
        <v>2</v>
      </c>
      <c r="AS763" s="521">
        <f t="shared" si="168"/>
        <v>1</v>
      </c>
      <c r="AT763" s="521">
        <f t="shared" si="169"/>
        <v>1</v>
      </c>
      <c r="AU763" s="521">
        <f t="shared" si="170"/>
        <v>1</v>
      </c>
      <c r="AV763" s="521" t="str">
        <f t="shared" si="171"/>
        <v>.</v>
      </c>
    </row>
    <row r="764" spans="1:48" ht="15" customHeight="1">
      <c r="A764" s="41" t="s">
        <v>2156</v>
      </c>
      <c r="B764" s="41" t="s">
        <v>2106</v>
      </c>
      <c r="C764" s="550">
        <v>44824</v>
      </c>
      <c r="D764" s="46" t="s">
        <v>252</v>
      </c>
      <c r="E764" s="46" t="s">
        <v>307</v>
      </c>
      <c r="F764" s="46" t="s">
        <v>2157</v>
      </c>
      <c r="G764" s="39" t="s">
        <v>332</v>
      </c>
      <c r="H764" s="527" t="s">
        <v>309</v>
      </c>
      <c r="I764" s="41" t="s">
        <v>2158</v>
      </c>
      <c r="J764" s="276" t="str">
        <f>VLOOKUP($I764,'Price List, Weapons &amp; Items'!A:B,2,0)</f>
        <v>Heavy weapon</v>
      </c>
      <c r="K764" s="276" t="str">
        <f>IF(I764=".",I764,VLOOKUP($I764,'Price List, Weapons &amp; Items'!A:C,3,0))</f>
        <v>Main battle tank (MBT)</v>
      </c>
      <c r="L764" s="514">
        <f>VLOOKUP(I764,'Price List, Weapons &amp; Items'!A:D,4,0)</f>
        <v>1</v>
      </c>
      <c r="M764" s="527">
        <v>28</v>
      </c>
      <c r="N764" s="515" t="s">
        <v>232</v>
      </c>
      <c r="O764" s="516">
        <f>VLOOKUP($I764,'Price List, Weapons &amp; Items'!A:F,6,0)</f>
        <v>968420</v>
      </c>
      <c r="P764" s="513">
        <f t="shared" si="172"/>
        <v>27115760</v>
      </c>
      <c r="Q764" s="513" t="str">
        <f t="shared" si="173"/>
        <v>.</v>
      </c>
      <c r="R764" s="513">
        <f t="shared" si="174"/>
        <v>27115760</v>
      </c>
      <c r="S764" s="513">
        <f>IF(AND(AD764=1,R764&lt;&gt;".")=TRUE,R764/VLOOKUP(G764,'Exchange rates'!B:C,2,0),IF(R764=".",".",""))</f>
        <v>27115760</v>
      </c>
      <c r="T764" s="513" t="str">
        <f>IF(AD764=1,IF(AF764="Value is not given at all",".",IF(AF764="Value is given by the source",S764,IF(AF764="Value is calculated with prices",(IF(SUMIFS(Q:Q,A:A,A764)&gt;0,SUMIFS(Q:Q,A:A,A764),"."))/VLOOKUP("USD",'Exchange rates'!B:C,2,0),"Error with coding"))),"")</f>
        <v>.</v>
      </c>
      <c r="U764" s="39" t="s">
        <v>233</v>
      </c>
      <c r="V764" s="551" t="s">
        <v>2159</v>
      </c>
      <c r="W764" s="551" t="s">
        <v>2160</v>
      </c>
      <c r="X764" s="42" t="s">
        <v>232</v>
      </c>
      <c r="Y764" s="42" t="s">
        <v>232</v>
      </c>
      <c r="Z764" s="39">
        <v>0</v>
      </c>
      <c r="AA764" s="518">
        <v>0</v>
      </c>
      <c r="AB764" s="395" t="s">
        <v>232</v>
      </c>
      <c r="AC764" s="519" t="str">
        <f>""</f>
        <v/>
      </c>
      <c r="AD764" s="522">
        <v>1</v>
      </c>
      <c r="AE764" s="522" t="s">
        <v>300</v>
      </c>
      <c r="AF764" s="522" t="s">
        <v>237</v>
      </c>
      <c r="AG764" s="522">
        <v>1</v>
      </c>
      <c r="AH764" s="520">
        <v>9</v>
      </c>
      <c r="AI764" s="520">
        <v>0</v>
      </c>
      <c r="AJ764" s="520">
        <f>VLOOKUP($I764,'Price List, Weapons &amp; Items'!A:E,5,0)</f>
        <v>1</v>
      </c>
      <c r="AK764" s="520">
        <f t="shared" si="165"/>
        <v>0</v>
      </c>
      <c r="AL764" s="520">
        <f t="shared" si="166"/>
        <v>0</v>
      </c>
      <c r="AM764" s="520">
        <f t="shared" si="167"/>
        <v>0</v>
      </c>
      <c r="AN764" s="521" t="str">
        <f>VLOOKUP($I764,'Price List, Weapons &amp; Items'!A:K,COLUMN('Price List, Weapons &amp; Items'!$I$1),0)</f>
        <v>Media reports (incl. social media)</v>
      </c>
      <c r="AO764" s="521" t="str">
        <f>IF(I764=".",".",VLOOKUP($I764,'Price List, Weapons &amp; Items'!A:I,3,0))</f>
        <v>Main battle tank (MBT)</v>
      </c>
      <c r="AP764" s="517" t="str">
        <f t="shared" ca="1" si="175"/>
        <v>M-55S tank</v>
      </c>
      <c r="AQ764" s="521">
        <f>VLOOKUP($I764,'Price List, Weapons &amp; Items'!A:K,COLUMN('Price List, Weapons &amp; Items'!$K$1),0)</f>
        <v>2</v>
      </c>
      <c r="AS764" s="521">
        <f t="shared" si="168"/>
        <v>1</v>
      </c>
      <c r="AT764" s="521">
        <f t="shared" si="169"/>
        <v>1</v>
      </c>
      <c r="AU764" s="521">
        <f t="shared" si="170"/>
        <v>1</v>
      </c>
      <c r="AV764" s="521" t="str">
        <f t="shared" si="171"/>
        <v>.</v>
      </c>
    </row>
    <row r="765" spans="1:48" s="518" customFormat="1" ht="15" customHeight="1">
      <c r="A765" s="41" t="s">
        <v>2161</v>
      </c>
      <c r="B765" s="41" t="s">
        <v>2162</v>
      </c>
      <c r="C765" s="511">
        <v>44618</v>
      </c>
      <c r="D765" s="18" t="s">
        <v>228</v>
      </c>
      <c r="E765" s="18" t="s">
        <v>2163</v>
      </c>
      <c r="F765" s="512" t="s">
        <v>2164</v>
      </c>
      <c r="G765" s="39" t="s">
        <v>332</v>
      </c>
      <c r="H765" s="513">
        <v>150000</v>
      </c>
      <c r="I765" s="41" t="s">
        <v>232</v>
      </c>
      <c r="J765" s="276" t="str">
        <f>VLOOKUP($I765,'Price List, Weapons &amp; Items'!A:B,2,0)</f>
        <v>.</v>
      </c>
      <c r="K765" s="276" t="str">
        <f>IF(I765=".",I765,VLOOKUP($I765,'Price List, Weapons &amp; Items'!A:C,3,0))</f>
        <v>.</v>
      </c>
      <c r="L765" s="514">
        <f>VLOOKUP(I765,'Price List, Weapons &amp; Items'!A:D,4,0)</f>
        <v>0</v>
      </c>
      <c r="M765" s="515" t="s">
        <v>232</v>
      </c>
      <c r="N765" s="515" t="s">
        <v>232</v>
      </c>
      <c r="O765" s="516" t="str">
        <f>VLOOKUP($I765,'Price List, Weapons &amp; Items'!A:F,6,0)</f>
        <v>.</v>
      </c>
      <c r="P765" s="513" t="str">
        <f t="shared" si="172"/>
        <v>.</v>
      </c>
      <c r="Q765" s="513" t="str">
        <f t="shared" si="173"/>
        <v>.</v>
      </c>
      <c r="R765" s="513">
        <f t="shared" si="174"/>
        <v>150000</v>
      </c>
      <c r="S765" s="513">
        <f>IF(AND(AD765=1,R765&lt;&gt;".")=TRUE,R765/VLOOKUP(G765,'Exchange rates'!B:C,2,0),IF(R765=".",".",""))</f>
        <v>150000</v>
      </c>
      <c r="T765" s="513" t="str">
        <f>IF(AD765=1,IF(AF765="Value is not given at all",".",IF(AF765="Value is given by the source",S765,IF(AF765="Value is calculated with prices",(IF(SUMIFS(Q:Q,A:A,A765)&gt;0,SUMIFS(Q:Q,A:A,A765),"."))/VLOOKUP("USD",'Exchange rates'!B:C,2,0),"Error with coding"))),"")</f>
        <v>.</v>
      </c>
      <c r="U765" s="39" t="s">
        <v>233</v>
      </c>
      <c r="V765" s="42" t="s">
        <v>2165</v>
      </c>
      <c r="W765" s="42" t="s">
        <v>2166</v>
      </c>
      <c r="X765" s="42" t="s">
        <v>2167</v>
      </c>
      <c r="Y765" s="517" t="s">
        <v>232</v>
      </c>
      <c r="Z765" s="39">
        <v>0</v>
      </c>
      <c r="AA765" s="39">
        <v>0</v>
      </c>
      <c r="AB765" s="38" t="s">
        <v>232</v>
      </c>
      <c r="AC765" s="519" t="str">
        <f>""</f>
        <v/>
      </c>
      <c r="AD765" s="522">
        <v>1</v>
      </c>
      <c r="AE765" s="522" t="s">
        <v>236</v>
      </c>
      <c r="AF765" s="522" t="s">
        <v>237</v>
      </c>
      <c r="AG765" s="522">
        <v>1</v>
      </c>
      <c r="AH765" s="520">
        <v>2</v>
      </c>
      <c r="AI765" s="520">
        <v>0</v>
      </c>
      <c r="AJ765" s="520">
        <f>VLOOKUP($I765,'Price List, Weapons &amp; Items'!A:E,5,0)</f>
        <v>0</v>
      </c>
      <c r="AK765" s="520">
        <f t="shared" si="165"/>
        <v>0</v>
      </c>
      <c r="AL765" s="520">
        <f t="shared" si="166"/>
        <v>0</v>
      </c>
      <c r="AM765" s="520">
        <f t="shared" si="167"/>
        <v>0</v>
      </c>
      <c r="AN765" s="521" t="str">
        <f>VLOOKUP($I765,'Price List, Weapons &amp; Items'!A:K,COLUMN('Price List, Weapons &amp; Items'!$I$1),0)</f>
        <v>.</v>
      </c>
      <c r="AO765" s="521" t="str">
        <f>IF(I765=".",".",VLOOKUP($I765,'Price List, Weapons &amp; Items'!A:I,3,0))</f>
        <v>.</v>
      </c>
      <c r="AP765" s="517" t="str">
        <f t="shared" ca="1" si="175"/>
        <v>.</v>
      </c>
      <c r="AQ765" s="521" t="str">
        <f>VLOOKUP($I765,'Price List, Weapons &amp; Items'!A:K,COLUMN('Price List, Weapons &amp; Items'!$K$1),0)</f>
        <v>no price, 0 count</v>
      </c>
      <c r="AS765" s="521">
        <f t="shared" si="168"/>
        <v>1</v>
      </c>
      <c r="AT765" s="521">
        <f t="shared" si="169"/>
        <v>0</v>
      </c>
      <c r="AU765" s="521">
        <f t="shared" si="170"/>
        <v>1</v>
      </c>
      <c r="AV765" s="521" t="str">
        <f t="shared" si="171"/>
        <v>.</v>
      </c>
    </row>
    <row r="766" spans="1:48" s="518" customFormat="1" ht="15" customHeight="1">
      <c r="A766" s="18" t="s">
        <v>2168</v>
      </c>
      <c r="B766" s="18" t="s">
        <v>2162</v>
      </c>
      <c r="C766" s="511">
        <v>44635</v>
      </c>
      <c r="D766" s="18" t="s">
        <v>228</v>
      </c>
      <c r="E766" s="18" t="s">
        <v>239</v>
      </c>
      <c r="F766" s="512" t="s">
        <v>2169</v>
      </c>
      <c r="G766" s="39" t="s">
        <v>314</v>
      </c>
      <c r="H766" s="513" t="s">
        <v>309</v>
      </c>
      <c r="I766" s="41" t="s">
        <v>1207</v>
      </c>
      <c r="J766" s="276" t="str">
        <f>VLOOKUP($I766,'Price List, Weapons &amp; Items'!A:B,2,0)</f>
        <v>Humanitarian</v>
      </c>
      <c r="K766" s="276" t="str">
        <f>IF(I766=".",I766,VLOOKUP($I766,'Price List, Weapons &amp; Items'!A:C,3,0))</f>
        <v>.</v>
      </c>
      <c r="L766" s="514">
        <f>VLOOKUP(I766,'Price List, Weapons &amp; Items'!A:D,4,0)</f>
        <v>0</v>
      </c>
      <c r="M766" s="515">
        <v>4316</v>
      </c>
      <c r="N766" s="515" t="s">
        <v>232</v>
      </c>
      <c r="O766" s="516">
        <f>VLOOKUP($I766,'Price List, Weapons &amp; Items'!A:F,6,0)</f>
        <v>6000</v>
      </c>
      <c r="P766" s="513">
        <f t="shared" si="172"/>
        <v>25896000</v>
      </c>
      <c r="Q766" s="513" t="str">
        <f t="shared" si="173"/>
        <v>.</v>
      </c>
      <c r="R766" s="513">
        <f t="shared" si="174"/>
        <v>26251200</v>
      </c>
      <c r="S766" s="513">
        <f>IF(AND(AD766=1,R766&lt;&gt;".")=TRUE,R766/VLOOKUP(G766,'Exchange rates'!B:C,2,0),IF(R766=".",".",""))</f>
        <v>26159641.255605381</v>
      </c>
      <c r="T766" s="513" t="str">
        <f>IF(AD766=1,IF(AF766="Value is not given at all",".",IF(AF766="Value is given by the source",S766,IF(AF766="Value is calculated with prices",(IF(SUMIFS(Q:Q,A:A,A766)&gt;0,SUMIFS(Q:Q,A:A,A766),"."))/VLOOKUP("USD",'Exchange rates'!B:C,2,0),"Error with coding"))),"")</f>
        <v>.</v>
      </c>
      <c r="U766" s="39" t="s">
        <v>233</v>
      </c>
      <c r="V766" s="376" t="s">
        <v>2170</v>
      </c>
      <c r="W766" s="376" t="s">
        <v>2171</v>
      </c>
      <c r="X766" s="530" t="s">
        <v>232</v>
      </c>
      <c r="Y766" s="530" t="s">
        <v>232</v>
      </c>
      <c r="Z766" s="39">
        <v>0</v>
      </c>
      <c r="AA766" s="39">
        <v>0</v>
      </c>
      <c r="AB766" s="38" t="s">
        <v>232</v>
      </c>
      <c r="AC766" s="519" t="str">
        <f>""</f>
        <v/>
      </c>
      <c r="AD766" s="522">
        <v>1</v>
      </c>
      <c r="AE766" s="522" t="s">
        <v>300</v>
      </c>
      <c r="AF766" s="522" t="s">
        <v>237</v>
      </c>
      <c r="AG766" s="522">
        <v>1</v>
      </c>
      <c r="AH766" s="522">
        <v>3</v>
      </c>
      <c r="AI766" s="522">
        <v>0</v>
      </c>
      <c r="AJ766" s="520">
        <f>VLOOKUP($I766,'Price List, Weapons &amp; Items'!A:E,5,0)</f>
        <v>0</v>
      </c>
      <c r="AK766" s="520">
        <f t="shared" si="165"/>
        <v>0</v>
      </c>
      <c r="AL766" s="520">
        <f t="shared" si="166"/>
        <v>0</v>
      </c>
      <c r="AM766" s="520">
        <f t="shared" si="167"/>
        <v>0</v>
      </c>
      <c r="AN766" s="521" t="str">
        <f>VLOOKUP($I766,'Price List, Weapons &amp; Items'!A:K,COLUMN('Price List, Weapons &amp; Items'!$I$1),0)</f>
        <v>Miscellaneous</v>
      </c>
      <c r="AO766" s="521" t="str">
        <f>IF(I766=".",".",VLOOKUP($I766,'Price List, Weapons &amp; Items'!A:I,3,0))</f>
        <v>.</v>
      </c>
      <c r="AP766" s="517" t="str">
        <f t="shared" ca="1" si="175"/>
        <v>hospital bed; hospital pediatric bed</v>
      </c>
      <c r="AQ766" s="521">
        <f>VLOOKUP($I766,'Price List, Weapons &amp; Items'!A:K,COLUMN('Price List, Weapons &amp; Items'!$K$1),0)</f>
        <v>0</v>
      </c>
      <c r="AS766" s="521">
        <f t="shared" si="168"/>
        <v>1</v>
      </c>
      <c r="AT766" s="521">
        <f t="shared" si="169"/>
        <v>0</v>
      </c>
      <c r="AU766" s="521">
        <f t="shared" si="170"/>
        <v>1</v>
      </c>
      <c r="AV766" s="521" t="str">
        <f t="shared" si="171"/>
        <v>.</v>
      </c>
    </row>
    <row r="767" spans="1:48" s="518" customFormat="1" ht="15" customHeight="1">
      <c r="A767" s="18" t="s">
        <v>2168</v>
      </c>
      <c r="B767" s="18" t="s">
        <v>2162</v>
      </c>
      <c r="C767" s="511">
        <v>44635</v>
      </c>
      <c r="D767" s="18" t="s">
        <v>228</v>
      </c>
      <c r="E767" s="18" t="s">
        <v>239</v>
      </c>
      <c r="F767" s="512" t="s">
        <v>2169</v>
      </c>
      <c r="G767" s="39" t="s">
        <v>314</v>
      </c>
      <c r="H767" s="513" t="s">
        <v>309</v>
      </c>
      <c r="I767" s="41" t="s">
        <v>2172</v>
      </c>
      <c r="J767" s="276" t="str">
        <f>VLOOKUP($I767,'Price List, Weapons &amp; Items'!A:B,2,0)</f>
        <v>Humanitarian</v>
      </c>
      <c r="K767" s="276" t="str">
        <f>IF(I767=".",I767,VLOOKUP($I767,'Price List, Weapons &amp; Items'!A:C,3,0))</f>
        <v>.</v>
      </c>
      <c r="L767" s="514">
        <f>VLOOKUP(I767,'Price List, Weapons &amp; Items'!A:D,4,0)</f>
        <v>0</v>
      </c>
      <c r="M767" s="515">
        <v>1184</v>
      </c>
      <c r="N767" s="515" t="s">
        <v>232</v>
      </c>
      <c r="O767" s="516">
        <f>VLOOKUP($I767,'Price List, Weapons &amp; Items'!A:F,6,0)</f>
        <v>300</v>
      </c>
      <c r="P767" s="513">
        <f t="shared" si="172"/>
        <v>355200</v>
      </c>
      <c r="Q767" s="513" t="str">
        <f t="shared" si="173"/>
        <v>.</v>
      </c>
      <c r="R767" s="513" t="str">
        <f t="shared" si="174"/>
        <v/>
      </c>
      <c r="S767" s="513" t="str">
        <f>IF(AND(AD767=1,R767&lt;&gt;".")=TRUE,R767/VLOOKUP(G767,'Exchange rates'!B:C,2,0),IF(R767=".",".",""))</f>
        <v/>
      </c>
      <c r="T767" s="513" t="str">
        <f>IF(AD767=1,IF(AF767="Value is not given at all",".",IF(AF767="Value is given by the source",S767,IF(AF767="Value is calculated with prices",(IF(SUMIFS(Q:Q,A:A,A767)&gt;0,SUMIFS(Q:Q,A:A,A767),"."))/VLOOKUP("USD",'Exchange rates'!B:C,2,0),"Error with coding"))),"")</f>
        <v/>
      </c>
      <c r="U767" s="39" t="s">
        <v>233</v>
      </c>
      <c r="V767" s="376" t="s">
        <v>2170</v>
      </c>
      <c r="W767" s="376" t="s">
        <v>2171</v>
      </c>
      <c r="X767" s="530" t="s">
        <v>232</v>
      </c>
      <c r="Y767" s="530" t="s">
        <v>232</v>
      </c>
      <c r="Z767" s="39">
        <v>0</v>
      </c>
      <c r="AA767" s="39">
        <v>0</v>
      </c>
      <c r="AB767" s="38" t="s">
        <v>232</v>
      </c>
      <c r="AC767" s="519" t="str">
        <f>""</f>
        <v/>
      </c>
      <c r="AD767" s="522">
        <v>0</v>
      </c>
      <c r="AE767" s="522" t="s">
        <v>300</v>
      </c>
      <c r="AF767" s="522" t="s">
        <v>237</v>
      </c>
      <c r="AG767" s="522">
        <v>1</v>
      </c>
      <c r="AH767" s="522">
        <v>3</v>
      </c>
      <c r="AI767" s="522">
        <v>0</v>
      </c>
      <c r="AJ767" s="520">
        <f>VLOOKUP($I767,'Price List, Weapons &amp; Items'!A:E,5,0)</f>
        <v>0</v>
      </c>
      <c r="AK767" s="520">
        <f t="shared" si="165"/>
        <v>0</v>
      </c>
      <c r="AL767" s="520">
        <f t="shared" si="166"/>
        <v>0</v>
      </c>
      <c r="AM767" s="520">
        <f t="shared" si="167"/>
        <v>0</v>
      </c>
      <c r="AN767" s="521" t="str">
        <f>VLOOKUP($I767,'Price List, Weapons &amp; Items'!A:K,COLUMN('Price List, Weapons &amp; Items'!$I$1),0)</f>
        <v>Online marketplaces and stores</v>
      </c>
      <c r="AO767" s="521" t="str">
        <f>IF(I767=".",".",VLOOKUP($I767,'Price List, Weapons &amp; Items'!A:I,3,0))</f>
        <v>.</v>
      </c>
      <c r="AP767" s="517" t="str">
        <f t="shared" ca="1" si="175"/>
        <v/>
      </c>
      <c r="AQ767" s="521">
        <f>VLOOKUP($I767,'Price List, Weapons &amp; Items'!A:K,COLUMN('Price List, Weapons &amp; Items'!$K$1),0)</f>
        <v>0</v>
      </c>
      <c r="AS767" s="521">
        <f t="shared" si="168"/>
        <v>1</v>
      </c>
      <c r="AT767" s="521">
        <f t="shared" si="169"/>
        <v>0</v>
      </c>
      <c r="AU767" s="521">
        <f t="shared" si="170"/>
        <v>1</v>
      </c>
      <c r="AV767" s="521" t="str">
        <f t="shared" si="171"/>
        <v>.</v>
      </c>
    </row>
    <row r="768" spans="1:48" s="518" customFormat="1" ht="15" customHeight="1">
      <c r="A768" s="41" t="s">
        <v>2173</v>
      </c>
      <c r="B768" s="41" t="s">
        <v>2162</v>
      </c>
      <c r="C768" s="511">
        <v>44637</v>
      </c>
      <c r="D768" s="18" t="s">
        <v>228</v>
      </c>
      <c r="E768" s="18" t="s">
        <v>2107</v>
      </c>
      <c r="F768" s="512" t="s">
        <v>2174</v>
      </c>
      <c r="G768" s="39" t="s">
        <v>332</v>
      </c>
      <c r="H768" s="513">
        <v>23000000</v>
      </c>
      <c r="I768" s="41" t="s">
        <v>232</v>
      </c>
      <c r="J768" s="276" t="str">
        <f>VLOOKUP($I768,'Price List, Weapons &amp; Items'!A:B,2,0)</f>
        <v>.</v>
      </c>
      <c r="K768" s="276" t="str">
        <f>IF(I768=".",I768,VLOOKUP($I768,'Price List, Weapons &amp; Items'!A:C,3,0))</f>
        <v>.</v>
      </c>
      <c r="L768" s="514">
        <f>VLOOKUP(I768,'Price List, Weapons &amp; Items'!A:D,4,0)</f>
        <v>0</v>
      </c>
      <c r="M768" s="515" t="s">
        <v>232</v>
      </c>
      <c r="N768" s="515" t="s">
        <v>232</v>
      </c>
      <c r="O768" s="516" t="str">
        <f>VLOOKUP($I768,'Price List, Weapons &amp; Items'!A:F,6,0)</f>
        <v>.</v>
      </c>
      <c r="P768" s="513" t="str">
        <f t="shared" si="172"/>
        <v>.</v>
      </c>
      <c r="Q768" s="513" t="str">
        <f t="shared" si="173"/>
        <v>.</v>
      </c>
      <c r="R768" s="513">
        <f t="shared" si="174"/>
        <v>23000000</v>
      </c>
      <c r="S768" s="513">
        <f>IF(AND(AD768=1,R768&lt;&gt;".")=TRUE,R768/VLOOKUP(G768,'Exchange rates'!B:C,2,0),IF(R768=".",".",""))</f>
        <v>23000000</v>
      </c>
      <c r="T768" s="513" t="str">
        <f>IF(AD768=1,IF(AF768="Value is not given at all",".",IF(AF768="Value is given by the source",S768,IF(AF768="Value is calculated with prices",(IF(SUMIFS(Q:Q,A:A,A768)&gt;0,SUMIFS(Q:Q,A:A,A768),"."))/VLOOKUP("USD",'Exchange rates'!B:C,2,0),"Error with coding"))),"")</f>
        <v>.</v>
      </c>
      <c r="U768" s="39" t="s">
        <v>233</v>
      </c>
      <c r="V768" s="42" t="s">
        <v>2175</v>
      </c>
      <c r="W768" s="42" t="s">
        <v>2176</v>
      </c>
      <c r="X768" s="512" t="s">
        <v>232</v>
      </c>
      <c r="Y768" s="512" t="s">
        <v>232</v>
      </c>
      <c r="Z768" s="39">
        <v>0</v>
      </c>
      <c r="AA768" s="39">
        <v>0</v>
      </c>
      <c r="AB768" s="38" t="s">
        <v>232</v>
      </c>
      <c r="AC768" s="519" t="str">
        <f>""</f>
        <v/>
      </c>
      <c r="AD768" s="522">
        <v>1</v>
      </c>
      <c r="AE768" s="522" t="s">
        <v>236</v>
      </c>
      <c r="AF768" s="522" t="s">
        <v>237</v>
      </c>
      <c r="AG768" s="522">
        <v>1</v>
      </c>
      <c r="AH768" s="520">
        <v>3</v>
      </c>
      <c r="AI768" s="520">
        <v>0</v>
      </c>
      <c r="AJ768" s="520">
        <f>VLOOKUP($I768,'Price List, Weapons &amp; Items'!A:E,5,0)</f>
        <v>0</v>
      </c>
      <c r="AK768" s="520">
        <f t="shared" si="165"/>
        <v>0</v>
      </c>
      <c r="AL768" s="520">
        <f t="shared" si="166"/>
        <v>0</v>
      </c>
      <c r="AM768" s="520">
        <f t="shared" si="167"/>
        <v>0</v>
      </c>
      <c r="AN768" s="521" t="str">
        <f>VLOOKUP($I768,'Price List, Weapons &amp; Items'!A:K,COLUMN('Price List, Weapons &amp; Items'!$I$1),0)</f>
        <v>.</v>
      </c>
      <c r="AO768" s="521" t="str">
        <f>IF(I768=".",".",VLOOKUP($I768,'Price List, Weapons &amp; Items'!A:I,3,0))</f>
        <v>.</v>
      </c>
      <c r="AP768" s="517" t="str">
        <f t="shared" ca="1" si="175"/>
        <v>.</v>
      </c>
      <c r="AQ768" s="521" t="str">
        <f>VLOOKUP($I768,'Price List, Weapons &amp; Items'!A:K,COLUMN('Price List, Weapons &amp; Items'!$K$1),0)</f>
        <v>no price, 0 count</v>
      </c>
      <c r="AS768" s="521">
        <f t="shared" si="168"/>
        <v>1</v>
      </c>
      <c r="AT768" s="521">
        <f t="shared" si="169"/>
        <v>0</v>
      </c>
      <c r="AU768" s="521">
        <f t="shared" si="170"/>
        <v>1</v>
      </c>
      <c r="AV768" s="521" t="str">
        <f t="shared" si="171"/>
        <v>.</v>
      </c>
    </row>
    <row r="769" spans="1:48" s="518" customFormat="1" ht="15" customHeight="1">
      <c r="A769" s="41" t="s">
        <v>2177</v>
      </c>
      <c r="B769" s="41" t="s">
        <v>2162</v>
      </c>
      <c r="C769" s="511" t="s">
        <v>2178</v>
      </c>
      <c r="D769" s="18" t="s">
        <v>228</v>
      </c>
      <c r="E769" s="18" t="s">
        <v>239</v>
      </c>
      <c r="F769" s="512" t="s">
        <v>2179</v>
      </c>
      <c r="G769" s="39" t="s">
        <v>332</v>
      </c>
      <c r="H769" s="513">
        <v>1161542</v>
      </c>
      <c r="I769" s="41" t="s">
        <v>623</v>
      </c>
      <c r="J769" s="276" t="str">
        <f>VLOOKUP($I769,'Price List, Weapons &amp; Items'!A:B,2,0)</f>
        <v>Humanitarian</v>
      </c>
      <c r="K769" s="276" t="str">
        <f>IF(I769=".",I769,VLOOKUP($I769,'Price List, Weapons &amp; Items'!A:C,3,0))</f>
        <v>.</v>
      </c>
      <c r="L769" s="514">
        <f>VLOOKUP(I769,'Price List, Weapons &amp; Items'!A:D,4,0)</f>
        <v>0</v>
      </c>
      <c r="M769" s="515">
        <v>11</v>
      </c>
      <c r="N769" s="515" t="s">
        <v>232</v>
      </c>
      <c r="O769" s="516">
        <f>VLOOKUP($I769,'Price List, Weapons &amp; Items'!A:F,6,0)</f>
        <v>10000</v>
      </c>
      <c r="P769" s="513">
        <f t="shared" si="172"/>
        <v>110000</v>
      </c>
      <c r="Q769" s="513" t="str">
        <f t="shared" si="173"/>
        <v>.</v>
      </c>
      <c r="R769" s="513">
        <f t="shared" si="174"/>
        <v>1161542</v>
      </c>
      <c r="S769" s="513">
        <f>IF(AND(AD769=1,R769&lt;&gt;".")=TRUE,R769/VLOOKUP(G769,'Exchange rates'!B:C,2,0),IF(R769=".",".",""))</f>
        <v>1161542</v>
      </c>
      <c r="T769" s="513" t="str">
        <f>IF(AD769=1,IF(AF769="Value is not given at all",".",IF(AF769="Value is given by the source",S769,IF(AF769="Value is calculated with prices",(IF(SUMIFS(Q:Q,A:A,A769)&gt;0,SUMIFS(Q:Q,A:A,A769),"."))/VLOOKUP("USD",'Exchange rates'!B:C,2,0),"Error with coding"))),"")</f>
        <v>.</v>
      </c>
      <c r="U769" s="39" t="s">
        <v>233</v>
      </c>
      <c r="V769" s="42" t="s">
        <v>2180</v>
      </c>
      <c r="W769" s="42" t="s">
        <v>2181</v>
      </c>
      <c r="X769" s="42" t="s">
        <v>2182</v>
      </c>
      <c r="Y769" s="512" t="s">
        <v>232</v>
      </c>
      <c r="Z769" s="39">
        <v>0</v>
      </c>
      <c r="AA769" s="39">
        <v>0</v>
      </c>
      <c r="AB769" s="521" t="s">
        <v>232</v>
      </c>
      <c r="AC769" s="519" t="str">
        <f>""</f>
        <v/>
      </c>
      <c r="AD769" s="522">
        <v>1</v>
      </c>
      <c r="AE769" s="522" t="s">
        <v>236</v>
      </c>
      <c r="AF769" s="522" t="s">
        <v>237</v>
      </c>
      <c r="AG769" s="522">
        <v>0</v>
      </c>
      <c r="AH769" s="520">
        <v>0</v>
      </c>
      <c r="AI769" s="520">
        <v>0</v>
      </c>
      <c r="AJ769" s="520">
        <f>VLOOKUP($I769,'Price List, Weapons &amp; Items'!A:E,5,0)</f>
        <v>0</v>
      </c>
      <c r="AK769" s="520">
        <f t="shared" si="165"/>
        <v>0</v>
      </c>
      <c r="AL769" s="520">
        <f t="shared" si="166"/>
        <v>0</v>
      </c>
      <c r="AM769" s="520">
        <f t="shared" si="167"/>
        <v>0</v>
      </c>
      <c r="AN769" s="521" t="str">
        <f>VLOOKUP($I769,'Price List, Weapons &amp; Items'!A:K,COLUMN('Price List, Weapons &amp; Items'!$I$1),0)</f>
        <v>Miscellaneous</v>
      </c>
      <c r="AO769" s="521" t="str">
        <f>IF(I769=".",".",VLOOKUP($I769,'Price List, Weapons &amp; Items'!A:I,3,0))</f>
        <v>.</v>
      </c>
      <c r="AP769" s="517" t="str">
        <f t="shared" ca="1" si="175"/>
        <v>ton of medical equipment</v>
      </c>
      <c r="AQ769" s="521">
        <f>VLOOKUP($I769,'Price List, Weapons &amp; Items'!A:K,COLUMN('Price List, Weapons &amp; Items'!$K$1),0)</f>
        <v>0</v>
      </c>
      <c r="AS769" s="521">
        <f t="shared" si="168"/>
        <v>1</v>
      </c>
      <c r="AT769" s="521">
        <f t="shared" si="169"/>
        <v>0</v>
      </c>
      <c r="AU769" s="521" t="str">
        <f t="shared" si="170"/>
        <v>Value is not in date format</v>
      </c>
      <c r="AV769" s="521" t="str">
        <f t="shared" si="171"/>
        <v>.</v>
      </c>
    </row>
    <row r="770" spans="1:48" s="518" customFormat="1" ht="15" customHeight="1">
      <c r="A770" s="41" t="s">
        <v>2183</v>
      </c>
      <c r="B770" s="40" t="s">
        <v>2162</v>
      </c>
      <c r="C770" s="511">
        <v>44659</v>
      </c>
      <c r="D770" s="18" t="s">
        <v>228</v>
      </c>
      <c r="E770" s="18" t="s">
        <v>411</v>
      </c>
      <c r="F770" s="512" t="s">
        <v>2184</v>
      </c>
      <c r="G770" s="39" t="s">
        <v>314</v>
      </c>
      <c r="H770" s="513" t="s">
        <v>309</v>
      </c>
      <c r="I770" s="41" t="s">
        <v>623</v>
      </c>
      <c r="J770" s="276" t="str">
        <f>VLOOKUP($I770,'Price List, Weapons &amp; Items'!A:B,2,0)</f>
        <v>Humanitarian</v>
      </c>
      <c r="K770" s="276" t="str">
        <f>IF(I770=".",I770,VLOOKUP($I770,'Price List, Weapons &amp; Items'!A:C,3,0))</f>
        <v>.</v>
      </c>
      <c r="L770" s="514">
        <f>VLOOKUP(I770,'Price List, Weapons &amp; Items'!A:D,4,0)</f>
        <v>0</v>
      </c>
      <c r="M770" s="515">
        <v>50</v>
      </c>
      <c r="N770" s="515" t="s">
        <v>232</v>
      </c>
      <c r="O770" s="516">
        <f>VLOOKUP($I770,'Price List, Weapons &amp; Items'!A:F,6,0)</f>
        <v>10000</v>
      </c>
      <c r="P770" s="513">
        <f t="shared" si="172"/>
        <v>500000</v>
      </c>
      <c r="Q770" s="513" t="str">
        <f t="shared" si="173"/>
        <v>.</v>
      </c>
      <c r="R770" s="513">
        <f t="shared" si="174"/>
        <v>500000</v>
      </c>
      <c r="S770" s="513">
        <f>IF(AND(AD770=1,R770&lt;&gt;".")=TRUE,R770/VLOOKUP(G770,'Exchange rates'!B:C,2,0),IF(R770=".",".",""))</f>
        <v>498256.10363726952</v>
      </c>
      <c r="T770" s="513" t="str">
        <f>IF(AD770=1,IF(AF770="Value is not given at all",".",IF(AF770="Value is given by the source",S770,IF(AF770="Value is calculated with prices",(IF(SUMIFS(Q:Q,A:A,A770)&gt;0,SUMIFS(Q:Q,A:A,A770),"."))/VLOOKUP("USD",'Exchange rates'!B:C,2,0),"Error with coding"))),"")</f>
        <v>.</v>
      </c>
      <c r="U770" s="39" t="s">
        <v>233</v>
      </c>
      <c r="V770" s="42" t="s">
        <v>2181</v>
      </c>
      <c r="W770" s="42" t="s">
        <v>2182</v>
      </c>
      <c r="X770" s="42" t="s">
        <v>2181</v>
      </c>
      <c r="Y770" s="512" t="s">
        <v>232</v>
      </c>
      <c r="Z770" s="47">
        <v>0</v>
      </c>
      <c r="AA770" s="518">
        <v>0</v>
      </c>
      <c r="AB770" s="38" t="s">
        <v>232</v>
      </c>
      <c r="AC770" s="519" t="str">
        <f>""</f>
        <v/>
      </c>
      <c r="AD770" s="522">
        <v>1</v>
      </c>
      <c r="AE770" s="522" t="s">
        <v>300</v>
      </c>
      <c r="AF770" s="522" t="s">
        <v>237</v>
      </c>
      <c r="AG770" s="522">
        <v>1</v>
      </c>
      <c r="AH770" s="520">
        <v>4</v>
      </c>
      <c r="AI770" s="520">
        <v>0</v>
      </c>
      <c r="AJ770" s="520">
        <f>VLOOKUP($I770,'Price List, Weapons &amp; Items'!A:E,5,0)</f>
        <v>0</v>
      </c>
      <c r="AK770" s="520">
        <f t="shared" si="165"/>
        <v>0</v>
      </c>
      <c r="AL770" s="520">
        <f t="shared" si="166"/>
        <v>0</v>
      </c>
      <c r="AM770" s="520">
        <f t="shared" si="167"/>
        <v>0</v>
      </c>
      <c r="AN770" s="521" t="str">
        <f>VLOOKUP($I770,'Price List, Weapons &amp; Items'!A:K,COLUMN('Price List, Weapons &amp; Items'!$I$1),0)</f>
        <v>Miscellaneous</v>
      </c>
      <c r="AO770" s="521" t="str">
        <f>IF(I770=".",".",VLOOKUP($I770,'Price List, Weapons &amp; Items'!A:I,3,0))</f>
        <v>.</v>
      </c>
      <c r="AP770" s="517" t="str">
        <f t="shared" ca="1" si="175"/>
        <v>ton of medical equipment</v>
      </c>
      <c r="AQ770" s="521">
        <f>VLOOKUP($I770,'Price List, Weapons &amp; Items'!A:K,COLUMN('Price List, Weapons &amp; Items'!$K$1),0)</f>
        <v>0</v>
      </c>
      <c r="AS770" s="521">
        <f t="shared" si="168"/>
        <v>1</v>
      </c>
      <c r="AT770" s="521">
        <f t="shared" si="169"/>
        <v>0</v>
      </c>
      <c r="AU770" s="521">
        <f t="shared" si="170"/>
        <v>1</v>
      </c>
      <c r="AV770" s="521" t="str">
        <f t="shared" si="171"/>
        <v>.</v>
      </c>
    </row>
    <row r="771" spans="1:48" s="518" customFormat="1" ht="15" customHeight="1">
      <c r="A771" s="41" t="s">
        <v>2185</v>
      </c>
      <c r="B771" s="41" t="s">
        <v>2162</v>
      </c>
      <c r="C771" s="511">
        <v>44719</v>
      </c>
      <c r="D771" s="18" t="s">
        <v>228</v>
      </c>
      <c r="E771" s="18" t="s">
        <v>330</v>
      </c>
      <c r="F771" s="512" t="s">
        <v>2186</v>
      </c>
      <c r="G771" s="39" t="s">
        <v>332</v>
      </c>
      <c r="H771" s="513">
        <v>50000000</v>
      </c>
      <c r="I771" s="41" t="s">
        <v>232</v>
      </c>
      <c r="J771" s="276" t="str">
        <f>VLOOKUP($I771,'Price List, Weapons &amp; Items'!A:B,2,0)</f>
        <v>.</v>
      </c>
      <c r="K771" s="276" t="str">
        <f>IF(I771=".",I771,VLOOKUP($I771,'Price List, Weapons &amp; Items'!A:C,3,0))</f>
        <v>.</v>
      </c>
      <c r="L771" s="514">
        <f>VLOOKUP(I771,'Price List, Weapons &amp; Items'!A:D,4,0)</f>
        <v>0</v>
      </c>
      <c r="M771" s="527" t="s">
        <v>232</v>
      </c>
      <c r="N771" s="527" t="s">
        <v>232</v>
      </c>
      <c r="O771" s="516" t="str">
        <f>VLOOKUP($I771,'Price List, Weapons &amp; Items'!A:F,6,0)</f>
        <v>.</v>
      </c>
      <c r="P771" s="513" t="str">
        <f t="shared" si="172"/>
        <v>.</v>
      </c>
      <c r="Q771" s="513" t="str">
        <f t="shared" si="173"/>
        <v>.</v>
      </c>
      <c r="R771" s="513">
        <f t="shared" si="174"/>
        <v>50000000</v>
      </c>
      <c r="S771" s="513">
        <f>IF(AND(AD771=1,R771&lt;&gt;".")=TRUE,R771/VLOOKUP(G771,'Exchange rates'!B:C,2,0),IF(R771=".",".",""))</f>
        <v>50000000</v>
      </c>
      <c r="T771" s="513" t="str">
        <f>IF(AD771=1,IF(AF771="Value is not given at all",".",IF(AF771="Value is given by the source",S771,IF(AF771="Value is calculated with prices",(IF(SUMIFS(Q:Q,A:A,A771)&gt;0,SUMIFS(Q:Q,A:A,A771),"."))/VLOOKUP("USD",'Exchange rates'!B:C,2,0),"Error with coding"))),"")</f>
        <v>.</v>
      </c>
      <c r="U771" s="39" t="s">
        <v>372</v>
      </c>
      <c r="V771" s="42" t="s">
        <v>2187</v>
      </c>
      <c r="W771" s="42" t="s">
        <v>2188</v>
      </c>
      <c r="X771" s="531" t="s">
        <v>232</v>
      </c>
      <c r="Y771" s="512" t="s">
        <v>232</v>
      </c>
      <c r="Z771" s="39">
        <v>0</v>
      </c>
      <c r="AA771" s="518">
        <v>0</v>
      </c>
      <c r="AB771" s="41" t="s">
        <v>232</v>
      </c>
      <c r="AC771" s="519" t="str">
        <f>""</f>
        <v/>
      </c>
      <c r="AD771" s="522">
        <v>1</v>
      </c>
      <c r="AE771" s="522" t="s">
        <v>236</v>
      </c>
      <c r="AF771" s="522" t="s">
        <v>237</v>
      </c>
      <c r="AG771" s="522">
        <v>1</v>
      </c>
      <c r="AH771" s="520">
        <v>6</v>
      </c>
      <c r="AI771" s="520">
        <v>0</v>
      </c>
      <c r="AJ771" s="520">
        <f>VLOOKUP($I771,'Price List, Weapons &amp; Items'!A:E,5,0)</f>
        <v>0</v>
      </c>
      <c r="AK771" s="520">
        <f t="shared" si="165"/>
        <v>0</v>
      </c>
      <c r="AL771" s="520">
        <f t="shared" si="166"/>
        <v>0</v>
      </c>
      <c r="AM771" s="520">
        <f t="shared" si="167"/>
        <v>0</v>
      </c>
      <c r="AN771" s="521" t="str">
        <f>VLOOKUP($I771,'Price List, Weapons &amp; Items'!A:K,COLUMN('Price List, Weapons &amp; Items'!$I$1),0)</f>
        <v>.</v>
      </c>
      <c r="AO771" s="521" t="str">
        <f>IF(I771=".",".",VLOOKUP($I771,'Price List, Weapons &amp; Items'!A:I,3,0))</f>
        <v>.</v>
      </c>
      <c r="AP771" s="517" t="str">
        <f t="shared" ca="1" si="175"/>
        <v>.</v>
      </c>
      <c r="AQ771" s="521" t="str">
        <f>VLOOKUP($I771,'Price List, Weapons &amp; Items'!A:K,COLUMN('Price List, Weapons &amp; Items'!$K$1),0)</f>
        <v>no price, 0 count</v>
      </c>
      <c r="AS771" s="521">
        <f t="shared" si="168"/>
        <v>0</v>
      </c>
      <c r="AT771" s="521">
        <f t="shared" si="169"/>
        <v>0</v>
      </c>
      <c r="AU771" s="521">
        <f t="shared" si="170"/>
        <v>1</v>
      </c>
      <c r="AV771" s="521" t="str">
        <f t="shared" si="171"/>
        <v>.</v>
      </c>
    </row>
    <row r="772" spans="1:48" ht="15" customHeight="1">
      <c r="A772" s="18" t="s">
        <v>2189</v>
      </c>
      <c r="B772" s="18" t="s">
        <v>2162</v>
      </c>
      <c r="C772" s="511">
        <v>44622</v>
      </c>
      <c r="D772" s="18" t="s">
        <v>252</v>
      </c>
      <c r="E772" s="18" t="s">
        <v>307</v>
      </c>
      <c r="F772" s="512" t="s">
        <v>2190</v>
      </c>
      <c r="G772" s="39" t="s">
        <v>314</v>
      </c>
      <c r="H772" s="513" t="s">
        <v>309</v>
      </c>
      <c r="I772" s="41" t="s">
        <v>2191</v>
      </c>
      <c r="J772" s="276" t="str">
        <f>VLOOKUP($I772,'Price List, Weapons &amp; Items'!A:B,2,0)</f>
        <v>Portable defence system</v>
      </c>
      <c r="K772" s="276" t="str">
        <f>IF(I772=".",I772,VLOOKUP($I772,'Price List, Weapons &amp; Items'!A:C,3,0))</f>
        <v>Grenade launcher</v>
      </c>
      <c r="L772" s="514">
        <f>VLOOKUP(I772,'Price List, Weapons &amp; Items'!A:D,4,0)</f>
        <v>0</v>
      </c>
      <c r="M772" s="515">
        <v>1370</v>
      </c>
      <c r="N772" s="515">
        <v>1370</v>
      </c>
      <c r="O772" s="516">
        <f>VLOOKUP($I772,'Price List, Weapons &amp; Items'!A:F,6,0)</f>
        <v>20000</v>
      </c>
      <c r="P772" s="513">
        <f t="shared" si="172"/>
        <v>27400000</v>
      </c>
      <c r="Q772" s="513">
        <f t="shared" si="173"/>
        <v>27400000</v>
      </c>
      <c r="R772" s="513">
        <f t="shared" si="174"/>
        <v>27995000</v>
      </c>
      <c r="S772" s="513">
        <f>IF(AND(AD772=1,R772&lt;&gt;".")=TRUE,R772/VLOOKUP(G772,'Exchange rates'!B:C,2,0),IF(R772=".",".",""))</f>
        <v>27897359.242650721</v>
      </c>
      <c r="T772" s="513">
        <f>IF(AD772=1,IF(AF772="Value is not given at all",".",IF(AF772="Value is given by the source",S772,IF(AF772="Value is calculated with prices",(IF(SUMIFS(Q:Q,A:A,A772)&gt;0,SUMIFS(Q:Q,A:A,A772),"."))/VLOOKUP("USD",'Exchange rates'!B:C,2,0),"Error with coding"))),"")</f>
        <v>27897359.242650721</v>
      </c>
      <c r="U772" s="39" t="s">
        <v>372</v>
      </c>
      <c r="V772" s="376" t="s">
        <v>2192</v>
      </c>
      <c r="W772" s="376" t="s">
        <v>2193</v>
      </c>
      <c r="X772" s="530" t="s">
        <v>232</v>
      </c>
      <c r="Y772" s="530" t="s">
        <v>232</v>
      </c>
      <c r="Z772" s="39">
        <v>0</v>
      </c>
      <c r="AA772" s="518">
        <v>0</v>
      </c>
      <c r="AB772" s="394" t="s">
        <v>2194</v>
      </c>
      <c r="AC772" s="519" t="str">
        <f>""</f>
        <v/>
      </c>
      <c r="AD772" s="520">
        <v>1</v>
      </c>
      <c r="AE772" s="520" t="s">
        <v>300</v>
      </c>
      <c r="AF772" s="520" t="s">
        <v>300</v>
      </c>
      <c r="AG772" s="520">
        <v>1</v>
      </c>
      <c r="AH772" s="520">
        <v>3</v>
      </c>
      <c r="AI772" s="520">
        <v>0</v>
      </c>
      <c r="AJ772" s="520">
        <f>VLOOKUP($I772,'Price List, Weapons &amp; Items'!A:E,5,0)</f>
        <v>0</v>
      </c>
      <c r="AK772" s="520">
        <f t="shared" si="165"/>
        <v>0</v>
      </c>
      <c r="AL772" s="520">
        <f t="shared" si="166"/>
        <v>0</v>
      </c>
      <c r="AM772" s="520">
        <f t="shared" si="167"/>
        <v>0</v>
      </c>
      <c r="AN772" s="521" t="str">
        <f>VLOOKUP($I772,'Price List, Weapons &amp; Items'!A:K,COLUMN('Price List, Weapons &amp; Items'!$I$1),0)</f>
        <v>Miscellaneous</v>
      </c>
      <c r="AO772" s="521" t="str">
        <f>IF(I772=".",".",VLOOKUP($I772,'Price List, Weapons &amp; Items'!A:I,3,0))</f>
        <v>Grenade launcher</v>
      </c>
      <c r="AP772" s="517" t="str">
        <f t="shared" ca="1" si="175"/>
        <v>SB-40 LAG; rifle + MG Round; light machine gun</v>
      </c>
      <c r="AQ772" s="521">
        <f>VLOOKUP($I772,'Price List, Weapons &amp; Items'!A:K,COLUMN('Price List, Weapons &amp; Items'!$K$1),0)</f>
        <v>2</v>
      </c>
      <c r="AS772" s="521">
        <f t="shared" si="168"/>
        <v>0</v>
      </c>
      <c r="AT772" s="521">
        <f t="shared" si="169"/>
        <v>1</v>
      </c>
      <c r="AU772" s="521">
        <f t="shared" si="170"/>
        <v>1</v>
      </c>
      <c r="AV772" s="521" t="str">
        <f t="shared" si="171"/>
        <v>.</v>
      </c>
    </row>
    <row r="773" spans="1:48" ht="15" customHeight="1">
      <c r="A773" s="18" t="s">
        <v>2189</v>
      </c>
      <c r="B773" s="18" t="s">
        <v>2162</v>
      </c>
      <c r="C773" s="511">
        <v>44622</v>
      </c>
      <c r="D773" s="18" t="s">
        <v>252</v>
      </c>
      <c r="E773" s="18" t="s">
        <v>307</v>
      </c>
      <c r="F773" s="512" t="s">
        <v>2190</v>
      </c>
      <c r="G773" s="39" t="s">
        <v>314</v>
      </c>
      <c r="H773" s="513" t="s">
        <v>309</v>
      </c>
      <c r="I773" s="41" t="s">
        <v>2195</v>
      </c>
      <c r="J773" s="276" t="str">
        <f>VLOOKUP($I773,'Price List, Weapons &amp; Items'!A:B,2,0)</f>
        <v>Ammunition for light infantry</v>
      </c>
      <c r="K773" s="276" t="str">
        <f>IF(I773=".",I773,VLOOKUP($I773,'Price List, Weapons &amp; Items'!A:C,3,0))</f>
        <v>Small Arms and Light Weapons (SALW) ammunition</v>
      </c>
      <c r="L773" s="514">
        <f>VLOOKUP(I773,'Price List, Weapons &amp; Items'!A:D,4,0)</f>
        <v>0</v>
      </c>
      <c r="M773" s="515">
        <v>700000</v>
      </c>
      <c r="N773" s="515">
        <v>700000</v>
      </c>
      <c r="O773" s="516">
        <f>VLOOKUP($I773,'Price List, Weapons &amp; Items'!A:F,6,0)</f>
        <v>0.85</v>
      </c>
      <c r="P773" s="513">
        <f t="shared" si="172"/>
        <v>595000</v>
      </c>
      <c r="Q773" s="513">
        <f t="shared" si="173"/>
        <v>595000</v>
      </c>
      <c r="R773" s="513" t="str">
        <f t="shared" si="174"/>
        <v/>
      </c>
      <c r="S773" s="513" t="str">
        <f>IF(AND(AD773=1,R773&lt;&gt;".")=TRUE,R773/VLOOKUP(G773,'Exchange rates'!B:C,2,0),IF(R773=".",".",""))</f>
        <v/>
      </c>
      <c r="T773" s="513" t="str">
        <f>IF(AD773=1,IF(AF773="Value is not given at all",".",IF(AF773="Value is given by the source",S773,IF(AF773="Value is calculated with prices",(IF(SUMIFS(Q:Q,A:A,A773)&gt;0,SUMIFS(Q:Q,A:A,A773),"."))/VLOOKUP("USD",'Exchange rates'!B:C,2,0),"Error with coding"))),"")</f>
        <v/>
      </c>
      <c r="U773" s="39" t="s">
        <v>372</v>
      </c>
      <c r="V773" s="376" t="s">
        <v>2192</v>
      </c>
      <c r="W773" s="376" t="s">
        <v>2193</v>
      </c>
      <c r="X773" s="530" t="s">
        <v>232</v>
      </c>
      <c r="Y773" s="530" t="s">
        <v>232</v>
      </c>
      <c r="Z773" s="39">
        <v>0</v>
      </c>
      <c r="AA773" s="518">
        <v>0</v>
      </c>
      <c r="AB773" s="394" t="s">
        <v>2194</v>
      </c>
      <c r="AC773" s="519" t="str">
        <f>""</f>
        <v/>
      </c>
      <c r="AD773" s="520">
        <v>0</v>
      </c>
      <c r="AE773" s="520" t="s">
        <v>300</v>
      </c>
      <c r="AF773" s="520" t="s">
        <v>300</v>
      </c>
      <c r="AG773" s="520">
        <v>1</v>
      </c>
      <c r="AH773" s="520">
        <v>3</v>
      </c>
      <c r="AI773" s="520">
        <v>0</v>
      </c>
      <c r="AJ773" s="520">
        <f>VLOOKUP($I773,'Price List, Weapons &amp; Items'!A:E,5,0)</f>
        <v>0</v>
      </c>
      <c r="AK773" s="520">
        <f t="shared" ref="AK773:AK836" si="176">IF(AND(AJ773=1,M773="undisclosed")=TRUE,1,0)</f>
        <v>0</v>
      </c>
      <c r="AL773" s="520">
        <f t="shared" ref="AL773:AL836" si="177">IF(AND(AJ773=1,N773="undisclosed")=TRUE,1,0)</f>
        <v>0</v>
      </c>
      <c r="AM773" s="520">
        <f t="shared" ref="AM773:AM836" si="178">IFERROR(IF(SEARCH("ammuni",I773,1)&gt;0,1,0),0)</f>
        <v>0</v>
      </c>
      <c r="AN773" s="521" t="str">
        <f>VLOOKUP($I773,'Price List, Weapons &amp; Items'!A:K,COLUMN('Price List, Weapons &amp; Items'!$I$1),0)</f>
        <v>Online marketplaces and stores</v>
      </c>
      <c r="AO773" s="521" t="str">
        <f>IF(I773=".",".",VLOOKUP($I773,'Price List, Weapons &amp; Items'!A:I,3,0))</f>
        <v>Small Arms and Light Weapons (SALW) ammunition</v>
      </c>
      <c r="AP773" s="517" t="str">
        <f t="shared" ca="1" si="175"/>
        <v/>
      </c>
      <c r="AQ773" s="521">
        <f>VLOOKUP($I773,'Price List, Weapons &amp; Items'!A:K,COLUMN('Price List, Weapons &amp; Items'!$K$1),0)</f>
        <v>1</v>
      </c>
      <c r="AS773" s="521">
        <f t="shared" ref="AS773:AS836" si="179">IF(U773="Yes",1,0)</f>
        <v>0</v>
      </c>
      <c r="AT773" s="521">
        <f t="shared" ref="AT773:AT836" si="180">IF(OR((E773="Weapons"),(E773="Weapons and equipment"),(E773="Weapons and training"),(E773="Weapons and Assistance"),(E773="Military Equipment"))=FALSE,0,1)</f>
        <v>1</v>
      </c>
      <c r="AU773" s="521">
        <f t="shared" ref="AU773:AU836" si="181">IFERROR(IF(VALUE(TEXT(C773,"mm"))=AH773,".",1),"Value is not in date format")</f>
        <v>1</v>
      </c>
      <c r="AV773" s="521" t="str">
        <f t="shared" si="171"/>
        <v>.</v>
      </c>
    </row>
    <row r="774" spans="1:48" ht="15" customHeight="1">
      <c r="A774" s="18" t="s">
        <v>2189</v>
      </c>
      <c r="B774" s="18" t="s">
        <v>2162</v>
      </c>
      <c r="C774" s="511">
        <v>44622</v>
      </c>
      <c r="D774" s="18" t="s">
        <v>252</v>
      </c>
      <c r="E774" s="18" t="s">
        <v>307</v>
      </c>
      <c r="F774" s="512" t="s">
        <v>2190</v>
      </c>
      <c r="G774" s="39" t="s">
        <v>314</v>
      </c>
      <c r="H774" s="513" t="s">
        <v>309</v>
      </c>
      <c r="I774" s="41" t="s">
        <v>2196</v>
      </c>
      <c r="J774" s="276" t="str">
        <f>VLOOKUP($I774,'Price List, Weapons &amp; Items'!A:B,2,0)</f>
        <v>Light armaments &amp; infantry</v>
      </c>
      <c r="K774" s="276" t="str">
        <f>IF(I774=".",I774,VLOOKUP($I774,'Price List, Weapons &amp; Items'!A:C,3,0))</f>
        <v>Small Arms and Light Weapons (SALW)</v>
      </c>
      <c r="L774" s="514">
        <f>VLOOKUP(I774,'Price List, Weapons &amp; Items'!A:D,4,0)</f>
        <v>0</v>
      </c>
      <c r="M774" s="515" t="s">
        <v>264</v>
      </c>
      <c r="N774" s="515" t="s">
        <v>264</v>
      </c>
      <c r="O774" s="516">
        <f>VLOOKUP($I774,'Price List, Weapons &amp; Items'!A:F,6,0)</f>
        <v>5300</v>
      </c>
      <c r="P774" s="513" t="str">
        <f t="shared" si="172"/>
        <v>.</v>
      </c>
      <c r="Q774" s="513" t="str">
        <f t="shared" si="173"/>
        <v>.</v>
      </c>
      <c r="R774" s="513" t="str">
        <f t="shared" si="174"/>
        <v/>
      </c>
      <c r="S774" s="513" t="str">
        <f>IF(AND(AD774=1,R774&lt;&gt;".")=TRUE,R774/VLOOKUP(G774,'Exchange rates'!B:C,2,0),IF(R774=".",".",""))</f>
        <v/>
      </c>
      <c r="T774" s="513" t="str">
        <f>IF(AD774=1,IF(AF774="Value is not given at all",".",IF(AF774="Value is given by the source",S774,IF(AF774="Value is calculated with prices",(IF(SUMIFS(Q:Q,A:A,A774)&gt;0,SUMIFS(Q:Q,A:A,A774),"."))/VLOOKUP("USD",'Exchange rates'!B:C,2,0),"Error with coding"))),"")</f>
        <v/>
      </c>
      <c r="U774" s="39" t="s">
        <v>372</v>
      </c>
      <c r="V774" s="376" t="s">
        <v>2192</v>
      </c>
      <c r="W774" s="376" t="s">
        <v>2193</v>
      </c>
      <c r="X774" s="530" t="s">
        <v>232</v>
      </c>
      <c r="Y774" s="530" t="s">
        <v>232</v>
      </c>
      <c r="Z774" s="39">
        <v>0</v>
      </c>
      <c r="AA774" s="518">
        <v>0</v>
      </c>
      <c r="AB774" s="394" t="s">
        <v>2194</v>
      </c>
      <c r="AC774" s="519" t="str">
        <f>""</f>
        <v/>
      </c>
      <c r="AD774" s="520">
        <v>0</v>
      </c>
      <c r="AE774" s="520" t="s">
        <v>300</v>
      </c>
      <c r="AF774" s="520" t="s">
        <v>300</v>
      </c>
      <c r="AG774" s="520">
        <v>1</v>
      </c>
      <c r="AH774" s="520">
        <v>3</v>
      </c>
      <c r="AI774" s="520">
        <v>0</v>
      </c>
      <c r="AJ774" s="520">
        <f>VLOOKUP($I774,'Price List, Weapons &amp; Items'!A:E,5,0)</f>
        <v>0</v>
      </c>
      <c r="AK774" s="520">
        <f t="shared" si="176"/>
        <v>0</v>
      </c>
      <c r="AL774" s="520">
        <f t="shared" si="177"/>
        <v>0</v>
      </c>
      <c r="AM774" s="520">
        <f t="shared" si="178"/>
        <v>0</v>
      </c>
      <c r="AN774" s="521" t="str">
        <f>VLOOKUP($I774,'Price List, Weapons &amp; Items'!A:K,COLUMN('Price List, Weapons &amp; Items'!$I$1),0)</f>
        <v>Miscellaneous</v>
      </c>
      <c r="AO774" s="521" t="str">
        <f>IF(I774=".",".",VLOOKUP($I774,'Price List, Weapons &amp; Items'!A:I,3,0))</f>
        <v>Small Arms and Light Weapons (SALW)</v>
      </c>
      <c r="AP774" s="517" t="str">
        <f t="shared" ca="1" si="175"/>
        <v/>
      </c>
      <c r="AQ774" s="521" t="str">
        <f>VLOOKUP($I774,'Price List, Weapons &amp; Items'!A:K,COLUMN('Price List, Weapons &amp; Items'!$K$1),0)</f>
        <v>no price, 0 count</v>
      </c>
      <c r="AS774" s="521">
        <f t="shared" si="179"/>
        <v>0</v>
      </c>
      <c r="AT774" s="521">
        <f t="shared" si="180"/>
        <v>1</v>
      </c>
      <c r="AU774" s="521">
        <f t="shared" si="181"/>
        <v>1</v>
      </c>
      <c r="AV774" s="521" t="str">
        <f t="shared" ref="AV774:AV837" si="182">IF(AND(A774=A773,C774=C773)=TRUE,IF(F774=F773,".","1"),".")</f>
        <v>.</v>
      </c>
    </row>
    <row r="775" spans="1:48" ht="15" customHeight="1">
      <c r="A775" s="41" t="s">
        <v>2197</v>
      </c>
      <c r="B775" s="41" t="s">
        <v>2162</v>
      </c>
      <c r="C775" s="511">
        <v>44631</v>
      </c>
      <c r="D775" s="18" t="s">
        <v>252</v>
      </c>
      <c r="E775" s="18" t="s">
        <v>307</v>
      </c>
      <c r="F775" s="512" t="s">
        <v>2198</v>
      </c>
      <c r="G775" s="39" t="s">
        <v>232</v>
      </c>
      <c r="H775" s="513" t="s">
        <v>309</v>
      </c>
      <c r="I775" s="41" t="s">
        <v>232</v>
      </c>
      <c r="J775" s="276" t="str">
        <f>VLOOKUP($I775,'Price List, Weapons &amp; Items'!A:B,2,0)</f>
        <v>.</v>
      </c>
      <c r="K775" s="276" t="str">
        <f>IF(I775=".",I775,VLOOKUP($I775,'Price List, Weapons &amp; Items'!A:C,3,0))</f>
        <v>.</v>
      </c>
      <c r="L775" s="514">
        <f>VLOOKUP(I775,'Price List, Weapons &amp; Items'!A:D,4,0)</f>
        <v>0</v>
      </c>
      <c r="M775" s="515" t="s">
        <v>232</v>
      </c>
      <c r="N775" s="515" t="s">
        <v>232</v>
      </c>
      <c r="O775" s="516" t="str">
        <f>VLOOKUP($I775,'Price List, Weapons &amp; Items'!A:F,6,0)</f>
        <v>.</v>
      </c>
      <c r="P775" s="513" t="str">
        <f t="shared" si="172"/>
        <v>.</v>
      </c>
      <c r="Q775" s="513" t="str">
        <f t="shared" si="173"/>
        <v>.</v>
      </c>
      <c r="R775" s="513" t="str">
        <f t="shared" si="174"/>
        <v>.</v>
      </c>
      <c r="S775" s="513" t="str">
        <f>IF(AND(AD775=1,R775&lt;&gt;".")=TRUE,R775/VLOOKUP(G775,'Exchange rates'!B:C,2,0),IF(R775=".",".",""))</f>
        <v>.</v>
      </c>
      <c r="T775" s="513" t="str">
        <f>IF(AD775=1,IF(AF775="Value is not given at all",".",IF(AF775="Value is given by the source",S775,IF(AF775="Value is calculated with prices",(IF(SUMIFS(Q:Q,A:A,A775)&gt;0,SUMIFS(Q:Q,A:A,A775),"."))/VLOOKUP("USD",'Exchange rates'!B:C,2,0),"Error with coding"))),"")</f>
        <v>.</v>
      </c>
      <c r="U775" s="39" t="s">
        <v>372</v>
      </c>
      <c r="V775" s="42" t="s">
        <v>2199</v>
      </c>
      <c r="W775" s="42" t="s">
        <v>2200</v>
      </c>
      <c r="X775" s="512" t="s">
        <v>232</v>
      </c>
      <c r="Y775" s="512" t="s">
        <v>232</v>
      </c>
      <c r="Z775" s="39">
        <v>0</v>
      </c>
      <c r="AA775" s="39">
        <v>0</v>
      </c>
      <c r="AB775" s="523" t="s">
        <v>232</v>
      </c>
      <c r="AC775" s="519" t="str">
        <f>""</f>
        <v/>
      </c>
      <c r="AD775" s="522">
        <v>1</v>
      </c>
      <c r="AE775" s="522" t="s">
        <v>237</v>
      </c>
      <c r="AF775" s="522" t="s">
        <v>237</v>
      </c>
      <c r="AG775" s="522">
        <v>1</v>
      </c>
      <c r="AH775" s="520">
        <v>3</v>
      </c>
      <c r="AI775" s="520">
        <v>0</v>
      </c>
      <c r="AJ775" s="520">
        <f>VLOOKUP($I775,'Price List, Weapons &amp; Items'!A:E,5,0)</f>
        <v>0</v>
      </c>
      <c r="AK775" s="520">
        <f t="shared" si="176"/>
        <v>0</v>
      </c>
      <c r="AL775" s="520">
        <f t="shared" si="177"/>
        <v>0</v>
      </c>
      <c r="AM775" s="520">
        <f t="shared" si="178"/>
        <v>0</v>
      </c>
      <c r="AN775" s="521" t="str">
        <f>VLOOKUP($I775,'Price List, Weapons &amp; Items'!A:K,COLUMN('Price List, Weapons &amp; Items'!$I$1),0)</f>
        <v>.</v>
      </c>
      <c r="AO775" s="521" t="str">
        <f>IF(I775=".",".",VLOOKUP($I775,'Price List, Weapons &amp; Items'!A:I,3,0))</f>
        <v>.</v>
      </c>
      <c r="AP775" s="517" t="str">
        <f t="shared" ca="1" si="175"/>
        <v>.</v>
      </c>
      <c r="AQ775" s="521" t="str">
        <f>VLOOKUP($I775,'Price List, Weapons &amp; Items'!A:K,COLUMN('Price List, Weapons &amp; Items'!$K$1),0)</f>
        <v>no price, 0 count</v>
      </c>
      <c r="AS775" s="521">
        <f t="shared" si="179"/>
        <v>0</v>
      </c>
      <c r="AT775" s="521">
        <f t="shared" si="180"/>
        <v>1</v>
      </c>
      <c r="AU775" s="521">
        <f t="shared" si="181"/>
        <v>1</v>
      </c>
      <c r="AV775" s="521" t="str">
        <f t="shared" si="182"/>
        <v>.</v>
      </c>
    </row>
    <row r="776" spans="1:48" ht="15" customHeight="1">
      <c r="A776" s="41" t="s">
        <v>2201</v>
      </c>
      <c r="B776" s="41" t="s">
        <v>2162</v>
      </c>
      <c r="C776" s="511">
        <v>44649</v>
      </c>
      <c r="D776" s="18" t="s">
        <v>252</v>
      </c>
      <c r="E776" s="18" t="s">
        <v>261</v>
      </c>
      <c r="F776" s="512" t="s">
        <v>2202</v>
      </c>
      <c r="G776" s="39" t="s">
        <v>314</v>
      </c>
      <c r="H776" s="513" t="s">
        <v>309</v>
      </c>
      <c r="I776" s="41" t="s">
        <v>2203</v>
      </c>
      <c r="J776" s="276" t="str">
        <f>VLOOKUP($I776,'Price List, Weapons &amp; Items'!A:B,2,0)</f>
        <v>Humanitarian</v>
      </c>
      <c r="K776" s="276" t="str">
        <f>IF(I776=".",I776,VLOOKUP($I776,'Price List, Weapons &amp; Items'!A:C,3,0))</f>
        <v>.</v>
      </c>
      <c r="L776" s="514">
        <f>VLOOKUP(I776,'Price List, Weapons &amp; Items'!A:D,4,0)</f>
        <v>0</v>
      </c>
      <c r="M776" s="515">
        <v>1</v>
      </c>
      <c r="N776" s="515">
        <v>1</v>
      </c>
      <c r="O776" s="516">
        <f>VLOOKUP($I776,'Price List, Weapons &amp; Items'!A:F,6,0)</f>
        <v>644000</v>
      </c>
      <c r="P776" s="513">
        <f t="shared" si="172"/>
        <v>644000</v>
      </c>
      <c r="Q776" s="513">
        <f t="shared" si="173"/>
        <v>644000</v>
      </c>
      <c r="R776" s="513">
        <f t="shared" si="174"/>
        <v>644000</v>
      </c>
      <c r="S776" s="513">
        <f>IF(AND(AD776=1,R776&lt;&gt;".")=TRUE,R776/VLOOKUP(G776,'Exchange rates'!B:C,2,0),IF(R776=".",".",""))</f>
        <v>641753.86148480314</v>
      </c>
      <c r="T776" s="513">
        <f>IF(AD776=1,IF(AF776="Value is not given at all",".",IF(AF776="Value is given by the source",S776,IF(AF776="Value is calculated with prices",(IF(SUMIFS(Q:Q,A:A,A776)&gt;0,SUMIFS(Q:Q,A:A,A776),"."))/VLOOKUP("USD",'Exchange rates'!B:C,2,0),"Error with coding"))),"")</f>
        <v>641753.86148480314</v>
      </c>
      <c r="U776" s="39" t="s">
        <v>233</v>
      </c>
      <c r="V776" s="42" t="s">
        <v>2204</v>
      </c>
      <c r="W776" s="512" t="s">
        <v>232</v>
      </c>
      <c r="X776" s="512" t="s">
        <v>232</v>
      </c>
      <c r="Y776" s="512" t="s">
        <v>232</v>
      </c>
      <c r="Z776" s="39">
        <v>0</v>
      </c>
      <c r="AA776" s="39">
        <v>0</v>
      </c>
      <c r="AB776" s="394" t="s">
        <v>2205</v>
      </c>
      <c r="AC776" s="519" t="str">
        <f>""</f>
        <v/>
      </c>
      <c r="AD776" s="522">
        <v>1</v>
      </c>
      <c r="AE776" s="522" t="s">
        <v>300</v>
      </c>
      <c r="AF776" s="522" t="s">
        <v>300</v>
      </c>
      <c r="AG776" s="522">
        <v>1</v>
      </c>
      <c r="AH776" s="520">
        <v>3</v>
      </c>
      <c r="AI776" s="520">
        <v>0</v>
      </c>
      <c r="AJ776" s="520">
        <f>VLOOKUP($I776,'Price List, Weapons &amp; Items'!A:E,5,0)</f>
        <v>0</v>
      </c>
      <c r="AK776" s="520">
        <f t="shared" si="176"/>
        <v>0</v>
      </c>
      <c r="AL776" s="520">
        <f t="shared" si="177"/>
        <v>0</v>
      </c>
      <c r="AM776" s="520">
        <f t="shared" si="178"/>
        <v>0</v>
      </c>
      <c r="AN776" s="521" t="str">
        <f>VLOOKUP($I776,'Price List, Weapons &amp; Items'!A:K,COLUMN('Price List, Weapons &amp; Items'!$I$1),0)</f>
        <v>Miscellaneous</v>
      </c>
      <c r="AO776" s="521" t="str">
        <f>IF(I776=".",".",VLOOKUP($I776,'Price List, Weapons &amp; Items'!A:I,3,0))</f>
        <v>.</v>
      </c>
      <c r="AP776" s="517" t="str">
        <f t="shared" ca="1" si="175"/>
        <v>RG-31 ambulance</v>
      </c>
      <c r="AQ776" s="521">
        <f>VLOOKUP($I776,'Price List, Weapons &amp; Items'!A:K,COLUMN('Price List, Weapons &amp; Items'!$K$1),0)</f>
        <v>0</v>
      </c>
      <c r="AS776" s="521">
        <f t="shared" si="179"/>
        <v>1</v>
      </c>
      <c r="AT776" s="521">
        <f t="shared" si="180"/>
        <v>1</v>
      </c>
      <c r="AU776" s="521">
        <f t="shared" si="181"/>
        <v>1</v>
      </c>
      <c r="AV776" s="521" t="str">
        <f t="shared" si="182"/>
        <v>.</v>
      </c>
    </row>
    <row r="777" spans="1:48" ht="15" customHeight="1">
      <c r="A777" s="18" t="s">
        <v>2206</v>
      </c>
      <c r="B777" s="18" t="s">
        <v>2162</v>
      </c>
      <c r="C777" s="511">
        <v>44672</v>
      </c>
      <c r="D777" s="18" t="s">
        <v>252</v>
      </c>
      <c r="E777" s="18" t="s">
        <v>253</v>
      </c>
      <c r="F777" s="512" t="s">
        <v>2207</v>
      </c>
      <c r="G777" s="39" t="s">
        <v>314</v>
      </c>
      <c r="H777" s="513" t="s">
        <v>309</v>
      </c>
      <c r="I777" s="41" t="s">
        <v>2208</v>
      </c>
      <c r="J777" s="276" t="str">
        <f>VLOOKUP($I777,'Price List, Weapons &amp; Items'!A:B,2,0)</f>
        <v>Ammunition for light infantry</v>
      </c>
      <c r="K777" s="276" t="str">
        <f>IF(I777=".",I777,VLOOKUP($I777,'Price List, Weapons &amp; Items'!A:C,3,0))</f>
        <v>Small Arms and Light Weapons (SALW) ammunition</v>
      </c>
      <c r="L777" s="514">
        <f>VLOOKUP(I777,'Price List, Weapons &amp; Items'!A:D,4,0)</f>
        <v>0</v>
      </c>
      <c r="M777" s="515">
        <v>200</v>
      </c>
      <c r="N777" s="515">
        <v>200</v>
      </c>
      <c r="O777" s="516">
        <f>VLOOKUP($I777,'Price List, Weapons &amp; Items'!A:F,6,0)</f>
        <v>85000</v>
      </c>
      <c r="P777" s="513">
        <f t="shared" si="172"/>
        <v>17000000</v>
      </c>
      <c r="Q777" s="513">
        <f t="shared" si="173"/>
        <v>17000000</v>
      </c>
      <c r="R777" s="513">
        <f t="shared" si="174"/>
        <v>26234600</v>
      </c>
      <c r="S777" s="513">
        <f>IF(AND(AD777=1,R777&lt;&gt;".")=TRUE,R777/VLOOKUP(G777,'Exchange rates'!B:C,2,0),IF(R777=".",".",""))</f>
        <v>26143099.152964622</v>
      </c>
      <c r="T777" s="513">
        <f>IF(AD777=1,IF(AF777="Value is not given at all",".",IF(AF777="Value is given by the source",S777,IF(AF777="Value is calculated with prices",(IF(SUMIFS(Q:Q,A:A,A777)&gt;0,SUMIFS(Q:Q,A:A,A777),"."))/VLOOKUP("USD",'Exchange rates'!B:C,2,0),"Error with coding"))),"")</f>
        <v>26143099.152964622</v>
      </c>
      <c r="U777" s="39" t="s">
        <v>233</v>
      </c>
      <c r="V777" s="376" t="s">
        <v>2209</v>
      </c>
      <c r="W777" s="376" t="s">
        <v>2210</v>
      </c>
      <c r="X777" s="376" t="s">
        <v>2211</v>
      </c>
      <c r="Y777" s="376" t="s">
        <v>2212</v>
      </c>
      <c r="Z777" s="39">
        <v>0</v>
      </c>
      <c r="AA777" s="39">
        <v>0</v>
      </c>
      <c r="AB777" s="395" t="s">
        <v>2213</v>
      </c>
      <c r="AC777" s="519" t="str">
        <f>""</f>
        <v/>
      </c>
      <c r="AD777" s="522">
        <v>1</v>
      </c>
      <c r="AE777" s="522" t="s">
        <v>300</v>
      </c>
      <c r="AF777" s="522" t="s">
        <v>300</v>
      </c>
      <c r="AG777" s="522">
        <v>1</v>
      </c>
      <c r="AH777" s="522">
        <v>4</v>
      </c>
      <c r="AI777" s="522">
        <v>0</v>
      </c>
      <c r="AJ777" s="520">
        <f>VLOOKUP($I777,'Price List, Weapons &amp; Items'!A:E,5,0)</f>
        <v>0</v>
      </c>
      <c r="AK777" s="520">
        <f t="shared" si="176"/>
        <v>0</v>
      </c>
      <c r="AL777" s="520">
        <f t="shared" si="177"/>
        <v>0</v>
      </c>
      <c r="AM777" s="520">
        <f t="shared" si="178"/>
        <v>0</v>
      </c>
      <c r="AN777" s="521" t="str">
        <f>VLOOKUP($I777,'Price List, Weapons &amp; Items'!A:K,COLUMN('Price List, Weapons &amp; Items'!$I$1),0)</f>
        <v>Online marketplaces and stores</v>
      </c>
      <c r="AO777" s="521" t="str">
        <f>IF(I777=".",".",VLOOKUP($I777,'Price List, Weapons &amp; Items'!A:I,3,0))</f>
        <v>Small Arms and Light Weapons (SALW) ammunition</v>
      </c>
      <c r="AP777" s="517" t="str">
        <f t="shared" ca="1" si="175"/>
        <v>ton of rifle + MG round; VAMTAC 4x4 armored vehicle; lorry</v>
      </c>
      <c r="AQ777" s="521">
        <f>VLOOKUP($I777,'Price List, Weapons &amp; Items'!A:K,COLUMN('Price List, Weapons &amp; Items'!$K$1),0)</f>
        <v>2</v>
      </c>
      <c r="AS777" s="521">
        <f t="shared" si="179"/>
        <v>1</v>
      </c>
      <c r="AT777" s="521">
        <f t="shared" si="180"/>
        <v>1</v>
      </c>
      <c r="AU777" s="521">
        <f t="shared" si="181"/>
        <v>1</v>
      </c>
      <c r="AV777" s="521" t="str">
        <f t="shared" si="182"/>
        <v>.</v>
      </c>
    </row>
    <row r="778" spans="1:48" ht="15" customHeight="1">
      <c r="A778" s="18" t="s">
        <v>2206</v>
      </c>
      <c r="B778" s="18" t="s">
        <v>2162</v>
      </c>
      <c r="C778" s="511">
        <v>44672</v>
      </c>
      <c r="D778" s="18" t="s">
        <v>252</v>
      </c>
      <c r="E778" s="18" t="s">
        <v>253</v>
      </c>
      <c r="F778" s="512" t="s">
        <v>2207</v>
      </c>
      <c r="G778" s="39" t="s">
        <v>314</v>
      </c>
      <c r="H778" s="513" t="s">
        <v>309</v>
      </c>
      <c r="I778" s="41" t="s">
        <v>2214</v>
      </c>
      <c r="J778" s="276" t="str">
        <f>VLOOKUP($I778,'Price List, Weapons &amp; Items'!A:B,2,0)</f>
        <v>Military equipment</v>
      </c>
      <c r="K778" s="276" t="str">
        <f>IF(I778=".",I778,VLOOKUP($I778,'Price List, Weapons &amp; Items'!A:C,3,0))</f>
        <v>Armoured Utility Vehicle (AUV)</v>
      </c>
      <c r="L778" s="514">
        <f>VLOOKUP(I778,'Price List, Weapons &amp; Items'!A:D,4,0)</f>
        <v>0</v>
      </c>
      <c r="M778" s="515">
        <v>20</v>
      </c>
      <c r="N778" s="515">
        <v>20</v>
      </c>
      <c r="O778" s="516">
        <f>VLOOKUP($I778,'Price List, Weapons &amp; Items'!A:F,6,0)</f>
        <v>461730</v>
      </c>
      <c r="P778" s="513">
        <f t="shared" si="172"/>
        <v>9234600</v>
      </c>
      <c r="Q778" s="513">
        <f t="shared" si="173"/>
        <v>9234600</v>
      </c>
      <c r="R778" s="513" t="str">
        <f t="shared" si="174"/>
        <v/>
      </c>
      <c r="S778" s="513" t="str">
        <f>IF(AND(AD778=1,R778&lt;&gt;".")=TRUE,R778/VLOOKUP(G778,'Exchange rates'!B:C,2,0),IF(R778=".",".",""))</f>
        <v/>
      </c>
      <c r="T778" s="513" t="str">
        <f>IF(AD778=1,IF(AF778="Value is not given at all",".",IF(AF778="Value is given by the source",S778,IF(AF778="Value is calculated with prices",(IF(SUMIFS(Q:Q,A:A,A778)&gt;0,SUMIFS(Q:Q,A:A,A778),"."))/VLOOKUP("USD",'Exchange rates'!B:C,2,0),"Error with coding"))),"")</f>
        <v/>
      </c>
      <c r="U778" s="39" t="s">
        <v>233</v>
      </c>
      <c r="V778" s="376" t="s">
        <v>2209</v>
      </c>
      <c r="W778" s="376" t="s">
        <v>2210</v>
      </c>
      <c r="X778" s="376" t="s">
        <v>2211</v>
      </c>
      <c r="Y778" s="376" t="s">
        <v>2212</v>
      </c>
      <c r="Z778" s="39">
        <v>0</v>
      </c>
      <c r="AA778" s="39">
        <v>0</v>
      </c>
      <c r="AB778" s="395" t="s">
        <v>2211</v>
      </c>
      <c r="AC778" s="519" t="str">
        <f>""</f>
        <v/>
      </c>
      <c r="AD778" s="522">
        <v>0</v>
      </c>
      <c r="AE778" s="522" t="s">
        <v>300</v>
      </c>
      <c r="AF778" s="522" t="s">
        <v>300</v>
      </c>
      <c r="AG778" s="522">
        <v>1</v>
      </c>
      <c r="AH778" s="522">
        <v>4</v>
      </c>
      <c r="AI778" s="522">
        <v>0</v>
      </c>
      <c r="AJ778" s="520">
        <f>VLOOKUP($I778,'Price List, Weapons &amp; Items'!A:E,5,0)</f>
        <v>1</v>
      </c>
      <c r="AK778" s="520">
        <f t="shared" si="176"/>
        <v>0</v>
      </c>
      <c r="AL778" s="520">
        <f t="shared" si="177"/>
        <v>0</v>
      </c>
      <c r="AM778" s="520">
        <f t="shared" si="178"/>
        <v>0</v>
      </c>
      <c r="AN778" s="521" t="str">
        <f>VLOOKUP($I778,'Price List, Weapons &amp; Items'!A:K,COLUMN('Price List, Weapons &amp; Items'!$I$1),0)</f>
        <v>Media reports (incl. social media)</v>
      </c>
      <c r="AO778" s="521" t="str">
        <f>IF(I778=".",".",VLOOKUP($I778,'Price List, Weapons &amp; Items'!A:I,3,0))</f>
        <v>Armoured Utility Vehicle (AUV)</v>
      </c>
      <c r="AP778" s="517" t="str">
        <f t="shared" ca="1" si="175"/>
        <v/>
      </c>
      <c r="AQ778" s="521">
        <f>VLOOKUP($I778,'Price List, Weapons &amp; Items'!A:K,COLUMN('Price List, Weapons &amp; Items'!$K$1),0)</f>
        <v>2</v>
      </c>
      <c r="AS778" s="521">
        <f t="shared" si="179"/>
        <v>1</v>
      </c>
      <c r="AT778" s="521">
        <f t="shared" si="180"/>
        <v>1</v>
      </c>
      <c r="AU778" s="521">
        <f t="shared" si="181"/>
        <v>1</v>
      </c>
      <c r="AV778" s="521" t="str">
        <f t="shared" si="182"/>
        <v>.</v>
      </c>
    </row>
    <row r="779" spans="1:48" ht="15" customHeight="1">
      <c r="A779" s="18" t="s">
        <v>2206</v>
      </c>
      <c r="B779" s="18" t="s">
        <v>2162</v>
      </c>
      <c r="C779" s="511">
        <v>44672</v>
      </c>
      <c r="D779" s="18" t="s">
        <v>252</v>
      </c>
      <c r="E779" s="18" t="s">
        <v>253</v>
      </c>
      <c r="F779" s="512" t="s">
        <v>2207</v>
      </c>
      <c r="G779" s="39" t="s">
        <v>314</v>
      </c>
      <c r="H779" s="513" t="s">
        <v>309</v>
      </c>
      <c r="I779" s="41" t="s">
        <v>2215</v>
      </c>
      <c r="J779" s="276" t="str">
        <f>VLOOKUP($I779,'Price List, Weapons &amp; Items'!A:B,2,0)</f>
        <v>Military equipment</v>
      </c>
      <c r="K779" s="276" t="str">
        <f>IF(I779=".",I779,VLOOKUP($I779,'Price List, Weapons &amp; Items'!A:C,3,0))</f>
        <v>.</v>
      </c>
      <c r="L779" s="514">
        <f>VLOOKUP(I779,'Price List, Weapons &amp; Items'!A:D,4,0)</f>
        <v>0</v>
      </c>
      <c r="M779" s="515">
        <v>30</v>
      </c>
      <c r="N779" s="515">
        <v>30</v>
      </c>
      <c r="O779" s="516" t="str">
        <f>VLOOKUP($I779,'Price List, Weapons &amp; Items'!A:F,6,0)</f>
        <v>.</v>
      </c>
      <c r="P779" s="513" t="str">
        <f t="shared" si="172"/>
        <v>No price</v>
      </c>
      <c r="Q779" s="513" t="str">
        <f t="shared" si="173"/>
        <v>No price</v>
      </c>
      <c r="R779" s="513" t="str">
        <f t="shared" si="174"/>
        <v/>
      </c>
      <c r="S779" s="513" t="str">
        <f>IF(AND(AD779=1,R779&lt;&gt;".")=TRUE,R779/VLOOKUP(G779,'Exchange rates'!B:C,2,0),IF(R779=".",".",""))</f>
        <v/>
      </c>
      <c r="T779" s="513" t="str">
        <f>IF(AD779=1,IF(AF779="Value is not given at all",".",IF(AF779="Value is given by the source",S779,IF(AF779="Value is calculated with prices",(IF(SUMIFS(Q:Q,A:A,A779)&gt;0,SUMIFS(Q:Q,A:A,A779),"."))/VLOOKUP("USD",'Exchange rates'!B:C,2,0),"Error with coding"))),"")</f>
        <v/>
      </c>
      <c r="U779" s="39" t="s">
        <v>233</v>
      </c>
      <c r="V779" s="376" t="s">
        <v>2209</v>
      </c>
      <c r="W779" s="376" t="s">
        <v>2210</v>
      </c>
      <c r="X779" s="376" t="s">
        <v>2211</v>
      </c>
      <c r="Y779" s="376" t="s">
        <v>2212</v>
      </c>
      <c r="Z779" s="39">
        <v>0</v>
      </c>
      <c r="AA779" s="39">
        <v>0</v>
      </c>
      <c r="AB779" s="395" t="s">
        <v>2213</v>
      </c>
      <c r="AC779" s="519" t="str">
        <f>""</f>
        <v/>
      </c>
      <c r="AD779" s="522">
        <v>0</v>
      </c>
      <c r="AE779" s="522" t="s">
        <v>300</v>
      </c>
      <c r="AF779" s="522" t="s">
        <v>300</v>
      </c>
      <c r="AG779" s="522">
        <v>1</v>
      </c>
      <c r="AH779" s="522">
        <v>4</v>
      </c>
      <c r="AI779" s="522">
        <v>0</v>
      </c>
      <c r="AJ779" s="520">
        <f>VLOOKUP($I779,'Price List, Weapons &amp; Items'!A:E,5,0)</f>
        <v>0</v>
      </c>
      <c r="AK779" s="520">
        <f t="shared" si="176"/>
        <v>0</v>
      </c>
      <c r="AL779" s="520">
        <f t="shared" si="177"/>
        <v>0</v>
      </c>
      <c r="AM779" s="520">
        <f t="shared" si="178"/>
        <v>0</v>
      </c>
      <c r="AN779" s="521" t="str">
        <f>VLOOKUP($I779,'Price List, Weapons &amp; Items'!A:K,COLUMN('Price List, Weapons &amp; Items'!$I$1),0)</f>
        <v>.</v>
      </c>
      <c r="AO779" s="521" t="str">
        <f>IF(I779=".",".",VLOOKUP($I779,'Price List, Weapons &amp; Items'!A:I,3,0))</f>
        <v>.</v>
      </c>
      <c r="AP779" s="517" t="str">
        <f t="shared" ca="1" si="175"/>
        <v/>
      </c>
      <c r="AQ779" s="521">
        <f>VLOOKUP($I779,'Price List, Weapons &amp; Items'!A:K,COLUMN('Price List, Weapons &amp; Items'!$K$1),0)</f>
        <v>0</v>
      </c>
      <c r="AS779" s="521">
        <f t="shared" si="179"/>
        <v>1</v>
      </c>
      <c r="AT779" s="521">
        <f t="shared" si="180"/>
        <v>1</v>
      </c>
      <c r="AU779" s="521">
        <f t="shared" si="181"/>
        <v>1</v>
      </c>
      <c r="AV779" s="521" t="str">
        <f t="shared" si="182"/>
        <v>.</v>
      </c>
    </row>
    <row r="780" spans="1:48" ht="15" customHeight="1">
      <c r="A780" s="41" t="s">
        <v>2216</v>
      </c>
      <c r="B780" s="41" t="s">
        <v>2162</v>
      </c>
      <c r="C780" s="511">
        <v>44717</v>
      </c>
      <c r="D780" s="18" t="s">
        <v>252</v>
      </c>
      <c r="E780" s="18" t="s">
        <v>307</v>
      </c>
      <c r="F780" s="512" t="s">
        <v>2217</v>
      </c>
      <c r="G780" s="39" t="s">
        <v>314</v>
      </c>
      <c r="H780" s="513" t="s">
        <v>309</v>
      </c>
      <c r="I780" s="41" t="s">
        <v>2218</v>
      </c>
      <c r="J780" s="276" t="str">
        <f>VLOOKUP($I780,'Price List, Weapons &amp; Items'!A:B,2,0)</f>
        <v>Ammunition for heavy weapon</v>
      </c>
      <c r="K780" s="276" t="str">
        <f>IF(I780=".",I780,VLOOKUP($I780,'Price List, Weapons &amp; Items'!A:C,3,0))</f>
        <v>Anti-aircraft system ammunition</v>
      </c>
      <c r="L780" s="514">
        <f>VLOOKUP(I780,'Price List, Weapons &amp; Items'!A:D,4,0)</f>
        <v>0</v>
      </c>
      <c r="M780" s="515" t="s">
        <v>264</v>
      </c>
      <c r="N780" s="515" t="s">
        <v>232</v>
      </c>
      <c r="O780" s="516">
        <f>VLOOKUP($I780,'Price List, Weapons &amp; Items'!A:F,6,0)</f>
        <v>100000</v>
      </c>
      <c r="P780" s="513" t="str">
        <f t="shared" si="172"/>
        <v>.</v>
      </c>
      <c r="Q780" s="513" t="str">
        <f t="shared" si="173"/>
        <v>.</v>
      </c>
      <c r="R780" s="513" t="str">
        <f t="shared" si="174"/>
        <v>.</v>
      </c>
      <c r="S780" s="513" t="str">
        <f>IF(AND(AD780=1,R780&lt;&gt;".")=TRUE,R780/VLOOKUP(G780,'Exchange rates'!B:C,2,0),IF(R780=".",".",""))</f>
        <v>.</v>
      </c>
      <c r="T780" s="513" t="str">
        <f>IF(AD780=1,IF(AF780="Value is not given at all",".",IF(AF780="Value is given by the source",S780,IF(AF780="Value is calculated with prices",(IF(SUMIFS(Q:Q,A:A,A780)&gt;0,SUMIFS(Q:Q,A:A,A780),"."))/VLOOKUP("USD",'Exchange rates'!B:C,2,0),"Error with coding"))),"")</f>
        <v>.</v>
      </c>
      <c r="U780" s="39" t="s">
        <v>372</v>
      </c>
      <c r="V780" s="42" t="s">
        <v>2219</v>
      </c>
      <c r="W780" s="42" t="s">
        <v>2220</v>
      </c>
      <c r="X780" s="42" t="s">
        <v>2221</v>
      </c>
      <c r="Y780" s="42" t="s">
        <v>2222</v>
      </c>
      <c r="Z780" s="39">
        <v>0</v>
      </c>
      <c r="AA780" s="518">
        <v>0</v>
      </c>
      <c r="AB780" s="523" t="s">
        <v>232</v>
      </c>
      <c r="AC780" s="519" t="str">
        <f>""</f>
        <v/>
      </c>
      <c r="AD780" s="522">
        <v>1</v>
      </c>
      <c r="AE780" s="522" t="s">
        <v>300</v>
      </c>
      <c r="AF780" s="522" t="s">
        <v>237</v>
      </c>
      <c r="AG780" s="522">
        <v>1</v>
      </c>
      <c r="AH780" s="520">
        <v>6</v>
      </c>
      <c r="AI780" s="520">
        <v>0</v>
      </c>
      <c r="AJ780" s="520">
        <f>VLOOKUP($I780,'Price List, Weapons &amp; Items'!A:E,5,0)</f>
        <v>0</v>
      </c>
      <c r="AK780" s="520">
        <f t="shared" si="176"/>
        <v>0</v>
      </c>
      <c r="AL780" s="520">
        <f t="shared" si="177"/>
        <v>0</v>
      </c>
      <c r="AM780" s="520">
        <f t="shared" si="178"/>
        <v>0</v>
      </c>
      <c r="AN780" s="521" t="str">
        <f>VLOOKUP($I780,'Price List, Weapons &amp; Items'!A:K,COLUMN('Price List, Weapons &amp; Items'!$I$1),0)</f>
        <v>Military media (incl. websites)</v>
      </c>
      <c r="AO780" s="521" t="str">
        <f>IF(I780=".",".",VLOOKUP($I780,'Price List, Weapons &amp; Items'!A:I,3,0))</f>
        <v>Anti-aircraft system ammunition</v>
      </c>
      <c r="AP780" s="517" t="str">
        <f t="shared" ca="1" si="175"/>
        <v>Shorad Aspide anti-aircraft missile</v>
      </c>
      <c r="AQ780" s="521" t="str">
        <f>VLOOKUP($I780,'Price List, Weapons &amp; Items'!A:K,COLUMN('Price List, Weapons &amp; Items'!$K$1),0)</f>
        <v>no price, 0 count</v>
      </c>
      <c r="AS780" s="521">
        <f t="shared" si="179"/>
        <v>0</v>
      </c>
      <c r="AT780" s="521">
        <f t="shared" si="180"/>
        <v>1</v>
      </c>
      <c r="AU780" s="521">
        <f t="shared" si="181"/>
        <v>1</v>
      </c>
      <c r="AV780" s="521" t="str">
        <f t="shared" si="182"/>
        <v>.</v>
      </c>
    </row>
    <row r="781" spans="1:48" ht="15" customHeight="1">
      <c r="A781" s="41" t="s">
        <v>2223</v>
      </c>
      <c r="B781" s="41" t="s">
        <v>2162</v>
      </c>
      <c r="C781" s="511">
        <v>44754</v>
      </c>
      <c r="D781" s="18" t="s">
        <v>252</v>
      </c>
      <c r="E781" s="18" t="s">
        <v>307</v>
      </c>
      <c r="F781" s="512" t="s">
        <v>2224</v>
      </c>
      <c r="G781" s="39" t="s">
        <v>314</v>
      </c>
      <c r="H781" s="513" t="s">
        <v>309</v>
      </c>
      <c r="I781" s="512" t="s">
        <v>292</v>
      </c>
      <c r="J781" s="276" t="str">
        <f>VLOOKUP($I781,'Price List, Weapons &amp; Items'!A:B,2,0)</f>
        <v>Heavy weapon</v>
      </c>
      <c r="K781" s="276" t="str">
        <f>IF(I781=".",I781,VLOOKUP($I781,'Price List, Weapons &amp; Items'!A:C,3,0))</f>
        <v>Armoured Personnel Carrier (APC)</v>
      </c>
      <c r="L781" s="514">
        <f>VLOOKUP(I781,'Price List, Weapons &amp; Items'!A:D,4,0)</f>
        <v>0</v>
      </c>
      <c r="M781" s="515" t="s">
        <v>264</v>
      </c>
      <c r="N781" s="515" t="s">
        <v>264</v>
      </c>
      <c r="O781" s="516">
        <f>VLOOKUP($I781,'Price List, Weapons &amp; Items'!A:F,6,0)</f>
        <v>300000</v>
      </c>
      <c r="P781" s="513" t="str">
        <f t="shared" si="172"/>
        <v>.</v>
      </c>
      <c r="Q781" s="513" t="str">
        <f t="shared" si="173"/>
        <v>.</v>
      </c>
      <c r="R781" s="513" t="str">
        <f t="shared" si="174"/>
        <v>.</v>
      </c>
      <c r="S781" s="513" t="str">
        <f>IF(AND(AD781=1,R781&lt;&gt;".")=TRUE,R781/VLOOKUP(G781,'Exchange rates'!B:C,2,0),IF(R781=".",".",""))</f>
        <v>.</v>
      </c>
      <c r="T781" s="513" t="str">
        <f>IF(AD781=1,IF(AF781="Value is not given at all",".",IF(AF781="Value is given by the source",S781,IF(AF781="Value is calculated with prices",(IF(SUMIFS(Q:Q,A:A,A781)&gt;0,SUMIFS(Q:Q,A:A,A781),"."))/VLOOKUP("USD",'Exchange rates'!B:C,2,0),"Error with coding"))),"")</f>
        <v>.</v>
      </c>
      <c r="U781" s="514" t="s">
        <v>372</v>
      </c>
      <c r="V781" s="132" t="s">
        <v>2225</v>
      </c>
      <c r="W781" s="382" t="s">
        <v>2226</v>
      </c>
      <c r="X781" s="587" t="s">
        <v>232</v>
      </c>
      <c r="Y781" s="587" t="s">
        <v>232</v>
      </c>
      <c r="Z781" s="514">
        <v>0</v>
      </c>
      <c r="AA781" s="518">
        <v>0</v>
      </c>
      <c r="AB781" s="523" t="s">
        <v>232</v>
      </c>
      <c r="AC781" s="519" t="str">
        <f>""</f>
        <v/>
      </c>
      <c r="AD781" s="522">
        <v>1</v>
      </c>
      <c r="AE781" s="522" t="s">
        <v>237</v>
      </c>
      <c r="AF781" s="522" t="s">
        <v>237</v>
      </c>
      <c r="AG781" s="522">
        <v>1</v>
      </c>
      <c r="AH781" s="520">
        <v>7</v>
      </c>
      <c r="AI781" s="520">
        <v>0</v>
      </c>
      <c r="AJ781" s="520">
        <f>VLOOKUP($I781,'Price List, Weapons &amp; Items'!A:E,5,0)</f>
        <v>1</v>
      </c>
      <c r="AK781" s="520">
        <f t="shared" si="176"/>
        <v>1</v>
      </c>
      <c r="AL781" s="520">
        <f t="shared" si="177"/>
        <v>1</v>
      </c>
      <c r="AM781" s="520">
        <f t="shared" si="178"/>
        <v>0</v>
      </c>
      <c r="AN781" s="521" t="str">
        <f>VLOOKUP($I781,'Price List, Weapons &amp; Items'!A:K,COLUMN('Price List, Weapons &amp; Items'!$I$1),0)</f>
        <v>Military media (incl. websites)</v>
      </c>
      <c r="AO781" s="521" t="str">
        <f>IF(I781=".",".",VLOOKUP($I781,'Price List, Weapons &amp; Items'!A:I,3,0))</f>
        <v>Armoured Personnel Carrier (APC)</v>
      </c>
      <c r="AP781" s="517" t="str">
        <f t="shared" ca="1" si="175"/>
        <v>M113 armored personnel carrier</v>
      </c>
      <c r="AQ781" s="521">
        <f>VLOOKUP($I781,'Price List, Weapons &amp; Items'!A:K,COLUMN('Price List, Weapons &amp; Items'!$K$1),0)</f>
        <v>2</v>
      </c>
      <c r="AS781" s="521">
        <f t="shared" si="179"/>
        <v>0</v>
      </c>
      <c r="AT781" s="521">
        <f t="shared" si="180"/>
        <v>1</v>
      </c>
      <c r="AU781" s="521">
        <f t="shared" si="181"/>
        <v>1</v>
      </c>
      <c r="AV781" s="521" t="str">
        <f t="shared" si="182"/>
        <v>.</v>
      </c>
    </row>
    <row r="782" spans="1:48" ht="15" customHeight="1">
      <c r="A782" s="41" t="s">
        <v>2227</v>
      </c>
      <c r="B782" s="41" t="s">
        <v>2162</v>
      </c>
      <c r="C782" s="511">
        <v>44797</v>
      </c>
      <c r="D782" s="18" t="s">
        <v>252</v>
      </c>
      <c r="E782" s="18" t="s">
        <v>253</v>
      </c>
      <c r="F782" s="512" t="s">
        <v>2228</v>
      </c>
      <c r="G782" s="39" t="s">
        <v>314</v>
      </c>
      <c r="H782" s="513" t="s">
        <v>309</v>
      </c>
      <c r="I782" s="512" t="s">
        <v>1123</v>
      </c>
      <c r="J782" s="276" t="str">
        <f>VLOOKUP($I782,'Price List, Weapons &amp; Items'!A:B,2,0)</f>
        <v>Ammunition for heavy weapon</v>
      </c>
      <c r="K782" s="276" t="str">
        <f>IF(I782=".",I782,VLOOKUP($I782,'Price List, Weapons &amp; Items'!A:C,3,0))</f>
        <v>155mm howitzer ammunition</v>
      </c>
      <c r="L782" s="514">
        <f>VLOOKUP(I782,'Price List, Weapons &amp; Items'!A:D,4,0)</f>
        <v>0</v>
      </c>
      <c r="M782" s="515">
        <v>1000</v>
      </c>
      <c r="N782" s="515">
        <v>1000</v>
      </c>
      <c r="O782" s="516">
        <f>VLOOKUP($I782,'Price List, Weapons &amp; Items'!A:F,6,0)</f>
        <v>3800</v>
      </c>
      <c r="P782" s="513">
        <f t="shared" si="172"/>
        <v>3800000</v>
      </c>
      <c r="Q782" s="513">
        <f t="shared" si="173"/>
        <v>3800000</v>
      </c>
      <c r="R782" s="513">
        <f t="shared" si="174"/>
        <v>10852375.518186348</v>
      </c>
      <c r="S782" s="513">
        <f>IF(AND(AD782=1,R782&lt;&gt;".")=TRUE,R782/VLOOKUP(G782,'Exchange rates'!B:C,2,0),IF(R782=".",".",""))</f>
        <v>10814524.681800047</v>
      </c>
      <c r="T782" s="513">
        <f>IF(AD782=1,IF(AF782="Value is not given at all",".",IF(AF782="Value is given by the source",S782,IF(AF782="Value is calculated with prices",(IF(SUMIFS(Q:Q,A:A,A782)&gt;0,SUMIFS(Q:Q,A:A,A782),"."))/VLOOKUP("USD",'Exchange rates'!B:C,2,0),"Error with coding"))),"")</f>
        <v>8331933.2336821118</v>
      </c>
      <c r="U782" s="514" t="s">
        <v>372</v>
      </c>
      <c r="V782" s="825" t="s">
        <v>2229</v>
      </c>
      <c r="W782" s="132" t="s">
        <v>2230</v>
      </c>
      <c r="X782" s="826" t="s">
        <v>2231</v>
      </c>
      <c r="Y782" s="382" t="s">
        <v>2232</v>
      </c>
      <c r="Z782" s="514">
        <v>0</v>
      </c>
      <c r="AA782" s="518">
        <v>1</v>
      </c>
      <c r="AB782" s="523" t="s">
        <v>2233</v>
      </c>
      <c r="AC782" s="519" t="str">
        <f>""</f>
        <v/>
      </c>
      <c r="AD782" s="522">
        <v>1</v>
      </c>
      <c r="AE782" s="522" t="s">
        <v>300</v>
      </c>
      <c r="AF782" s="522" t="s">
        <v>300</v>
      </c>
      <c r="AG782" s="522">
        <v>1</v>
      </c>
      <c r="AH782" s="520">
        <v>8</v>
      </c>
      <c r="AI782" s="520">
        <v>0</v>
      </c>
      <c r="AJ782" s="520">
        <f>VLOOKUP($I782,'Price List, Weapons &amp; Items'!A:E,5,0)</f>
        <v>1</v>
      </c>
      <c r="AK782" s="520">
        <f t="shared" si="176"/>
        <v>0</v>
      </c>
      <c r="AL782" s="520">
        <f t="shared" si="177"/>
        <v>0</v>
      </c>
      <c r="AM782" s="520">
        <f t="shared" si="178"/>
        <v>1</v>
      </c>
      <c r="AN782" s="521" t="str">
        <f>VLOOKUP($I782,'Price List, Weapons &amp; Items'!A:K,COLUMN('Price List, Weapons &amp; Items'!$I$1),0)</f>
        <v>Government information</v>
      </c>
      <c r="AO782" s="521" t="str">
        <f>IF(I782=".",".",VLOOKUP($I782,'Price List, Weapons &amp; Items'!A:I,3,0))</f>
        <v>155mm howitzer ammunition</v>
      </c>
      <c r="AP782" s="517" t="str">
        <f t="shared" ca="1" si="175"/>
        <v>Round of ammunition for 155mm howitzer; Howitzer; ton of diesel (Spain); winter clothing (general); unkown anti-aircraft battery (Spain)</v>
      </c>
      <c r="AQ782" s="521">
        <f>VLOOKUP($I782,'Price List, Weapons &amp; Items'!A:K,COLUMN('Price List, Weapons &amp; Items'!$K$1),0)</f>
        <v>2</v>
      </c>
      <c r="AS782" s="521">
        <f t="shared" si="179"/>
        <v>0</v>
      </c>
      <c r="AT782" s="521">
        <f t="shared" si="180"/>
        <v>1</v>
      </c>
      <c r="AU782" s="521">
        <f t="shared" si="181"/>
        <v>1</v>
      </c>
      <c r="AV782" s="521" t="str">
        <f t="shared" si="182"/>
        <v>.</v>
      </c>
    </row>
    <row r="783" spans="1:48" ht="15" customHeight="1">
      <c r="A783" s="41" t="s">
        <v>2227</v>
      </c>
      <c r="B783" s="41" t="s">
        <v>2162</v>
      </c>
      <c r="C783" s="511">
        <v>44797</v>
      </c>
      <c r="D783" s="18" t="s">
        <v>252</v>
      </c>
      <c r="E783" s="18" t="s">
        <v>253</v>
      </c>
      <c r="F783" s="512" t="s">
        <v>2228</v>
      </c>
      <c r="G783" s="39" t="s">
        <v>314</v>
      </c>
      <c r="H783" s="513" t="s">
        <v>309</v>
      </c>
      <c r="I783" s="512" t="s">
        <v>2234</v>
      </c>
      <c r="J783" s="276" t="str">
        <f>VLOOKUP($I783,'Price List, Weapons &amp; Items'!A:B,2,0)</f>
        <v>Heavy weapon</v>
      </c>
      <c r="K783" s="276" t="str">
        <f>IF(I783=".",I783,VLOOKUP($I783,'Price List, Weapons &amp; Items'!A:C,3,0))</f>
        <v>unknown howitzer</v>
      </c>
      <c r="L783" s="514">
        <f>VLOOKUP(I783,'Price List, Weapons &amp; Items'!A:D,4,0)</f>
        <v>0</v>
      </c>
      <c r="M783" s="515" t="s">
        <v>264</v>
      </c>
      <c r="N783" s="515" t="s">
        <v>264</v>
      </c>
      <c r="O783" s="516" t="str">
        <f>VLOOKUP($I783,'Price List, Weapons &amp; Items'!A:F,6,0)</f>
        <v>.</v>
      </c>
      <c r="P783" s="513" t="str">
        <f t="shared" si="172"/>
        <v>.</v>
      </c>
      <c r="Q783" s="513" t="str">
        <f t="shared" si="173"/>
        <v>.</v>
      </c>
      <c r="R783" s="513" t="str">
        <f t="shared" si="174"/>
        <v/>
      </c>
      <c r="S783" s="513" t="str">
        <f>IF(AND(AD783=1,R783&lt;&gt;".")=TRUE,R783/VLOOKUP(G783,'Exchange rates'!B:C,2,0),IF(R783=".",".",""))</f>
        <v/>
      </c>
      <c r="T783" s="513" t="str">
        <f>IF(AD783=1,IF(AF783="Value is not given at all",".",IF(AF783="Value is given by the source",S783,IF(AF783="Value is calculated with prices",(IF(SUMIFS(Q:Q,A:A,A783)&gt;0,SUMIFS(Q:Q,A:A,A783),"."))/VLOOKUP("USD",'Exchange rates'!B:C,2,0),"Error with coding"))),"")</f>
        <v/>
      </c>
      <c r="U783" s="514" t="s">
        <v>372</v>
      </c>
      <c r="V783" s="825" t="s">
        <v>2229</v>
      </c>
      <c r="W783" s="132" t="s">
        <v>2230</v>
      </c>
      <c r="X783" s="826" t="s">
        <v>2231</v>
      </c>
      <c r="Y783" s="382" t="s">
        <v>2232</v>
      </c>
      <c r="Z783" s="514">
        <v>0</v>
      </c>
      <c r="AA783" s="518">
        <v>1</v>
      </c>
      <c r="AB783" s="523" t="s">
        <v>2233</v>
      </c>
      <c r="AC783" s="519" t="str">
        <f>""</f>
        <v/>
      </c>
      <c r="AD783" s="522">
        <v>0</v>
      </c>
      <c r="AE783" s="522" t="s">
        <v>300</v>
      </c>
      <c r="AF783" s="522" t="s">
        <v>300</v>
      </c>
      <c r="AG783" s="522">
        <v>1</v>
      </c>
      <c r="AH783" s="520">
        <v>8</v>
      </c>
      <c r="AI783" s="520">
        <v>0</v>
      </c>
      <c r="AJ783" s="520">
        <f>VLOOKUP($I783,'Price List, Weapons &amp; Items'!A:E,5,0)</f>
        <v>0</v>
      </c>
      <c r="AK783" s="520">
        <f t="shared" si="176"/>
        <v>0</v>
      </c>
      <c r="AL783" s="520">
        <f t="shared" si="177"/>
        <v>0</v>
      </c>
      <c r="AM783" s="520">
        <f t="shared" si="178"/>
        <v>0</v>
      </c>
      <c r="AN783" s="521" t="str">
        <f>VLOOKUP($I783,'Price List, Weapons &amp; Items'!A:K,COLUMN('Price List, Weapons &amp; Items'!$I$1),0)</f>
        <v>.</v>
      </c>
      <c r="AO783" s="521" t="str">
        <f>IF(I783=".",".",VLOOKUP($I783,'Price List, Weapons &amp; Items'!A:I,3,0))</f>
        <v>unknown howitzer</v>
      </c>
      <c r="AP783" s="517" t="str">
        <f t="shared" ca="1" si="175"/>
        <v/>
      </c>
      <c r="AQ783" s="521">
        <f>VLOOKUP($I783,'Price List, Weapons &amp; Items'!A:K,COLUMN('Price List, Weapons &amp; Items'!$K$1),0)</f>
        <v>0</v>
      </c>
      <c r="AS783" s="521">
        <f t="shared" si="179"/>
        <v>0</v>
      </c>
      <c r="AT783" s="521">
        <f t="shared" si="180"/>
        <v>1</v>
      </c>
      <c r="AU783" s="521">
        <f t="shared" si="181"/>
        <v>1</v>
      </c>
      <c r="AV783" s="521" t="str">
        <f t="shared" si="182"/>
        <v>.</v>
      </c>
    </row>
    <row r="784" spans="1:48" ht="15" customHeight="1">
      <c r="A784" s="41" t="s">
        <v>2227</v>
      </c>
      <c r="B784" s="41" t="s">
        <v>2162</v>
      </c>
      <c r="C784" s="511">
        <v>44797</v>
      </c>
      <c r="D784" s="18" t="s">
        <v>252</v>
      </c>
      <c r="E784" s="18" t="s">
        <v>253</v>
      </c>
      <c r="F784" s="512" t="s">
        <v>2228</v>
      </c>
      <c r="G784" s="39" t="s">
        <v>314</v>
      </c>
      <c r="H784" s="513" t="s">
        <v>309</v>
      </c>
      <c r="I784" s="512" t="s">
        <v>2235</v>
      </c>
      <c r="J784" s="276" t="str">
        <f>VLOOKUP($I784,'Price List, Weapons &amp; Items'!A:B,2,0)</f>
        <v>Humanitarian</v>
      </c>
      <c r="K784" s="276" t="str">
        <f>IF(I784=".",I784,VLOOKUP($I784,'Price List, Weapons &amp; Items'!A:C,3,0))</f>
        <v>.</v>
      </c>
      <c r="L784" s="514">
        <f>VLOOKUP(I784,'Price List, Weapons &amp; Items'!A:D,4,0)</f>
        <v>0</v>
      </c>
      <c r="M784" s="515">
        <v>1000</v>
      </c>
      <c r="N784" s="515" t="s">
        <v>264</v>
      </c>
      <c r="O784" s="516">
        <f>VLOOKUP($I784,'Price List, Weapons &amp; Items'!A:F,6,0)</f>
        <v>2491.2805181863478</v>
      </c>
      <c r="P784" s="513">
        <f t="shared" si="172"/>
        <v>2491280.5181863476</v>
      </c>
      <c r="Q784" s="513" t="str">
        <f t="shared" si="173"/>
        <v>.</v>
      </c>
      <c r="R784" s="513" t="str">
        <f t="shared" si="174"/>
        <v/>
      </c>
      <c r="S784" s="513" t="str">
        <f>IF(AND(AD784=1,R784&lt;&gt;".")=TRUE,R784/VLOOKUP(G784,'Exchange rates'!B:C,2,0),IF(R784=".",".",""))</f>
        <v/>
      </c>
      <c r="T784" s="513" t="str">
        <f>IF(AD784=1,IF(AF784="Value is not given at all",".",IF(AF784="Value is given by the source",S784,IF(AF784="Value is calculated with prices",(IF(SUMIFS(Q:Q,A:A,A784)&gt;0,SUMIFS(Q:Q,A:A,A784),"."))/VLOOKUP("USD",'Exchange rates'!B:C,2,0),"Error with coding"))),"")</f>
        <v/>
      </c>
      <c r="U784" s="514" t="s">
        <v>372</v>
      </c>
      <c r="V784" s="825" t="s">
        <v>2229</v>
      </c>
      <c r="W784" s="132" t="s">
        <v>2230</v>
      </c>
      <c r="X784" s="826" t="s">
        <v>2231</v>
      </c>
      <c r="Y784" s="382" t="s">
        <v>2232</v>
      </c>
      <c r="Z784" s="514">
        <v>0</v>
      </c>
      <c r="AA784" s="518">
        <v>1</v>
      </c>
      <c r="AB784" s="523" t="s">
        <v>2233</v>
      </c>
      <c r="AC784" s="519" t="str">
        <f>""</f>
        <v/>
      </c>
      <c r="AD784" s="522">
        <v>0</v>
      </c>
      <c r="AE784" s="522" t="s">
        <v>300</v>
      </c>
      <c r="AF784" s="522" t="s">
        <v>300</v>
      </c>
      <c r="AG784" s="522">
        <v>1</v>
      </c>
      <c r="AH784" s="520">
        <v>8</v>
      </c>
      <c r="AI784" s="520">
        <v>0</v>
      </c>
      <c r="AJ784" s="520">
        <f>VLOOKUP($I784,'Price List, Weapons &amp; Items'!A:E,5,0)</f>
        <v>0</v>
      </c>
      <c r="AK784" s="520">
        <f t="shared" si="176"/>
        <v>0</v>
      </c>
      <c r="AL784" s="520">
        <f t="shared" si="177"/>
        <v>0</v>
      </c>
      <c r="AM784" s="520">
        <f t="shared" si="178"/>
        <v>0</v>
      </c>
      <c r="AN784" s="521" t="str">
        <f>VLOOKUP($I784,'Price List, Weapons &amp; Items'!A:K,COLUMN('Price List, Weapons &amp; Items'!$I$1),0)</f>
        <v>Media reports (incl. social media)</v>
      </c>
      <c r="AO784" s="521" t="str">
        <f>IF(I784=".",".",VLOOKUP($I784,'Price List, Weapons &amp; Items'!A:I,3,0))</f>
        <v>.</v>
      </c>
      <c r="AP784" s="517" t="str">
        <f t="shared" ca="1" si="175"/>
        <v/>
      </c>
      <c r="AQ784" s="521">
        <f>VLOOKUP($I784,'Price List, Weapons &amp; Items'!A:K,COLUMN('Price List, Weapons &amp; Items'!$K$1),0)</f>
        <v>0</v>
      </c>
      <c r="AS784" s="521">
        <f t="shared" si="179"/>
        <v>0</v>
      </c>
      <c r="AT784" s="521">
        <f t="shared" si="180"/>
        <v>1</v>
      </c>
      <c r="AU784" s="521">
        <f t="shared" si="181"/>
        <v>1</v>
      </c>
      <c r="AV784" s="521" t="str">
        <f t="shared" si="182"/>
        <v>.</v>
      </c>
    </row>
    <row r="785" spans="1:48" ht="15" customHeight="1">
      <c r="A785" s="41" t="s">
        <v>2227</v>
      </c>
      <c r="B785" s="41" t="s">
        <v>2162</v>
      </c>
      <c r="C785" s="511">
        <v>44797</v>
      </c>
      <c r="D785" s="18" t="s">
        <v>252</v>
      </c>
      <c r="E785" s="18" t="s">
        <v>253</v>
      </c>
      <c r="F785" s="512" t="s">
        <v>2228</v>
      </c>
      <c r="G785" s="39" t="s">
        <v>314</v>
      </c>
      <c r="H785" s="513" t="s">
        <v>309</v>
      </c>
      <c r="I785" s="512" t="s">
        <v>409</v>
      </c>
      <c r="J785" s="276" t="str">
        <f>VLOOKUP($I785,'Price List, Weapons &amp; Items'!A:B,2,0)</f>
        <v>Military equipment</v>
      </c>
      <c r="K785" s="276" t="str">
        <f>IF(I785=".",I785,VLOOKUP($I785,'Price List, Weapons &amp; Items'!A:C,3,0))</f>
        <v>.</v>
      </c>
      <c r="L785" s="514">
        <f>VLOOKUP(I785,'Price List, Weapons &amp; Items'!A:D,4,0)</f>
        <v>0</v>
      </c>
      <c r="M785" s="515">
        <v>77000</v>
      </c>
      <c r="N785" s="515">
        <v>77000</v>
      </c>
      <c r="O785" s="516">
        <f>VLOOKUP($I785,'Price List, Weapons &amp; Items'!A:F,6,0)</f>
        <v>59.234999999999999</v>
      </c>
      <c r="P785" s="513">
        <f t="shared" si="172"/>
        <v>4561095</v>
      </c>
      <c r="Q785" s="513">
        <f t="shared" si="173"/>
        <v>4561095</v>
      </c>
      <c r="R785" s="513" t="str">
        <f t="shared" si="174"/>
        <v/>
      </c>
      <c r="S785" s="513" t="str">
        <f>IF(AND(AD785=1,R785&lt;&gt;".")=TRUE,R785/VLOOKUP(G785,'Exchange rates'!B:C,2,0),IF(R785=".",".",""))</f>
        <v/>
      </c>
      <c r="T785" s="513" t="str">
        <f>IF(AD785=1,IF(AF785="Value is not given at all",".",IF(AF785="Value is given by the source",S785,IF(AF785="Value is calculated with prices",(IF(SUMIFS(Q:Q,A:A,A785)&gt;0,SUMIFS(Q:Q,A:A,A785),"."))/VLOOKUP("USD",'Exchange rates'!B:C,2,0),"Error with coding"))),"")</f>
        <v/>
      </c>
      <c r="U785" s="514" t="s">
        <v>372</v>
      </c>
      <c r="V785" s="825" t="s">
        <v>2229</v>
      </c>
      <c r="W785" s="132" t="s">
        <v>2230</v>
      </c>
      <c r="X785" s="826" t="s">
        <v>2231</v>
      </c>
      <c r="Y785" s="382" t="s">
        <v>2232</v>
      </c>
      <c r="Z785" s="514">
        <v>0</v>
      </c>
      <c r="AA785" s="518">
        <v>1</v>
      </c>
      <c r="AB785" s="523" t="s">
        <v>2233</v>
      </c>
      <c r="AC785" s="519" t="str">
        <f>""</f>
        <v/>
      </c>
      <c r="AD785" s="522">
        <v>0</v>
      </c>
      <c r="AE785" s="522" t="s">
        <v>300</v>
      </c>
      <c r="AF785" s="522" t="s">
        <v>300</v>
      </c>
      <c r="AG785" s="522">
        <v>1</v>
      </c>
      <c r="AH785" s="520">
        <v>8</v>
      </c>
      <c r="AI785" s="520">
        <v>0</v>
      </c>
      <c r="AJ785" s="520">
        <f>VLOOKUP($I785,'Price List, Weapons &amp; Items'!A:E,5,0)</f>
        <v>0</v>
      </c>
      <c r="AK785" s="520">
        <f t="shared" si="176"/>
        <v>0</v>
      </c>
      <c r="AL785" s="520">
        <f t="shared" si="177"/>
        <v>0</v>
      </c>
      <c r="AM785" s="520">
        <f t="shared" si="178"/>
        <v>0</v>
      </c>
      <c r="AN785" s="521" t="str">
        <f>VLOOKUP($I785,'Price List, Weapons &amp; Items'!A:K,COLUMN('Price List, Weapons &amp; Items'!$I$1),0)</f>
        <v>Government information</v>
      </c>
      <c r="AO785" s="521" t="str">
        <f>IF(I785=".",".",VLOOKUP($I785,'Price List, Weapons &amp; Items'!A:I,3,0))</f>
        <v>.</v>
      </c>
      <c r="AP785" s="517" t="str">
        <f t="shared" ca="1" si="175"/>
        <v/>
      </c>
      <c r="AQ785" s="521">
        <f>VLOOKUP($I785,'Price List, Weapons &amp; Items'!A:K,COLUMN('Price List, Weapons &amp; Items'!$K$1),0)</f>
        <v>2</v>
      </c>
      <c r="AS785" s="521">
        <f t="shared" si="179"/>
        <v>0</v>
      </c>
      <c r="AT785" s="521">
        <f t="shared" si="180"/>
        <v>1</v>
      </c>
      <c r="AU785" s="521">
        <f t="shared" si="181"/>
        <v>1</v>
      </c>
      <c r="AV785" s="521" t="str">
        <f t="shared" si="182"/>
        <v>.</v>
      </c>
    </row>
    <row r="786" spans="1:48" ht="15" customHeight="1">
      <c r="A786" s="41" t="s">
        <v>2227</v>
      </c>
      <c r="B786" s="41" t="s">
        <v>2162</v>
      </c>
      <c r="C786" s="511">
        <v>44797</v>
      </c>
      <c r="D786" s="18" t="s">
        <v>252</v>
      </c>
      <c r="E786" s="18" t="s">
        <v>253</v>
      </c>
      <c r="F786" s="512" t="s">
        <v>2228</v>
      </c>
      <c r="G786" s="39" t="s">
        <v>314</v>
      </c>
      <c r="H786" s="513" t="s">
        <v>309</v>
      </c>
      <c r="I786" s="540" t="s">
        <v>2236</v>
      </c>
      <c r="J786" s="276" t="str">
        <f>VLOOKUP($I786,'Price List, Weapons &amp; Items'!A:B,2,0)</f>
        <v>Heavy weapon</v>
      </c>
      <c r="K786" s="276" t="str">
        <f>IF(I786=".",I786,VLOOKUP($I786,'Price List, Weapons &amp; Items'!A:C,3,0))</f>
        <v>Anti-aircraft surface-to-air missile (SAM) system (short-range)</v>
      </c>
      <c r="L786" s="514">
        <f>VLOOKUP(I786,'Price List, Weapons &amp; Items'!A:D,4,0)</f>
        <v>0</v>
      </c>
      <c r="M786" s="515" t="s">
        <v>264</v>
      </c>
      <c r="N786" s="515" t="s">
        <v>264</v>
      </c>
      <c r="O786" s="516">
        <f>VLOOKUP($I786,'Price List, Weapons &amp; Items'!A:F,6,0)</f>
        <v>325604.28000000003</v>
      </c>
      <c r="P786" s="513" t="str">
        <f t="shared" ref="P786" si="183">IF(TYPE(M786)=1,IF(TYPE(O786)=1,M786*O786,"No price"),".")</f>
        <v>.</v>
      </c>
      <c r="Q786" s="513" t="str">
        <f t="shared" ref="Q786" si="184">IF(TYPE(N786)=1,IF(TYPE(O786)=1,N786*O786,"No price"),".")</f>
        <v>.</v>
      </c>
      <c r="R786" s="513" t="str">
        <f t="shared" si="174"/>
        <v/>
      </c>
      <c r="S786" s="513" t="str">
        <f>IF(AND(AD786=1,R786&lt;&gt;".")=TRUE,R786/VLOOKUP(G786,'Exchange rates'!B:C,2,0),IF(R786=".",".",""))</f>
        <v/>
      </c>
      <c r="T786" s="513" t="str">
        <f>IF(AD786=1,IF(AF786="Value is not given at all",".",IF(AF786="Value is given by the source",S786,IF(AF786="Value is calculated with prices",(IF(SUMIFS(Q:Q,A:A,A786)&gt;0,SUMIFS(Q:Q,A:A,A786),"."))/VLOOKUP("USD",'Exchange rates'!B:C,2,0),"Error with coding"))),"")</f>
        <v/>
      </c>
      <c r="U786" s="514" t="s">
        <v>372</v>
      </c>
      <c r="V786" s="825" t="s">
        <v>2229</v>
      </c>
      <c r="W786" s="132" t="s">
        <v>2230</v>
      </c>
      <c r="X786" s="826" t="s">
        <v>2231</v>
      </c>
      <c r="Y786" s="382" t="s">
        <v>2232</v>
      </c>
      <c r="Z786" s="514">
        <v>0</v>
      </c>
      <c r="AA786" s="518">
        <v>1</v>
      </c>
      <c r="AB786" s="523" t="s">
        <v>2233</v>
      </c>
      <c r="AC786" s="519" t="str">
        <f>""</f>
        <v/>
      </c>
      <c r="AD786" s="522">
        <v>0</v>
      </c>
      <c r="AE786" s="522" t="s">
        <v>300</v>
      </c>
      <c r="AF786" s="522" t="s">
        <v>300</v>
      </c>
      <c r="AG786" s="522">
        <v>1</v>
      </c>
      <c r="AH786" s="520">
        <v>8</v>
      </c>
      <c r="AI786" s="520">
        <v>0</v>
      </c>
      <c r="AJ786" s="520">
        <f>VLOOKUP($I786,'Price List, Weapons &amp; Items'!A:E,5,0)</f>
        <v>0</v>
      </c>
      <c r="AK786" s="520">
        <f t="shared" si="176"/>
        <v>0</v>
      </c>
      <c r="AL786" s="520">
        <f t="shared" si="177"/>
        <v>0</v>
      </c>
      <c r="AM786" s="520">
        <f t="shared" si="178"/>
        <v>0</v>
      </c>
      <c r="AN786" s="521" t="str">
        <f>VLOOKUP($I786,'Price List, Weapons &amp; Items'!A:K,COLUMN('Price List, Weapons &amp; Items'!$I$1),0)</f>
        <v>Contracts</v>
      </c>
      <c r="AO786" s="521" t="str">
        <f>IF(I786=".",".",VLOOKUP($I786,'Price List, Weapons &amp; Items'!A:I,3,0))</f>
        <v>Anti-aircraft surface-to-air missile (SAM) system (short-range)</v>
      </c>
      <c r="AP786" s="517" t="str">
        <f t="shared" ca="1" si="175"/>
        <v/>
      </c>
      <c r="AQ786" s="521" t="str">
        <f>VLOOKUP($I786,'Price List, Weapons &amp; Items'!A:K,COLUMN('Price List, Weapons &amp; Items'!$K$1),0)</f>
        <v>no price, 0 count</v>
      </c>
      <c r="AS786" s="521">
        <f t="shared" si="179"/>
        <v>0</v>
      </c>
      <c r="AT786" s="521">
        <f t="shared" si="180"/>
        <v>1</v>
      </c>
      <c r="AU786" s="521">
        <f t="shared" si="181"/>
        <v>1</v>
      </c>
      <c r="AV786" s="521" t="str">
        <f t="shared" si="182"/>
        <v>.</v>
      </c>
    </row>
    <row r="787" spans="1:48" ht="15" customHeight="1">
      <c r="A787" s="41" t="s">
        <v>2237</v>
      </c>
      <c r="B787" s="41" t="s">
        <v>2162</v>
      </c>
      <c r="C787" s="511">
        <v>44840</v>
      </c>
      <c r="D787" s="18" t="s">
        <v>252</v>
      </c>
      <c r="E787" s="18" t="s">
        <v>253</v>
      </c>
      <c r="F787" s="512" t="s">
        <v>2238</v>
      </c>
      <c r="G787" s="39" t="s">
        <v>314</v>
      </c>
      <c r="H787" s="513" t="s">
        <v>309</v>
      </c>
      <c r="I787" s="512" t="s">
        <v>2239</v>
      </c>
      <c r="J787" s="276" t="str">
        <f>VLOOKUP($I787,'Price List, Weapons &amp; Items'!A:B,2,0)</f>
        <v>Military equipment</v>
      </c>
      <c r="K787" s="276" t="str">
        <f>IF(I787=".",I787,VLOOKUP($I787,'Price List, Weapons &amp; Items'!A:C,3,0))</f>
        <v>Armoured Utility Vehicle (AUV)</v>
      </c>
      <c r="L787" s="514">
        <f>VLOOKUP(I787,'Price List, Weapons &amp; Items'!A:D,4,0)</f>
        <v>0</v>
      </c>
      <c r="M787" s="515">
        <v>8</v>
      </c>
      <c r="N787" s="515">
        <v>8</v>
      </c>
      <c r="O787" s="516">
        <f>VLOOKUP($I787,'Price List, Weapons &amp; Items'!A:F,6,0)</f>
        <v>60000</v>
      </c>
      <c r="P787" s="513">
        <f t="shared" si="172"/>
        <v>480000</v>
      </c>
      <c r="Q787" s="513">
        <f t="shared" si="173"/>
        <v>480000</v>
      </c>
      <c r="R787" s="513">
        <f t="shared" si="174"/>
        <v>5429730</v>
      </c>
      <c r="S787" s="513">
        <f>IF(AND(AD787=1,R787&lt;&gt;".")=TRUE,R787/VLOOKUP(G787,'Exchange rates'!B:C,2,0),IF(R787=".",".",""))</f>
        <v>5410792.2272047829</v>
      </c>
      <c r="T787" s="513">
        <f>IF(AD787=1,IF(AF787="Value is not given at all",".",IF(AF787="Value is given by the source",S787,IF(AF787="Value is calculated with prices",(IF(SUMIFS(Q:Q,A:A,A787)&gt;0,SUMIFS(Q:Q,A:A,A787),"."))/VLOOKUP("USD",'Exchange rates'!B:C,2,0),"Error with coding"))),"")</f>
        <v>5410792.2272047829</v>
      </c>
      <c r="U787" s="514" t="s">
        <v>233</v>
      </c>
      <c r="V787" s="382" t="s">
        <v>2229</v>
      </c>
      <c r="W787" s="132" t="s">
        <v>2240</v>
      </c>
      <c r="X787" s="531" t="s">
        <v>232</v>
      </c>
      <c r="Y787" s="531" t="s">
        <v>232</v>
      </c>
      <c r="Z787" s="514">
        <v>0</v>
      </c>
      <c r="AA787" s="518">
        <v>1</v>
      </c>
      <c r="AB787" s="523" t="s">
        <v>2229</v>
      </c>
      <c r="AC787" s="519" t="str">
        <f>""</f>
        <v/>
      </c>
      <c r="AD787" s="522">
        <v>1</v>
      </c>
      <c r="AE787" s="522" t="s">
        <v>300</v>
      </c>
      <c r="AF787" s="522" t="s">
        <v>300</v>
      </c>
      <c r="AG787" s="522">
        <v>1</v>
      </c>
      <c r="AH787" s="520">
        <v>10</v>
      </c>
      <c r="AI787" s="520">
        <v>0</v>
      </c>
      <c r="AJ787" s="520">
        <f>VLOOKUP($I787,'Price List, Weapons &amp; Items'!A:E,5,0)</f>
        <v>1</v>
      </c>
      <c r="AK787" s="520">
        <f t="shared" si="176"/>
        <v>0</v>
      </c>
      <c r="AL787" s="520">
        <f t="shared" si="177"/>
        <v>0</v>
      </c>
      <c r="AM787" s="520">
        <f t="shared" si="178"/>
        <v>0</v>
      </c>
      <c r="AN787" s="521" t="str">
        <f>VLOOKUP($I787,'Price List, Weapons &amp; Items'!A:K,COLUMN('Price List, Weapons &amp; Items'!$I$1),0)</f>
        <v>Media reports (incl. social media)</v>
      </c>
      <c r="AO787" s="521" t="str">
        <f>IF(I787=".",".",VLOOKUP($I787,'Price List, Weapons &amp; Items'!A:I,3,0))</f>
        <v>Armoured Utility Vehicle (AUV)</v>
      </c>
      <c r="AP787" s="517" t="str">
        <f t="shared" ca="1" si="175"/>
        <v>Anibal light vehicle; Military trucks; RG-31 ambulance; VAMTAC 4x4 armored vehicle; Ton of medical equipment</v>
      </c>
      <c r="AQ787" s="521">
        <f>VLOOKUP($I787,'Price List, Weapons &amp; Items'!A:K,COLUMN('Price List, Weapons &amp; Items'!$K$1),0)</f>
        <v>1</v>
      </c>
      <c r="AS787" s="521">
        <f t="shared" si="179"/>
        <v>1</v>
      </c>
      <c r="AT787" s="521">
        <f t="shared" si="180"/>
        <v>1</v>
      </c>
      <c r="AU787" s="521">
        <f t="shared" si="181"/>
        <v>1</v>
      </c>
      <c r="AV787" s="521" t="str">
        <f t="shared" si="182"/>
        <v>.</v>
      </c>
    </row>
    <row r="788" spans="1:48" ht="15" customHeight="1">
      <c r="A788" s="41" t="s">
        <v>2237</v>
      </c>
      <c r="B788" s="41" t="s">
        <v>2162</v>
      </c>
      <c r="C788" s="511">
        <v>44840</v>
      </c>
      <c r="D788" s="18" t="s">
        <v>252</v>
      </c>
      <c r="E788" s="18" t="s">
        <v>253</v>
      </c>
      <c r="F788" s="512" t="s">
        <v>2238</v>
      </c>
      <c r="G788" s="39" t="s">
        <v>314</v>
      </c>
      <c r="H788" s="513" t="s">
        <v>309</v>
      </c>
      <c r="I788" s="425" t="s">
        <v>1586</v>
      </c>
      <c r="J788" s="276" t="str">
        <f>VLOOKUP($I788,'Price List, Weapons &amp; Items'!A:B,2,0)</f>
        <v>Military equipment</v>
      </c>
      <c r="K788" s="276" t="str">
        <f>IF(I788=".",I788,VLOOKUP($I788,'Price List, Weapons &amp; Items'!A:C,3,0))</f>
        <v>.</v>
      </c>
      <c r="L788" s="514">
        <f>VLOOKUP(I788,'Price List, Weapons &amp; Items'!A:D,4,0)</f>
        <v>0</v>
      </c>
      <c r="M788" s="515">
        <v>9</v>
      </c>
      <c r="N788" s="515">
        <v>9</v>
      </c>
      <c r="O788" s="516">
        <f>VLOOKUP($I788,'Price List, Weapons &amp; Items'!A:F,6,0)</f>
        <v>350000</v>
      </c>
      <c r="P788" s="513">
        <f t="shared" si="172"/>
        <v>3150000</v>
      </c>
      <c r="Q788" s="513">
        <f t="shared" si="173"/>
        <v>3150000</v>
      </c>
      <c r="R788" s="513" t="str">
        <f t="shared" si="174"/>
        <v/>
      </c>
      <c r="S788" s="513" t="str">
        <f>IF(AND(AD788=1,R788&lt;&gt;".")=TRUE,R788/VLOOKUP(G788,'Exchange rates'!B:C,2,0),IF(R788=".",".",""))</f>
        <v/>
      </c>
      <c r="T788" s="513" t="str">
        <f>IF(AD788=1,IF(AF788="Value is not given at all",".",IF(AF788="Value is given by the source",S788,IF(AF788="Value is calculated with prices",(IF(SUMIFS(Q:Q,A:A,A788)&gt;0,SUMIFS(Q:Q,A:A,A788),"."))/VLOOKUP("USD",'Exchange rates'!B:C,2,0),"Error with coding"))),"")</f>
        <v/>
      </c>
      <c r="U788" s="514" t="s">
        <v>233</v>
      </c>
      <c r="V788" s="382" t="s">
        <v>2229</v>
      </c>
      <c r="W788" s="132" t="s">
        <v>2240</v>
      </c>
      <c r="X788" s="531" t="s">
        <v>232</v>
      </c>
      <c r="Y788" s="531" t="s">
        <v>232</v>
      </c>
      <c r="Z788" s="514">
        <v>0</v>
      </c>
      <c r="AA788" s="518">
        <v>1</v>
      </c>
      <c r="AB788" s="523" t="s">
        <v>2229</v>
      </c>
      <c r="AC788" s="519" t="str">
        <f>""</f>
        <v/>
      </c>
      <c r="AD788" s="522">
        <v>0</v>
      </c>
      <c r="AE788" s="522" t="s">
        <v>300</v>
      </c>
      <c r="AF788" s="522" t="s">
        <v>300</v>
      </c>
      <c r="AG788" s="522">
        <v>1</v>
      </c>
      <c r="AH788" s="520">
        <v>10</v>
      </c>
      <c r="AI788" s="520">
        <v>0</v>
      </c>
      <c r="AJ788" s="520">
        <f>VLOOKUP($I788,'Price List, Weapons &amp; Items'!A:E,5,0)</f>
        <v>0</v>
      </c>
      <c r="AK788" s="520">
        <f t="shared" si="176"/>
        <v>0</v>
      </c>
      <c r="AL788" s="520">
        <f t="shared" si="177"/>
        <v>0</v>
      </c>
      <c r="AM788" s="520">
        <f t="shared" si="178"/>
        <v>0</v>
      </c>
      <c r="AN788" s="521" t="str">
        <f>VLOOKUP($I788,'Price List, Weapons &amp; Items'!A:K,COLUMN('Price List, Weapons &amp; Items'!$I$1),0)</f>
        <v>Media reports (incl. social media)</v>
      </c>
      <c r="AO788" s="521" t="str">
        <f>IF(I788=".",".",VLOOKUP($I788,'Price List, Weapons &amp; Items'!A:I,3,0))</f>
        <v>.</v>
      </c>
      <c r="AP788" s="517" t="str">
        <f t="shared" ca="1" si="175"/>
        <v/>
      </c>
      <c r="AQ788" s="521">
        <f>VLOOKUP($I788,'Price List, Weapons &amp; Items'!A:K,COLUMN('Price List, Weapons &amp; Items'!$K$1),0)</f>
        <v>2</v>
      </c>
      <c r="AS788" s="521">
        <f t="shared" si="179"/>
        <v>1</v>
      </c>
      <c r="AT788" s="521">
        <f t="shared" si="180"/>
        <v>1</v>
      </c>
      <c r="AU788" s="521">
        <f t="shared" si="181"/>
        <v>1</v>
      </c>
      <c r="AV788" s="521" t="str">
        <f t="shared" si="182"/>
        <v>.</v>
      </c>
    </row>
    <row r="789" spans="1:48" ht="15" customHeight="1">
      <c r="A789" s="41" t="s">
        <v>2237</v>
      </c>
      <c r="B789" s="41" t="s">
        <v>2162</v>
      </c>
      <c r="C789" s="511">
        <v>44840</v>
      </c>
      <c r="D789" s="18" t="s">
        <v>252</v>
      </c>
      <c r="E789" s="18" t="s">
        <v>253</v>
      </c>
      <c r="F789" s="512" t="s">
        <v>2238</v>
      </c>
      <c r="G789" s="39" t="s">
        <v>314</v>
      </c>
      <c r="H789" s="513" t="s">
        <v>309</v>
      </c>
      <c r="I789" s="425" t="s">
        <v>2203</v>
      </c>
      <c r="J789" s="276" t="str">
        <f>VLOOKUP($I789,'Price List, Weapons &amp; Items'!A:B,2,0)</f>
        <v>Humanitarian</v>
      </c>
      <c r="K789" s="276" t="str">
        <f>IF(I789=".",I789,VLOOKUP($I789,'Price List, Weapons &amp; Items'!A:C,3,0))</f>
        <v>.</v>
      </c>
      <c r="L789" s="514">
        <f>VLOOKUP(I789,'Price List, Weapons &amp; Items'!A:D,4,0)</f>
        <v>0</v>
      </c>
      <c r="M789" s="515">
        <v>2</v>
      </c>
      <c r="N789" s="515">
        <v>2</v>
      </c>
      <c r="O789" s="516">
        <f>VLOOKUP($I789,'Price List, Weapons &amp; Items'!A:F,6,0)</f>
        <v>644000</v>
      </c>
      <c r="P789" s="513">
        <f t="shared" si="172"/>
        <v>1288000</v>
      </c>
      <c r="Q789" s="513">
        <f t="shared" si="173"/>
        <v>1288000</v>
      </c>
      <c r="R789" s="513" t="str">
        <f t="shared" si="174"/>
        <v/>
      </c>
      <c r="S789" s="513" t="str">
        <f>IF(AND(AD789=1,R789&lt;&gt;".")=TRUE,R789/VLOOKUP(G789,'Exchange rates'!B:C,2,0),IF(R789=".",".",""))</f>
        <v/>
      </c>
      <c r="T789" s="513" t="str">
        <f>IF(AD789=1,IF(AF789="Value is not given at all",".",IF(AF789="Value is given by the source",S789,IF(AF789="Value is calculated with prices",(IF(SUMIFS(Q:Q,A:A,A789)&gt;0,SUMIFS(Q:Q,A:A,A789),"."))/VLOOKUP("USD",'Exchange rates'!B:C,2,0),"Error with coding"))),"")</f>
        <v/>
      </c>
      <c r="U789" s="514" t="s">
        <v>233</v>
      </c>
      <c r="V789" s="382" t="s">
        <v>2229</v>
      </c>
      <c r="W789" s="132" t="s">
        <v>2240</v>
      </c>
      <c r="X789" s="531" t="s">
        <v>232</v>
      </c>
      <c r="Y789" s="531" t="s">
        <v>232</v>
      </c>
      <c r="Z789" s="514">
        <v>0</v>
      </c>
      <c r="AA789" s="518">
        <v>1</v>
      </c>
      <c r="AB789" s="523" t="s">
        <v>2229</v>
      </c>
      <c r="AC789" s="519" t="str">
        <f>""</f>
        <v/>
      </c>
      <c r="AD789" s="522">
        <v>0</v>
      </c>
      <c r="AE789" s="522" t="s">
        <v>300</v>
      </c>
      <c r="AF789" s="522" t="s">
        <v>300</v>
      </c>
      <c r="AG789" s="522">
        <v>1</v>
      </c>
      <c r="AH789" s="520">
        <v>10</v>
      </c>
      <c r="AI789" s="520">
        <v>0</v>
      </c>
      <c r="AJ789" s="520">
        <f>VLOOKUP($I789,'Price List, Weapons &amp; Items'!A:E,5,0)</f>
        <v>0</v>
      </c>
      <c r="AK789" s="520">
        <f t="shared" si="176"/>
        <v>0</v>
      </c>
      <c r="AL789" s="520">
        <f t="shared" si="177"/>
        <v>0</v>
      </c>
      <c r="AM789" s="520">
        <f t="shared" si="178"/>
        <v>0</v>
      </c>
      <c r="AN789" s="521" t="str">
        <f>VLOOKUP($I789,'Price List, Weapons &amp; Items'!A:K,COLUMN('Price List, Weapons &amp; Items'!$I$1),0)</f>
        <v>Miscellaneous</v>
      </c>
      <c r="AO789" s="521" t="str">
        <f>IF(I789=".",".",VLOOKUP($I789,'Price List, Weapons &amp; Items'!A:I,3,0))</f>
        <v>.</v>
      </c>
      <c r="AP789" s="517" t="str">
        <f t="shared" ca="1" si="175"/>
        <v/>
      </c>
      <c r="AQ789" s="521">
        <f>VLOOKUP($I789,'Price List, Weapons &amp; Items'!A:K,COLUMN('Price List, Weapons &amp; Items'!$K$1),0)</f>
        <v>0</v>
      </c>
      <c r="AS789" s="521">
        <f t="shared" si="179"/>
        <v>1</v>
      </c>
      <c r="AT789" s="521">
        <f t="shared" si="180"/>
        <v>1</v>
      </c>
      <c r="AU789" s="521">
        <f t="shared" si="181"/>
        <v>1</v>
      </c>
      <c r="AV789" s="521" t="str">
        <f t="shared" si="182"/>
        <v>.</v>
      </c>
    </row>
    <row r="790" spans="1:48" ht="15" customHeight="1">
      <c r="A790" s="41" t="s">
        <v>2237</v>
      </c>
      <c r="B790" s="41" t="s">
        <v>2162</v>
      </c>
      <c r="C790" s="511">
        <v>44840</v>
      </c>
      <c r="D790" s="18" t="s">
        <v>252</v>
      </c>
      <c r="E790" s="18" t="s">
        <v>253</v>
      </c>
      <c r="F790" s="512" t="s">
        <v>2238</v>
      </c>
      <c r="G790" s="39" t="s">
        <v>314</v>
      </c>
      <c r="H790" s="513" t="s">
        <v>309</v>
      </c>
      <c r="I790" s="425" t="s">
        <v>2214</v>
      </c>
      <c r="J790" s="276" t="str">
        <f>VLOOKUP($I790,'Price List, Weapons &amp; Items'!A:B,2,0)</f>
        <v>Military equipment</v>
      </c>
      <c r="K790" s="276" t="str">
        <f>IF(I790=".",I790,VLOOKUP($I790,'Price List, Weapons &amp; Items'!A:C,3,0))</f>
        <v>Armoured Utility Vehicle (AUV)</v>
      </c>
      <c r="L790" s="514">
        <f>VLOOKUP(I790,'Price List, Weapons &amp; Items'!A:D,4,0)</f>
        <v>0</v>
      </c>
      <c r="M790" s="515">
        <v>1</v>
      </c>
      <c r="N790" s="515">
        <v>1</v>
      </c>
      <c r="O790" s="516">
        <f>VLOOKUP($I790,'Price List, Weapons &amp; Items'!A:F,6,0)</f>
        <v>461730</v>
      </c>
      <c r="P790" s="513">
        <f t="shared" si="172"/>
        <v>461730</v>
      </c>
      <c r="Q790" s="513">
        <f t="shared" si="173"/>
        <v>461730</v>
      </c>
      <c r="R790" s="513" t="str">
        <f t="shared" si="174"/>
        <v/>
      </c>
      <c r="S790" s="513" t="str">
        <f>IF(AND(AD790=1,R790&lt;&gt;".")=TRUE,R790/VLOOKUP(G790,'Exchange rates'!B:C,2,0),IF(R790=".",".",""))</f>
        <v/>
      </c>
      <c r="T790" s="513" t="str">
        <f>IF(AD790=1,IF(AF790="Value is not given at all",".",IF(AF790="Value is given by the source",S790,IF(AF790="Value is calculated with prices",(IF(SUMIFS(Q:Q,A:A,A790)&gt;0,SUMIFS(Q:Q,A:A,A790),"."))/VLOOKUP("USD",'Exchange rates'!B:C,2,0),"Error with coding"))),"")</f>
        <v/>
      </c>
      <c r="U790" s="514" t="s">
        <v>233</v>
      </c>
      <c r="V790" s="382" t="s">
        <v>2229</v>
      </c>
      <c r="W790" s="132" t="s">
        <v>2240</v>
      </c>
      <c r="X790" s="531" t="s">
        <v>232</v>
      </c>
      <c r="Y790" s="531" t="s">
        <v>232</v>
      </c>
      <c r="Z790" s="514">
        <v>0</v>
      </c>
      <c r="AA790" s="518">
        <v>1</v>
      </c>
      <c r="AB790" s="523" t="s">
        <v>2229</v>
      </c>
      <c r="AC790" s="519" t="str">
        <f>""</f>
        <v/>
      </c>
      <c r="AD790" s="522">
        <v>0</v>
      </c>
      <c r="AE790" s="522" t="s">
        <v>300</v>
      </c>
      <c r="AF790" s="522" t="s">
        <v>300</v>
      </c>
      <c r="AG790" s="522">
        <v>1</v>
      </c>
      <c r="AH790" s="520">
        <v>10</v>
      </c>
      <c r="AI790" s="520">
        <v>0</v>
      </c>
      <c r="AJ790" s="520">
        <f>VLOOKUP($I790,'Price List, Weapons &amp; Items'!A:E,5,0)</f>
        <v>1</v>
      </c>
      <c r="AK790" s="520">
        <f t="shared" si="176"/>
        <v>0</v>
      </c>
      <c r="AL790" s="520">
        <f t="shared" si="177"/>
        <v>0</v>
      </c>
      <c r="AM790" s="520">
        <f t="shared" si="178"/>
        <v>0</v>
      </c>
      <c r="AN790" s="521" t="str">
        <f>VLOOKUP($I790,'Price List, Weapons &amp; Items'!A:K,COLUMN('Price List, Weapons &amp; Items'!$I$1),0)</f>
        <v>Media reports (incl. social media)</v>
      </c>
      <c r="AO790" s="521" t="str">
        <f>IF(I790=".",".",VLOOKUP($I790,'Price List, Weapons &amp; Items'!A:I,3,0))</f>
        <v>Armoured Utility Vehicle (AUV)</v>
      </c>
      <c r="AP790" s="517" t="str">
        <f t="shared" ca="1" si="175"/>
        <v/>
      </c>
      <c r="AQ790" s="521">
        <f>VLOOKUP($I790,'Price List, Weapons &amp; Items'!A:K,COLUMN('Price List, Weapons &amp; Items'!$K$1),0)</f>
        <v>2</v>
      </c>
      <c r="AS790" s="521">
        <f t="shared" si="179"/>
        <v>1</v>
      </c>
      <c r="AT790" s="521">
        <f t="shared" si="180"/>
        <v>1</v>
      </c>
      <c r="AU790" s="521">
        <f t="shared" si="181"/>
        <v>1</v>
      </c>
      <c r="AV790" s="521" t="str">
        <f t="shared" si="182"/>
        <v>.</v>
      </c>
    </row>
    <row r="791" spans="1:48" ht="15" customHeight="1">
      <c r="A791" s="41" t="s">
        <v>2237</v>
      </c>
      <c r="B791" s="41" t="s">
        <v>2162</v>
      </c>
      <c r="C791" s="511">
        <v>44840</v>
      </c>
      <c r="D791" s="18" t="s">
        <v>252</v>
      </c>
      <c r="E791" s="18" t="s">
        <v>253</v>
      </c>
      <c r="F791" s="512" t="s">
        <v>2238</v>
      </c>
      <c r="G791" s="39" t="s">
        <v>314</v>
      </c>
      <c r="H791" s="513" t="s">
        <v>309</v>
      </c>
      <c r="I791" s="425" t="s">
        <v>1045</v>
      </c>
      <c r="J791" s="276" t="str">
        <f>VLOOKUP($I791,'Price List, Weapons &amp; Items'!A:B,2,0)</f>
        <v>Humanitarian</v>
      </c>
      <c r="K791" s="276" t="str">
        <f>IF(I791=".",I791,VLOOKUP($I791,'Price List, Weapons &amp; Items'!A:C,3,0))</f>
        <v>.</v>
      </c>
      <c r="L791" s="514">
        <f>VLOOKUP(I791,'Price List, Weapons &amp; Items'!A:D,4,0)</f>
        <v>0</v>
      </c>
      <c r="M791" s="515">
        <v>5</v>
      </c>
      <c r="N791" s="515">
        <v>5</v>
      </c>
      <c r="O791" s="516">
        <f>VLOOKUP($I791,'Price List, Weapons &amp; Items'!A:F,6,0)</f>
        <v>10000</v>
      </c>
      <c r="P791" s="513">
        <f t="shared" si="172"/>
        <v>50000</v>
      </c>
      <c r="Q791" s="513">
        <f t="shared" si="173"/>
        <v>50000</v>
      </c>
      <c r="R791" s="513" t="str">
        <f t="shared" si="174"/>
        <v/>
      </c>
      <c r="S791" s="513" t="str">
        <f>IF(AND(AD791=1,R791&lt;&gt;".")=TRUE,R791/VLOOKUP(G791,'Exchange rates'!B:C,2,0),IF(R791=".",".",""))</f>
        <v/>
      </c>
      <c r="T791" s="513" t="str">
        <f>IF(AD791=1,IF(AF791="Value is not given at all",".",IF(AF791="Value is given by the source",S791,IF(AF791="Value is calculated with prices",(IF(SUMIFS(Q:Q,A:A,A791)&gt;0,SUMIFS(Q:Q,A:A,A791),"."))/VLOOKUP("USD",'Exchange rates'!B:C,2,0),"Error with coding"))),"")</f>
        <v/>
      </c>
      <c r="U791" s="514" t="s">
        <v>233</v>
      </c>
      <c r="V791" s="382" t="s">
        <v>2229</v>
      </c>
      <c r="W791" s="132" t="s">
        <v>2240</v>
      </c>
      <c r="X791" s="531" t="s">
        <v>232</v>
      </c>
      <c r="Y791" s="531" t="s">
        <v>232</v>
      </c>
      <c r="Z791" s="514">
        <v>0</v>
      </c>
      <c r="AA791" s="518">
        <v>1</v>
      </c>
      <c r="AB791" s="523" t="s">
        <v>2229</v>
      </c>
      <c r="AC791" s="519" t="str">
        <f>""</f>
        <v/>
      </c>
      <c r="AD791" s="522">
        <v>0</v>
      </c>
      <c r="AE791" s="522" t="s">
        <v>300</v>
      </c>
      <c r="AF791" s="522" t="s">
        <v>300</v>
      </c>
      <c r="AG791" s="522">
        <v>1</v>
      </c>
      <c r="AH791" s="520">
        <v>10</v>
      </c>
      <c r="AI791" s="520">
        <v>0</v>
      </c>
      <c r="AJ791" s="520">
        <f>VLOOKUP($I791,'Price List, Weapons &amp; Items'!A:E,5,0)</f>
        <v>0</v>
      </c>
      <c r="AK791" s="520">
        <f t="shared" si="176"/>
        <v>0</v>
      </c>
      <c r="AL791" s="520">
        <f t="shared" si="177"/>
        <v>0</v>
      </c>
      <c r="AM791" s="520">
        <f t="shared" si="178"/>
        <v>0</v>
      </c>
      <c r="AN791" s="521" t="str">
        <f>VLOOKUP($I791,'Price List, Weapons &amp; Items'!A:K,COLUMN('Price List, Weapons &amp; Items'!$I$1),0)</f>
        <v>Miscellaneous</v>
      </c>
      <c r="AO791" s="521" t="str">
        <f>IF(I791=".",".",VLOOKUP($I791,'Price List, Weapons &amp; Items'!A:I,3,0))</f>
        <v>.</v>
      </c>
      <c r="AP791" s="517" t="str">
        <f t="shared" ca="1" si="175"/>
        <v/>
      </c>
      <c r="AQ791" s="521">
        <f>VLOOKUP($I791,'Price List, Weapons &amp; Items'!A:K,COLUMN('Price List, Weapons &amp; Items'!$K$1),0)</f>
        <v>0</v>
      </c>
      <c r="AS791" s="521">
        <f t="shared" si="179"/>
        <v>1</v>
      </c>
      <c r="AT791" s="521">
        <f t="shared" si="180"/>
        <v>1</v>
      </c>
      <c r="AU791" s="521">
        <f t="shared" si="181"/>
        <v>1</v>
      </c>
      <c r="AV791" s="521" t="str">
        <f t="shared" si="182"/>
        <v>.</v>
      </c>
    </row>
    <row r="792" spans="1:48" ht="15" customHeight="1">
      <c r="A792" s="41" t="s">
        <v>2241</v>
      </c>
      <c r="B792" s="41" t="s">
        <v>2162</v>
      </c>
      <c r="C792" s="511">
        <v>44847</v>
      </c>
      <c r="D792" s="18" t="s">
        <v>252</v>
      </c>
      <c r="E792" s="18" t="s">
        <v>307</v>
      </c>
      <c r="F792" s="512" t="s">
        <v>2242</v>
      </c>
      <c r="G792" s="39" t="s">
        <v>314</v>
      </c>
      <c r="H792" s="513" t="s">
        <v>309</v>
      </c>
      <c r="I792" s="425" t="s">
        <v>2243</v>
      </c>
      <c r="J792" s="276" t="str">
        <f>VLOOKUP($I792,'Price List, Weapons &amp; Items'!A:B,2,0)</f>
        <v>Heavy weapon</v>
      </c>
      <c r="K792" s="276" t="str">
        <f>IF(I792=".",I792,VLOOKUP($I792,'Price List, Weapons &amp; Items'!A:C,3,0))</f>
        <v>Anti-aircraft surface-to-air missile (SAM) system (medium-range)</v>
      </c>
      <c r="L792" s="514">
        <f>VLOOKUP(I792,'Price List, Weapons &amp; Items'!A:D,4,0)</f>
        <v>0</v>
      </c>
      <c r="M792" s="515">
        <v>4</v>
      </c>
      <c r="N792" s="515">
        <v>4</v>
      </c>
      <c r="O792" s="516">
        <f>VLOOKUP($I792,'Price List, Weapons &amp; Items'!A:F,6,0)</f>
        <v>325604.28293370258</v>
      </c>
      <c r="P792" s="513">
        <f t="shared" si="172"/>
        <v>1302417.1317348103</v>
      </c>
      <c r="Q792" s="513">
        <f t="shared" si="173"/>
        <v>1302417.1317348103</v>
      </c>
      <c r="R792" s="513">
        <f t="shared" si="174"/>
        <v>1302417.1317348103</v>
      </c>
      <c r="S792" s="513">
        <f>IF(AND(AD792=1,R792&lt;&gt;".")=TRUE,R792/VLOOKUP(G792,'Exchange rates'!B:C,2,0),IF(R792=".",".",""))</f>
        <v>1297874.5707372299</v>
      </c>
      <c r="T792" s="513">
        <f>IF(AD792=1,IF(AF792="Value is not given at all",".",IF(AF792="Value is given by the source",S792,IF(AF792="Value is calculated with prices",(IF(SUMIFS(Q:Q,A:A,A792)&gt;0,SUMIFS(Q:Q,A:A,A792),"."))/VLOOKUP("USD",'Exchange rates'!B:C,2,0),"Error with coding"))),"")</f>
        <v>1297874.5707372299</v>
      </c>
      <c r="U792" s="514" t="s">
        <v>233</v>
      </c>
      <c r="V792" s="382" t="s">
        <v>2244</v>
      </c>
      <c r="W792" s="531" t="s">
        <v>2245</v>
      </c>
      <c r="X792" s="531" t="s">
        <v>232</v>
      </c>
      <c r="Y792" s="531" t="s">
        <v>232</v>
      </c>
      <c r="Z792" s="514">
        <v>0</v>
      </c>
      <c r="AA792" s="518">
        <v>1</v>
      </c>
      <c r="AB792" s="832" t="s">
        <v>2246</v>
      </c>
      <c r="AC792" s="519" t="str">
        <f>""</f>
        <v/>
      </c>
      <c r="AD792" s="522">
        <v>1</v>
      </c>
      <c r="AE792" s="522" t="s">
        <v>300</v>
      </c>
      <c r="AF792" s="522" t="s">
        <v>300</v>
      </c>
      <c r="AG792" s="522">
        <v>1</v>
      </c>
      <c r="AH792" s="520">
        <v>10</v>
      </c>
      <c r="AI792" s="520">
        <v>0</v>
      </c>
      <c r="AJ792" s="520">
        <f>VLOOKUP($I792,'Price List, Weapons &amp; Items'!A:E,5,0)</f>
        <v>0</v>
      </c>
      <c r="AK792" s="520">
        <f t="shared" si="176"/>
        <v>0</v>
      </c>
      <c r="AL792" s="520">
        <f t="shared" si="177"/>
        <v>0</v>
      </c>
      <c r="AM792" s="520">
        <f t="shared" si="178"/>
        <v>0</v>
      </c>
      <c r="AN792" s="521" t="str">
        <f>VLOOKUP($I792,'Price List, Weapons &amp; Items'!A:K,COLUMN('Price List, Weapons &amp; Items'!$I$1),0)</f>
        <v>Contracts</v>
      </c>
      <c r="AO792" s="521" t="str">
        <f>IF(I792=".",".",VLOOKUP($I792,'Price List, Weapons &amp; Items'!A:I,3,0))</f>
        <v>Anti-aircraft surface-to-air missile (SAM) system (medium-range)</v>
      </c>
      <c r="AP792" s="517" t="str">
        <f t="shared" ca="1" si="175"/>
        <v>MIM-23 HAWK; Aspide battery; Shorad Aspide anti-aircraft missile</v>
      </c>
      <c r="AQ792" s="521">
        <f>VLOOKUP($I792,'Price List, Weapons &amp; Items'!A:K,COLUMN('Price List, Weapons &amp; Items'!$K$1),0)</f>
        <v>2</v>
      </c>
      <c r="AS792" s="521">
        <f t="shared" si="179"/>
        <v>1</v>
      </c>
      <c r="AT792" s="521">
        <f t="shared" si="180"/>
        <v>1</v>
      </c>
      <c r="AU792" s="521">
        <f t="shared" si="181"/>
        <v>1</v>
      </c>
      <c r="AV792" s="521" t="str">
        <f t="shared" si="182"/>
        <v>.</v>
      </c>
    </row>
    <row r="793" spans="1:48" ht="15" customHeight="1">
      <c r="A793" s="41" t="s">
        <v>2241</v>
      </c>
      <c r="B793" s="41" t="s">
        <v>2162</v>
      </c>
      <c r="C793" s="511">
        <v>44847</v>
      </c>
      <c r="D793" s="18" t="s">
        <v>252</v>
      </c>
      <c r="E793" s="18" t="s">
        <v>307</v>
      </c>
      <c r="F793" s="512" t="s">
        <v>2242</v>
      </c>
      <c r="G793" s="39" t="s">
        <v>314</v>
      </c>
      <c r="H793" s="513" t="s">
        <v>309</v>
      </c>
      <c r="I793" s="512" t="s">
        <v>2247</v>
      </c>
      <c r="J793" s="276" t="str">
        <f>VLOOKUP($I793,'Price List, Weapons &amp; Items'!A:B,2,0)</f>
        <v>Heavy weapon</v>
      </c>
      <c r="K793" s="276" t="str">
        <f>IF(I793=".",I793,VLOOKUP($I793,'Price List, Weapons &amp; Items'!A:C,3,0))</f>
        <v>Anti-aircraft surface-to-air missile (SAM) system (short-range)</v>
      </c>
      <c r="L793" s="514">
        <f>VLOOKUP(I793,'Price List, Weapons &amp; Items'!A:D,4,0)</f>
        <v>0</v>
      </c>
      <c r="M793" s="515" t="s">
        <v>264</v>
      </c>
      <c r="N793" s="515" t="s">
        <v>264</v>
      </c>
      <c r="O793" s="516" t="str">
        <f>VLOOKUP($I793,'Price List, Weapons &amp; Items'!A:F,6,0)</f>
        <v>.</v>
      </c>
      <c r="P793" s="513" t="str">
        <f t="shared" si="172"/>
        <v>.</v>
      </c>
      <c r="Q793" s="513" t="str">
        <f t="shared" si="173"/>
        <v>.</v>
      </c>
      <c r="R793" s="513" t="str">
        <f t="shared" si="174"/>
        <v/>
      </c>
      <c r="S793" s="513" t="str">
        <f>IF(AND(AD793=1,R793&lt;&gt;".")=TRUE,R793/VLOOKUP(G793,'Exchange rates'!B:C,2,0),IF(R793=".",".",""))</f>
        <v/>
      </c>
      <c r="T793" s="513" t="str">
        <f>IF(AD793=1,IF(AF793="Value is not given at all",".",IF(AF793="Value is given by the source",S793,IF(AF793="Value is calculated with prices",(IF(SUMIFS(Q:Q,A:A,A793)&gt;0,SUMIFS(Q:Q,A:A,A793),"."))/VLOOKUP("USD",'Exchange rates'!B:C,2,0),"Error with coding"))),"")</f>
        <v/>
      </c>
      <c r="U793" s="514" t="s">
        <v>233</v>
      </c>
      <c r="V793" s="382" t="s">
        <v>2244</v>
      </c>
      <c r="W793" s="531" t="s">
        <v>2245</v>
      </c>
      <c r="X793" s="382" t="s">
        <v>232</v>
      </c>
      <c r="Y793" s="531" t="s">
        <v>232</v>
      </c>
      <c r="Z793" s="514">
        <v>0</v>
      </c>
      <c r="AA793" s="518">
        <v>1</v>
      </c>
      <c r="AB793" s="523" t="s">
        <v>2246</v>
      </c>
      <c r="AC793" s="519" t="str">
        <f>""</f>
        <v/>
      </c>
      <c r="AD793" s="522">
        <v>0</v>
      </c>
      <c r="AE793" s="522" t="s">
        <v>300</v>
      </c>
      <c r="AF793" s="522" t="s">
        <v>300</v>
      </c>
      <c r="AG793" s="522">
        <v>1</v>
      </c>
      <c r="AH793" s="520">
        <v>10</v>
      </c>
      <c r="AI793" s="520">
        <v>0</v>
      </c>
      <c r="AJ793" s="520">
        <f>VLOOKUP($I793,'Price List, Weapons &amp; Items'!A:E,5,0)</f>
        <v>0</v>
      </c>
      <c r="AK793" s="520">
        <f t="shared" si="176"/>
        <v>0</v>
      </c>
      <c r="AL793" s="520">
        <f t="shared" si="177"/>
        <v>0</v>
      </c>
      <c r="AM793" s="520">
        <f t="shared" si="178"/>
        <v>0</v>
      </c>
      <c r="AN793" s="521" t="str">
        <f>VLOOKUP($I793,'Price List, Weapons &amp; Items'!A:K,COLUMN('Price List, Weapons &amp; Items'!$I$1),0)</f>
        <v>.</v>
      </c>
      <c r="AO793" s="521" t="str">
        <f>IF(I793=".",".",VLOOKUP($I793,'Price List, Weapons &amp; Items'!A:I,3,0))</f>
        <v>Anti-aircraft surface-to-air missile (SAM) system (short-range)</v>
      </c>
      <c r="AP793" s="517" t="str">
        <f t="shared" ca="1" si="175"/>
        <v/>
      </c>
      <c r="AQ793" s="521" t="str">
        <f>VLOOKUP($I793,'Price List, Weapons &amp; Items'!A:K,COLUMN('Price List, Weapons &amp; Items'!$K$1),0)</f>
        <v>no price, 0 count</v>
      </c>
      <c r="AS793" s="521">
        <f t="shared" si="179"/>
        <v>1</v>
      </c>
      <c r="AT793" s="521">
        <f t="shared" si="180"/>
        <v>1</v>
      </c>
      <c r="AU793" s="521">
        <f t="shared" si="181"/>
        <v>1</v>
      </c>
      <c r="AV793" s="521" t="str">
        <f t="shared" si="182"/>
        <v>.</v>
      </c>
    </row>
    <row r="794" spans="1:48" ht="15" customHeight="1">
      <c r="A794" s="41" t="s">
        <v>2241</v>
      </c>
      <c r="B794" s="41" t="s">
        <v>2162</v>
      </c>
      <c r="C794" s="511">
        <v>44847</v>
      </c>
      <c r="D794" s="18" t="s">
        <v>252</v>
      </c>
      <c r="E794" s="18" t="s">
        <v>307</v>
      </c>
      <c r="F794" s="512" t="s">
        <v>2242</v>
      </c>
      <c r="G794" s="39" t="s">
        <v>314</v>
      </c>
      <c r="H794" s="513" t="s">
        <v>309</v>
      </c>
      <c r="I794" s="425" t="s">
        <v>2218</v>
      </c>
      <c r="J794" s="276" t="str">
        <f>VLOOKUP($I794,'Price List, Weapons &amp; Items'!A:B,2,0)</f>
        <v>Ammunition for heavy weapon</v>
      </c>
      <c r="K794" s="276" t="str">
        <f>IF(I794=".",I794,VLOOKUP($I794,'Price List, Weapons &amp; Items'!A:C,3,0))</f>
        <v>Anti-aircraft system ammunition</v>
      </c>
      <c r="L794" s="514">
        <f>VLOOKUP(I794,'Price List, Weapons &amp; Items'!A:D,4,0)</f>
        <v>0</v>
      </c>
      <c r="M794" s="515" t="s">
        <v>264</v>
      </c>
      <c r="N794" s="515" t="s">
        <v>264</v>
      </c>
      <c r="O794" s="516">
        <f>VLOOKUP($I794,'Price List, Weapons &amp; Items'!A:F,6,0)</f>
        <v>100000</v>
      </c>
      <c r="P794" s="513" t="str">
        <f t="shared" si="172"/>
        <v>.</v>
      </c>
      <c r="Q794" s="513" t="str">
        <f t="shared" si="173"/>
        <v>.</v>
      </c>
      <c r="R794" s="513" t="str">
        <f t="shared" si="174"/>
        <v/>
      </c>
      <c r="S794" s="513" t="str">
        <f>IF(AND(AD794=1,R794&lt;&gt;".")=TRUE,R794/VLOOKUP(G794,'Exchange rates'!B:C,2,0),IF(R794=".",".",""))</f>
        <v/>
      </c>
      <c r="T794" s="513" t="str">
        <f>IF(AD794=1,IF(AF794="Value is not given at all",".",IF(AF794="Value is given by the source",S794,IF(AF794="Value is calculated with prices",(IF(SUMIFS(Q:Q,A:A,A794)&gt;0,SUMIFS(Q:Q,A:A,A794),"."))/VLOOKUP("USD",'Exchange rates'!B:C,2,0),"Error with coding"))),"")</f>
        <v/>
      </c>
      <c r="U794" s="514" t="s">
        <v>233</v>
      </c>
      <c r="V794" s="382" t="s">
        <v>2244</v>
      </c>
      <c r="W794" s="531" t="s">
        <v>2245</v>
      </c>
      <c r="X794" s="531" t="s">
        <v>232</v>
      </c>
      <c r="Y794" s="531" t="s">
        <v>232</v>
      </c>
      <c r="Z794" s="514">
        <v>0</v>
      </c>
      <c r="AA794" s="518">
        <v>1</v>
      </c>
      <c r="AB794" s="523" t="s">
        <v>2246</v>
      </c>
      <c r="AC794" s="519" t="str">
        <f>""</f>
        <v/>
      </c>
      <c r="AD794" s="522">
        <v>0</v>
      </c>
      <c r="AE794" s="522" t="s">
        <v>300</v>
      </c>
      <c r="AF794" s="522" t="s">
        <v>300</v>
      </c>
      <c r="AG794" s="522">
        <v>1</v>
      </c>
      <c r="AH794" s="520">
        <v>10</v>
      </c>
      <c r="AI794" s="520">
        <v>0</v>
      </c>
      <c r="AJ794" s="520">
        <f>VLOOKUP($I794,'Price List, Weapons &amp; Items'!A:E,5,0)</f>
        <v>0</v>
      </c>
      <c r="AK794" s="520">
        <f t="shared" si="176"/>
        <v>0</v>
      </c>
      <c r="AL794" s="520">
        <f t="shared" si="177"/>
        <v>0</v>
      </c>
      <c r="AM794" s="520">
        <f t="shared" si="178"/>
        <v>0</v>
      </c>
      <c r="AN794" s="521" t="str">
        <f>VLOOKUP($I794,'Price List, Weapons &amp; Items'!A:K,COLUMN('Price List, Weapons &amp; Items'!$I$1),0)</f>
        <v>Military media (incl. websites)</v>
      </c>
      <c r="AO794" s="521" t="str">
        <f>IF(I794=".",".",VLOOKUP($I794,'Price List, Weapons &amp; Items'!A:I,3,0))</f>
        <v>Anti-aircraft system ammunition</v>
      </c>
      <c r="AP794" s="517" t="str">
        <f t="shared" ca="1" si="175"/>
        <v/>
      </c>
      <c r="AQ794" s="521" t="str">
        <f>VLOOKUP($I794,'Price List, Weapons &amp; Items'!A:K,COLUMN('Price List, Weapons &amp; Items'!$K$1),0)</f>
        <v>no price, 0 count</v>
      </c>
      <c r="AS794" s="521">
        <f t="shared" si="179"/>
        <v>1</v>
      </c>
      <c r="AT794" s="521">
        <f t="shared" si="180"/>
        <v>1</v>
      </c>
      <c r="AU794" s="521">
        <f t="shared" si="181"/>
        <v>1</v>
      </c>
      <c r="AV794" s="521" t="str">
        <f t="shared" si="182"/>
        <v>.</v>
      </c>
    </row>
    <row r="795" spans="1:48" ht="15" customHeight="1">
      <c r="A795" s="41" t="s">
        <v>2248</v>
      </c>
      <c r="B795" s="41" t="s">
        <v>2162</v>
      </c>
      <c r="C795" s="511">
        <v>44867</v>
      </c>
      <c r="D795" s="18" t="s">
        <v>252</v>
      </c>
      <c r="E795" s="18" t="s">
        <v>307</v>
      </c>
      <c r="F795" s="512" t="s">
        <v>2249</v>
      </c>
      <c r="G795" s="39" t="s">
        <v>314</v>
      </c>
      <c r="H795" s="513" t="s">
        <v>309</v>
      </c>
      <c r="I795" s="425" t="s">
        <v>2243</v>
      </c>
      <c r="J795" s="276" t="str">
        <f>VLOOKUP($I795,'Price List, Weapons &amp; Items'!A:B,2,0)</f>
        <v>Heavy weapon</v>
      </c>
      <c r="K795" s="276" t="str">
        <f>IF(I795=".",I795,VLOOKUP($I795,'Price List, Weapons &amp; Items'!A:C,3,0))</f>
        <v>Anti-aircraft surface-to-air missile (SAM) system (medium-range)</v>
      </c>
      <c r="L795" s="514">
        <f>VLOOKUP(I795,'Price List, Weapons &amp; Items'!A:D,4,0)</f>
        <v>0</v>
      </c>
      <c r="M795" s="515">
        <v>2</v>
      </c>
      <c r="N795" s="515" t="s">
        <v>232</v>
      </c>
      <c r="O795" s="516">
        <f>VLOOKUP($I795,'Price List, Weapons &amp; Items'!A:F,6,0)</f>
        <v>325604.28293370258</v>
      </c>
      <c r="P795" s="513">
        <f t="shared" si="172"/>
        <v>651208.56586740515</v>
      </c>
      <c r="Q795" s="513" t="str">
        <f t="shared" si="173"/>
        <v>.</v>
      </c>
      <c r="R795" s="513">
        <f t="shared" si="174"/>
        <v>8931982.7219532821</v>
      </c>
      <c r="S795" s="513">
        <f>IF(AND(AD795=1,R795&lt;&gt;".")=TRUE,R795/VLOOKUP(G795,'Exchange rates'!B:C,2,0),IF(R795=".",".",""))</f>
        <v>8900829.81759171</v>
      </c>
      <c r="T795" s="513" t="str">
        <f>IF(AD795=1,IF(AF795="Value is not given at all",".",IF(AF795="Value is given by the source",S795,IF(AF795="Value is calculated with prices",(IF(SUMIFS(Q:Q,A:A,A795)&gt;0,SUMIFS(Q:Q,A:A,A795),"."))/VLOOKUP("USD",'Exchange rates'!B:C,2,0),"Error with coding"))),"")</f>
        <v>.</v>
      </c>
      <c r="U795" s="514" t="s">
        <v>372</v>
      </c>
      <c r="V795" s="132" t="s">
        <v>2250</v>
      </c>
      <c r="W795" s="382" t="s">
        <v>2251</v>
      </c>
      <c r="X795" s="531" t="s">
        <v>232</v>
      </c>
      <c r="Y795" s="531" t="s">
        <v>232</v>
      </c>
      <c r="Z795" s="514">
        <v>0</v>
      </c>
      <c r="AA795" s="518">
        <v>1</v>
      </c>
      <c r="AB795" s="395" t="s">
        <v>232</v>
      </c>
      <c r="AC795" s="519" t="str">
        <f>""</f>
        <v/>
      </c>
      <c r="AD795" s="522">
        <v>1</v>
      </c>
      <c r="AE795" s="522" t="s">
        <v>300</v>
      </c>
      <c r="AF795" s="522" t="s">
        <v>237</v>
      </c>
      <c r="AG795" s="522">
        <v>1</v>
      </c>
      <c r="AH795" s="520">
        <v>11</v>
      </c>
      <c r="AI795" s="520">
        <v>0</v>
      </c>
      <c r="AJ795" s="520">
        <f>VLOOKUP($I795,'Price List, Weapons &amp; Items'!A:E,5,0)</f>
        <v>0</v>
      </c>
      <c r="AK795" s="520">
        <f t="shared" si="176"/>
        <v>0</v>
      </c>
      <c r="AL795" s="520">
        <f t="shared" si="177"/>
        <v>0</v>
      </c>
      <c r="AM795" s="520">
        <f t="shared" si="178"/>
        <v>0</v>
      </c>
      <c r="AN795" s="521" t="str">
        <f>VLOOKUP($I795,'Price List, Weapons &amp; Items'!A:K,COLUMN('Price List, Weapons &amp; Items'!$I$1),0)</f>
        <v>Contracts</v>
      </c>
      <c r="AO795" s="521" t="str">
        <f>IF(I795=".",".",VLOOKUP($I795,'Price List, Weapons &amp; Items'!A:I,3,0))</f>
        <v>Anti-aircraft surface-to-air missile (SAM) system (medium-range)</v>
      </c>
      <c r="AP795" s="517" t="str">
        <f t="shared" ca="1" si="175"/>
        <v>MIM-23 HAWK; OTO Melara Mod 56 Towed Howitzer 105/14 ; Power generator</v>
      </c>
      <c r="AQ795" s="521">
        <f>VLOOKUP($I795,'Price List, Weapons &amp; Items'!A:K,COLUMN('Price List, Weapons &amp; Items'!$K$1),0)</f>
        <v>2</v>
      </c>
      <c r="AS795" s="521">
        <f t="shared" si="179"/>
        <v>0</v>
      </c>
      <c r="AT795" s="521">
        <f t="shared" si="180"/>
        <v>1</v>
      </c>
      <c r="AU795" s="521">
        <f t="shared" si="181"/>
        <v>1</v>
      </c>
      <c r="AV795" s="521" t="str">
        <f t="shared" si="182"/>
        <v>.</v>
      </c>
    </row>
    <row r="796" spans="1:48" ht="15" customHeight="1">
      <c r="A796" s="41" t="s">
        <v>2248</v>
      </c>
      <c r="B796" s="41" t="s">
        <v>2162</v>
      </c>
      <c r="C796" s="511">
        <v>44867</v>
      </c>
      <c r="D796" s="18" t="s">
        <v>252</v>
      </c>
      <c r="E796" s="18" t="s">
        <v>307</v>
      </c>
      <c r="F796" s="512" t="s">
        <v>2249</v>
      </c>
      <c r="G796" s="39" t="s">
        <v>314</v>
      </c>
      <c r="H796" s="513" t="s">
        <v>309</v>
      </c>
      <c r="I796" s="512" t="s">
        <v>2252</v>
      </c>
      <c r="J796" s="276" t="str">
        <f>VLOOKUP($I796,'Price List, Weapons &amp; Items'!A:B,2,0)</f>
        <v>Heavy weapon</v>
      </c>
      <c r="K796" s="276" t="str">
        <f>IF(I796=".",I796,VLOOKUP($I796,'Price List, Weapons &amp; Items'!A:C,3,0))</f>
        <v>105mm howitzer</v>
      </c>
      <c r="L796" s="514">
        <f>VLOOKUP(I796,'Price List, Weapons &amp; Items'!A:D,4,0)</f>
        <v>0</v>
      </c>
      <c r="M796" s="515">
        <v>6</v>
      </c>
      <c r="N796" s="515" t="s">
        <v>232</v>
      </c>
      <c r="O796" s="516">
        <f>VLOOKUP($I796,'Price List, Weapons &amp; Items'!A:F,6,0)</f>
        <v>1380129.0260143129</v>
      </c>
      <c r="P796" s="513">
        <f t="shared" si="172"/>
        <v>8280774.1560858767</v>
      </c>
      <c r="Q796" s="513" t="str">
        <f t="shared" si="173"/>
        <v>.</v>
      </c>
      <c r="R796" s="513" t="str">
        <f t="shared" si="174"/>
        <v/>
      </c>
      <c r="S796" s="513" t="str">
        <f>IF(AND(AD796=1,R796&lt;&gt;".")=TRUE,R796/VLOOKUP(G796,'Exchange rates'!B:C,2,0),IF(R796=".",".",""))</f>
        <v/>
      </c>
      <c r="T796" s="513" t="str">
        <f>IF(AD796=1,IF(AF796="Value is not given at all",".",IF(AF796="Value is given by the source",S796,IF(AF796="Value is calculated with prices",(IF(SUMIFS(Q:Q,A:A,A796)&gt;0,SUMIFS(Q:Q,A:A,A796),"."))/VLOOKUP("USD",'Exchange rates'!B:C,2,0),"Error with coding"))),"")</f>
        <v/>
      </c>
      <c r="U796" s="514" t="s">
        <v>372</v>
      </c>
      <c r="V796" s="132" t="s">
        <v>2250</v>
      </c>
      <c r="W796" s="382" t="s">
        <v>2251</v>
      </c>
      <c r="X796" s="531" t="s">
        <v>232</v>
      </c>
      <c r="Y796" s="531" t="s">
        <v>232</v>
      </c>
      <c r="Z796" s="514">
        <v>0</v>
      </c>
      <c r="AA796" s="518">
        <v>1</v>
      </c>
      <c r="AB796" s="395" t="s">
        <v>232</v>
      </c>
      <c r="AC796" s="519" t="str">
        <f>""</f>
        <v/>
      </c>
      <c r="AD796" s="522">
        <v>0</v>
      </c>
      <c r="AE796" s="522" t="s">
        <v>300</v>
      </c>
      <c r="AF796" s="522" t="s">
        <v>237</v>
      </c>
      <c r="AG796" s="522">
        <v>1</v>
      </c>
      <c r="AH796" s="520">
        <v>11</v>
      </c>
      <c r="AI796" s="520">
        <v>0</v>
      </c>
      <c r="AJ796" s="520">
        <f>VLOOKUP($I796,'Price List, Weapons &amp; Items'!A:E,5,0)</f>
        <v>0</v>
      </c>
      <c r="AK796" s="520">
        <f t="shared" si="176"/>
        <v>0</v>
      </c>
      <c r="AL796" s="520">
        <f t="shared" si="177"/>
        <v>0</v>
      </c>
      <c r="AM796" s="520">
        <f t="shared" si="178"/>
        <v>0</v>
      </c>
      <c r="AN796" s="521" t="str">
        <f>VLOOKUP($I796,'Price List, Weapons &amp; Items'!A:K,COLUMN('Price List, Weapons &amp; Items'!$I$1),0)</f>
        <v>.</v>
      </c>
      <c r="AO796" s="521" t="str">
        <f>IF(I796=".",".",VLOOKUP($I796,'Price List, Weapons &amp; Items'!A:I,3,0))</f>
        <v>105mm howitzer</v>
      </c>
      <c r="AP796" s="517" t="str">
        <f t="shared" ca="1" si="175"/>
        <v/>
      </c>
      <c r="AQ796" s="521">
        <f>VLOOKUP($I796,'Price List, Weapons &amp; Items'!A:K,COLUMN('Price List, Weapons &amp; Items'!$K$1),0)</f>
        <v>2</v>
      </c>
      <c r="AS796" s="521">
        <f t="shared" si="179"/>
        <v>0</v>
      </c>
      <c r="AT796" s="521">
        <f t="shared" si="180"/>
        <v>1</v>
      </c>
      <c r="AU796" s="521">
        <f t="shared" si="181"/>
        <v>1</v>
      </c>
      <c r="AV796" s="521" t="str">
        <f t="shared" si="182"/>
        <v>.</v>
      </c>
    </row>
    <row r="797" spans="1:48" ht="15" customHeight="1">
      <c r="A797" s="41" t="s">
        <v>2248</v>
      </c>
      <c r="B797" s="41" t="s">
        <v>2162</v>
      </c>
      <c r="C797" s="511">
        <v>44867</v>
      </c>
      <c r="D797" s="18" t="s">
        <v>252</v>
      </c>
      <c r="E797" s="18" t="s">
        <v>307</v>
      </c>
      <c r="F797" s="512" t="s">
        <v>2249</v>
      </c>
      <c r="G797" s="39" t="s">
        <v>314</v>
      </c>
      <c r="H797" s="513" t="s">
        <v>309</v>
      </c>
      <c r="I797" s="425" t="s">
        <v>626</v>
      </c>
      <c r="J797" s="276" t="str">
        <f>VLOOKUP($I797,'Price List, Weapons &amp; Items'!A:B,2,0)</f>
        <v>Humanitarian</v>
      </c>
      <c r="K797" s="276" t="str">
        <f>IF(I797=".",I797,VLOOKUP($I797,'Price List, Weapons &amp; Items'!A:C,3,0))</f>
        <v>.</v>
      </c>
      <c r="L797" s="514">
        <f>VLOOKUP(I797,'Price List, Weapons &amp; Items'!A:D,4,0)</f>
        <v>0</v>
      </c>
      <c r="M797" s="515" t="s">
        <v>264</v>
      </c>
      <c r="N797" s="515" t="s">
        <v>264</v>
      </c>
      <c r="O797" s="516" t="str">
        <f>VLOOKUP($I797,'Price List, Weapons &amp; Items'!A:F,6,0)</f>
        <v>.</v>
      </c>
      <c r="P797" s="513" t="str">
        <f t="shared" si="172"/>
        <v>.</v>
      </c>
      <c r="Q797" s="513" t="str">
        <f t="shared" si="173"/>
        <v>.</v>
      </c>
      <c r="R797" s="513" t="str">
        <f t="shared" si="174"/>
        <v/>
      </c>
      <c r="S797" s="513" t="str">
        <f>IF(AND(AD797=1,R797&lt;&gt;".")=TRUE,R797/VLOOKUP(G797,'Exchange rates'!B:C,2,0),IF(R797=".",".",""))</f>
        <v/>
      </c>
      <c r="T797" s="513" t="str">
        <f>IF(AD797=1,IF(AF797="Value is not given at all",".",IF(AF797="Value is given by the source",S797,IF(AF797="Value is calculated with prices",(IF(SUMIFS(Q:Q,A:A,A797)&gt;0,SUMIFS(Q:Q,A:A,A797),"."))/VLOOKUP("USD",'Exchange rates'!B:C,2,0),"Error with coding"))),"")</f>
        <v/>
      </c>
      <c r="U797" s="514" t="s">
        <v>372</v>
      </c>
      <c r="V797" s="132" t="s">
        <v>2250</v>
      </c>
      <c r="W797" s="382" t="s">
        <v>2251</v>
      </c>
      <c r="X797" s="531" t="s">
        <v>232</v>
      </c>
      <c r="Y797" s="531" t="s">
        <v>232</v>
      </c>
      <c r="Z797" s="514">
        <v>0</v>
      </c>
      <c r="AA797" s="518">
        <v>1</v>
      </c>
      <c r="AB797" s="395" t="s">
        <v>232</v>
      </c>
      <c r="AC797" s="519" t="str">
        <f>""</f>
        <v/>
      </c>
      <c r="AD797" s="522">
        <v>0</v>
      </c>
      <c r="AE797" s="522" t="s">
        <v>300</v>
      </c>
      <c r="AF797" s="522" t="s">
        <v>237</v>
      </c>
      <c r="AG797" s="522">
        <v>1</v>
      </c>
      <c r="AH797" s="520">
        <v>11</v>
      </c>
      <c r="AI797" s="520">
        <v>0</v>
      </c>
      <c r="AJ797" s="520">
        <f>VLOOKUP($I797,'Price List, Weapons &amp; Items'!A:E,5,0)</f>
        <v>0</v>
      </c>
      <c r="AK797" s="520">
        <f t="shared" si="176"/>
        <v>0</v>
      </c>
      <c r="AL797" s="520">
        <f t="shared" si="177"/>
        <v>0</v>
      </c>
      <c r="AM797" s="520">
        <f t="shared" si="178"/>
        <v>0</v>
      </c>
      <c r="AN797" s="521" t="str">
        <f>VLOOKUP($I797,'Price List, Weapons &amp; Items'!A:K,COLUMN('Price List, Weapons &amp; Items'!$I$1),0)</f>
        <v>Media reports (incl. social media)</v>
      </c>
      <c r="AO797" s="521" t="str">
        <f>IF(I797=".",".",VLOOKUP($I797,'Price List, Weapons &amp; Items'!A:I,3,0))</f>
        <v>.</v>
      </c>
      <c r="AP797" s="517" t="str">
        <f t="shared" ca="1" si="175"/>
        <v/>
      </c>
      <c r="AQ797" s="521">
        <f>VLOOKUP($I797,'Price List, Weapons &amp; Items'!A:K,COLUMN('Price List, Weapons &amp; Items'!$K$1),0)</f>
        <v>0</v>
      </c>
      <c r="AS797" s="521">
        <f t="shared" si="179"/>
        <v>0</v>
      </c>
      <c r="AT797" s="521">
        <f t="shared" si="180"/>
        <v>1</v>
      </c>
      <c r="AU797" s="521">
        <f t="shared" si="181"/>
        <v>1</v>
      </c>
      <c r="AV797" s="521" t="str">
        <f t="shared" si="182"/>
        <v>.</v>
      </c>
    </row>
    <row r="798" spans="1:48" ht="15" customHeight="1">
      <c r="A798" s="524" t="s">
        <v>2253</v>
      </c>
      <c r="B798" s="41" t="s">
        <v>2162</v>
      </c>
      <c r="C798" s="511">
        <v>44719</v>
      </c>
      <c r="D798" s="18" t="s">
        <v>366</v>
      </c>
      <c r="E798" s="18" t="s">
        <v>330</v>
      </c>
      <c r="F798" s="512" t="s">
        <v>2254</v>
      </c>
      <c r="G798" s="39" t="s">
        <v>332</v>
      </c>
      <c r="H798" s="513">
        <v>100000000</v>
      </c>
      <c r="I798" s="524" t="s">
        <v>232</v>
      </c>
      <c r="J798" s="276" t="str">
        <f>VLOOKUP($I798,'Price List, Weapons &amp; Items'!A:B,2,0)</f>
        <v>.</v>
      </c>
      <c r="K798" s="276" t="str">
        <f>IF(I798=".",I798,VLOOKUP($I798,'Price List, Weapons &amp; Items'!A:C,3,0))</f>
        <v>.</v>
      </c>
      <c r="L798" s="514">
        <f>VLOOKUP(I798,'Price List, Weapons &amp; Items'!A:D,4,0)</f>
        <v>0</v>
      </c>
      <c r="M798" s="527" t="s">
        <v>232</v>
      </c>
      <c r="N798" s="527" t="s">
        <v>232</v>
      </c>
      <c r="O798" s="516" t="str">
        <f>VLOOKUP($I798,'Price List, Weapons &amp; Items'!A:F,6,0)</f>
        <v>.</v>
      </c>
      <c r="P798" s="513" t="str">
        <f t="shared" si="172"/>
        <v>.</v>
      </c>
      <c r="Q798" s="513" t="str">
        <f t="shared" si="173"/>
        <v>.</v>
      </c>
      <c r="R798" s="513">
        <f t="shared" si="174"/>
        <v>100000000</v>
      </c>
      <c r="S798" s="513">
        <f>IF(AND(AD798=1,R798&lt;&gt;".")=TRUE,R798/VLOOKUP(G798,'Exchange rates'!B:C,2,0),IF(R798=".",".",""))</f>
        <v>100000000</v>
      </c>
      <c r="T798" s="513">
        <f>IF(AD798=1,IF(AF798="Value is not given at all",".",IF(AF798="Value is given by the source",S798,IF(AF798="Value is calculated with prices",(IF(SUMIFS(Q:Q,A:A,A798)&gt;0,SUMIFS(Q:Q,A:A,A798),"."))/VLOOKUP("USD",'Exchange rates'!B:C,2,0),"Error with coding"))),"")</f>
        <v>100000000</v>
      </c>
      <c r="U798" s="39" t="s">
        <v>372</v>
      </c>
      <c r="V798" s="42" t="s">
        <v>2187</v>
      </c>
      <c r="W798" s="42" t="s">
        <v>2188</v>
      </c>
      <c r="X798" s="512" t="s">
        <v>232</v>
      </c>
      <c r="Y798" s="512" t="s">
        <v>232</v>
      </c>
      <c r="Z798" s="39">
        <v>1</v>
      </c>
      <c r="AA798" s="518">
        <v>0</v>
      </c>
      <c r="AB798" s="41" t="s">
        <v>232</v>
      </c>
      <c r="AC798" s="519" t="str">
        <f>""</f>
        <v/>
      </c>
      <c r="AD798" s="522">
        <v>1</v>
      </c>
      <c r="AE798" s="522" t="s">
        <v>236</v>
      </c>
      <c r="AF798" s="522" t="s">
        <v>236</v>
      </c>
      <c r="AG798" s="522">
        <v>1</v>
      </c>
      <c r="AH798" s="520">
        <v>6</v>
      </c>
      <c r="AI798" s="520">
        <v>0</v>
      </c>
      <c r="AJ798" s="520">
        <f>VLOOKUP($I798,'Price List, Weapons &amp; Items'!A:E,5,0)</f>
        <v>0</v>
      </c>
      <c r="AK798" s="520">
        <f t="shared" si="176"/>
        <v>0</v>
      </c>
      <c r="AL798" s="520">
        <f t="shared" si="177"/>
        <v>0</v>
      </c>
      <c r="AM798" s="520">
        <f t="shared" si="178"/>
        <v>0</v>
      </c>
      <c r="AN798" s="521" t="str">
        <f>VLOOKUP($I798,'Price List, Weapons &amp; Items'!A:K,COLUMN('Price List, Weapons &amp; Items'!$I$1),0)</f>
        <v>.</v>
      </c>
      <c r="AO798" s="521" t="str">
        <f>IF(I798=".",".",VLOOKUP($I798,'Price List, Weapons &amp; Items'!A:I,3,0))</f>
        <v>.</v>
      </c>
      <c r="AP798" s="517" t="str">
        <f t="shared" ca="1" si="175"/>
        <v>.</v>
      </c>
      <c r="AQ798" s="521" t="str">
        <f>VLOOKUP($I798,'Price List, Weapons &amp; Items'!A:K,COLUMN('Price List, Weapons &amp; Items'!$K$1),0)</f>
        <v>no price, 0 count</v>
      </c>
      <c r="AS798" s="521">
        <f t="shared" si="179"/>
        <v>0</v>
      </c>
      <c r="AT798" s="521">
        <f t="shared" si="180"/>
        <v>0</v>
      </c>
      <c r="AU798" s="521">
        <f t="shared" si="181"/>
        <v>1</v>
      </c>
      <c r="AV798" s="521" t="str">
        <f t="shared" si="182"/>
        <v>.</v>
      </c>
    </row>
    <row r="799" spans="1:48" ht="15" customHeight="1">
      <c r="A799" s="524" t="s">
        <v>2255</v>
      </c>
      <c r="B799" s="41" t="s">
        <v>2162</v>
      </c>
      <c r="C799" s="511">
        <v>44719</v>
      </c>
      <c r="D799" s="18" t="s">
        <v>366</v>
      </c>
      <c r="E799" s="18" t="s">
        <v>344</v>
      </c>
      <c r="F799" s="512" t="s">
        <v>2256</v>
      </c>
      <c r="G799" s="39" t="s">
        <v>332</v>
      </c>
      <c r="H799" s="513">
        <v>100000000</v>
      </c>
      <c r="I799" s="524" t="s">
        <v>232</v>
      </c>
      <c r="J799" s="276" t="str">
        <f>VLOOKUP($I799,'Price List, Weapons &amp; Items'!A:B,2,0)</f>
        <v>.</v>
      </c>
      <c r="K799" s="276" t="str">
        <f>IF(I799=".",I799,VLOOKUP($I799,'Price List, Weapons &amp; Items'!A:C,3,0))</f>
        <v>.</v>
      </c>
      <c r="L799" s="514">
        <f>VLOOKUP(I799,'Price List, Weapons &amp; Items'!A:D,4,0)</f>
        <v>0</v>
      </c>
      <c r="M799" s="527" t="s">
        <v>232</v>
      </c>
      <c r="N799" s="527" t="s">
        <v>232</v>
      </c>
      <c r="O799" s="516" t="str">
        <f>VLOOKUP($I799,'Price List, Weapons &amp; Items'!A:F,6,0)</f>
        <v>.</v>
      </c>
      <c r="P799" s="513" t="str">
        <f t="shared" si="172"/>
        <v>.</v>
      </c>
      <c r="Q799" s="513" t="str">
        <f t="shared" si="173"/>
        <v>.</v>
      </c>
      <c r="R799" s="513">
        <f t="shared" si="174"/>
        <v>100000000</v>
      </c>
      <c r="S799" s="513">
        <f>IF(AND(AD799=1,R799&lt;&gt;".")=TRUE,R799/VLOOKUP(G799,'Exchange rates'!B:C,2,0),IF(R799=".",".",""))</f>
        <v>100000000</v>
      </c>
      <c r="T799" s="513">
        <f>IF(AD799=1,IF(AF799="Value is not given at all",".",IF(AF799="Value is given by the source",S799,IF(AF799="Value is calculated with prices",(IF(SUMIFS(Q:Q,A:A,A799)&gt;0,SUMIFS(Q:Q,A:A,A799),"."))/VLOOKUP("USD",'Exchange rates'!B:C,2,0),"Error with coding"))),"")</f>
        <v>100000000</v>
      </c>
      <c r="U799" s="39" t="s">
        <v>372</v>
      </c>
      <c r="V799" s="42" t="s">
        <v>2187</v>
      </c>
      <c r="W799" s="42" t="s">
        <v>2188</v>
      </c>
      <c r="X799" s="512" t="s">
        <v>232</v>
      </c>
      <c r="Y799" s="512" t="s">
        <v>232</v>
      </c>
      <c r="Z799" s="39">
        <v>0</v>
      </c>
      <c r="AA799" s="518">
        <v>0</v>
      </c>
      <c r="AB799" s="41" t="s">
        <v>232</v>
      </c>
      <c r="AC799" s="519" t="str">
        <f>""</f>
        <v/>
      </c>
      <c r="AD799" s="522">
        <v>1</v>
      </c>
      <c r="AE799" s="522" t="s">
        <v>236</v>
      </c>
      <c r="AF799" s="522" t="s">
        <v>236</v>
      </c>
      <c r="AG799" s="522">
        <v>1</v>
      </c>
      <c r="AH799" s="520">
        <v>6</v>
      </c>
      <c r="AI799" s="520">
        <v>0</v>
      </c>
      <c r="AJ799" s="520">
        <f>VLOOKUP($I799,'Price List, Weapons &amp; Items'!A:E,5,0)</f>
        <v>0</v>
      </c>
      <c r="AK799" s="520">
        <f t="shared" si="176"/>
        <v>0</v>
      </c>
      <c r="AL799" s="520">
        <f t="shared" si="177"/>
        <v>0</v>
      </c>
      <c r="AM799" s="520">
        <f t="shared" si="178"/>
        <v>0</v>
      </c>
      <c r="AN799" s="521" t="str">
        <f>VLOOKUP($I799,'Price List, Weapons &amp; Items'!A:K,COLUMN('Price List, Weapons &amp; Items'!$I$1),0)</f>
        <v>.</v>
      </c>
      <c r="AO799" s="521" t="str">
        <f>IF(I799=".",".",VLOOKUP($I799,'Price List, Weapons &amp; Items'!A:I,3,0))</f>
        <v>.</v>
      </c>
      <c r="AP799" s="517" t="str">
        <f t="shared" ca="1" si="175"/>
        <v>.</v>
      </c>
      <c r="AQ799" s="521" t="str">
        <f>VLOOKUP($I799,'Price List, Weapons &amp; Items'!A:K,COLUMN('Price List, Weapons &amp; Items'!$K$1),0)</f>
        <v>no price, 0 count</v>
      </c>
      <c r="AS799" s="521">
        <f t="shared" si="179"/>
        <v>0</v>
      </c>
      <c r="AT799" s="521">
        <f t="shared" si="180"/>
        <v>0</v>
      </c>
      <c r="AU799" s="521">
        <f t="shared" si="181"/>
        <v>1</v>
      </c>
      <c r="AV799" s="521" t="str">
        <f t="shared" si="182"/>
        <v>.</v>
      </c>
    </row>
    <row r="800" spans="1:48" ht="15" customHeight="1">
      <c r="A800" s="41" t="s">
        <v>2257</v>
      </c>
      <c r="B800" s="41" t="s">
        <v>2258</v>
      </c>
      <c r="C800" s="511">
        <v>44673</v>
      </c>
      <c r="D800" s="18" t="s">
        <v>228</v>
      </c>
      <c r="E800" s="18" t="s">
        <v>239</v>
      </c>
      <c r="F800" s="512" t="s">
        <v>2259</v>
      </c>
      <c r="G800" s="39" t="s">
        <v>232</v>
      </c>
      <c r="H800" s="513" t="s">
        <v>309</v>
      </c>
      <c r="I800" s="41" t="s">
        <v>232</v>
      </c>
      <c r="J800" s="276" t="str">
        <f>VLOOKUP($I800,'Price List, Weapons &amp; Items'!A:B,2,0)</f>
        <v>.</v>
      </c>
      <c r="K800" s="276" t="str">
        <f>IF(I800=".",I800,VLOOKUP($I800,'Price List, Weapons &amp; Items'!A:C,3,0))</f>
        <v>.</v>
      </c>
      <c r="L800" s="514">
        <f>VLOOKUP(I800,'Price List, Weapons &amp; Items'!A:D,4,0)</f>
        <v>0</v>
      </c>
      <c r="M800" s="515" t="s">
        <v>232</v>
      </c>
      <c r="N800" s="515" t="s">
        <v>232</v>
      </c>
      <c r="O800" s="516" t="str">
        <f>VLOOKUP($I800,'Price List, Weapons &amp; Items'!A:F,6,0)</f>
        <v>.</v>
      </c>
      <c r="P800" s="513" t="str">
        <f t="shared" si="172"/>
        <v>.</v>
      </c>
      <c r="Q800" s="513" t="str">
        <f t="shared" si="173"/>
        <v>.</v>
      </c>
      <c r="R800" s="513" t="str">
        <f t="shared" si="174"/>
        <v>.</v>
      </c>
      <c r="S800" s="513" t="str">
        <f>IF(AND(AD800=1,R800&lt;&gt;".")=TRUE,R800/VLOOKUP(G800,'Exchange rates'!B:C,2,0),IF(R800=".",".",""))</f>
        <v>.</v>
      </c>
      <c r="T800" s="513" t="str">
        <f>IF(AD800=1,IF(AF800="Value is not given at all",".",IF(AF800="Value is given by the source",S800,IF(AF800="Value is calculated with prices",(IF(SUMIFS(Q:Q,A:A,A800)&gt;0,SUMIFS(Q:Q,A:A,A800),"."))/VLOOKUP("USD",'Exchange rates'!B:C,2,0),"Error with coding"))),"")</f>
        <v>.</v>
      </c>
      <c r="U800" s="39" t="s">
        <v>233</v>
      </c>
      <c r="V800" s="42" t="s">
        <v>2260</v>
      </c>
      <c r="W800" s="517" t="s">
        <v>232</v>
      </c>
      <c r="X800" s="517" t="s">
        <v>232</v>
      </c>
      <c r="Y800" s="517" t="s">
        <v>232</v>
      </c>
      <c r="Z800" s="39">
        <v>0</v>
      </c>
      <c r="AA800" s="39">
        <v>0</v>
      </c>
      <c r="AB800" s="523" t="s">
        <v>232</v>
      </c>
      <c r="AC800" s="519" t="str">
        <f>""</f>
        <v/>
      </c>
      <c r="AD800" s="522">
        <v>1</v>
      </c>
      <c r="AE800" s="522" t="s">
        <v>237</v>
      </c>
      <c r="AF800" s="522" t="s">
        <v>237</v>
      </c>
      <c r="AG800" s="522">
        <v>1</v>
      </c>
      <c r="AH800" s="520">
        <v>4</v>
      </c>
      <c r="AI800" s="520">
        <v>0</v>
      </c>
      <c r="AJ800" s="520">
        <f>VLOOKUP($I800,'Price List, Weapons &amp; Items'!A:E,5,0)</f>
        <v>0</v>
      </c>
      <c r="AK800" s="520">
        <f t="shared" si="176"/>
        <v>0</v>
      </c>
      <c r="AL800" s="520">
        <f t="shared" si="177"/>
        <v>0</v>
      </c>
      <c r="AM800" s="520">
        <f t="shared" si="178"/>
        <v>0</v>
      </c>
      <c r="AN800" s="521" t="str">
        <f>VLOOKUP($I800,'Price List, Weapons &amp; Items'!A:K,COLUMN('Price List, Weapons &amp; Items'!$I$1),0)</f>
        <v>.</v>
      </c>
      <c r="AO800" s="521" t="str">
        <f>IF(I800=".",".",VLOOKUP($I800,'Price List, Weapons &amp; Items'!A:I,3,0))</f>
        <v>.</v>
      </c>
      <c r="AP800" s="517" t="str">
        <f t="shared" ca="1" si="175"/>
        <v>.</v>
      </c>
      <c r="AQ800" s="521" t="str">
        <f>VLOOKUP($I800,'Price List, Weapons &amp; Items'!A:K,COLUMN('Price List, Weapons &amp; Items'!$K$1),0)</f>
        <v>no price, 0 count</v>
      </c>
      <c r="AS800" s="521">
        <f t="shared" si="179"/>
        <v>1</v>
      </c>
      <c r="AT800" s="521">
        <f t="shared" si="180"/>
        <v>0</v>
      </c>
      <c r="AU800" s="521">
        <f t="shared" si="181"/>
        <v>1</v>
      </c>
      <c r="AV800" s="521" t="str">
        <f t="shared" si="182"/>
        <v>.</v>
      </c>
    </row>
    <row r="801" spans="1:48" s="518" customFormat="1" ht="15" customHeight="1">
      <c r="A801" s="41" t="s">
        <v>2261</v>
      </c>
      <c r="B801" s="41" t="s">
        <v>2258</v>
      </c>
      <c r="C801" s="511" t="s">
        <v>2262</v>
      </c>
      <c r="D801" s="18" t="s">
        <v>228</v>
      </c>
      <c r="E801" s="18" t="s">
        <v>489</v>
      </c>
      <c r="F801" s="512" t="s">
        <v>2263</v>
      </c>
      <c r="G801" s="39" t="s">
        <v>2264</v>
      </c>
      <c r="H801" s="513">
        <v>570000000</v>
      </c>
      <c r="I801" s="41" t="s">
        <v>232</v>
      </c>
      <c r="J801" s="276" t="str">
        <f>VLOOKUP($I801,'Price List, Weapons &amp; Items'!A:B,2,0)</f>
        <v>.</v>
      </c>
      <c r="K801" s="276" t="str">
        <f>IF(I801=".",I801,VLOOKUP($I801,'Price List, Weapons &amp; Items'!A:C,3,0))</f>
        <v>.</v>
      </c>
      <c r="L801" s="514">
        <f>VLOOKUP(I801,'Price List, Weapons &amp; Items'!A:D,4,0)</f>
        <v>0</v>
      </c>
      <c r="M801" s="515" t="s">
        <v>232</v>
      </c>
      <c r="N801" s="515" t="s">
        <v>232</v>
      </c>
      <c r="O801" s="516" t="str">
        <f>VLOOKUP($I801,'Price List, Weapons &amp; Items'!A:F,6,0)</f>
        <v>.</v>
      </c>
      <c r="P801" s="513" t="str">
        <f t="shared" si="172"/>
        <v>.</v>
      </c>
      <c r="Q801" s="513" t="str">
        <f t="shared" si="173"/>
        <v>.</v>
      </c>
      <c r="R801" s="513">
        <f t="shared" si="174"/>
        <v>570000000</v>
      </c>
      <c r="S801" s="513">
        <f>IF(AND(AD801=1,R801&lt;&gt;".")=TRUE,R801/VLOOKUP(G801,'Exchange rates'!B:C,2,0),IF(R801=".",".",""))</f>
        <v>52255225.522552259</v>
      </c>
      <c r="T801" s="513" t="str">
        <f>IF(AD801=1,IF(AF801="Value is not given at all",".",IF(AF801="Value is given by the source",S801,IF(AF801="Value is calculated with prices",(IF(SUMIFS(Q:Q,A:A,A801)&gt;0,SUMIFS(Q:Q,A:A,A801),"."))/VLOOKUP("USD",'Exchange rates'!B:C,2,0),"Error with coding"))),"")</f>
        <v>.</v>
      </c>
      <c r="U801" s="39" t="s">
        <v>233</v>
      </c>
      <c r="V801" s="42" t="s">
        <v>2265</v>
      </c>
      <c r="W801" s="42" t="s">
        <v>2266</v>
      </c>
      <c r="X801" s="42" t="s">
        <v>2267</v>
      </c>
      <c r="Y801" s="517" t="s">
        <v>232</v>
      </c>
      <c r="Z801" s="39">
        <v>0</v>
      </c>
      <c r="AA801" s="39">
        <v>0</v>
      </c>
      <c r="AB801" s="521" t="s">
        <v>232</v>
      </c>
      <c r="AC801" s="519" t="str">
        <f>""</f>
        <v/>
      </c>
      <c r="AD801" s="522">
        <v>1</v>
      </c>
      <c r="AE801" s="522" t="s">
        <v>236</v>
      </c>
      <c r="AF801" s="522" t="s">
        <v>237</v>
      </c>
      <c r="AG801" s="522">
        <v>1</v>
      </c>
      <c r="AH801" s="520">
        <v>5</v>
      </c>
      <c r="AI801" s="520">
        <v>0</v>
      </c>
      <c r="AJ801" s="520">
        <f>VLOOKUP($I801,'Price List, Weapons &amp; Items'!A:E,5,0)</f>
        <v>0</v>
      </c>
      <c r="AK801" s="520">
        <f t="shared" si="176"/>
        <v>0</v>
      </c>
      <c r="AL801" s="520">
        <f t="shared" si="177"/>
        <v>0</v>
      </c>
      <c r="AM801" s="520">
        <f t="shared" si="178"/>
        <v>0</v>
      </c>
      <c r="AN801" s="521" t="str">
        <f>VLOOKUP($I801,'Price List, Weapons &amp; Items'!A:K,COLUMN('Price List, Weapons &amp; Items'!$I$1),0)</f>
        <v>.</v>
      </c>
      <c r="AO801" s="521" t="str">
        <f>IF(I801=".",".",VLOOKUP($I801,'Price List, Weapons &amp; Items'!A:I,3,0))</f>
        <v>.</v>
      </c>
      <c r="AP801" s="517" t="str">
        <f t="shared" ca="1" si="175"/>
        <v>.</v>
      </c>
      <c r="AQ801" s="521" t="str">
        <f>VLOOKUP($I801,'Price List, Weapons &amp; Items'!A:K,COLUMN('Price List, Weapons &amp; Items'!$K$1),0)</f>
        <v>no price, 0 count</v>
      </c>
      <c r="AS801" s="521">
        <f t="shared" si="179"/>
        <v>1</v>
      </c>
      <c r="AT801" s="521">
        <f t="shared" si="180"/>
        <v>0</v>
      </c>
      <c r="AU801" s="521" t="str">
        <f t="shared" si="181"/>
        <v>Value is not in date format</v>
      </c>
      <c r="AV801" s="521" t="str">
        <f t="shared" si="182"/>
        <v>.</v>
      </c>
    </row>
    <row r="802" spans="1:48" s="518" customFormat="1" ht="15" customHeight="1">
      <c r="A802" s="41" t="s">
        <v>2268</v>
      </c>
      <c r="B802" s="41" t="s">
        <v>2258</v>
      </c>
      <c r="C802" s="511">
        <v>44686</v>
      </c>
      <c r="D802" s="18" t="s">
        <v>228</v>
      </c>
      <c r="E802" s="18" t="s">
        <v>229</v>
      </c>
      <c r="F802" s="512" t="s">
        <v>2269</v>
      </c>
      <c r="G802" s="39" t="s">
        <v>2264</v>
      </c>
      <c r="H802" s="513">
        <v>230000000</v>
      </c>
      <c r="I802" s="41" t="s">
        <v>232</v>
      </c>
      <c r="J802" s="276" t="str">
        <f>VLOOKUP($I802,'Price List, Weapons &amp; Items'!A:B,2,0)</f>
        <v>.</v>
      </c>
      <c r="K802" s="276" t="str">
        <f>IF(I802=".",I802,VLOOKUP($I802,'Price List, Weapons &amp; Items'!A:C,3,0))</f>
        <v>.</v>
      </c>
      <c r="L802" s="514">
        <f>VLOOKUP(I802,'Price List, Weapons &amp; Items'!A:D,4,0)</f>
        <v>0</v>
      </c>
      <c r="M802" s="515" t="s">
        <v>232</v>
      </c>
      <c r="N802" s="515" t="s">
        <v>232</v>
      </c>
      <c r="O802" s="516" t="str">
        <f>VLOOKUP($I802,'Price List, Weapons &amp; Items'!A:F,6,0)</f>
        <v>.</v>
      </c>
      <c r="P802" s="513" t="str">
        <f t="shared" si="172"/>
        <v>.</v>
      </c>
      <c r="Q802" s="513" t="str">
        <f t="shared" si="173"/>
        <v>.</v>
      </c>
      <c r="R802" s="513">
        <f t="shared" si="174"/>
        <v>230000000</v>
      </c>
      <c r="S802" s="513">
        <f>IF(AND(AD802=1,R802&lt;&gt;".")=TRUE,R802/VLOOKUP(G802,'Exchange rates'!B:C,2,0),IF(R802=".",".",""))</f>
        <v>21085441.877521086</v>
      </c>
      <c r="T802" s="513" t="str">
        <f>IF(AD802=1,IF(AF802="Value is not given at all",".",IF(AF802="Value is given by the source",S802,IF(AF802="Value is calculated with prices",(IF(SUMIFS(Q:Q,A:A,A802)&gt;0,SUMIFS(Q:Q,A:A,A802),"."))/VLOOKUP("USD",'Exchange rates'!B:C,2,0),"Error with coding"))),"")</f>
        <v>.</v>
      </c>
      <c r="U802" s="39" t="s">
        <v>233</v>
      </c>
      <c r="V802" s="42" t="s">
        <v>2270</v>
      </c>
      <c r="W802" s="42" t="s">
        <v>2271</v>
      </c>
      <c r="X802" s="42" t="s">
        <v>2272</v>
      </c>
      <c r="Y802" s="517" t="s">
        <v>232</v>
      </c>
      <c r="Z802" s="39">
        <v>0</v>
      </c>
      <c r="AA802" s="39">
        <v>0</v>
      </c>
      <c r="AB802" s="521" t="s">
        <v>232</v>
      </c>
      <c r="AC802" s="519" t="str">
        <f>""</f>
        <v/>
      </c>
      <c r="AD802" s="522">
        <v>1</v>
      </c>
      <c r="AE802" s="522" t="s">
        <v>236</v>
      </c>
      <c r="AF802" s="522" t="s">
        <v>237</v>
      </c>
      <c r="AG802" s="522">
        <v>1</v>
      </c>
      <c r="AH802" s="520">
        <v>5</v>
      </c>
      <c r="AI802" s="520">
        <v>0</v>
      </c>
      <c r="AJ802" s="520">
        <f>VLOOKUP($I802,'Price List, Weapons &amp; Items'!A:E,5,0)</f>
        <v>0</v>
      </c>
      <c r="AK802" s="520">
        <f t="shared" si="176"/>
        <v>0</v>
      </c>
      <c r="AL802" s="520">
        <f t="shared" si="177"/>
        <v>0</v>
      </c>
      <c r="AM802" s="520">
        <f t="shared" si="178"/>
        <v>0</v>
      </c>
      <c r="AN802" s="521" t="str">
        <f>VLOOKUP($I802,'Price List, Weapons &amp; Items'!A:K,COLUMN('Price List, Weapons &amp; Items'!$I$1),0)</f>
        <v>.</v>
      </c>
      <c r="AO802" s="521" t="str">
        <f>IF(I802=".",".",VLOOKUP($I802,'Price List, Weapons &amp; Items'!A:I,3,0))</f>
        <v>.</v>
      </c>
      <c r="AP802" s="517" t="str">
        <f t="shared" ca="1" si="175"/>
        <v>.</v>
      </c>
      <c r="AQ802" s="521" t="str">
        <f>VLOOKUP($I802,'Price List, Weapons &amp; Items'!A:K,COLUMN('Price List, Weapons &amp; Items'!$K$1),0)</f>
        <v>no price, 0 count</v>
      </c>
      <c r="AS802" s="521">
        <f t="shared" si="179"/>
        <v>1</v>
      </c>
      <c r="AT802" s="521">
        <f t="shared" si="180"/>
        <v>0</v>
      </c>
      <c r="AU802" s="521">
        <f t="shared" si="181"/>
        <v>1</v>
      </c>
      <c r="AV802" s="521" t="str">
        <f t="shared" si="182"/>
        <v>.</v>
      </c>
    </row>
    <row r="803" spans="1:48" s="518" customFormat="1" ht="15" customHeight="1">
      <c r="A803" s="41" t="s">
        <v>2273</v>
      </c>
      <c r="B803" s="41" t="s">
        <v>2258</v>
      </c>
      <c r="C803" s="511">
        <v>44714</v>
      </c>
      <c r="D803" s="18" t="s">
        <v>228</v>
      </c>
      <c r="E803" s="18" t="s">
        <v>229</v>
      </c>
      <c r="F803" s="512" t="s">
        <v>2274</v>
      </c>
      <c r="G803" s="39" t="s">
        <v>2264</v>
      </c>
      <c r="H803" s="513">
        <v>100000000</v>
      </c>
      <c r="I803" s="41" t="s">
        <v>232</v>
      </c>
      <c r="J803" s="276" t="str">
        <f>VLOOKUP($I803,'Price List, Weapons &amp; Items'!A:B,2,0)</f>
        <v>.</v>
      </c>
      <c r="K803" s="276" t="str">
        <f>IF(I803=".",I803,VLOOKUP($I803,'Price List, Weapons &amp; Items'!A:C,3,0))</f>
        <v>.</v>
      </c>
      <c r="L803" s="514">
        <f>VLOOKUP(I803,'Price List, Weapons &amp; Items'!A:D,4,0)</f>
        <v>0</v>
      </c>
      <c r="M803" s="515" t="s">
        <v>232</v>
      </c>
      <c r="N803" s="515" t="s">
        <v>232</v>
      </c>
      <c r="O803" s="516" t="str">
        <f>VLOOKUP($I803,'Price List, Weapons &amp; Items'!A:F,6,0)</f>
        <v>.</v>
      </c>
      <c r="P803" s="513" t="str">
        <f t="shared" si="172"/>
        <v>.</v>
      </c>
      <c r="Q803" s="513" t="str">
        <f t="shared" si="173"/>
        <v>.</v>
      </c>
      <c r="R803" s="513">
        <f t="shared" si="174"/>
        <v>100000000</v>
      </c>
      <c r="S803" s="513">
        <f>IF(AND(AD803=1,R803&lt;&gt;".")=TRUE,R803/VLOOKUP(G803,'Exchange rates'!B:C,2,0),IF(R803=".",".",""))</f>
        <v>9167583.4250091687</v>
      </c>
      <c r="T803" s="513" t="str">
        <f>IF(AD803=1,IF(AF803="Value is not given at all",".",IF(AF803="Value is given by the source",S803,IF(AF803="Value is calculated with prices",(IF(SUMIFS(Q:Q,A:A,A803)&gt;0,SUMIFS(Q:Q,A:A,A803),"."))/VLOOKUP("USD",'Exchange rates'!B:C,2,0),"Error with coding"))),"")</f>
        <v>.</v>
      </c>
      <c r="U803" s="39" t="s">
        <v>233</v>
      </c>
      <c r="V803" s="42" t="s">
        <v>2275</v>
      </c>
      <c r="W803" s="517" t="s">
        <v>232</v>
      </c>
      <c r="X803" s="517" t="s">
        <v>232</v>
      </c>
      <c r="Y803" s="517" t="s">
        <v>232</v>
      </c>
      <c r="Z803" s="39">
        <v>0</v>
      </c>
      <c r="AA803" s="39">
        <v>0</v>
      </c>
      <c r="AB803" s="521" t="s">
        <v>232</v>
      </c>
      <c r="AC803" s="519" t="str">
        <f>""</f>
        <v/>
      </c>
      <c r="AD803" s="522">
        <v>1</v>
      </c>
      <c r="AE803" s="522" t="s">
        <v>236</v>
      </c>
      <c r="AF803" s="522" t="s">
        <v>237</v>
      </c>
      <c r="AG803" s="522">
        <v>1</v>
      </c>
      <c r="AH803" s="520">
        <v>6</v>
      </c>
      <c r="AI803" s="520">
        <v>0</v>
      </c>
      <c r="AJ803" s="520">
        <f>VLOOKUP($I803,'Price List, Weapons &amp; Items'!A:E,5,0)</f>
        <v>0</v>
      </c>
      <c r="AK803" s="520">
        <f t="shared" si="176"/>
        <v>0</v>
      </c>
      <c r="AL803" s="520">
        <f t="shared" si="177"/>
        <v>0</v>
      </c>
      <c r="AM803" s="520">
        <f t="shared" si="178"/>
        <v>0</v>
      </c>
      <c r="AN803" s="521" t="str">
        <f>VLOOKUP($I803,'Price List, Weapons &amp; Items'!A:K,COLUMN('Price List, Weapons &amp; Items'!$I$1),0)</f>
        <v>.</v>
      </c>
      <c r="AO803" s="521" t="str">
        <f>IF(I803=".",".",VLOOKUP($I803,'Price List, Weapons &amp; Items'!A:I,3,0))</f>
        <v>.</v>
      </c>
      <c r="AP803" s="517" t="str">
        <f t="shared" ca="1" si="175"/>
        <v>.</v>
      </c>
      <c r="AQ803" s="521" t="str">
        <f>VLOOKUP($I803,'Price List, Weapons &amp; Items'!A:K,COLUMN('Price List, Weapons &amp; Items'!$K$1),0)</f>
        <v>no price, 0 count</v>
      </c>
      <c r="AS803" s="521">
        <f t="shared" si="179"/>
        <v>1</v>
      </c>
      <c r="AT803" s="521">
        <f t="shared" si="180"/>
        <v>0</v>
      </c>
      <c r="AU803" s="521">
        <f t="shared" si="181"/>
        <v>1</v>
      </c>
      <c r="AV803" s="521" t="str">
        <f t="shared" si="182"/>
        <v>.</v>
      </c>
    </row>
    <row r="804" spans="1:48" s="518" customFormat="1" ht="15" customHeight="1">
      <c r="A804" s="41" t="s">
        <v>2276</v>
      </c>
      <c r="B804" s="41" t="s">
        <v>2258</v>
      </c>
      <c r="C804" s="511">
        <v>44817</v>
      </c>
      <c r="D804" s="18" t="s">
        <v>228</v>
      </c>
      <c r="E804" s="18" t="s">
        <v>1031</v>
      </c>
      <c r="F804" s="512" t="s">
        <v>2277</v>
      </c>
      <c r="G804" s="39" t="s">
        <v>314</v>
      </c>
      <c r="H804" s="513" t="s">
        <v>309</v>
      </c>
      <c r="I804" s="41" t="s">
        <v>2278</v>
      </c>
      <c r="J804" s="276" t="str">
        <f>VLOOKUP($I804,'Price List, Weapons &amp; Items'!A:B,2,0)</f>
        <v>Humanitarian</v>
      </c>
      <c r="K804" s="276" t="str">
        <f>IF(I804=".",I804,VLOOKUP($I804,'Price List, Weapons &amp; Items'!A:C,3,0))</f>
        <v>.</v>
      </c>
      <c r="L804" s="514">
        <f>VLOOKUP(I804,'Price List, Weapons &amp; Items'!A:D,4,0)</f>
        <v>0</v>
      </c>
      <c r="M804" s="515">
        <v>500000</v>
      </c>
      <c r="N804" s="515" t="s">
        <v>232</v>
      </c>
      <c r="O804" s="516">
        <f>VLOOKUP($I804,'Price List, Weapons &amp; Items'!A:F,6,0)</f>
        <v>19.5</v>
      </c>
      <c r="P804" s="513">
        <f t="shared" si="172"/>
        <v>9750000</v>
      </c>
      <c r="Q804" s="513" t="str">
        <f t="shared" si="173"/>
        <v>.</v>
      </c>
      <c r="R804" s="513">
        <f t="shared" ref="R804:R867" si="185">IF(AD804=1,IF(H804&lt;&gt;"Not given",H804,IF(TYPE(H804)=2,IF(SUMIFS(P:P,A:A,A804)&gt;0,SUMIFS(P:P,A:A,A804),"."),"Format error")),"")</f>
        <v>9750000</v>
      </c>
      <c r="S804" s="513">
        <f>IF(AND(AD804=1,R804&lt;&gt;".")=TRUE,R804/VLOOKUP(G804,'Exchange rates'!B:C,2,0),IF(R804=".",".",""))</f>
        <v>9715994.0209267549</v>
      </c>
      <c r="T804" s="513" t="str">
        <f>IF(AD804=1,IF(AF804="Value is not given at all",".",IF(AF804="Value is given by the source",S804,IF(AF804="Value is calculated with prices",(IF(SUMIFS(Q:Q,A:A,A804)&gt;0,SUMIFS(Q:Q,A:A,A804),"."))/VLOOKUP("USD",'Exchange rates'!B:C,2,0),"Error with coding"))),"")</f>
        <v>.</v>
      </c>
      <c r="U804" s="39" t="s">
        <v>233</v>
      </c>
      <c r="V804" s="42" t="s">
        <v>2279</v>
      </c>
      <c r="W804" s="517" t="s">
        <v>232</v>
      </c>
      <c r="X804" s="517" t="s">
        <v>232</v>
      </c>
      <c r="Y804" s="517" t="s">
        <v>232</v>
      </c>
      <c r="Z804" s="39">
        <v>0</v>
      </c>
      <c r="AA804" s="39">
        <v>0</v>
      </c>
      <c r="AB804" s="521" t="s">
        <v>232</v>
      </c>
      <c r="AC804" s="519" t="str">
        <f>""</f>
        <v/>
      </c>
      <c r="AD804" s="522">
        <v>1</v>
      </c>
      <c r="AE804" s="522" t="s">
        <v>300</v>
      </c>
      <c r="AF804" s="522" t="s">
        <v>237</v>
      </c>
      <c r="AG804" s="522">
        <v>1</v>
      </c>
      <c r="AH804" s="520">
        <v>9</v>
      </c>
      <c r="AI804" s="520">
        <v>0</v>
      </c>
      <c r="AJ804" s="520">
        <f>VLOOKUP($I804,'Price List, Weapons &amp; Items'!A:E,5,0)</f>
        <v>0</v>
      </c>
      <c r="AK804" s="520">
        <f t="shared" si="176"/>
        <v>0</v>
      </c>
      <c r="AL804" s="520">
        <f t="shared" si="177"/>
        <v>0</v>
      </c>
      <c r="AM804" s="520">
        <f t="shared" si="178"/>
        <v>0</v>
      </c>
      <c r="AN804" s="521" t="str">
        <f>VLOOKUP($I804,'Price List, Weapons &amp; Items'!A:K,COLUMN('Price List, Weapons &amp; Items'!$I$1),0)</f>
        <v>Media reports (incl. social media)</v>
      </c>
      <c r="AO804" s="521" t="str">
        <f>IF(I804=".",".",VLOOKUP($I804,'Price List, Weapons &amp; Items'!A:I,3,0))</f>
        <v>.</v>
      </c>
      <c r="AP804" s="517" t="str">
        <f t="shared" ref="AP804:AP867" ca="1" si="186">IF(AD804=1,_xlfn.ARRAYTOTEXT(OFFSET(I804,0,0,COUNTIF(A:A,A804),1)),"")</f>
        <v>Pfizer vaccine dose</v>
      </c>
      <c r="AQ804" s="521">
        <f>VLOOKUP($I804,'Price List, Weapons &amp; Items'!A:K,COLUMN('Price List, Weapons &amp; Items'!$K$1),0)</f>
        <v>0</v>
      </c>
      <c r="AS804" s="521">
        <f t="shared" si="179"/>
        <v>1</v>
      </c>
      <c r="AT804" s="521">
        <f t="shared" si="180"/>
        <v>0</v>
      </c>
      <c r="AU804" s="521">
        <f t="shared" si="181"/>
        <v>1</v>
      </c>
      <c r="AV804" s="521" t="str">
        <f t="shared" si="182"/>
        <v>.</v>
      </c>
    </row>
    <row r="805" spans="1:48" s="518" customFormat="1" ht="15" customHeight="1">
      <c r="A805" s="41" t="s">
        <v>2280</v>
      </c>
      <c r="B805" s="41" t="s">
        <v>2258</v>
      </c>
      <c r="C805" s="511">
        <v>44881</v>
      </c>
      <c r="D805" s="18" t="s">
        <v>228</v>
      </c>
      <c r="E805" s="18" t="s">
        <v>489</v>
      </c>
      <c r="F805" s="512" t="s">
        <v>2281</v>
      </c>
      <c r="G805" s="39" t="s">
        <v>2264</v>
      </c>
      <c r="H805" s="513">
        <v>170000000</v>
      </c>
      <c r="I805" s="41" t="s">
        <v>232</v>
      </c>
      <c r="J805" s="276" t="str">
        <f>VLOOKUP($I805,'Price List, Weapons &amp; Items'!A:B,2,0)</f>
        <v>.</v>
      </c>
      <c r="K805" s="276" t="str">
        <f>IF(I805=".",I805,VLOOKUP($I805,'Price List, Weapons &amp; Items'!A:C,3,0))</f>
        <v>.</v>
      </c>
      <c r="L805" s="514">
        <f>VLOOKUP(I805,'Price List, Weapons &amp; Items'!A:D,4,0)</f>
        <v>0</v>
      </c>
      <c r="M805" s="515" t="s">
        <v>232</v>
      </c>
      <c r="N805" s="515" t="s">
        <v>232</v>
      </c>
      <c r="O805" s="516"/>
      <c r="P805" s="513"/>
      <c r="Q805" s="513"/>
      <c r="R805" s="513">
        <f t="shared" si="185"/>
        <v>170000000</v>
      </c>
      <c r="S805" s="513">
        <f>IF(AND(AD805=1,R805&lt;&gt;".")=TRUE,R805/VLOOKUP(G805,'Exchange rates'!B:C,2,0),IF(R805=".",".",""))</f>
        <v>15584891.822515586</v>
      </c>
      <c r="T805" s="513" t="str">
        <f>IF(AD805=1,IF(AF805="Value is not given at all",".",IF(AF805="Value is given by the source",S805,IF(AF805="Value is calculated with prices",(IF(SUMIFS(Q:Q,A:A,A805)&gt;0,SUMIFS(Q:Q,A:A,A805),"."))/VLOOKUP("USD",'Exchange rates'!B:C,2,0),"Error with coding"))),"")</f>
        <v>.</v>
      </c>
      <c r="U805" s="39" t="s">
        <v>233</v>
      </c>
      <c r="V805" s="42" t="s">
        <v>2282</v>
      </c>
      <c r="W805" s="42" t="s">
        <v>232</v>
      </c>
      <c r="X805" s="42" t="s">
        <v>232</v>
      </c>
      <c r="Y805" s="825" t="s">
        <v>232</v>
      </c>
      <c r="Z805" s="39">
        <v>0</v>
      </c>
      <c r="AA805" s="39">
        <v>1</v>
      </c>
      <c r="AB805" s="395" t="s">
        <v>232</v>
      </c>
      <c r="AC805" s="519" t="str">
        <f>""</f>
        <v/>
      </c>
      <c r="AD805" s="522">
        <v>1</v>
      </c>
      <c r="AE805" s="522" t="s">
        <v>236</v>
      </c>
      <c r="AF805" s="522" t="s">
        <v>237</v>
      </c>
      <c r="AG805" s="522">
        <v>1</v>
      </c>
      <c r="AH805" s="520">
        <v>11</v>
      </c>
      <c r="AI805" s="520">
        <v>0</v>
      </c>
      <c r="AJ805" s="520">
        <f>VLOOKUP($I805,'Price List, Weapons &amp; Items'!A:E,5,0)</f>
        <v>0</v>
      </c>
      <c r="AK805" s="520">
        <f t="shared" si="176"/>
        <v>0</v>
      </c>
      <c r="AL805" s="520">
        <f t="shared" si="177"/>
        <v>0</v>
      </c>
      <c r="AM805" s="520">
        <f t="shared" si="178"/>
        <v>0</v>
      </c>
      <c r="AN805" s="521" t="str">
        <f>VLOOKUP($I805,'Price List, Weapons &amp; Items'!A:K,COLUMN('Price List, Weapons &amp; Items'!$I$1),0)</f>
        <v>.</v>
      </c>
      <c r="AO805" s="521" t="str">
        <f>IF(I805=".",".",VLOOKUP($I805,'Price List, Weapons &amp; Items'!A:I,3,0))</f>
        <v>.</v>
      </c>
      <c r="AP805" s="517" t="str">
        <f t="shared" ca="1" si="186"/>
        <v>.</v>
      </c>
      <c r="AQ805" s="521" t="str">
        <f>VLOOKUP($I805,'Price List, Weapons &amp; Items'!A:K,COLUMN('Price List, Weapons &amp; Items'!$K$1),0)</f>
        <v>no price, 0 count</v>
      </c>
      <c r="AS805" s="521">
        <f t="shared" si="179"/>
        <v>1</v>
      </c>
      <c r="AT805" s="521">
        <f t="shared" si="180"/>
        <v>0</v>
      </c>
      <c r="AU805" s="521">
        <f t="shared" si="181"/>
        <v>1</v>
      </c>
      <c r="AV805" s="521" t="str">
        <f t="shared" si="182"/>
        <v>.</v>
      </c>
    </row>
    <row r="806" spans="1:48" ht="15" customHeight="1">
      <c r="A806" s="18" t="s">
        <v>2283</v>
      </c>
      <c r="B806" s="18" t="s">
        <v>2258</v>
      </c>
      <c r="C806" s="511">
        <v>44619</v>
      </c>
      <c r="D806" s="18" t="s">
        <v>252</v>
      </c>
      <c r="E806" s="18" t="s">
        <v>253</v>
      </c>
      <c r="F806" s="512" t="s">
        <v>2284</v>
      </c>
      <c r="G806" s="39" t="s">
        <v>2264</v>
      </c>
      <c r="H806" s="513">
        <v>400000000</v>
      </c>
      <c r="I806" s="41" t="s">
        <v>419</v>
      </c>
      <c r="J806" s="276" t="str">
        <f>VLOOKUP($I806,'Price List, Weapons &amp; Items'!A:B,2,0)</f>
        <v>Military equipment</v>
      </c>
      <c r="K806" s="276" t="str">
        <f>IF(I806=".",I806,VLOOKUP($I806,'Price List, Weapons &amp; Items'!A:C,3,0))</f>
        <v>.</v>
      </c>
      <c r="L806" s="514">
        <f>VLOOKUP(I806,'Price List, Weapons &amp; Items'!A:D,4,0)</f>
        <v>0</v>
      </c>
      <c r="M806" s="515">
        <v>5000</v>
      </c>
      <c r="N806" s="515">
        <v>5000</v>
      </c>
      <c r="O806" s="516">
        <f>VLOOKUP($I806,'Price List, Weapons &amp; Items'!A:F,6,0)</f>
        <v>1400</v>
      </c>
      <c r="P806" s="513">
        <f t="shared" si="172"/>
        <v>7000000</v>
      </c>
      <c r="Q806" s="513">
        <f t="shared" si="173"/>
        <v>7000000</v>
      </c>
      <c r="R806" s="513">
        <f t="shared" si="185"/>
        <v>400000000</v>
      </c>
      <c r="S806" s="513">
        <f>IF(AND(AD806=1,R806&lt;&gt;".")=TRUE,R806/VLOOKUP(G806,'Exchange rates'!B:C,2,0),IF(R806=".",".",""))</f>
        <v>36670333.700036675</v>
      </c>
      <c r="T806" s="513">
        <f>IF(AD806=1,IF(AF806="Value is not given at all",".",IF(AF806="Value is given by the source",S806,IF(AF806="Value is calculated with prices",(IF(SUMIFS(Q:Q,A:A,A806)&gt;0,SUMIFS(Q:Q,A:A,A806),"."))/VLOOKUP("USD",'Exchange rates'!B:C,2,0),"Error with coding"))),"")</f>
        <v>36670333.700036675</v>
      </c>
      <c r="U806" s="39" t="s">
        <v>233</v>
      </c>
      <c r="V806" s="376" t="s">
        <v>2285</v>
      </c>
      <c r="W806" s="376" t="s">
        <v>2286</v>
      </c>
      <c r="X806" s="376" t="s">
        <v>2287</v>
      </c>
      <c r="Y806" s="530" t="s">
        <v>232</v>
      </c>
      <c r="Z806" s="39">
        <v>0</v>
      </c>
      <c r="AA806" s="518">
        <v>0</v>
      </c>
      <c r="AB806" s="394" t="s">
        <v>2288</v>
      </c>
      <c r="AC806" s="519" t="str">
        <f>""</f>
        <v/>
      </c>
      <c r="AD806" s="520">
        <v>1</v>
      </c>
      <c r="AE806" s="520" t="s">
        <v>236</v>
      </c>
      <c r="AF806" s="520" t="s">
        <v>236</v>
      </c>
      <c r="AG806" s="520">
        <v>1</v>
      </c>
      <c r="AH806" s="520">
        <v>2</v>
      </c>
      <c r="AI806" s="520">
        <v>0</v>
      </c>
      <c r="AJ806" s="520">
        <f>VLOOKUP($I806,'Price List, Weapons &amp; Items'!A:E,5,0)</f>
        <v>0</v>
      </c>
      <c r="AK806" s="520">
        <f t="shared" si="176"/>
        <v>0</v>
      </c>
      <c r="AL806" s="520">
        <f t="shared" si="177"/>
        <v>0</v>
      </c>
      <c r="AM806" s="520">
        <f t="shared" si="178"/>
        <v>0</v>
      </c>
      <c r="AN806" s="521" t="str">
        <f>VLOOKUP($I806,'Price List, Weapons &amp; Items'!A:K,COLUMN('Price List, Weapons &amp; Items'!$I$1),0)</f>
        <v>Military media (incl. websites)</v>
      </c>
      <c r="AO806" s="521" t="str">
        <f>IF(I806=".",".",VLOOKUP($I806,'Price List, Weapons &amp; Items'!A:I,3,0))</f>
        <v>.</v>
      </c>
      <c r="AP806" s="517" t="str">
        <f t="shared" ca="1" si="186"/>
        <v>helmet; ballistic vest; AT4 anti-tank weapon; field ration</v>
      </c>
      <c r="AQ806" s="521">
        <f>VLOOKUP($I806,'Price List, Weapons &amp; Items'!A:K,COLUMN('Price List, Weapons &amp; Items'!$K$1),0)</f>
        <v>2</v>
      </c>
      <c r="AS806" s="521">
        <f t="shared" si="179"/>
        <v>1</v>
      </c>
      <c r="AT806" s="521">
        <f t="shared" si="180"/>
        <v>1</v>
      </c>
      <c r="AU806" s="521">
        <f t="shared" si="181"/>
        <v>1</v>
      </c>
      <c r="AV806" s="521" t="str">
        <f t="shared" si="182"/>
        <v>.</v>
      </c>
    </row>
    <row r="807" spans="1:48" ht="15" customHeight="1">
      <c r="A807" s="18" t="s">
        <v>2283</v>
      </c>
      <c r="B807" s="18" t="s">
        <v>2258</v>
      </c>
      <c r="C807" s="511">
        <v>44619</v>
      </c>
      <c r="D807" s="18" t="s">
        <v>252</v>
      </c>
      <c r="E807" s="18" t="s">
        <v>253</v>
      </c>
      <c r="F807" s="512" t="s">
        <v>2284</v>
      </c>
      <c r="G807" s="39" t="s">
        <v>2264</v>
      </c>
      <c r="H807" s="513">
        <v>400000000</v>
      </c>
      <c r="I807" s="41" t="s">
        <v>446</v>
      </c>
      <c r="J807" s="276" t="str">
        <f>VLOOKUP($I807,'Price List, Weapons &amp; Items'!A:B,2,0)</f>
        <v>Military equipment</v>
      </c>
      <c r="K807" s="276" t="str">
        <f>IF(I807=".",I807,VLOOKUP($I807,'Price List, Weapons &amp; Items'!A:C,3,0))</f>
        <v>.</v>
      </c>
      <c r="L807" s="514">
        <f>VLOOKUP(I807,'Price List, Weapons &amp; Items'!A:D,4,0)</f>
        <v>0</v>
      </c>
      <c r="M807" s="515">
        <v>5000</v>
      </c>
      <c r="N807" s="515">
        <v>5000</v>
      </c>
      <c r="O807" s="516">
        <f>VLOOKUP($I807,'Price List, Weapons &amp; Items'!A:F,6,0)</f>
        <v>500</v>
      </c>
      <c r="P807" s="513">
        <f t="shared" ref="P807:P881" si="187">IF(TYPE(M807)=1,IF(TYPE(O807)=1,M807*O807,"No price"),".")</f>
        <v>2500000</v>
      </c>
      <c r="Q807" s="513">
        <f t="shared" ref="Q807:Q881" si="188">IF(TYPE(N807)=1,IF(TYPE(O807)=1,N807*O807,"No price"),".")</f>
        <v>2500000</v>
      </c>
      <c r="R807" s="513" t="str">
        <f t="shared" si="185"/>
        <v/>
      </c>
      <c r="S807" s="513" t="str">
        <f>IF(AND(AD807=1,R807&lt;&gt;".")=TRUE,R807/VLOOKUP(G807,'Exchange rates'!B:C,2,0),IF(R807=".",".",""))</f>
        <v/>
      </c>
      <c r="T807" s="513" t="str">
        <f>IF(AD807=1,IF(AF807="Value is not given at all",".",IF(AF807="Value is given by the source",S807,IF(AF807="Value is calculated with prices",(IF(SUMIFS(Q:Q,A:A,A807)&gt;0,SUMIFS(Q:Q,A:A,A807),"."))/VLOOKUP("USD",'Exchange rates'!B:C,2,0),"Error with coding"))),"")</f>
        <v/>
      </c>
      <c r="U807" s="39" t="s">
        <v>233</v>
      </c>
      <c r="V807" s="376" t="s">
        <v>2285</v>
      </c>
      <c r="W807" s="376" t="s">
        <v>2286</v>
      </c>
      <c r="X807" s="376" t="s">
        <v>2287</v>
      </c>
      <c r="Y807" s="530" t="s">
        <v>232</v>
      </c>
      <c r="Z807" s="39">
        <v>0</v>
      </c>
      <c r="AA807" s="518">
        <v>0</v>
      </c>
      <c r="AB807" s="394" t="s">
        <v>2288</v>
      </c>
      <c r="AC807" s="519" t="str">
        <f>""</f>
        <v/>
      </c>
      <c r="AD807" s="520">
        <v>0</v>
      </c>
      <c r="AE807" s="520" t="s">
        <v>236</v>
      </c>
      <c r="AF807" s="520" t="s">
        <v>236</v>
      </c>
      <c r="AG807" s="520">
        <v>1</v>
      </c>
      <c r="AH807" s="520">
        <v>2</v>
      </c>
      <c r="AI807" s="520">
        <v>0</v>
      </c>
      <c r="AJ807" s="520">
        <f>VLOOKUP($I807,'Price List, Weapons &amp; Items'!A:E,5,0)</f>
        <v>0</v>
      </c>
      <c r="AK807" s="520">
        <f t="shared" si="176"/>
        <v>0</v>
      </c>
      <c r="AL807" s="520">
        <f t="shared" si="177"/>
        <v>0</v>
      </c>
      <c r="AM807" s="520">
        <f t="shared" si="178"/>
        <v>0</v>
      </c>
      <c r="AN807" s="521" t="str">
        <f>VLOOKUP($I807,'Price List, Weapons &amp; Items'!A:K,COLUMN('Price List, Weapons &amp; Items'!$I$1),0)</f>
        <v>Military media (incl. websites)</v>
      </c>
      <c r="AO807" s="521" t="str">
        <f>IF(I807=".",".",VLOOKUP($I807,'Price List, Weapons &amp; Items'!A:I,3,0))</f>
        <v>.</v>
      </c>
      <c r="AP807" s="517" t="str">
        <f t="shared" ca="1" si="186"/>
        <v/>
      </c>
      <c r="AQ807" s="521">
        <f>VLOOKUP($I807,'Price List, Weapons &amp; Items'!A:K,COLUMN('Price List, Weapons &amp; Items'!$K$1),0)</f>
        <v>2</v>
      </c>
      <c r="AS807" s="521">
        <f t="shared" si="179"/>
        <v>1</v>
      </c>
      <c r="AT807" s="521">
        <f t="shared" si="180"/>
        <v>1</v>
      </c>
      <c r="AU807" s="521">
        <f t="shared" si="181"/>
        <v>1</v>
      </c>
      <c r="AV807" s="521" t="str">
        <f t="shared" si="182"/>
        <v>.</v>
      </c>
    </row>
    <row r="808" spans="1:48" ht="15" customHeight="1">
      <c r="A808" s="18" t="s">
        <v>2283</v>
      </c>
      <c r="B808" s="18" t="s">
        <v>2258</v>
      </c>
      <c r="C808" s="511">
        <v>44619</v>
      </c>
      <c r="D808" s="18" t="s">
        <v>252</v>
      </c>
      <c r="E808" s="18" t="s">
        <v>253</v>
      </c>
      <c r="F808" s="512" t="s">
        <v>2284</v>
      </c>
      <c r="G808" s="39" t="s">
        <v>2264</v>
      </c>
      <c r="H808" s="513">
        <v>400000000</v>
      </c>
      <c r="I808" s="41" t="s">
        <v>2289</v>
      </c>
      <c r="J808" s="276" t="str">
        <f>VLOOKUP($I808,'Price List, Weapons &amp; Items'!A:B,2,0)</f>
        <v>Portable defence system</v>
      </c>
      <c r="K808" s="276" t="str">
        <f>IF(I808=".",I808,VLOOKUP($I808,'Price List, Weapons &amp; Items'!A:C,3,0))</f>
        <v>MANPADS</v>
      </c>
      <c r="L808" s="514">
        <f>VLOOKUP(I808,'Price List, Weapons &amp; Items'!A:D,4,0)</f>
        <v>0</v>
      </c>
      <c r="M808" s="515">
        <v>5000</v>
      </c>
      <c r="N808" s="515">
        <v>5000</v>
      </c>
      <c r="O808" s="516">
        <f>VLOOKUP($I808,'Price List, Weapons &amp; Items'!A:F,6,0)</f>
        <v>1480.64</v>
      </c>
      <c r="P808" s="513">
        <f t="shared" si="187"/>
        <v>7403200.0000000009</v>
      </c>
      <c r="Q808" s="513">
        <f t="shared" si="188"/>
        <v>7403200.0000000009</v>
      </c>
      <c r="R808" s="513" t="str">
        <f t="shared" si="185"/>
        <v/>
      </c>
      <c r="S808" s="513" t="str">
        <f>IF(AND(AD808=1,R808&lt;&gt;".")=TRUE,R808/VLOOKUP(G808,'Exchange rates'!B:C,2,0),IF(R808=".",".",""))</f>
        <v/>
      </c>
      <c r="T808" s="513" t="str">
        <f>IF(AD808=1,IF(AF808="Value is not given at all",".",IF(AF808="Value is given by the source",S808,IF(AF808="Value is calculated with prices",(IF(SUMIFS(Q:Q,A:A,A808)&gt;0,SUMIFS(Q:Q,A:A,A808),"."))/VLOOKUP("USD",'Exchange rates'!B:C,2,0),"Error with coding"))),"")</f>
        <v/>
      </c>
      <c r="U808" s="39" t="s">
        <v>233</v>
      </c>
      <c r="V808" s="376" t="s">
        <v>2285</v>
      </c>
      <c r="W808" s="376" t="s">
        <v>2286</v>
      </c>
      <c r="X808" s="376" t="s">
        <v>2287</v>
      </c>
      <c r="Y808" s="530" t="s">
        <v>232</v>
      </c>
      <c r="Z808" s="39">
        <v>0</v>
      </c>
      <c r="AA808" s="518">
        <v>0</v>
      </c>
      <c r="AB808" s="394" t="s">
        <v>2288</v>
      </c>
      <c r="AC808" s="519" t="str">
        <f>""</f>
        <v/>
      </c>
      <c r="AD808" s="520">
        <v>0</v>
      </c>
      <c r="AE808" s="520" t="s">
        <v>236</v>
      </c>
      <c r="AF808" s="520" t="s">
        <v>236</v>
      </c>
      <c r="AG808" s="520">
        <v>1</v>
      </c>
      <c r="AH808" s="520">
        <v>2</v>
      </c>
      <c r="AI808" s="520">
        <v>0</v>
      </c>
      <c r="AJ808" s="520">
        <f>VLOOKUP($I808,'Price List, Weapons &amp; Items'!A:E,5,0)</f>
        <v>0</v>
      </c>
      <c r="AK808" s="520">
        <f t="shared" si="176"/>
        <v>0</v>
      </c>
      <c r="AL808" s="520">
        <f t="shared" si="177"/>
        <v>0</v>
      </c>
      <c r="AM808" s="520">
        <f t="shared" si="178"/>
        <v>0</v>
      </c>
      <c r="AN808" s="521" t="str">
        <f>VLOOKUP($I808,'Price List, Weapons &amp; Items'!A:K,COLUMN('Price List, Weapons &amp; Items'!$I$1),0)</f>
        <v>Military media (incl. websites)</v>
      </c>
      <c r="AO808" s="521" t="str">
        <f>IF(I808=".",".",VLOOKUP($I808,'Price List, Weapons &amp; Items'!A:I,3,0))</f>
        <v>MANPADS</v>
      </c>
      <c r="AP808" s="517" t="str">
        <f t="shared" ca="1" si="186"/>
        <v/>
      </c>
      <c r="AQ808" s="521">
        <f>VLOOKUP($I808,'Price List, Weapons &amp; Items'!A:K,COLUMN('Price List, Weapons &amp; Items'!$K$1),0)</f>
        <v>2</v>
      </c>
      <c r="AS808" s="521">
        <f t="shared" si="179"/>
        <v>1</v>
      </c>
      <c r="AT808" s="521">
        <f t="shared" si="180"/>
        <v>1</v>
      </c>
      <c r="AU808" s="521">
        <f t="shared" si="181"/>
        <v>1</v>
      </c>
      <c r="AV808" s="521" t="str">
        <f t="shared" si="182"/>
        <v>.</v>
      </c>
    </row>
    <row r="809" spans="1:48" ht="15" customHeight="1">
      <c r="A809" s="18" t="s">
        <v>2283</v>
      </c>
      <c r="B809" s="18" t="s">
        <v>2258</v>
      </c>
      <c r="C809" s="511">
        <v>44619</v>
      </c>
      <c r="D809" s="18" t="s">
        <v>252</v>
      </c>
      <c r="E809" s="18" t="s">
        <v>253</v>
      </c>
      <c r="F809" s="512" t="s">
        <v>2284</v>
      </c>
      <c r="G809" s="39" t="s">
        <v>2264</v>
      </c>
      <c r="H809" s="513">
        <v>400000000</v>
      </c>
      <c r="I809" s="41" t="s">
        <v>270</v>
      </c>
      <c r="J809" s="276" t="str">
        <f>VLOOKUP($I809,'Price List, Weapons &amp; Items'!A:B,2,0)</f>
        <v>Military equipment</v>
      </c>
      <c r="K809" s="276" t="str">
        <f>IF(I809=".",I809,VLOOKUP($I809,'Price List, Weapons &amp; Items'!A:C,3,0))</f>
        <v>.</v>
      </c>
      <c r="L809" s="514">
        <f>VLOOKUP(I809,'Price List, Weapons &amp; Items'!A:D,4,0)</f>
        <v>0</v>
      </c>
      <c r="M809" s="515">
        <v>135000</v>
      </c>
      <c r="N809" s="515">
        <v>135000</v>
      </c>
      <c r="O809" s="516">
        <f>VLOOKUP($I809,'Price List, Weapons &amp; Items'!A:F,6,0)</f>
        <v>22</v>
      </c>
      <c r="P809" s="513">
        <f t="shared" si="187"/>
        <v>2970000</v>
      </c>
      <c r="Q809" s="513">
        <f t="shared" si="188"/>
        <v>2970000</v>
      </c>
      <c r="R809" s="513" t="str">
        <f t="shared" si="185"/>
        <v/>
      </c>
      <c r="S809" s="513" t="str">
        <f>IF(AND(AD809=1,R809&lt;&gt;".")=TRUE,R809/VLOOKUP(G809,'Exchange rates'!B:C,2,0),IF(R809=".",".",""))</f>
        <v/>
      </c>
      <c r="T809" s="513" t="str">
        <f>IF(AD809=1,IF(AF809="Value is not given at all",".",IF(AF809="Value is given by the source",S809,IF(AF809="Value is calculated with prices",(IF(SUMIFS(Q:Q,A:A,A809)&gt;0,SUMIFS(Q:Q,A:A,A809),"."))/VLOOKUP("USD",'Exchange rates'!B:C,2,0),"Error with coding"))),"")</f>
        <v/>
      </c>
      <c r="U809" s="39" t="s">
        <v>233</v>
      </c>
      <c r="V809" s="376" t="s">
        <v>2285</v>
      </c>
      <c r="W809" s="376" t="s">
        <v>2286</v>
      </c>
      <c r="X809" s="376" t="s">
        <v>2287</v>
      </c>
      <c r="Y809" s="530" t="s">
        <v>232</v>
      </c>
      <c r="Z809" s="39">
        <v>0</v>
      </c>
      <c r="AA809" s="518">
        <v>0</v>
      </c>
      <c r="AB809" s="394" t="s">
        <v>2288</v>
      </c>
      <c r="AC809" s="519" t="str">
        <f>""</f>
        <v/>
      </c>
      <c r="AD809" s="520">
        <v>0</v>
      </c>
      <c r="AE809" s="520" t="s">
        <v>236</v>
      </c>
      <c r="AF809" s="520" t="s">
        <v>236</v>
      </c>
      <c r="AG809" s="520">
        <v>1</v>
      </c>
      <c r="AH809" s="520">
        <v>2</v>
      </c>
      <c r="AI809" s="520">
        <v>0</v>
      </c>
      <c r="AJ809" s="520">
        <f>VLOOKUP($I809,'Price List, Weapons &amp; Items'!A:E,5,0)</f>
        <v>0</v>
      </c>
      <c r="AK809" s="520">
        <f t="shared" si="176"/>
        <v>0</v>
      </c>
      <c r="AL809" s="520">
        <f t="shared" si="177"/>
        <v>0</v>
      </c>
      <c r="AM809" s="520">
        <f t="shared" si="178"/>
        <v>0</v>
      </c>
      <c r="AN809" s="521" t="str">
        <f>VLOOKUP($I809,'Price List, Weapons &amp; Items'!A:K,COLUMN('Price List, Weapons &amp; Items'!$I$1),0)</f>
        <v>Online marketplaces and stores</v>
      </c>
      <c r="AO809" s="521" t="str">
        <f>IF(I809=".",".",VLOOKUP($I809,'Price List, Weapons &amp; Items'!A:I,3,0))</f>
        <v>.</v>
      </c>
      <c r="AP809" s="517" t="str">
        <f t="shared" ca="1" si="186"/>
        <v/>
      </c>
      <c r="AQ809" s="521">
        <f>VLOOKUP($I809,'Price List, Weapons &amp; Items'!A:K,COLUMN('Price List, Weapons &amp; Items'!$K$1),0)</f>
        <v>2</v>
      </c>
      <c r="AS809" s="521">
        <f t="shared" si="179"/>
        <v>1</v>
      </c>
      <c r="AT809" s="521">
        <f t="shared" si="180"/>
        <v>1</v>
      </c>
      <c r="AU809" s="521">
        <f t="shared" si="181"/>
        <v>1</v>
      </c>
      <c r="AV809" s="521" t="str">
        <f t="shared" si="182"/>
        <v>.</v>
      </c>
    </row>
    <row r="810" spans="1:48" ht="15" customHeight="1">
      <c r="A810" s="41" t="s">
        <v>2290</v>
      </c>
      <c r="B810" s="41" t="s">
        <v>2258</v>
      </c>
      <c r="C810" s="511">
        <v>44619</v>
      </c>
      <c r="D810" s="18" t="s">
        <v>252</v>
      </c>
      <c r="E810" s="18" t="s">
        <v>330</v>
      </c>
      <c r="F810" s="512" t="s">
        <v>2291</v>
      </c>
      <c r="G810" s="39" t="s">
        <v>2264</v>
      </c>
      <c r="H810" s="513">
        <v>500000000</v>
      </c>
      <c r="I810" s="41" t="s">
        <v>232</v>
      </c>
      <c r="J810" s="276" t="str">
        <f>VLOOKUP($I810,'Price List, Weapons &amp; Items'!A:B,2,0)</f>
        <v>.</v>
      </c>
      <c r="K810" s="276" t="str">
        <f>IF(I810=".",I810,VLOOKUP($I810,'Price List, Weapons &amp; Items'!A:C,3,0))</f>
        <v>.</v>
      </c>
      <c r="L810" s="514">
        <f>VLOOKUP(I810,'Price List, Weapons &amp; Items'!A:D,4,0)</f>
        <v>0</v>
      </c>
      <c r="M810" s="515" t="s">
        <v>232</v>
      </c>
      <c r="N810" s="515" t="s">
        <v>232</v>
      </c>
      <c r="O810" s="516" t="str">
        <f>VLOOKUP($I810,'Price List, Weapons &amp; Items'!A:F,6,0)</f>
        <v>.</v>
      </c>
      <c r="P810" s="513" t="str">
        <f t="shared" si="187"/>
        <v>.</v>
      </c>
      <c r="Q810" s="513" t="str">
        <f t="shared" si="188"/>
        <v>.</v>
      </c>
      <c r="R810" s="513">
        <f t="shared" si="185"/>
        <v>500000000</v>
      </c>
      <c r="S810" s="513">
        <f>IF(AND(AD810=1,R810&lt;&gt;".")=TRUE,R810/VLOOKUP(G810,'Exchange rates'!B:C,2,0),IF(R810=".",".",""))</f>
        <v>45837917.125045843</v>
      </c>
      <c r="T810" s="513" t="str">
        <f>IF(AD810=1,IF(AF810="Value is not given at all",".",IF(AF810="Value is given by the source",S810,IF(AF810="Value is calculated with prices",(IF(SUMIFS(Q:Q,A:A,A810)&gt;0,SUMIFS(Q:Q,A:A,A810),"."))/VLOOKUP("USD",'Exchange rates'!B:C,2,0),"Error with coding"))),"")</f>
        <v>.</v>
      </c>
      <c r="U810" s="39" t="s">
        <v>233</v>
      </c>
      <c r="V810" s="42" t="s">
        <v>2292</v>
      </c>
      <c r="W810" s="42" t="s">
        <v>2287</v>
      </c>
      <c r="X810" s="517" t="s">
        <v>232</v>
      </c>
      <c r="Y810" s="517" t="s">
        <v>232</v>
      </c>
      <c r="Z810" s="39">
        <v>0</v>
      </c>
      <c r="AA810" s="518">
        <v>0</v>
      </c>
      <c r="AB810" s="38" t="s">
        <v>232</v>
      </c>
      <c r="AC810" s="519" t="str">
        <f>""</f>
        <v/>
      </c>
      <c r="AD810" s="520">
        <v>1</v>
      </c>
      <c r="AE810" s="520" t="s">
        <v>236</v>
      </c>
      <c r="AF810" s="520" t="s">
        <v>237</v>
      </c>
      <c r="AG810" s="520">
        <v>1</v>
      </c>
      <c r="AH810" s="520">
        <v>2</v>
      </c>
      <c r="AI810" s="520">
        <v>0</v>
      </c>
      <c r="AJ810" s="520">
        <f>VLOOKUP($I810,'Price List, Weapons &amp; Items'!A:E,5,0)</f>
        <v>0</v>
      </c>
      <c r="AK810" s="520">
        <f t="shared" si="176"/>
        <v>0</v>
      </c>
      <c r="AL810" s="520">
        <f t="shared" si="177"/>
        <v>0</v>
      </c>
      <c r="AM810" s="520">
        <f t="shared" si="178"/>
        <v>0</v>
      </c>
      <c r="AN810" s="521" t="str">
        <f>VLOOKUP($I810,'Price List, Weapons &amp; Items'!A:K,COLUMN('Price List, Weapons &amp; Items'!$I$1),0)</f>
        <v>.</v>
      </c>
      <c r="AO810" s="521" t="str">
        <f>IF(I810=".",".",VLOOKUP($I810,'Price List, Weapons &amp; Items'!A:I,3,0))</f>
        <v>.</v>
      </c>
      <c r="AP810" s="517" t="str">
        <f t="shared" ca="1" si="186"/>
        <v>.</v>
      </c>
      <c r="AQ810" s="521" t="str">
        <f>VLOOKUP($I810,'Price List, Weapons &amp; Items'!A:K,COLUMN('Price List, Weapons &amp; Items'!$K$1),0)</f>
        <v>no price, 0 count</v>
      </c>
      <c r="AS810" s="521">
        <f t="shared" si="179"/>
        <v>1</v>
      </c>
      <c r="AT810" s="521">
        <f t="shared" si="180"/>
        <v>0</v>
      </c>
      <c r="AU810" s="521">
        <f t="shared" si="181"/>
        <v>1</v>
      </c>
      <c r="AV810" s="521" t="str">
        <f t="shared" si="182"/>
        <v>.</v>
      </c>
    </row>
    <row r="811" spans="1:48" ht="15" customHeight="1">
      <c r="A811" s="41" t="s">
        <v>2293</v>
      </c>
      <c r="B811" s="41" t="s">
        <v>2258</v>
      </c>
      <c r="C811" s="511">
        <v>44643</v>
      </c>
      <c r="D811" s="18" t="s">
        <v>252</v>
      </c>
      <c r="E811" s="18" t="s">
        <v>253</v>
      </c>
      <c r="F811" s="512" t="s">
        <v>2294</v>
      </c>
      <c r="G811" s="39" t="s">
        <v>314</v>
      </c>
      <c r="H811" s="513" t="s">
        <v>309</v>
      </c>
      <c r="I811" s="41" t="s">
        <v>2289</v>
      </c>
      <c r="J811" s="276" t="str">
        <f>VLOOKUP($I811,'Price List, Weapons &amp; Items'!A:B,2,0)</f>
        <v>Portable defence system</v>
      </c>
      <c r="K811" s="276" t="str">
        <f>IF(I811=".",I811,VLOOKUP($I811,'Price List, Weapons &amp; Items'!A:C,3,0))</f>
        <v>MANPADS</v>
      </c>
      <c r="L811" s="514">
        <f>VLOOKUP(I811,'Price List, Weapons &amp; Items'!A:D,4,0)</f>
        <v>0</v>
      </c>
      <c r="M811" s="515">
        <v>5000</v>
      </c>
      <c r="N811" s="515">
        <v>5000</v>
      </c>
      <c r="O811" s="516">
        <f>VLOOKUP($I811,'Price List, Weapons &amp; Items'!A:F,6,0)</f>
        <v>1480.64</v>
      </c>
      <c r="P811" s="513">
        <f t="shared" si="187"/>
        <v>7403200.0000000009</v>
      </c>
      <c r="Q811" s="513">
        <f t="shared" si="188"/>
        <v>7403200.0000000009</v>
      </c>
      <c r="R811" s="513">
        <f t="shared" si="185"/>
        <v>7403200.0000000009</v>
      </c>
      <c r="S811" s="513">
        <f>IF(AND(AD811=1,R811&lt;&gt;".")=TRUE,R811/VLOOKUP(G811,'Exchange rates'!B:C,2,0),IF(R811=".",".",""))</f>
        <v>7377379.1728948681</v>
      </c>
      <c r="T811" s="513">
        <f>IF(AD811=1,IF(AF811="Value is not given at all",".",IF(AF811="Value is given by the source",S811,IF(AF811="Value is calculated with prices",(IF(SUMIFS(Q:Q,A:A,A811)&gt;0,SUMIFS(Q:Q,A:A,A811),"."))/VLOOKUP("USD",'Exchange rates'!B:C,2,0),"Error with coding"))),"")</f>
        <v>7377379.1728948681</v>
      </c>
      <c r="U811" s="39" t="s">
        <v>233</v>
      </c>
      <c r="V811" s="42" t="s">
        <v>2295</v>
      </c>
      <c r="W811" s="42" t="s">
        <v>2296</v>
      </c>
      <c r="X811" s="517" t="s">
        <v>232</v>
      </c>
      <c r="Y811" s="517" t="s">
        <v>232</v>
      </c>
      <c r="Z811" s="39">
        <v>0</v>
      </c>
      <c r="AA811" s="518">
        <v>0</v>
      </c>
      <c r="AB811" s="394" t="s">
        <v>2297</v>
      </c>
      <c r="AC811" s="519" t="str">
        <f>""</f>
        <v/>
      </c>
      <c r="AD811" s="520">
        <v>1</v>
      </c>
      <c r="AE811" s="520" t="s">
        <v>300</v>
      </c>
      <c r="AF811" s="520" t="s">
        <v>300</v>
      </c>
      <c r="AG811" s="520">
        <v>1</v>
      </c>
      <c r="AH811" s="520">
        <v>3</v>
      </c>
      <c r="AI811" s="520">
        <v>0</v>
      </c>
      <c r="AJ811" s="520">
        <f>VLOOKUP($I811,'Price List, Weapons &amp; Items'!A:E,5,0)</f>
        <v>0</v>
      </c>
      <c r="AK811" s="520">
        <f t="shared" si="176"/>
        <v>0</v>
      </c>
      <c r="AL811" s="520">
        <f t="shared" si="177"/>
        <v>0</v>
      </c>
      <c r="AM811" s="520">
        <f t="shared" si="178"/>
        <v>0</v>
      </c>
      <c r="AN811" s="521" t="str">
        <f>VLOOKUP($I811,'Price List, Weapons &amp; Items'!A:K,COLUMN('Price List, Weapons &amp; Items'!$I$1),0)</f>
        <v>Military media (incl. websites)</v>
      </c>
      <c r="AO811" s="521" t="str">
        <f>IF(I811=".",".",VLOOKUP($I811,'Price List, Weapons &amp; Items'!A:I,3,0))</f>
        <v>MANPADS</v>
      </c>
      <c r="AP811" s="517" t="str">
        <f t="shared" ca="1" si="186"/>
        <v>AT4 anti-tank weapon</v>
      </c>
      <c r="AQ811" s="521">
        <f>VLOOKUP($I811,'Price List, Weapons &amp; Items'!A:K,COLUMN('Price List, Weapons &amp; Items'!$K$1),0)</f>
        <v>2</v>
      </c>
      <c r="AS811" s="521">
        <f t="shared" si="179"/>
        <v>1</v>
      </c>
      <c r="AT811" s="521">
        <f t="shared" si="180"/>
        <v>1</v>
      </c>
      <c r="AU811" s="521">
        <f t="shared" si="181"/>
        <v>1</v>
      </c>
      <c r="AV811" s="521" t="str">
        <f t="shared" si="182"/>
        <v>.</v>
      </c>
    </row>
    <row r="812" spans="1:48" ht="15" customHeight="1">
      <c r="A812" s="18" t="s">
        <v>2298</v>
      </c>
      <c r="B812" s="18" t="s">
        <v>2258</v>
      </c>
      <c r="C812" s="511">
        <v>44714</v>
      </c>
      <c r="D812" s="18" t="s">
        <v>252</v>
      </c>
      <c r="E812" s="18" t="s">
        <v>253</v>
      </c>
      <c r="F812" s="512" t="s">
        <v>2299</v>
      </c>
      <c r="G812" s="39" t="s">
        <v>2264</v>
      </c>
      <c r="H812" s="513">
        <v>262000000</v>
      </c>
      <c r="I812" s="41" t="s">
        <v>2289</v>
      </c>
      <c r="J812" s="276" t="str">
        <f>VLOOKUP($I812,'Price List, Weapons &amp; Items'!A:B,2,0)</f>
        <v>Portable defence system</v>
      </c>
      <c r="K812" s="276" t="str">
        <f>IF(I812=".",I812,VLOOKUP($I812,'Price List, Weapons &amp; Items'!A:C,3,0))</f>
        <v>MANPADS</v>
      </c>
      <c r="L812" s="514">
        <f>VLOOKUP(I812,'Price List, Weapons &amp; Items'!A:D,4,0)</f>
        <v>0</v>
      </c>
      <c r="M812" s="515">
        <v>5000</v>
      </c>
      <c r="N812" s="515" t="s">
        <v>232</v>
      </c>
      <c r="O812" s="516">
        <f>VLOOKUP($I812,'Price List, Weapons &amp; Items'!A:F,6,0)</f>
        <v>1480.64</v>
      </c>
      <c r="P812" s="513">
        <f t="shared" si="187"/>
        <v>7403200.0000000009</v>
      </c>
      <c r="Q812" s="513" t="str">
        <f t="shared" si="188"/>
        <v>.</v>
      </c>
      <c r="R812" s="513">
        <f t="shared" si="185"/>
        <v>262000000</v>
      </c>
      <c r="S812" s="513">
        <f>IF(AND(AD812=1,R812&lt;&gt;".")=TRUE,R812/VLOOKUP(G812,'Exchange rates'!B:C,2,0),IF(R812=".",".",""))</f>
        <v>24019068.573524021</v>
      </c>
      <c r="T812" s="513" t="str">
        <f>IF(AD812=1,IF(AF812="Value is not given at all",".",IF(AF812="Value is given by the source",S812,IF(AF812="Value is calculated with prices",(IF(SUMIFS(Q:Q,A:A,A812)&gt;0,SUMIFS(Q:Q,A:A,A812),"."))/VLOOKUP("USD",'Exchange rates'!B:C,2,0),"Error with coding"))),"")</f>
        <v>.</v>
      </c>
      <c r="U812" s="39" t="s">
        <v>233</v>
      </c>
      <c r="V812" s="376" t="s">
        <v>2275</v>
      </c>
      <c r="W812" s="376" t="s">
        <v>2300</v>
      </c>
      <c r="X812" s="376" t="s">
        <v>2301</v>
      </c>
      <c r="Y812" s="530" t="s">
        <v>232</v>
      </c>
      <c r="Z812" s="39">
        <v>0</v>
      </c>
      <c r="AA812" s="518">
        <v>0</v>
      </c>
      <c r="AB812" s="521" t="s">
        <v>232</v>
      </c>
      <c r="AC812" s="519" t="str">
        <f>""</f>
        <v/>
      </c>
      <c r="AD812" s="520">
        <v>1</v>
      </c>
      <c r="AE812" s="520" t="s">
        <v>236</v>
      </c>
      <c r="AF812" s="520" t="s">
        <v>237</v>
      </c>
      <c r="AG812" s="520">
        <v>1</v>
      </c>
      <c r="AH812" s="520">
        <v>6</v>
      </c>
      <c r="AI812" s="520">
        <v>0</v>
      </c>
      <c r="AJ812" s="520">
        <f>VLOOKUP($I812,'Price List, Weapons &amp; Items'!A:E,5,0)</f>
        <v>0</v>
      </c>
      <c r="AK812" s="520">
        <f t="shared" si="176"/>
        <v>0</v>
      </c>
      <c r="AL812" s="520">
        <f t="shared" si="177"/>
        <v>0</v>
      </c>
      <c r="AM812" s="520">
        <f t="shared" si="178"/>
        <v>0</v>
      </c>
      <c r="AN812" s="521" t="str">
        <f>VLOOKUP($I812,'Price List, Weapons &amp; Items'!A:K,COLUMN('Price List, Weapons &amp; Items'!$I$1),0)</f>
        <v>Military media (incl. websites)</v>
      </c>
      <c r="AO812" s="521" t="str">
        <f>IF(I812=".",".",VLOOKUP($I812,'Price List, Weapons &amp; Items'!A:I,3,0))</f>
        <v>MANPADS</v>
      </c>
      <c r="AP812" s="517" t="str">
        <f t="shared" ca="1" si="186"/>
        <v>AT4 anti-tank weapon; RBS 17 anti-ship missile system; AG 90 anti-materiel sniper rifle</v>
      </c>
      <c r="AQ812" s="521">
        <f>VLOOKUP($I812,'Price List, Weapons &amp; Items'!A:K,COLUMN('Price List, Weapons &amp; Items'!$K$1),0)</f>
        <v>2</v>
      </c>
      <c r="AS812" s="521">
        <f t="shared" si="179"/>
        <v>1</v>
      </c>
      <c r="AT812" s="521">
        <f t="shared" si="180"/>
        <v>1</v>
      </c>
      <c r="AU812" s="521">
        <f t="shared" si="181"/>
        <v>1</v>
      </c>
      <c r="AV812" s="521" t="str">
        <f t="shared" si="182"/>
        <v>.</v>
      </c>
    </row>
    <row r="813" spans="1:48" ht="15" customHeight="1">
      <c r="A813" s="18" t="s">
        <v>2298</v>
      </c>
      <c r="B813" s="18" t="s">
        <v>2258</v>
      </c>
      <c r="C813" s="511">
        <v>44714</v>
      </c>
      <c r="D813" s="18" t="s">
        <v>252</v>
      </c>
      <c r="E813" s="18" t="s">
        <v>253</v>
      </c>
      <c r="F813" s="512" t="s">
        <v>2299</v>
      </c>
      <c r="G813" s="39" t="s">
        <v>2264</v>
      </c>
      <c r="H813" s="513">
        <v>262000000</v>
      </c>
      <c r="I813" s="41" t="s">
        <v>2302</v>
      </c>
      <c r="J813" s="276" t="str">
        <f>VLOOKUP($I813,'Price List, Weapons &amp; Items'!A:B,2,0)</f>
        <v>Heavy weapon</v>
      </c>
      <c r="K813" s="276" t="str">
        <f>IF(I813=".",I813,VLOOKUP($I813,'Price List, Weapons &amp; Items'!A:C,3,0))</f>
        <v>Anti-ship missle system</v>
      </c>
      <c r="L813" s="514">
        <f>VLOOKUP(I813,'Price List, Weapons &amp; Items'!A:D,4,0)</f>
        <v>0</v>
      </c>
      <c r="M813" s="515">
        <v>1</v>
      </c>
      <c r="N813" s="515" t="s">
        <v>232</v>
      </c>
      <c r="O813" s="516" t="str">
        <f>VLOOKUP($I813,'Price List, Weapons &amp; Items'!A:F,6,0)</f>
        <v>.</v>
      </c>
      <c r="P813" s="513" t="str">
        <f t="shared" si="187"/>
        <v>No price</v>
      </c>
      <c r="Q813" s="513" t="str">
        <f t="shared" si="188"/>
        <v>.</v>
      </c>
      <c r="R813" s="513" t="str">
        <f t="shared" si="185"/>
        <v/>
      </c>
      <c r="S813" s="513" t="str">
        <f>IF(AND(AD813=1,R813&lt;&gt;".")=TRUE,R813/VLOOKUP(G813,'Exchange rates'!B:C,2,0),IF(R813=".",".",""))</f>
        <v/>
      </c>
      <c r="T813" s="513" t="str">
        <f>IF(AD813=1,IF(AF813="Value is not given at all",".",IF(AF813="Value is given by the source",S813,IF(AF813="Value is calculated with prices",(IF(SUMIFS(Q:Q,A:A,A813)&gt;0,SUMIFS(Q:Q,A:A,A813),"."))/VLOOKUP("USD",'Exchange rates'!B:C,2,0),"Error with coding"))),"")</f>
        <v/>
      </c>
      <c r="U813" s="39" t="s">
        <v>233</v>
      </c>
      <c r="V813" s="376" t="s">
        <v>2275</v>
      </c>
      <c r="W813" s="376" t="s">
        <v>2300</v>
      </c>
      <c r="X813" s="376" t="s">
        <v>2301</v>
      </c>
      <c r="Y813" s="530" t="s">
        <v>232</v>
      </c>
      <c r="Z813" s="39">
        <v>0</v>
      </c>
      <c r="AA813" s="518">
        <v>0</v>
      </c>
      <c r="AB813" s="521" t="s">
        <v>232</v>
      </c>
      <c r="AC813" s="519" t="str">
        <f>""</f>
        <v/>
      </c>
      <c r="AD813" s="520">
        <v>0</v>
      </c>
      <c r="AE813" s="520" t="s">
        <v>236</v>
      </c>
      <c r="AF813" s="520" t="s">
        <v>237</v>
      </c>
      <c r="AG813" s="520">
        <v>1</v>
      </c>
      <c r="AH813" s="520">
        <v>6</v>
      </c>
      <c r="AI813" s="520">
        <v>0</v>
      </c>
      <c r="AJ813" s="520">
        <f>VLOOKUP($I813,'Price List, Weapons &amp; Items'!A:E,5,0)</f>
        <v>0</v>
      </c>
      <c r="AK813" s="520">
        <f t="shared" si="176"/>
        <v>0</v>
      </c>
      <c r="AL813" s="520">
        <f t="shared" si="177"/>
        <v>0</v>
      </c>
      <c r="AM813" s="520">
        <f t="shared" si="178"/>
        <v>0</v>
      </c>
      <c r="AN813" s="521" t="str">
        <f>VLOOKUP($I813,'Price List, Weapons &amp; Items'!A:K,COLUMN('Price List, Weapons &amp; Items'!$I$1),0)</f>
        <v>.</v>
      </c>
      <c r="AO813" s="521" t="str">
        <f>IF(I813=".",".",VLOOKUP($I813,'Price List, Weapons &amp; Items'!A:I,3,0))</f>
        <v>Anti-ship missle system</v>
      </c>
      <c r="AP813" s="517" t="str">
        <f t="shared" ca="1" si="186"/>
        <v/>
      </c>
      <c r="AQ813" s="521">
        <f>VLOOKUP($I813,'Price List, Weapons &amp; Items'!A:K,COLUMN('Price List, Weapons &amp; Items'!$K$1),0)</f>
        <v>0</v>
      </c>
      <c r="AS813" s="521">
        <f t="shared" si="179"/>
        <v>1</v>
      </c>
      <c r="AT813" s="521">
        <f t="shared" si="180"/>
        <v>1</v>
      </c>
      <c r="AU813" s="521">
        <f t="shared" si="181"/>
        <v>1</v>
      </c>
      <c r="AV813" s="521" t="str">
        <f t="shared" si="182"/>
        <v>.</v>
      </c>
    </row>
    <row r="814" spans="1:48" ht="15" customHeight="1">
      <c r="A814" s="18" t="s">
        <v>2298</v>
      </c>
      <c r="B814" s="18" t="s">
        <v>2258</v>
      </c>
      <c r="C814" s="511">
        <v>44714</v>
      </c>
      <c r="D814" s="18" t="s">
        <v>252</v>
      </c>
      <c r="E814" s="18" t="s">
        <v>253</v>
      </c>
      <c r="F814" s="512" t="s">
        <v>2299</v>
      </c>
      <c r="G814" s="39" t="s">
        <v>2264</v>
      </c>
      <c r="H814" s="513">
        <v>262000000</v>
      </c>
      <c r="I814" s="41" t="s">
        <v>2303</v>
      </c>
      <c r="J814" s="276" t="str">
        <f>VLOOKUP($I814,'Price List, Weapons &amp; Items'!A:B,2,0)</f>
        <v>Light armaments &amp; infantry</v>
      </c>
      <c r="K814" s="276" t="str">
        <f>IF(I814=".",I814,VLOOKUP($I814,'Price List, Weapons &amp; Items'!A:C,3,0))</f>
        <v>Anti-materiel rifle</v>
      </c>
      <c r="L814" s="514">
        <f>VLOOKUP(I814,'Price List, Weapons &amp; Items'!A:D,4,0)</f>
        <v>0</v>
      </c>
      <c r="M814" s="515" t="s">
        <v>264</v>
      </c>
      <c r="N814" s="515" t="s">
        <v>232</v>
      </c>
      <c r="O814" s="516">
        <f>VLOOKUP($I814,'Price List, Weapons &amp; Items'!A:F,6,0)</f>
        <v>12807.38</v>
      </c>
      <c r="P814" s="513" t="str">
        <f t="shared" si="187"/>
        <v>.</v>
      </c>
      <c r="Q814" s="513" t="str">
        <f t="shared" si="188"/>
        <v>.</v>
      </c>
      <c r="R814" s="513" t="str">
        <f t="shared" si="185"/>
        <v/>
      </c>
      <c r="S814" s="513" t="str">
        <f>IF(AND(AD814=1,R814&lt;&gt;".")=TRUE,R814/VLOOKUP(G814,'Exchange rates'!B:C,2,0),IF(R814=".",".",""))</f>
        <v/>
      </c>
      <c r="T814" s="513" t="str">
        <f>IF(AD814=1,IF(AF814="Value is not given at all",".",IF(AF814="Value is given by the source",S814,IF(AF814="Value is calculated with prices",(IF(SUMIFS(Q:Q,A:A,A814)&gt;0,SUMIFS(Q:Q,A:A,A814),"."))/VLOOKUP("USD",'Exchange rates'!B:C,2,0),"Error with coding"))),"")</f>
        <v/>
      </c>
      <c r="U814" s="39" t="s">
        <v>233</v>
      </c>
      <c r="V814" s="376" t="s">
        <v>2275</v>
      </c>
      <c r="W814" s="376" t="s">
        <v>2300</v>
      </c>
      <c r="X814" s="376" t="s">
        <v>2301</v>
      </c>
      <c r="Y814" s="530" t="s">
        <v>232</v>
      </c>
      <c r="Z814" s="39">
        <v>0</v>
      </c>
      <c r="AA814" s="518">
        <v>0</v>
      </c>
      <c r="AB814" s="521" t="s">
        <v>232</v>
      </c>
      <c r="AC814" s="519" t="str">
        <f>""</f>
        <v/>
      </c>
      <c r="AD814" s="520">
        <v>0</v>
      </c>
      <c r="AE814" s="520" t="s">
        <v>236</v>
      </c>
      <c r="AF814" s="520" t="s">
        <v>237</v>
      </c>
      <c r="AG814" s="520">
        <v>1</v>
      </c>
      <c r="AH814" s="520">
        <v>6</v>
      </c>
      <c r="AI814" s="520">
        <v>0</v>
      </c>
      <c r="AJ814" s="520">
        <f>VLOOKUP($I814,'Price List, Weapons &amp; Items'!A:E,5,0)</f>
        <v>0</v>
      </c>
      <c r="AK814" s="520">
        <f t="shared" si="176"/>
        <v>0</v>
      </c>
      <c r="AL814" s="520">
        <f t="shared" si="177"/>
        <v>0</v>
      </c>
      <c r="AM814" s="520">
        <f t="shared" si="178"/>
        <v>0</v>
      </c>
      <c r="AN814" s="521" t="str">
        <f>VLOOKUP($I814,'Price List, Weapons &amp; Items'!A:K,COLUMN('Price List, Weapons &amp; Items'!$I$1),0)</f>
        <v>Military media (incl. websites)</v>
      </c>
      <c r="AO814" s="521" t="str">
        <f>IF(I814=".",".",VLOOKUP($I814,'Price List, Weapons &amp; Items'!A:I,3,0))</f>
        <v>Anti-materiel rifle</v>
      </c>
      <c r="AP814" s="517" t="str">
        <f t="shared" ca="1" si="186"/>
        <v/>
      </c>
      <c r="AQ814" s="521" t="str">
        <f>VLOOKUP($I814,'Price List, Weapons &amp; Items'!A:K,COLUMN('Price List, Weapons &amp; Items'!$K$1),0)</f>
        <v>no price, 0 count</v>
      </c>
      <c r="AS814" s="521">
        <f t="shared" si="179"/>
        <v>1</v>
      </c>
      <c r="AT814" s="521">
        <f t="shared" si="180"/>
        <v>1</v>
      </c>
      <c r="AU814" s="521">
        <f t="shared" si="181"/>
        <v>1</v>
      </c>
      <c r="AV814" s="521" t="str">
        <f t="shared" si="182"/>
        <v>.</v>
      </c>
    </row>
    <row r="815" spans="1:48" ht="15" customHeight="1">
      <c r="A815" s="41" t="s">
        <v>2304</v>
      </c>
      <c r="B815" s="41" t="s">
        <v>2258</v>
      </c>
      <c r="C815" s="511">
        <v>44714</v>
      </c>
      <c r="D815" s="18" t="s">
        <v>252</v>
      </c>
      <c r="E815" s="18" t="s">
        <v>330</v>
      </c>
      <c r="F815" s="512" t="s">
        <v>2305</v>
      </c>
      <c r="G815" s="39" t="s">
        <v>2264</v>
      </c>
      <c r="H815" s="513">
        <v>578000000</v>
      </c>
      <c r="I815" s="41" t="s">
        <v>232</v>
      </c>
      <c r="J815" s="276" t="str">
        <f>VLOOKUP($I815,'Price List, Weapons &amp; Items'!A:B,2,0)</f>
        <v>.</v>
      </c>
      <c r="K815" s="276" t="str">
        <f>IF(I815=".",I815,VLOOKUP($I815,'Price List, Weapons &amp; Items'!A:C,3,0))</f>
        <v>.</v>
      </c>
      <c r="L815" s="514">
        <f>VLOOKUP(I815,'Price List, Weapons &amp; Items'!A:D,4,0)</f>
        <v>0</v>
      </c>
      <c r="M815" s="515" t="s">
        <v>232</v>
      </c>
      <c r="N815" s="515" t="s">
        <v>232</v>
      </c>
      <c r="O815" s="516" t="str">
        <f>VLOOKUP($I815,'Price List, Weapons &amp; Items'!A:F,6,0)</f>
        <v>.</v>
      </c>
      <c r="P815" s="513" t="str">
        <f t="shared" si="187"/>
        <v>.</v>
      </c>
      <c r="Q815" s="513" t="str">
        <f t="shared" si="188"/>
        <v>.</v>
      </c>
      <c r="R815" s="513">
        <f t="shared" si="185"/>
        <v>578000000</v>
      </c>
      <c r="S815" s="513">
        <f>IF(AND(AD815=1,R815&lt;&gt;".")=TRUE,R815/VLOOKUP(G815,'Exchange rates'!B:C,2,0),IF(R815=".",".",""))</f>
        <v>52988632.196552992</v>
      </c>
      <c r="T815" s="513" t="str">
        <f>IF(AD815=1,IF(AF815="Value is not given at all",".",IF(AF815="Value is given by the source",S815,IF(AF815="Value is calculated with prices",(IF(SUMIFS(Q:Q,A:A,A815)&gt;0,SUMIFS(Q:Q,A:A,A815),"."))/VLOOKUP("USD",'Exchange rates'!B:C,2,0),"Error with coding"))),"")</f>
        <v>.</v>
      </c>
      <c r="U815" s="39" t="s">
        <v>233</v>
      </c>
      <c r="V815" s="42" t="s">
        <v>2275</v>
      </c>
      <c r="W815" s="42" t="s">
        <v>2300</v>
      </c>
      <c r="X815" s="42" t="s">
        <v>2301</v>
      </c>
      <c r="Y815" s="517" t="s">
        <v>232</v>
      </c>
      <c r="Z815" s="39">
        <v>0</v>
      </c>
      <c r="AA815" s="518">
        <v>0</v>
      </c>
      <c r="AB815" s="521" t="s">
        <v>232</v>
      </c>
      <c r="AC815" s="519" t="str">
        <f>""</f>
        <v/>
      </c>
      <c r="AD815" s="520">
        <v>1</v>
      </c>
      <c r="AE815" s="520" t="s">
        <v>236</v>
      </c>
      <c r="AF815" s="520" t="s">
        <v>237</v>
      </c>
      <c r="AG815" s="520">
        <v>1</v>
      </c>
      <c r="AH815" s="520">
        <v>6</v>
      </c>
      <c r="AI815" s="520">
        <v>0</v>
      </c>
      <c r="AJ815" s="520">
        <f>VLOOKUP($I815,'Price List, Weapons &amp; Items'!A:E,5,0)</f>
        <v>0</v>
      </c>
      <c r="AK815" s="520">
        <f t="shared" si="176"/>
        <v>0</v>
      </c>
      <c r="AL815" s="520">
        <f t="shared" si="177"/>
        <v>0</v>
      </c>
      <c r="AM815" s="520">
        <f t="shared" si="178"/>
        <v>0</v>
      </c>
      <c r="AN815" s="521" t="str">
        <f>VLOOKUP($I815,'Price List, Weapons &amp; Items'!A:K,COLUMN('Price List, Weapons &amp; Items'!$I$1),0)</f>
        <v>.</v>
      </c>
      <c r="AO815" s="521" t="str">
        <f>IF(I815=".",".",VLOOKUP($I815,'Price List, Weapons &amp; Items'!A:I,3,0))</f>
        <v>.</v>
      </c>
      <c r="AP815" s="517" t="str">
        <f t="shared" ca="1" si="186"/>
        <v>.</v>
      </c>
      <c r="AQ815" s="521" t="str">
        <f>VLOOKUP($I815,'Price List, Weapons &amp; Items'!A:K,COLUMN('Price List, Weapons &amp; Items'!$K$1),0)</f>
        <v>no price, 0 count</v>
      </c>
      <c r="AS815" s="521">
        <f t="shared" si="179"/>
        <v>1</v>
      </c>
      <c r="AT815" s="521">
        <f t="shared" si="180"/>
        <v>0</v>
      </c>
      <c r="AU815" s="521">
        <f t="shared" si="181"/>
        <v>1</v>
      </c>
      <c r="AV815" s="521" t="str">
        <f t="shared" si="182"/>
        <v>.</v>
      </c>
    </row>
    <row r="816" spans="1:48" ht="15" customHeight="1">
      <c r="A816" s="41" t="s">
        <v>2306</v>
      </c>
      <c r="B816" s="41" t="s">
        <v>2258</v>
      </c>
      <c r="C816" s="511">
        <v>44714</v>
      </c>
      <c r="D816" s="18" t="s">
        <v>252</v>
      </c>
      <c r="E816" s="18" t="s">
        <v>330</v>
      </c>
      <c r="F816" s="512" t="s">
        <v>2307</v>
      </c>
      <c r="G816" s="39" t="s">
        <v>2264</v>
      </c>
      <c r="H816" s="513">
        <v>60000000</v>
      </c>
      <c r="I816" s="41" t="s">
        <v>232</v>
      </c>
      <c r="J816" s="276" t="str">
        <f>VLOOKUP($I816,'Price List, Weapons &amp; Items'!A:B,2,0)</f>
        <v>.</v>
      </c>
      <c r="K816" s="276" t="str">
        <f>IF(I816=".",I816,VLOOKUP($I816,'Price List, Weapons &amp; Items'!A:C,3,0))</f>
        <v>.</v>
      </c>
      <c r="L816" s="514">
        <f>VLOOKUP(I816,'Price List, Weapons &amp; Items'!A:D,4,0)</f>
        <v>0</v>
      </c>
      <c r="M816" s="515" t="s">
        <v>232</v>
      </c>
      <c r="N816" s="515" t="s">
        <v>232</v>
      </c>
      <c r="O816" s="516" t="str">
        <f>VLOOKUP($I816,'Price List, Weapons &amp; Items'!A:F,6,0)</f>
        <v>.</v>
      </c>
      <c r="P816" s="513" t="str">
        <f t="shared" si="187"/>
        <v>.</v>
      </c>
      <c r="Q816" s="513" t="str">
        <f t="shared" si="188"/>
        <v>.</v>
      </c>
      <c r="R816" s="513">
        <f t="shared" si="185"/>
        <v>60000000</v>
      </c>
      <c r="S816" s="513">
        <f>IF(AND(AD816=1,R816&lt;&gt;".")=TRUE,R816/VLOOKUP(G816,'Exchange rates'!B:C,2,0),IF(R816=".",".",""))</f>
        <v>5500550.055005501</v>
      </c>
      <c r="T816" s="513" t="str">
        <f>IF(AD816=1,IF(AF816="Value is not given at all",".",IF(AF816="Value is given by the source",S816,IF(AF816="Value is calculated with prices",(IF(SUMIFS(Q:Q,A:A,A816)&gt;0,SUMIFS(Q:Q,A:A,A816),"."))/VLOOKUP("USD",'Exchange rates'!B:C,2,0),"Error with coding"))),"")</f>
        <v>.</v>
      </c>
      <c r="U816" s="39" t="s">
        <v>233</v>
      </c>
      <c r="V816" s="42" t="s">
        <v>2275</v>
      </c>
      <c r="W816" s="42" t="s">
        <v>2300</v>
      </c>
      <c r="X816" s="42" t="s">
        <v>2301</v>
      </c>
      <c r="Y816" s="517" t="s">
        <v>232</v>
      </c>
      <c r="Z816" s="39">
        <v>0</v>
      </c>
      <c r="AA816" s="518">
        <v>0</v>
      </c>
      <c r="AB816" s="521" t="s">
        <v>232</v>
      </c>
      <c r="AC816" s="519" t="str">
        <f>""</f>
        <v/>
      </c>
      <c r="AD816" s="520">
        <v>1</v>
      </c>
      <c r="AE816" s="520" t="s">
        <v>236</v>
      </c>
      <c r="AF816" s="520" t="s">
        <v>237</v>
      </c>
      <c r="AG816" s="520">
        <v>1</v>
      </c>
      <c r="AH816" s="520">
        <v>6</v>
      </c>
      <c r="AI816" s="520">
        <v>0</v>
      </c>
      <c r="AJ816" s="520">
        <f>VLOOKUP($I816,'Price List, Weapons &amp; Items'!A:E,5,0)</f>
        <v>0</v>
      </c>
      <c r="AK816" s="520">
        <f t="shared" si="176"/>
        <v>0</v>
      </c>
      <c r="AL816" s="520">
        <f t="shared" si="177"/>
        <v>0</v>
      </c>
      <c r="AM816" s="520">
        <f t="shared" si="178"/>
        <v>0</v>
      </c>
      <c r="AN816" s="521" t="str">
        <f>VLOOKUP($I816,'Price List, Weapons &amp; Items'!A:K,COLUMN('Price List, Weapons &amp; Items'!$I$1),0)</f>
        <v>.</v>
      </c>
      <c r="AO816" s="521" t="str">
        <f>IF(I816=".",".",VLOOKUP($I816,'Price List, Weapons &amp; Items'!A:I,3,0))</f>
        <v>.</v>
      </c>
      <c r="AP816" s="517" t="str">
        <f t="shared" ca="1" si="186"/>
        <v>.</v>
      </c>
      <c r="AQ816" s="521" t="str">
        <f>VLOOKUP($I816,'Price List, Weapons &amp; Items'!A:K,COLUMN('Price List, Weapons &amp; Items'!$K$1),0)</f>
        <v>no price, 0 count</v>
      </c>
      <c r="AS816" s="521">
        <f t="shared" si="179"/>
        <v>1</v>
      </c>
      <c r="AT816" s="521">
        <f t="shared" si="180"/>
        <v>0</v>
      </c>
      <c r="AU816" s="521">
        <f t="shared" si="181"/>
        <v>1</v>
      </c>
      <c r="AV816" s="521" t="str">
        <f t="shared" si="182"/>
        <v>.</v>
      </c>
    </row>
    <row r="817" spans="1:48" ht="15" customHeight="1">
      <c r="A817" s="41" t="s">
        <v>2308</v>
      </c>
      <c r="B817" s="41" t="s">
        <v>2258</v>
      </c>
      <c r="C817" s="511">
        <v>44754</v>
      </c>
      <c r="D817" s="18" t="s">
        <v>252</v>
      </c>
      <c r="E817" s="18" t="s">
        <v>330</v>
      </c>
      <c r="F817" s="512" t="s">
        <v>2309</v>
      </c>
      <c r="G817" s="39" t="s">
        <v>2264</v>
      </c>
      <c r="H817" s="513">
        <v>577700000</v>
      </c>
      <c r="I817" s="41" t="s">
        <v>232</v>
      </c>
      <c r="J817" s="276" t="str">
        <f>VLOOKUP($I817,'Price List, Weapons &amp; Items'!A:B,2,0)</f>
        <v>.</v>
      </c>
      <c r="K817" s="276" t="str">
        <f>IF(I817=".",I817,VLOOKUP($I817,'Price List, Weapons &amp; Items'!A:C,3,0))</f>
        <v>.</v>
      </c>
      <c r="L817" s="514">
        <f>VLOOKUP(I817,'Price List, Weapons &amp; Items'!A:D,4,0)</f>
        <v>0</v>
      </c>
      <c r="M817" s="515" t="s">
        <v>232</v>
      </c>
      <c r="N817" s="515" t="s">
        <v>232</v>
      </c>
      <c r="O817" s="516" t="str">
        <f>VLOOKUP($I817,'Price List, Weapons &amp; Items'!A:F,6,0)</f>
        <v>.</v>
      </c>
      <c r="P817" s="513" t="str">
        <f t="shared" si="187"/>
        <v>.</v>
      </c>
      <c r="Q817" s="513" t="str">
        <f t="shared" si="188"/>
        <v>.</v>
      </c>
      <c r="R817" s="513">
        <f t="shared" si="185"/>
        <v>577700000</v>
      </c>
      <c r="S817" s="513">
        <f>IF(AND(AD817=1,R817&lt;&gt;".")=TRUE,R817/VLOOKUP(G817,'Exchange rates'!B:C,2,0),IF(R817=".",".",""))</f>
        <v>52961129.446277961</v>
      </c>
      <c r="T817" s="513" t="str">
        <f>IF(AD817=1,IF(AF817="Value is not given at all",".",IF(AF817="Value is given by the source",S817,IF(AF817="Value is calculated with prices",(IF(SUMIFS(Q:Q,A:A,A817)&gt;0,SUMIFS(Q:Q,A:A,A817),"."))/VLOOKUP("USD",'Exchange rates'!B:C,2,0),"Error with coding"))),"")</f>
        <v>.</v>
      </c>
      <c r="U817" s="39" t="s">
        <v>233</v>
      </c>
      <c r="V817" s="42" t="s">
        <v>2310</v>
      </c>
      <c r="W817" s="42" t="s">
        <v>232</v>
      </c>
      <c r="X817" s="42" t="s">
        <v>232</v>
      </c>
      <c r="Y817" s="517" t="s">
        <v>232</v>
      </c>
      <c r="Z817" s="39">
        <v>0</v>
      </c>
      <c r="AA817" s="518">
        <v>0</v>
      </c>
      <c r="AB817" s="521" t="s">
        <v>232</v>
      </c>
      <c r="AC817" s="519" t="str">
        <f>""</f>
        <v/>
      </c>
      <c r="AD817" s="520">
        <v>1</v>
      </c>
      <c r="AE817" s="520" t="s">
        <v>236</v>
      </c>
      <c r="AF817" s="520" t="s">
        <v>237</v>
      </c>
      <c r="AG817" s="520">
        <v>1</v>
      </c>
      <c r="AH817" s="520">
        <v>7</v>
      </c>
      <c r="AI817" s="520">
        <v>0</v>
      </c>
      <c r="AJ817" s="520">
        <f>VLOOKUP($I817,'Price List, Weapons &amp; Items'!A:E,5,0)</f>
        <v>0</v>
      </c>
      <c r="AK817" s="520">
        <f t="shared" si="176"/>
        <v>0</v>
      </c>
      <c r="AL817" s="520">
        <f t="shared" si="177"/>
        <v>0</v>
      </c>
      <c r="AM817" s="520">
        <f t="shared" si="178"/>
        <v>0</v>
      </c>
      <c r="AN817" s="521" t="str">
        <f>VLOOKUP($I817,'Price List, Weapons &amp; Items'!A:K,COLUMN('Price List, Weapons &amp; Items'!$I$1),0)</f>
        <v>.</v>
      </c>
      <c r="AO817" s="521" t="str">
        <f>IF(I817=".",".",VLOOKUP($I817,'Price List, Weapons &amp; Items'!A:I,3,0))</f>
        <v>.</v>
      </c>
      <c r="AP817" s="517" t="str">
        <f t="shared" ca="1" si="186"/>
        <v>.</v>
      </c>
      <c r="AQ817" s="521" t="str">
        <f>VLOOKUP($I817,'Price List, Weapons &amp; Items'!A:K,COLUMN('Price List, Weapons &amp; Items'!$K$1),0)</f>
        <v>no price, 0 count</v>
      </c>
      <c r="AS817" s="521">
        <f t="shared" si="179"/>
        <v>1</v>
      </c>
      <c r="AT817" s="521">
        <f t="shared" si="180"/>
        <v>0</v>
      </c>
      <c r="AU817" s="521">
        <f t="shared" si="181"/>
        <v>1</v>
      </c>
      <c r="AV817" s="521" t="str">
        <f t="shared" si="182"/>
        <v>.</v>
      </c>
    </row>
    <row r="818" spans="1:48" ht="15" customHeight="1">
      <c r="A818" s="41" t="s">
        <v>2311</v>
      </c>
      <c r="B818" s="41" t="s">
        <v>2258</v>
      </c>
      <c r="C818" s="511">
        <v>44801</v>
      </c>
      <c r="D818" s="18" t="s">
        <v>252</v>
      </c>
      <c r="E818" s="18" t="s">
        <v>253</v>
      </c>
      <c r="F818" s="512" t="s">
        <v>2312</v>
      </c>
      <c r="G818" s="39" t="s">
        <v>2264</v>
      </c>
      <c r="H818" s="513">
        <v>500000000</v>
      </c>
      <c r="I818" s="41" t="s">
        <v>1123</v>
      </c>
      <c r="J818" s="276" t="str">
        <f>VLOOKUP($I818,'Price List, Weapons &amp; Items'!A:B,2,0)</f>
        <v>Ammunition for heavy weapon</v>
      </c>
      <c r="K818" s="276" t="str">
        <f>IF(I818=".",I818,VLOOKUP($I818,'Price List, Weapons &amp; Items'!A:C,3,0))</f>
        <v>155mm howitzer ammunition</v>
      </c>
      <c r="L818" s="514">
        <f>VLOOKUP(I818,'Price List, Weapons &amp; Items'!A:D,4,0)</f>
        <v>0</v>
      </c>
      <c r="M818" s="515" t="s">
        <v>264</v>
      </c>
      <c r="N818" s="515" t="s">
        <v>264</v>
      </c>
      <c r="O818" s="516">
        <f>VLOOKUP($I818,'Price List, Weapons &amp; Items'!A:F,6,0)</f>
        <v>3800</v>
      </c>
      <c r="P818" s="513" t="str">
        <f t="shared" si="187"/>
        <v>.</v>
      </c>
      <c r="Q818" s="513" t="str">
        <f t="shared" si="188"/>
        <v>.</v>
      </c>
      <c r="R818" s="513">
        <f t="shared" si="185"/>
        <v>500000000</v>
      </c>
      <c r="S818" s="513">
        <f>IF(AND(AD818=1,R818&lt;&gt;".")=TRUE,R818/VLOOKUP(G818,'Exchange rates'!B:C,2,0),IF(R818=".",".",""))</f>
        <v>45837917.125045843</v>
      </c>
      <c r="T818" s="513" t="str">
        <f>IF(AD818=1,IF(AF818="Value is not given at all",".",IF(AF818="Value is given by the source",S818,IF(AF818="Value is calculated with prices",(IF(SUMIFS(Q:Q,A:A,A818)&gt;0,SUMIFS(Q:Q,A:A,A818),"."))/VLOOKUP("USD",'Exchange rates'!B:C,2,0),"Error with coding"))),"")</f>
        <v>.</v>
      </c>
      <c r="U818" s="39" t="s">
        <v>233</v>
      </c>
      <c r="V818" s="42" t="s">
        <v>2313</v>
      </c>
      <c r="W818" s="33" t="s">
        <v>2314</v>
      </c>
      <c r="X818" s="829" t="s">
        <v>2315</v>
      </c>
      <c r="Y818" s="825" t="s">
        <v>2316</v>
      </c>
      <c r="Z818" s="39">
        <v>0</v>
      </c>
      <c r="AA818" s="518">
        <v>0</v>
      </c>
      <c r="AB818" s="830" t="s">
        <v>2316</v>
      </c>
      <c r="AC818" s="519" t="str">
        <f>""</f>
        <v/>
      </c>
      <c r="AD818" s="520">
        <v>1</v>
      </c>
      <c r="AE818" s="520" t="s">
        <v>236</v>
      </c>
      <c r="AF818" s="520" t="s">
        <v>237</v>
      </c>
      <c r="AG818" s="520">
        <v>1</v>
      </c>
      <c r="AH818" s="520">
        <v>8</v>
      </c>
      <c r="AI818" s="520">
        <v>0</v>
      </c>
      <c r="AJ818" s="520">
        <f>VLOOKUP($I818,'Price List, Weapons &amp; Items'!A:E,5,0)</f>
        <v>1</v>
      </c>
      <c r="AK818" s="520">
        <f t="shared" si="176"/>
        <v>1</v>
      </c>
      <c r="AL818" s="520">
        <f t="shared" si="177"/>
        <v>1</v>
      </c>
      <c r="AM818" s="520">
        <f t="shared" si="178"/>
        <v>1</v>
      </c>
      <c r="AN818" s="521" t="str">
        <f>VLOOKUP($I818,'Price List, Weapons &amp; Items'!A:K,COLUMN('Price List, Weapons &amp; Items'!$I$1),0)</f>
        <v>Government information</v>
      </c>
      <c r="AO818" s="521" t="str">
        <f>IF(I818=".",".",VLOOKUP($I818,'Price List, Weapons &amp; Items'!A:I,3,0))</f>
        <v>155mm howitzer ammunition</v>
      </c>
      <c r="AP818" s="517" t="str">
        <f t="shared" ca="1" si="186"/>
        <v>Round of ammunition for 155mm howitzer</v>
      </c>
      <c r="AQ818" s="521">
        <f>VLOOKUP($I818,'Price List, Weapons &amp; Items'!A:K,COLUMN('Price List, Weapons &amp; Items'!$K$1),0)</f>
        <v>2</v>
      </c>
      <c r="AS818" s="521">
        <f t="shared" si="179"/>
        <v>1</v>
      </c>
      <c r="AT818" s="521">
        <f t="shared" si="180"/>
        <v>1</v>
      </c>
      <c r="AU818" s="521">
        <f t="shared" si="181"/>
        <v>1</v>
      </c>
      <c r="AV818" s="521" t="str">
        <f t="shared" si="182"/>
        <v>.</v>
      </c>
    </row>
    <row r="819" spans="1:48" ht="15" customHeight="1">
      <c r="A819" s="41" t="s">
        <v>2317</v>
      </c>
      <c r="B819" s="41" t="s">
        <v>2258</v>
      </c>
      <c r="C819" s="511">
        <v>44881</v>
      </c>
      <c r="D819" s="18" t="s">
        <v>252</v>
      </c>
      <c r="E819" s="18" t="s">
        <v>253</v>
      </c>
      <c r="F819" s="512" t="s">
        <v>2318</v>
      </c>
      <c r="G819" s="39" t="s">
        <v>2264</v>
      </c>
      <c r="H819" s="513">
        <v>3000000000</v>
      </c>
      <c r="I819" s="41" t="s">
        <v>232</v>
      </c>
      <c r="J819" s="276" t="str">
        <f>VLOOKUP($I819,'Price List, Weapons &amp; Items'!A:B,2,0)</f>
        <v>.</v>
      </c>
      <c r="K819" s="276" t="str">
        <f>IF(I819=".",I819,VLOOKUP($I819,'Price List, Weapons &amp; Items'!A:C,3,0))</f>
        <v>.</v>
      </c>
      <c r="L819" s="514">
        <f>VLOOKUP(I819,'Price List, Weapons &amp; Items'!A:D,4,0)</f>
        <v>0</v>
      </c>
      <c r="M819" s="515" t="s">
        <v>232</v>
      </c>
      <c r="N819" s="515" t="s">
        <v>232</v>
      </c>
      <c r="O819" s="516"/>
      <c r="R819" s="513">
        <f t="shared" si="185"/>
        <v>3000000000</v>
      </c>
      <c r="S819" s="513">
        <f>IF(AND(AD819=1,R819&lt;&gt;".")=TRUE,R819/VLOOKUP(G819,'Exchange rates'!B:C,2,0),IF(R819=".",".",""))</f>
        <v>275027502.75027502</v>
      </c>
      <c r="T819" s="513" t="str">
        <f>IF(AD819=1,IF(AF819="Value is not given at all",".",IF(AF819="Value is given by the source",S819,IF(AF819="Value is calculated with prices",(IF(SUMIFS(Q:Q,A:A,A819)&gt;0,SUMIFS(Q:Q,A:A,A819),"."))/VLOOKUP("USD",'Exchange rates'!B:C,2,0),"Error with coding"))),"")</f>
        <v>.</v>
      </c>
      <c r="U819" s="39" t="s">
        <v>233</v>
      </c>
      <c r="V819" s="827" t="s">
        <v>2282</v>
      </c>
      <c r="W819" s="42" t="s">
        <v>232</v>
      </c>
      <c r="X819" s="42" t="s">
        <v>232</v>
      </c>
      <c r="Y819" s="825" t="s">
        <v>232</v>
      </c>
      <c r="Z819" s="39">
        <v>0</v>
      </c>
      <c r="AA819" s="518">
        <v>1</v>
      </c>
      <c r="AB819" s="395" t="s">
        <v>232</v>
      </c>
      <c r="AC819" s="519" t="str">
        <f>""</f>
        <v/>
      </c>
      <c r="AD819" s="520">
        <v>1</v>
      </c>
      <c r="AE819" s="520" t="s">
        <v>236</v>
      </c>
      <c r="AF819" s="520" t="s">
        <v>237</v>
      </c>
      <c r="AG819" s="520">
        <v>1</v>
      </c>
      <c r="AH819" s="520">
        <v>11</v>
      </c>
      <c r="AI819" s="520">
        <v>0</v>
      </c>
      <c r="AJ819" s="520">
        <f>VLOOKUP($I819,'Price List, Weapons &amp; Items'!A:E,5,0)</f>
        <v>0</v>
      </c>
      <c r="AK819" s="520">
        <f t="shared" si="176"/>
        <v>0</v>
      </c>
      <c r="AL819" s="520">
        <f t="shared" si="177"/>
        <v>0</v>
      </c>
      <c r="AM819" s="520">
        <f t="shared" si="178"/>
        <v>0</v>
      </c>
      <c r="AN819" s="521" t="str">
        <f>VLOOKUP($I819,'Price List, Weapons &amp; Items'!A:K,COLUMN('Price List, Weapons &amp; Items'!$I$1),0)</f>
        <v>.</v>
      </c>
      <c r="AO819" s="521" t="str">
        <f>IF(I819=".",".",VLOOKUP($I819,'Price List, Weapons &amp; Items'!A:I,3,0))</f>
        <v>.</v>
      </c>
      <c r="AP819" s="517" t="str">
        <f t="shared" ca="1" si="186"/>
        <v>.</v>
      </c>
      <c r="AQ819" s="521" t="str">
        <f>VLOOKUP($I819,'Price List, Weapons &amp; Items'!A:K,COLUMN('Price List, Weapons &amp; Items'!$K$1),0)</f>
        <v>no price, 0 count</v>
      </c>
      <c r="AS819" s="521">
        <f t="shared" si="179"/>
        <v>1</v>
      </c>
      <c r="AT819" s="521">
        <f t="shared" si="180"/>
        <v>1</v>
      </c>
      <c r="AU819" s="521">
        <f t="shared" si="181"/>
        <v>1</v>
      </c>
      <c r="AV819" s="521" t="str">
        <f t="shared" si="182"/>
        <v>.</v>
      </c>
    </row>
    <row r="820" spans="1:48" ht="15" customHeight="1">
      <c r="A820" s="41" t="s">
        <v>2319</v>
      </c>
      <c r="B820" s="41" t="s">
        <v>2258</v>
      </c>
      <c r="C820" s="511">
        <v>44627</v>
      </c>
      <c r="D820" s="18" t="s">
        <v>366</v>
      </c>
      <c r="E820" s="18" t="s">
        <v>344</v>
      </c>
      <c r="F820" s="512" t="s">
        <v>2320</v>
      </c>
      <c r="G820" s="39" t="s">
        <v>314</v>
      </c>
      <c r="H820" s="513">
        <v>50000000</v>
      </c>
      <c r="I820" s="41" t="s">
        <v>232</v>
      </c>
      <c r="J820" s="276" t="str">
        <f>VLOOKUP($I820,'Price List, Weapons &amp; Items'!A:B,2,0)</f>
        <v>.</v>
      </c>
      <c r="K820" s="276" t="str">
        <f>IF(I820=".",I820,VLOOKUP($I820,'Price List, Weapons &amp; Items'!A:C,3,0))</f>
        <v>.</v>
      </c>
      <c r="L820" s="514">
        <f>VLOOKUP(I820,'Price List, Weapons &amp; Items'!A:D,4,0)</f>
        <v>0</v>
      </c>
      <c r="M820" s="515" t="s">
        <v>232</v>
      </c>
      <c r="N820" s="515" t="s">
        <v>232</v>
      </c>
      <c r="O820" s="516" t="str">
        <f>VLOOKUP($I820,'Price List, Weapons &amp; Items'!A:F,6,0)</f>
        <v>.</v>
      </c>
      <c r="P820" s="513" t="str">
        <f t="shared" si="187"/>
        <v>.</v>
      </c>
      <c r="Q820" s="513" t="str">
        <f t="shared" si="188"/>
        <v>.</v>
      </c>
      <c r="R820" s="513">
        <f t="shared" si="185"/>
        <v>50000000</v>
      </c>
      <c r="S820" s="513">
        <f>IF(AND(AD820=1,R820&lt;&gt;".")=TRUE,R820/VLOOKUP(G820,'Exchange rates'!B:C,2,0),IF(R820=".",".",""))</f>
        <v>49825610.363726951</v>
      </c>
      <c r="T820" s="513" t="str">
        <f>IF(AD820=1,IF(AF820="Value is not given at all",".",IF(AF820="Value is given by the source",S820,IF(AF820="Value is calculated with prices",(IF(SUMIFS(Q:Q,A:A,A820)&gt;0,SUMIFS(Q:Q,A:A,A820),"."))/VLOOKUP("USD",'Exchange rates'!B:C,2,0),"Error with coding"))),"")</f>
        <v>.</v>
      </c>
      <c r="U820" s="39" t="s">
        <v>233</v>
      </c>
      <c r="V820" s="42" t="s">
        <v>833</v>
      </c>
      <c r="W820" s="517" t="s">
        <v>232</v>
      </c>
      <c r="X820" s="517" t="s">
        <v>232</v>
      </c>
      <c r="Y820" s="517" t="s">
        <v>232</v>
      </c>
      <c r="Z820" s="39">
        <v>1</v>
      </c>
      <c r="AA820" s="518">
        <v>0</v>
      </c>
      <c r="AB820" s="38" t="s">
        <v>232</v>
      </c>
      <c r="AC820" s="519" t="str">
        <f>""</f>
        <v/>
      </c>
      <c r="AD820" s="520">
        <v>1</v>
      </c>
      <c r="AE820" s="520" t="s">
        <v>236</v>
      </c>
      <c r="AF820" s="520" t="s">
        <v>237</v>
      </c>
      <c r="AG820" s="520">
        <v>1</v>
      </c>
      <c r="AH820" s="520">
        <v>3</v>
      </c>
      <c r="AI820" s="520">
        <v>0</v>
      </c>
      <c r="AJ820" s="520">
        <f>VLOOKUP($I820,'Price List, Weapons &amp; Items'!A:E,5,0)</f>
        <v>0</v>
      </c>
      <c r="AK820" s="520">
        <f t="shared" si="176"/>
        <v>0</v>
      </c>
      <c r="AL820" s="520">
        <f t="shared" si="177"/>
        <v>0</v>
      </c>
      <c r="AM820" s="520">
        <f t="shared" si="178"/>
        <v>0</v>
      </c>
      <c r="AN820" s="521" t="str">
        <f>VLOOKUP($I820,'Price List, Weapons &amp; Items'!A:K,COLUMN('Price List, Weapons &amp; Items'!$I$1),0)</f>
        <v>.</v>
      </c>
      <c r="AO820" s="521" t="str">
        <f>IF(I820=".",".",VLOOKUP($I820,'Price List, Weapons &amp; Items'!A:I,3,0))</f>
        <v>.</v>
      </c>
      <c r="AP820" s="517" t="str">
        <f t="shared" ca="1" si="186"/>
        <v>.</v>
      </c>
      <c r="AQ820" s="521" t="str">
        <f>VLOOKUP($I820,'Price List, Weapons &amp; Items'!A:K,COLUMN('Price List, Weapons &amp; Items'!$K$1),0)</f>
        <v>no price, 0 count</v>
      </c>
      <c r="AS820" s="521">
        <f t="shared" si="179"/>
        <v>1</v>
      </c>
      <c r="AT820" s="521">
        <f t="shared" si="180"/>
        <v>0</v>
      </c>
      <c r="AU820" s="521">
        <f t="shared" si="181"/>
        <v>1</v>
      </c>
      <c r="AV820" s="521" t="str">
        <f t="shared" si="182"/>
        <v>.</v>
      </c>
    </row>
    <row r="821" spans="1:48" ht="15" customHeight="1">
      <c r="A821" s="41" t="s">
        <v>2321</v>
      </c>
      <c r="B821" s="41" t="s">
        <v>2258</v>
      </c>
      <c r="C821" s="511">
        <v>44673</v>
      </c>
      <c r="D821" s="18" t="s">
        <v>366</v>
      </c>
      <c r="E821" s="18" t="s">
        <v>344</v>
      </c>
      <c r="F821" s="512" t="s">
        <v>2322</v>
      </c>
      <c r="G821" s="39" t="s">
        <v>332</v>
      </c>
      <c r="H821" s="513">
        <v>44000000</v>
      </c>
      <c r="I821" s="41" t="s">
        <v>232</v>
      </c>
      <c r="J821" s="276" t="str">
        <f>VLOOKUP($I821,'Price List, Weapons &amp; Items'!A:B,2,0)</f>
        <v>.</v>
      </c>
      <c r="K821" s="276" t="str">
        <f>IF(I821=".",I821,VLOOKUP($I821,'Price List, Weapons &amp; Items'!A:C,3,0))</f>
        <v>.</v>
      </c>
      <c r="L821" s="514">
        <f>VLOOKUP(I821,'Price List, Weapons &amp; Items'!A:D,4,0)</f>
        <v>0</v>
      </c>
      <c r="M821" s="515" t="s">
        <v>232</v>
      </c>
      <c r="N821" s="515" t="s">
        <v>232</v>
      </c>
      <c r="O821" s="516" t="str">
        <f>VLOOKUP($I821,'Price List, Weapons &amp; Items'!A:F,6,0)</f>
        <v>.</v>
      </c>
      <c r="P821" s="513" t="str">
        <f t="shared" si="187"/>
        <v>.</v>
      </c>
      <c r="Q821" s="513" t="str">
        <f t="shared" si="188"/>
        <v>.</v>
      </c>
      <c r="R821" s="513">
        <f t="shared" si="185"/>
        <v>44000000</v>
      </c>
      <c r="S821" s="513">
        <f>IF(AND(AD821=1,R821&lt;&gt;".")=TRUE,R821/VLOOKUP(G821,'Exchange rates'!B:C,2,0),IF(R821=".",".",""))</f>
        <v>44000000</v>
      </c>
      <c r="T821" s="513" t="str">
        <f>IF(AD821=1,IF(AF821="Value is not given at all",".",IF(AF821="Value is given by the source",S821,IF(AF821="Value is calculated with prices",(IF(SUMIFS(Q:Q,A:A,A821)&gt;0,SUMIFS(Q:Q,A:A,A821),"."))/VLOOKUP("USD",'Exchange rates'!B:C,2,0),"Error with coding"))),"")</f>
        <v>.</v>
      </c>
      <c r="U821" s="39" t="s">
        <v>233</v>
      </c>
      <c r="V821" s="42" t="s">
        <v>2323</v>
      </c>
      <c r="W821" s="517" t="s">
        <v>232</v>
      </c>
      <c r="X821" s="517" t="s">
        <v>232</v>
      </c>
      <c r="Y821" s="517" t="s">
        <v>232</v>
      </c>
      <c r="Z821" s="39">
        <v>1</v>
      </c>
      <c r="AA821" s="518">
        <v>0</v>
      </c>
      <c r="AB821" s="38" t="s">
        <v>232</v>
      </c>
      <c r="AC821" s="519" t="str">
        <f>""</f>
        <v/>
      </c>
      <c r="AD821" s="520">
        <v>1</v>
      </c>
      <c r="AE821" s="520" t="s">
        <v>236</v>
      </c>
      <c r="AF821" s="520" t="s">
        <v>237</v>
      </c>
      <c r="AG821" s="520">
        <v>1</v>
      </c>
      <c r="AH821" s="520">
        <v>4</v>
      </c>
      <c r="AI821" s="520">
        <v>0</v>
      </c>
      <c r="AJ821" s="520">
        <f>VLOOKUP($I821,'Price List, Weapons &amp; Items'!A:E,5,0)</f>
        <v>0</v>
      </c>
      <c r="AK821" s="520">
        <f t="shared" si="176"/>
        <v>0</v>
      </c>
      <c r="AL821" s="520">
        <f t="shared" si="177"/>
        <v>0</v>
      </c>
      <c r="AM821" s="520">
        <f t="shared" si="178"/>
        <v>0</v>
      </c>
      <c r="AN821" s="521" t="str">
        <f>VLOOKUP($I821,'Price List, Weapons &amp; Items'!A:K,COLUMN('Price List, Weapons &amp; Items'!$I$1),0)</f>
        <v>.</v>
      </c>
      <c r="AO821" s="521" t="str">
        <f>IF(I821=".",".",VLOOKUP($I821,'Price List, Weapons &amp; Items'!A:I,3,0))</f>
        <v>.</v>
      </c>
      <c r="AP821" s="517" t="str">
        <f t="shared" ca="1" si="186"/>
        <v>.</v>
      </c>
      <c r="AQ821" s="521" t="str">
        <f>VLOOKUP($I821,'Price List, Weapons &amp; Items'!A:K,COLUMN('Price List, Weapons &amp; Items'!$K$1),0)</f>
        <v>no price, 0 count</v>
      </c>
      <c r="AS821" s="521">
        <f t="shared" si="179"/>
        <v>1</v>
      </c>
      <c r="AT821" s="521">
        <f t="shared" si="180"/>
        <v>0</v>
      </c>
      <c r="AU821" s="521">
        <f t="shared" si="181"/>
        <v>1</v>
      </c>
      <c r="AV821" s="521" t="str">
        <f t="shared" si="182"/>
        <v>.</v>
      </c>
    </row>
    <row r="822" spans="1:48" ht="15" customHeight="1">
      <c r="A822" s="41" t="s">
        <v>2324</v>
      </c>
      <c r="B822" s="41" t="s">
        <v>2258</v>
      </c>
      <c r="C822" s="511">
        <v>44801</v>
      </c>
      <c r="D822" s="18" t="s">
        <v>366</v>
      </c>
      <c r="E822" s="18" t="s">
        <v>330</v>
      </c>
      <c r="F822" s="512" t="s">
        <v>2325</v>
      </c>
      <c r="G822" s="39" t="s">
        <v>2264</v>
      </c>
      <c r="H822" s="513">
        <v>500000000</v>
      </c>
      <c r="I822" s="41" t="s">
        <v>232</v>
      </c>
      <c r="J822" s="276" t="str">
        <f>VLOOKUP($I822,'Price List, Weapons &amp; Items'!A:B,2,0)</f>
        <v>.</v>
      </c>
      <c r="K822" s="276" t="str">
        <f>IF(I822=".",I822,VLOOKUP($I822,'Price List, Weapons &amp; Items'!A:C,3,0))</f>
        <v>.</v>
      </c>
      <c r="L822" s="514">
        <f>VLOOKUP(I822,'Price List, Weapons &amp; Items'!A:D,4,0)</f>
        <v>0</v>
      </c>
      <c r="M822" s="515" t="s">
        <v>232</v>
      </c>
      <c r="N822" s="515" t="s">
        <v>232</v>
      </c>
      <c r="O822" s="516" t="str">
        <f>VLOOKUP($I822,'Price List, Weapons &amp; Items'!A:F,6,0)</f>
        <v>.</v>
      </c>
      <c r="P822" s="513" t="str">
        <f t="shared" si="187"/>
        <v>.</v>
      </c>
      <c r="Q822" s="513" t="str">
        <f t="shared" si="188"/>
        <v>.</v>
      </c>
      <c r="R822" s="513">
        <f t="shared" si="185"/>
        <v>500000000</v>
      </c>
      <c r="S822" s="513">
        <f>IF(AND(AD822=1,R822&lt;&gt;".")=TRUE,R822/VLOOKUP(G822,'Exchange rates'!B:C,2,0),IF(R822=".",".",""))</f>
        <v>45837917.125045843</v>
      </c>
      <c r="T822" s="513" t="str">
        <f>IF(AD822=1,IF(AF822="Value is not given at all",".",IF(AF822="Value is given by the source",S822,IF(AF822="Value is calculated with prices",(IF(SUMIFS(Q:Q,A:A,A822)&gt;0,SUMIFS(Q:Q,A:A,A822),"."))/VLOOKUP("USD",'Exchange rates'!B:C,2,0),"Error with coding"))),"")</f>
        <v>.</v>
      </c>
      <c r="U822" s="39" t="s">
        <v>233</v>
      </c>
      <c r="V822" s="42" t="s">
        <v>2313</v>
      </c>
      <c r="W822" s="33" t="s">
        <v>2314</v>
      </c>
      <c r="X822" s="829" t="s">
        <v>2315</v>
      </c>
      <c r="Y822" s="517" t="s">
        <v>232</v>
      </c>
      <c r="Z822" s="39">
        <v>0</v>
      </c>
      <c r="AA822" s="518">
        <v>0</v>
      </c>
      <c r="AB822" s="38" t="s">
        <v>232</v>
      </c>
      <c r="AC822" s="519" t="str">
        <f>""</f>
        <v/>
      </c>
      <c r="AD822" s="520">
        <v>1</v>
      </c>
      <c r="AE822" s="520" t="s">
        <v>236</v>
      </c>
      <c r="AF822" s="520" t="s">
        <v>237</v>
      </c>
      <c r="AG822" s="520">
        <v>1</v>
      </c>
      <c r="AH822" s="520">
        <v>8</v>
      </c>
      <c r="AI822" s="520">
        <v>0</v>
      </c>
      <c r="AJ822" s="520">
        <f>VLOOKUP($I822,'Price List, Weapons &amp; Items'!A:E,5,0)</f>
        <v>0</v>
      </c>
      <c r="AK822" s="520">
        <f t="shared" si="176"/>
        <v>0</v>
      </c>
      <c r="AL822" s="520">
        <f t="shared" si="177"/>
        <v>0</v>
      </c>
      <c r="AM822" s="520">
        <f t="shared" si="178"/>
        <v>0</v>
      </c>
      <c r="AN822" s="521" t="str">
        <f>VLOOKUP($I822,'Price List, Weapons &amp; Items'!A:K,COLUMN('Price List, Weapons &amp; Items'!$I$1),0)</f>
        <v>.</v>
      </c>
      <c r="AO822" s="521" t="str">
        <f>IF(I822=".",".",VLOOKUP($I822,'Price List, Weapons &amp; Items'!A:I,3,0))</f>
        <v>.</v>
      </c>
      <c r="AP822" s="517" t="str">
        <f t="shared" ca="1" si="186"/>
        <v>.</v>
      </c>
      <c r="AQ822" s="521" t="str">
        <f>VLOOKUP($I822,'Price List, Weapons &amp; Items'!A:K,COLUMN('Price List, Weapons &amp; Items'!$K$1),0)</f>
        <v>no price, 0 count</v>
      </c>
      <c r="AS822" s="521">
        <f t="shared" si="179"/>
        <v>1</v>
      </c>
      <c r="AT822" s="521">
        <f t="shared" si="180"/>
        <v>0</v>
      </c>
      <c r="AU822" s="521">
        <f t="shared" si="181"/>
        <v>1</v>
      </c>
      <c r="AV822" s="521" t="str">
        <f t="shared" si="182"/>
        <v>.</v>
      </c>
    </row>
    <row r="823" spans="1:48" ht="15" customHeight="1">
      <c r="A823" s="41" t="s">
        <v>2326</v>
      </c>
      <c r="B823" s="41" t="s">
        <v>2258</v>
      </c>
      <c r="C823" s="511">
        <v>44881</v>
      </c>
      <c r="D823" s="18" t="s">
        <v>366</v>
      </c>
      <c r="E823" s="18" t="s">
        <v>330</v>
      </c>
      <c r="F823" s="512" t="s">
        <v>2327</v>
      </c>
      <c r="G823" s="39" t="s">
        <v>2264</v>
      </c>
      <c r="H823" s="513">
        <v>140000000</v>
      </c>
      <c r="I823" s="41" t="s">
        <v>232</v>
      </c>
      <c r="J823" s="276" t="str">
        <f>VLOOKUP($I823,'Price List, Weapons &amp; Items'!A:B,2,0)</f>
        <v>.</v>
      </c>
      <c r="K823" s="276" t="str">
        <f>IF(I823=".",I823,VLOOKUP($I823,'Price List, Weapons &amp; Items'!A:C,3,0))</f>
        <v>.</v>
      </c>
      <c r="L823" s="514">
        <f>VLOOKUP(I823,'Price List, Weapons &amp; Items'!A:D,4,0)</f>
        <v>0</v>
      </c>
      <c r="M823" s="515" t="s">
        <v>232</v>
      </c>
      <c r="N823" s="515" t="s">
        <v>232</v>
      </c>
      <c r="O823" s="516"/>
      <c r="R823" s="513">
        <f t="shared" si="185"/>
        <v>140000000</v>
      </c>
      <c r="S823" s="513">
        <f>IF(AND(AD823=1,R823&lt;&gt;".")=TRUE,R823/VLOOKUP(G823,'Exchange rates'!B:C,2,0),IF(R823=".",".",""))</f>
        <v>12834616.795012835</v>
      </c>
      <c r="T823" s="513" t="str">
        <f>IF(AD823=1,IF(AF823="Value is not given at all",".",IF(AF823="Value is given by the source",S823,IF(AF823="Value is calculated with prices",(IF(SUMIFS(Q:Q,A:A,A823)&gt;0,SUMIFS(Q:Q,A:A,A823),"."))/VLOOKUP("USD",'Exchange rates'!B:C,2,0),"Error with coding"))),"")</f>
        <v>.</v>
      </c>
      <c r="U823" s="39" t="s">
        <v>233</v>
      </c>
      <c r="V823" s="42" t="s">
        <v>2282</v>
      </c>
      <c r="W823" s="42" t="s">
        <v>232</v>
      </c>
      <c r="X823" s="42" t="s">
        <v>232</v>
      </c>
      <c r="Y823" s="825" t="s">
        <v>232</v>
      </c>
      <c r="Z823" s="39">
        <v>1</v>
      </c>
      <c r="AA823" s="518">
        <v>1</v>
      </c>
      <c r="AB823" s="395" t="s">
        <v>232</v>
      </c>
      <c r="AC823" s="519" t="str">
        <f>""</f>
        <v/>
      </c>
      <c r="AD823" s="520">
        <v>1</v>
      </c>
      <c r="AE823" s="520" t="s">
        <v>236</v>
      </c>
      <c r="AF823" s="520" t="s">
        <v>237</v>
      </c>
      <c r="AG823" s="520">
        <v>1</v>
      </c>
      <c r="AH823" s="520">
        <v>11</v>
      </c>
      <c r="AI823" s="520"/>
      <c r="AJ823" s="520">
        <f>VLOOKUP($I823,'Price List, Weapons &amp; Items'!A:E,5,0)</f>
        <v>0</v>
      </c>
      <c r="AK823" s="520">
        <f t="shared" si="176"/>
        <v>0</v>
      </c>
      <c r="AL823" s="520">
        <f t="shared" si="177"/>
        <v>0</v>
      </c>
      <c r="AM823" s="520">
        <f t="shared" si="178"/>
        <v>0</v>
      </c>
      <c r="AN823" s="521" t="str">
        <f>VLOOKUP($I823,'Price List, Weapons &amp; Items'!A:K,COLUMN('Price List, Weapons &amp; Items'!$I$1),0)</f>
        <v>.</v>
      </c>
      <c r="AO823" s="521" t="str">
        <f>IF(I823=".",".",VLOOKUP($I823,'Price List, Weapons &amp; Items'!A:I,3,0))</f>
        <v>.</v>
      </c>
      <c r="AP823" s="517" t="str">
        <f t="shared" ca="1" si="186"/>
        <v>.</v>
      </c>
      <c r="AQ823" s="521" t="str">
        <f>VLOOKUP($I823,'Price List, Weapons &amp; Items'!A:K,COLUMN('Price List, Weapons &amp; Items'!$K$1),0)</f>
        <v>no price, 0 count</v>
      </c>
      <c r="AS823" s="521">
        <f t="shared" si="179"/>
        <v>1</v>
      </c>
      <c r="AT823" s="521">
        <f t="shared" si="180"/>
        <v>0</v>
      </c>
      <c r="AU823" s="521">
        <f t="shared" si="181"/>
        <v>1</v>
      </c>
      <c r="AV823" s="521" t="str">
        <f t="shared" si="182"/>
        <v>.</v>
      </c>
    </row>
    <row r="824" spans="1:48" ht="15" customHeight="1">
      <c r="A824" s="41" t="s">
        <v>2328</v>
      </c>
      <c r="B824" s="41" t="s">
        <v>2329</v>
      </c>
      <c r="C824" s="511">
        <v>44631</v>
      </c>
      <c r="D824" s="18" t="s">
        <v>228</v>
      </c>
      <c r="E824" s="18" t="s">
        <v>1631</v>
      </c>
      <c r="F824" s="512" t="s">
        <v>2330</v>
      </c>
      <c r="G824" s="39" t="s">
        <v>2331</v>
      </c>
      <c r="H824" s="513">
        <v>60000000</v>
      </c>
      <c r="I824" s="523" t="s">
        <v>232</v>
      </c>
      <c r="J824" s="276" t="str">
        <f>VLOOKUP($I824,'Price List, Weapons &amp; Items'!A:B,2,0)</f>
        <v>.</v>
      </c>
      <c r="K824" s="276" t="str">
        <f>IF(I824=".",I824,VLOOKUP($I824,'Price List, Weapons &amp; Items'!A:C,3,0))</f>
        <v>.</v>
      </c>
      <c r="L824" s="514">
        <f>VLOOKUP(I824,'Price List, Weapons &amp; Items'!A:D,4,0)</f>
        <v>0</v>
      </c>
      <c r="M824" s="515" t="s">
        <v>232</v>
      </c>
      <c r="N824" s="515" t="s">
        <v>232</v>
      </c>
      <c r="O824" s="516" t="str">
        <f>VLOOKUP($I824,'Price List, Weapons &amp; Items'!A:F,6,0)</f>
        <v>.</v>
      </c>
      <c r="P824" s="513" t="str">
        <f t="shared" si="187"/>
        <v>.</v>
      </c>
      <c r="Q824" s="513" t="str">
        <f t="shared" si="188"/>
        <v>.</v>
      </c>
      <c r="R824" s="513">
        <f t="shared" si="185"/>
        <v>60000000</v>
      </c>
      <c r="S824" s="513">
        <f>IF(AND(AD824=1,R824&lt;&gt;".")=TRUE,R824/VLOOKUP(G824,'Exchange rates'!B:C,2,0),IF(R824=".",".",""))</f>
        <v>60827250.6082725</v>
      </c>
      <c r="T824" s="513" t="str">
        <f>IF(AD824=1,IF(AF824="Value is not given at all",".",IF(AF824="Value is given by the source",S824,IF(AF824="Value is calculated with prices",(IF(SUMIFS(Q:Q,A:A,A824)&gt;0,SUMIFS(Q:Q,A:A,A824),"."))/VLOOKUP("USD",'Exchange rates'!B:C,2,0),"Error with coding"))),"")</f>
        <v>.</v>
      </c>
      <c r="U824" s="39" t="s">
        <v>233</v>
      </c>
      <c r="V824" s="42" t="s">
        <v>2332</v>
      </c>
      <c r="W824" s="42" t="s">
        <v>2333</v>
      </c>
      <c r="X824" s="42" t="s">
        <v>2334</v>
      </c>
      <c r="Y824" s="42" t="s">
        <v>2335</v>
      </c>
      <c r="Z824" s="39">
        <v>0</v>
      </c>
      <c r="AA824" s="518">
        <v>0</v>
      </c>
      <c r="AB824" s="551" t="s">
        <v>2336</v>
      </c>
      <c r="AC824" s="519" t="str">
        <f>""</f>
        <v/>
      </c>
      <c r="AD824" s="520">
        <v>1</v>
      </c>
      <c r="AE824" s="520" t="s">
        <v>236</v>
      </c>
      <c r="AF824" s="520" t="s">
        <v>237</v>
      </c>
      <c r="AG824" s="520">
        <v>1</v>
      </c>
      <c r="AH824" s="520">
        <v>3</v>
      </c>
      <c r="AI824" s="520">
        <v>0</v>
      </c>
      <c r="AJ824" s="520">
        <f>VLOOKUP($I824,'Price List, Weapons &amp; Items'!A:E,5,0)</f>
        <v>0</v>
      </c>
      <c r="AK824" s="520">
        <f t="shared" si="176"/>
        <v>0</v>
      </c>
      <c r="AL824" s="520">
        <f t="shared" si="177"/>
        <v>0</v>
      </c>
      <c r="AM824" s="520">
        <f t="shared" si="178"/>
        <v>0</v>
      </c>
      <c r="AN824" s="521" t="str">
        <f>VLOOKUP($I824,'Price List, Weapons &amp; Items'!A:K,COLUMN('Price List, Weapons &amp; Items'!$I$1),0)</f>
        <v>.</v>
      </c>
      <c r="AO824" s="521" t="str">
        <f>IF(I824=".",".",VLOOKUP($I824,'Price List, Weapons &amp; Items'!A:I,3,0))</f>
        <v>.</v>
      </c>
      <c r="AP824" s="517" t="str">
        <f t="shared" ca="1" si="186"/>
        <v>.</v>
      </c>
      <c r="AQ824" s="521" t="str">
        <f>VLOOKUP($I824,'Price List, Weapons &amp; Items'!A:K,COLUMN('Price List, Weapons &amp; Items'!$K$1),0)</f>
        <v>no price, 0 count</v>
      </c>
      <c r="AS824" s="521">
        <f t="shared" si="179"/>
        <v>1</v>
      </c>
      <c r="AT824" s="521">
        <f t="shared" si="180"/>
        <v>0</v>
      </c>
      <c r="AU824" s="521">
        <f t="shared" si="181"/>
        <v>1</v>
      </c>
      <c r="AV824" s="521" t="str">
        <f t="shared" si="182"/>
        <v>.</v>
      </c>
    </row>
    <row r="825" spans="1:48" ht="15" customHeight="1">
      <c r="A825" s="46" t="s">
        <v>2337</v>
      </c>
      <c r="B825" s="46" t="s">
        <v>2329</v>
      </c>
      <c r="C825" s="550">
        <v>44783</v>
      </c>
      <c r="D825" s="46" t="s">
        <v>228</v>
      </c>
      <c r="E825" s="46" t="s">
        <v>1631</v>
      </c>
      <c r="F825" s="46" t="s">
        <v>2338</v>
      </c>
      <c r="G825" s="39" t="s">
        <v>2331</v>
      </c>
      <c r="H825" s="513">
        <v>40000000</v>
      </c>
      <c r="I825" s="523" t="s">
        <v>2339</v>
      </c>
      <c r="J825" s="276" t="str">
        <f>VLOOKUP($I825,'Price List, Weapons &amp; Items'!A:B,2,0)</f>
        <v>Humanitarian</v>
      </c>
      <c r="K825" s="276" t="str">
        <f>IF(I825=".",I825,VLOOKUP($I825,'Price List, Weapons &amp; Items'!A:C,3,0))</f>
        <v>.</v>
      </c>
      <c r="L825" s="514">
        <f>VLOOKUP(I825,'Price List, Weapons &amp; Items'!A:D,4,0)</f>
        <v>0</v>
      </c>
      <c r="M825" s="515">
        <v>71</v>
      </c>
      <c r="N825" s="515" t="s">
        <v>232</v>
      </c>
      <c r="O825" s="516" t="str">
        <f>VLOOKUP($I825,'Price List, Weapons &amp; Items'!A:F,6,0)</f>
        <v>.</v>
      </c>
      <c r="P825" s="513" t="str">
        <f t="shared" si="187"/>
        <v>No price</v>
      </c>
      <c r="Q825" s="513" t="str">
        <f t="shared" si="188"/>
        <v>.</v>
      </c>
      <c r="R825" s="513">
        <f t="shared" si="185"/>
        <v>40000000</v>
      </c>
      <c r="S825" s="513">
        <f>IF(AND(AD825=1,R825&lt;&gt;".")=TRUE,R825/VLOOKUP(G825,'Exchange rates'!B:C,2,0),IF(R825=".",".",""))</f>
        <v>40551500.405515</v>
      </c>
      <c r="T825" s="513">
        <f>IF(AD825=1,IF(AF825="Value is not given at all",".",IF(AF825="Value is given by the source",S825,IF(AF825="Value is calculated with prices",(IF(SUMIFS(Q:Q,A:A,A825)&gt;0,SUMIFS(Q:Q,A:A,A825),"."))/VLOOKUP("USD",'Exchange rates'!B:C,2,0),"Error with coding"))),"")</f>
        <v>40551500.405515</v>
      </c>
      <c r="U825" s="39" t="s">
        <v>233</v>
      </c>
      <c r="V825" s="826" t="s">
        <v>2336</v>
      </c>
      <c r="W825" s="42" t="s">
        <v>232</v>
      </c>
      <c r="X825" s="42" t="s">
        <v>232</v>
      </c>
      <c r="Y825" s="42" t="s">
        <v>232</v>
      </c>
      <c r="Z825" s="39">
        <v>0</v>
      </c>
      <c r="AA825" s="518">
        <v>1</v>
      </c>
      <c r="AB825" s="551" t="s">
        <v>2336</v>
      </c>
      <c r="AC825" s="519" t="str">
        <f>""</f>
        <v/>
      </c>
      <c r="AD825" s="520">
        <v>1</v>
      </c>
      <c r="AE825" s="520" t="s">
        <v>236</v>
      </c>
      <c r="AF825" s="520" t="s">
        <v>236</v>
      </c>
      <c r="AG825" s="520">
        <v>1</v>
      </c>
      <c r="AH825" s="520">
        <v>8</v>
      </c>
      <c r="AI825" s="520"/>
      <c r="AJ825" s="520">
        <f>VLOOKUP($I825,'Price List, Weapons &amp; Items'!A:E,5,0)</f>
        <v>0</v>
      </c>
      <c r="AK825" s="520">
        <f t="shared" si="176"/>
        <v>0</v>
      </c>
      <c r="AL825" s="520">
        <f t="shared" si="177"/>
        <v>0</v>
      </c>
      <c r="AM825" s="520">
        <f t="shared" si="178"/>
        <v>0</v>
      </c>
      <c r="AN825" s="521" t="str">
        <f>VLOOKUP($I825,'Price List, Weapons &amp; Items'!A:K,COLUMN('Price List, Weapons &amp; Items'!$I$1),0)</f>
        <v>.</v>
      </c>
      <c r="AO825" s="521" t="str">
        <f>IF(I825=".",".",VLOOKUP($I825,'Price List, Weapons &amp; Items'!A:I,3,0))</f>
        <v>.</v>
      </c>
      <c r="AP825" s="517" t="str">
        <f t="shared" ca="1" si="186"/>
        <v>ton of firefighting equipment; ton of medical equipment; ton of medicine; water treatment unit; respirator</v>
      </c>
      <c r="AQ825" s="521">
        <f>VLOOKUP($I825,'Price List, Weapons &amp; Items'!A:K,COLUMN('Price List, Weapons &amp; Items'!$K$1),0)</f>
        <v>0</v>
      </c>
      <c r="AS825" s="521">
        <f t="shared" si="179"/>
        <v>1</v>
      </c>
      <c r="AT825" s="521">
        <f t="shared" si="180"/>
        <v>0</v>
      </c>
      <c r="AU825" s="521">
        <f t="shared" si="181"/>
        <v>1</v>
      </c>
      <c r="AV825" s="521" t="str">
        <f t="shared" si="182"/>
        <v>.</v>
      </c>
    </row>
    <row r="826" spans="1:48" ht="15" customHeight="1">
      <c r="A826" s="46" t="s">
        <v>2337</v>
      </c>
      <c r="B826" s="46" t="s">
        <v>2329</v>
      </c>
      <c r="C826" s="550">
        <v>44783</v>
      </c>
      <c r="D826" s="46" t="s">
        <v>228</v>
      </c>
      <c r="E826" s="46" t="s">
        <v>1631</v>
      </c>
      <c r="F826" s="46" t="s">
        <v>2338</v>
      </c>
      <c r="G826" s="39" t="s">
        <v>2331</v>
      </c>
      <c r="H826" s="513">
        <v>40000000</v>
      </c>
      <c r="I826" s="523" t="s">
        <v>623</v>
      </c>
      <c r="J826" s="276" t="str">
        <f>VLOOKUP($I826,'Price List, Weapons &amp; Items'!A:B,2,0)</f>
        <v>Humanitarian</v>
      </c>
      <c r="K826" s="276" t="str">
        <f>IF(I826=".",I826,VLOOKUP($I826,'Price List, Weapons &amp; Items'!A:C,3,0))</f>
        <v>.</v>
      </c>
      <c r="L826" s="514">
        <f>VLOOKUP(I826,'Price List, Weapons &amp; Items'!A:D,4,0)</f>
        <v>0</v>
      </c>
      <c r="M826" s="515">
        <v>11</v>
      </c>
      <c r="N826" s="515" t="s">
        <v>232</v>
      </c>
      <c r="O826" s="516">
        <f>VLOOKUP($I826,'Price List, Weapons &amp; Items'!A:F,6,0)</f>
        <v>10000</v>
      </c>
      <c r="P826" s="513">
        <f t="shared" si="187"/>
        <v>110000</v>
      </c>
      <c r="Q826" s="513" t="str">
        <f t="shared" si="188"/>
        <v>.</v>
      </c>
      <c r="R826" s="513" t="str">
        <f t="shared" si="185"/>
        <v/>
      </c>
      <c r="S826" s="513" t="str">
        <f>IF(AND(AD826=1,R826&lt;&gt;".")=TRUE,R826/VLOOKUP(G826,'Exchange rates'!B:C,2,0),IF(R826=".",".",""))</f>
        <v/>
      </c>
      <c r="T826" s="513" t="str">
        <f>IF(AD826=1,IF(AF826="Value is not given at all",".",IF(AF826="Value is given by the source",S826,IF(AF826="Value is calculated with prices",(IF(SUMIFS(Q:Q,A:A,A826)&gt;0,SUMIFS(Q:Q,A:A,A826),"."))/VLOOKUP("USD",'Exchange rates'!B:C,2,0),"Error with coding"))),"")</f>
        <v/>
      </c>
      <c r="U826" s="39" t="s">
        <v>233</v>
      </c>
      <c r="V826" s="551" t="s">
        <v>2336</v>
      </c>
      <c r="W826" s="42" t="s">
        <v>232</v>
      </c>
      <c r="X826" s="42" t="s">
        <v>232</v>
      </c>
      <c r="Y826" s="42" t="s">
        <v>232</v>
      </c>
      <c r="Z826" s="39">
        <v>0</v>
      </c>
      <c r="AA826" s="518">
        <v>1</v>
      </c>
      <c r="AB826" s="551" t="s">
        <v>2336</v>
      </c>
      <c r="AC826" s="519" t="str">
        <f>""</f>
        <v/>
      </c>
      <c r="AD826" s="520">
        <v>0</v>
      </c>
      <c r="AE826" s="520" t="s">
        <v>236</v>
      </c>
      <c r="AF826" s="520" t="s">
        <v>236</v>
      </c>
      <c r="AG826" s="520">
        <v>1</v>
      </c>
      <c r="AH826" s="520">
        <v>8</v>
      </c>
      <c r="AI826" s="520"/>
      <c r="AJ826" s="520">
        <f>VLOOKUP($I826,'Price List, Weapons &amp; Items'!A:E,5,0)</f>
        <v>0</v>
      </c>
      <c r="AK826" s="520">
        <f t="shared" si="176"/>
        <v>0</v>
      </c>
      <c r="AL826" s="520">
        <f t="shared" si="177"/>
        <v>0</v>
      </c>
      <c r="AM826" s="520">
        <f t="shared" si="178"/>
        <v>0</v>
      </c>
      <c r="AN826" s="521" t="str">
        <f>VLOOKUP($I826,'Price List, Weapons &amp; Items'!A:K,COLUMN('Price List, Weapons &amp; Items'!$I$1),0)</f>
        <v>Miscellaneous</v>
      </c>
      <c r="AO826" s="521" t="str">
        <f>IF(I826=".",".",VLOOKUP($I826,'Price List, Weapons &amp; Items'!A:I,3,0))</f>
        <v>.</v>
      </c>
      <c r="AP826" s="517" t="str">
        <f t="shared" ca="1" si="186"/>
        <v/>
      </c>
      <c r="AQ826" s="521">
        <f>VLOOKUP($I826,'Price List, Weapons &amp; Items'!A:K,COLUMN('Price List, Weapons &amp; Items'!$K$1),0)</f>
        <v>0</v>
      </c>
      <c r="AS826" s="521">
        <f t="shared" si="179"/>
        <v>1</v>
      </c>
      <c r="AT826" s="521">
        <f t="shared" si="180"/>
        <v>0</v>
      </c>
      <c r="AU826" s="521">
        <f t="shared" si="181"/>
        <v>1</v>
      </c>
      <c r="AV826" s="521" t="str">
        <f t="shared" si="182"/>
        <v>.</v>
      </c>
    </row>
    <row r="827" spans="1:48" ht="15" customHeight="1">
      <c r="A827" s="46" t="s">
        <v>2337</v>
      </c>
      <c r="B827" s="46" t="s">
        <v>2329</v>
      </c>
      <c r="C827" s="550">
        <v>44783</v>
      </c>
      <c r="D827" s="46" t="s">
        <v>228</v>
      </c>
      <c r="E827" s="46" t="s">
        <v>1631</v>
      </c>
      <c r="F827" s="46" t="s">
        <v>2338</v>
      </c>
      <c r="G827" s="39" t="s">
        <v>2331</v>
      </c>
      <c r="H827" s="513">
        <v>40000000</v>
      </c>
      <c r="I827" s="523" t="s">
        <v>2340</v>
      </c>
      <c r="J827" s="276" t="str">
        <f>VLOOKUP($I827,'Price List, Weapons &amp; Items'!A:B,2,0)</f>
        <v>Humanitarian</v>
      </c>
      <c r="K827" s="276" t="str">
        <f>IF(I827=".",I827,VLOOKUP($I827,'Price List, Weapons &amp; Items'!A:C,3,0))</f>
        <v>.</v>
      </c>
      <c r="L827" s="514">
        <f>VLOOKUP(I827,'Price List, Weapons &amp; Items'!A:D,4,0)</f>
        <v>0</v>
      </c>
      <c r="M827" s="515">
        <v>10</v>
      </c>
      <c r="N827" s="515" t="s">
        <v>232</v>
      </c>
      <c r="O827" s="516">
        <f>VLOOKUP($I827,'Price List, Weapons &amp; Items'!A:F,6,0)</f>
        <v>11168</v>
      </c>
      <c r="P827" s="513">
        <f t="shared" si="187"/>
        <v>111680</v>
      </c>
      <c r="Q827" s="513" t="str">
        <f t="shared" si="188"/>
        <v>.</v>
      </c>
      <c r="R827" s="513" t="str">
        <f t="shared" si="185"/>
        <v/>
      </c>
      <c r="S827" s="513" t="str">
        <f>IF(AND(AD827=1,R827&lt;&gt;".")=TRUE,R827/VLOOKUP(G827,'Exchange rates'!B:C,2,0),IF(R827=".",".",""))</f>
        <v/>
      </c>
      <c r="T827" s="513" t="str">
        <f>IF(AD827=1,IF(AF827="Value is not given at all",".",IF(AF827="Value is given by the source",S827,IF(AF827="Value is calculated with prices",(IF(SUMIFS(Q:Q,A:A,A827)&gt;0,SUMIFS(Q:Q,A:A,A827),"."))/VLOOKUP("USD",'Exchange rates'!B:C,2,0),"Error with coding"))),"")</f>
        <v/>
      </c>
      <c r="U827" s="39" t="s">
        <v>233</v>
      </c>
      <c r="V827" s="551" t="s">
        <v>2336</v>
      </c>
      <c r="W827" s="42" t="s">
        <v>232</v>
      </c>
      <c r="X827" s="42" t="s">
        <v>232</v>
      </c>
      <c r="Y827" s="42" t="s">
        <v>232</v>
      </c>
      <c r="Z827" s="39">
        <v>0</v>
      </c>
      <c r="AA827" s="518">
        <v>1</v>
      </c>
      <c r="AB827" s="551" t="s">
        <v>2336</v>
      </c>
      <c r="AC827" s="519" t="str">
        <f>""</f>
        <v/>
      </c>
      <c r="AD827" s="520">
        <v>0</v>
      </c>
      <c r="AE827" s="520" t="s">
        <v>236</v>
      </c>
      <c r="AF827" s="520" t="s">
        <v>236</v>
      </c>
      <c r="AG827" s="520">
        <v>1</v>
      </c>
      <c r="AH827" s="520">
        <v>8</v>
      </c>
      <c r="AI827" s="520"/>
      <c r="AJ827" s="520">
        <f>VLOOKUP($I827,'Price List, Weapons &amp; Items'!A:E,5,0)</f>
        <v>0</v>
      </c>
      <c r="AK827" s="520">
        <f t="shared" si="176"/>
        <v>0</v>
      </c>
      <c r="AL827" s="520">
        <f t="shared" si="177"/>
        <v>0</v>
      </c>
      <c r="AM827" s="520">
        <f t="shared" si="178"/>
        <v>0</v>
      </c>
      <c r="AN827" s="521" t="str">
        <f>VLOOKUP($I827,'Price List, Weapons &amp; Items'!A:K,COLUMN('Price List, Weapons &amp; Items'!$I$1),0)</f>
        <v>Miscellaneous</v>
      </c>
      <c r="AO827" s="521" t="str">
        <f>IF(I827=".",".",VLOOKUP($I827,'Price List, Weapons &amp; Items'!A:I,3,0))</f>
        <v>.</v>
      </c>
      <c r="AP827" s="517" t="str">
        <f t="shared" ca="1" si="186"/>
        <v/>
      </c>
      <c r="AQ827" s="521">
        <f>VLOOKUP($I827,'Price List, Weapons &amp; Items'!A:K,COLUMN('Price List, Weapons &amp; Items'!$K$1),0)</f>
        <v>0</v>
      </c>
      <c r="AS827" s="521">
        <f t="shared" si="179"/>
        <v>1</v>
      </c>
      <c r="AT827" s="521">
        <f t="shared" si="180"/>
        <v>0</v>
      </c>
      <c r="AU827" s="521">
        <f t="shared" si="181"/>
        <v>1</v>
      </c>
      <c r="AV827" s="521" t="str">
        <f t="shared" si="182"/>
        <v>.</v>
      </c>
    </row>
    <row r="828" spans="1:48" ht="15" customHeight="1">
      <c r="A828" s="46" t="s">
        <v>2337</v>
      </c>
      <c r="B828" s="46" t="s">
        <v>2329</v>
      </c>
      <c r="C828" s="550">
        <v>44783</v>
      </c>
      <c r="D828" s="46" t="s">
        <v>228</v>
      </c>
      <c r="E828" s="46" t="s">
        <v>1631</v>
      </c>
      <c r="F828" s="46" t="s">
        <v>2338</v>
      </c>
      <c r="G828" s="39" t="s">
        <v>2331</v>
      </c>
      <c r="H828" s="513">
        <v>40000000</v>
      </c>
      <c r="I828" s="523" t="s">
        <v>2341</v>
      </c>
      <c r="J828" s="276" t="str">
        <f>VLOOKUP($I828,'Price List, Weapons &amp; Items'!A:B,2,0)</f>
        <v>Humanitarian</v>
      </c>
      <c r="K828" s="276" t="str">
        <f>IF(I828=".",I828,VLOOKUP($I828,'Price List, Weapons &amp; Items'!A:C,3,0))</f>
        <v>.</v>
      </c>
      <c r="L828" s="514">
        <f>VLOOKUP(I828,'Price List, Weapons &amp; Items'!A:D,4,0)</f>
        <v>0</v>
      </c>
      <c r="M828" s="515">
        <v>15</v>
      </c>
      <c r="N828" s="515" t="s">
        <v>232</v>
      </c>
      <c r="O828" s="516">
        <f>VLOOKUP($I828,'Price List, Weapons &amp; Items'!A:F,6,0)</f>
        <v>325</v>
      </c>
      <c r="P828" s="513">
        <f t="shared" si="187"/>
        <v>4875</v>
      </c>
      <c r="Q828" s="513" t="str">
        <f t="shared" si="188"/>
        <v>.</v>
      </c>
      <c r="R828" s="513" t="str">
        <f t="shared" si="185"/>
        <v/>
      </c>
      <c r="S828" s="513" t="str">
        <f>IF(AND(AD828=1,R828&lt;&gt;".")=TRUE,R828/VLOOKUP(G828,'Exchange rates'!B:C,2,0),IF(R828=".",".",""))</f>
        <v/>
      </c>
      <c r="T828" s="513" t="str">
        <f>IF(AD828=1,IF(AF828="Value is not given at all",".",IF(AF828="Value is given by the source",S828,IF(AF828="Value is calculated with prices",(IF(SUMIFS(Q:Q,A:A,A828)&gt;0,SUMIFS(Q:Q,A:A,A828),"."))/VLOOKUP("USD",'Exchange rates'!B:C,2,0),"Error with coding"))),"")</f>
        <v/>
      </c>
      <c r="U828" s="39" t="s">
        <v>233</v>
      </c>
      <c r="V828" s="551" t="s">
        <v>2336</v>
      </c>
      <c r="W828" s="42" t="s">
        <v>232</v>
      </c>
      <c r="X828" s="42" t="s">
        <v>232</v>
      </c>
      <c r="Y828" s="42" t="s">
        <v>232</v>
      </c>
      <c r="Z828" s="39">
        <v>0</v>
      </c>
      <c r="AA828" s="518">
        <v>1</v>
      </c>
      <c r="AB828" s="551" t="s">
        <v>2336</v>
      </c>
      <c r="AC828" s="519" t="str">
        <f>""</f>
        <v/>
      </c>
      <c r="AD828" s="520">
        <v>0</v>
      </c>
      <c r="AE828" s="520" t="s">
        <v>236</v>
      </c>
      <c r="AF828" s="520" t="s">
        <v>236</v>
      </c>
      <c r="AG828" s="520">
        <v>1</v>
      </c>
      <c r="AH828" s="520">
        <v>8</v>
      </c>
      <c r="AI828" s="520"/>
      <c r="AJ828" s="520">
        <f>VLOOKUP($I828,'Price List, Weapons &amp; Items'!A:E,5,0)</f>
        <v>0</v>
      </c>
      <c r="AK828" s="520">
        <f t="shared" si="176"/>
        <v>0</v>
      </c>
      <c r="AL828" s="520">
        <f t="shared" si="177"/>
        <v>0</v>
      </c>
      <c r="AM828" s="520">
        <f t="shared" si="178"/>
        <v>0</v>
      </c>
      <c r="AN828" s="521" t="str">
        <f>VLOOKUP($I828,'Price List, Weapons &amp; Items'!A:K,COLUMN('Price List, Weapons &amp; Items'!$I$1),0)</f>
        <v>Online marketplace and stores</v>
      </c>
      <c r="AO828" s="521" t="str">
        <f>IF(I828=".",".",VLOOKUP($I828,'Price List, Weapons &amp; Items'!A:I,3,0))</f>
        <v>.</v>
      </c>
      <c r="AP828" s="517" t="str">
        <f t="shared" ca="1" si="186"/>
        <v/>
      </c>
      <c r="AQ828" s="521">
        <f>VLOOKUP($I828,'Price List, Weapons &amp; Items'!A:K,COLUMN('Price List, Weapons &amp; Items'!$K$1),0)</f>
        <v>0</v>
      </c>
      <c r="AS828" s="521">
        <f t="shared" si="179"/>
        <v>1</v>
      </c>
      <c r="AT828" s="521">
        <f t="shared" si="180"/>
        <v>0</v>
      </c>
      <c r="AU828" s="521">
        <f t="shared" si="181"/>
        <v>1</v>
      </c>
      <c r="AV828" s="521" t="str">
        <f t="shared" si="182"/>
        <v>.</v>
      </c>
    </row>
    <row r="829" spans="1:48" ht="15" customHeight="1">
      <c r="A829" s="46" t="s">
        <v>2337</v>
      </c>
      <c r="B829" s="46" t="s">
        <v>2329</v>
      </c>
      <c r="C829" s="550">
        <v>44783</v>
      </c>
      <c r="D829" s="46" t="s">
        <v>228</v>
      </c>
      <c r="E829" s="46" t="s">
        <v>1631</v>
      </c>
      <c r="F829" s="46" t="s">
        <v>2338</v>
      </c>
      <c r="G829" s="39" t="s">
        <v>2331</v>
      </c>
      <c r="H829" s="513">
        <v>40000000</v>
      </c>
      <c r="I829" s="523" t="s">
        <v>2342</v>
      </c>
      <c r="J829" s="276" t="str">
        <f>VLOOKUP($I829,'Price List, Weapons &amp; Items'!A:B,2,0)</f>
        <v>Humanitarian</v>
      </c>
      <c r="K829" s="276" t="str">
        <f>IF(I829=".",I829,VLOOKUP($I829,'Price List, Weapons &amp; Items'!A:C,3,0))</f>
        <v>.</v>
      </c>
      <c r="L829" s="514">
        <f>VLOOKUP(I829,'Price List, Weapons &amp; Items'!A:D,4,0)</f>
        <v>0</v>
      </c>
      <c r="M829" s="515">
        <v>11</v>
      </c>
      <c r="N829" s="515" t="s">
        <v>232</v>
      </c>
      <c r="O829" s="516" t="str">
        <f>VLOOKUP($I829,'Price List, Weapons &amp; Items'!A:F,6,0)</f>
        <v>.</v>
      </c>
      <c r="P829" s="513" t="str">
        <f t="shared" si="187"/>
        <v>No price</v>
      </c>
      <c r="Q829" s="513" t="str">
        <f t="shared" si="188"/>
        <v>.</v>
      </c>
      <c r="R829" s="513" t="str">
        <f t="shared" si="185"/>
        <v/>
      </c>
      <c r="S829" s="513" t="str">
        <f>IF(AND(AD829=1,R829&lt;&gt;".")=TRUE,R829/VLOOKUP(G829,'Exchange rates'!B:C,2,0),IF(R829=".",".",""))</f>
        <v/>
      </c>
      <c r="T829" s="513" t="str">
        <f>IF(AD829=1,IF(AF829="Value is not given at all",".",IF(AF829="Value is given by the source",S829,IF(AF829="Value is calculated with prices",(IF(SUMIFS(Q:Q,A:A,A829)&gt;0,SUMIFS(Q:Q,A:A,A829),"."))/VLOOKUP("USD",'Exchange rates'!B:C,2,0),"Error with coding"))),"")</f>
        <v/>
      </c>
      <c r="U829" s="39" t="s">
        <v>233</v>
      </c>
      <c r="V829" s="551" t="s">
        <v>2336</v>
      </c>
      <c r="W829" s="42" t="s">
        <v>232</v>
      </c>
      <c r="X829" s="42" t="s">
        <v>232</v>
      </c>
      <c r="Y829" s="42" t="s">
        <v>232</v>
      </c>
      <c r="Z829" s="39">
        <v>0</v>
      </c>
      <c r="AA829" s="518">
        <v>1</v>
      </c>
      <c r="AB829" s="551" t="s">
        <v>2336</v>
      </c>
      <c r="AC829" s="519" t="str">
        <f>""</f>
        <v/>
      </c>
      <c r="AD829" s="520">
        <v>0</v>
      </c>
      <c r="AE829" s="520" t="s">
        <v>236</v>
      </c>
      <c r="AF829" s="520" t="s">
        <v>236</v>
      </c>
      <c r="AG829" s="520">
        <v>1</v>
      </c>
      <c r="AH829" s="520">
        <v>8</v>
      </c>
      <c r="AI829" s="520"/>
      <c r="AJ829" s="520">
        <f>VLOOKUP($I829,'Price List, Weapons &amp; Items'!A:E,5,0)</f>
        <v>0</v>
      </c>
      <c r="AK829" s="520">
        <f t="shared" si="176"/>
        <v>0</v>
      </c>
      <c r="AL829" s="520">
        <f t="shared" si="177"/>
        <v>0</v>
      </c>
      <c r="AM829" s="520">
        <f t="shared" si="178"/>
        <v>0</v>
      </c>
      <c r="AN829" s="521" t="str">
        <f>VLOOKUP($I829,'Price List, Weapons &amp; Items'!A:K,COLUMN('Price List, Weapons &amp; Items'!$I$1),0)</f>
        <v>.</v>
      </c>
      <c r="AO829" s="521" t="str">
        <f>IF(I829=".",".",VLOOKUP($I829,'Price List, Weapons &amp; Items'!A:I,3,0))</f>
        <v>.</v>
      </c>
      <c r="AP829" s="517" t="str">
        <f t="shared" ca="1" si="186"/>
        <v/>
      </c>
      <c r="AQ829" s="521">
        <f>VLOOKUP($I829,'Price List, Weapons &amp; Items'!A:K,COLUMN('Price List, Weapons &amp; Items'!$K$1),0)</f>
        <v>0</v>
      </c>
      <c r="AS829" s="521">
        <f t="shared" si="179"/>
        <v>1</v>
      </c>
      <c r="AT829" s="521">
        <f t="shared" si="180"/>
        <v>0</v>
      </c>
      <c r="AU829" s="521">
        <f t="shared" si="181"/>
        <v>1</v>
      </c>
      <c r="AV829" s="521" t="str">
        <f t="shared" si="182"/>
        <v>.</v>
      </c>
    </row>
    <row r="830" spans="1:48" ht="15" customHeight="1">
      <c r="A830" s="46" t="s">
        <v>2343</v>
      </c>
      <c r="B830" s="46" t="s">
        <v>2329</v>
      </c>
      <c r="C830" s="550">
        <v>44867</v>
      </c>
      <c r="D830" s="46" t="s">
        <v>228</v>
      </c>
      <c r="E830" s="46" t="s">
        <v>1631</v>
      </c>
      <c r="F830" s="46" t="s">
        <v>2344</v>
      </c>
      <c r="G830" s="39" t="s">
        <v>2331</v>
      </c>
      <c r="H830" s="513">
        <v>100000000</v>
      </c>
      <c r="I830" s="523" t="s">
        <v>232</v>
      </c>
      <c r="J830" s="276" t="str">
        <f>VLOOKUP($I830,'Price List, Weapons &amp; Items'!A:B,2,0)</f>
        <v>.</v>
      </c>
      <c r="K830" s="276" t="str">
        <f>IF(I830=".",I830,VLOOKUP($I830,'Price List, Weapons &amp; Items'!A:C,3,0))</f>
        <v>.</v>
      </c>
      <c r="L830" s="514">
        <f>VLOOKUP(I830,'Price List, Weapons &amp; Items'!A:D,4,0)</f>
        <v>0</v>
      </c>
      <c r="M830" s="515" t="s">
        <v>232</v>
      </c>
      <c r="N830" s="515" t="s">
        <v>232</v>
      </c>
      <c r="O830" s="516" t="str">
        <f>VLOOKUP($I830,'Price List, Weapons &amp; Items'!A:F,6,0)</f>
        <v>.</v>
      </c>
      <c r="P830" s="513" t="str">
        <f t="shared" si="187"/>
        <v>.</v>
      </c>
      <c r="Q830" s="513" t="str">
        <f t="shared" si="188"/>
        <v>.</v>
      </c>
      <c r="R830" s="513">
        <f t="shared" si="185"/>
        <v>100000000</v>
      </c>
      <c r="S830" s="513">
        <f>IF(AND(AD830=1,R830&lt;&gt;".")=TRUE,R830/VLOOKUP(G830,'Exchange rates'!B:C,2,0),IF(R830=".",".",""))</f>
        <v>101378751.01378751</v>
      </c>
      <c r="T830" s="513" t="str">
        <f>IF(AD830=1,IF(AF830="Value is not given at all",".",IF(AF830="Value is given by the source",S830,IF(AF830="Value is calculated with prices",(IF(SUMIFS(Q:Q,A:A,A830)&gt;0,SUMIFS(Q:Q,A:A,A830),"."))/VLOOKUP("USD",'Exchange rates'!B:C,2,0),"Error with coding"))),"")</f>
        <v>.</v>
      </c>
      <c r="U830" s="39" t="s">
        <v>233</v>
      </c>
      <c r="V830" s="827" t="s">
        <v>2345</v>
      </c>
      <c r="W830" s="42" t="s">
        <v>2346</v>
      </c>
      <c r="X830" s="42" t="s">
        <v>232</v>
      </c>
      <c r="Y830" s="825" t="s">
        <v>232</v>
      </c>
      <c r="Z830" s="39">
        <v>0</v>
      </c>
      <c r="AA830" s="518">
        <v>1</v>
      </c>
      <c r="AB830" s="395" t="s">
        <v>232</v>
      </c>
      <c r="AC830" s="519" t="str">
        <f>""</f>
        <v/>
      </c>
      <c r="AD830" s="520">
        <v>1</v>
      </c>
      <c r="AE830" s="520" t="s">
        <v>236</v>
      </c>
      <c r="AF830" s="520" t="s">
        <v>237</v>
      </c>
      <c r="AG830" s="520">
        <v>1</v>
      </c>
      <c r="AH830" s="520">
        <v>11</v>
      </c>
      <c r="AI830" s="520">
        <v>0</v>
      </c>
      <c r="AJ830" s="520">
        <f>VLOOKUP($I830,'Price List, Weapons &amp; Items'!A:E,5,0)</f>
        <v>0</v>
      </c>
      <c r="AK830" s="520">
        <f t="shared" si="176"/>
        <v>0</v>
      </c>
      <c r="AL830" s="520">
        <f t="shared" si="177"/>
        <v>0</v>
      </c>
      <c r="AM830" s="520">
        <f t="shared" si="178"/>
        <v>0</v>
      </c>
      <c r="AN830" s="521" t="str">
        <f>VLOOKUP($I830,'Price List, Weapons &amp; Items'!A:K,COLUMN('Price List, Weapons &amp; Items'!$I$1),0)</f>
        <v>.</v>
      </c>
      <c r="AO830" s="521" t="str">
        <f>IF(I830=".",".",VLOOKUP($I830,'Price List, Weapons &amp; Items'!A:I,3,0))</f>
        <v>.</v>
      </c>
      <c r="AP830" s="517" t="str">
        <f t="shared" ca="1" si="186"/>
        <v>.</v>
      </c>
      <c r="AQ830" s="521" t="str">
        <f>VLOOKUP($I830,'Price List, Weapons &amp; Items'!A:K,COLUMN('Price List, Weapons &amp; Items'!$K$1),0)</f>
        <v>no price, 0 count</v>
      </c>
      <c r="AS830" s="521">
        <f t="shared" si="179"/>
        <v>1</v>
      </c>
      <c r="AT830" s="521">
        <f t="shared" si="180"/>
        <v>0</v>
      </c>
      <c r="AU830" s="521">
        <f t="shared" si="181"/>
        <v>1</v>
      </c>
      <c r="AV830" s="521" t="str">
        <f t="shared" si="182"/>
        <v>.</v>
      </c>
    </row>
    <row r="831" spans="1:48" ht="15" customHeight="1">
      <c r="A831" s="41" t="s">
        <v>2347</v>
      </c>
      <c r="B831" s="41" t="s">
        <v>2348</v>
      </c>
      <c r="C831" s="511">
        <v>44595</v>
      </c>
      <c r="D831" s="18" t="s">
        <v>252</v>
      </c>
      <c r="E831" s="18" t="s">
        <v>307</v>
      </c>
      <c r="F831" s="512" t="s">
        <v>2349</v>
      </c>
      <c r="G831" s="39" t="s">
        <v>314</v>
      </c>
      <c r="H831" s="513" t="s">
        <v>309</v>
      </c>
      <c r="I831" s="41" t="s">
        <v>2350</v>
      </c>
      <c r="J831" s="276" t="str">
        <f>VLOOKUP($I831,'Price List, Weapons &amp; Items'!A:B,2,0)</f>
        <v>Aviation and drones</v>
      </c>
      <c r="K831" s="276" t="str">
        <f>IF(I831=".",I831,VLOOKUP($I831,'Price List, Weapons &amp; Items'!A:C,3,0))</f>
        <v>Combat drones</v>
      </c>
      <c r="L831" s="514">
        <f>VLOOKUP(I831,'Price List, Weapons &amp; Items'!A:D,4,0)</f>
        <v>0</v>
      </c>
      <c r="M831" s="515">
        <v>5</v>
      </c>
      <c r="N831" s="515" t="s">
        <v>264</v>
      </c>
      <c r="O831" s="516">
        <f>VLOOKUP($I831,'Price List, Weapons &amp; Items'!A:F,6,0)</f>
        <v>9530000</v>
      </c>
      <c r="P831" s="513">
        <f t="shared" si="187"/>
        <v>47650000</v>
      </c>
      <c r="Q831" s="513" t="str">
        <f t="shared" si="188"/>
        <v>.</v>
      </c>
      <c r="R831" s="513">
        <f t="shared" si="185"/>
        <v>47650000</v>
      </c>
      <c r="S831" s="513">
        <f>IF(AND(AD831=1,R831&lt;&gt;".")=TRUE,R831/VLOOKUP(G831,'Exchange rates'!B:C,2,0),IF(R831=".",".",""))</f>
        <v>47483806.676631786</v>
      </c>
      <c r="T831" s="513" t="str">
        <f>IF(AD831=1,IF(AF831="Value is not given at all",".",IF(AF831="Value is given by the source",S831,IF(AF831="Value is calculated with prices",(IF(SUMIFS(Q:Q,A:A,A831)&gt;0,SUMIFS(Q:Q,A:A,A831),"."))/VLOOKUP("USD",'Exchange rates'!B:C,2,0),"Error with coding"))),"")</f>
        <v>.</v>
      </c>
      <c r="U831" s="39" t="s">
        <v>372</v>
      </c>
      <c r="V831" s="42" t="s">
        <v>2351</v>
      </c>
      <c r="W831" s="517" t="s">
        <v>232</v>
      </c>
      <c r="X831" s="517" t="s">
        <v>232</v>
      </c>
      <c r="Y831" s="517" t="s">
        <v>232</v>
      </c>
      <c r="Z831" s="39">
        <v>0</v>
      </c>
      <c r="AA831" s="39">
        <v>0</v>
      </c>
      <c r="AB831" s="394" t="s">
        <v>2352</v>
      </c>
      <c r="AC831" s="519" t="str">
        <f>""</f>
        <v/>
      </c>
      <c r="AD831" s="520">
        <v>1</v>
      </c>
      <c r="AE831" s="520" t="s">
        <v>300</v>
      </c>
      <c r="AF831" s="520" t="s">
        <v>237</v>
      </c>
      <c r="AG831" s="520">
        <v>1</v>
      </c>
      <c r="AH831" s="520">
        <v>2</v>
      </c>
      <c r="AI831" s="520">
        <v>1</v>
      </c>
      <c r="AJ831" s="520">
        <f>VLOOKUP($I831,'Price List, Weapons &amp; Items'!A:E,5,0)</f>
        <v>0</v>
      </c>
      <c r="AK831" s="520">
        <f t="shared" si="176"/>
        <v>0</v>
      </c>
      <c r="AL831" s="520">
        <f t="shared" si="177"/>
        <v>0</v>
      </c>
      <c r="AM831" s="520">
        <f t="shared" si="178"/>
        <v>0</v>
      </c>
      <c r="AN831" s="521" t="str">
        <f>VLOOKUP($I831,'Price List, Weapons &amp; Items'!A:K,COLUMN('Price List, Weapons &amp; Items'!$I$1),0)</f>
        <v>Contracts</v>
      </c>
      <c r="AO831" s="521" t="str">
        <f>IF(I831=".",".",VLOOKUP($I831,'Price List, Weapons &amp; Items'!A:I,3,0))</f>
        <v>Combat drones</v>
      </c>
      <c r="AP831" s="517" t="str">
        <f t="shared" ca="1" si="186"/>
        <v>Bayraktar TB2 drone</v>
      </c>
      <c r="AQ831" s="521">
        <f>VLOOKUP($I831,'Price List, Weapons &amp; Items'!A:K,COLUMN('Price List, Weapons &amp; Items'!$K$1),0)</f>
        <v>2</v>
      </c>
      <c r="AS831" s="521">
        <f t="shared" si="179"/>
        <v>0</v>
      </c>
      <c r="AT831" s="521">
        <f t="shared" si="180"/>
        <v>1</v>
      </c>
      <c r="AU831" s="521">
        <f t="shared" si="181"/>
        <v>1</v>
      </c>
      <c r="AV831" s="521" t="str">
        <f t="shared" si="182"/>
        <v>.</v>
      </c>
    </row>
    <row r="832" spans="1:48" ht="15" customHeight="1">
      <c r="A832" s="41" t="s">
        <v>2353</v>
      </c>
      <c r="B832" s="41" t="s">
        <v>2348</v>
      </c>
      <c r="C832" s="511">
        <v>44795</v>
      </c>
      <c r="D832" s="18" t="s">
        <v>252</v>
      </c>
      <c r="E832" s="46" t="s">
        <v>253</v>
      </c>
      <c r="F832" s="46" t="s">
        <v>2354</v>
      </c>
      <c r="G832" s="39" t="s">
        <v>314</v>
      </c>
      <c r="H832" s="513" t="s">
        <v>309</v>
      </c>
      <c r="I832" s="46" t="s">
        <v>2355</v>
      </c>
      <c r="J832" s="276" t="str">
        <f>VLOOKUP($I832,'Price List, Weapons &amp; Items'!A:B,2,0)</f>
        <v>Heavy weapon</v>
      </c>
      <c r="K832" s="276" t="str">
        <f>IF(I832=".",I832,VLOOKUP($I832,'Price List, Weapons &amp; Items'!A:C,3,0))</f>
        <v>Armoured Utility Vehicle (AUV)</v>
      </c>
      <c r="L832" s="514">
        <f>VLOOKUP(I832,'Price List, Weapons &amp; Items'!A:D,4,0)</f>
        <v>0</v>
      </c>
      <c r="M832" s="515">
        <v>50</v>
      </c>
      <c r="N832" s="515">
        <v>50</v>
      </c>
      <c r="O832" s="516">
        <f>VLOOKUP($I832,'Price List, Weapons &amp; Items'!A:F,6,0)</f>
        <v>335470</v>
      </c>
      <c r="P832" s="513">
        <f t="shared" si="187"/>
        <v>16773500</v>
      </c>
      <c r="Q832" s="513">
        <f t="shared" si="188"/>
        <v>16773500</v>
      </c>
      <c r="R832" s="513">
        <f t="shared" si="185"/>
        <v>16773500</v>
      </c>
      <c r="S832" s="513">
        <f>IF(AND(AD832=1,R832&lt;&gt;".")=TRUE,R832/VLOOKUP(G832,'Exchange rates'!B:C,2,0),IF(R832=".",".",""))</f>
        <v>16714997.508719482</v>
      </c>
      <c r="T832" s="513">
        <f>IF(AD832=1,IF(AF832="Value is not given at all",".",IF(AF832="Value is given by the source",S832,IF(AF832="Value is calculated with prices",(IF(SUMIFS(Q:Q,A:A,A832)&gt;0,SUMIFS(Q:Q,A:A,A832),"."))/VLOOKUP("USD",'Exchange rates'!B:C,2,0),"Error with coding"))),"")</f>
        <v>16714997.508719482</v>
      </c>
      <c r="U832" s="39" t="s">
        <v>372</v>
      </c>
      <c r="V832" s="826" t="s">
        <v>2356</v>
      </c>
      <c r="W832" s="517" t="s">
        <v>232</v>
      </c>
      <c r="X832" s="517" t="s">
        <v>232</v>
      </c>
      <c r="Y832" s="517" t="s">
        <v>232</v>
      </c>
      <c r="Z832" s="39">
        <v>0</v>
      </c>
      <c r="AA832" s="39">
        <v>0</v>
      </c>
      <c r="AB832" s="826" t="s">
        <v>2356</v>
      </c>
      <c r="AC832" s="519" t="str">
        <f>""</f>
        <v/>
      </c>
      <c r="AD832" s="520">
        <v>1</v>
      </c>
      <c r="AE832" s="520" t="s">
        <v>300</v>
      </c>
      <c r="AF832" s="520" t="s">
        <v>300</v>
      </c>
      <c r="AG832" s="520">
        <v>1</v>
      </c>
      <c r="AH832" s="520">
        <v>8</v>
      </c>
      <c r="AI832" s="520">
        <v>0</v>
      </c>
      <c r="AJ832" s="520">
        <f>VLOOKUP($I832,'Price List, Weapons &amp; Items'!A:E,5,0)</f>
        <v>1</v>
      </c>
      <c r="AK832" s="520">
        <f t="shared" si="176"/>
        <v>0</v>
      </c>
      <c r="AL832" s="520">
        <f t="shared" si="177"/>
        <v>0</v>
      </c>
      <c r="AM832" s="520">
        <f t="shared" si="178"/>
        <v>0</v>
      </c>
      <c r="AN832" s="521" t="str">
        <f>VLOOKUP($I832,'Price List, Weapons &amp; Items'!A:K,COLUMN('Price List, Weapons &amp; Items'!$I$1),0)</f>
        <v>Contract</v>
      </c>
      <c r="AO832" s="521" t="str">
        <f>IF(I832=".",".",VLOOKUP($I832,'Price List, Weapons &amp; Items'!A:I,3,0))</f>
        <v>Armoured Utility Vehicle (AUV)</v>
      </c>
      <c r="AP832" s="517" t="str">
        <f t="shared" ca="1" si="186"/>
        <v>BMC Kirpi</v>
      </c>
      <c r="AQ832" s="521">
        <f>VLOOKUP($I832,'Price List, Weapons &amp; Items'!A:K,COLUMN('Price List, Weapons &amp; Items'!$K$1),0)</f>
        <v>2</v>
      </c>
      <c r="AS832" s="521">
        <f t="shared" si="179"/>
        <v>0</v>
      </c>
      <c r="AT832" s="521">
        <f t="shared" si="180"/>
        <v>1</v>
      </c>
      <c r="AU832" s="521">
        <f t="shared" si="181"/>
        <v>1</v>
      </c>
      <c r="AV832" s="521" t="str">
        <f t="shared" si="182"/>
        <v>.</v>
      </c>
    </row>
    <row r="833" spans="1:48" ht="15" customHeight="1">
      <c r="A833" s="18" t="s">
        <v>2357</v>
      </c>
      <c r="B833" s="18" t="s">
        <v>2348</v>
      </c>
      <c r="C833" s="511">
        <v>44618</v>
      </c>
      <c r="D833" s="18" t="s">
        <v>228</v>
      </c>
      <c r="E833" s="18" t="s">
        <v>239</v>
      </c>
      <c r="F833" s="512" t="s">
        <v>2358</v>
      </c>
      <c r="G833" s="39" t="s">
        <v>314</v>
      </c>
      <c r="H833" s="513" t="s">
        <v>309</v>
      </c>
      <c r="I833" s="41" t="s">
        <v>1050</v>
      </c>
      <c r="J833" s="276" t="str">
        <f>VLOOKUP($I833,'Price List, Weapons &amp; Items'!A:B,2,0)</f>
        <v>Humanitarian</v>
      </c>
      <c r="K833" s="276" t="str">
        <f>IF(I833=".",I833,VLOOKUP($I833,'Price List, Weapons &amp; Items'!A:C,3,0))</f>
        <v>.</v>
      </c>
      <c r="L833" s="514">
        <f>VLOOKUP(I833,'Price List, Weapons &amp; Items'!A:D,4,0)</f>
        <v>0</v>
      </c>
      <c r="M833" s="515">
        <v>1536</v>
      </c>
      <c r="N833" s="515" t="s">
        <v>232</v>
      </c>
      <c r="O833" s="516">
        <f>VLOOKUP($I833,'Price List, Weapons &amp; Items'!A:F,6,0)</f>
        <v>22</v>
      </c>
      <c r="P833" s="513">
        <f t="shared" si="187"/>
        <v>33792</v>
      </c>
      <c r="Q833" s="513" t="str">
        <f t="shared" si="188"/>
        <v>.</v>
      </c>
      <c r="R833" s="513">
        <f t="shared" si="185"/>
        <v>248032</v>
      </c>
      <c r="S833" s="513">
        <f>IF(AND(AD833=1,R833&lt;&gt;".")=TRUE,R833/VLOOKUP(G833,'Exchange rates'!B:C,2,0),IF(R833=".",".",""))</f>
        <v>247166.91579471846</v>
      </c>
      <c r="T833" s="513" t="str">
        <f>IF(AD833=1,IF(AF833="Value is not given at all",".",IF(AF833="Value is given by the source",S833,IF(AF833="Value is calculated with prices",(IF(SUMIFS(Q:Q,A:A,A833)&gt;0,SUMIFS(Q:Q,A:A,A833),"."))/VLOOKUP("USD",'Exchange rates'!B:C,2,0),"Error with coding"))),"")</f>
        <v>.</v>
      </c>
      <c r="U833" s="39" t="s">
        <v>233</v>
      </c>
      <c r="V833" s="376" t="s">
        <v>2359</v>
      </c>
      <c r="W833" s="530" t="s">
        <v>232</v>
      </c>
      <c r="X833" s="530" t="s">
        <v>232</v>
      </c>
      <c r="Y833" s="530" t="s">
        <v>232</v>
      </c>
      <c r="Z833" s="39">
        <v>0</v>
      </c>
      <c r="AA833" s="39">
        <v>0</v>
      </c>
      <c r="AB833" s="38" t="s">
        <v>232</v>
      </c>
      <c r="AC833" s="519" t="str">
        <f>""</f>
        <v/>
      </c>
      <c r="AD833" s="520">
        <v>1</v>
      </c>
      <c r="AE833" s="520" t="s">
        <v>300</v>
      </c>
      <c r="AF833" s="520" t="s">
        <v>237</v>
      </c>
      <c r="AG833" s="520">
        <v>1</v>
      </c>
      <c r="AH833" s="520">
        <v>2</v>
      </c>
      <c r="AI833" s="520">
        <v>0</v>
      </c>
      <c r="AJ833" s="520">
        <f>VLOOKUP($I833,'Price List, Weapons &amp; Items'!A:E,5,0)</f>
        <v>0</v>
      </c>
      <c r="AK833" s="520">
        <f t="shared" si="176"/>
        <v>0</v>
      </c>
      <c r="AL833" s="520">
        <f t="shared" si="177"/>
        <v>0</v>
      </c>
      <c r="AM833" s="520">
        <f t="shared" si="178"/>
        <v>0</v>
      </c>
      <c r="AN833" s="521" t="str">
        <f>VLOOKUP($I833,'Price List, Weapons &amp; Items'!A:K,COLUMN('Price List, Weapons &amp; Items'!$I$1),0)</f>
        <v>Online marketplaces and stores</v>
      </c>
      <c r="AO833" s="521" t="str">
        <f>IF(I833=".",".",VLOOKUP($I833,'Price List, Weapons &amp; Items'!A:I,3,0))</f>
        <v>.</v>
      </c>
      <c r="AP833" s="517" t="str">
        <f t="shared" ca="1" si="186"/>
        <v>food ration H; family tent; blanket; bed; general purpose tent</v>
      </c>
      <c r="AQ833" s="521">
        <f>VLOOKUP($I833,'Price List, Weapons &amp; Items'!A:K,COLUMN('Price List, Weapons &amp; Items'!$K$1),0)</f>
        <v>0</v>
      </c>
      <c r="AS833" s="521">
        <f t="shared" si="179"/>
        <v>1</v>
      </c>
      <c r="AT833" s="521">
        <f t="shared" si="180"/>
        <v>0</v>
      </c>
      <c r="AU833" s="521">
        <f t="shared" si="181"/>
        <v>1</v>
      </c>
      <c r="AV833" s="521" t="str">
        <f t="shared" si="182"/>
        <v>.</v>
      </c>
    </row>
    <row r="834" spans="1:48" ht="15" customHeight="1">
      <c r="A834" s="18" t="s">
        <v>2357</v>
      </c>
      <c r="B834" s="18" t="s">
        <v>2348</v>
      </c>
      <c r="C834" s="511">
        <v>44618</v>
      </c>
      <c r="D834" s="18" t="s">
        <v>228</v>
      </c>
      <c r="E834" s="18" t="s">
        <v>239</v>
      </c>
      <c r="F834" s="512" t="s">
        <v>2358</v>
      </c>
      <c r="G834" s="39" t="s">
        <v>314</v>
      </c>
      <c r="H834" s="513" t="s">
        <v>309</v>
      </c>
      <c r="I834" s="41" t="s">
        <v>1014</v>
      </c>
      <c r="J834" s="276" t="str">
        <f>VLOOKUP($I834,'Price List, Weapons &amp; Items'!A:B,2,0)</f>
        <v>Humanitarian</v>
      </c>
      <c r="K834" s="276" t="str">
        <f>IF(I834=".",I834,VLOOKUP($I834,'Price List, Weapons &amp; Items'!A:C,3,0))</f>
        <v>.</v>
      </c>
      <c r="L834" s="514">
        <f>VLOOKUP(I834,'Price List, Weapons &amp; Items'!A:D,4,0)</f>
        <v>0</v>
      </c>
      <c r="M834" s="515">
        <v>240</v>
      </c>
      <c r="N834" s="515" t="s">
        <v>232</v>
      </c>
      <c r="O834" s="516">
        <f>VLOOKUP($I834,'Price List, Weapons &amp; Items'!A:F,6,0)</f>
        <v>200</v>
      </c>
      <c r="P834" s="513">
        <f t="shared" si="187"/>
        <v>48000</v>
      </c>
      <c r="Q834" s="513" t="str">
        <f t="shared" si="188"/>
        <v>.</v>
      </c>
      <c r="R834" s="513" t="str">
        <f t="shared" si="185"/>
        <v/>
      </c>
      <c r="S834" s="513" t="str">
        <f>IF(AND(AD834=1,R834&lt;&gt;".")=TRUE,R834/VLOOKUP(G834,'Exchange rates'!B:C,2,0),IF(R834=".",".",""))</f>
        <v/>
      </c>
      <c r="T834" s="513" t="str">
        <f>IF(AD834=1,IF(AF834="Value is not given at all",".",IF(AF834="Value is given by the source",S834,IF(AF834="Value is calculated with prices",(IF(SUMIFS(Q:Q,A:A,A834)&gt;0,SUMIFS(Q:Q,A:A,A834),"."))/VLOOKUP("USD",'Exchange rates'!B:C,2,0),"Error with coding"))),"")</f>
        <v/>
      </c>
      <c r="U834" s="39" t="s">
        <v>233</v>
      </c>
      <c r="V834" s="376" t="s">
        <v>2359</v>
      </c>
      <c r="W834" s="530" t="s">
        <v>232</v>
      </c>
      <c r="X834" s="530" t="s">
        <v>232</v>
      </c>
      <c r="Y834" s="530" t="s">
        <v>232</v>
      </c>
      <c r="Z834" s="39">
        <v>0</v>
      </c>
      <c r="AA834" s="39">
        <v>0</v>
      </c>
      <c r="AB834" s="38" t="s">
        <v>232</v>
      </c>
      <c r="AC834" s="519" t="str">
        <f>""</f>
        <v/>
      </c>
      <c r="AD834" s="520">
        <v>0</v>
      </c>
      <c r="AE834" s="520" t="s">
        <v>300</v>
      </c>
      <c r="AF834" s="520" t="s">
        <v>237</v>
      </c>
      <c r="AG834" s="520">
        <v>1</v>
      </c>
      <c r="AH834" s="520">
        <v>2</v>
      </c>
      <c r="AI834" s="520">
        <v>0</v>
      </c>
      <c r="AJ834" s="520">
        <f>VLOOKUP($I834,'Price List, Weapons &amp; Items'!A:E,5,0)</f>
        <v>0</v>
      </c>
      <c r="AK834" s="520">
        <f t="shared" si="176"/>
        <v>0</v>
      </c>
      <c r="AL834" s="520">
        <f t="shared" si="177"/>
        <v>0</v>
      </c>
      <c r="AM834" s="520">
        <f t="shared" si="178"/>
        <v>0</v>
      </c>
      <c r="AN834" s="521" t="str">
        <f>VLOOKUP($I834,'Price List, Weapons &amp; Items'!A:K,COLUMN('Price List, Weapons &amp; Items'!$I$1),0)</f>
        <v>Media reports (incl. social media)</v>
      </c>
      <c r="AO834" s="521" t="str">
        <f>IF(I834=".",".",VLOOKUP($I834,'Price List, Weapons &amp; Items'!A:I,3,0))</f>
        <v>.</v>
      </c>
      <c r="AP834" s="517" t="str">
        <f t="shared" ca="1" si="186"/>
        <v/>
      </c>
      <c r="AQ834" s="521">
        <f>VLOOKUP($I834,'Price List, Weapons &amp; Items'!A:K,COLUMN('Price List, Weapons &amp; Items'!$K$1),0)</f>
        <v>0</v>
      </c>
      <c r="AS834" s="521">
        <f t="shared" si="179"/>
        <v>1</v>
      </c>
      <c r="AT834" s="521">
        <f t="shared" si="180"/>
        <v>0</v>
      </c>
      <c r="AU834" s="521">
        <f t="shared" si="181"/>
        <v>1</v>
      </c>
      <c r="AV834" s="521" t="str">
        <f t="shared" si="182"/>
        <v>.</v>
      </c>
    </row>
    <row r="835" spans="1:48" ht="15" customHeight="1">
      <c r="A835" s="18" t="s">
        <v>2357</v>
      </c>
      <c r="B835" s="18" t="s">
        <v>2348</v>
      </c>
      <c r="C835" s="511">
        <v>44618</v>
      </c>
      <c r="D835" s="18" t="s">
        <v>228</v>
      </c>
      <c r="E835" s="18" t="s">
        <v>239</v>
      </c>
      <c r="F835" s="512" t="s">
        <v>2358</v>
      </c>
      <c r="G835" s="39" t="s">
        <v>314</v>
      </c>
      <c r="H835" s="513" t="s">
        <v>309</v>
      </c>
      <c r="I835" s="41" t="s">
        <v>1018</v>
      </c>
      <c r="J835" s="276" t="str">
        <f>VLOOKUP($I835,'Price List, Weapons &amp; Items'!A:B,2,0)</f>
        <v>Humanitarian</v>
      </c>
      <c r="K835" s="276" t="str">
        <f>IF(I835=".",I835,VLOOKUP($I835,'Price List, Weapons &amp; Items'!A:C,3,0))</f>
        <v>.</v>
      </c>
      <c r="L835" s="514">
        <f>VLOOKUP(I835,'Price List, Weapons &amp; Items'!A:D,4,0)</f>
        <v>0</v>
      </c>
      <c r="M835" s="515">
        <v>1680</v>
      </c>
      <c r="N835" s="515" t="s">
        <v>232</v>
      </c>
      <c r="O835" s="516">
        <f>VLOOKUP($I835,'Price List, Weapons &amp; Items'!A:F,6,0)</f>
        <v>43</v>
      </c>
      <c r="P835" s="513">
        <f t="shared" si="187"/>
        <v>72240</v>
      </c>
      <c r="Q835" s="513" t="str">
        <f t="shared" si="188"/>
        <v>.</v>
      </c>
      <c r="R835" s="513" t="str">
        <f t="shared" si="185"/>
        <v/>
      </c>
      <c r="S835" s="513" t="str">
        <f>IF(AND(AD835=1,R835&lt;&gt;".")=TRUE,R835/VLOOKUP(G835,'Exchange rates'!B:C,2,0),IF(R835=".",".",""))</f>
        <v/>
      </c>
      <c r="T835" s="513" t="str">
        <f>IF(AD835=1,IF(AF835="Value is not given at all",".",IF(AF835="Value is given by the source",S835,IF(AF835="Value is calculated with prices",(IF(SUMIFS(Q:Q,A:A,A835)&gt;0,SUMIFS(Q:Q,A:A,A835),"."))/VLOOKUP("USD",'Exchange rates'!B:C,2,0),"Error with coding"))),"")</f>
        <v/>
      </c>
      <c r="U835" s="39" t="s">
        <v>233</v>
      </c>
      <c r="V835" s="376" t="s">
        <v>2359</v>
      </c>
      <c r="W835" s="530" t="s">
        <v>232</v>
      </c>
      <c r="X835" s="530" t="s">
        <v>232</v>
      </c>
      <c r="Y835" s="530" t="s">
        <v>232</v>
      </c>
      <c r="Z835" s="39">
        <v>0</v>
      </c>
      <c r="AA835" s="39">
        <v>0</v>
      </c>
      <c r="AB835" s="38" t="s">
        <v>232</v>
      </c>
      <c r="AC835" s="519" t="str">
        <f>""</f>
        <v/>
      </c>
      <c r="AD835" s="520">
        <v>0</v>
      </c>
      <c r="AE835" s="520" t="s">
        <v>300</v>
      </c>
      <c r="AF835" s="520" t="s">
        <v>237</v>
      </c>
      <c r="AG835" s="520">
        <v>1</v>
      </c>
      <c r="AH835" s="520">
        <v>2</v>
      </c>
      <c r="AI835" s="520">
        <v>0</v>
      </c>
      <c r="AJ835" s="520">
        <f>VLOOKUP($I835,'Price List, Weapons &amp; Items'!A:E,5,0)</f>
        <v>0</v>
      </c>
      <c r="AK835" s="520">
        <f t="shared" si="176"/>
        <v>0</v>
      </c>
      <c r="AL835" s="520">
        <f t="shared" si="177"/>
        <v>0</v>
      </c>
      <c r="AM835" s="520">
        <f t="shared" si="178"/>
        <v>0</v>
      </c>
      <c r="AN835" s="521" t="str">
        <f>VLOOKUP($I835,'Price List, Weapons &amp; Items'!A:K,COLUMN('Price List, Weapons &amp; Items'!$I$1),0)</f>
        <v>Media reports (incl. social media)</v>
      </c>
      <c r="AO835" s="521" t="str">
        <f>IF(I835=".",".",VLOOKUP($I835,'Price List, Weapons &amp; Items'!A:I,3,0))</f>
        <v>.</v>
      </c>
      <c r="AP835" s="517" t="str">
        <f t="shared" ca="1" si="186"/>
        <v/>
      </c>
      <c r="AQ835" s="521">
        <f>VLOOKUP($I835,'Price List, Weapons &amp; Items'!A:K,COLUMN('Price List, Weapons &amp; Items'!$K$1),0)</f>
        <v>0</v>
      </c>
      <c r="AS835" s="521">
        <f t="shared" si="179"/>
        <v>1</v>
      </c>
      <c r="AT835" s="521">
        <f t="shared" si="180"/>
        <v>0</v>
      </c>
      <c r="AU835" s="521">
        <f t="shared" si="181"/>
        <v>1</v>
      </c>
      <c r="AV835" s="521" t="str">
        <f t="shared" si="182"/>
        <v>.</v>
      </c>
    </row>
    <row r="836" spans="1:48" ht="15" customHeight="1">
      <c r="A836" s="18" t="s">
        <v>2357</v>
      </c>
      <c r="B836" s="18" t="s">
        <v>2348</v>
      </c>
      <c r="C836" s="511">
        <v>44618</v>
      </c>
      <c r="D836" s="18" t="s">
        <v>228</v>
      </c>
      <c r="E836" s="18" t="s">
        <v>239</v>
      </c>
      <c r="F836" s="512" t="s">
        <v>2358</v>
      </c>
      <c r="G836" s="39" t="s">
        <v>314</v>
      </c>
      <c r="H836" s="513" t="s">
        <v>309</v>
      </c>
      <c r="I836" s="41" t="s">
        <v>1420</v>
      </c>
      <c r="J836" s="276" t="str">
        <f>VLOOKUP($I836,'Price List, Weapons &amp; Items'!A:B,2,0)</f>
        <v>Humanitarian</v>
      </c>
      <c r="K836" s="276" t="str">
        <f>IF(I836=".",I836,VLOOKUP($I836,'Price List, Weapons &amp; Items'!A:C,3,0))</f>
        <v>.</v>
      </c>
      <c r="L836" s="514">
        <f>VLOOKUP(I836,'Price List, Weapons &amp; Items'!A:D,4,0)</f>
        <v>0</v>
      </c>
      <c r="M836" s="515">
        <v>200</v>
      </c>
      <c r="N836" s="515" t="s">
        <v>232</v>
      </c>
      <c r="O836" s="516">
        <f>VLOOKUP($I836,'Price List, Weapons &amp; Items'!A:F,6,0)</f>
        <v>200</v>
      </c>
      <c r="P836" s="513">
        <f t="shared" si="187"/>
        <v>40000</v>
      </c>
      <c r="Q836" s="513" t="str">
        <f t="shared" si="188"/>
        <v>.</v>
      </c>
      <c r="R836" s="513" t="str">
        <f t="shared" si="185"/>
        <v/>
      </c>
      <c r="S836" s="513" t="str">
        <f>IF(AND(AD836=1,R836&lt;&gt;".")=TRUE,R836/VLOOKUP(G836,'Exchange rates'!B:C,2,0),IF(R836=".",".",""))</f>
        <v/>
      </c>
      <c r="T836" s="513" t="str">
        <f>IF(AD836=1,IF(AF836="Value is not given at all",".",IF(AF836="Value is given by the source",S836,IF(AF836="Value is calculated with prices",(IF(SUMIFS(Q:Q,A:A,A836)&gt;0,SUMIFS(Q:Q,A:A,A836),"."))/VLOOKUP("USD",'Exchange rates'!B:C,2,0),"Error with coding"))),"")</f>
        <v/>
      </c>
      <c r="U836" s="39" t="s">
        <v>233</v>
      </c>
      <c r="V836" s="376" t="s">
        <v>2359</v>
      </c>
      <c r="W836" s="530" t="s">
        <v>232</v>
      </c>
      <c r="X836" s="530" t="s">
        <v>232</v>
      </c>
      <c r="Y836" s="530" t="s">
        <v>232</v>
      </c>
      <c r="Z836" s="39">
        <v>0</v>
      </c>
      <c r="AA836" s="39">
        <v>0</v>
      </c>
      <c r="AB836" s="38" t="s">
        <v>232</v>
      </c>
      <c r="AC836" s="519" t="str">
        <f>""</f>
        <v/>
      </c>
      <c r="AD836" s="520">
        <v>0</v>
      </c>
      <c r="AE836" s="520" t="s">
        <v>300</v>
      </c>
      <c r="AF836" s="520" t="s">
        <v>237</v>
      </c>
      <c r="AG836" s="520">
        <v>1</v>
      </c>
      <c r="AH836" s="520">
        <v>2</v>
      </c>
      <c r="AI836" s="520">
        <v>0</v>
      </c>
      <c r="AJ836" s="520">
        <f>VLOOKUP($I836,'Price List, Weapons &amp; Items'!A:E,5,0)</f>
        <v>0</v>
      </c>
      <c r="AK836" s="520">
        <f t="shared" si="176"/>
        <v>0</v>
      </c>
      <c r="AL836" s="520">
        <f t="shared" si="177"/>
        <v>0</v>
      </c>
      <c r="AM836" s="520">
        <f t="shared" si="178"/>
        <v>0</v>
      </c>
      <c r="AN836" s="521" t="str">
        <f>VLOOKUP($I836,'Price List, Weapons &amp; Items'!A:K,COLUMN('Price List, Weapons &amp; Items'!$I$1),0)</f>
        <v>Online marketplaces and stores</v>
      </c>
      <c r="AO836" s="521" t="str">
        <f>IF(I836=".",".",VLOOKUP($I836,'Price List, Weapons &amp; Items'!A:I,3,0))</f>
        <v>.</v>
      </c>
      <c r="AP836" s="517" t="str">
        <f t="shared" ca="1" si="186"/>
        <v/>
      </c>
      <c r="AQ836" s="521">
        <f>VLOOKUP($I836,'Price List, Weapons &amp; Items'!A:K,COLUMN('Price List, Weapons &amp; Items'!$K$1),0)</f>
        <v>0</v>
      </c>
      <c r="AS836" s="521">
        <f t="shared" si="179"/>
        <v>1</v>
      </c>
      <c r="AT836" s="521">
        <f t="shared" si="180"/>
        <v>0</v>
      </c>
      <c r="AU836" s="521">
        <f t="shared" si="181"/>
        <v>1</v>
      </c>
      <c r="AV836" s="521" t="str">
        <f t="shared" si="182"/>
        <v>.</v>
      </c>
    </row>
    <row r="837" spans="1:48" ht="15" customHeight="1">
      <c r="A837" s="18" t="s">
        <v>2357</v>
      </c>
      <c r="B837" s="18" t="s">
        <v>2348</v>
      </c>
      <c r="C837" s="511">
        <v>44618</v>
      </c>
      <c r="D837" s="18" t="s">
        <v>228</v>
      </c>
      <c r="E837" s="18" t="s">
        <v>239</v>
      </c>
      <c r="F837" s="512" t="s">
        <v>2358</v>
      </c>
      <c r="G837" s="39" t="s">
        <v>314</v>
      </c>
      <c r="H837" s="513" t="s">
        <v>309</v>
      </c>
      <c r="I837" s="41" t="s">
        <v>927</v>
      </c>
      <c r="J837" s="276" t="str">
        <f>VLOOKUP($I837,'Price List, Weapons &amp; Items'!A:B,2,0)</f>
        <v>Humanitarian</v>
      </c>
      <c r="K837" s="276" t="str">
        <f>IF(I837=".",I837,VLOOKUP($I837,'Price List, Weapons &amp; Items'!A:C,3,0))</f>
        <v>.</v>
      </c>
      <c r="L837" s="514">
        <f>VLOOKUP(I837,'Price List, Weapons &amp; Items'!A:D,4,0)</f>
        <v>0</v>
      </c>
      <c r="M837" s="515">
        <v>18</v>
      </c>
      <c r="N837" s="515" t="s">
        <v>232</v>
      </c>
      <c r="O837" s="516">
        <f>VLOOKUP($I837,'Price List, Weapons &amp; Items'!A:F,6,0)</f>
        <v>3000</v>
      </c>
      <c r="P837" s="513">
        <f t="shared" si="187"/>
        <v>54000</v>
      </c>
      <c r="Q837" s="513" t="str">
        <f t="shared" si="188"/>
        <v>.</v>
      </c>
      <c r="R837" s="513" t="str">
        <f t="shared" si="185"/>
        <v/>
      </c>
      <c r="S837" s="513" t="str">
        <f>IF(AND(AD837=1,R837&lt;&gt;".")=TRUE,R837/VLOOKUP(G837,'Exchange rates'!B:C,2,0),IF(R837=".",".",""))</f>
        <v/>
      </c>
      <c r="T837" s="513" t="str">
        <f>IF(AD837=1,IF(AF837="Value is not given at all",".",IF(AF837="Value is given by the source",S837,IF(AF837="Value is calculated with prices",(IF(SUMIFS(Q:Q,A:A,A837)&gt;0,SUMIFS(Q:Q,A:A,A837),"."))/VLOOKUP("USD",'Exchange rates'!B:C,2,0),"Error with coding"))),"")</f>
        <v/>
      </c>
      <c r="U837" s="39" t="s">
        <v>233</v>
      </c>
      <c r="V837" s="376" t="s">
        <v>2359</v>
      </c>
      <c r="W837" s="530" t="s">
        <v>232</v>
      </c>
      <c r="X837" s="530" t="s">
        <v>232</v>
      </c>
      <c r="Y837" s="530" t="s">
        <v>232</v>
      </c>
      <c r="Z837" s="39">
        <v>0</v>
      </c>
      <c r="AA837" s="39">
        <v>0</v>
      </c>
      <c r="AB837" s="38" t="s">
        <v>232</v>
      </c>
      <c r="AC837" s="519" t="str">
        <f>""</f>
        <v/>
      </c>
      <c r="AD837" s="520">
        <v>0</v>
      </c>
      <c r="AE837" s="520" t="s">
        <v>300</v>
      </c>
      <c r="AF837" s="520" t="s">
        <v>237</v>
      </c>
      <c r="AG837" s="520">
        <v>1</v>
      </c>
      <c r="AH837" s="520">
        <v>2</v>
      </c>
      <c r="AI837" s="520">
        <v>0</v>
      </c>
      <c r="AJ837" s="520">
        <f>VLOOKUP($I837,'Price List, Weapons &amp; Items'!A:E,5,0)</f>
        <v>0</v>
      </c>
      <c r="AK837" s="520">
        <f t="shared" ref="AK837:AK900" si="189">IF(AND(AJ837=1,M837="undisclosed")=TRUE,1,0)</f>
        <v>0</v>
      </c>
      <c r="AL837" s="520">
        <f t="shared" ref="AL837:AL900" si="190">IF(AND(AJ837=1,N837="undisclosed")=TRUE,1,0)</f>
        <v>0</v>
      </c>
      <c r="AM837" s="520">
        <f t="shared" ref="AM837:AM900" si="191">IFERROR(IF(SEARCH("ammuni",I837,1)&gt;0,1,0),0)</f>
        <v>0</v>
      </c>
      <c r="AN837" s="521" t="str">
        <f>VLOOKUP($I837,'Price List, Weapons &amp; Items'!A:K,COLUMN('Price List, Weapons &amp; Items'!$I$1),0)</f>
        <v>Online marketplaces and stores</v>
      </c>
      <c r="AO837" s="521" t="str">
        <f>IF(I837=".",".",VLOOKUP($I837,'Price List, Weapons &amp; Items'!A:I,3,0))</f>
        <v>.</v>
      </c>
      <c r="AP837" s="517" t="str">
        <f t="shared" ca="1" si="186"/>
        <v/>
      </c>
      <c r="AQ837" s="521">
        <f>VLOOKUP($I837,'Price List, Weapons &amp; Items'!A:K,COLUMN('Price List, Weapons &amp; Items'!$K$1),0)</f>
        <v>0</v>
      </c>
      <c r="AS837" s="521">
        <f t="shared" ref="AS837:AS900" si="192">IF(U837="Yes",1,0)</f>
        <v>1</v>
      </c>
      <c r="AT837" s="521">
        <f t="shared" ref="AT837:AT900" si="193">IF(OR((E837="Weapons"),(E837="Weapons and equipment"),(E837="Weapons and training"),(E837="Weapons and Assistance"),(E837="Military Equipment"))=FALSE,0,1)</f>
        <v>0</v>
      </c>
      <c r="AU837" s="521">
        <f t="shared" ref="AU837:AU900" si="194">IFERROR(IF(VALUE(TEXT(C837,"mm"))=AH837,".",1),"Value is not in date format")</f>
        <v>1</v>
      </c>
      <c r="AV837" s="521" t="str">
        <f t="shared" si="182"/>
        <v>.</v>
      </c>
    </row>
    <row r="838" spans="1:48" ht="15" customHeight="1">
      <c r="A838" s="41" t="s">
        <v>2360</v>
      </c>
      <c r="B838" s="41" t="s">
        <v>2348</v>
      </c>
      <c r="C838" s="511">
        <v>44633</v>
      </c>
      <c r="D838" s="18" t="s">
        <v>228</v>
      </c>
      <c r="E838" s="18" t="s">
        <v>229</v>
      </c>
      <c r="F838" s="512" t="s">
        <v>2361</v>
      </c>
      <c r="G838" s="39" t="s">
        <v>232</v>
      </c>
      <c r="H838" s="513" t="s">
        <v>309</v>
      </c>
      <c r="I838" s="41" t="s">
        <v>232</v>
      </c>
      <c r="J838" s="276" t="str">
        <f>VLOOKUP($I838,'Price List, Weapons &amp; Items'!A:B,2,0)</f>
        <v>.</v>
      </c>
      <c r="K838" s="276" t="str">
        <f>IF(I838=".",I838,VLOOKUP($I838,'Price List, Weapons &amp; Items'!A:C,3,0))</f>
        <v>.</v>
      </c>
      <c r="L838" s="514">
        <f>VLOOKUP(I838,'Price List, Weapons &amp; Items'!A:D,4,0)</f>
        <v>0</v>
      </c>
      <c r="M838" s="515" t="s">
        <v>232</v>
      </c>
      <c r="N838" s="515" t="s">
        <v>232</v>
      </c>
      <c r="O838" s="516" t="str">
        <f>VLOOKUP($I838,'Price List, Weapons &amp; Items'!A:F,6,0)</f>
        <v>.</v>
      </c>
      <c r="P838" s="513" t="str">
        <f t="shared" si="187"/>
        <v>.</v>
      </c>
      <c r="Q838" s="513" t="str">
        <f t="shared" si="188"/>
        <v>.</v>
      </c>
      <c r="R838" s="513" t="str">
        <f t="shared" si="185"/>
        <v>.</v>
      </c>
      <c r="S838" s="513" t="str">
        <f>IF(AND(AD838=1,R838&lt;&gt;".")=TRUE,R838/VLOOKUP(G838,'Exchange rates'!B:C,2,0),IF(R838=".",".",""))</f>
        <v>.</v>
      </c>
      <c r="T838" s="513" t="str">
        <f>IF(AD838=1,IF(AF838="Value is not given at all",".",IF(AF838="Value is given by the source",S838,IF(AF838="Value is calculated with prices",(IF(SUMIFS(Q:Q,A:A,A838)&gt;0,SUMIFS(Q:Q,A:A,A838),"."))/VLOOKUP("USD",'Exchange rates'!B:C,2,0),"Error with coding"))),"")</f>
        <v>.</v>
      </c>
      <c r="U838" s="39" t="s">
        <v>233</v>
      </c>
      <c r="V838" s="42" t="s">
        <v>2362</v>
      </c>
      <c r="W838" s="517" t="s">
        <v>232</v>
      </c>
      <c r="X838" s="517" t="s">
        <v>232</v>
      </c>
      <c r="Y838" s="517" t="s">
        <v>232</v>
      </c>
      <c r="Z838" s="39">
        <v>0</v>
      </c>
      <c r="AA838" s="518">
        <v>0</v>
      </c>
      <c r="AB838" s="38" t="s">
        <v>232</v>
      </c>
      <c r="AC838" s="519" t="str">
        <f>""</f>
        <v/>
      </c>
      <c r="AD838" s="520">
        <v>1</v>
      </c>
      <c r="AE838" s="520" t="s">
        <v>237</v>
      </c>
      <c r="AF838" s="520" t="s">
        <v>237</v>
      </c>
      <c r="AG838" s="520">
        <v>1</v>
      </c>
      <c r="AH838" s="520">
        <v>3</v>
      </c>
      <c r="AI838" s="520">
        <v>0</v>
      </c>
      <c r="AJ838" s="520">
        <f>VLOOKUP($I838,'Price List, Weapons &amp; Items'!A:E,5,0)</f>
        <v>0</v>
      </c>
      <c r="AK838" s="520">
        <f t="shared" si="189"/>
        <v>0</v>
      </c>
      <c r="AL838" s="520">
        <f t="shared" si="190"/>
        <v>0</v>
      </c>
      <c r="AM838" s="520">
        <f t="shared" si="191"/>
        <v>0</v>
      </c>
      <c r="AN838" s="521" t="str">
        <f>VLOOKUP($I838,'Price List, Weapons &amp; Items'!A:K,COLUMN('Price List, Weapons &amp; Items'!$I$1),0)</f>
        <v>.</v>
      </c>
      <c r="AO838" s="521" t="str">
        <f>IF(I838=".",".",VLOOKUP($I838,'Price List, Weapons &amp; Items'!A:I,3,0))</f>
        <v>.</v>
      </c>
      <c r="AP838" s="517" t="str">
        <f t="shared" ca="1" si="186"/>
        <v>.</v>
      </c>
      <c r="AQ838" s="521" t="str">
        <f>VLOOKUP($I838,'Price List, Weapons &amp; Items'!A:K,COLUMN('Price List, Weapons &amp; Items'!$K$1),0)</f>
        <v>no price, 0 count</v>
      </c>
      <c r="AS838" s="521">
        <f t="shared" si="192"/>
        <v>1</v>
      </c>
      <c r="AT838" s="521">
        <f t="shared" si="193"/>
        <v>0</v>
      </c>
      <c r="AU838" s="521">
        <f t="shared" si="194"/>
        <v>1</v>
      </c>
      <c r="AV838" s="521" t="str">
        <f t="shared" ref="AV838:AV901" si="195">IF(AND(A838=A837,C838=C837)=TRUE,IF(F838=F837,".","1"),".")</f>
        <v>.</v>
      </c>
    </row>
    <row r="839" spans="1:48" ht="15" customHeight="1">
      <c r="A839" s="41" t="s">
        <v>2363</v>
      </c>
      <c r="B839" s="41" t="s">
        <v>2348</v>
      </c>
      <c r="C839" s="40" t="s">
        <v>2364</v>
      </c>
      <c r="D839" s="18" t="s">
        <v>228</v>
      </c>
      <c r="E839" s="18" t="s">
        <v>229</v>
      </c>
      <c r="F839" s="512" t="s">
        <v>2365</v>
      </c>
      <c r="G839" s="39" t="s">
        <v>232</v>
      </c>
      <c r="H839" s="513" t="s">
        <v>309</v>
      </c>
      <c r="I839" s="41" t="s">
        <v>232</v>
      </c>
      <c r="J839" s="276" t="str">
        <f>VLOOKUP($I839,'Price List, Weapons &amp; Items'!A:B,2,0)</f>
        <v>.</v>
      </c>
      <c r="K839" s="276" t="str">
        <f>IF(I839=".",I839,VLOOKUP($I839,'Price List, Weapons &amp; Items'!A:C,3,0))</f>
        <v>.</v>
      </c>
      <c r="L839" s="514">
        <f>VLOOKUP(I839,'Price List, Weapons &amp; Items'!A:D,4,0)</f>
        <v>0</v>
      </c>
      <c r="M839" s="515" t="s">
        <v>232</v>
      </c>
      <c r="N839" s="515" t="s">
        <v>232</v>
      </c>
      <c r="O839" s="516" t="str">
        <f>VLOOKUP($I839,'Price List, Weapons &amp; Items'!A:F,6,0)</f>
        <v>.</v>
      </c>
      <c r="P839" s="513" t="str">
        <f t="shared" si="187"/>
        <v>.</v>
      </c>
      <c r="Q839" s="513" t="str">
        <f t="shared" si="188"/>
        <v>.</v>
      </c>
      <c r="R839" s="513" t="str">
        <f t="shared" si="185"/>
        <v>.</v>
      </c>
      <c r="S839" s="513" t="str">
        <f>IF(AND(AD839=1,R839&lt;&gt;".")=TRUE,R839/VLOOKUP(G839,'Exchange rates'!B:C,2,0),IF(R839=".",".",""))</f>
        <v>.</v>
      </c>
      <c r="T839" s="513" t="str">
        <f>IF(AD839=1,IF(AF839="Value is not given at all",".",IF(AF839="Value is given by the source",S839,IF(AF839="Value is calculated with prices",(IF(SUMIFS(Q:Q,A:A,A839)&gt;0,SUMIFS(Q:Q,A:A,A839),"."))/VLOOKUP("USD",'Exchange rates'!B:C,2,0),"Error with coding"))),"")</f>
        <v>.</v>
      </c>
      <c r="U839" s="39" t="s">
        <v>233</v>
      </c>
      <c r="V839" s="42" t="s">
        <v>2366</v>
      </c>
      <c r="W839" s="512" t="s">
        <v>232</v>
      </c>
      <c r="X839" s="512" t="s">
        <v>232</v>
      </c>
      <c r="Y839" s="512" t="s">
        <v>232</v>
      </c>
      <c r="Z839" s="39">
        <v>0</v>
      </c>
      <c r="AA839" s="39">
        <v>0</v>
      </c>
      <c r="AB839" s="41" t="s">
        <v>232</v>
      </c>
      <c r="AC839" s="519" t="str">
        <f>""</f>
        <v/>
      </c>
      <c r="AD839" s="522">
        <v>1</v>
      </c>
      <c r="AE839" s="522" t="s">
        <v>237</v>
      </c>
      <c r="AF839" s="522" t="s">
        <v>237</v>
      </c>
      <c r="AG839" s="522">
        <v>0</v>
      </c>
      <c r="AH839" s="520">
        <v>0</v>
      </c>
      <c r="AI839" s="520">
        <v>0</v>
      </c>
      <c r="AJ839" s="520">
        <f>VLOOKUP($I839,'Price List, Weapons &amp; Items'!A:E,5,0)</f>
        <v>0</v>
      </c>
      <c r="AK839" s="520">
        <f t="shared" si="189"/>
        <v>0</v>
      </c>
      <c r="AL839" s="520">
        <f t="shared" si="190"/>
        <v>0</v>
      </c>
      <c r="AM839" s="520">
        <f t="shared" si="191"/>
        <v>0</v>
      </c>
      <c r="AN839" s="521" t="str">
        <f>VLOOKUP($I839,'Price List, Weapons &amp; Items'!A:K,COLUMN('Price List, Weapons &amp; Items'!$I$1),0)</f>
        <v>.</v>
      </c>
      <c r="AO839" s="521" t="str">
        <f>IF(I839=".",".",VLOOKUP($I839,'Price List, Weapons &amp; Items'!A:I,3,0))</f>
        <v>.</v>
      </c>
      <c r="AP839" s="517" t="str">
        <f t="shared" ca="1" si="186"/>
        <v>.</v>
      </c>
      <c r="AQ839" s="521" t="str">
        <f>VLOOKUP($I839,'Price List, Weapons &amp; Items'!A:K,COLUMN('Price List, Weapons &amp; Items'!$K$1),0)</f>
        <v>no price, 0 count</v>
      </c>
      <c r="AS839" s="521">
        <f t="shared" si="192"/>
        <v>1</v>
      </c>
      <c r="AT839" s="521">
        <f t="shared" si="193"/>
        <v>0</v>
      </c>
      <c r="AU839" s="521" t="str">
        <f t="shared" si="194"/>
        <v>Value is not in date format</v>
      </c>
      <c r="AV839" s="521" t="str">
        <f t="shared" si="195"/>
        <v>.</v>
      </c>
    </row>
    <row r="840" spans="1:48" ht="15" customHeight="1">
      <c r="A840" s="41" t="s">
        <v>2367</v>
      </c>
      <c r="B840" s="41" t="s">
        <v>2368</v>
      </c>
      <c r="C840" s="511">
        <v>44673</v>
      </c>
      <c r="D840" s="18" t="s">
        <v>228</v>
      </c>
      <c r="E840" s="18" t="s">
        <v>330</v>
      </c>
      <c r="F840" s="512" t="s">
        <v>2369</v>
      </c>
      <c r="G840" s="39" t="s">
        <v>314</v>
      </c>
      <c r="H840" s="513">
        <v>3000000</v>
      </c>
      <c r="I840" s="41" t="s">
        <v>232</v>
      </c>
      <c r="J840" s="276" t="str">
        <f>VLOOKUP($I840,'Price List, Weapons &amp; Items'!A:B,2,0)</f>
        <v>.</v>
      </c>
      <c r="K840" s="276" t="str">
        <f>IF(I840=".",I840,VLOOKUP($I840,'Price List, Weapons &amp; Items'!A:C,3,0))</f>
        <v>.</v>
      </c>
      <c r="L840" s="514">
        <f>VLOOKUP(I840,'Price List, Weapons &amp; Items'!A:D,4,0)</f>
        <v>0</v>
      </c>
      <c r="M840" s="515" t="s">
        <v>232</v>
      </c>
      <c r="N840" s="515" t="s">
        <v>232</v>
      </c>
      <c r="O840" s="516" t="str">
        <f>VLOOKUP($I840,'Price List, Weapons &amp; Items'!A:F,6,0)</f>
        <v>.</v>
      </c>
      <c r="P840" s="513" t="str">
        <f t="shared" si="187"/>
        <v>.</v>
      </c>
      <c r="Q840" s="513" t="str">
        <f t="shared" si="188"/>
        <v>.</v>
      </c>
      <c r="R840" s="513">
        <f t="shared" si="185"/>
        <v>3000000</v>
      </c>
      <c r="S840" s="513">
        <f>IF(AND(AD840=1,R840&lt;&gt;".")=TRUE,R840/VLOOKUP(G840,'Exchange rates'!B:C,2,0),IF(R840=".",".",""))</f>
        <v>2989536.6218236173</v>
      </c>
      <c r="T840" s="513" t="str">
        <f>IF(AD840=1,IF(AF840="Value is not given at all",".",IF(AF840="Value is given by the source",S840,IF(AF840="Value is calculated with prices",(IF(SUMIFS(Q:Q,A:A,A840)&gt;0,SUMIFS(Q:Q,A:A,A840),"."))/VLOOKUP("USD",'Exchange rates'!B:C,2,0),"Error with coding"))),"")</f>
        <v>.</v>
      </c>
      <c r="U840" s="39" t="s">
        <v>372</v>
      </c>
      <c r="V840" s="42" t="s">
        <v>2370</v>
      </c>
      <c r="W840" s="512" t="s">
        <v>232</v>
      </c>
      <c r="X840" s="512" t="s">
        <v>232</v>
      </c>
      <c r="Y840" s="512" t="s">
        <v>232</v>
      </c>
      <c r="Z840" s="39">
        <v>0</v>
      </c>
      <c r="AA840" s="39">
        <v>0</v>
      </c>
      <c r="AB840" s="41" t="s">
        <v>232</v>
      </c>
      <c r="AC840" s="519" t="str">
        <f>""</f>
        <v/>
      </c>
      <c r="AD840" s="522">
        <v>1</v>
      </c>
      <c r="AE840" s="522" t="s">
        <v>236</v>
      </c>
      <c r="AF840" s="522" t="s">
        <v>237</v>
      </c>
      <c r="AG840" s="522">
        <v>1</v>
      </c>
      <c r="AH840" s="520">
        <v>4</v>
      </c>
      <c r="AI840" s="520">
        <v>0</v>
      </c>
      <c r="AJ840" s="520">
        <f>VLOOKUP($I840,'Price List, Weapons &amp; Items'!A:E,5,0)</f>
        <v>0</v>
      </c>
      <c r="AK840" s="520">
        <f t="shared" si="189"/>
        <v>0</v>
      </c>
      <c r="AL840" s="520">
        <f t="shared" si="190"/>
        <v>0</v>
      </c>
      <c r="AM840" s="520">
        <f t="shared" si="191"/>
        <v>0</v>
      </c>
      <c r="AN840" s="521" t="str">
        <f>VLOOKUP($I840,'Price List, Weapons &amp; Items'!A:K,COLUMN('Price List, Weapons &amp; Items'!$I$1),0)</f>
        <v>.</v>
      </c>
      <c r="AO840" s="521" t="str">
        <f>IF(I840=".",".",VLOOKUP($I840,'Price List, Weapons &amp; Items'!A:I,3,0))</f>
        <v>.</v>
      </c>
      <c r="AP840" s="517" t="str">
        <f t="shared" ca="1" si="186"/>
        <v>.</v>
      </c>
      <c r="AQ840" s="521" t="str">
        <f>VLOOKUP($I840,'Price List, Weapons &amp; Items'!A:K,COLUMN('Price List, Weapons &amp; Items'!$K$1),0)</f>
        <v>no price, 0 count</v>
      </c>
      <c r="AS840" s="521">
        <f t="shared" si="192"/>
        <v>0</v>
      </c>
      <c r="AT840" s="521">
        <f t="shared" si="193"/>
        <v>0</v>
      </c>
      <c r="AU840" s="521">
        <f t="shared" si="194"/>
        <v>1</v>
      </c>
      <c r="AV840" s="521" t="str">
        <f t="shared" si="195"/>
        <v>.</v>
      </c>
    </row>
    <row r="841" spans="1:48" ht="15" customHeight="1">
      <c r="A841" s="41" t="s">
        <v>2371</v>
      </c>
      <c r="B841" s="41" t="s">
        <v>2368</v>
      </c>
      <c r="C841" s="511">
        <v>44674</v>
      </c>
      <c r="D841" s="18" t="s">
        <v>228</v>
      </c>
      <c r="E841" s="18" t="s">
        <v>330</v>
      </c>
      <c r="F841" s="512" t="s">
        <v>2372</v>
      </c>
      <c r="G841" s="39" t="s">
        <v>314</v>
      </c>
      <c r="H841" s="513">
        <v>5000000</v>
      </c>
      <c r="I841" s="41" t="s">
        <v>232</v>
      </c>
      <c r="J841" s="276" t="str">
        <f>VLOOKUP($I841,'Price List, Weapons &amp; Items'!A:B,2,0)</f>
        <v>.</v>
      </c>
      <c r="K841" s="276" t="str">
        <f>IF(I841=".",I841,VLOOKUP($I841,'Price List, Weapons &amp; Items'!A:C,3,0))</f>
        <v>.</v>
      </c>
      <c r="L841" s="514">
        <f>VLOOKUP(I841,'Price List, Weapons &amp; Items'!A:D,4,0)</f>
        <v>0</v>
      </c>
      <c r="M841" s="515" t="s">
        <v>232</v>
      </c>
      <c r="N841" s="515" t="s">
        <v>232</v>
      </c>
      <c r="O841" s="516" t="str">
        <f>VLOOKUP($I841,'Price List, Weapons &amp; Items'!A:F,6,0)</f>
        <v>.</v>
      </c>
      <c r="P841" s="513" t="str">
        <f t="shared" si="187"/>
        <v>.</v>
      </c>
      <c r="Q841" s="513" t="str">
        <f t="shared" si="188"/>
        <v>.</v>
      </c>
      <c r="R841" s="513">
        <f t="shared" si="185"/>
        <v>5000000</v>
      </c>
      <c r="S841" s="513">
        <f>IF(AND(AD841=1,R841&lt;&gt;".")=TRUE,R841/VLOOKUP(G841,'Exchange rates'!B:C,2,0),IF(R841=".",".",""))</f>
        <v>4982561.0363726951</v>
      </c>
      <c r="T841" s="513" t="str">
        <f>IF(AD841=1,IF(AF841="Value is not given at all",".",IF(AF841="Value is given by the source",S841,IF(AF841="Value is calculated with prices",(IF(SUMIFS(Q:Q,A:A,A841)&gt;0,SUMIFS(Q:Q,A:A,A841),"."))/VLOOKUP("USD",'Exchange rates'!B:C,2,0),"Error with coding"))),"")</f>
        <v>.</v>
      </c>
      <c r="U841" s="39" t="s">
        <v>372</v>
      </c>
      <c r="V841" s="531" t="s">
        <v>2370</v>
      </c>
      <c r="W841" s="512" t="s">
        <v>232</v>
      </c>
      <c r="X841" s="512" t="s">
        <v>232</v>
      </c>
      <c r="Y841" s="512" t="s">
        <v>232</v>
      </c>
      <c r="Z841" s="39">
        <v>0</v>
      </c>
      <c r="AA841" s="39">
        <v>0</v>
      </c>
      <c r="AB841" s="41" t="s">
        <v>232</v>
      </c>
      <c r="AC841" s="519" t="str">
        <f>""</f>
        <v/>
      </c>
      <c r="AD841" s="522">
        <v>1</v>
      </c>
      <c r="AE841" s="522" t="s">
        <v>236</v>
      </c>
      <c r="AF841" s="522" t="s">
        <v>237</v>
      </c>
      <c r="AG841" s="522">
        <v>1</v>
      </c>
      <c r="AH841" s="520">
        <v>4</v>
      </c>
      <c r="AI841" s="520">
        <v>0</v>
      </c>
      <c r="AJ841" s="520">
        <f>VLOOKUP($I841,'Price List, Weapons &amp; Items'!A:E,5,0)</f>
        <v>0</v>
      </c>
      <c r="AK841" s="520">
        <f t="shared" si="189"/>
        <v>0</v>
      </c>
      <c r="AL841" s="520">
        <f t="shared" si="190"/>
        <v>0</v>
      </c>
      <c r="AM841" s="520">
        <f t="shared" si="191"/>
        <v>0</v>
      </c>
      <c r="AN841" s="521" t="str">
        <f>VLOOKUP($I841,'Price List, Weapons &amp; Items'!A:K,COLUMN('Price List, Weapons &amp; Items'!$I$1),0)</f>
        <v>.</v>
      </c>
      <c r="AO841" s="521" t="str">
        <f>IF(I841=".",".",VLOOKUP($I841,'Price List, Weapons &amp; Items'!A:I,3,0))</f>
        <v>.</v>
      </c>
      <c r="AP841" s="517" t="str">
        <f t="shared" ca="1" si="186"/>
        <v>.</v>
      </c>
      <c r="AQ841" s="521" t="str">
        <f>VLOOKUP($I841,'Price List, Weapons &amp; Items'!A:K,COLUMN('Price List, Weapons &amp; Items'!$K$1),0)</f>
        <v>no price, 0 count</v>
      </c>
      <c r="AS841" s="521">
        <f t="shared" si="192"/>
        <v>0</v>
      </c>
      <c r="AT841" s="521">
        <f t="shared" si="193"/>
        <v>0</v>
      </c>
      <c r="AU841" s="521">
        <f t="shared" si="194"/>
        <v>1</v>
      </c>
      <c r="AV841" s="521" t="str">
        <f t="shared" si="195"/>
        <v>.</v>
      </c>
    </row>
    <row r="842" spans="1:48" ht="15" customHeight="1">
      <c r="A842" s="41" t="s">
        <v>2373</v>
      </c>
      <c r="B842" s="41" t="s">
        <v>2368</v>
      </c>
      <c r="C842" s="511">
        <v>44714</v>
      </c>
      <c r="D842" s="18" t="s">
        <v>228</v>
      </c>
      <c r="E842" s="18" t="s">
        <v>330</v>
      </c>
      <c r="F842" s="512" t="s">
        <v>2374</v>
      </c>
      <c r="G842" s="39" t="s">
        <v>314</v>
      </c>
      <c r="H842" s="513">
        <v>2000000</v>
      </c>
      <c r="I842" s="41" t="s">
        <v>232</v>
      </c>
      <c r="J842" s="276" t="str">
        <f>VLOOKUP($I842,'Price List, Weapons &amp; Items'!A:B,2,0)</f>
        <v>.</v>
      </c>
      <c r="K842" s="276" t="str">
        <f>IF(I842=".",I842,VLOOKUP($I842,'Price List, Weapons &amp; Items'!A:C,3,0))</f>
        <v>.</v>
      </c>
      <c r="L842" s="514">
        <f>VLOOKUP(I842,'Price List, Weapons &amp; Items'!A:D,4,0)</f>
        <v>0</v>
      </c>
      <c r="M842" s="515" t="s">
        <v>232</v>
      </c>
      <c r="N842" s="515" t="s">
        <v>232</v>
      </c>
      <c r="O842" s="516" t="str">
        <f>VLOOKUP($I842,'Price List, Weapons &amp; Items'!A:F,6,0)</f>
        <v>.</v>
      </c>
      <c r="P842" s="513" t="str">
        <f t="shared" si="187"/>
        <v>.</v>
      </c>
      <c r="Q842" s="513" t="str">
        <f t="shared" si="188"/>
        <v>.</v>
      </c>
      <c r="R842" s="513">
        <f t="shared" si="185"/>
        <v>2000000</v>
      </c>
      <c r="S842" s="513">
        <f>IF(AND(AD842=1,R842&lt;&gt;".")=TRUE,R842/VLOOKUP(G842,'Exchange rates'!B:C,2,0),IF(R842=".",".",""))</f>
        <v>1993024.4145490781</v>
      </c>
      <c r="T842" s="513" t="str">
        <f>IF(AD842=1,IF(AF842="Value is not given at all",".",IF(AF842="Value is given by the source",S842,IF(AF842="Value is calculated with prices",(IF(SUMIFS(Q:Q,A:A,A842)&gt;0,SUMIFS(Q:Q,A:A,A842),"."))/VLOOKUP("USD",'Exchange rates'!B:C,2,0),"Error with coding"))),"")</f>
        <v>.</v>
      </c>
      <c r="U842" s="39" t="s">
        <v>372</v>
      </c>
      <c r="V842" s="42" t="s">
        <v>2375</v>
      </c>
      <c r="W842" s="512" t="s">
        <v>232</v>
      </c>
      <c r="X842" s="512" t="s">
        <v>232</v>
      </c>
      <c r="Y842" s="512" t="s">
        <v>232</v>
      </c>
      <c r="Z842" s="39">
        <v>0</v>
      </c>
      <c r="AA842" s="39">
        <v>0</v>
      </c>
      <c r="AB842" s="41" t="s">
        <v>232</v>
      </c>
      <c r="AC842" s="519" t="str">
        <f>""</f>
        <v/>
      </c>
      <c r="AD842" s="522">
        <v>1</v>
      </c>
      <c r="AE842" s="522" t="s">
        <v>236</v>
      </c>
      <c r="AF842" s="522" t="s">
        <v>237</v>
      </c>
      <c r="AG842" s="522">
        <v>1</v>
      </c>
      <c r="AH842" s="520">
        <v>6</v>
      </c>
      <c r="AI842" s="520">
        <v>0</v>
      </c>
      <c r="AJ842" s="520">
        <f>VLOOKUP($I842,'Price List, Weapons &amp; Items'!A:E,5,0)</f>
        <v>0</v>
      </c>
      <c r="AK842" s="520">
        <f t="shared" si="189"/>
        <v>0</v>
      </c>
      <c r="AL842" s="520">
        <f t="shared" si="190"/>
        <v>0</v>
      </c>
      <c r="AM842" s="520">
        <f t="shared" si="191"/>
        <v>0</v>
      </c>
      <c r="AN842" s="521" t="str">
        <f>VLOOKUP($I842,'Price List, Weapons &amp; Items'!A:K,COLUMN('Price List, Weapons &amp; Items'!$I$1),0)</f>
        <v>.</v>
      </c>
      <c r="AO842" s="521" t="str">
        <f>IF(I842=".",".",VLOOKUP($I842,'Price List, Weapons &amp; Items'!A:I,3,0))</f>
        <v>.</v>
      </c>
      <c r="AP842" s="517" t="str">
        <f t="shared" ca="1" si="186"/>
        <v>.</v>
      </c>
      <c r="AQ842" s="521" t="str">
        <f>VLOOKUP($I842,'Price List, Weapons &amp; Items'!A:K,COLUMN('Price List, Weapons &amp; Items'!$K$1),0)</f>
        <v>no price, 0 count</v>
      </c>
      <c r="AS842" s="521">
        <f t="shared" si="192"/>
        <v>0</v>
      </c>
      <c r="AT842" s="521">
        <f t="shared" si="193"/>
        <v>0</v>
      </c>
      <c r="AU842" s="521">
        <f t="shared" si="194"/>
        <v>1</v>
      </c>
      <c r="AV842" s="521" t="str">
        <f t="shared" si="195"/>
        <v>.</v>
      </c>
    </row>
    <row r="843" spans="1:48" ht="15" customHeight="1">
      <c r="A843" s="41" t="s">
        <v>2376</v>
      </c>
      <c r="B843" s="41" t="s">
        <v>2368</v>
      </c>
      <c r="C843" s="511">
        <v>44714</v>
      </c>
      <c r="D843" s="18" t="s">
        <v>228</v>
      </c>
      <c r="E843" s="18" t="s">
        <v>330</v>
      </c>
      <c r="F843" s="512" t="s">
        <v>2377</v>
      </c>
      <c r="G843" s="39" t="s">
        <v>314</v>
      </c>
      <c r="H843" s="513">
        <v>500000</v>
      </c>
      <c r="I843" s="41" t="s">
        <v>232</v>
      </c>
      <c r="J843" s="276" t="str">
        <f>VLOOKUP($I843,'Price List, Weapons &amp; Items'!A:B,2,0)</f>
        <v>.</v>
      </c>
      <c r="K843" s="276" t="str">
        <f>IF(I843=".",I843,VLOOKUP($I843,'Price List, Weapons &amp; Items'!A:C,3,0))</f>
        <v>.</v>
      </c>
      <c r="L843" s="514">
        <f>VLOOKUP(I843,'Price List, Weapons &amp; Items'!A:D,4,0)</f>
        <v>0</v>
      </c>
      <c r="M843" s="515" t="s">
        <v>232</v>
      </c>
      <c r="N843" s="515" t="s">
        <v>232</v>
      </c>
      <c r="O843" s="516" t="str">
        <f>VLOOKUP($I843,'Price List, Weapons &amp; Items'!A:F,6,0)</f>
        <v>.</v>
      </c>
      <c r="P843" s="513" t="str">
        <f t="shared" si="187"/>
        <v>.</v>
      </c>
      <c r="Q843" s="513" t="str">
        <f t="shared" si="188"/>
        <v>.</v>
      </c>
      <c r="R843" s="513">
        <f t="shared" si="185"/>
        <v>500000</v>
      </c>
      <c r="S843" s="513">
        <f>IF(AND(AD843=1,R843&lt;&gt;".")=TRUE,R843/VLOOKUP(G843,'Exchange rates'!B:C,2,0),IF(R843=".",".",""))</f>
        <v>498256.10363726952</v>
      </c>
      <c r="T843" s="513" t="str">
        <f>IF(AD843=1,IF(AF843="Value is not given at all",".",IF(AF843="Value is given by the source",S843,IF(AF843="Value is calculated with prices",(IF(SUMIFS(Q:Q,A:A,A843)&gt;0,SUMIFS(Q:Q,A:A,A843),"."))/VLOOKUP("USD",'Exchange rates'!B:C,2,0),"Error with coding"))),"")</f>
        <v>.</v>
      </c>
      <c r="U843" s="39" t="s">
        <v>372</v>
      </c>
      <c r="V843" s="42" t="s">
        <v>2375</v>
      </c>
      <c r="W843" s="512" t="s">
        <v>232</v>
      </c>
      <c r="X843" s="512" t="s">
        <v>232</v>
      </c>
      <c r="Y843" s="512" t="s">
        <v>232</v>
      </c>
      <c r="Z843" s="39">
        <v>0</v>
      </c>
      <c r="AA843" s="39">
        <v>0</v>
      </c>
      <c r="AB843" s="41" t="s">
        <v>232</v>
      </c>
      <c r="AC843" s="519" t="str">
        <f>""</f>
        <v/>
      </c>
      <c r="AD843" s="522">
        <v>1</v>
      </c>
      <c r="AE843" s="522" t="s">
        <v>236</v>
      </c>
      <c r="AF843" s="522" t="s">
        <v>237</v>
      </c>
      <c r="AG843" s="522">
        <v>1</v>
      </c>
      <c r="AH843" s="520">
        <v>6</v>
      </c>
      <c r="AI843" s="520">
        <v>0</v>
      </c>
      <c r="AJ843" s="520">
        <f>VLOOKUP($I843,'Price List, Weapons &amp; Items'!A:E,5,0)</f>
        <v>0</v>
      </c>
      <c r="AK843" s="520">
        <f t="shared" si="189"/>
        <v>0</v>
      </c>
      <c r="AL843" s="520">
        <f t="shared" si="190"/>
        <v>0</v>
      </c>
      <c r="AM843" s="520">
        <f t="shared" si="191"/>
        <v>0</v>
      </c>
      <c r="AN843" s="521" t="str">
        <f>VLOOKUP($I843,'Price List, Weapons &amp; Items'!A:K,COLUMN('Price List, Weapons &amp; Items'!$I$1),0)</f>
        <v>.</v>
      </c>
      <c r="AO843" s="521" t="str">
        <f>IF(I843=".",".",VLOOKUP($I843,'Price List, Weapons &amp; Items'!A:I,3,0))</f>
        <v>.</v>
      </c>
      <c r="AP843" s="517" t="str">
        <f t="shared" ca="1" si="186"/>
        <v>.</v>
      </c>
      <c r="AQ843" s="521" t="str">
        <f>VLOOKUP($I843,'Price List, Weapons &amp; Items'!A:K,COLUMN('Price List, Weapons &amp; Items'!$K$1),0)</f>
        <v>no price, 0 count</v>
      </c>
      <c r="AS843" s="521">
        <f t="shared" si="192"/>
        <v>0</v>
      </c>
      <c r="AT843" s="521">
        <f t="shared" si="193"/>
        <v>0</v>
      </c>
      <c r="AU843" s="521">
        <f t="shared" si="194"/>
        <v>1</v>
      </c>
      <c r="AV843" s="521" t="str">
        <f t="shared" si="195"/>
        <v>.</v>
      </c>
    </row>
    <row r="844" spans="1:48" ht="15" customHeight="1">
      <c r="A844" s="41" t="s">
        <v>2378</v>
      </c>
      <c r="B844" s="41" t="s">
        <v>2368</v>
      </c>
      <c r="C844" s="511">
        <v>44714</v>
      </c>
      <c r="D844" s="18" t="s">
        <v>228</v>
      </c>
      <c r="E844" s="18" t="s">
        <v>330</v>
      </c>
      <c r="F844" s="512" t="s">
        <v>2379</v>
      </c>
      <c r="G844" s="39" t="s">
        <v>314</v>
      </c>
      <c r="H844" s="513">
        <v>500000</v>
      </c>
      <c r="I844" s="41" t="s">
        <v>232</v>
      </c>
      <c r="J844" s="276" t="str">
        <f>VLOOKUP($I844,'Price List, Weapons &amp; Items'!A:B,2,0)</f>
        <v>.</v>
      </c>
      <c r="K844" s="276" t="str">
        <f>IF(I844=".",I844,VLOOKUP($I844,'Price List, Weapons &amp; Items'!A:C,3,0))</f>
        <v>.</v>
      </c>
      <c r="L844" s="514">
        <f>VLOOKUP(I844,'Price List, Weapons &amp; Items'!A:D,4,0)</f>
        <v>0</v>
      </c>
      <c r="M844" s="515" t="s">
        <v>232</v>
      </c>
      <c r="N844" s="515" t="s">
        <v>232</v>
      </c>
      <c r="O844" s="516" t="str">
        <f>VLOOKUP($I844,'Price List, Weapons &amp; Items'!A:F,6,0)</f>
        <v>.</v>
      </c>
      <c r="P844" s="513" t="str">
        <f t="shared" si="187"/>
        <v>.</v>
      </c>
      <c r="Q844" s="513" t="str">
        <f t="shared" si="188"/>
        <v>.</v>
      </c>
      <c r="R844" s="513">
        <f t="shared" si="185"/>
        <v>500000</v>
      </c>
      <c r="S844" s="513">
        <f>IF(AND(AD844=1,R844&lt;&gt;".")=TRUE,R844/VLOOKUP(G844,'Exchange rates'!B:C,2,0),IF(R844=".",".",""))</f>
        <v>498256.10363726952</v>
      </c>
      <c r="T844" s="513" t="str">
        <f>IF(AD844=1,IF(AF844="Value is not given at all",".",IF(AF844="Value is given by the source",S844,IF(AF844="Value is calculated with prices",(IF(SUMIFS(Q:Q,A:A,A844)&gt;0,SUMIFS(Q:Q,A:A,A844),"."))/VLOOKUP("USD",'Exchange rates'!B:C,2,0),"Error with coding"))),"")</f>
        <v>.</v>
      </c>
      <c r="U844" s="39" t="s">
        <v>372</v>
      </c>
      <c r="V844" s="531" t="s">
        <v>2375</v>
      </c>
      <c r="W844" s="512" t="s">
        <v>232</v>
      </c>
      <c r="X844" s="512" t="s">
        <v>232</v>
      </c>
      <c r="Y844" s="512" t="s">
        <v>232</v>
      </c>
      <c r="Z844" s="39">
        <v>0</v>
      </c>
      <c r="AA844" s="39">
        <v>0</v>
      </c>
      <c r="AB844" s="41" t="s">
        <v>232</v>
      </c>
      <c r="AC844" s="519" t="str">
        <f>""</f>
        <v/>
      </c>
      <c r="AD844" s="522">
        <v>1</v>
      </c>
      <c r="AE844" s="522" t="s">
        <v>236</v>
      </c>
      <c r="AF844" s="522" t="s">
        <v>237</v>
      </c>
      <c r="AG844" s="522">
        <v>1</v>
      </c>
      <c r="AH844" s="520">
        <v>6</v>
      </c>
      <c r="AI844" s="520">
        <v>0</v>
      </c>
      <c r="AJ844" s="520">
        <f>VLOOKUP($I844,'Price List, Weapons &amp; Items'!A:E,5,0)</f>
        <v>0</v>
      </c>
      <c r="AK844" s="520">
        <f t="shared" si="189"/>
        <v>0</v>
      </c>
      <c r="AL844" s="520">
        <f t="shared" si="190"/>
        <v>0</v>
      </c>
      <c r="AM844" s="520">
        <f t="shared" si="191"/>
        <v>0</v>
      </c>
      <c r="AN844" s="521" t="str">
        <f>VLOOKUP($I844,'Price List, Weapons &amp; Items'!A:K,COLUMN('Price List, Weapons &amp; Items'!$I$1),0)</f>
        <v>.</v>
      </c>
      <c r="AO844" s="521" t="str">
        <f>IF(I844=".",".",VLOOKUP($I844,'Price List, Weapons &amp; Items'!A:I,3,0))</f>
        <v>.</v>
      </c>
      <c r="AP844" s="517" t="str">
        <f t="shared" ca="1" si="186"/>
        <v>.</v>
      </c>
      <c r="AQ844" s="521" t="str">
        <f>VLOOKUP($I844,'Price List, Weapons &amp; Items'!A:K,COLUMN('Price List, Weapons &amp; Items'!$K$1),0)</f>
        <v>no price, 0 count</v>
      </c>
      <c r="AS844" s="521">
        <f t="shared" si="192"/>
        <v>0</v>
      </c>
      <c r="AT844" s="521">
        <f t="shared" si="193"/>
        <v>0</v>
      </c>
      <c r="AU844" s="521">
        <f t="shared" si="194"/>
        <v>1</v>
      </c>
      <c r="AV844" s="521" t="str">
        <f t="shared" si="195"/>
        <v>.</v>
      </c>
    </row>
    <row r="845" spans="1:48" ht="15" customHeight="1">
      <c r="A845" s="41" t="s">
        <v>2380</v>
      </c>
      <c r="B845" s="41" t="s">
        <v>2368</v>
      </c>
      <c r="C845" s="511">
        <v>44714</v>
      </c>
      <c r="D845" s="18" t="s">
        <v>228</v>
      </c>
      <c r="E845" s="18" t="s">
        <v>330</v>
      </c>
      <c r="F845" s="512" t="s">
        <v>2381</v>
      </c>
      <c r="G845" s="39" t="s">
        <v>314</v>
      </c>
      <c r="H845" s="513">
        <v>500000</v>
      </c>
      <c r="I845" s="41" t="s">
        <v>232</v>
      </c>
      <c r="J845" s="276" t="str">
        <f>VLOOKUP($I845,'Price List, Weapons &amp; Items'!A:B,2,0)</f>
        <v>.</v>
      </c>
      <c r="K845" s="276" t="str">
        <f>IF(I845=".",I845,VLOOKUP($I845,'Price List, Weapons &amp; Items'!A:C,3,0))</f>
        <v>.</v>
      </c>
      <c r="L845" s="514">
        <f>VLOOKUP(I845,'Price List, Weapons &amp; Items'!A:D,4,0)</f>
        <v>0</v>
      </c>
      <c r="M845" s="515" t="s">
        <v>232</v>
      </c>
      <c r="N845" s="515" t="s">
        <v>232</v>
      </c>
      <c r="O845" s="516" t="str">
        <f>VLOOKUP($I845,'Price List, Weapons &amp; Items'!A:F,6,0)</f>
        <v>.</v>
      </c>
      <c r="P845" s="513" t="str">
        <f t="shared" si="187"/>
        <v>.</v>
      </c>
      <c r="Q845" s="513" t="str">
        <f t="shared" si="188"/>
        <v>.</v>
      </c>
      <c r="R845" s="513">
        <f t="shared" si="185"/>
        <v>500000</v>
      </c>
      <c r="S845" s="513">
        <f>IF(AND(AD845=1,R845&lt;&gt;".")=TRUE,R845/VLOOKUP(G845,'Exchange rates'!B:C,2,0),IF(R845=".",".",""))</f>
        <v>498256.10363726952</v>
      </c>
      <c r="T845" s="513" t="str">
        <f>IF(AD845=1,IF(AF845="Value is not given at all",".",IF(AF845="Value is given by the source",S845,IF(AF845="Value is calculated with prices",(IF(SUMIFS(Q:Q,A:A,A845)&gt;0,SUMIFS(Q:Q,A:A,A845),"."))/VLOOKUP("USD",'Exchange rates'!B:C,2,0),"Error with coding"))),"")</f>
        <v>.</v>
      </c>
      <c r="U845" s="39" t="s">
        <v>372</v>
      </c>
      <c r="V845" s="42" t="s">
        <v>2375</v>
      </c>
      <c r="W845" s="512" t="s">
        <v>232</v>
      </c>
      <c r="X845" s="512" t="s">
        <v>232</v>
      </c>
      <c r="Y845" s="512" t="s">
        <v>232</v>
      </c>
      <c r="Z845" s="39">
        <v>0</v>
      </c>
      <c r="AA845" s="39">
        <v>0</v>
      </c>
      <c r="AB845" s="41" t="s">
        <v>232</v>
      </c>
      <c r="AC845" s="519" t="str">
        <f>""</f>
        <v/>
      </c>
      <c r="AD845" s="522">
        <v>1</v>
      </c>
      <c r="AE845" s="522" t="s">
        <v>236</v>
      </c>
      <c r="AF845" s="522" t="s">
        <v>237</v>
      </c>
      <c r="AG845" s="522">
        <v>1</v>
      </c>
      <c r="AH845" s="520">
        <v>6</v>
      </c>
      <c r="AI845" s="520">
        <v>0</v>
      </c>
      <c r="AJ845" s="520">
        <f>VLOOKUP($I845,'Price List, Weapons &amp; Items'!A:E,5,0)</f>
        <v>0</v>
      </c>
      <c r="AK845" s="520">
        <f t="shared" si="189"/>
        <v>0</v>
      </c>
      <c r="AL845" s="520">
        <f t="shared" si="190"/>
        <v>0</v>
      </c>
      <c r="AM845" s="520">
        <f t="shared" si="191"/>
        <v>0</v>
      </c>
      <c r="AN845" s="521" t="str">
        <f>VLOOKUP($I845,'Price List, Weapons &amp; Items'!A:K,COLUMN('Price List, Weapons &amp; Items'!$I$1),0)</f>
        <v>.</v>
      </c>
      <c r="AO845" s="521" t="str">
        <f>IF(I845=".",".",VLOOKUP($I845,'Price List, Weapons &amp; Items'!A:I,3,0))</f>
        <v>.</v>
      </c>
      <c r="AP845" s="517" t="str">
        <f t="shared" ca="1" si="186"/>
        <v>.</v>
      </c>
      <c r="AQ845" s="521" t="str">
        <f>VLOOKUP($I845,'Price List, Weapons &amp; Items'!A:K,COLUMN('Price List, Weapons &amp; Items'!$K$1),0)</f>
        <v>no price, 0 count</v>
      </c>
      <c r="AS845" s="521">
        <f t="shared" si="192"/>
        <v>0</v>
      </c>
      <c r="AT845" s="521">
        <f t="shared" si="193"/>
        <v>0</v>
      </c>
      <c r="AU845" s="521">
        <f t="shared" si="194"/>
        <v>1</v>
      </c>
      <c r="AV845" s="521" t="str">
        <f t="shared" si="195"/>
        <v>.</v>
      </c>
    </row>
    <row r="846" spans="1:48" ht="15" customHeight="1">
      <c r="A846" s="41" t="s">
        <v>2382</v>
      </c>
      <c r="B846" s="41" t="s">
        <v>2368</v>
      </c>
      <c r="C846" s="511">
        <v>44714</v>
      </c>
      <c r="D846" s="18" t="s">
        <v>228</v>
      </c>
      <c r="E846" s="18" t="s">
        <v>330</v>
      </c>
      <c r="F846" s="512" t="s">
        <v>2383</v>
      </c>
      <c r="G846" s="39" t="s">
        <v>314</v>
      </c>
      <c r="H846" s="513">
        <v>500000</v>
      </c>
      <c r="I846" s="41" t="s">
        <v>232</v>
      </c>
      <c r="J846" s="276" t="str">
        <f>VLOOKUP($I846,'Price List, Weapons &amp; Items'!A:B,2,0)</f>
        <v>.</v>
      </c>
      <c r="K846" s="276" t="str">
        <f>IF(I846=".",I846,VLOOKUP($I846,'Price List, Weapons &amp; Items'!A:C,3,0))</f>
        <v>.</v>
      </c>
      <c r="L846" s="514">
        <f>VLOOKUP(I846,'Price List, Weapons &amp; Items'!A:D,4,0)</f>
        <v>0</v>
      </c>
      <c r="M846" s="515" t="s">
        <v>232</v>
      </c>
      <c r="N846" s="515" t="s">
        <v>232</v>
      </c>
      <c r="O846" s="516" t="str">
        <f>VLOOKUP($I846,'Price List, Weapons &amp; Items'!A:F,6,0)</f>
        <v>.</v>
      </c>
      <c r="P846" s="513" t="str">
        <f t="shared" si="187"/>
        <v>.</v>
      </c>
      <c r="Q846" s="513" t="str">
        <f t="shared" si="188"/>
        <v>.</v>
      </c>
      <c r="R846" s="513">
        <f t="shared" si="185"/>
        <v>500000</v>
      </c>
      <c r="S846" s="513">
        <f>IF(AND(AD846=1,R846&lt;&gt;".")=TRUE,R846/VLOOKUP(G846,'Exchange rates'!B:C,2,0),IF(R846=".",".",""))</f>
        <v>498256.10363726952</v>
      </c>
      <c r="T846" s="513" t="str">
        <f>IF(AD846=1,IF(AF846="Value is not given at all",".",IF(AF846="Value is given by the source",S846,IF(AF846="Value is calculated with prices",(IF(SUMIFS(Q:Q,A:A,A846)&gt;0,SUMIFS(Q:Q,A:A,A846),"."))/VLOOKUP("USD",'Exchange rates'!B:C,2,0),"Error with coding"))),"")</f>
        <v>.</v>
      </c>
      <c r="U846" s="39" t="s">
        <v>372</v>
      </c>
      <c r="V846" s="42" t="s">
        <v>2375</v>
      </c>
      <c r="W846" s="512" t="s">
        <v>232</v>
      </c>
      <c r="X846" s="512" t="s">
        <v>232</v>
      </c>
      <c r="Y846" s="512" t="s">
        <v>232</v>
      </c>
      <c r="Z846" s="39">
        <v>0</v>
      </c>
      <c r="AA846" s="39">
        <v>0</v>
      </c>
      <c r="AB846" s="41" t="s">
        <v>232</v>
      </c>
      <c r="AC846" s="519" t="str">
        <f>""</f>
        <v/>
      </c>
      <c r="AD846" s="522">
        <v>1</v>
      </c>
      <c r="AE846" s="522" t="s">
        <v>236</v>
      </c>
      <c r="AF846" s="522" t="s">
        <v>237</v>
      </c>
      <c r="AG846" s="522">
        <v>1</v>
      </c>
      <c r="AH846" s="520">
        <v>6</v>
      </c>
      <c r="AI846" s="520">
        <v>0</v>
      </c>
      <c r="AJ846" s="520">
        <f>VLOOKUP($I846,'Price List, Weapons &amp; Items'!A:E,5,0)</f>
        <v>0</v>
      </c>
      <c r="AK846" s="520">
        <f t="shared" si="189"/>
        <v>0</v>
      </c>
      <c r="AL846" s="520">
        <f t="shared" si="190"/>
        <v>0</v>
      </c>
      <c r="AM846" s="520">
        <f t="shared" si="191"/>
        <v>0</v>
      </c>
      <c r="AN846" s="521" t="str">
        <f>VLOOKUP($I846,'Price List, Weapons &amp; Items'!A:K,COLUMN('Price List, Weapons &amp; Items'!$I$1),0)</f>
        <v>.</v>
      </c>
      <c r="AO846" s="521" t="str">
        <f>IF(I846=".",".",VLOOKUP($I846,'Price List, Weapons &amp; Items'!A:I,3,0))</f>
        <v>.</v>
      </c>
      <c r="AP846" s="517" t="str">
        <f t="shared" ca="1" si="186"/>
        <v>.</v>
      </c>
      <c r="AQ846" s="521" t="str">
        <f>VLOOKUP($I846,'Price List, Weapons &amp; Items'!A:K,COLUMN('Price List, Weapons &amp; Items'!$K$1),0)</f>
        <v>no price, 0 count</v>
      </c>
      <c r="AS846" s="521">
        <f t="shared" si="192"/>
        <v>0</v>
      </c>
      <c r="AT846" s="521">
        <f t="shared" si="193"/>
        <v>0</v>
      </c>
      <c r="AU846" s="521">
        <f t="shared" si="194"/>
        <v>1</v>
      </c>
      <c r="AV846" s="521" t="str">
        <f t="shared" si="195"/>
        <v>.</v>
      </c>
    </row>
    <row r="847" spans="1:48" ht="15" customHeight="1">
      <c r="A847" s="41" t="s">
        <v>2384</v>
      </c>
      <c r="B847" s="41" t="s">
        <v>2368</v>
      </c>
      <c r="C847" s="511">
        <v>44732</v>
      </c>
      <c r="D847" s="18" t="s">
        <v>228</v>
      </c>
      <c r="E847" s="18" t="s">
        <v>330</v>
      </c>
      <c r="F847" s="512" t="s">
        <v>2385</v>
      </c>
      <c r="G847" s="39" t="s">
        <v>314</v>
      </c>
      <c r="H847" s="513">
        <v>500000</v>
      </c>
      <c r="I847" s="41" t="s">
        <v>232</v>
      </c>
      <c r="J847" s="276" t="str">
        <f>VLOOKUP($I847,'Price List, Weapons &amp; Items'!A:B,2,0)</f>
        <v>.</v>
      </c>
      <c r="K847" s="276" t="str">
        <f>IF(I847=".",I847,VLOOKUP($I847,'Price List, Weapons &amp; Items'!A:C,3,0))</f>
        <v>.</v>
      </c>
      <c r="L847" s="514">
        <f>VLOOKUP(I847,'Price List, Weapons &amp; Items'!A:D,4,0)</f>
        <v>0</v>
      </c>
      <c r="M847" s="515" t="s">
        <v>232</v>
      </c>
      <c r="N847" s="515" t="s">
        <v>232</v>
      </c>
      <c r="O847" s="516" t="str">
        <f>VLOOKUP($I847,'Price List, Weapons &amp; Items'!A:F,6,0)</f>
        <v>.</v>
      </c>
      <c r="P847" s="513" t="str">
        <f t="shared" si="187"/>
        <v>.</v>
      </c>
      <c r="Q847" s="513" t="str">
        <f t="shared" si="188"/>
        <v>.</v>
      </c>
      <c r="R847" s="513">
        <f t="shared" si="185"/>
        <v>500000</v>
      </c>
      <c r="S847" s="513">
        <f>IF(AND(AD847=1,R847&lt;&gt;".")=TRUE,R847/VLOOKUP(G847,'Exchange rates'!B:C,2,0),IF(R847=".",".",""))</f>
        <v>498256.10363726952</v>
      </c>
      <c r="T847" s="513" t="str">
        <f>IF(AD847=1,IF(AF847="Value is not given at all",".",IF(AF847="Value is given by the source",S847,IF(AF847="Value is calculated with prices",(IF(SUMIFS(Q:Q,A:A,A847)&gt;0,SUMIFS(Q:Q,A:A,A847),"."))/VLOOKUP("USD",'Exchange rates'!B:C,2,0),"Error with coding"))),"")</f>
        <v>.</v>
      </c>
      <c r="U847" s="39" t="s">
        <v>372</v>
      </c>
      <c r="V847" s="42" t="s">
        <v>2386</v>
      </c>
      <c r="W847" s="512" t="s">
        <v>232</v>
      </c>
      <c r="X847" s="512" t="s">
        <v>232</v>
      </c>
      <c r="Y847" s="512" t="s">
        <v>232</v>
      </c>
      <c r="Z847" s="39">
        <v>0</v>
      </c>
      <c r="AA847" s="39">
        <v>0</v>
      </c>
      <c r="AB847" s="41" t="s">
        <v>232</v>
      </c>
      <c r="AC847" s="519" t="str">
        <f>""</f>
        <v/>
      </c>
      <c r="AD847" s="522">
        <v>1</v>
      </c>
      <c r="AE847" s="522" t="s">
        <v>236</v>
      </c>
      <c r="AF847" s="522" t="s">
        <v>237</v>
      </c>
      <c r="AG847" s="522">
        <v>1</v>
      </c>
      <c r="AH847" s="520">
        <v>6</v>
      </c>
      <c r="AI847" s="520">
        <v>0</v>
      </c>
      <c r="AJ847" s="520">
        <f>VLOOKUP($I847,'Price List, Weapons &amp; Items'!A:E,5,0)</f>
        <v>0</v>
      </c>
      <c r="AK847" s="520">
        <f t="shared" si="189"/>
        <v>0</v>
      </c>
      <c r="AL847" s="520">
        <f t="shared" si="190"/>
        <v>0</v>
      </c>
      <c r="AM847" s="520">
        <f t="shared" si="191"/>
        <v>0</v>
      </c>
      <c r="AN847" s="521" t="str">
        <f>VLOOKUP($I847,'Price List, Weapons &amp; Items'!A:K,COLUMN('Price List, Weapons &amp; Items'!$I$1),0)</f>
        <v>.</v>
      </c>
      <c r="AO847" s="521" t="str">
        <f>IF(I847=".",".",VLOOKUP($I847,'Price List, Weapons &amp; Items'!A:I,3,0))</f>
        <v>.</v>
      </c>
      <c r="AP847" s="517" t="str">
        <f t="shared" ca="1" si="186"/>
        <v>.</v>
      </c>
      <c r="AQ847" s="521" t="str">
        <f>VLOOKUP($I847,'Price List, Weapons &amp; Items'!A:K,COLUMN('Price List, Weapons &amp; Items'!$K$1),0)</f>
        <v>no price, 0 count</v>
      </c>
      <c r="AS847" s="521">
        <f t="shared" si="192"/>
        <v>0</v>
      </c>
      <c r="AT847" s="521">
        <f t="shared" si="193"/>
        <v>0</v>
      </c>
      <c r="AU847" s="521">
        <f t="shared" si="194"/>
        <v>1</v>
      </c>
      <c r="AV847" s="521" t="str">
        <f t="shared" si="195"/>
        <v>.</v>
      </c>
    </row>
    <row r="848" spans="1:48" ht="15" customHeight="1">
      <c r="A848" s="41" t="s">
        <v>2387</v>
      </c>
      <c r="B848" s="41" t="s">
        <v>2368</v>
      </c>
      <c r="C848" s="511">
        <v>44861</v>
      </c>
      <c r="D848" s="18" t="s">
        <v>228</v>
      </c>
      <c r="E848" s="18" t="s">
        <v>789</v>
      </c>
      <c r="F848" s="512" t="s">
        <v>2388</v>
      </c>
      <c r="G848" s="39" t="s">
        <v>314</v>
      </c>
      <c r="H848" s="513">
        <v>56000000</v>
      </c>
      <c r="I848" s="41" t="s">
        <v>232</v>
      </c>
      <c r="J848" s="276" t="str">
        <f>VLOOKUP($I848,'Price List, Weapons &amp; Items'!A:B,2,0)</f>
        <v>.</v>
      </c>
      <c r="K848" s="276" t="str">
        <f>IF(I848=".",I848,VLOOKUP($I848,'Price List, Weapons &amp; Items'!A:C,3,0))</f>
        <v>.</v>
      </c>
      <c r="L848" s="514">
        <f>VLOOKUP(I848,'Price List, Weapons &amp; Items'!A:D,4,0)</f>
        <v>0</v>
      </c>
      <c r="M848" s="515" t="s">
        <v>232</v>
      </c>
      <c r="N848" s="515" t="s">
        <v>232</v>
      </c>
      <c r="O848" s="516" t="str">
        <f>VLOOKUP($I848,'Price List, Weapons &amp; Items'!A:F,6,0)</f>
        <v>.</v>
      </c>
      <c r="P848" s="513" t="str">
        <f t="shared" si="187"/>
        <v>.</v>
      </c>
      <c r="Q848" s="513" t="str">
        <f t="shared" si="188"/>
        <v>.</v>
      </c>
      <c r="R848" s="513">
        <f t="shared" si="185"/>
        <v>56000000</v>
      </c>
      <c r="S848" s="513">
        <f>IF(AND(AD848=1,R848&lt;&gt;".")=TRUE,R848/VLOOKUP(G848,'Exchange rates'!B:C,2,0),IF(R848=".",".",""))</f>
        <v>55804683.607374184</v>
      </c>
      <c r="T848" s="513" t="str">
        <f>IF(AD848=1,IF(AF848="Value is not given at all",".",IF(AF848="Value is given by the source",S848,IF(AF848="Value is calculated with prices",(IF(SUMIFS(Q:Q,A:A,A848)&gt;0,SUMIFS(Q:Q,A:A,A848),"."))/VLOOKUP("USD",'Exchange rates'!B:C,2,0),"Error with coding"))),"")</f>
        <v>.</v>
      </c>
      <c r="U848" s="39" t="s">
        <v>233</v>
      </c>
      <c r="V848" s="827" t="s">
        <v>2389</v>
      </c>
      <c r="W848" s="827" t="s">
        <v>2390</v>
      </c>
      <c r="X848" s="512" t="s">
        <v>232</v>
      </c>
      <c r="Y848" s="825" t="s">
        <v>232</v>
      </c>
      <c r="Z848" s="39">
        <v>0</v>
      </c>
      <c r="AA848" s="39">
        <v>1</v>
      </c>
      <c r="AB848" s="395" t="s">
        <v>232</v>
      </c>
      <c r="AC848" s="519" t="str">
        <f>""</f>
        <v/>
      </c>
      <c r="AD848" s="522">
        <v>1</v>
      </c>
      <c r="AE848" s="522" t="s">
        <v>236</v>
      </c>
      <c r="AF848" s="522" t="s">
        <v>237</v>
      </c>
      <c r="AG848" s="522">
        <v>1</v>
      </c>
      <c r="AH848" s="520">
        <v>10</v>
      </c>
      <c r="AI848" s="520">
        <v>0</v>
      </c>
      <c r="AJ848" s="520">
        <f>VLOOKUP($I848,'Price List, Weapons &amp; Items'!A:E,5,0)</f>
        <v>0</v>
      </c>
      <c r="AK848" s="520">
        <f t="shared" si="189"/>
        <v>0</v>
      </c>
      <c r="AL848" s="520">
        <f t="shared" si="190"/>
        <v>0</v>
      </c>
      <c r="AM848" s="520">
        <f t="shared" si="191"/>
        <v>0</v>
      </c>
      <c r="AN848" s="521" t="str">
        <f>VLOOKUP($I848,'Price List, Weapons &amp; Items'!A:K,COLUMN('Price List, Weapons &amp; Items'!$I$1),0)</f>
        <v>.</v>
      </c>
      <c r="AO848" s="521" t="str">
        <f>IF(I848=".",".",VLOOKUP($I848,'Price List, Weapons &amp; Items'!A:I,3,0))</f>
        <v>.</v>
      </c>
      <c r="AP848" s="517" t="str">
        <f t="shared" ca="1" si="186"/>
        <v>.</v>
      </c>
      <c r="AQ848" s="521" t="str">
        <f>VLOOKUP($I848,'Price List, Weapons &amp; Items'!A:K,COLUMN('Price List, Weapons &amp; Items'!$K$1),0)</f>
        <v>no price, 0 count</v>
      </c>
      <c r="AS848" s="521">
        <f t="shared" si="192"/>
        <v>1</v>
      </c>
      <c r="AT848" s="521">
        <f t="shared" si="193"/>
        <v>0</v>
      </c>
      <c r="AU848" s="521">
        <f t="shared" si="194"/>
        <v>1</v>
      </c>
      <c r="AV848" s="521" t="str">
        <f t="shared" si="195"/>
        <v>.</v>
      </c>
    </row>
    <row r="849" spans="1:48" ht="15" customHeight="1">
      <c r="A849" s="41" t="s">
        <v>2391</v>
      </c>
      <c r="B849" s="41" t="s">
        <v>2392</v>
      </c>
      <c r="C849" s="511">
        <v>44619</v>
      </c>
      <c r="D849" s="18" t="s">
        <v>228</v>
      </c>
      <c r="E849" s="18" t="s">
        <v>489</v>
      </c>
      <c r="F849" s="512" t="s">
        <v>2393</v>
      </c>
      <c r="G849" s="39" t="s">
        <v>2394</v>
      </c>
      <c r="H849" s="513">
        <v>40000000</v>
      </c>
      <c r="I849" s="41" t="s">
        <v>232</v>
      </c>
      <c r="J849" s="276" t="str">
        <f>VLOOKUP($I849,'Price List, Weapons &amp; Items'!A:B,2,0)</f>
        <v>.</v>
      </c>
      <c r="K849" s="276" t="str">
        <f>IF(I849=".",I849,VLOOKUP($I849,'Price List, Weapons &amp; Items'!A:C,3,0))</f>
        <v>.</v>
      </c>
      <c r="L849" s="514">
        <f>VLOOKUP(I849,'Price List, Weapons &amp; Items'!A:D,4,0)</f>
        <v>0</v>
      </c>
      <c r="M849" s="515" t="s">
        <v>232</v>
      </c>
      <c r="N849" s="515" t="s">
        <v>232</v>
      </c>
      <c r="O849" s="516" t="str">
        <f>VLOOKUP($I849,'Price List, Weapons &amp; Items'!A:F,6,0)</f>
        <v>.</v>
      </c>
      <c r="P849" s="513" t="str">
        <f t="shared" si="187"/>
        <v>.</v>
      </c>
      <c r="Q849" s="513" t="str">
        <f t="shared" si="188"/>
        <v>.</v>
      </c>
      <c r="R849" s="513">
        <f t="shared" si="185"/>
        <v>40000000</v>
      </c>
      <c r="S849" s="513">
        <f>IF(AND(AD849=1,R849&lt;&gt;".")=TRUE,R849/VLOOKUP(G849,'Exchange rates'!B:C,2,0),IF(R849=".",".",""))</f>
        <v>46104195.481788844</v>
      </c>
      <c r="T849" s="513" t="str">
        <f>IF(AD849=1,IF(AF849="Value is not given at all",".",IF(AF849="Value is given by the source",S849,IF(AF849="Value is calculated with prices",(IF(SUMIFS(Q:Q,A:A,A849)&gt;0,SUMIFS(Q:Q,A:A,A849),"."))/VLOOKUP("USD",'Exchange rates'!B:C,2,0),"Error with coding"))),"")</f>
        <v>.</v>
      </c>
      <c r="U849" s="39" t="s">
        <v>372</v>
      </c>
      <c r="V849" s="42" t="s">
        <v>2395</v>
      </c>
      <c r="W849" s="517" t="s">
        <v>232</v>
      </c>
      <c r="X849" s="517" t="s">
        <v>232</v>
      </c>
      <c r="Y849" s="517" t="s">
        <v>232</v>
      </c>
      <c r="Z849" s="39">
        <v>0</v>
      </c>
      <c r="AA849" s="518">
        <v>0</v>
      </c>
      <c r="AB849" s="38" t="s">
        <v>232</v>
      </c>
      <c r="AC849" s="519" t="str">
        <f>""</f>
        <v/>
      </c>
      <c r="AD849" s="520">
        <v>1</v>
      </c>
      <c r="AE849" s="520" t="s">
        <v>236</v>
      </c>
      <c r="AF849" s="520" t="s">
        <v>237</v>
      </c>
      <c r="AG849" s="520">
        <v>1</v>
      </c>
      <c r="AH849" s="520">
        <v>2</v>
      </c>
      <c r="AI849" s="520">
        <v>0</v>
      </c>
      <c r="AJ849" s="520">
        <f>VLOOKUP($I849,'Price List, Weapons &amp; Items'!A:E,5,0)</f>
        <v>0</v>
      </c>
      <c r="AK849" s="520">
        <f t="shared" si="189"/>
        <v>0</v>
      </c>
      <c r="AL849" s="520">
        <f t="shared" si="190"/>
        <v>0</v>
      </c>
      <c r="AM849" s="520">
        <f t="shared" si="191"/>
        <v>0</v>
      </c>
      <c r="AN849" s="521" t="str">
        <f>VLOOKUP($I849,'Price List, Weapons &amp; Items'!A:K,COLUMN('Price List, Weapons &amp; Items'!$I$1),0)</f>
        <v>.</v>
      </c>
      <c r="AO849" s="521" t="str">
        <f>IF(I849=".",".",VLOOKUP($I849,'Price List, Weapons &amp; Items'!A:I,3,0))</f>
        <v>.</v>
      </c>
      <c r="AP849" s="517" t="str">
        <f t="shared" ca="1" si="186"/>
        <v>.</v>
      </c>
      <c r="AQ849" s="521" t="str">
        <f>VLOOKUP($I849,'Price List, Weapons &amp; Items'!A:K,COLUMN('Price List, Weapons &amp; Items'!$K$1),0)</f>
        <v>no price, 0 count</v>
      </c>
      <c r="AS849" s="521">
        <f t="shared" si="192"/>
        <v>0</v>
      </c>
      <c r="AT849" s="521">
        <f t="shared" si="193"/>
        <v>0</v>
      </c>
      <c r="AU849" s="521">
        <f t="shared" si="194"/>
        <v>1</v>
      </c>
      <c r="AV849" s="521" t="str">
        <f t="shared" si="195"/>
        <v>.</v>
      </c>
    </row>
    <row r="850" spans="1:48" ht="15" customHeight="1">
      <c r="A850" s="41" t="s">
        <v>2396</v>
      </c>
      <c r="B850" s="41" t="s">
        <v>2392</v>
      </c>
      <c r="C850" s="511">
        <v>44621</v>
      </c>
      <c r="D850" s="18" t="s">
        <v>228</v>
      </c>
      <c r="E850" s="18" t="s">
        <v>489</v>
      </c>
      <c r="F850" s="512" t="s">
        <v>2397</v>
      </c>
      <c r="G850" s="39" t="s">
        <v>2394</v>
      </c>
      <c r="H850" s="513">
        <v>40000000</v>
      </c>
      <c r="I850" s="41" t="s">
        <v>232</v>
      </c>
      <c r="J850" s="276" t="str">
        <f>VLOOKUP($I850,'Price List, Weapons &amp; Items'!A:B,2,0)</f>
        <v>.</v>
      </c>
      <c r="K850" s="276" t="str">
        <f>IF(I850=".",I850,VLOOKUP($I850,'Price List, Weapons &amp; Items'!A:C,3,0))</f>
        <v>.</v>
      </c>
      <c r="L850" s="514">
        <f>VLOOKUP(I850,'Price List, Weapons &amp; Items'!A:D,4,0)</f>
        <v>0</v>
      </c>
      <c r="M850" s="515" t="s">
        <v>232</v>
      </c>
      <c r="N850" s="515" t="s">
        <v>232</v>
      </c>
      <c r="O850" s="516" t="str">
        <f>VLOOKUP($I850,'Price List, Weapons &amp; Items'!A:F,6,0)</f>
        <v>.</v>
      </c>
      <c r="P850" s="513" t="str">
        <f t="shared" si="187"/>
        <v>.</v>
      </c>
      <c r="Q850" s="513" t="str">
        <f t="shared" si="188"/>
        <v>.</v>
      </c>
      <c r="R850" s="513">
        <f t="shared" si="185"/>
        <v>40000000</v>
      </c>
      <c r="S850" s="513">
        <f>IF(AND(AD850=1,R850&lt;&gt;".")=TRUE,R850/VLOOKUP(G850,'Exchange rates'!B:C,2,0),IF(R850=".",".",""))</f>
        <v>46104195.481788844</v>
      </c>
      <c r="T850" s="513" t="str">
        <f>IF(AD850=1,IF(AF850="Value is not given at all",".",IF(AF850="Value is given by the source",S850,IF(AF850="Value is calculated with prices",(IF(SUMIFS(Q:Q,A:A,A850)&gt;0,SUMIFS(Q:Q,A:A,A850),"."))/VLOOKUP("USD",'Exchange rates'!B:C,2,0),"Error with coding"))),"")</f>
        <v>.</v>
      </c>
      <c r="U850" s="39" t="s">
        <v>372</v>
      </c>
      <c r="V850" s="42" t="s">
        <v>2398</v>
      </c>
      <c r="W850" s="42" t="s">
        <v>2399</v>
      </c>
      <c r="X850" s="42" t="s">
        <v>2400</v>
      </c>
      <c r="Y850" s="517" t="s">
        <v>232</v>
      </c>
      <c r="Z850" s="39">
        <v>0</v>
      </c>
      <c r="AA850" s="518">
        <v>0</v>
      </c>
      <c r="AB850" s="38" t="s">
        <v>232</v>
      </c>
      <c r="AC850" s="519" t="str">
        <f>""</f>
        <v/>
      </c>
      <c r="AD850" s="520">
        <v>1</v>
      </c>
      <c r="AE850" s="520" t="s">
        <v>236</v>
      </c>
      <c r="AF850" s="520" t="s">
        <v>237</v>
      </c>
      <c r="AG850" s="520">
        <v>1</v>
      </c>
      <c r="AH850" s="520">
        <v>3</v>
      </c>
      <c r="AI850" s="520">
        <v>0</v>
      </c>
      <c r="AJ850" s="520">
        <f>VLOOKUP($I850,'Price List, Weapons &amp; Items'!A:E,5,0)</f>
        <v>0</v>
      </c>
      <c r="AK850" s="520">
        <f t="shared" si="189"/>
        <v>0</v>
      </c>
      <c r="AL850" s="520">
        <f t="shared" si="190"/>
        <v>0</v>
      </c>
      <c r="AM850" s="520">
        <f t="shared" si="191"/>
        <v>0</v>
      </c>
      <c r="AN850" s="521" t="str">
        <f>VLOOKUP($I850,'Price List, Weapons &amp; Items'!A:K,COLUMN('Price List, Weapons &amp; Items'!$I$1),0)</f>
        <v>.</v>
      </c>
      <c r="AO850" s="521" t="str">
        <f>IF(I850=".",".",VLOOKUP($I850,'Price List, Weapons &amp; Items'!A:I,3,0))</f>
        <v>.</v>
      </c>
      <c r="AP850" s="517" t="str">
        <f t="shared" ca="1" si="186"/>
        <v>.</v>
      </c>
      <c r="AQ850" s="521" t="str">
        <f>VLOOKUP($I850,'Price List, Weapons &amp; Items'!A:K,COLUMN('Price List, Weapons &amp; Items'!$K$1),0)</f>
        <v>no price, 0 count</v>
      </c>
      <c r="AS850" s="521">
        <f t="shared" si="192"/>
        <v>0</v>
      </c>
      <c r="AT850" s="521">
        <f t="shared" si="193"/>
        <v>0</v>
      </c>
      <c r="AU850" s="521">
        <f t="shared" si="194"/>
        <v>1</v>
      </c>
      <c r="AV850" s="521" t="str">
        <f t="shared" si="195"/>
        <v>.</v>
      </c>
    </row>
    <row r="851" spans="1:48" ht="15" customHeight="1">
      <c r="A851" s="41" t="s">
        <v>2401</v>
      </c>
      <c r="B851" s="41" t="s">
        <v>2392</v>
      </c>
      <c r="C851" s="511">
        <v>44627</v>
      </c>
      <c r="D851" s="18" t="s">
        <v>228</v>
      </c>
      <c r="E851" s="18" t="s">
        <v>489</v>
      </c>
      <c r="F851" s="512" t="s">
        <v>2402</v>
      </c>
      <c r="G851" s="39" t="s">
        <v>2394</v>
      </c>
      <c r="H851" s="513">
        <v>230000000</v>
      </c>
      <c r="I851" s="41" t="s">
        <v>232</v>
      </c>
      <c r="J851" s="276" t="str">
        <f>VLOOKUP($I851,'Price List, Weapons &amp; Items'!A:B,2,0)</f>
        <v>.</v>
      </c>
      <c r="K851" s="276" t="str">
        <f>IF(I851=".",I851,VLOOKUP($I851,'Price List, Weapons &amp; Items'!A:C,3,0))</f>
        <v>.</v>
      </c>
      <c r="L851" s="514">
        <f>VLOOKUP(I851,'Price List, Weapons &amp; Items'!A:D,4,0)</f>
        <v>0</v>
      </c>
      <c r="M851" s="515" t="s">
        <v>232</v>
      </c>
      <c r="N851" s="515" t="s">
        <v>232</v>
      </c>
      <c r="O851" s="516" t="str">
        <f>VLOOKUP($I851,'Price List, Weapons &amp; Items'!A:F,6,0)</f>
        <v>.</v>
      </c>
      <c r="P851" s="513" t="str">
        <f t="shared" si="187"/>
        <v>.</v>
      </c>
      <c r="Q851" s="513" t="str">
        <f t="shared" si="188"/>
        <v>.</v>
      </c>
      <c r="R851" s="513">
        <f t="shared" si="185"/>
        <v>230000000</v>
      </c>
      <c r="S851" s="513">
        <f>IF(AND(AD851=1,R851&lt;&gt;".")=TRUE,R851/VLOOKUP(G851,'Exchange rates'!B:C,2,0),IF(R851=".",".",""))</f>
        <v>265099124.02028584</v>
      </c>
      <c r="T851" s="513" t="str">
        <f>IF(AD851=1,IF(AF851="Value is not given at all",".",IF(AF851="Value is given by the source",S851,IF(AF851="Value is calculated with prices",(IF(SUMIFS(Q:Q,A:A,A851)&gt;0,SUMIFS(Q:Q,A:A,A851),"."))/VLOOKUP("USD",'Exchange rates'!B:C,2,0),"Error with coding"))),"")</f>
        <v>.</v>
      </c>
      <c r="U851" s="39" t="s">
        <v>372</v>
      </c>
      <c r="V851" s="42" t="s">
        <v>2403</v>
      </c>
      <c r="W851" s="512" t="s">
        <v>232</v>
      </c>
      <c r="X851" s="512" t="s">
        <v>232</v>
      </c>
      <c r="Y851" s="517" t="s">
        <v>232</v>
      </c>
      <c r="Z851" s="39">
        <v>0</v>
      </c>
      <c r="AA851" s="518">
        <v>0</v>
      </c>
      <c r="AB851" s="38" t="s">
        <v>232</v>
      </c>
      <c r="AC851" s="519" t="str">
        <f>""</f>
        <v/>
      </c>
      <c r="AD851" s="520">
        <v>1</v>
      </c>
      <c r="AE851" s="520" t="s">
        <v>236</v>
      </c>
      <c r="AF851" s="520" t="s">
        <v>237</v>
      </c>
      <c r="AG851" s="520">
        <v>1</v>
      </c>
      <c r="AH851" s="520">
        <v>3</v>
      </c>
      <c r="AI851" s="520">
        <v>0</v>
      </c>
      <c r="AJ851" s="520">
        <f>VLOOKUP($I851,'Price List, Weapons &amp; Items'!A:E,5,0)</f>
        <v>0</v>
      </c>
      <c r="AK851" s="520">
        <f t="shared" si="189"/>
        <v>0</v>
      </c>
      <c r="AL851" s="520">
        <f t="shared" si="190"/>
        <v>0</v>
      </c>
      <c r="AM851" s="520">
        <f t="shared" si="191"/>
        <v>0</v>
      </c>
      <c r="AN851" s="521" t="str">
        <f>VLOOKUP($I851,'Price List, Weapons &amp; Items'!A:K,COLUMN('Price List, Weapons &amp; Items'!$I$1),0)</f>
        <v>.</v>
      </c>
      <c r="AO851" s="521" t="str">
        <f>IF(I851=".",".",VLOOKUP($I851,'Price List, Weapons &amp; Items'!A:I,3,0))</f>
        <v>.</v>
      </c>
      <c r="AP851" s="517" t="str">
        <f t="shared" ca="1" si="186"/>
        <v>.</v>
      </c>
      <c r="AQ851" s="521" t="str">
        <f>VLOOKUP($I851,'Price List, Weapons &amp; Items'!A:K,COLUMN('Price List, Weapons &amp; Items'!$K$1),0)</f>
        <v>no price, 0 count</v>
      </c>
      <c r="AS851" s="521">
        <f t="shared" si="192"/>
        <v>0</v>
      </c>
      <c r="AT851" s="521">
        <f t="shared" si="193"/>
        <v>0</v>
      </c>
      <c r="AU851" s="521">
        <f t="shared" si="194"/>
        <v>1</v>
      </c>
      <c r="AV851" s="521" t="str">
        <f t="shared" si="195"/>
        <v>.</v>
      </c>
    </row>
    <row r="852" spans="1:48" ht="15" customHeight="1">
      <c r="A852" s="41" t="s">
        <v>2404</v>
      </c>
      <c r="B852" s="41" t="s">
        <v>2392</v>
      </c>
      <c r="C852" s="511">
        <v>44634</v>
      </c>
      <c r="D852" s="18" t="s">
        <v>228</v>
      </c>
      <c r="E852" s="18" t="s">
        <v>239</v>
      </c>
      <c r="F852" s="512" t="s">
        <v>2405</v>
      </c>
      <c r="G852" s="39" t="s">
        <v>2394</v>
      </c>
      <c r="H852" s="513">
        <v>7000000</v>
      </c>
      <c r="I852" s="41" t="s">
        <v>626</v>
      </c>
      <c r="J852" s="276" t="str">
        <f>VLOOKUP($I852,'Price List, Weapons &amp; Items'!A:B,2,0)</f>
        <v>Humanitarian</v>
      </c>
      <c r="K852" s="276" t="str">
        <f>IF(I852=".",I852,VLOOKUP($I852,'Price List, Weapons &amp; Items'!A:C,3,0))</f>
        <v>.</v>
      </c>
      <c r="L852" s="514">
        <f>VLOOKUP(I852,'Price List, Weapons &amp; Items'!A:D,4,0)</f>
        <v>0</v>
      </c>
      <c r="M852" s="515">
        <f>569 +287</f>
        <v>856</v>
      </c>
      <c r="N852" s="515" t="s">
        <v>232</v>
      </c>
      <c r="O852" s="516" t="str">
        <f>VLOOKUP($I852,'Price List, Weapons &amp; Items'!A:F,6,0)</f>
        <v>.</v>
      </c>
      <c r="P852" s="513" t="str">
        <f t="shared" si="187"/>
        <v>No price</v>
      </c>
      <c r="Q852" s="513" t="str">
        <f t="shared" si="188"/>
        <v>.</v>
      </c>
      <c r="R852" s="513">
        <f t="shared" si="185"/>
        <v>7000000</v>
      </c>
      <c r="S852" s="513">
        <f>IF(AND(AD852=1,R852&lt;&gt;".")=TRUE,R852/VLOOKUP(G852,'Exchange rates'!B:C,2,0),IF(R852=".",".",""))</f>
        <v>8068234.2093130471</v>
      </c>
      <c r="T852" s="513" t="str">
        <f>IF(AD852=1,IF(AF852="Value is not given at all",".",IF(AF852="Value is given by the source",S852,IF(AF852="Value is calculated with prices",(IF(SUMIFS(Q:Q,A:A,A852)&gt;0,SUMIFS(Q:Q,A:A,A852),"."))/VLOOKUP("USD",'Exchange rates'!B:C,2,0),"Error with coding"))),"")</f>
        <v>.</v>
      </c>
      <c r="U852" s="39" t="s">
        <v>233</v>
      </c>
      <c r="V852" s="42" t="s">
        <v>2406</v>
      </c>
      <c r="W852" s="825" t="s">
        <v>2407</v>
      </c>
      <c r="X852" s="512" t="s">
        <v>2408</v>
      </c>
      <c r="Y852" s="517" t="s">
        <v>232</v>
      </c>
      <c r="Z852" s="39">
        <v>0</v>
      </c>
      <c r="AA852" s="518">
        <v>1</v>
      </c>
      <c r="AB852" s="38" t="s">
        <v>232</v>
      </c>
      <c r="AC852" s="519" t="str">
        <f>""</f>
        <v/>
      </c>
      <c r="AD852" s="520">
        <v>1</v>
      </c>
      <c r="AE852" s="520" t="s">
        <v>236</v>
      </c>
      <c r="AF852" s="520" t="s">
        <v>237</v>
      </c>
      <c r="AG852" s="520">
        <v>1</v>
      </c>
      <c r="AH852" s="520">
        <v>3</v>
      </c>
      <c r="AI852" s="520">
        <v>0</v>
      </c>
      <c r="AJ852" s="520">
        <f>VLOOKUP($I852,'Price List, Weapons &amp; Items'!A:E,5,0)</f>
        <v>0</v>
      </c>
      <c r="AK852" s="520">
        <f t="shared" si="189"/>
        <v>0</v>
      </c>
      <c r="AL852" s="520">
        <f t="shared" si="190"/>
        <v>0</v>
      </c>
      <c r="AM852" s="520">
        <f t="shared" si="191"/>
        <v>0</v>
      </c>
      <c r="AN852" s="521" t="str">
        <f>VLOOKUP($I852,'Price List, Weapons &amp; Items'!A:K,COLUMN('Price List, Weapons &amp; Items'!$I$1),0)</f>
        <v>Media reports (incl. social media)</v>
      </c>
      <c r="AO852" s="521" t="str">
        <f>IF(I852=".",".",VLOOKUP($I852,'Price List, Weapons &amp; Items'!A:I,3,0))</f>
        <v>.</v>
      </c>
      <c r="AP852" s="517" t="str">
        <f t="shared" ca="1" si="186"/>
        <v>Power generator</v>
      </c>
      <c r="AQ852" s="521">
        <f>VLOOKUP($I852,'Price List, Weapons &amp; Items'!A:K,COLUMN('Price List, Weapons &amp; Items'!$K$1),0)</f>
        <v>0</v>
      </c>
      <c r="AS852" s="521">
        <f t="shared" si="192"/>
        <v>1</v>
      </c>
      <c r="AT852" s="521">
        <f t="shared" si="193"/>
        <v>0</v>
      </c>
      <c r="AU852" s="521">
        <f t="shared" si="194"/>
        <v>1</v>
      </c>
      <c r="AV852" s="521" t="str">
        <f t="shared" si="195"/>
        <v>.</v>
      </c>
    </row>
    <row r="853" spans="1:48" ht="15" customHeight="1">
      <c r="A853" s="41" t="s">
        <v>2409</v>
      </c>
      <c r="B853" s="41" t="s">
        <v>2392</v>
      </c>
      <c r="C853" s="511">
        <v>44656</v>
      </c>
      <c r="D853" s="18" t="s">
        <v>228</v>
      </c>
      <c r="E853" s="18" t="s">
        <v>229</v>
      </c>
      <c r="F853" s="512" t="s">
        <v>2410</v>
      </c>
      <c r="G853" s="39" t="s">
        <v>2394</v>
      </c>
      <c r="H853" s="513">
        <v>10000000</v>
      </c>
      <c r="I853" s="41" t="s">
        <v>232</v>
      </c>
      <c r="J853" s="276" t="str">
        <f>VLOOKUP($I853,'Price List, Weapons &amp; Items'!A:B,2,0)</f>
        <v>.</v>
      </c>
      <c r="K853" s="276" t="str">
        <f>IF(I853=".",I853,VLOOKUP($I853,'Price List, Weapons &amp; Items'!A:C,3,0))</f>
        <v>.</v>
      </c>
      <c r="L853" s="514">
        <f>VLOOKUP(I853,'Price List, Weapons &amp; Items'!A:D,4,0)</f>
        <v>0</v>
      </c>
      <c r="M853" s="515" t="s">
        <v>232</v>
      </c>
      <c r="N853" s="515" t="s">
        <v>232</v>
      </c>
      <c r="O853" s="516" t="str">
        <f>VLOOKUP($I853,'Price List, Weapons &amp; Items'!A:F,6,0)</f>
        <v>.</v>
      </c>
      <c r="P853" s="513" t="str">
        <f t="shared" si="187"/>
        <v>.</v>
      </c>
      <c r="Q853" s="513" t="str">
        <f t="shared" si="188"/>
        <v>.</v>
      </c>
      <c r="R853" s="513">
        <f t="shared" si="185"/>
        <v>10000000</v>
      </c>
      <c r="S853" s="513">
        <f>IF(AND(AD853=1,R853&lt;&gt;".")=TRUE,R853/VLOOKUP(G853,'Exchange rates'!B:C,2,0),IF(R853=".",".",""))</f>
        <v>11526048.870447211</v>
      </c>
      <c r="T853" s="513" t="str">
        <f>IF(AD853=1,IF(AF853="Value is not given at all",".",IF(AF853="Value is given by the source",S853,IF(AF853="Value is calculated with prices",(IF(SUMIFS(Q:Q,A:A,A853)&gt;0,SUMIFS(Q:Q,A:A,A853),"."))/VLOOKUP("USD",'Exchange rates'!B:C,2,0),"Error with coding"))),"")</f>
        <v>.</v>
      </c>
      <c r="U853" s="39" t="s">
        <v>233</v>
      </c>
      <c r="V853" s="42" t="s">
        <v>2411</v>
      </c>
      <c r="W853" s="42" t="s">
        <v>2412</v>
      </c>
      <c r="X853" s="512" t="s">
        <v>232</v>
      </c>
      <c r="Y853" s="517" t="s">
        <v>232</v>
      </c>
      <c r="Z853" s="39">
        <v>0</v>
      </c>
      <c r="AA853" s="518">
        <v>1</v>
      </c>
      <c r="AB853" s="38" t="s">
        <v>232</v>
      </c>
      <c r="AC853" s="519" t="str">
        <f>""</f>
        <v/>
      </c>
      <c r="AD853" s="520">
        <v>1</v>
      </c>
      <c r="AE853" s="520" t="s">
        <v>236</v>
      </c>
      <c r="AF853" s="520" t="s">
        <v>237</v>
      </c>
      <c r="AG853" s="520">
        <v>1</v>
      </c>
      <c r="AH853" s="520">
        <v>4</v>
      </c>
      <c r="AI853" s="520">
        <v>0</v>
      </c>
      <c r="AJ853" s="520">
        <f>VLOOKUP($I853,'Price List, Weapons &amp; Items'!A:E,5,0)</f>
        <v>0</v>
      </c>
      <c r="AK853" s="520">
        <f t="shared" si="189"/>
        <v>0</v>
      </c>
      <c r="AL853" s="520">
        <f t="shared" si="190"/>
        <v>0</v>
      </c>
      <c r="AM853" s="520">
        <f t="shared" si="191"/>
        <v>0</v>
      </c>
      <c r="AN853" s="521" t="str">
        <f>VLOOKUP($I853,'Price List, Weapons &amp; Items'!A:K,COLUMN('Price List, Weapons &amp; Items'!$I$1),0)</f>
        <v>.</v>
      </c>
      <c r="AO853" s="521" t="str">
        <f>IF(I853=".",".",VLOOKUP($I853,'Price List, Weapons &amp; Items'!A:I,3,0))</f>
        <v>.</v>
      </c>
      <c r="AP853" s="517" t="str">
        <f t="shared" ca="1" si="186"/>
        <v>.</v>
      </c>
      <c r="AQ853" s="521" t="str">
        <f>VLOOKUP($I853,'Price List, Weapons &amp; Items'!A:K,COLUMN('Price List, Weapons &amp; Items'!$K$1),0)</f>
        <v>no price, 0 count</v>
      </c>
      <c r="AS853" s="521">
        <f t="shared" si="192"/>
        <v>1</v>
      </c>
      <c r="AT853" s="521">
        <f t="shared" si="193"/>
        <v>0</v>
      </c>
      <c r="AU853" s="521">
        <f t="shared" si="194"/>
        <v>1</v>
      </c>
      <c r="AV853" s="521" t="str">
        <f t="shared" si="195"/>
        <v>.</v>
      </c>
    </row>
    <row r="854" spans="1:48" ht="15" customHeight="1">
      <c r="A854" s="41" t="s">
        <v>2413</v>
      </c>
      <c r="B854" s="41" t="s">
        <v>2392</v>
      </c>
      <c r="C854" s="511">
        <v>44753</v>
      </c>
      <c r="D854" s="18" t="s">
        <v>228</v>
      </c>
      <c r="E854" s="18" t="s">
        <v>330</v>
      </c>
      <c r="F854" s="512" t="s">
        <v>2414</v>
      </c>
      <c r="G854" s="39" t="s">
        <v>2394</v>
      </c>
      <c r="H854" s="513">
        <v>5000000</v>
      </c>
      <c r="I854" s="41" t="s">
        <v>232</v>
      </c>
      <c r="J854" s="276" t="str">
        <f>VLOOKUP($I854,'Price List, Weapons &amp; Items'!A:B,2,0)</f>
        <v>.</v>
      </c>
      <c r="K854" s="276" t="str">
        <f>IF(I854=".",I854,VLOOKUP($I854,'Price List, Weapons &amp; Items'!A:C,3,0))</f>
        <v>.</v>
      </c>
      <c r="L854" s="514">
        <f>VLOOKUP(I854,'Price List, Weapons &amp; Items'!A:D,4,0)</f>
        <v>0</v>
      </c>
      <c r="M854" s="515" t="s">
        <v>232</v>
      </c>
      <c r="N854" s="515" t="s">
        <v>232</v>
      </c>
      <c r="O854" s="516" t="str">
        <f>VLOOKUP($I854,'Price List, Weapons &amp; Items'!A:F,6,0)</f>
        <v>.</v>
      </c>
      <c r="P854" s="513" t="str">
        <f t="shared" ref="P854:P855" si="196">IF(TYPE(M854)=1,IF(TYPE(O854)=1,M854*O854,"No price"),".")</f>
        <v>.</v>
      </c>
      <c r="Q854" s="513" t="str">
        <f t="shared" ref="Q854:Q855" si="197">IF(TYPE(N854)=1,IF(TYPE(O854)=1,N854*O854,"No price"),".")</f>
        <v>.</v>
      </c>
      <c r="R854" s="513">
        <f t="shared" si="185"/>
        <v>5000000</v>
      </c>
      <c r="S854" s="513">
        <f>IF(AND(AD854=1,R854&lt;&gt;".")=TRUE,R854/VLOOKUP(G854,'Exchange rates'!B:C,2,0),IF(R854=".",".",""))</f>
        <v>5763024.4352236055</v>
      </c>
      <c r="T854" s="513" t="str">
        <f>IF(AD854=1,IF(AF854="Value is not given at all",".",IF(AF854="Value is given by the source",S854,IF(AF854="Value is calculated with prices",(IF(SUMIFS(Q:Q,A:A,A854)&gt;0,SUMIFS(Q:Q,A:A,A854),"."))/VLOOKUP("USD",'Exchange rates'!B:C,2,0),"Error with coding"))),"")</f>
        <v>.</v>
      </c>
      <c r="U854" s="39" t="s">
        <v>233</v>
      </c>
      <c r="V854" s="42" t="s">
        <v>2415</v>
      </c>
      <c r="W854" s="42" t="s">
        <v>232</v>
      </c>
      <c r="X854" s="512" t="s">
        <v>232</v>
      </c>
      <c r="Y854" s="517" t="s">
        <v>232</v>
      </c>
      <c r="Z854" s="39">
        <v>0</v>
      </c>
      <c r="AA854" s="518">
        <v>1</v>
      </c>
      <c r="AB854" s="38" t="s">
        <v>232</v>
      </c>
      <c r="AC854" s="519" t="str">
        <f>""</f>
        <v/>
      </c>
      <c r="AD854" s="520">
        <v>1</v>
      </c>
      <c r="AE854" s="520" t="s">
        <v>236</v>
      </c>
      <c r="AF854" s="520" t="s">
        <v>237</v>
      </c>
      <c r="AG854" s="520">
        <v>1</v>
      </c>
      <c r="AH854" s="520">
        <v>7</v>
      </c>
      <c r="AI854" s="520">
        <v>0</v>
      </c>
      <c r="AJ854" s="520">
        <f>VLOOKUP($I854,'Price List, Weapons &amp; Items'!A:E,5,0)</f>
        <v>0</v>
      </c>
      <c r="AK854" s="520">
        <f t="shared" si="189"/>
        <v>0</v>
      </c>
      <c r="AL854" s="520">
        <f t="shared" si="190"/>
        <v>0</v>
      </c>
      <c r="AM854" s="520">
        <f t="shared" si="191"/>
        <v>0</v>
      </c>
      <c r="AN854" s="521" t="str">
        <f>VLOOKUP($I854,'Price List, Weapons &amp; Items'!A:K,COLUMN('Price List, Weapons &amp; Items'!$I$1),0)</f>
        <v>.</v>
      </c>
      <c r="AO854" s="521" t="str">
        <f>IF(I854=".",".",VLOOKUP($I854,'Price List, Weapons &amp; Items'!A:I,3,0))</f>
        <v>.</v>
      </c>
      <c r="AP854" s="517" t="str">
        <f t="shared" ca="1" si="186"/>
        <v>.</v>
      </c>
      <c r="AQ854" s="521" t="str">
        <f>VLOOKUP($I854,'Price List, Weapons &amp; Items'!A:K,COLUMN('Price List, Weapons &amp; Items'!$K$1),0)</f>
        <v>no price, 0 count</v>
      </c>
      <c r="AS854" s="521">
        <f t="shared" si="192"/>
        <v>1</v>
      </c>
      <c r="AT854" s="521">
        <f t="shared" si="193"/>
        <v>0</v>
      </c>
      <c r="AU854" s="521">
        <f t="shared" si="194"/>
        <v>1</v>
      </c>
      <c r="AV854" s="521" t="str">
        <f t="shared" si="195"/>
        <v>.</v>
      </c>
    </row>
    <row r="855" spans="1:48" ht="15" customHeight="1">
      <c r="A855" s="41" t="s">
        <v>2416</v>
      </c>
      <c r="B855" s="41" t="s">
        <v>2392</v>
      </c>
      <c r="C855" s="511">
        <v>44861</v>
      </c>
      <c r="D855" s="18" t="s">
        <v>228</v>
      </c>
      <c r="E855" s="18" t="s">
        <v>239</v>
      </c>
      <c r="F855" s="512" t="s">
        <v>2417</v>
      </c>
      <c r="G855" s="39" t="s">
        <v>314</v>
      </c>
      <c r="H855" s="513" t="s">
        <v>309</v>
      </c>
      <c r="I855" s="41" t="s">
        <v>341</v>
      </c>
      <c r="J855" s="276" t="str">
        <f>VLOOKUP($I855,'Price List, Weapons &amp; Items'!A:B,2,0)</f>
        <v>Humanitarian</v>
      </c>
      <c r="K855" s="276" t="str">
        <f>IF(I855=".",I855,VLOOKUP($I855,'Price List, Weapons &amp; Items'!A:C,3,0))</f>
        <v>.</v>
      </c>
      <c r="L855" s="514">
        <f>VLOOKUP(I855,'Price List, Weapons &amp; Items'!A:D,4,0)</f>
        <v>0</v>
      </c>
      <c r="M855" s="515">
        <v>9</v>
      </c>
      <c r="N855" s="515">
        <v>9</v>
      </c>
      <c r="O855" s="516">
        <f>VLOOKUP($I855,'Price List, Weapons &amp; Items'!A:F,6,0)</f>
        <v>400000</v>
      </c>
      <c r="P855" s="513">
        <f t="shared" si="196"/>
        <v>3600000</v>
      </c>
      <c r="Q855" s="513">
        <f t="shared" si="197"/>
        <v>3600000</v>
      </c>
      <c r="R855" s="513">
        <f t="shared" si="185"/>
        <v>3600000</v>
      </c>
      <c r="S855" s="513">
        <f>IF(AND(AD855=1,R855&lt;&gt;".")=TRUE,R855/VLOOKUP(G855,'Exchange rates'!B:C,2,0),IF(R855=".",".",""))</f>
        <v>3587443.9461883404</v>
      </c>
      <c r="T855" s="513">
        <f>IF(AD855=1,IF(AF855="Value is not given at all",".",IF(AF855="Value is given by the source",S855,IF(AF855="Value is calculated with prices",(IF(SUMIFS(Q:Q,A:A,A855)&gt;0,SUMIFS(Q:Q,A:A,A855),"."))/VLOOKUP("USD",'Exchange rates'!B:C,2,0),"Error with coding"))),"")</f>
        <v>3587443.9461883404</v>
      </c>
      <c r="U855" s="39" t="s">
        <v>233</v>
      </c>
      <c r="V855" s="42" t="s">
        <v>2418</v>
      </c>
      <c r="W855" s="42" t="s">
        <v>232</v>
      </c>
      <c r="X855" s="512" t="s">
        <v>232</v>
      </c>
      <c r="Y855" s="517" t="s">
        <v>232</v>
      </c>
      <c r="Z855" s="39">
        <v>0</v>
      </c>
      <c r="AA855" s="518">
        <v>1</v>
      </c>
      <c r="AB855" s="832" t="s">
        <v>2418</v>
      </c>
      <c r="AC855" s="519" t="str">
        <f>""</f>
        <v/>
      </c>
      <c r="AD855" s="520">
        <v>1</v>
      </c>
      <c r="AE855" s="520" t="s">
        <v>300</v>
      </c>
      <c r="AF855" s="520" t="s">
        <v>300</v>
      </c>
      <c r="AG855" s="520">
        <v>1</v>
      </c>
      <c r="AH855" s="520">
        <v>10</v>
      </c>
      <c r="AI855" s="520">
        <v>0</v>
      </c>
      <c r="AJ855" s="520">
        <f>VLOOKUP($I855,'Price List, Weapons &amp; Items'!A:E,5,0)</f>
        <v>0</v>
      </c>
      <c r="AK855" s="520">
        <f t="shared" si="189"/>
        <v>0</v>
      </c>
      <c r="AL855" s="520">
        <f t="shared" si="190"/>
        <v>0</v>
      </c>
      <c r="AM855" s="520">
        <f t="shared" si="191"/>
        <v>0</v>
      </c>
      <c r="AN855" s="521" t="str">
        <f>VLOOKUP($I855,'Price List, Weapons &amp; Items'!A:K,COLUMN('Price List, Weapons &amp; Items'!$I$1),0)</f>
        <v>Media reports (incl. social media)</v>
      </c>
      <c r="AO855" s="521" t="str">
        <f>IF(I855=".",".",VLOOKUP($I855,'Price List, Weapons &amp; Items'!A:I,3,0))</f>
        <v>.</v>
      </c>
      <c r="AP855" s="517" t="str">
        <f t="shared" ca="1" si="186"/>
        <v>Fire-vehicle</v>
      </c>
      <c r="AQ855" s="521">
        <f>VLOOKUP($I855,'Price List, Weapons &amp; Items'!A:K,COLUMN('Price List, Weapons &amp; Items'!$K$1),0)</f>
        <v>0</v>
      </c>
      <c r="AS855" s="521">
        <f t="shared" si="192"/>
        <v>1</v>
      </c>
      <c r="AT855" s="521">
        <f t="shared" si="193"/>
        <v>0</v>
      </c>
      <c r="AU855" s="521">
        <f t="shared" si="194"/>
        <v>1</v>
      </c>
      <c r="AV855" s="521" t="str">
        <f t="shared" si="195"/>
        <v>.</v>
      </c>
    </row>
    <row r="856" spans="1:48" ht="15" customHeight="1">
      <c r="A856" s="41" t="s">
        <v>2419</v>
      </c>
      <c r="B856" s="41" t="s">
        <v>2392</v>
      </c>
      <c r="C856" s="511">
        <v>44881</v>
      </c>
      <c r="D856" s="18" t="s">
        <v>228</v>
      </c>
      <c r="E856" s="18" t="s">
        <v>330</v>
      </c>
      <c r="F856" s="512" t="s">
        <v>2420</v>
      </c>
      <c r="G856" s="39" t="s">
        <v>2394</v>
      </c>
      <c r="H856" s="513">
        <v>10000000</v>
      </c>
      <c r="I856" s="41" t="s">
        <v>232</v>
      </c>
      <c r="J856" s="276" t="str">
        <f>VLOOKUP($I856,'Price List, Weapons &amp; Items'!A:B,2,0)</f>
        <v>.</v>
      </c>
      <c r="K856" s="276" t="str">
        <f>IF(I856=".",I856,VLOOKUP($I856,'Price List, Weapons &amp; Items'!A:C,3,0))</f>
        <v>.</v>
      </c>
      <c r="L856" s="514">
        <f>VLOOKUP(I856,'Price List, Weapons &amp; Items'!A:D,4,0)</f>
        <v>0</v>
      </c>
      <c r="M856" s="515" t="s">
        <v>232</v>
      </c>
      <c r="N856" s="515" t="s">
        <v>232</v>
      </c>
      <c r="O856" s="516" t="s">
        <v>232</v>
      </c>
      <c r="P856" s="513" t="s">
        <v>232</v>
      </c>
      <c r="Q856" s="513" t="s">
        <v>232</v>
      </c>
      <c r="R856" s="513">
        <f t="shared" si="185"/>
        <v>10000000</v>
      </c>
      <c r="S856" s="513">
        <f>IF(AND(AD856=1,R856&lt;&gt;".")=TRUE,R856/VLOOKUP(G856,'Exchange rates'!B:C,2,0),IF(R856=".",".",""))</f>
        <v>11526048.870447211</v>
      </c>
      <c r="T856" s="513" t="str">
        <f>IF(AD856=1,IF(AF856="Value is not given at all",".",IF(AF856="Value is given by the source",S856,IF(AF856="Value is calculated with prices",(IF(SUMIFS(Q:Q,A:A,A856)&gt;0,SUMIFS(Q:Q,A:A,A856),"."))/VLOOKUP("USD",'Exchange rates'!B:C,2,0),"Error with coding"))),"")</f>
        <v>.</v>
      </c>
      <c r="U856" s="39" t="s">
        <v>233</v>
      </c>
      <c r="V856" s="42" t="s">
        <v>2421</v>
      </c>
      <c r="W856" s="42" t="s">
        <v>232</v>
      </c>
      <c r="X856" s="512" t="s">
        <v>232</v>
      </c>
      <c r="Y856" s="517" t="s">
        <v>232</v>
      </c>
      <c r="Z856" s="39">
        <v>0</v>
      </c>
      <c r="AA856" s="518">
        <v>1</v>
      </c>
      <c r="AB856" s="38" t="s">
        <v>232</v>
      </c>
      <c r="AC856" s="519" t="str">
        <f>""</f>
        <v/>
      </c>
      <c r="AD856" s="520">
        <v>1</v>
      </c>
      <c r="AE856" s="520" t="s">
        <v>236</v>
      </c>
      <c r="AF856" s="520" t="s">
        <v>237</v>
      </c>
      <c r="AG856" s="520">
        <v>1</v>
      </c>
      <c r="AH856" s="520">
        <v>11</v>
      </c>
      <c r="AI856" s="520">
        <v>0</v>
      </c>
      <c r="AJ856" s="520">
        <f>VLOOKUP($I856,'Price List, Weapons &amp; Items'!A:E,5,0)</f>
        <v>0</v>
      </c>
      <c r="AK856" s="520">
        <f t="shared" si="189"/>
        <v>0</v>
      </c>
      <c r="AL856" s="520">
        <f t="shared" si="190"/>
        <v>0</v>
      </c>
      <c r="AM856" s="520">
        <f t="shared" si="191"/>
        <v>0</v>
      </c>
      <c r="AN856" s="521" t="str">
        <f>VLOOKUP($I856,'Price List, Weapons &amp; Items'!A:K,COLUMN('Price List, Weapons &amp; Items'!$I$1),0)</f>
        <v>.</v>
      </c>
      <c r="AO856" s="521" t="str">
        <f>IF(I856=".",".",VLOOKUP($I856,'Price List, Weapons &amp; Items'!A:I,3,0))</f>
        <v>.</v>
      </c>
      <c r="AP856" s="517" t="str">
        <f t="shared" ca="1" si="186"/>
        <v>.</v>
      </c>
      <c r="AQ856" s="521" t="str">
        <f>VLOOKUP($I856,'Price List, Weapons &amp; Items'!A:K,COLUMN('Price List, Weapons &amp; Items'!$K$1),0)</f>
        <v>no price, 0 count</v>
      </c>
      <c r="AS856" s="521">
        <f t="shared" si="192"/>
        <v>1</v>
      </c>
      <c r="AT856" s="521">
        <f t="shared" si="193"/>
        <v>0</v>
      </c>
      <c r="AU856" s="521">
        <f t="shared" si="194"/>
        <v>1</v>
      </c>
      <c r="AV856" s="521" t="str">
        <f t="shared" si="195"/>
        <v>.</v>
      </c>
    </row>
    <row r="857" spans="1:48" ht="15" customHeight="1">
      <c r="A857" s="41" t="s">
        <v>2422</v>
      </c>
      <c r="B857" s="41" t="s">
        <v>2392</v>
      </c>
      <c r="C857" s="511">
        <v>44593</v>
      </c>
      <c r="D857" s="18" t="s">
        <v>252</v>
      </c>
      <c r="E857" s="18" t="s">
        <v>307</v>
      </c>
      <c r="F857" s="512" t="s">
        <v>2423</v>
      </c>
      <c r="G857" s="39" t="s">
        <v>314</v>
      </c>
      <c r="H857" s="513" t="s">
        <v>309</v>
      </c>
      <c r="I857" s="41" t="s">
        <v>1659</v>
      </c>
      <c r="J857" s="276" t="str">
        <f>VLOOKUP($I857,'Price List, Weapons &amp; Items'!A:B,2,0)</f>
        <v>Portable defence system</v>
      </c>
      <c r="K857" s="276" t="str">
        <f>IF(I857=".",I857,VLOOKUP($I857,'Price List, Weapons &amp; Items'!A:C,3,0))</f>
        <v>Light Anti-armor Weapon (LAW)</v>
      </c>
      <c r="L857" s="514">
        <f>VLOOKUP(I857,'Price List, Weapons &amp; Items'!A:D,4,0)</f>
        <v>0</v>
      </c>
      <c r="M857" s="515">
        <v>2000</v>
      </c>
      <c r="N857" s="515">
        <v>2000</v>
      </c>
      <c r="O857" s="516">
        <f>VLOOKUP($I857,'Price List, Weapons &amp; Items'!A:F,6,0)</f>
        <v>40000</v>
      </c>
      <c r="P857" s="513">
        <f t="shared" si="187"/>
        <v>80000000</v>
      </c>
      <c r="Q857" s="513">
        <f t="shared" si="188"/>
        <v>80000000</v>
      </c>
      <c r="R857" s="513">
        <f t="shared" si="185"/>
        <v>80000000</v>
      </c>
      <c r="S857" s="513">
        <f>IF(AND(AD857=1,R857&lt;&gt;".")=TRUE,R857/VLOOKUP(G857,'Exchange rates'!B:C,2,0),IF(R857=".",".",""))</f>
        <v>79720976.581963122</v>
      </c>
      <c r="T857" s="513">
        <f>IF(AD857=1,IF(AF857="Value is not given at all",".",IF(AF857="Value is given by the source",S857,IF(AF857="Value is calculated with prices",(IF(SUMIFS(Q:Q,A:A,A857)&gt;0,SUMIFS(Q:Q,A:A,A857),"."))/VLOOKUP("USD",'Exchange rates'!B:C,2,0),"Error with coding"))),"")</f>
        <v>79720976.581963122</v>
      </c>
      <c r="U857" s="39" t="s">
        <v>233</v>
      </c>
      <c r="V857" s="42" t="s">
        <v>2424</v>
      </c>
      <c r="W857" s="42" t="s">
        <v>2425</v>
      </c>
      <c r="X857" s="512" t="s">
        <v>232</v>
      </c>
      <c r="Y857" s="517" t="s">
        <v>232</v>
      </c>
      <c r="Z857" s="39">
        <v>0</v>
      </c>
      <c r="AA857" s="518">
        <v>0</v>
      </c>
      <c r="AB857" s="394" t="s">
        <v>2426</v>
      </c>
      <c r="AC857" s="519" t="str">
        <f>""</f>
        <v/>
      </c>
      <c r="AD857" s="520">
        <v>1</v>
      </c>
      <c r="AE857" s="520" t="s">
        <v>300</v>
      </c>
      <c r="AF857" s="520" t="s">
        <v>300</v>
      </c>
      <c r="AG857" s="520">
        <v>1</v>
      </c>
      <c r="AH857" s="520">
        <v>2</v>
      </c>
      <c r="AI857" s="520">
        <v>1</v>
      </c>
      <c r="AJ857" s="520">
        <f>VLOOKUP($I857,'Price List, Weapons &amp; Items'!A:E,5,0)</f>
        <v>0</v>
      </c>
      <c r="AK857" s="520">
        <f t="shared" si="189"/>
        <v>0</v>
      </c>
      <c r="AL857" s="520">
        <f t="shared" si="190"/>
        <v>0</v>
      </c>
      <c r="AM857" s="520">
        <f t="shared" si="191"/>
        <v>0</v>
      </c>
      <c r="AN857" s="521" t="str">
        <f>VLOOKUP($I857,'Price List, Weapons &amp; Items'!A:K,COLUMN('Price List, Weapons &amp; Items'!$I$1),0)</f>
        <v>Media reports (incl. social media)</v>
      </c>
      <c r="AO857" s="521" t="str">
        <f>IF(I857=".",".",VLOOKUP($I857,'Price List, Weapons &amp; Items'!A:I,3,0))</f>
        <v>Light Anti-armor Weapon (LAW)</v>
      </c>
      <c r="AP857" s="517" t="str">
        <f t="shared" ca="1" si="186"/>
        <v>NLAW anti-tank weapon</v>
      </c>
      <c r="AQ857" s="521">
        <f>VLOOKUP($I857,'Price List, Weapons &amp; Items'!A:K,COLUMN('Price List, Weapons &amp; Items'!$K$1),0)</f>
        <v>2</v>
      </c>
      <c r="AS857" s="521">
        <f t="shared" si="192"/>
        <v>1</v>
      </c>
      <c r="AT857" s="521">
        <f t="shared" si="193"/>
        <v>1</v>
      </c>
      <c r="AU857" s="521">
        <f t="shared" si="194"/>
        <v>1</v>
      </c>
      <c r="AV857" s="521" t="str">
        <f t="shared" si="195"/>
        <v>.</v>
      </c>
    </row>
    <row r="858" spans="1:48" ht="15" customHeight="1">
      <c r="A858" s="41" t="s">
        <v>2427</v>
      </c>
      <c r="B858" s="41" t="s">
        <v>2392</v>
      </c>
      <c r="C858" s="511">
        <v>44629</v>
      </c>
      <c r="D858" s="18" t="s">
        <v>252</v>
      </c>
      <c r="E858" s="18" t="s">
        <v>307</v>
      </c>
      <c r="F858" s="512" t="s">
        <v>2428</v>
      </c>
      <c r="G858" s="39" t="s">
        <v>314</v>
      </c>
      <c r="H858" s="513" t="s">
        <v>309</v>
      </c>
      <c r="I858" s="41" t="s">
        <v>1659</v>
      </c>
      <c r="J858" s="276" t="str">
        <f>VLOOKUP($I858,'Price List, Weapons &amp; Items'!A:B,2,0)</f>
        <v>Portable defence system</v>
      </c>
      <c r="K858" s="276" t="str">
        <f>IF(I858=".",I858,VLOOKUP($I858,'Price List, Weapons &amp; Items'!A:C,3,0))</f>
        <v>Light Anti-armor Weapon (LAW)</v>
      </c>
      <c r="L858" s="514">
        <f>VLOOKUP(I858,'Price List, Weapons &amp; Items'!A:D,4,0)</f>
        <v>0</v>
      </c>
      <c r="M858" s="515">
        <v>3165</v>
      </c>
      <c r="N858" s="515">
        <v>3165</v>
      </c>
      <c r="O858" s="516">
        <f>VLOOKUP($I858,'Price List, Weapons &amp; Items'!A:F,6,0)</f>
        <v>40000</v>
      </c>
      <c r="P858" s="513">
        <f t="shared" si="187"/>
        <v>126600000</v>
      </c>
      <c r="Q858" s="513">
        <f t="shared" si="188"/>
        <v>126600000</v>
      </c>
      <c r="R858" s="513">
        <f t="shared" si="185"/>
        <v>126600000</v>
      </c>
      <c r="S858" s="513">
        <f>IF(AND(AD858=1,R858&lt;&gt;".")=TRUE,R858/VLOOKUP(G858,'Exchange rates'!B:C,2,0),IF(R858=".",".",""))</f>
        <v>126158445.44095664</v>
      </c>
      <c r="T858" s="513">
        <f>IF(AD858=1,IF(AF858="Value is not given at all",".",IF(AF858="Value is given by the source",S858,IF(AF858="Value is calculated with prices",(IF(SUMIFS(Q:Q,A:A,A858)&gt;0,SUMIFS(Q:Q,A:A,A858),"."))/VLOOKUP("USD",'Exchange rates'!B:C,2,0),"Error with coding"))),"")</f>
        <v>126158445.44095664</v>
      </c>
      <c r="U858" s="39" t="s">
        <v>372</v>
      </c>
      <c r="V858" s="42" t="s">
        <v>2429</v>
      </c>
      <c r="W858" s="512" t="s">
        <v>232</v>
      </c>
      <c r="X858" s="512" t="s">
        <v>232</v>
      </c>
      <c r="Y858" s="517" t="s">
        <v>232</v>
      </c>
      <c r="Z858" s="39">
        <v>0</v>
      </c>
      <c r="AA858" s="518">
        <v>0</v>
      </c>
      <c r="AB858" s="394" t="s">
        <v>2426</v>
      </c>
      <c r="AC858" s="519" t="str">
        <f>""</f>
        <v/>
      </c>
      <c r="AD858" s="520">
        <v>1</v>
      </c>
      <c r="AE858" s="520" t="s">
        <v>300</v>
      </c>
      <c r="AF858" s="520" t="s">
        <v>300</v>
      </c>
      <c r="AG858" s="520">
        <v>1</v>
      </c>
      <c r="AH858" s="520">
        <v>3</v>
      </c>
      <c r="AI858" s="520">
        <v>0</v>
      </c>
      <c r="AJ858" s="520">
        <f>VLOOKUP($I858,'Price List, Weapons &amp; Items'!A:E,5,0)</f>
        <v>0</v>
      </c>
      <c r="AK858" s="520">
        <f t="shared" si="189"/>
        <v>0</v>
      </c>
      <c r="AL858" s="520">
        <f t="shared" si="190"/>
        <v>0</v>
      </c>
      <c r="AM858" s="520">
        <f t="shared" si="191"/>
        <v>0</v>
      </c>
      <c r="AN858" s="521" t="str">
        <f>VLOOKUP($I858,'Price List, Weapons &amp; Items'!A:K,COLUMN('Price List, Weapons &amp; Items'!$I$1),0)</f>
        <v>Media reports (incl. social media)</v>
      </c>
      <c r="AO858" s="521" t="str">
        <f>IF(I858=".",".",VLOOKUP($I858,'Price List, Weapons &amp; Items'!A:I,3,0))</f>
        <v>Light Anti-armor Weapon (LAW)</v>
      </c>
      <c r="AP858" s="517" t="str">
        <f t="shared" ca="1" si="186"/>
        <v>NLAW anti-tank weapon</v>
      </c>
      <c r="AQ858" s="521">
        <f>VLOOKUP($I858,'Price List, Weapons &amp; Items'!A:K,COLUMN('Price List, Weapons &amp; Items'!$K$1),0)</f>
        <v>2</v>
      </c>
      <c r="AS858" s="521">
        <f t="shared" si="192"/>
        <v>0</v>
      </c>
      <c r="AT858" s="521">
        <f t="shared" si="193"/>
        <v>1</v>
      </c>
      <c r="AU858" s="521">
        <f t="shared" si="194"/>
        <v>1</v>
      </c>
      <c r="AV858" s="521" t="str">
        <f t="shared" si="195"/>
        <v>.</v>
      </c>
    </row>
    <row r="859" spans="1:48" ht="15" customHeight="1">
      <c r="A859" s="41" t="s">
        <v>2430</v>
      </c>
      <c r="B859" s="41" t="s">
        <v>2392</v>
      </c>
      <c r="C859" s="511">
        <v>44629</v>
      </c>
      <c r="D859" s="18" t="s">
        <v>252</v>
      </c>
      <c r="E859" s="18" t="s">
        <v>307</v>
      </c>
      <c r="F859" s="512" t="s">
        <v>2431</v>
      </c>
      <c r="G859" s="39" t="s">
        <v>232</v>
      </c>
      <c r="H859" s="513" t="s">
        <v>309</v>
      </c>
      <c r="I859" s="41" t="s">
        <v>2432</v>
      </c>
      <c r="J859" s="276" t="str">
        <f>VLOOKUP($I859,'Price List, Weapons &amp; Items'!A:B,2,0)</f>
        <v>Portable defence system</v>
      </c>
      <c r="K859" s="276" t="str">
        <f>IF(I859=".",I859,VLOOKUP($I859,'Price List, Weapons &amp; Items'!A:C,3,0))</f>
        <v>MANPADS</v>
      </c>
      <c r="L859" s="514">
        <f>VLOOKUP(I859,'Price List, Weapons &amp; Items'!A:D,4,0)</f>
        <v>0</v>
      </c>
      <c r="M859" s="515" t="s">
        <v>264</v>
      </c>
      <c r="N859" s="515" t="s">
        <v>264</v>
      </c>
      <c r="O859" s="516">
        <f>VLOOKUP($I859,'Price List, Weapons &amp; Items'!A:F,6,0)</f>
        <v>1750000</v>
      </c>
      <c r="P859" s="513" t="str">
        <f t="shared" si="187"/>
        <v>.</v>
      </c>
      <c r="Q859" s="513" t="str">
        <f t="shared" si="188"/>
        <v>.</v>
      </c>
      <c r="R859" s="513" t="str">
        <f t="shared" si="185"/>
        <v>.</v>
      </c>
      <c r="S859" s="513" t="str">
        <f>IF(AND(AD859=1,R859&lt;&gt;".")=TRUE,R859/VLOOKUP(G859,'Exchange rates'!B:C,2,0),IF(R859=".",".",""))</f>
        <v>.</v>
      </c>
      <c r="T859" s="513" t="str">
        <f>IF(AD859=1,IF(AF859="Value is not given at all",".",IF(AF859="Value is given by the source",S859,IF(AF859="Value is calculated with prices",(IF(SUMIFS(Q:Q,A:A,A859)&gt;0,SUMIFS(Q:Q,A:A,A859),"."))/VLOOKUP("USD",'Exchange rates'!B:C,2,0),"Error with coding"))),"")</f>
        <v>.</v>
      </c>
      <c r="U859" s="39" t="s">
        <v>372</v>
      </c>
      <c r="V859" s="42" t="s">
        <v>2433</v>
      </c>
      <c r="W859" s="42" t="s">
        <v>2434</v>
      </c>
      <c r="X859" s="512" t="s">
        <v>232</v>
      </c>
      <c r="Y859" s="517" t="s">
        <v>232</v>
      </c>
      <c r="Z859" s="39">
        <v>0</v>
      </c>
      <c r="AA859" s="518">
        <v>0</v>
      </c>
      <c r="AB859" s="394" t="s">
        <v>2435</v>
      </c>
      <c r="AC859" s="519" t="str">
        <f>""</f>
        <v/>
      </c>
      <c r="AD859" s="520">
        <v>1</v>
      </c>
      <c r="AE859" s="520" t="s">
        <v>237</v>
      </c>
      <c r="AF859" s="520" t="s">
        <v>237</v>
      </c>
      <c r="AG859" s="520">
        <v>1</v>
      </c>
      <c r="AH859" s="520">
        <v>3</v>
      </c>
      <c r="AI859" s="520">
        <v>0</v>
      </c>
      <c r="AJ859" s="520">
        <f>VLOOKUP($I859,'Price List, Weapons &amp; Items'!A:E,5,0)</f>
        <v>0</v>
      </c>
      <c r="AK859" s="520">
        <f t="shared" si="189"/>
        <v>0</v>
      </c>
      <c r="AL859" s="520">
        <f t="shared" si="190"/>
        <v>0</v>
      </c>
      <c r="AM859" s="520">
        <f t="shared" si="191"/>
        <v>0</v>
      </c>
      <c r="AN859" s="521" t="str">
        <f>VLOOKUP($I859,'Price List, Weapons &amp; Items'!A:K,COLUMN('Price List, Weapons &amp; Items'!$I$1),0)</f>
        <v>Contracts</v>
      </c>
      <c r="AO859" s="521" t="str">
        <f>IF(I859=".",".",VLOOKUP($I859,'Price List, Weapons &amp; Items'!A:I,3,0))</f>
        <v>MANPADS</v>
      </c>
      <c r="AP859" s="517" t="str">
        <f t="shared" ca="1" si="186"/>
        <v>Starstreak anti-aircraft missile system</v>
      </c>
      <c r="AQ859" s="521" t="str">
        <f>VLOOKUP($I859,'Price List, Weapons &amp; Items'!A:K,COLUMN('Price List, Weapons &amp; Items'!$K$1),0)</f>
        <v>no price, 0 count</v>
      </c>
      <c r="AS859" s="521">
        <f t="shared" si="192"/>
        <v>0</v>
      </c>
      <c r="AT859" s="521">
        <f t="shared" si="193"/>
        <v>1</v>
      </c>
      <c r="AU859" s="521">
        <f t="shared" si="194"/>
        <v>1</v>
      </c>
      <c r="AV859" s="521" t="str">
        <f t="shared" si="195"/>
        <v>.</v>
      </c>
    </row>
    <row r="860" spans="1:48" ht="15" customHeight="1">
      <c r="A860" s="41" t="s">
        <v>2436</v>
      </c>
      <c r="B860" s="41" t="s">
        <v>2392</v>
      </c>
      <c r="C860" s="511">
        <v>44643</v>
      </c>
      <c r="D860" s="18" t="s">
        <v>252</v>
      </c>
      <c r="E860" s="18" t="s">
        <v>307</v>
      </c>
      <c r="F860" s="512" t="s">
        <v>2437</v>
      </c>
      <c r="G860" s="39" t="s">
        <v>314</v>
      </c>
      <c r="H860" s="513" t="s">
        <v>309</v>
      </c>
      <c r="I860" s="41" t="s">
        <v>2438</v>
      </c>
      <c r="J860" s="276" t="str">
        <f>VLOOKUP($I860,'Price List, Weapons &amp; Items'!A:B,2,0)</f>
        <v>Ammunition for portable defence system</v>
      </c>
      <c r="K860" s="276" t="str">
        <f>IF(I860=".",I860,VLOOKUP($I860,'Price List, Weapons &amp; Items'!A:C,3,0))</f>
        <v>Light Anti-armor Weapon (LAW) ammunition</v>
      </c>
      <c r="L860" s="514">
        <f>VLOOKUP(I860,'Price List, Weapons &amp; Items'!A:D,4,0)</f>
        <v>0</v>
      </c>
      <c r="M860" s="515">
        <v>6000</v>
      </c>
      <c r="N860" s="515" t="s">
        <v>232</v>
      </c>
      <c r="O860" s="516">
        <f>VLOOKUP($I860,'Price List, Weapons &amp; Items'!A:F,6,0)</f>
        <v>20000</v>
      </c>
      <c r="P860" s="513">
        <f t="shared" si="187"/>
        <v>120000000</v>
      </c>
      <c r="Q860" s="513" t="str">
        <f t="shared" si="188"/>
        <v>.</v>
      </c>
      <c r="R860" s="513">
        <f t="shared" si="185"/>
        <v>120000000</v>
      </c>
      <c r="S860" s="513">
        <f>IF(AND(AD860=1,R860&lt;&gt;".")=TRUE,R860/VLOOKUP(G860,'Exchange rates'!B:C,2,0),IF(R860=".",".",""))</f>
        <v>119581464.87294468</v>
      </c>
      <c r="T860" s="513" t="str">
        <f>IF(AD860=1,IF(AF860="Value is not given at all",".",IF(AF860="Value is given by the source",S860,IF(AF860="Value is calculated with prices",(IF(SUMIFS(Q:Q,A:A,A860)&gt;0,SUMIFS(Q:Q,A:A,A860),"."))/VLOOKUP("USD",'Exchange rates'!B:C,2,0),"Error with coding"))),"")</f>
        <v>.</v>
      </c>
      <c r="U860" s="39" t="s">
        <v>372</v>
      </c>
      <c r="V860" s="42" t="s">
        <v>2439</v>
      </c>
      <c r="W860" s="42" t="s">
        <v>2440</v>
      </c>
      <c r="X860" s="512" t="s">
        <v>232</v>
      </c>
      <c r="Y860" s="517" t="s">
        <v>232</v>
      </c>
      <c r="Z860" s="39">
        <v>0</v>
      </c>
      <c r="AA860" s="518">
        <v>0</v>
      </c>
      <c r="AB860" s="38" t="s">
        <v>232</v>
      </c>
      <c r="AC860" s="519" t="str">
        <f>""</f>
        <v/>
      </c>
      <c r="AD860" s="520">
        <v>1</v>
      </c>
      <c r="AE860" s="520" t="s">
        <v>300</v>
      </c>
      <c r="AF860" s="520" t="s">
        <v>237</v>
      </c>
      <c r="AG860" s="520">
        <v>1</v>
      </c>
      <c r="AH860" s="520">
        <v>3</v>
      </c>
      <c r="AI860" s="520">
        <v>0</v>
      </c>
      <c r="AJ860" s="520">
        <f>VLOOKUP($I860,'Price List, Weapons &amp; Items'!A:E,5,0)</f>
        <v>0</v>
      </c>
      <c r="AK860" s="520">
        <f t="shared" si="189"/>
        <v>0</v>
      </c>
      <c r="AL860" s="520">
        <f t="shared" si="190"/>
        <v>0</v>
      </c>
      <c r="AM860" s="520">
        <f t="shared" si="191"/>
        <v>0</v>
      </c>
      <c r="AN860" s="521" t="str">
        <f>VLOOKUP($I860,'Price List, Weapons &amp; Items'!A:K,COLUMN('Price List, Weapons &amp; Items'!$I$1),0)</f>
        <v>Media reports (incl. social media)</v>
      </c>
      <c r="AO860" s="521" t="str">
        <f>IF(I860=".",".",VLOOKUP($I860,'Price List, Weapons &amp; Items'!A:I,3,0))</f>
        <v>Light Anti-armor Weapon (LAW) ammunition</v>
      </c>
      <c r="AP860" s="517" t="str">
        <f t="shared" ca="1" si="186"/>
        <v>defensive missile</v>
      </c>
      <c r="AQ860" s="521">
        <f>VLOOKUP($I860,'Price List, Weapons &amp; Items'!A:K,COLUMN('Price List, Weapons &amp; Items'!$K$1),0)</f>
        <v>2</v>
      </c>
      <c r="AS860" s="521">
        <f t="shared" si="192"/>
        <v>0</v>
      </c>
      <c r="AT860" s="521">
        <f t="shared" si="193"/>
        <v>1</v>
      </c>
      <c r="AU860" s="521">
        <f t="shared" si="194"/>
        <v>1</v>
      </c>
      <c r="AV860" s="521" t="str">
        <f t="shared" si="195"/>
        <v>.</v>
      </c>
    </row>
    <row r="861" spans="1:48" ht="15" customHeight="1">
      <c r="A861" s="18" t="s">
        <v>2441</v>
      </c>
      <c r="B861" s="18" t="s">
        <v>2392</v>
      </c>
      <c r="C861" s="511">
        <v>44644</v>
      </c>
      <c r="D861" s="18" t="s">
        <v>252</v>
      </c>
      <c r="E861" s="18" t="s">
        <v>307</v>
      </c>
      <c r="F861" s="512" t="s">
        <v>2442</v>
      </c>
      <c r="G861" s="39" t="s">
        <v>314</v>
      </c>
      <c r="H861" s="513" t="s">
        <v>309</v>
      </c>
      <c r="I861" s="41" t="s">
        <v>2443</v>
      </c>
      <c r="J861" s="276" t="str">
        <f>VLOOKUP($I861,'Price List, Weapons &amp; Items'!A:B,2,0)</f>
        <v>Ammunition for portable defence system</v>
      </c>
      <c r="K861" s="276" t="str">
        <f>IF(I861=".",I861,VLOOKUP($I861,'Price List, Weapons &amp; Items'!A:C,3,0))</f>
        <v>Light Anti-armor Weapon (LAW) ammunition</v>
      </c>
      <c r="L861" s="514">
        <f>VLOOKUP(I861,'Price List, Weapons &amp; Items'!A:D,4,0)</f>
        <v>0</v>
      </c>
      <c r="M861" s="515">
        <v>6000</v>
      </c>
      <c r="N861" s="515">
        <f>M861</f>
        <v>6000</v>
      </c>
      <c r="O861" s="516">
        <f>VLOOKUP($I861,'Price List, Weapons &amp; Items'!A:F,6,0)</f>
        <v>78000</v>
      </c>
      <c r="P861" s="513">
        <f t="shared" si="187"/>
        <v>468000000</v>
      </c>
      <c r="Q861" s="513">
        <f t="shared" si="188"/>
        <v>468000000</v>
      </c>
      <c r="R861" s="513">
        <f t="shared" si="185"/>
        <v>468000000</v>
      </c>
      <c r="S861" s="513">
        <f>IF(AND(AD861=1,R861&lt;&gt;".")=TRUE,R861/VLOOKUP(G861,'Exchange rates'!B:C,2,0),IF(R861=".",".",""))</f>
        <v>466367713.0044843</v>
      </c>
      <c r="T861" s="513">
        <f>IF(AD861=1,IF(AF861="Value is not given at all",".",IF(AF861="Value is given by the source",S861,IF(AF861="Value is calculated with prices",(IF(SUMIFS(Q:Q,A:A,A861)&gt;0,SUMIFS(Q:Q,A:A,A861),"."))/VLOOKUP("USD",'Exchange rates'!B:C,2,0),"Error with coding"))),"")</f>
        <v>466367713.0044843</v>
      </c>
      <c r="U861" s="39" t="s">
        <v>233</v>
      </c>
      <c r="V861" s="376" t="s">
        <v>2444</v>
      </c>
      <c r="W861" s="376" t="s">
        <v>2445</v>
      </c>
      <c r="X861" s="528" t="s">
        <v>232</v>
      </c>
      <c r="Y861" s="530" t="s">
        <v>232</v>
      </c>
      <c r="Z861" s="39">
        <v>0</v>
      </c>
      <c r="AA861" s="518">
        <v>0</v>
      </c>
      <c r="AB861" s="394" t="s">
        <v>2446</v>
      </c>
      <c r="AC861" s="519" t="str">
        <f>""</f>
        <v/>
      </c>
      <c r="AD861" s="520">
        <v>1</v>
      </c>
      <c r="AE861" s="520" t="s">
        <v>300</v>
      </c>
      <c r="AF861" s="520" t="s">
        <v>300</v>
      </c>
      <c r="AG861" s="520">
        <v>1</v>
      </c>
      <c r="AH861" s="520">
        <v>3</v>
      </c>
      <c r="AI861" s="520">
        <v>0</v>
      </c>
      <c r="AJ861" s="520">
        <f>VLOOKUP($I861,'Price List, Weapons &amp; Items'!A:E,5,0)</f>
        <v>0</v>
      </c>
      <c r="AK861" s="520">
        <f t="shared" si="189"/>
        <v>0</v>
      </c>
      <c r="AL861" s="520">
        <f t="shared" si="190"/>
        <v>0</v>
      </c>
      <c r="AM861" s="520">
        <f t="shared" si="191"/>
        <v>0</v>
      </c>
      <c r="AN861" s="521" t="str">
        <f>VLOOKUP($I861,'Price List, Weapons &amp; Items'!A:K,COLUMN('Price List, Weapons &amp; Items'!$I$1),0)</f>
        <v>Military media (incl. websites)</v>
      </c>
      <c r="AO861" s="521" t="str">
        <f>IF(I861=".",".",VLOOKUP($I861,'Price List, Weapons &amp; Items'!A:I,3,0))</f>
        <v>Light Anti-armor Weapon (LAW) ammunition</v>
      </c>
      <c r="AP861" s="517" t="str">
        <f t="shared" ca="1" si="186"/>
        <v>missile (including NLAWs and Javelin anti-tank weapons); anti-aircraft Starstreak missile</v>
      </c>
      <c r="AQ861" s="521">
        <f>VLOOKUP($I861,'Price List, Weapons &amp; Items'!A:K,COLUMN('Price List, Weapons &amp; Items'!$K$1),0)</f>
        <v>2</v>
      </c>
      <c r="AS861" s="521">
        <f t="shared" si="192"/>
        <v>1</v>
      </c>
      <c r="AT861" s="521">
        <f t="shared" si="193"/>
        <v>1</v>
      </c>
      <c r="AU861" s="521">
        <f t="shared" si="194"/>
        <v>1</v>
      </c>
      <c r="AV861" s="521" t="str">
        <f t="shared" si="195"/>
        <v>.</v>
      </c>
    </row>
    <row r="862" spans="1:48" ht="15" customHeight="1">
      <c r="A862" s="18" t="s">
        <v>2441</v>
      </c>
      <c r="B862" s="18" t="s">
        <v>2392</v>
      </c>
      <c r="C862" s="511">
        <v>44644</v>
      </c>
      <c r="D862" s="18" t="s">
        <v>252</v>
      </c>
      <c r="E862" s="18" t="s">
        <v>307</v>
      </c>
      <c r="F862" s="512" t="s">
        <v>2442</v>
      </c>
      <c r="G862" s="39" t="s">
        <v>314</v>
      </c>
      <c r="H862" s="513" t="s">
        <v>309</v>
      </c>
      <c r="I862" s="41" t="s">
        <v>2447</v>
      </c>
      <c r="J862" s="276" t="str">
        <f>VLOOKUP($I862,'Price List, Weapons &amp; Items'!A:B,2,0)</f>
        <v>Ammunition for portable defence system</v>
      </c>
      <c r="K862" s="276" t="str">
        <f>IF(I862=".",I862,VLOOKUP($I862,'Price List, Weapons &amp; Items'!A:C,3,0))</f>
        <v>MANPADS ammunition</v>
      </c>
      <c r="L862" s="514">
        <f>VLOOKUP(I862,'Price List, Weapons &amp; Items'!A:D,4,0)</f>
        <v>0</v>
      </c>
      <c r="M862" s="515" t="s">
        <v>2448</v>
      </c>
      <c r="N862" s="515" t="str">
        <f>M862</f>
        <v>Undisclosed</v>
      </c>
      <c r="O862" s="516">
        <f>VLOOKUP($I862,'Price List, Weapons &amp; Items'!A:F,6,0)</f>
        <v>194000</v>
      </c>
      <c r="P862" s="513" t="str">
        <f t="shared" si="187"/>
        <v>.</v>
      </c>
      <c r="Q862" s="513" t="str">
        <f t="shared" si="188"/>
        <v>.</v>
      </c>
      <c r="R862" s="513" t="str">
        <f t="shared" si="185"/>
        <v/>
      </c>
      <c r="S862" s="513" t="str">
        <f>IF(AND(AD862=1,R862&lt;&gt;".")=TRUE,R862/VLOOKUP(G862,'Exchange rates'!B:C,2,0),IF(R862=".",".",""))</f>
        <v/>
      </c>
      <c r="T862" s="513" t="str">
        <f>IF(AD862=1,IF(AF862="Value is not given at all",".",IF(AF862="Value is given by the source",S862,IF(AF862="Value is calculated with prices",(IF(SUMIFS(Q:Q,A:A,A862)&gt;0,SUMIFS(Q:Q,A:A,A862),"."))/VLOOKUP("USD",'Exchange rates'!B:C,2,0),"Error with coding"))),"")</f>
        <v/>
      </c>
      <c r="U862" s="39" t="s">
        <v>233</v>
      </c>
      <c r="V862" s="376" t="s">
        <v>2444</v>
      </c>
      <c r="W862" s="376" t="s">
        <v>2445</v>
      </c>
      <c r="X862" s="528" t="s">
        <v>232</v>
      </c>
      <c r="Y862" s="530" t="s">
        <v>232</v>
      </c>
      <c r="Z862" s="39">
        <v>0</v>
      </c>
      <c r="AA862" s="518">
        <v>0</v>
      </c>
      <c r="AB862" s="394" t="s">
        <v>2446</v>
      </c>
      <c r="AC862" s="519" t="str">
        <f>""</f>
        <v/>
      </c>
      <c r="AD862" s="520">
        <v>0</v>
      </c>
      <c r="AE862" s="520" t="s">
        <v>300</v>
      </c>
      <c r="AF862" s="520" t="s">
        <v>300</v>
      </c>
      <c r="AG862" s="520">
        <v>1</v>
      </c>
      <c r="AH862" s="520">
        <v>3</v>
      </c>
      <c r="AI862" s="520">
        <v>0</v>
      </c>
      <c r="AJ862" s="520">
        <f>VLOOKUP($I862,'Price List, Weapons &amp; Items'!A:E,5,0)</f>
        <v>0</v>
      </c>
      <c r="AK862" s="520">
        <f t="shared" si="189"/>
        <v>0</v>
      </c>
      <c r="AL862" s="520">
        <f t="shared" si="190"/>
        <v>0</v>
      </c>
      <c r="AM862" s="520">
        <f t="shared" si="191"/>
        <v>0</v>
      </c>
      <c r="AN862" s="521" t="str">
        <f>VLOOKUP($I862,'Price List, Weapons &amp; Items'!A:K,COLUMN('Price List, Weapons &amp; Items'!$I$1),0)</f>
        <v>Contracts</v>
      </c>
      <c r="AO862" s="521" t="str">
        <f>IF(I862=".",".",VLOOKUP($I862,'Price List, Weapons &amp; Items'!A:I,3,0))</f>
        <v>MANPADS ammunition</v>
      </c>
      <c r="AP862" s="517" t="str">
        <f t="shared" ca="1" si="186"/>
        <v/>
      </c>
      <c r="AQ862" s="521" t="str">
        <f>VLOOKUP($I862,'Price List, Weapons &amp; Items'!A:K,COLUMN('Price List, Weapons &amp; Items'!$K$1),0)</f>
        <v>no price, 0 count</v>
      </c>
      <c r="AS862" s="521">
        <f t="shared" si="192"/>
        <v>1</v>
      </c>
      <c r="AT862" s="521">
        <f t="shared" si="193"/>
        <v>1</v>
      </c>
      <c r="AU862" s="521">
        <f t="shared" si="194"/>
        <v>1</v>
      </c>
      <c r="AV862" s="521" t="str">
        <f t="shared" si="195"/>
        <v>.</v>
      </c>
    </row>
    <row r="863" spans="1:48" ht="15" customHeight="1">
      <c r="A863" s="18" t="s">
        <v>2449</v>
      </c>
      <c r="B863" s="18" t="s">
        <v>2392</v>
      </c>
      <c r="C863" s="511">
        <v>44659</v>
      </c>
      <c r="D863" s="18" t="s">
        <v>252</v>
      </c>
      <c r="E863" s="18" t="s">
        <v>253</v>
      </c>
      <c r="F863" s="512" t="s">
        <v>2450</v>
      </c>
      <c r="G863" s="39" t="s">
        <v>2394</v>
      </c>
      <c r="H863" s="513">
        <v>100000000</v>
      </c>
      <c r="I863" s="41" t="s">
        <v>1659</v>
      </c>
      <c r="J863" s="276" t="str">
        <f>VLOOKUP($I863,'Price List, Weapons &amp; Items'!A:B,2,0)</f>
        <v>Portable defence system</v>
      </c>
      <c r="K863" s="276" t="str">
        <f>IF(I863=".",I863,VLOOKUP($I863,'Price List, Weapons &amp; Items'!A:C,3,0))</f>
        <v>Light Anti-armor Weapon (LAW)</v>
      </c>
      <c r="L863" s="514">
        <f>VLOOKUP(I863,'Price List, Weapons &amp; Items'!A:D,4,0)</f>
        <v>0</v>
      </c>
      <c r="M863" s="515">
        <v>800</v>
      </c>
      <c r="N863" s="515">
        <v>800</v>
      </c>
      <c r="O863" s="516">
        <f>VLOOKUP($I863,'Price List, Weapons &amp; Items'!A:F,6,0)</f>
        <v>40000</v>
      </c>
      <c r="P863" s="513">
        <f t="shared" si="187"/>
        <v>32000000</v>
      </c>
      <c r="Q863" s="513">
        <f t="shared" si="188"/>
        <v>32000000</v>
      </c>
      <c r="R863" s="513">
        <f t="shared" si="185"/>
        <v>100000000</v>
      </c>
      <c r="S863" s="513">
        <f>IF(AND(AD863=1,R863&lt;&gt;".")=TRUE,R863/VLOOKUP(G863,'Exchange rates'!B:C,2,0),IF(R863=".",".",""))</f>
        <v>115260488.70447209</v>
      </c>
      <c r="T863" s="513">
        <f>IF(AD863=1,IF(AF863="Value is not given at all",".",IF(AF863="Value is given by the source",S863,IF(AF863="Value is calculated with prices",(IF(SUMIFS(Q:Q,A:A,A863)&gt;0,SUMIFS(Q:Q,A:A,A863),"."))/VLOOKUP("USD",'Exchange rates'!B:C,2,0),"Error with coding"))),"")</f>
        <v>115260488.70447209</v>
      </c>
      <c r="U863" s="39" t="s">
        <v>233</v>
      </c>
      <c r="V863" s="376" t="s">
        <v>2451</v>
      </c>
      <c r="W863" s="376" t="s">
        <v>2452</v>
      </c>
      <c r="X863" s="376" t="s">
        <v>2453</v>
      </c>
      <c r="Y863" s="376" t="s">
        <v>2454</v>
      </c>
      <c r="Z863" s="39">
        <v>0</v>
      </c>
      <c r="AA863" s="518">
        <v>0</v>
      </c>
      <c r="AB863" s="38" t="s">
        <v>232</v>
      </c>
      <c r="AC863" s="519" t="str">
        <f>""</f>
        <v/>
      </c>
      <c r="AD863" s="520">
        <v>1</v>
      </c>
      <c r="AE863" s="520" t="s">
        <v>236</v>
      </c>
      <c r="AF863" s="520" t="s">
        <v>236</v>
      </c>
      <c r="AG863" s="520">
        <v>1</v>
      </c>
      <c r="AH863" s="520">
        <v>4</v>
      </c>
      <c r="AI863" s="520">
        <v>0</v>
      </c>
      <c r="AJ863" s="520">
        <f>VLOOKUP($I863,'Price List, Weapons &amp; Items'!A:E,5,0)</f>
        <v>0</v>
      </c>
      <c r="AK863" s="520">
        <f t="shared" si="189"/>
        <v>0</v>
      </c>
      <c r="AL863" s="520">
        <f t="shared" si="190"/>
        <v>0</v>
      </c>
      <c r="AM863" s="520">
        <f t="shared" si="191"/>
        <v>0</v>
      </c>
      <c r="AN863" s="521" t="str">
        <f>VLOOKUP($I863,'Price List, Weapons &amp; Items'!A:K,COLUMN('Price List, Weapons &amp; Items'!$I$1),0)</f>
        <v>Media reports (incl. social media)</v>
      </c>
      <c r="AO863" s="521" t="str">
        <f>IF(I863=".",".",VLOOKUP($I863,'Price List, Weapons &amp; Items'!A:I,3,0))</f>
        <v>Light Anti-armor Weapon (LAW)</v>
      </c>
      <c r="AP863" s="517" t="str">
        <f t="shared" ca="1" si="186"/>
        <v>NLAW anti-tank weapon; Javelin anti-tank missile; loitering munition; Starstreak anti-aircraft missile system; helmet; ballistic vest; night vision device</v>
      </c>
      <c r="AQ863" s="521">
        <f>VLOOKUP($I863,'Price List, Weapons &amp; Items'!A:K,COLUMN('Price List, Weapons &amp; Items'!$K$1),0)</f>
        <v>2</v>
      </c>
      <c r="AS863" s="521">
        <f t="shared" si="192"/>
        <v>1</v>
      </c>
      <c r="AT863" s="521">
        <f t="shared" si="193"/>
        <v>1</v>
      </c>
      <c r="AU863" s="521">
        <f t="shared" si="194"/>
        <v>1</v>
      </c>
      <c r="AV863" s="521" t="str">
        <f t="shared" si="195"/>
        <v>.</v>
      </c>
    </row>
    <row r="864" spans="1:48" ht="15" customHeight="1">
      <c r="A864" s="18" t="s">
        <v>2449</v>
      </c>
      <c r="B864" s="18" t="s">
        <v>2392</v>
      </c>
      <c r="C864" s="511">
        <v>44659</v>
      </c>
      <c r="D864" s="18" t="s">
        <v>252</v>
      </c>
      <c r="E864" s="18" t="s">
        <v>253</v>
      </c>
      <c r="F864" s="512" t="s">
        <v>2450</v>
      </c>
      <c r="G864" s="39" t="s">
        <v>2394</v>
      </c>
      <c r="H864" s="513">
        <v>100000000</v>
      </c>
      <c r="I864" s="41" t="s">
        <v>849</v>
      </c>
      <c r="J864" s="276" t="str">
        <f>VLOOKUP($I864,'Price List, Weapons &amp; Items'!A:B,2,0)</f>
        <v>Ammunition for portable defence system</v>
      </c>
      <c r="K864" s="276" t="str">
        <f>IF(I864=".",I864,VLOOKUP($I864,'Price List, Weapons &amp; Items'!A:C,3,0))</f>
        <v>Light Anti-armor Weapon (LAW) ammunition</v>
      </c>
      <c r="L864" s="514">
        <f>VLOOKUP(I864,'Price List, Weapons &amp; Items'!A:D,4,0)</f>
        <v>0</v>
      </c>
      <c r="M864" s="515" t="s">
        <v>264</v>
      </c>
      <c r="N864" s="515">
        <v>201</v>
      </c>
      <c r="O864" s="516">
        <f>VLOOKUP($I864,'Price List, Weapons &amp; Items'!A:F,6,0)</f>
        <v>78000</v>
      </c>
      <c r="P864" s="513" t="str">
        <f t="shared" si="187"/>
        <v>.</v>
      </c>
      <c r="Q864" s="513">
        <f t="shared" si="188"/>
        <v>15678000</v>
      </c>
      <c r="R864" s="513" t="str">
        <f t="shared" si="185"/>
        <v/>
      </c>
      <c r="S864" s="513" t="str">
        <f>IF(AND(AD864=1,R864&lt;&gt;".")=TRUE,R864/VLOOKUP(G864,'Exchange rates'!B:C,2,0),IF(R864=".",".",""))</f>
        <v/>
      </c>
      <c r="T864" s="513" t="str">
        <f>IF(AD864=1,IF(AF864="Value is not given at all",".",IF(AF864="Value is given by the source",S864,IF(AF864="Value is calculated with prices",(IF(SUMIFS(Q:Q,A:A,A864)&gt;0,SUMIFS(Q:Q,A:A,A864),"."))/VLOOKUP("USD",'Exchange rates'!B:C,2,0),"Error with coding"))),"")</f>
        <v/>
      </c>
      <c r="U864" s="39" t="s">
        <v>233</v>
      </c>
      <c r="V864" s="376" t="s">
        <v>2451</v>
      </c>
      <c r="W864" s="376" t="s">
        <v>2452</v>
      </c>
      <c r="X864" s="376" t="s">
        <v>2453</v>
      </c>
      <c r="Y864" s="376" t="s">
        <v>2454</v>
      </c>
      <c r="Z864" s="39">
        <v>0</v>
      </c>
      <c r="AA864" s="518">
        <v>0</v>
      </c>
      <c r="AB864" s="394" t="s">
        <v>2426</v>
      </c>
      <c r="AC864" s="519" t="str">
        <f>""</f>
        <v/>
      </c>
      <c r="AD864" s="520">
        <v>0</v>
      </c>
      <c r="AE864" s="520" t="s">
        <v>236</v>
      </c>
      <c r="AF864" s="520" t="s">
        <v>236</v>
      </c>
      <c r="AG864" s="520">
        <v>1</v>
      </c>
      <c r="AH864" s="520">
        <v>4</v>
      </c>
      <c r="AI864" s="520">
        <v>0</v>
      </c>
      <c r="AJ864" s="520">
        <f>VLOOKUP($I864,'Price List, Weapons &amp; Items'!A:E,5,0)</f>
        <v>0</v>
      </c>
      <c r="AK864" s="520">
        <f t="shared" si="189"/>
        <v>0</v>
      </c>
      <c r="AL864" s="520">
        <f t="shared" si="190"/>
        <v>0</v>
      </c>
      <c r="AM864" s="520">
        <f t="shared" si="191"/>
        <v>0</v>
      </c>
      <c r="AN864" s="521" t="str">
        <f>VLOOKUP($I864,'Price List, Weapons &amp; Items'!A:K,COLUMN('Price List, Weapons &amp; Items'!$I$1),0)</f>
        <v>Military media (incl. websites)</v>
      </c>
      <c r="AO864" s="521" t="str">
        <f>IF(I864=".",".",VLOOKUP($I864,'Price List, Weapons &amp; Items'!A:I,3,0))</f>
        <v>Light Anti-armor Weapon (LAW) ammunition</v>
      </c>
      <c r="AP864" s="517" t="str">
        <f t="shared" ca="1" si="186"/>
        <v/>
      </c>
      <c r="AQ864" s="521">
        <f>VLOOKUP($I864,'Price List, Weapons &amp; Items'!A:K,COLUMN('Price List, Weapons &amp; Items'!$K$1),0)</f>
        <v>2</v>
      </c>
      <c r="AS864" s="521">
        <f t="shared" si="192"/>
        <v>1</v>
      </c>
      <c r="AT864" s="521">
        <f t="shared" si="193"/>
        <v>1</v>
      </c>
      <c r="AU864" s="521">
        <f t="shared" si="194"/>
        <v>1</v>
      </c>
      <c r="AV864" s="521" t="str">
        <f t="shared" si="195"/>
        <v>.</v>
      </c>
    </row>
    <row r="865" spans="1:48" ht="15" customHeight="1">
      <c r="A865" s="18" t="s">
        <v>2449</v>
      </c>
      <c r="B865" s="18" t="s">
        <v>2392</v>
      </c>
      <c r="C865" s="511">
        <v>44659</v>
      </c>
      <c r="D865" s="18" t="s">
        <v>252</v>
      </c>
      <c r="E865" s="18" t="s">
        <v>253</v>
      </c>
      <c r="F865" s="512" t="s">
        <v>2450</v>
      </c>
      <c r="G865" s="39" t="s">
        <v>2394</v>
      </c>
      <c r="H865" s="513">
        <v>100000000</v>
      </c>
      <c r="I865" s="41" t="s">
        <v>2455</v>
      </c>
      <c r="J865" s="276" t="str">
        <f>VLOOKUP($I865,'Price List, Weapons &amp; Items'!A:B,2,0)</f>
        <v>Aviation and drones</v>
      </c>
      <c r="K865" s="276" t="str">
        <f>IF(I865=".",I865,VLOOKUP($I865,'Price List, Weapons &amp; Items'!A:C,3,0))</f>
        <v>Loitering munition (suicide drone)</v>
      </c>
      <c r="L865" s="514">
        <f>VLOOKUP(I865,'Price List, Weapons &amp; Items'!A:D,4,0)</f>
        <v>0</v>
      </c>
      <c r="M865" s="515" t="s">
        <v>264</v>
      </c>
      <c r="N865" s="515" t="s">
        <v>264</v>
      </c>
      <c r="O865" s="516">
        <f>VLOOKUP($I865,'Price List, Weapons &amp; Items'!A:F,6,0)</f>
        <v>6000</v>
      </c>
      <c r="P865" s="513" t="str">
        <f t="shared" si="187"/>
        <v>.</v>
      </c>
      <c r="Q865" s="513" t="str">
        <f t="shared" si="188"/>
        <v>.</v>
      </c>
      <c r="R865" s="513" t="str">
        <f t="shared" si="185"/>
        <v/>
      </c>
      <c r="S865" s="513" t="str">
        <f>IF(AND(AD865=1,R865&lt;&gt;".")=TRUE,R865/VLOOKUP(G865,'Exchange rates'!B:C,2,0),IF(R865=".",".",""))</f>
        <v/>
      </c>
      <c r="T865" s="513" t="str">
        <f>IF(AD865=1,IF(AF865="Value is not given at all",".",IF(AF865="Value is given by the source",S865,IF(AF865="Value is calculated with prices",(IF(SUMIFS(Q:Q,A:A,A865)&gt;0,SUMIFS(Q:Q,A:A,A865),"."))/VLOOKUP("USD",'Exchange rates'!B:C,2,0),"Error with coding"))),"")</f>
        <v/>
      </c>
      <c r="U865" s="39" t="s">
        <v>233</v>
      </c>
      <c r="V865" s="376" t="s">
        <v>2451</v>
      </c>
      <c r="W865" s="376" t="s">
        <v>2452</v>
      </c>
      <c r="X865" s="376" t="s">
        <v>2453</v>
      </c>
      <c r="Y865" s="376" t="s">
        <v>2454</v>
      </c>
      <c r="Z865" s="39">
        <v>0</v>
      </c>
      <c r="AA865" s="518">
        <v>0</v>
      </c>
      <c r="AB865" s="38" t="s">
        <v>232</v>
      </c>
      <c r="AC865" s="519" t="str">
        <f>""</f>
        <v/>
      </c>
      <c r="AD865" s="520">
        <v>0</v>
      </c>
      <c r="AE865" s="520" t="s">
        <v>236</v>
      </c>
      <c r="AF865" s="520" t="s">
        <v>236</v>
      </c>
      <c r="AG865" s="520">
        <v>1</v>
      </c>
      <c r="AH865" s="520">
        <v>4</v>
      </c>
      <c r="AI865" s="520">
        <v>0</v>
      </c>
      <c r="AJ865" s="520">
        <f>VLOOKUP($I865,'Price List, Weapons &amp; Items'!A:E,5,0)</f>
        <v>0</v>
      </c>
      <c r="AK865" s="520">
        <f t="shared" si="189"/>
        <v>0</v>
      </c>
      <c r="AL865" s="520">
        <f t="shared" si="190"/>
        <v>0</v>
      </c>
      <c r="AM865" s="520">
        <f t="shared" si="191"/>
        <v>0</v>
      </c>
      <c r="AN865" s="521" t="str">
        <f>VLOOKUP($I865,'Price List, Weapons &amp; Items'!A:K,COLUMN('Price List, Weapons &amp; Items'!$I$1),0)</f>
        <v>Miscellaneous</v>
      </c>
      <c r="AO865" s="521" t="str">
        <f>IF(I865=".",".",VLOOKUP($I865,'Price List, Weapons &amp; Items'!A:I,3,0))</f>
        <v>Loitering munition (suicide drone)</v>
      </c>
      <c r="AP865" s="517" t="str">
        <f t="shared" ca="1" si="186"/>
        <v/>
      </c>
      <c r="AQ865" s="521">
        <f>VLOOKUP($I865,'Price List, Weapons &amp; Items'!A:K,COLUMN('Price List, Weapons &amp; Items'!$K$1),0)</f>
        <v>2</v>
      </c>
      <c r="AS865" s="521">
        <f t="shared" si="192"/>
        <v>1</v>
      </c>
      <c r="AT865" s="521">
        <f t="shared" si="193"/>
        <v>1</v>
      </c>
      <c r="AU865" s="521">
        <f t="shared" si="194"/>
        <v>1</v>
      </c>
      <c r="AV865" s="521" t="str">
        <f t="shared" si="195"/>
        <v>.</v>
      </c>
    </row>
    <row r="866" spans="1:48" ht="15" customHeight="1">
      <c r="A866" s="18" t="s">
        <v>2449</v>
      </c>
      <c r="B866" s="18" t="s">
        <v>2392</v>
      </c>
      <c r="C866" s="511">
        <v>44659</v>
      </c>
      <c r="D866" s="18" t="s">
        <v>252</v>
      </c>
      <c r="E866" s="18" t="s">
        <v>253</v>
      </c>
      <c r="F866" s="512" t="s">
        <v>2450</v>
      </c>
      <c r="G866" s="39" t="s">
        <v>2394</v>
      </c>
      <c r="H866" s="513">
        <v>100000000</v>
      </c>
      <c r="I866" s="41" t="s">
        <v>2432</v>
      </c>
      <c r="J866" s="276" t="str">
        <f>VLOOKUP($I866,'Price List, Weapons &amp; Items'!A:B,2,0)</f>
        <v>Portable defence system</v>
      </c>
      <c r="K866" s="276" t="str">
        <f>IF(I866=".",I866,VLOOKUP($I866,'Price List, Weapons &amp; Items'!A:C,3,0))</f>
        <v>MANPADS</v>
      </c>
      <c r="L866" s="514">
        <f>VLOOKUP(I866,'Price List, Weapons &amp; Items'!A:D,4,0)</f>
        <v>0</v>
      </c>
      <c r="M866" s="515" t="s">
        <v>264</v>
      </c>
      <c r="N866" s="515" t="s">
        <v>264</v>
      </c>
      <c r="O866" s="516">
        <f>VLOOKUP($I866,'Price List, Weapons &amp; Items'!A:F,6,0)</f>
        <v>1750000</v>
      </c>
      <c r="P866" s="513" t="str">
        <f t="shared" si="187"/>
        <v>.</v>
      </c>
      <c r="Q866" s="513" t="str">
        <f t="shared" si="188"/>
        <v>.</v>
      </c>
      <c r="R866" s="513" t="str">
        <f t="shared" si="185"/>
        <v/>
      </c>
      <c r="S866" s="513" t="str">
        <f>IF(AND(AD866=1,R866&lt;&gt;".")=TRUE,R866/VLOOKUP(G866,'Exchange rates'!B:C,2,0),IF(R866=".",".",""))</f>
        <v/>
      </c>
      <c r="T866" s="513" t="str">
        <f>IF(AD866=1,IF(AF866="Value is not given at all",".",IF(AF866="Value is given by the source",S866,IF(AF866="Value is calculated with prices",(IF(SUMIFS(Q:Q,A:A,A866)&gt;0,SUMIFS(Q:Q,A:A,A866),"."))/VLOOKUP("USD",'Exchange rates'!B:C,2,0),"Error with coding"))),"")</f>
        <v/>
      </c>
      <c r="U866" s="39" t="s">
        <v>233</v>
      </c>
      <c r="V866" s="376" t="s">
        <v>2451</v>
      </c>
      <c r="W866" s="376" t="s">
        <v>2452</v>
      </c>
      <c r="X866" s="376" t="s">
        <v>2453</v>
      </c>
      <c r="Y866" s="376" t="s">
        <v>2454</v>
      </c>
      <c r="Z866" s="39">
        <v>0</v>
      </c>
      <c r="AA866" s="518">
        <v>0</v>
      </c>
      <c r="AB866" s="38" t="s">
        <v>232</v>
      </c>
      <c r="AC866" s="519" t="str">
        <f>""</f>
        <v/>
      </c>
      <c r="AD866" s="520">
        <v>0</v>
      </c>
      <c r="AE866" s="520" t="s">
        <v>236</v>
      </c>
      <c r="AF866" s="520" t="s">
        <v>236</v>
      </c>
      <c r="AG866" s="520">
        <v>1</v>
      </c>
      <c r="AH866" s="520">
        <v>4</v>
      </c>
      <c r="AI866" s="520">
        <v>0</v>
      </c>
      <c r="AJ866" s="520">
        <f>VLOOKUP($I866,'Price List, Weapons &amp; Items'!A:E,5,0)</f>
        <v>0</v>
      </c>
      <c r="AK866" s="520">
        <f t="shared" si="189"/>
        <v>0</v>
      </c>
      <c r="AL866" s="520">
        <f t="shared" si="190"/>
        <v>0</v>
      </c>
      <c r="AM866" s="520">
        <f t="shared" si="191"/>
        <v>0</v>
      </c>
      <c r="AN866" s="521" t="str">
        <f>VLOOKUP($I866,'Price List, Weapons &amp; Items'!A:K,COLUMN('Price List, Weapons &amp; Items'!$I$1),0)</f>
        <v>Contracts</v>
      </c>
      <c r="AO866" s="521" t="str">
        <f>IF(I866=".",".",VLOOKUP($I866,'Price List, Weapons &amp; Items'!A:I,3,0))</f>
        <v>MANPADS</v>
      </c>
      <c r="AP866" s="517" t="str">
        <f t="shared" ca="1" si="186"/>
        <v/>
      </c>
      <c r="AQ866" s="521" t="str">
        <f>VLOOKUP($I866,'Price List, Weapons &amp; Items'!A:K,COLUMN('Price List, Weapons &amp; Items'!$K$1),0)</f>
        <v>no price, 0 count</v>
      </c>
      <c r="AS866" s="521">
        <f t="shared" si="192"/>
        <v>1</v>
      </c>
      <c r="AT866" s="521">
        <f t="shared" si="193"/>
        <v>1</v>
      </c>
      <c r="AU866" s="521">
        <f t="shared" si="194"/>
        <v>1</v>
      </c>
      <c r="AV866" s="521" t="str">
        <f t="shared" si="195"/>
        <v>.</v>
      </c>
    </row>
    <row r="867" spans="1:48" ht="15" customHeight="1">
      <c r="A867" s="18" t="s">
        <v>2449</v>
      </c>
      <c r="B867" s="18" t="s">
        <v>2392</v>
      </c>
      <c r="C867" s="511">
        <v>44659</v>
      </c>
      <c r="D867" s="18" t="s">
        <v>252</v>
      </c>
      <c r="E867" s="18" t="s">
        <v>253</v>
      </c>
      <c r="F867" s="512" t="s">
        <v>2450</v>
      </c>
      <c r="G867" s="39" t="s">
        <v>2394</v>
      </c>
      <c r="H867" s="513">
        <v>100000000</v>
      </c>
      <c r="I867" s="41" t="s">
        <v>419</v>
      </c>
      <c r="J867" s="276" t="str">
        <f>VLOOKUP($I867,'Price List, Weapons &amp; Items'!A:B,2,0)</f>
        <v>Military equipment</v>
      </c>
      <c r="K867" s="276" t="str">
        <f>IF(I867=".",I867,VLOOKUP($I867,'Price List, Weapons &amp; Items'!A:C,3,0))</f>
        <v>.</v>
      </c>
      <c r="L867" s="514">
        <f>VLOOKUP(I867,'Price List, Weapons &amp; Items'!A:D,4,0)</f>
        <v>0</v>
      </c>
      <c r="M867" s="515">
        <v>82000</v>
      </c>
      <c r="N867" s="515">
        <v>82000</v>
      </c>
      <c r="O867" s="516">
        <f>VLOOKUP($I867,'Price List, Weapons &amp; Items'!A:F,6,0)</f>
        <v>1400</v>
      </c>
      <c r="P867" s="513">
        <f t="shared" si="187"/>
        <v>114800000</v>
      </c>
      <c r="Q867" s="513">
        <f t="shared" si="188"/>
        <v>114800000</v>
      </c>
      <c r="R867" s="513" t="str">
        <f t="shared" si="185"/>
        <v/>
      </c>
      <c r="S867" s="513" t="str">
        <f>IF(AND(AD867=1,R867&lt;&gt;".")=TRUE,R867/VLOOKUP(G867,'Exchange rates'!B:C,2,0),IF(R867=".",".",""))</f>
        <v/>
      </c>
      <c r="T867" s="513" t="str">
        <f>IF(AD867=1,IF(AF867="Value is not given at all",".",IF(AF867="Value is given by the source",S867,IF(AF867="Value is calculated with prices",(IF(SUMIFS(Q:Q,A:A,A867)&gt;0,SUMIFS(Q:Q,A:A,A867),"."))/VLOOKUP("USD",'Exchange rates'!B:C,2,0),"Error with coding"))),"")</f>
        <v/>
      </c>
      <c r="U867" s="39" t="s">
        <v>233</v>
      </c>
      <c r="V867" s="376" t="s">
        <v>2451</v>
      </c>
      <c r="W867" s="376" t="s">
        <v>2452</v>
      </c>
      <c r="X867" s="376" t="s">
        <v>2453</v>
      </c>
      <c r="Y867" s="376" t="s">
        <v>2454</v>
      </c>
      <c r="Z867" s="39">
        <v>0</v>
      </c>
      <c r="AA867" s="518">
        <v>0</v>
      </c>
      <c r="AB867" s="38" t="s">
        <v>232</v>
      </c>
      <c r="AC867" s="519" t="str">
        <f>""</f>
        <v/>
      </c>
      <c r="AD867" s="520">
        <v>0</v>
      </c>
      <c r="AE867" s="520" t="s">
        <v>236</v>
      </c>
      <c r="AF867" s="520" t="s">
        <v>236</v>
      </c>
      <c r="AG867" s="520">
        <v>1</v>
      </c>
      <c r="AH867" s="520">
        <v>4</v>
      </c>
      <c r="AI867" s="520">
        <v>0</v>
      </c>
      <c r="AJ867" s="520">
        <f>VLOOKUP($I867,'Price List, Weapons &amp; Items'!A:E,5,0)</f>
        <v>0</v>
      </c>
      <c r="AK867" s="520">
        <f t="shared" si="189"/>
        <v>0</v>
      </c>
      <c r="AL867" s="520">
        <f t="shared" si="190"/>
        <v>0</v>
      </c>
      <c r="AM867" s="520">
        <f t="shared" si="191"/>
        <v>0</v>
      </c>
      <c r="AN867" s="521" t="str">
        <f>VLOOKUP($I867,'Price List, Weapons &amp; Items'!A:K,COLUMN('Price List, Weapons &amp; Items'!$I$1),0)</f>
        <v>Military media (incl. websites)</v>
      </c>
      <c r="AO867" s="521" t="str">
        <f>IF(I867=".",".",VLOOKUP($I867,'Price List, Weapons &amp; Items'!A:I,3,0))</f>
        <v>.</v>
      </c>
      <c r="AP867" s="517" t="str">
        <f t="shared" ca="1" si="186"/>
        <v/>
      </c>
      <c r="AQ867" s="521">
        <f>VLOOKUP($I867,'Price List, Weapons &amp; Items'!A:K,COLUMN('Price List, Weapons &amp; Items'!$K$1),0)</f>
        <v>2</v>
      </c>
      <c r="AS867" s="521">
        <f t="shared" si="192"/>
        <v>1</v>
      </c>
      <c r="AT867" s="521">
        <f t="shared" si="193"/>
        <v>1</v>
      </c>
      <c r="AU867" s="521">
        <f t="shared" si="194"/>
        <v>1</v>
      </c>
      <c r="AV867" s="521" t="str">
        <f t="shared" si="195"/>
        <v>.</v>
      </c>
    </row>
    <row r="868" spans="1:48" ht="15" customHeight="1">
      <c r="A868" s="18" t="s">
        <v>2449</v>
      </c>
      <c r="B868" s="18" t="s">
        <v>2392</v>
      </c>
      <c r="C868" s="511">
        <v>44659</v>
      </c>
      <c r="D868" s="18" t="s">
        <v>252</v>
      </c>
      <c r="E868" s="18" t="s">
        <v>253</v>
      </c>
      <c r="F868" s="512" t="s">
        <v>2450</v>
      </c>
      <c r="G868" s="39" t="s">
        <v>2394</v>
      </c>
      <c r="H868" s="513">
        <v>100000000</v>
      </c>
      <c r="I868" s="41" t="s">
        <v>446</v>
      </c>
      <c r="J868" s="276" t="str">
        <f>VLOOKUP($I868,'Price List, Weapons &amp; Items'!A:B,2,0)</f>
        <v>Military equipment</v>
      </c>
      <c r="K868" s="276" t="str">
        <f>IF(I868=".",I868,VLOOKUP($I868,'Price List, Weapons &amp; Items'!A:C,3,0))</f>
        <v>.</v>
      </c>
      <c r="L868" s="514">
        <f>VLOOKUP(I868,'Price List, Weapons &amp; Items'!A:D,4,0)</f>
        <v>0</v>
      </c>
      <c r="M868" s="515">
        <v>8450</v>
      </c>
      <c r="N868" s="515">
        <v>8450</v>
      </c>
      <c r="O868" s="516">
        <f>VLOOKUP($I868,'Price List, Weapons &amp; Items'!A:F,6,0)</f>
        <v>500</v>
      </c>
      <c r="P868" s="513">
        <f t="shared" si="187"/>
        <v>4225000</v>
      </c>
      <c r="Q868" s="513">
        <f t="shared" si="188"/>
        <v>4225000</v>
      </c>
      <c r="R868" s="513" t="str">
        <f t="shared" ref="R868:R920" si="198">IF(AD868=1,IF(H868&lt;&gt;"Not given",H868,IF(TYPE(H868)=2,IF(SUMIFS(P:P,A:A,A868)&gt;0,SUMIFS(P:P,A:A,A868),"."),"Format error")),"")</f>
        <v/>
      </c>
      <c r="S868" s="513" t="str">
        <f>IF(AND(AD868=1,R868&lt;&gt;".")=TRUE,R868/VLOOKUP(G868,'Exchange rates'!B:C,2,0),IF(R868=".",".",""))</f>
        <v/>
      </c>
      <c r="T868" s="513" t="str">
        <f>IF(AD868=1,IF(AF868="Value is not given at all",".",IF(AF868="Value is given by the source",S868,IF(AF868="Value is calculated with prices",(IF(SUMIFS(Q:Q,A:A,A868)&gt;0,SUMIFS(Q:Q,A:A,A868),"."))/VLOOKUP("USD",'Exchange rates'!B:C,2,0),"Error with coding"))),"")</f>
        <v/>
      </c>
      <c r="U868" s="39" t="s">
        <v>233</v>
      </c>
      <c r="V868" s="376" t="s">
        <v>2451</v>
      </c>
      <c r="W868" s="376" t="s">
        <v>2452</v>
      </c>
      <c r="X868" s="376" t="s">
        <v>2453</v>
      </c>
      <c r="Y868" s="376" t="s">
        <v>2454</v>
      </c>
      <c r="Z868" s="39">
        <v>0</v>
      </c>
      <c r="AA868" s="518">
        <v>0</v>
      </c>
      <c r="AB868" s="38" t="s">
        <v>232</v>
      </c>
      <c r="AC868" s="519" t="str">
        <f>""</f>
        <v/>
      </c>
      <c r="AD868" s="520">
        <v>0</v>
      </c>
      <c r="AE868" s="520" t="s">
        <v>236</v>
      </c>
      <c r="AF868" s="520" t="s">
        <v>236</v>
      </c>
      <c r="AG868" s="520">
        <v>1</v>
      </c>
      <c r="AH868" s="520">
        <v>4</v>
      </c>
      <c r="AI868" s="520">
        <v>0</v>
      </c>
      <c r="AJ868" s="520">
        <f>VLOOKUP($I868,'Price List, Weapons &amp; Items'!A:E,5,0)</f>
        <v>0</v>
      </c>
      <c r="AK868" s="520">
        <f t="shared" si="189"/>
        <v>0</v>
      </c>
      <c r="AL868" s="520">
        <f t="shared" si="190"/>
        <v>0</v>
      </c>
      <c r="AM868" s="520">
        <f t="shared" si="191"/>
        <v>0</v>
      </c>
      <c r="AN868" s="521" t="str">
        <f>VLOOKUP($I868,'Price List, Weapons &amp; Items'!A:K,COLUMN('Price List, Weapons &amp; Items'!$I$1),0)</f>
        <v>Military media (incl. websites)</v>
      </c>
      <c r="AO868" s="521" t="str">
        <f>IF(I868=".",".",VLOOKUP($I868,'Price List, Weapons &amp; Items'!A:I,3,0))</f>
        <v>.</v>
      </c>
      <c r="AP868" s="517" t="str">
        <f t="shared" ref="AP868:AP931" ca="1" si="199">IF(AD868=1,_xlfn.ARRAYTOTEXT(OFFSET(I868,0,0,COUNTIF(A:A,A868),1)),"")</f>
        <v/>
      </c>
      <c r="AQ868" s="521">
        <f>VLOOKUP($I868,'Price List, Weapons &amp; Items'!A:K,COLUMN('Price List, Weapons &amp; Items'!$K$1),0)</f>
        <v>2</v>
      </c>
      <c r="AS868" s="521">
        <f t="shared" si="192"/>
        <v>1</v>
      </c>
      <c r="AT868" s="521">
        <f t="shared" si="193"/>
        <v>1</v>
      </c>
      <c r="AU868" s="521">
        <f t="shared" si="194"/>
        <v>1</v>
      </c>
      <c r="AV868" s="521" t="str">
        <f t="shared" si="195"/>
        <v>.</v>
      </c>
    </row>
    <row r="869" spans="1:48" ht="15" customHeight="1">
      <c r="A869" s="18" t="s">
        <v>2449</v>
      </c>
      <c r="B869" s="18" t="s">
        <v>2392</v>
      </c>
      <c r="C869" s="511">
        <v>44659</v>
      </c>
      <c r="D869" s="18" t="s">
        <v>252</v>
      </c>
      <c r="E869" s="18" t="s">
        <v>253</v>
      </c>
      <c r="F869" s="512" t="s">
        <v>2450</v>
      </c>
      <c r="G869" s="39" t="s">
        <v>2394</v>
      </c>
      <c r="H869" s="513">
        <v>100000000</v>
      </c>
      <c r="I869" s="41" t="s">
        <v>529</v>
      </c>
      <c r="J869" s="276" t="str">
        <f>VLOOKUP($I869,'Price List, Weapons &amp; Items'!A:B,2,0)</f>
        <v>Military equipment</v>
      </c>
      <c r="K869" s="276" t="str">
        <f>IF(I869=".",I869,VLOOKUP($I869,'Price List, Weapons &amp; Items'!A:C,3,0))</f>
        <v>.</v>
      </c>
      <c r="L869" s="514">
        <f>VLOOKUP(I869,'Price List, Weapons &amp; Items'!A:D,4,0)</f>
        <v>0</v>
      </c>
      <c r="M869" s="515">
        <v>5000</v>
      </c>
      <c r="N869" s="515">
        <v>5000</v>
      </c>
      <c r="O869" s="516">
        <f>VLOOKUP($I869,'Price List, Weapons &amp; Items'!A:F,6,0)</f>
        <v>2320</v>
      </c>
      <c r="P869" s="513">
        <f t="shared" si="187"/>
        <v>11600000</v>
      </c>
      <c r="Q869" s="513">
        <f t="shared" si="188"/>
        <v>11600000</v>
      </c>
      <c r="R869" s="513" t="str">
        <f t="shared" si="198"/>
        <v/>
      </c>
      <c r="S869" s="513" t="str">
        <f>IF(AND(AD869=1,R869&lt;&gt;".")=TRUE,R869/VLOOKUP(G869,'Exchange rates'!B:C,2,0),IF(R869=".",".",""))</f>
        <v/>
      </c>
      <c r="T869" s="513" t="str">
        <f>IF(AD869=1,IF(AF869="Value is not given at all",".",IF(AF869="Value is given by the source",S869,IF(AF869="Value is calculated with prices",(IF(SUMIFS(Q:Q,A:A,A869)&gt;0,SUMIFS(Q:Q,A:A,A869),"."))/VLOOKUP("USD",'Exchange rates'!B:C,2,0),"Error with coding"))),"")</f>
        <v/>
      </c>
      <c r="U869" s="39" t="s">
        <v>233</v>
      </c>
      <c r="V869" s="376" t="s">
        <v>2451</v>
      </c>
      <c r="W869" s="376" t="s">
        <v>2452</v>
      </c>
      <c r="X869" s="376" t="s">
        <v>2453</v>
      </c>
      <c r="Y869" s="376" t="s">
        <v>2454</v>
      </c>
      <c r="Z869" s="39">
        <v>0</v>
      </c>
      <c r="AA869" s="518">
        <v>1</v>
      </c>
      <c r="AB869" s="394" t="s">
        <v>2426</v>
      </c>
      <c r="AC869" s="519" t="str">
        <f>""</f>
        <v/>
      </c>
      <c r="AD869" s="520">
        <v>0</v>
      </c>
      <c r="AE869" s="520" t="s">
        <v>236</v>
      </c>
      <c r="AF869" s="520" t="s">
        <v>236</v>
      </c>
      <c r="AG869" s="520">
        <v>1</v>
      </c>
      <c r="AH869" s="520">
        <v>4</v>
      </c>
      <c r="AI869" s="520">
        <v>0</v>
      </c>
      <c r="AJ869" s="520">
        <f>VLOOKUP($I869,'Price List, Weapons &amp; Items'!A:E,5,0)</f>
        <v>0</v>
      </c>
      <c r="AK869" s="520">
        <f t="shared" si="189"/>
        <v>0</v>
      </c>
      <c r="AL869" s="520">
        <f t="shared" si="190"/>
        <v>0</v>
      </c>
      <c r="AM869" s="520">
        <f t="shared" si="191"/>
        <v>0</v>
      </c>
      <c r="AN869" s="521" t="str">
        <f>VLOOKUP($I869,'Price List, Weapons &amp; Items'!A:K,COLUMN('Price List, Weapons &amp; Items'!$I$1),0)</f>
        <v>Media reports (incl. social media)</v>
      </c>
      <c r="AO869" s="521" t="str">
        <f>IF(I869=".",".",VLOOKUP($I869,'Price List, Weapons &amp; Items'!A:I,3,0))</f>
        <v>.</v>
      </c>
      <c r="AP869" s="517" t="str">
        <f t="shared" ca="1" si="199"/>
        <v/>
      </c>
      <c r="AQ869" s="521">
        <f>VLOOKUP($I869,'Price List, Weapons &amp; Items'!A:K,COLUMN('Price List, Weapons &amp; Items'!$K$1),0)</f>
        <v>2</v>
      </c>
      <c r="AS869" s="521">
        <f t="shared" si="192"/>
        <v>1</v>
      </c>
      <c r="AT869" s="521">
        <f t="shared" si="193"/>
        <v>1</v>
      </c>
      <c r="AU869" s="521">
        <f t="shared" si="194"/>
        <v>1</v>
      </c>
      <c r="AV869" s="521" t="str">
        <f t="shared" si="195"/>
        <v>.</v>
      </c>
    </row>
    <row r="870" spans="1:48" s="41" customFormat="1" ht="15" customHeight="1">
      <c r="A870" s="18" t="s">
        <v>2456</v>
      </c>
      <c r="B870" s="18" t="s">
        <v>2392</v>
      </c>
      <c r="C870" s="511">
        <v>44660</v>
      </c>
      <c r="D870" s="18" t="s">
        <v>252</v>
      </c>
      <c r="E870" s="18" t="s">
        <v>307</v>
      </c>
      <c r="F870" s="512" t="s">
        <v>2457</v>
      </c>
      <c r="G870" s="39" t="s">
        <v>314</v>
      </c>
      <c r="H870" s="513" t="s">
        <v>309</v>
      </c>
      <c r="I870" s="524" t="s">
        <v>2458</v>
      </c>
      <c r="J870" s="276" t="str">
        <f>VLOOKUP($I870,'Price List, Weapons &amp; Items'!A:B,2,0)</f>
        <v>Heavy weapon</v>
      </c>
      <c r="K870" s="276" t="str">
        <f>IF(I870=".",I870,VLOOKUP($I870,'Price List, Weapons &amp; Items'!A:C,3,0))</f>
        <v>Protected Patrol Vehicle (PPV)</v>
      </c>
      <c r="L870" s="514">
        <f>VLOOKUP(I870,'Price List, Weapons &amp; Items'!A:D,4,0)</f>
        <v>0</v>
      </c>
      <c r="M870" s="515">
        <v>80</v>
      </c>
      <c r="N870" s="515">
        <v>80</v>
      </c>
      <c r="O870" s="516">
        <f>VLOOKUP($I870,'Price List, Weapons &amp; Items'!A:F,6,0)</f>
        <v>743989.18081292231</v>
      </c>
      <c r="P870" s="513">
        <f t="shared" si="187"/>
        <v>59519134.465033785</v>
      </c>
      <c r="Q870" s="513">
        <f t="shared" si="188"/>
        <v>59519134.465033785</v>
      </c>
      <c r="R870" s="513">
        <f t="shared" si="198"/>
        <v>63531834.465033785</v>
      </c>
      <c r="S870" s="513">
        <f>IF(AND(AD870=1,R870&lt;&gt;".")=TRUE,R870/VLOOKUP(G870,'Exchange rates'!B:C,2,0),IF(R870=".",".",""))</f>
        <v>63310248.594951451</v>
      </c>
      <c r="T870" s="513">
        <f>IF(AD870=1,IF(AF870="Value is not given at all",".",IF(AF870="Value is given by the source",S870,IF(AF870="Value is calculated with prices",(IF(SUMIFS(Q:Q,A:A,A870)&gt;0,SUMIFS(Q:Q,A:A,A870),"."))/VLOOKUP("USD",'Exchange rates'!B:C,2,0),"Error with coding"))),"")</f>
        <v>63310248.594951451</v>
      </c>
      <c r="U870" s="39" t="s">
        <v>372</v>
      </c>
      <c r="V870" s="383" t="s">
        <v>2453</v>
      </c>
      <c r="W870" s="383" t="s">
        <v>2459</v>
      </c>
      <c r="X870" s="535" t="s">
        <v>232</v>
      </c>
      <c r="Y870" s="528" t="s">
        <v>232</v>
      </c>
      <c r="Z870" s="39">
        <v>0</v>
      </c>
      <c r="AA870" s="39">
        <v>1</v>
      </c>
      <c r="AB870" s="508" t="s">
        <v>2426</v>
      </c>
      <c r="AC870" s="519" t="str">
        <f>""</f>
        <v/>
      </c>
      <c r="AD870" s="522">
        <v>1</v>
      </c>
      <c r="AE870" s="522" t="s">
        <v>300</v>
      </c>
      <c r="AF870" s="522" t="s">
        <v>300</v>
      </c>
      <c r="AG870" s="522">
        <v>1</v>
      </c>
      <c r="AH870" s="522">
        <v>4</v>
      </c>
      <c r="AI870" s="522">
        <v>0</v>
      </c>
      <c r="AJ870" s="520">
        <f>VLOOKUP($I870,'Price List, Weapons &amp; Items'!A:E,5,0)</f>
        <v>1</v>
      </c>
      <c r="AK870" s="520">
        <f t="shared" si="189"/>
        <v>0</v>
      </c>
      <c r="AL870" s="520">
        <f t="shared" si="190"/>
        <v>0</v>
      </c>
      <c r="AM870" s="520">
        <f t="shared" si="191"/>
        <v>0</v>
      </c>
      <c r="AN870" s="521" t="str">
        <f>VLOOKUP($I870,'Price List, Weapons &amp; Items'!A:K,COLUMN('Price List, Weapons &amp; Items'!$I$1),0)</f>
        <v>Contracts</v>
      </c>
      <c r="AO870" s="521" t="str">
        <f>IF(I870=".",".",VLOOKUP($I870,'Price List, Weapons &amp; Items'!A:I,3,0))</f>
        <v>Protected Patrol Vehicle (PPV)</v>
      </c>
      <c r="AP870" s="517" t="str">
        <f t="shared" ca="1" si="199"/>
        <v>Mastiff 6x6, Wolfhound and Husky armoured vehicle; anti-ship missile system; FV104 Samaritan armoured ambulance; FV103 Spartan</v>
      </c>
      <c r="AQ870" s="521">
        <f>VLOOKUP($I870,'Price List, Weapons &amp; Items'!A:K,COLUMN('Price List, Weapons &amp; Items'!$K$1),0)</f>
        <v>2</v>
      </c>
      <c r="AS870" s="521">
        <f t="shared" si="192"/>
        <v>0</v>
      </c>
      <c r="AT870" s="521">
        <f t="shared" si="193"/>
        <v>1</v>
      </c>
      <c r="AU870" s="521">
        <f t="shared" si="194"/>
        <v>1</v>
      </c>
      <c r="AV870" s="521" t="str">
        <f t="shared" si="195"/>
        <v>.</v>
      </c>
    </row>
    <row r="871" spans="1:48" s="41" customFormat="1" ht="15" customHeight="1">
      <c r="A871" s="18" t="s">
        <v>2456</v>
      </c>
      <c r="B871" s="18" t="s">
        <v>2392</v>
      </c>
      <c r="C871" s="511">
        <v>44660</v>
      </c>
      <c r="D871" s="18" t="s">
        <v>252</v>
      </c>
      <c r="E871" s="18" t="s">
        <v>307</v>
      </c>
      <c r="F871" s="512" t="s">
        <v>2457</v>
      </c>
      <c r="G871" s="39" t="s">
        <v>314</v>
      </c>
      <c r="H871" s="513" t="s">
        <v>309</v>
      </c>
      <c r="I871" s="41" t="s">
        <v>2460</v>
      </c>
      <c r="J871" s="276" t="str">
        <f>VLOOKUP($I871,'Price List, Weapons &amp; Items'!A:B,2,0)</f>
        <v>Ammunition for portable defence system</v>
      </c>
      <c r="K871" s="276" t="str">
        <f>IF(I871=".",I871,VLOOKUP($I871,'Price List, Weapons &amp; Items'!A:C,3,0))</f>
        <v>AShM</v>
      </c>
      <c r="L871" s="514">
        <f>VLOOKUP(I871,'Price List, Weapons &amp; Items'!A:D,4,0)</f>
        <v>0</v>
      </c>
      <c r="M871" s="515" t="s">
        <v>264</v>
      </c>
      <c r="N871" s="515" t="s">
        <v>232</v>
      </c>
      <c r="O871" s="516">
        <f>VLOOKUP($I871,'Price List, Weapons &amp; Items'!A:F,6,0)</f>
        <v>3960000</v>
      </c>
      <c r="P871" s="513" t="str">
        <f t="shared" si="187"/>
        <v>.</v>
      </c>
      <c r="Q871" s="513" t="str">
        <f t="shared" si="188"/>
        <v>.</v>
      </c>
      <c r="R871" s="513" t="str">
        <f t="shared" si="198"/>
        <v/>
      </c>
      <c r="S871" s="513" t="str">
        <f>IF(AND(AD871=1,R871&lt;&gt;".")=TRUE,R871/VLOOKUP(G871,'Exchange rates'!B:C,2,0),IF(R871=".",".",""))</f>
        <v/>
      </c>
      <c r="T871" s="513" t="str">
        <f>IF(AD871=1,IF(AF871="Value is not given at all",".",IF(AF871="Value is given by the source",S871,IF(AF871="Value is calculated with prices",(IF(SUMIFS(Q:Q,A:A,A871)&gt;0,SUMIFS(Q:Q,A:A,A871),"."))/VLOOKUP("USD",'Exchange rates'!B:C,2,0),"Error with coding"))),"")</f>
        <v/>
      </c>
      <c r="U871" s="39" t="s">
        <v>372</v>
      </c>
      <c r="V871" s="383" t="s">
        <v>2453</v>
      </c>
      <c r="W871" s="383" t="s">
        <v>2459</v>
      </c>
      <c r="X871" s="535" t="s">
        <v>232</v>
      </c>
      <c r="Y871" s="528" t="s">
        <v>232</v>
      </c>
      <c r="Z871" s="39">
        <v>0</v>
      </c>
      <c r="AA871" s="39">
        <v>0</v>
      </c>
      <c r="AB871" s="523" t="s">
        <v>232</v>
      </c>
      <c r="AC871" s="519" t="str">
        <f>""</f>
        <v/>
      </c>
      <c r="AD871" s="522">
        <v>0</v>
      </c>
      <c r="AE871" s="522" t="s">
        <v>300</v>
      </c>
      <c r="AF871" s="522" t="s">
        <v>300</v>
      </c>
      <c r="AG871" s="522">
        <v>1</v>
      </c>
      <c r="AH871" s="522">
        <v>4</v>
      </c>
      <c r="AI871" s="522">
        <v>0</v>
      </c>
      <c r="AJ871" s="520">
        <f>VLOOKUP($I871,'Price List, Weapons &amp; Items'!A:E,5,0)</f>
        <v>0</v>
      </c>
      <c r="AK871" s="520">
        <f t="shared" si="189"/>
        <v>0</v>
      </c>
      <c r="AL871" s="520">
        <f t="shared" si="190"/>
        <v>0</v>
      </c>
      <c r="AM871" s="520">
        <f t="shared" si="191"/>
        <v>0</v>
      </c>
      <c r="AN871" s="521" t="str">
        <f>VLOOKUP($I871,'Price List, Weapons &amp; Items'!A:K,COLUMN('Price List, Weapons &amp; Items'!$I$1),0)</f>
        <v>Military media (incl. websites)</v>
      </c>
      <c r="AO871" s="521" t="str">
        <f>IF(I871=".",".",VLOOKUP($I871,'Price List, Weapons &amp; Items'!A:I,3,0))</f>
        <v>AShM</v>
      </c>
      <c r="AP871" s="517" t="str">
        <f t="shared" ca="1" si="199"/>
        <v/>
      </c>
      <c r="AQ871" s="521" t="str">
        <f>VLOOKUP($I871,'Price List, Weapons &amp; Items'!A:K,COLUMN('Price List, Weapons &amp; Items'!$K$1),0)</f>
        <v>no price, 0 count</v>
      </c>
      <c r="AS871" s="521">
        <f t="shared" si="192"/>
        <v>0</v>
      </c>
      <c r="AT871" s="521">
        <f t="shared" si="193"/>
        <v>1</v>
      </c>
      <c r="AU871" s="521">
        <f t="shared" si="194"/>
        <v>1</v>
      </c>
      <c r="AV871" s="521" t="str">
        <f t="shared" si="195"/>
        <v>.</v>
      </c>
    </row>
    <row r="872" spans="1:48" s="41" customFormat="1" ht="15" customHeight="1">
      <c r="A872" s="18" t="s">
        <v>2456</v>
      </c>
      <c r="B872" s="18" t="s">
        <v>2392</v>
      </c>
      <c r="C872" s="511">
        <v>44660</v>
      </c>
      <c r="D872" s="18" t="s">
        <v>252</v>
      </c>
      <c r="E872" s="18" t="s">
        <v>307</v>
      </c>
      <c r="F872" s="512" t="s">
        <v>2457</v>
      </c>
      <c r="G872" s="39" t="s">
        <v>314</v>
      </c>
      <c r="H872" s="513" t="s">
        <v>309</v>
      </c>
      <c r="I872" s="41" t="s">
        <v>2461</v>
      </c>
      <c r="J872" s="276" t="str">
        <f>VLOOKUP($I872,'Price List, Weapons &amp; Items'!A:B,2,0)</f>
        <v>Heavy weapon</v>
      </c>
      <c r="K872" s="276" t="str">
        <f>IF(I872=".",I872,VLOOKUP($I872,'Price List, Weapons &amp; Items'!A:C,3,0))</f>
        <v>Armoured Utility Vehicle (AUV)</v>
      </c>
      <c r="L872" s="514">
        <f>VLOOKUP(I872,'Price List, Weapons &amp; Items'!A:D,4,0)</f>
        <v>0</v>
      </c>
      <c r="M872" s="515">
        <v>5</v>
      </c>
      <c r="N872" s="515">
        <v>5</v>
      </c>
      <c r="O872" s="516">
        <f>VLOOKUP($I872,'Price List, Weapons &amp; Items'!A:F,6,0)</f>
        <v>32540</v>
      </c>
      <c r="P872" s="513">
        <f t="shared" si="187"/>
        <v>162700</v>
      </c>
      <c r="Q872" s="513">
        <f t="shared" si="188"/>
        <v>162700</v>
      </c>
      <c r="R872" s="513" t="str">
        <f t="shared" si="198"/>
        <v/>
      </c>
      <c r="S872" s="513" t="str">
        <f>IF(AND(AD872=1,R872&lt;&gt;".")=TRUE,R872/VLOOKUP(G872,'Exchange rates'!B:C,2,0),IF(R872=".",".",""))</f>
        <v/>
      </c>
      <c r="T872" s="513" t="str">
        <f>IF(AD872=1,IF(AF872="Value is not given at all",".",IF(AF872="Value is given by the source",S872,IF(AF872="Value is calculated with prices",(IF(SUMIFS(Q:Q,A:A,A872)&gt;0,SUMIFS(Q:Q,A:A,A872),"."))/VLOOKUP("USD",'Exchange rates'!B:C,2,0),"Error with coding"))),"")</f>
        <v/>
      </c>
      <c r="U872" s="39" t="s">
        <v>372</v>
      </c>
      <c r="V872" s="383" t="s">
        <v>2453</v>
      </c>
      <c r="W872" s="383" t="s">
        <v>2459</v>
      </c>
      <c r="X872" s="535" t="s">
        <v>2462</v>
      </c>
      <c r="Y872" s="528" t="s">
        <v>232</v>
      </c>
      <c r="Z872" s="39">
        <v>0</v>
      </c>
      <c r="AA872" s="39">
        <v>1</v>
      </c>
      <c r="AB872" s="523" t="s">
        <v>2454</v>
      </c>
      <c r="AC872" s="519" t="str">
        <f>""</f>
        <v/>
      </c>
      <c r="AD872" s="522">
        <v>0</v>
      </c>
      <c r="AE872" s="522" t="s">
        <v>300</v>
      </c>
      <c r="AF872" s="522" t="s">
        <v>300</v>
      </c>
      <c r="AG872" s="522">
        <v>1</v>
      </c>
      <c r="AH872" s="522">
        <v>4</v>
      </c>
      <c r="AI872" s="522">
        <v>0</v>
      </c>
      <c r="AJ872" s="520">
        <f>VLOOKUP($I872,'Price List, Weapons &amp; Items'!A:E,5,0)</f>
        <v>1</v>
      </c>
      <c r="AK872" s="520">
        <f t="shared" si="189"/>
        <v>0</v>
      </c>
      <c r="AL872" s="520">
        <f t="shared" si="190"/>
        <v>0</v>
      </c>
      <c r="AM872" s="520">
        <f t="shared" si="191"/>
        <v>0</v>
      </c>
      <c r="AN872" s="521" t="str">
        <f>VLOOKUP($I872,'Price List, Weapons &amp; Items'!A:K,COLUMN('Price List, Weapons &amp; Items'!$I$1),0)</f>
        <v>.</v>
      </c>
      <c r="AO872" s="521" t="str">
        <f>IF(I872=".",".",VLOOKUP($I872,'Price List, Weapons &amp; Items'!A:I,3,0))</f>
        <v>Armoured Utility Vehicle (AUV)</v>
      </c>
      <c r="AP872" s="517" t="str">
        <f t="shared" ca="1" si="199"/>
        <v/>
      </c>
      <c r="AQ872" s="521">
        <f>VLOOKUP($I872,'Price List, Weapons &amp; Items'!A:K,COLUMN('Price List, Weapons &amp; Items'!$K$1),0)</f>
        <v>1</v>
      </c>
      <c r="AS872" s="521">
        <f t="shared" si="192"/>
        <v>0</v>
      </c>
      <c r="AT872" s="521">
        <f t="shared" si="193"/>
        <v>1</v>
      </c>
      <c r="AU872" s="521">
        <f t="shared" si="194"/>
        <v>1</v>
      </c>
      <c r="AV872" s="521" t="str">
        <f t="shared" si="195"/>
        <v>.</v>
      </c>
    </row>
    <row r="873" spans="1:48" s="41" customFormat="1" ht="15" customHeight="1">
      <c r="A873" s="18" t="s">
        <v>2456</v>
      </c>
      <c r="B873" s="18" t="s">
        <v>2392</v>
      </c>
      <c r="C873" s="511">
        <v>44660</v>
      </c>
      <c r="D873" s="18" t="s">
        <v>252</v>
      </c>
      <c r="E873" s="18" t="s">
        <v>307</v>
      </c>
      <c r="F873" s="512" t="s">
        <v>2457</v>
      </c>
      <c r="G873" s="39" t="s">
        <v>314</v>
      </c>
      <c r="H873" s="513" t="s">
        <v>309</v>
      </c>
      <c r="I873" s="41" t="s">
        <v>2463</v>
      </c>
      <c r="J873" s="276" t="str">
        <f>VLOOKUP($I873,'Price List, Weapons &amp; Items'!A:B,2,0)</f>
        <v>Heavy weapon</v>
      </c>
      <c r="K873" s="276" t="str">
        <f>IF(I873=".",I873,VLOOKUP($I873,'Price List, Weapons &amp; Items'!A:C,3,0))</f>
        <v>Armoured Personnel Carrier (APC)</v>
      </c>
      <c r="L873" s="514">
        <f>VLOOKUP(I873,'Price List, Weapons &amp; Items'!A:D,4,0)</f>
        <v>0</v>
      </c>
      <c r="M873" s="515">
        <v>35</v>
      </c>
      <c r="N873" s="515">
        <v>35</v>
      </c>
      <c r="O873" s="516">
        <f>VLOOKUP($I873,'Price List, Weapons &amp; Items'!A:F,6,0)</f>
        <v>110000</v>
      </c>
      <c r="P873" s="513">
        <f t="shared" si="187"/>
        <v>3850000</v>
      </c>
      <c r="Q873" s="513">
        <f t="shared" si="188"/>
        <v>3850000</v>
      </c>
      <c r="R873" s="513" t="str">
        <f t="shared" si="198"/>
        <v/>
      </c>
      <c r="S873" s="513" t="str">
        <f>IF(AND(AD873=1,R873&lt;&gt;".")=TRUE,R873/VLOOKUP(G873,'Exchange rates'!B:C,2,0),IF(R873=".",".",""))</f>
        <v/>
      </c>
      <c r="T873" s="513" t="str">
        <f>IF(AD873=1,IF(AF873="Value is not given at all",".",IF(AF873="Value is given by the source",S873,IF(AF873="Value is calculated with prices",(IF(SUMIFS(Q:Q,A:A,A873)&gt;0,SUMIFS(Q:Q,A:A,A873),"."))/VLOOKUP("USD",'Exchange rates'!B:C,2,0),"Error with coding"))),"")</f>
        <v/>
      </c>
      <c r="U873" s="39" t="s">
        <v>372</v>
      </c>
      <c r="V873" s="383" t="s">
        <v>2453</v>
      </c>
      <c r="W873" s="383" t="s">
        <v>2459</v>
      </c>
      <c r="X873" s="535" t="s">
        <v>2462</v>
      </c>
      <c r="Y873" s="528" t="s">
        <v>232</v>
      </c>
      <c r="Z873" s="39">
        <v>0</v>
      </c>
      <c r="AA873" s="39">
        <v>1</v>
      </c>
      <c r="AB873" s="523" t="s">
        <v>2454</v>
      </c>
      <c r="AC873" s="519" t="str">
        <f>""</f>
        <v/>
      </c>
      <c r="AD873" s="522">
        <v>0</v>
      </c>
      <c r="AE873" s="522" t="s">
        <v>300</v>
      </c>
      <c r="AF873" s="522" t="s">
        <v>300</v>
      </c>
      <c r="AG873" s="522">
        <v>1</v>
      </c>
      <c r="AH873" s="522">
        <v>4</v>
      </c>
      <c r="AI873" s="522">
        <v>0</v>
      </c>
      <c r="AJ873" s="520">
        <f>VLOOKUP($I873,'Price List, Weapons &amp; Items'!A:E,5,0)</f>
        <v>1</v>
      </c>
      <c r="AK873" s="520">
        <f t="shared" si="189"/>
        <v>0</v>
      </c>
      <c r="AL873" s="520">
        <f t="shared" si="190"/>
        <v>0</v>
      </c>
      <c r="AM873" s="520">
        <f t="shared" si="191"/>
        <v>0</v>
      </c>
      <c r="AN873" s="521" t="str">
        <f>VLOOKUP($I873,'Price List, Weapons &amp; Items'!A:K,COLUMN('Price List, Weapons &amp; Items'!$I$1),0)</f>
        <v>Contracts</v>
      </c>
      <c r="AO873" s="521" t="str">
        <f>IF(I873=".",".",VLOOKUP($I873,'Price List, Weapons &amp; Items'!A:I,3,0))</f>
        <v>Armoured Personnel Carrier (APC)</v>
      </c>
      <c r="AP873" s="517" t="str">
        <f t="shared" ca="1" si="199"/>
        <v/>
      </c>
      <c r="AQ873" s="521">
        <f>VLOOKUP($I873,'Price List, Weapons &amp; Items'!A:K,COLUMN('Price List, Weapons &amp; Items'!$K$1),0)</f>
        <v>2</v>
      </c>
      <c r="AS873" s="521">
        <f t="shared" si="192"/>
        <v>0</v>
      </c>
      <c r="AT873" s="521">
        <f t="shared" si="193"/>
        <v>1</v>
      </c>
      <c r="AU873" s="521">
        <f t="shared" si="194"/>
        <v>1</v>
      </c>
      <c r="AV873" s="521" t="str">
        <f t="shared" si="195"/>
        <v>.</v>
      </c>
    </row>
    <row r="874" spans="1:48" ht="15" customHeight="1">
      <c r="A874" s="41" t="s">
        <v>2464</v>
      </c>
      <c r="B874" s="41" t="s">
        <v>2392</v>
      </c>
      <c r="C874" s="511">
        <v>44700</v>
      </c>
      <c r="D874" s="18" t="s">
        <v>252</v>
      </c>
      <c r="E874" s="18" t="s">
        <v>307</v>
      </c>
      <c r="F874" s="512" t="s">
        <v>2465</v>
      </c>
      <c r="G874" s="39" t="s">
        <v>314</v>
      </c>
      <c r="H874" s="513" t="s">
        <v>309</v>
      </c>
      <c r="I874" s="41" t="s">
        <v>2466</v>
      </c>
      <c r="J874" s="276" t="str">
        <f>VLOOKUP($I874,'Price List, Weapons &amp; Items'!A:B,2,0)</f>
        <v>Heavy weapon</v>
      </c>
      <c r="K874" s="276" t="str">
        <f>IF(I874=".",I874,VLOOKUP($I874,'Price List, Weapons &amp; Items'!A:C,3,0))</f>
        <v>Anti-aircraft surface-to-air missile (SAM) system (point-defense)</v>
      </c>
      <c r="L874" s="514">
        <f>VLOOKUP(I874,'Price List, Weapons &amp; Items'!A:D,4,0)</f>
        <v>0</v>
      </c>
      <c r="M874" s="515">
        <v>6</v>
      </c>
      <c r="N874" s="515">
        <v>6</v>
      </c>
      <c r="O874" s="516">
        <f>VLOOKUP($I874,'Price List, Weapons &amp; Items'!A:F,6,0)</f>
        <v>16000</v>
      </c>
      <c r="P874" s="513">
        <f t="shared" si="187"/>
        <v>96000</v>
      </c>
      <c r="Q874" s="513">
        <f t="shared" si="188"/>
        <v>96000</v>
      </c>
      <c r="R874" s="513">
        <f t="shared" si="198"/>
        <v>96000</v>
      </c>
      <c r="S874" s="513">
        <f>IF(AND(AD874=1,R874&lt;&gt;".")=TRUE,R874/VLOOKUP(G874,'Exchange rates'!B:C,2,0),IF(R874=".",".",""))</f>
        <v>95665.171898355751</v>
      </c>
      <c r="T874" s="513">
        <f>IF(AD874=1,IF(AF874="Value is not given at all",".",IF(AF874="Value is given by the source",S874,IF(AF874="Value is calculated with prices",(IF(SUMIFS(Q:Q,A:A,A874)&gt;0,SUMIFS(Q:Q,A:A,A874),"."))/VLOOKUP("USD",'Exchange rates'!B:C,2,0),"Error with coding"))),"")</f>
        <v>95665.171898355751</v>
      </c>
      <c r="U874" s="514" t="s">
        <v>372</v>
      </c>
      <c r="V874" s="42" t="s">
        <v>2467</v>
      </c>
      <c r="W874" s="42" t="s">
        <v>2454</v>
      </c>
      <c r="X874" s="512" t="s">
        <v>232</v>
      </c>
      <c r="Y874" s="517" t="s">
        <v>232</v>
      </c>
      <c r="Z874" s="39">
        <v>0</v>
      </c>
      <c r="AA874" s="518">
        <v>0</v>
      </c>
      <c r="AB874" s="395" t="s">
        <v>2454</v>
      </c>
      <c r="AC874" s="519" t="str">
        <f>""</f>
        <v/>
      </c>
      <c r="AD874" s="520">
        <v>1</v>
      </c>
      <c r="AE874" s="520" t="s">
        <v>300</v>
      </c>
      <c r="AF874" s="520" t="s">
        <v>300</v>
      </c>
      <c r="AG874" s="520">
        <v>1</v>
      </c>
      <c r="AH874" s="520">
        <v>5</v>
      </c>
      <c r="AI874" s="520">
        <v>0</v>
      </c>
      <c r="AJ874" s="520">
        <f>VLOOKUP($I874,'Price List, Weapons &amp; Items'!A:E,5,0)</f>
        <v>0</v>
      </c>
      <c r="AK874" s="520">
        <f t="shared" si="189"/>
        <v>0</v>
      </c>
      <c r="AL874" s="520">
        <f t="shared" si="190"/>
        <v>0</v>
      </c>
      <c r="AM874" s="520">
        <f t="shared" si="191"/>
        <v>0</v>
      </c>
      <c r="AN874" s="521" t="str">
        <f>VLOOKUP($I874,'Price List, Weapons &amp; Items'!A:K,COLUMN('Price List, Weapons &amp; Items'!$I$1),0)</f>
        <v>Online marketplaces and stores</v>
      </c>
      <c r="AO874" s="521" t="str">
        <f>IF(I874=".",".",VLOOKUP($I874,'Price List, Weapons &amp; Items'!A:I,3,0))</f>
        <v>Anti-aircraft surface-to-air missile (SAM) system (point-defense)</v>
      </c>
      <c r="AP874" s="517" t="str">
        <f t="shared" ca="1" si="199"/>
        <v>Stormer armoured vehicle with Starstreak anti-air missile launchers</v>
      </c>
      <c r="AQ874" s="521">
        <f>VLOOKUP($I874,'Price List, Weapons &amp; Items'!A:K,COLUMN('Price List, Weapons &amp; Items'!$K$1),0)</f>
        <v>1</v>
      </c>
      <c r="AS874" s="521">
        <f t="shared" si="192"/>
        <v>0</v>
      </c>
      <c r="AT874" s="521">
        <f t="shared" si="193"/>
        <v>1</v>
      </c>
      <c r="AU874" s="521">
        <f t="shared" si="194"/>
        <v>1</v>
      </c>
      <c r="AV874" s="521" t="str">
        <f t="shared" si="195"/>
        <v>.</v>
      </c>
    </row>
    <row r="875" spans="1:48" ht="15" customHeight="1">
      <c r="A875" s="18" t="s">
        <v>2468</v>
      </c>
      <c r="B875" s="18" t="s">
        <v>2392</v>
      </c>
      <c r="C875" s="511">
        <v>44701</v>
      </c>
      <c r="D875" s="18" t="s">
        <v>252</v>
      </c>
      <c r="E875" s="18" t="s">
        <v>253</v>
      </c>
      <c r="F875" s="512" t="s">
        <v>2469</v>
      </c>
      <c r="G875" s="39" t="s">
        <v>2394</v>
      </c>
      <c r="H875" s="513">
        <v>1300000000</v>
      </c>
      <c r="I875" s="41" t="s">
        <v>2470</v>
      </c>
      <c r="J875" s="276" t="str">
        <f>VLOOKUP($I875,'Price List, Weapons &amp; Items'!A:B,2,0)</f>
        <v>Military equipment</v>
      </c>
      <c r="K875" s="276" t="str">
        <f>IF(I875=".",I875,VLOOKUP($I875,'Price List, Weapons &amp; Items'!A:C,3,0))</f>
        <v>Radar or imagery systems</v>
      </c>
      <c r="L875" s="514">
        <f>VLOOKUP(I875,'Price List, Weapons &amp; Items'!A:D,4,0)</f>
        <v>0</v>
      </c>
      <c r="M875" s="515" t="s">
        <v>264</v>
      </c>
      <c r="N875" s="515" t="s">
        <v>264</v>
      </c>
      <c r="O875" s="516" t="str">
        <f>VLOOKUP($I875,'Price List, Weapons &amp; Items'!A:F,6,0)</f>
        <v>.</v>
      </c>
      <c r="P875" s="513" t="str">
        <f t="shared" si="187"/>
        <v>.</v>
      </c>
      <c r="Q875" s="513" t="str">
        <f t="shared" si="188"/>
        <v>.</v>
      </c>
      <c r="R875" s="513">
        <f t="shared" si="198"/>
        <v>1300000000</v>
      </c>
      <c r="S875" s="513">
        <f>IF(AND(AD875=1,R875&lt;&gt;".")=TRUE,R875/VLOOKUP(G875,'Exchange rates'!B:C,2,0),IF(R875=".",".",""))</f>
        <v>1498386353.1581373</v>
      </c>
      <c r="T875" s="513">
        <f>IF(AD875=1,IF(AF875="Value is not given at all",".",IF(AF875="Value is given by the source",S875,IF(AF875="Value is calculated with prices",(IF(SUMIFS(Q:Q,A:A,A875)&gt;0,SUMIFS(Q:Q,A:A,A875),"."))/VLOOKUP("USD",'Exchange rates'!B:C,2,0),"Error with coding"))),"")</f>
        <v>169467884.41229275</v>
      </c>
      <c r="U875" s="39" t="s">
        <v>233</v>
      </c>
      <c r="V875" s="376" t="s">
        <v>2471</v>
      </c>
      <c r="W875" s="376" t="s">
        <v>2472</v>
      </c>
      <c r="X875" s="528" t="s">
        <v>232</v>
      </c>
      <c r="Y875" s="528" t="s">
        <v>232</v>
      </c>
      <c r="Z875" s="39">
        <v>0</v>
      </c>
      <c r="AA875" s="39">
        <v>0</v>
      </c>
      <c r="AB875" s="395" t="s">
        <v>2473</v>
      </c>
      <c r="AC875" s="519" t="str">
        <f>""</f>
        <v/>
      </c>
      <c r="AD875" s="522">
        <v>1</v>
      </c>
      <c r="AE875" s="522" t="s">
        <v>236</v>
      </c>
      <c r="AF875" s="522" t="s">
        <v>300</v>
      </c>
      <c r="AG875" s="522">
        <v>1</v>
      </c>
      <c r="AH875" s="522">
        <v>5</v>
      </c>
      <c r="AI875" s="522">
        <v>0</v>
      </c>
      <c r="AJ875" s="520">
        <f>VLOOKUP($I875,'Price List, Weapons &amp; Items'!A:E,5,0)</f>
        <v>0</v>
      </c>
      <c r="AK875" s="520">
        <f t="shared" si="189"/>
        <v>0</v>
      </c>
      <c r="AL875" s="520">
        <f t="shared" si="190"/>
        <v>0</v>
      </c>
      <c r="AM875" s="520">
        <f t="shared" si="191"/>
        <v>0</v>
      </c>
      <c r="AN875" s="521" t="str">
        <f>VLOOKUP($I875,'Price List, Weapons &amp; Items'!A:K,COLUMN('Price List, Weapons &amp; Items'!$I$1),0)</f>
        <v>.</v>
      </c>
      <c r="AO875" s="521" t="str">
        <f>IF(I875=".",".",VLOOKUP($I875,'Price List, Weapons &amp; Items'!A:I,3,0))</f>
        <v>Radar or imagery systems</v>
      </c>
      <c r="AP875" s="517" t="str">
        <f t="shared" ca="1" si="199"/>
        <v>weapon locating radar system; heavy transport drone; night vision device; artillery round; GPS jamming equipment; Brimstone-1 missile; M270 weapon system; M31A1 munition; M109 A3GM 155mm howitzer</v>
      </c>
      <c r="AQ875" s="521" t="str">
        <f>VLOOKUP($I875,'Price List, Weapons &amp; Items'!A:K,COLUMN('Price List, Weapons &amp; Items'!$K$1),0)</f>
        <v>no price, 0 count</v>
      </c>
      <c r="AS875" s="521">
        <f t="shared" si="192"/>
        <v>1</v>
      </c>
      <c r="AT875" s="521">
        <f t="shared" si="193"/>
        <v>1</v>
      </c>
      <c r="AU875" s="521">
        <f t="shared" si="194"/>
        <v>1</v>
      </c>
      <c r="AV875" s="521" t="str">
        <f t="shared" si="195"/>
        <v>.</v>
      </c>
    </row>
    <row r="876" spans="1:48" ht="15" customHeight="1">
      <c r="A876" s="18" t="s">
        <v>2468</v>
      </c>
      <c r="B876" s="18" t="s">
        <v>2392</v>
      </c>
      <c r="C876" s="511">
        <v>44701</v>
      </c>
      <c r="D876" s="18" t="s">
        <v>252</v>
      </c>
      <c r="E876" s="18" t="s">
        <v>253</v>
      </c>
      <c r="F876" s="512" t="s">
        <v>2469</v>
      </c>
      <c r="G876" s="39" t="s">
        <v>2394</v>
      </c>
      <c r="H876" s="513">
        <v>1300000000</v>
      </c>
      <c r="I876" s="41" t="s">
        <v>2474</v>
      </c>
      <c r="J876" s="276" t="str">
        <f>VLOOKUP($I876,'Price List, Weapons &amp; Items'!A:B,2,0)</f>
        <v>Aviation and drones</v>
      </c>
      <c r="K876" s="276" t="str">
        <f>IF(I876=".",I876,VLOOKUP($I876,'Price List, Weapons &amp; Items'!A:C,3,0))</f>
        <v>Cargo drone</v>
      </c>
      <c r="L876" s="514">
        <f>VLOOKUP(I876,'Price List, Weapons &amp; Items'!A:D,4,0)</f>
        <v>0</v>
      </c>
      <c r="M876" s="515" t="s">
        <v>264</v>
      </c>
      <c r="N876" s="515" t="s">
        <v>2475</v>
      </c>
      <c r="O876" s="516">
        <f>VLOOKUP($I876,'Price List, Weapons &amp; Items'!A:F,6,0)</f>
        <v>64000</v>
      </c>
      <c r="P876" s="513" t="str">
        <f t="shared" si="187"/>
        <v>.</v>
      </c>
      <c r="Q876" s="513" t="str">
        <f t="shared" si="188"/>
        <v>.</v>
      </c>
      <c r="R876" s="513" t="str">
        <f t="shared" si="198"/>
        <v/>
      </c>
      <c r="S876" s="513" t="str">
        <f>IF(AND(AD876=1,R876&lt;&gt;".")=TRUE,R876/VLOOKUP(G876,'Exchange rates'!B:C,2,0),IF(R876=".",".",""))</f>
        <v/>
      </c>
      <c r="T876" s="513" t="str">
        <f>IF(AD876=1,IF(AF876="Value is not given at all",".",IF(AF876="Value is given by the source",S876,IF(AF876="Value is calculated with prices",(IF(SUMIFS(Q:Q,A:A,A876)&gt;0,SUMIFS(Q:Q,A:A,A876),"."))/VLOOKUP("USD",'Exchange rates'!B:C,2,0),"Error with coding"))),"")</f>
        <v/>
      </c>
      <c r="U876" s="39" t="s">
        <v>233</v>
      </c>
      <c r="V876" s="376" t="s">
        <v>2471</v>
      </c>
      <c r="W876" s="376" t="s">
        <v>2472</v>
      </c>
      <c r="X876" s="528" t="s">
        <v>232</v>
      </c>
      <c r="Y876" s="528" t="s">
        <v>232</v>
      </c>
      <c r="Z876" s="39">
        <v>0</v>
      </c>
      <c r="AA876" s="39">
        <v>0</v>
      </c>
      <c r="AB876" s="41" t="s">
        <v>232</v>
      </c>
      <c r="AC876" s="519" t="str">
        <f>""</f>
        <v/>
      </c>
      <c r="AD876" s="522">
        <v>0</v>
      </c>
      <c r="AE876" s="522" t="s">
        <v>236</v>
      </c>
      <c r="AF876" s="522" t="s">
        <v>300</v>
      </c>
      <c r="AG876" s="522">
        <v>1</v>
      </c>
      <c r="AH876" s="522">
        <v>5</v>
      </c>
      <c r="AI876" s="522">
        <v>0</v>
      </c>
      <c r="AJ876" s="520">
        <f>VLOOKUP($I876,'Price List, Weapons &amp; Items'!A:E,5,0)</f>
        <v>0</v>
      </c>
      <c r="AK876" s="520">
        <f t="shared" si="189"/>
        <v>0</v>
      </c>
      <c r="AL876" s="520">
        <f t="shared" si="190"/>
        <v>0</v>
      </c>
      <c r="AM876" s="520">
        <f t="shared" si="191"/>
        <v>0</v>
      </c>
      <c r="AN876" s="521" t="str">
        <f>VLOOKUP($I876,'Price List, Weapons &amp; Items'!A:K,COLUMN('Price List, Weapons &amp; Items'!$I$1),0)</f>
        <v>Miscellaneous</v>
      </c>
      <c r="AO876" s="521" t="str">
        <f>IF(I876=".",".",VLOOKUP($I876,'Price List, Weapons &amp; Items'!A:I,3,0))</f>
        <v>Cargo drone</v>
      </c>
      <c r="AP876" s="517" t="str">
        <f t="shared" ca="1" si="199"/>
        <v/>
      </c>
      <c r="AQ876" s="521" t="str">
        <f>VLOOKUP($I876,'Price List, Weapons &amp; Items'!A:K,COLUMN('Price List, Weapons &amp; Items'!$K$1),0)</f>
        <v>no price, 0 count</v>
      </c>
      <c r="AS876" s="521">
        <f t="shared" si="192"/>
        <v>1</v>
      </c>
      <c r="AT876" s="521">
        <f t="shared" si="193"/>
        <v>1</v>
      </c>
      <c r="AU876" s="521">
        <f t="shared" si="194"/>
        <v>1</v>
      </c>
      <c r="AV876" s="521" t="str">
        <f t="shared" si="195"/>
        <v>.</v>
      </c>
    </row>
    <row r="877" spans="1:48" ht="15" customHeight="1">
      <c r="A877" s="18" t="s">
        <v>2468</v>
      </c>
      <c r="B877" s="18" t="s">
        <v>2392</v>
      </c>
      <c r="C877" s="511">
        <v>44701</v>
      </c>
      <c r="D877" s="18" t="s">
        <v>252</v>
      </c>
      <c r="E877" s="18" t="s">
        <v>253</v>
      </c>
      <c r="F877" s="512" t="s">
        <v>2469</v>
      </c>
      <c r="G877" s="39" t="s">
        <v>2394</v>
      </c>
      <c r="H877" s="513">
        <v>1300000000</v>
      </c>
      <c r="I877" s="41" t="s">
        <v>529</v>
      </c>
      <c r="J877" s="276" t="str">
        <f>VLOOKUP($I877,'Price List, Weapons &amp; Items'!A:B,2,0)</f>
        <v>Military equipment</v>
      </c>
      <c r="K877" s="276" t="str">
        <f>IF(I877=".",I877,VLOOKUP($I877,'Price List, Weapons &amp; Items'!A:C,3,0))</f>
        <v>.</v>
      </c>
      <c r="L877" s="514">
        <f>VLOOKUP(I877,'Price List, Weapons &amp; Items'!A:D,4,0)</f>
        <v>0</v>
      </c>
      <c r="M877" s="515" t="s">
        <v>264</v>
      </c>
      <c r="N877" s="515">
        <v>2000</v>
      </c>
      <c r="O877" s="516">
        <f>VLOOKUP($I877,'Price List, Weapons &amp; Items'!A:F,6,0)</f>
        <v>2320</v>
      </c>
      <c r="P877" s="513" t="str">
        <f t="shared" si="187"/>
        <v>.</v>
      </c>
      <c r="Q877" s="513">
        <f t="shared" si="188"/>
        <v>4640000</v>
      </c>
      <c r="R877" s="513" t="str">
        <f t="shared" si="198"/>
        <v/>
      </c>
      <c r="S877" s="513" t="str">
        <f>IF(AND(AD877=1,R877&lt;&gt;".")=TRUE,R877/VLOOKUP(G877,'Exchange rates'!B:C,2,0),IF(R877=".",".",""))</f>
        <v/>
      </c>
      <c r="T877" s="513" t="str">
        <f>IF(AD877=1,IF(AF877="Value is not given at all",".",IF(AF877="Value is given by the source",S877,IF(AF877="Value is calculated with prices",(IF(SUMIFS(Q:Q,A:A,A877)&gt;0,SUMIFS(Q:Q,A:A,A877),"."))/VLOOKUP("USD",'Exchange rates'!B:C,2,0),"Error with coding"))),"")</f>
        <v/>
      </c>
      <c r="U877" s="39" t="s">
        <v>233</v>
      </c>
      <c r="V877" s="376" t="s">
        <v>2471</v>
      </c>
      <c r="W877" s="376" t="s">
        <v>2472</v>
      </c>
      <c r="X877" s="528" t="s">
        <v>232</v>
      </c>
      <c r="Y877" s="528" t="s">
        <v>232</v>
      </c>
      <c r="Z877" s="39">
        <v>0</v>
      </c>
      <c r="AA877" s="39">
        <v>0</v>
      </c>
      <c r="AB877" s="41" t="s">
        <v>232</v>
      </c>
      <c r="AC877" s="519" t="str">
        <f>""</f>
        <v/>
      </c>
      <c r="AD877" s="522">
        <v>0</v>
      </c>
      <c r="AE877" s="522" t="s">
        <v>236</v>
      </c>
      <c r="AF877" s="522" t="s">
        <v>300</v>
      </c>
      <c r="AG877" s="522">
        <v>1</v>
      </c>
      <c r="AH877" s="522">
        <v>5</v>
      </c>
      <c r="AI877" s="522">
        <v>0</v>
      </c>
      <c r="AJ877" s="520">
        <f>VLOOKUP($I877,'Price List, Weapons &amp; Items'!A:E,5,0)</f>
        <v>0</v>
      </c>
      <c r="AK877" s="520">
        <f t="shared" si="189"/>
        <v>0</v>
      </c>
      <c r="AL877" s="520">
        <f t="shared" si="190"/>
        <v>0</v>
      </c>
      <c r="AM877" s="520">
        <f t="shared" si="191"/>
        <v>0</v>
      </c>
      <c r="AN877" s="521" t="str">
        <f>VLOOKUP($I877,'Price List, Weapons &amp; Items'!A:K,COLUMN('Price List, Weapons &amp; Items'!$I$1),0)</f>
        <v>Media reports (incl. social media)</v>
      </c>
      <c r="AO877" s="521" t="str">
        <f>IF(I877=".",".",VLOOKUP($I877,'Price List, Weapons &amp; Items'!A:I,3,0))</f>
        <v>.</v>
      </c>
      <c r="AP877" s="517" t="str">
        <f t="shared" ca="1" si="199"/>
        <v/>
      </c>
      <c r="AQ877" s="521">
        <f>VLOOKUP($I877,'Price List, Weapons &amp; Items'!A:K,COLUMN('Price List, Weapons &amp; Items'!$K$1),0)</f>
        <v>2</v>
      </c>
      <c r="AS877" s="521">
        <f t="shared" si="192"/>
        <v>1</v>
      </c>
      <c r="AT877" s="521">
        <f t="shared" si="193"/>
        <v>1</v>
      </c>
      <c r="AU877" s="521">
        <f t="shared" si="194"/>
        <v>1</v>
      </c>
      <c r="AV877" s="521" t="str">
        <f t="shared" si="195"/>
        <v>.</v>
      </c>
    </row>
    <row r="878" spans="1:48" ht="15" customHeight="1">
      <c r="A878" s="18" t="s">
        <v>2468</v>
      </c>
      <c r="B878" s="18" t="s">
        <v>2392</v>
      </c>
      <c r="C878" s="511">
        <v>44701</v>
      </c>
      <c r="D878" s="18" t="s">
        <v>252</v>
      </c>
      <c r="E878" s="18" t="s">
        <v>253</v>
      </c>
      <c r="F878" s="512" t="s">
        <v>2469</v>
      </c>
      <c r="G878" s="39" t="s">
        <v>2394</v>
      </c>
      <c r="H878" s="513">
        <v>1300000000</v>
      </c>
      <c r="I878" s="41" t="s">
        <v>2476</v>
      </c>
      <c r="J878" s="276" t="str">
        <f>VLOOKUP($I878,'Price List, Weapons &amp; Items'!A:B,2,0)</f>
        <v>Ammunition for heavy weapon</v>
      </c>
      <c r="K878" s="276" t="str">
        <f>IF(I878=".",I878,VLOOKUP($I878,'Price List, Weapons &amp; Items'!A:C,3,0))</f>
        <v>howitzer ammunition</v>
      </c>
      <c r="L878" s="514">
        <f>VLOOKUP(I878,'Price List, Weapons &amp; Items'!A:D,4,0)</f>
        <v>0</v>
      </c>
      <c r="M878" s="515">
        <v>16000</v>
      </c>
      <c r="N878" s="515">
        <v>16000</v>
      </c>
      <c r="O878" s="516">
        <f>VLOOKUP($I878,'Price List, Weapons &amp; Items'!A:F,6,0)</f>
        <v>2000</v>
      </c>
      <c r="P878" s="513">
        <f t="shared" si="187"/>
        <v>32000000</v>
      </c>
      <c r="Q878" s="513">
        <f t="shared" si="188"/>
        <v>32000000</v>
      </c>
      <c r="R878" s="513" t="str">
        <f t="shared" si="198"/>
        <v/>
      </c>
      <c r="S878" s="513" t="str">
        <f>IF(AND(AD878=1,R878&lt;&gt;".")=TRUE,R878/VLOOKUP(G878,'Exchange rates'!B:C,2,0),IF(R878=".",".",""))</f>
        <v/>
      </c>
      <c r="T878" s="513" t="str">
        <f>IF(AD878=1,IF(AF878="Value is not given at all",".",IF(AF878="Value is given by the source",S878,IF(AF878="Value is calculated with prices",(IF(SUMIFS(Q:Q,A:A,A878)&gt;0,SUMIFS(Q:Q,A:A,A878),"."))/VLOOKUP("USD",'Exchange rates'!B:C,2,0),"Error with coding"))),"")</f>
        <v/>
      </c>
      <c r="U878" s="39" t="s">
        <v>233</v>
      </c>
      <c r="V878" s="376" t="s">
        <v>2471</v>
      </c>
      <c r="W878" s="376" t="s">
        <v>2472</v>
      </c>
      <c r="X878" s="528" t="s">
        <v>232</v>
      </c>
      <c r="Y878" s="528" t="s">
        <v>232</v>
      </c>
      <c r="Z878" s="39">
        <v>0</v>
      </c>
      <c r="AA878" s="39">
        <v>1</v>
      </c>
      <c r="AB878" s="830" t="s">
        <v>2454</v>
      </c>
      <c r="AC878" s="519" t="str">
        <f>""</f>
        <v/>
      </c>
      <c r="AD878" s="522">
        <v>0</v>
      </c>
      <c r="AE878" s="522" t="s">
        <v>236</v>
      </c>
      <c r="AF878" s="522" t="s">
        <v>300</v>
      </c>
      <c r="AG878" s="522">
        <v>1</v>
      </c>
      <c r="AH878" s="522">
        <v>5</v>
      </c>
      <c r="AI878" s="522">
        <v>0</v>
      </c>
      <c r="AJ878" s="520">
        <f>VLOOKUP($I878,'Price List, Weapons &amp; Items'!A:E,5,0)</f>
        <v>0</v>
      </c>
      <c r="AK878" s="520">
        <f t="shared" si="189"/>
        <v>0</v>
      </c>
      <c r="AL878" s="520">
        <f t="shared" si="190"/>
        <v>0</v>
      </c>
      <c r="AM878" s="520">
        <f t="shared" si="191"/>
        <v>0</v>
      </c>
      <c r="AN878" s="521" t="str">
        <f>VLOOKUP($I878,'Price List, Weapons &amp; Items'!A:K,COLUMN('Price List, Weapons &amp; Items'!$I$1),0)</f>
        <v>Media reports (incl. social media)</v>
      </c>
      <c r="AO878" s="521" t="str">
        <f>IF(I878=".",".",VLOOKUP($I878,'Price List, Weapons &amp; Items'!A:I,3,0))</f>
        <v>howitzer ammunition</v>
      </c>
      <c r="AP878" s="517" t="str">
        <f t="shared" ca="1" si="199"/>
        <v/>
      </c>
      <c r="AQ878" s="521">
        <f>VLOOKUP($I878,'Price List, Weapons &amp; Items'!A:K,COLUMN('Price List, Weapons &amp; Items'!$K$1),0)</f>
        <v>2</v>
      </c>
      <c r="AS878" s="521">
        <f t="shared" si="192"/>
        <v>1</v>
      </c>
      <c r="AT878" s="521">
        <f t="shared" si="193"/>
        <v>1</v>
      </c>
      <c r="AU878" s="521">
        <f t="shared" si="194"/>
        <v>1</v>
      </c>
      <c r="AV878" s="521" t="str">
        <f t="shared" si="195"/>
        <v>.</v>
      </c>
    </row>
    <row r="879" spans="1:48" ht="15" customHeight="1">
      <c r="A879" s="18" t="s">
        <v>2468</v>
      </c>
      <c r="B879" s="18" t="s">
        <v>2392</v>
      </c>
      <c r="C879" s="511">
        <v>44701</v>
      </c>
      <c r="D879" s="18" t="s">
        <v>252</v>
      </c>
      <c r="E879" s="18" t="s">
        <v>253</v>
      </c>
      <c r="F879" s="512" t="s">
        <v>2469</v>
      </c>
      <c r="G879" s="39" t="s">
        <v>2394</v>
      </c>
      <c r="H879" s="513">
        <v>1300000000</v>
      </c>
      <c r="I879" s="41" t="s">
        <v>2477</v>
      </c>
      <c r="J879" s="276" t="str">
        <f>VLOOKUP($I879,'Price List, Weapons &amp; Items'!A:B,2,0)</f>
        <v>Military equipment</v>
      </c>
      <c r="K879" s="276" t="str">
        <f>IF(I879=".",I879,VLOOKUP($I879,'Price List, Weapons &amp; Items'!A:C,3,0))</f>
        <v>Jammers or disruptive systems</v>
      </c>
      <c r="L879" s="514">
        <f>VLOOKUP(I879,'Price List, Weapons &amp; Items'!A:D,4,0)</f>
        <v>0</v>
      </c>
      <c r="M879" s="515" t="s">
        <v>264</v>
      </c>
      <c r="N879" s="515" t="s">
        <v>232</v>
      </c>
      <c r="O879" s="516" t="str">
        <f>VLOOKUP($I879,'Price List, Weapons &amp; Items'!A:F,6,0)</f>
        <v>.</v>
      </c>
      <c r="P879" s="513" t="str">
        <f t="shared" si="187"/>
        <v>.</v>
      </c>
      <c r="Q879" s="513" t="str">
        <f t="shared" si="188"/>
        <v>.</v>
      </c>
      <c r="R879" s="513" t="str">
        <f t="shared" si="198"/>
        <v/>
      </c>
      <c r="S879" s="513" t="str">
        <f>IF(AND(AD879=1,R879&lt;&gt;".")=TRUE,R879/VLOOKUP(G879,'Exchange rates'!B:C,2,0),IF(R879=".",".",""))</f>
        <v/>
      </c>
      <c r="T879" s="513" t="str">
        <f>IF(AD879=1,IF(AF879="Value is not given at all",".",IF(AF879="Value is given by the source",S879,IF(AF879="Value is calculated with prices",(IF(SUMIFS(Q:Q,A:A,A879)&gt;0,SUMIFS(Q:Q,A:A,A879),"."))/VLOOKUP("USD",'Exchange rates'!B:C,2,0),"Error with coding"))),"")</f>
        <v/>
      </c>
      <c r="U879" s="39" t="s">
        <v>233</v>
      </c>
      <c r="V879" s="376" t="s">
        <v>2471</v>
      </c>
      <c r="W879" s="376" t="s">
        <v>2472</v>
      </c>
      <c r="X879" s="528" t="s">
        <v>232</v>
      </c>
      <c r="Y879" s="528" t="s">
        <v>232</v>
      </c>
      <c r="Z879" s="39">
        <v>0</v>
      </c>
      <c r="AA879" s="39">
        <v>0</v>
      </c>
      <c r="AB879" s="41" t="s">
        <v>232</v>
      </c>
      <c r="AC879" s="519" t="str">
        <f>""</f>
        <v/>
      </c>
      <c r="AD879" s="522">
        <v>0</v>
      </c>
      <c r="AE879" s="522" t="s">
        <v>236</v>
      </c>
      <c r="AF879" s="522" t="s">
        <v>300</v>
      </c>
      <c r="AG879" s="522">
        <v>1</v>
      </c>
      <c r="AH879" s="522">
        <v>5</v>
      </c>
      <c r="AI879" s="522">
        <v>0</v>
      </c>
      <c r="AJ879" s="520">
        <f>VLOOKUP($I879,'Price List, Weapons &amp; Items'!A:E,5,0)</f>
        <v>0</v>
      </c>
      <c r="AK879" s="520">
        <f t="shared" si="189"/>
        <v>0</v>
      </c>
      <c r="AL879" s="520">
        <f t="shared" si="190"/>
        <v>0</v>
      </c>
      <c r="AM879" s="520">
        <f t="shared" si="191"/>
        <v>0</v>
      </c>
      <c r="AN879" s="521" t="str">
        <f>VLOOKUP($I879,'Price List, Weapons &amp; Items'!A:K,COLUMN('Price List, Weapons &amp; Items'!$I$1),0)</f>
        <v>.</v>
      </c>
      <c r="AO879" s="521" t="str">
        <f>IF(I879=".",".",VLOOKUP($I879,'Price List, Weapons &amp; Items'!A:I,3,0))</f>
        <v>Jammers or disruptive systems</v>
      </c>
      <c r="AP879" s="517" t="str">
        <f t="shared" ca="1" si="199"/>
        <v/>
      </c>
      <c r="AQ879" s="521" t="str">
        <f>VLOOKUP($I879,'Price List, Weapons &amp; Items'!A:K,COLUMN('Price List, Weapons &amp; Items'!$K$1),0)</f>
        <v>no price, 0 count</v>
      </c>
      <c r="AS879" s="521">
        <f t="shared" si="192"/>
        <v>1</v>
      </c>
      <c r="AT879" s="521">
        <f t="shared" si="193"/>
        <v>1</v>
      </c>
      <c r="AU879" s="521">
        <f t="shared" si="194"/>
        <v>1</v>
      </c>
      <c r="AV879" s="521" t="str">
        <f t="shared" si="195"/>
        <v>.</v>
      </c>
    </row>
    <row r="880" spans="1:48" ht="15" customHeight="1">
      <c r="A880" s="18" t="s">
        <v>2468</v>
      </c>
      <c r="B880" s="18" t="s">
        <v>2392</v>
      </c>
      <c r="C880" s="511">
        <v>44684</v>
      </c>
      <c r="D880" s="18" t="s">
        <v>252</v>
      </c>
      <c r="E880" s="18" t="s">
        <v>253</v>
      </c>
      <c r="F880" s="512" t="s">
        <v>2469</v>
      </c>
      <c r="G880" s="39" t="s">
        <v>2394</v>
      </c>
      <c r="H880" s="513">
        <v>1300000000</v>
      </c>
      <c r="I880" s="41" t="s">
        <v>2478</v>
      </c>
      <c r="J880" s="276" t="str">
        <f>VLOOKUP($I880,'Price List, Weapons &amp; Items'!A:B,2,0)</f>
        <v>Air-launched ammunition</v>
      </c>
      <c r="K880" s="276" t="str">
        <f>IF(I880=".",I880,VLOOKUP($I880,'Price List, Weapons &amp; Items'!A:C,3,0))</f>
        <v>Air-to-surface missile (ASM)</v>
      </c>
      <c r="L880" s="514">
        <f>VLOOKUP(I880,'Price List, Weapons &amp; Items'!A:D,4,0)</f>
        <v>0</v>
      </c>
      <c r="M880" s="515" t="s">
        <v>264</v>
      </c>
      <c r="N880" s="515">
        <v>200</v>
      </c>
      <c r="O880" s="516">
        <f>VLOOKUP($I880,'Price List, Weapons &amp; Items'!A:F,6,0)</f>
        <v>220000</v>
      </c>
      <c r="P880" s="513" t="str">
        <f t="shared" si="187"/>
        <v>.</v>
      </c>
      <c r="Q880" s="513">
        <f t="shared" si="188"/>
        <v>44000000</v>
      </c>
      <c r="R880" s="513" t="str">
        <f t="shared" si="198"/>
        <v/>
      </c>
      <c r="S880" s="513" t="str">
        <f>IF(AND(AD880=1,R880&lt;&gt;".")=TRUE,R880/VLOOKUP(G880,'Exchange rates'!B:C,2,0),IF(R880=".",".",""))</f>
        <v/>
      </c>
      <c r="T880" s="513" t="str">
        <f>IF(AD880=1,IF(AF880="Value is not given at all",".",IF(AF880="Value is given by the source",S880,IF(AF880="Value is calculated with prices",(IF(SUMIFS(Q:Q,A:A,A880)&gt;0,SUMIFS(Q:Q,A:A,A880),"."))/VLOOKUP("USD",'Exchange rates'!B:C,2,0),"Error with coding"))),"")</f>
        <v/>
      </c>
      <c r="U880" s="39" t="s">
        <v>233</v>
      </c>
      <c r="V880" s="376" t="s">
        <v>2471</v>
      </c>
      <c r="W880" s="376" t="s">
        <v>2472</v>
      </c>
      <c r="X880" s="528" t="s">
        <v>232</v>
      </c>
      <c r="Y880" s="528" t="s">
        <v>232</v>
      </c>
      <c r="Z880" s="39">
        <v>0</v>
      </c>
      <c r="AA880" s="39">
        <v>0</v>
      </c>
      <c r="AB880" s="41" t="s">
        <v>232</v>
      </c>
      <c r="AC880" s="519" t="str">
        <f>""</f>
        <v/>
      </c>
      <c r="AD880" s="522">
        <v>0</v>
      </c>
      <c r="AE880" s="522" t="s">
        <v>236</v>
      </c>
      <c r="AF880" s="522" t="s">
        <v>300</v>
      </c>
      <c r="AG880" s="522">
        <v>1</v>
      </c>
      <c r="AH880" s="520">
        <v>5</v>
      </c>
      <c r="AI880" s="520">
        <v>0</v>
      </c>
      <c r="AJ880" s="520">
        <f>VLOOKUP($I880,'Price List, Weapons &amp; Items'!A:E,5,0)</f>
        <v>0</v>
      </c>
      <c r="AK880" s="520">
        <f t="shared" si="189"/>
        <v>0</v>
      </c>
      <c r="AL880" s="520">
        <f t="shared" si="190"/>
        <v>0</v>
      </c>
      <c r="AM880" s="520">
        <f t="shared" si="191"/>
        <v>0</v>
      </c>
      <c r="AN880" s="521" t="str">
        <f>VLOOKUP($I880,'Price List, Weapons &amp; Items'!A:K,COLUMN('Price List, Weapons &amp; Items'!$I$1),0)</f>
        <v>Government information</v>
      </c>
      <c r="AO880" s="521" t="str">
        <f>IF(I880=".",".",VLOOKUP($I880,'Price List, Weapons &amp; Items'!A:I,3,0))</f>
        <v>Air-to-surface missile (ASM)</v>
      </c>
      <c r="AP880" s="517" t="str">
        <f t="shared" ca="1" si="199"/>
        <v/>
      </c>
      <c r="AQ880" s="521" t="str">
        <f>VLOOKUP($I880,'Price List, Weapons &amp; Items'!A:K,COLUMN('Price List, Weapons &amp; Items'!$K$1),0)</f>
        <v>no price, 0 count</v>
      </c>
      <c r="AS880" s="521">
        <f t="shared" si="192"/>
        <v>1</v>
      </c>
      <c r="AT880" s="521">
        <f t="shared" si="193"/>
        <v>1</v>
      </c>
      <c r="AU880" s="521">
        <f t="shared" si="194"/>
        <v>1</v>
      </c>
      <c r="AV880" s="521" t="str">
        <f t="shared" si="195"/>
        <v>.</v>
      </c>
    </row>
    <row r="881" spans="1:48" ht="15" customHeight="1">
      <c r="A881" s="18" t="s">
        <v>2468</v>
      </c>
      <c r="B881" s="18" t="s">
        <v>2392</v>
      </c>
      <c r="C881" s="511">
        <v>44718</v>
      </c>
      <c r="D881" s="18" t="s">
        <v>252</v>
      </c>
      <c r="E881" s="18" t="s">
        <v>253</v>
      </c>
      <c r="F881" s="512" t="s">
        <v>2469</v>
      </c>
      <c r="G881" s="39" t="s">
        <v>2394</v>
      </c>
      <c r="H881" s="513">
        <v>1300000000</v>
      </c>
      <c r="I881" s="41" t="s">
        <v>1133</v>
      </c>
      <c r="J881" s="276" t="str">
        <f>VLOOKUP($I881,'Price List, Weapons &amp; Items'!A:B,2,0)</f>
        <v>Heavy weapon</v>
      </c>
      <c r="K881" s="276" t="str">
        <f>IF(I881=".",I881,VLOOKUP($I881,'Price List, Weapons &amp; Items'!A:C,3,0))</f>
        <v>227mm MLRS</v>
      </c>
      <c r="L881" s="514">
        <f>VLOOKUP(I881,'Price List, Weapons &amp; Items'!A:D,4,0)</f>
        <v>0</v>
      </c>
      <c r="M881" s="515">
        <v>3</v>
      </c>
      <c r="N881" s="515">
        <v>3</v>
      </c>
      <c r="O881" s="516">
        <f>VLOOKUP($I881,'Price List, Weapons &amp; Items'!A:F,6,0)</f>
        <v>13615659.128881287</v>
      </c>
      <c r="P881" s="513">
        <f t="shared" si="187"/>
        <v>40846977.386643857</v>
      </c>
      <c r="Q881" s="513">
        <f t="shared" si="188"/>
        <v>40846977.386643857</v>
      </c>
      <c r="R881" s="513" t="str">
        <f t="shared" si="198"/>
        <v/>
      </c>
      <c r="S881" s="513" t="str">
        <f>IF(AND(AD881=1,R881&lt;&gt;".")=TRUE,R881/VLOOKUP(G881,'Exchange rates'!B:C,2,0),IF(R881=".",".",""))</f>
        <v/>
      </c>
      <c r="T881" s="513" t="str">
        <f>IF(AD881=1,IF(AF881="Value is not given at all",".",IF(AF881="Value is given by the source",S881,IF(AF881="Value is calculated with prices",(IF(SUMIFS(Q:Q,A:A,A881)&gt;0,SUMIFS(Q:Q,A:A,A881),"."))/VLOOKUP("USD",'Exchange rates'!B:C,2,0),"Error with coding"))),"")</f>
        <v/>
      </c>
      <c r="U881" s="39" t="s">
        <v>233</v>
      </c>
      <c r="V881" s="42" t="s">
        <v>2479</v>
      </c>
      <c r="W881" s="825" t="s">
        <v>2480</v>
      </c>
      <c r="X881" s="528" t="s">
        <v>232</v>
      </c>
      <c r="Y881" s="528" t="s">
        <v>232</v>
      </c>
      <c r="Z881" s="39">
        <v>0</v>
      </c>
      <c r="AA881" s="39">
        <v>0</v>
      </c>
      <c r="AB881" s="830" t="s">
        <v>2481</v>
      </c>
      <c r="AC881" s="519" t="str">
        <f>""</f>
        <v/>
      </c>
      <c r="AD881" s="522">
        <v>0</v>
      </c>
      <c r="AE881" s="522" t="s">
        <v>236</v>
      </c>
      <c r="AF881" s="522" t="s">
        <v>300</v>
      </c>
      <c r="AG881" s="522">
        <v>1</v>
      </c>
      <c r="AH881" s="520">
        <v>6</v>
      </c>
      <c r="AI881" s="520">
        <v>0</v>
      </c>
      <c r="AJ881" s="520">
        <f>VLOOKUP($I881,'Price List, Weapons &amp; Items'!A:E,5,0)</f>
        <v>1</v>
      </c>
      <c r="AK881" s="520">
        <f t="shared" si="189"/>
        <v>0</v>
      </c>
      <c r="AL881" s="520">
        <f t="shared" si="190"/>
        <v>0</v>
      </c>
      <c r="AM881" s="520">
        <f t="shared" si="191"/>
        <v>0</v>
      </c>
      <c r="AN881" s="521" t="str">
        <f>VLOOKUP($I881,'Price List, Weapons &amp; Items'!A:K,COLUMN('Price List, Weapons &amp; Items'!$I$1),0)</f>
        <v>Contracts</v>
      </c>
      <c r="AO881" s="521" t="str">
        <f>IF(I881=".",".",VLOOKUP($I881,'Price List, Weapons &amp; Items'!A:I,3,0))</f>
        <v>227mm MLRS</v>
      </c>
      <c r="AP881" s="517" t="str">
        <f t="shared" ca="1" si="199"/>
        <v/>
      </c>
      <c r="AQ881" s="521">
        <f>VLOOKUP($I881,'Price List, Weapons &amp; Items'!A:K,COLUMN('Price List, Weapons &amp; Items'!$K$1),0)</f>
        <v>2</v>
      </c>
      <c r="AS881" s="521">
        <f t="shared" si="192"/>
        <v>1</v>
      </c>
      <c r="AT881" s="521">
        <f t="shared" si="193"/>
        <v>1</v>
      </c>
      <c r="AU881" s="521">
        <f t="shared" si="194"/>
        <v>1</v>
      </c>
      <c r="AV881" s="521" t="str">
        <f t="shared" si="195"/>
        <v>.</v>
      </c>
    </row>
    <row r="882" spans="1:48" ht="15" customHeight="1">
      <c r="A882" s="18" t="s">
        <v>2468</v>
      </c>
      <c r="B882" s="18" t="s">
        <v>2392</v>
      </c>
      <c r="C882" s="511">
        <v>44718</v>
      </c>
      <c r="D882" s="18" t="s">
        <v>252</v>
      </c>
      <c r="E882" s="18" t="s">
        <v>253</v>
      </c>
      <c r="F882" s="512" t="s">
        <v>2469</v>
      </c>
      <c r="G882" s="39" t="s">
        <v>2394</v>
      </c>
      <c r="H882" s="513">
        <v>1300000000</v>
      </c>
      <c r="I882" s="41" t="s">
        <v>2482</v>
      </c>
      <c r="J882" s="276" t="str">
        <f>VLOOKUP($I882,'Price List, Weapons &amp; Items'!A:B,2,0)</f>
        <v>Ammunition for heavy weapon</v>
      </c>
      <c r="K882" s="276" t="str">
        <f>IF(I882=".",I882,VLOOKUP($I882,'Price List, Weapons &amp; Items'!A:C,3,0))</f>
        <v>298mm MLRS ammunition</v>
      </c>
      <c r="L882" s="514">
        <f>VLOOKUP(I882,'Price List, Weapons &amp; Items'!A:D,4,0)</f>
        <v>0</v>
      </c>
      <c r="M882" s="515" t="s">
        <v>264</v>
      </c>
      <c r="N882" s="515" t="s">
        <v>232</v>
      </c>
      <c r="O882" s="516">
        <f>VLOOKUP($I882,'Price List, Weapons &amp; Items'!A:F,6,0)</f>
        <v>625000</v>
      </c>
      <c r="P882" s="513" t="str">
        <f t="shared" ref="P882:P955" si="200">IF(TYPE(M882)=1,IF(TYPE(O882)=1,M882*O882,"No price"),".")</f>
        <v>.</v>
      </c>
      <c r="Q882" s="513" t="str">
        <f t="shared" ref="Q882:Q955" si="201">IF(TYPE(N882)=1,IF(TYPE(O882)=1,N882*O882,"No price"),".")</f>
        <v>.</v>
      </c>
      <c r="R882" s="513" t="str">
        <f t="shared" si="198"/>
        <v/>
      </c>
      <c r="S882" s="513" t="str">
        <f>IF(AND(AD882=1,R882&lt;&gt;".")=TRUE,R882/VLOOKUP(G882,'Exchange rates'!B:C,2,0),IF(R882=".",".",""))</f>
        <v/>
      </c>
      <c r="T882" s="513" t="str">
        <f>IF(AD882=1,IF(AF882="Value is not given at all",".",IF(AF882="Value is given by the source",S882,IF(AF882="Value is calculated with prices",(IF(SUMIFS(Q:Q,A:A,A882)&gt;0,SUMIFS(Q:Q,A:A,A882),"."))/VLOOKUP("USD",'Exchange rates'!B:C,2,0),"Error with coding"))),"")</f>
        <v/>
      </c>
      <c r="U882" s="39" t="s">
        <v>233</v>
      </c>
      <c r="V882" s="42" t="s">
        <v>2479</v>
      </c>
      <c r="W882" s="512" t="s">
        <v>232</v>
      </c>
      <c r="X882" s="528" t="s">
        <v>232</v>
      </c>
      <c r="Y882" s="528" t="s">
        <v>232</v>
      </c>
      <c r="Z882" s="39">
        <v>0</v>
      </c>
      <c r="AA882" s="39">
        <v>0</v>
      </c>
      <c r="AB882" s="41" t="s">
        <v>232</v>
      </c>
      <c r="AC882" s="519" t="str">
        <f>""</f>
        <v/>
      </c>
      <c r="AD882" s="522">
        <v>0</v>
      </c>
      <c r="AE882" s="522" t="s">
        <v>236</v>
      </c>
      <c r="AF882" s="522" t="s">
        <v>300</v>
      </c>
      <c r="AG882" s="522">
        <v>1</v>
      </c>
      <c r="AH882" s="520">
        <v>6</v>
      </c>
      <c r="AI882" s="520">
        <v>0</v>
      </c>
      <c r="AJ882" s="520">
        <f>VLOOKUP($I882,'Price List, Weapons &amp; Items'!A:E,5,0)</f>
        <v>0</v>
      </c>
      <c r="AK882" s="520">
        <f t="shared" si="189"/>
        <v>0</v>
      </c>
      <c r="AL882" s="520">
        <f t="shared" si="190"/>
        <v>0</v>
      </c>
      <c r="AM882" s="520">
        <f t="shared" si="191"/>
        <v>0</v>
      </c>
      <c r="AN882" s="521" t="str">
        <f>VLOOKUP($I882,'Price List, Weapons &amp; Items'!A:K,COLUMN('Price List, Weapons &amp; Items'!$I$1),0)</f>
        <v>Government information</v>
      </c>
      <c r="AO882" s="521" t="str">
        <f>IF(I882=".",".",VLOOKUP($I882,'Price List, Weapons &amp; Items'!A:I,3,0))</f>
        <v>298mm MLRS ammunition</v>
      </c>
      <c r="AP882" s="517" t="str">
        <f t="shared" ca="1" si="199"/>
        <v/>
      </c>
      <c r="AQ882" s="521" t="str">
        <f>VLOOKUP($I882,'Price List, Weapons &amp; Items'!A:K,COLUMN('Price List, Weapons &amp; Items'!$K$1),0)</f>
        <v>no price, 0 count</v>
      </c>
      <c r="AS882" s="521">
        <f t="shared" si="192"/>
        <v>1</v>
      </c>
      <c r="AT882" s="521">
        <f t="shared" si="193"/>
        <v>1</v>
      </c>
      <c r="AU882" s="521">
        <f t="shared" si="194"/>
        <v>1</v>
      </c>
      <c r="AV882" s="521" t="str">
        <f t="shared" si="195"/>
        <v>.</v>
      </c>
    </row>
    <row r="883" spans="1:48" ht="15" customHeight="1">
      <c r="A883" s="18" t="s">
        <v>2468</v>
      </c>
      <c r="B883" s="18" t="s">
        <v>2392</v>
      </c>
      <c r="C883" s="511" t="s">
        <v>2483</v>
      </c>
      <c r="D883" s="18" t="s">
        <v>252</v>
      </c>
      <c r="E883" s="18" t="s">
        <v>253</v>
      </c>
      <c r="F883" s="512" t="s">
        <v>2484</v>
      </c>
      <c r="G883" s="39" t="s">
        <v>2394</v>
      </c>
      <c r="H883" s="513">
        <v>1300000000</v>
      </c>
      <c r="I883" s="41" t="s">
        <v>1462</v>
      </c>
      <c r="J883" s="276" t="str">
        <f>VLOOKUP($I883,'Price List, Weapons &amp; Items'!A:B,2,0)</f>
        <v>Heavy weapon</v>
      </c>
      <c r="K883" s="276" t="str">
        <f>IF(I883=".",I883,VLOOKUP($I883,'Price List, Weapons &amp; Items'!A:C,3,0))</f>
        <v>155mm howitzer</v>
      </c>
      <c r="L883" s="514">
        <f>VLOOKUP(I883,'Price List, Weapons &amp; Items'!A:D,4,0)</f>
        <v>0</v>
      </c>
      <c r="M883" s="515">
        <v>28</v>
      </c>
      <c r="N883" s="515">
        <v>28</v>
      </c>
      <c r="O883" s="516">
        <f>VLOOKUP($I883,'Price List, Weapons &amp; Items'!A:F,6,0)</f>
        <v>1734787.30789614</v>
      </c>
      <c r="P883" s="513">
        <f t="shared" si="200"/>
        <v>48574044.621091917</v>
      </c>
      <c r="Q883" s="513">
        <f t="shared" si="201"/>
        <v>48574044.621091917</v>
      </c>
      <c r="R883" s="513" t="str">
        <f t="shared" si="198"/>
        <v/>
      </c>
      <c r="S883" s="513" t="str">
        <f>IF(AND(AD883=1,R883&lt;&gt;".")=TRUE,R883/VLOOKUP(G883,'Exchange rates'!B:C,2,0),IF(R883=".",".",""))</f>
        <v/>
      </c>
      <c r="T883" s="513" t="str">
        <f>IF(AD883=1,IF(AF883="Value is not given at all",".",IF(AF883="Value is given by the source",S883,IF(AF883="Value is calculated with prices",(IF(SUMIFS(Q:Q,A:A,A883)&gt;0,SUMIFS(Q:Q,A:A,A883),"."))/VLOOKUP("USD",'Exchange rates'!B:C,2,0),"Error with coding"))),"")</f>
        <v/>
      </c>
      <c r="U883" s="39" t="s">
        <v>233</v>
      </c>
      <c r="V883" s="825" t="s">
        <v>2485</v>
      </c>
      <c r="W883" s="42" t="s">
        <v>2486</v>
      </c>
      <c r="X883" s="825" t="s">
        <v>2487</v>
      </c>
      <c r="Y883" s="512" t="s">
        <v>232</v>
      </c>
      <c r="Z883" s="39">
        <v>0</v>
      </c>
      <c r="AA883" s="39">
        <v>1</v>
      </c>
      <c r="AB883" s="41" t="s">
        <v>2487</v>
      </c>
      <c r="AC883" s="519" t="str">
        <f>""</f>
        <v/>
      </c>
      <c r="AD883" s="522">
        <v>0</v>
      </c>
      <c r="AE883" s="522" t="s">
        <v>236</v>
      </c>
      <c r="AF883" s="522" t="s">
        <v>300</v>
      </c>
      <c r="AG883" s="522">
        <v>0</v>
      </c>
      <c r="AH883" s="520">
        <v>0</v>
      </c>
      <c r="AI883" s="520">
        <v>0</v>
      </c>
      <c r="AJ883" s="520">
        <f>VLOOKUP($I883,'Price List, Weapons &amp; Items'!A:E,5,0)</f>
        <v>1</v>
      </c>
      <c r="AK883" s="520">
        <f t="shared" si="189"/>
        <v>0</v>
      </c>
      <c r="AL883" s="520">
        <f t="shared" si="190"/>
        <v>0</v>
      </c>
      <c r="AM883" s="520">
        <f t="shared" si="191"/>
        <v>0</v>
      </c>
      <c r="AN883" s="521" t="str">
        <f>VLOOKUP($I883,'Price List, Weapons &amp; Items'!A:K,COLUMN('Price List, Weapons &amp; Items'!$I$1),0)</f>
        <v>Contracts</v>
      </c>
      <c r="AO883" s="521" t="str">
        <f>IF(I883=".",".",VLOOKUP($I883,'Price List, Weapons &amp; Items'!A:I,3,0))</f>
        <v>155mm howitzer</v>
      </c>
      <c r="AP883" s="517" t="str">
        <f t="shared" ca="1" si="199"/>
        <v/>
      </c>
      <c r="AQ883" s="521">
        <f>VLOOKUP($I883,'Price List, Weapons &amp; Items'!A:K,COLUMN('Price List, Weapons &amp; Items'!$K$1),0)</f>
        <v>2</v>
      </c>
      <c r="AS883" s="521">
        <f t="shared" si="192"/>
        <v>1</v>
      </c>
      <c r="AT883" s="521">
        <f t="shared" si="193"/>
        <v>1</v>
      </c>
      <c r="AU883" s="521" t="str">
        <f t="shared" si="194"/>
        <v>Value is not in date format</v>
      </c>
      <c r="AV883" s="521" t="str">
        <f t="shared" si="195"/>
        <v>.</v>
      </c>
    </row>
    <row r="884" spans="1:48" ht="15" customHeight="1">
      <c r="A884" s="18" t="s">
        <v>2488</v>
      </c>
      <c r="B884" s="18" t="s">
        <v>2392</v>
      </c>
      <c r="C884" s="511">
        <v>44742</v>
      </c>
      <c r="D884" s="18" t="s">
        <v>252</v>
      </c>
      <c r="E884" s="18" t="s">
        <v>253</v>
      </c>
      <c r="F884" s="512" t="s">
        <v>2489</v>
      </c>
      <c r="G884" s="39" t="s">
        <v>2394</v>
      </c>
      <c r="H884" s="513">
        <v>1000000000</v>
      </c>
      <c r="I884" s="41" t="s">
        <v>2490</v>
      </c>
      <c r="J884" s="276" t="str">
        <f>VLOOKUP($I884,'Price List, Weapons &amp; Items'!A:B,2,0)</f>
        <v>Heavy weapon</v>
      </c>
      <c r="K884" s="276" t="str">
        <f>IF(I884=".",I884,VLOOKUP($I884,'Price List, Weapons &amp; Items'!A:C,3,0))</f>
        <v>105mm howitzer</v>
      </c>
      <c r="L884" s="514">
        <f>VLOOKUP(I884,'Price List, Weapons &amp; Items'!A:D,4,0)</f>
        <v>0</v>
      </c>
      <c r="M884" s="515">
        <v>36</v>
      </c>
      <c r="N884" s="515">
        <v>36</v>
      </c>
      <c r="O884" s="516">
        <f>VLOOKUP($I884,'Price List, Weapons &amp; Items'!A:F,6,0)</f>
        <v>1272482.2760025531</v>
      </c>
      <c r="P884" s="513">
        <f t="shared" si="200"/>
        <v>45809361.936091907</v>
      </c>
      <c r="Q884" s="513">
        <f t="shared" si="201"/>
        <v>45809361.936091907</v>
      </c>
      <c r="R884" s="513">
        <f t="shared" si="198"/>
        <v>1000000000</v>
      </c>
      <c r="S884" s="513">
        <f>IF(AND(AD884=1,R884&lt;&gt;".")=TRUE,R884/VLOOKUP(G884,'Exchange rates'!B:C,2,0),IF(R884=".",".",""))</f>
        <v>1152604887.0447211</v>
      </c>
      <c r="T884" s="513" t="str">
        <f>IF(AD884=1,IF(AF884="Value is not given at all",".",IF(AF884="Value is given by the source",S884,IF(AF884="Value is calculated with prices",(IF(SUMIFS(Q:Q,A:A,A884)&gt;0,SUMIFS(Q:Q,A:A,A884),"."))/VLOOKUP("USD",'Exchange rates'!B:C,2,0),"Error with coding"))),"")</f>
        <v>.</v>
      </c>
      <c r="U884" s="514" t="s">
        <v>233</v>
      </c>
      <c r="V884" s="836" t="s">
        <v>2491</v>
      </c>
      <c r="W884" s="536" t="s">
        <v>2492</v>
      </c>
      <c r="X884" s="825" t="s">
        <v>2487</v>
      </c>
      <c r="Y884" s="536" t="s">
        <v>232</v>
      </c>
      <c r="Z884" s="514">
        <v>0</v>
      </c>
      <c r="AA884" s="518">
        <v>1</v>
      </c>
      <c r="AB884" s="523" t="s">
        <v>2487</v>
      </c>
      <c r="AC884" s="519" t="str">
        <f>""</f>
        <v/>
      </c>
      <c r="AD884" s="522">
        <v>1</v>
      </c>
      <c r="AE884" s="522" t="s">
        <v>236</v>
      </c>
      <c r="AF884" s="522" t="s">
        <v>237</v>
      </c>
      <c r="AG884" s="522">
        <v>1</v>
      </c>
      <c r="AH884" s="522">
        <v>6</v>
      </c>
      <c r="AI884" s="522">
        <v>0</v>
      </c>
      <c r="AJ884" s="520">
        <f>VLOOKUP($I884,'Price List, Weapons &amp; Items'!A:E,5,0)</f>
        <v>0</v>
      </c>
      <c r="AK884" s="520">
        <f t="shared" si="189"/>
        <v>0</v>
      </c>
      <c r="AL884" s="520">
        <f t="shared" si="190"/>
        <v>0</v>
      </c>
      <c r="AM884" s="520">
        <f t="shared" si="191"/>
        <v>0</v>
      </c>
      <c r="AN884" s="521" t="str">
        <f>VLOOKUP($I884,'Price List, Weapons &amp; Items'!A:K,COLUMN('Price List, Weapons &amp; Items'!$I$1),0)</f>
        <v>Contracts</v>
      </c>
      <c r="AO884" s="521" t="str">
        <f>IF(I884=".",".",VLOOKUP($I884,'Price List, Weapons &amp; Items'!A:I,3,0))</f>
        <v>105mm howitzer</v>
      </c>
      <c r="AP884" s="517" t="str">
        <f t="shared" ca="1" si="199"/>
        <v>M119 105mm howitzer; artillery round; NLAW anti-tank weapon; loitering munition; Lockheed Martin Desert Hawk; M270 weapon system; M31A1 munition; Black Hornet drone; Loitering munition; Unspecified undersea minehunter drones</v>
      </c>
      <c r="AQ884" s="521">
        <f>VLOOKUP($I884,'Price List, Weapons &amp; Items'!A:K,COLUMN('Price List, Weapons &amp; Items'!$K$1),0)</f>
        <v>2</v>
      </c>
      <c r="AS884" s="521">
        <f t="shared" si="192"/>
        <v>1</v>
      </c>
      <c r="AT884" s="521">
        <f t="shared" si="193"/>
        <v>1</v>
      </c>
      <c r="AU884" s="521">
        <f t="shared" si="194"/>
        <v>1</v>
      </c>
      <c r="AV884" s="521" t="str">
        <f t="shared" si="195"/>
        <v>.</v>
      </c>
    </row>
    <row r="885" spans="1:48" ht="15" customHeight="1">
      <c r="A885" s="18" t="s">
        <v>2488</v>
      </c>
      <c r="B885" s="18" t="s">
        <v>2392</v>
      </c>
      <c r="C885" s="511">
        <v>44742</v>
      </c>
      <c r="D885" s="18" t="s">
        <v>252</v>
      </c>
      <c r="E885" s="18" t="s">
        <v>253</v>
      </c>
      <c r="F885" s="512" t="s">
        <v>2489</v>
      </c>
      <c r="G885" s="39" t="s">
        <v>2394</v>
      </c>
      <c r="H885" s="513">
        <v>1000000000</v>
      </c>
      <c r="I885" s="41" t="s">
        <v>2476</v>
      </c>
      <c r="J885" s="276" t="str">
        <f>VLOOKUP($I885,'Price List, Weapons &amp; Items'!A:B,2,0)</f>
        <v>Ammunition for heavy weapon</v>
      </c>
      <c r="K885" s="276" t="str">
        <f>IF(I885=".",I885,VLOOKUP($I885,'Price List, Weapons &amp; Items'!A:C,3,0))</f>
        <v>howitzer ammunition</v>
      </c>
      <c r="L885" s="514">
        <f>VLOOKUP(I885,'Price List, Weapons &amp; Items'!A:D,4,0)</f>
        <v>0</v>
      </c>
      <c r="M885" s="515">
        <v>50000</v>
      </c>
      <c r="N885" s="515">
        <v>50000</v>
      </c>
      <c r="O885" s="516">
        <f>VLOOKUP($I885,'Price List, Weapons &amp; Items'!A:F,6,0)</f>
        <v>2000</v>
      </c>
      <c r="P885" s="513">
        <f t="shared" si="200"/>
        <v>100000000</v>
      </c>
      <c r="Q885" s="513">
        <f t="shared" si="201"/>
        <v>100000000</v>
      </c>
      <c r="R885" s="513" t="str">
        <f t="shared" si="198"/>
        <v/>
      </c>
      <c r="S885" s="513" t="str">
        <f>IF(AND(AD885=1,R885&lt;&gt;".")=TRUE,R885/VLOOKUP(G885,'Exchange rates'!B:C,2,0),IF(R885=".",".",""))</f>
        <v/>
      </c>
      <c r="T885" s="513" t="str">
        <f>IF(AD885=1,IF(AF885="Value is not given at all",".",IF(AF885="Value is given by the source",S885,IF(AF885="Value is calculated with prices",(IF(SUMIFS(Q:Q,A:A,A885)&gt;0,SUMIFS(Q:Q,A:A,A885),"."))/VLOOKUP("USD",'Exchange rates'!B:C,2,0),"Error with coding"))),"")</f>
        <v/>
      </c>
      <c r="U885" s="514" t="s">
        <v>233</v>
      </c>
      <c r="V885" s="836" t="s">
        <v>2493</v>
      </c>
      <c r="W885" s="536" t="s">
        <v>2494</v>
      </c>
      <c r="X885" s="536" t="s">
        <v>232</v>
      </c>
      <c r="Y885" s="536" t="s">
        <v>232</v>
      </c>
      <c r="Z885" s="514">
        <v>0</v>
      </c>
      <c r="AA885" s="518">
        <v>1</v>
      </c>
      <c r="AB885" s="523" t="s">
        <v>2454</v>
      </c>
      <c r="AC885" s="519" t="str">
        <f>""</f>
        <v/>
      </c>
      <c r="AD885" s="522">
        <v>0</v>
      </c>
      <c r="AE885" s="522" t="s">
        <v>236</v>
      </c>
      <c r="AF885" s="522" t="s">
        <v>237</v>
      </c>
      <c r="AG885" s="522">
        <v>1</v>
      </c>
      <c r="AH885" s="522">
        <v>6</v>
      </c>
      <c r="AI885" s="522">
        <v>0</v>
      </c>
      <c r="AJ885" s="520">
        <f>VLOOKUP($I885,'Price List, Weapons &amp; Items'!A:E,5,0)</f>
        <v>0</v>
      </c>
      <c r="AK885" s="520">
        <f t="shared" si="189"/>
        <v>0</v>
      </c>
      <c r="AL885" s="520">
        <f t="shared" si="190"/>
        <v>0</v>
      </c>
      <c r="AM885" s="520">
        <f t="shared" si="191"/>
        <v>0</v>
      </c>
      <c r="AN885" s="521" t="str">
        <f>VLOOKUP($I885,'Price List, Weapons &amp; Items'!A:K,COLUMN('Price List, Weapons &amp; Items'!$I$1),0)</f>
        <v>Media reports (incl. social media)</v>
      </c>
      <c r="AO885" s="521" t="str">
        <f>IF(I885=".",".",VLOOKUP($I885,'Price List, Weapons &amp; Items'!A:I,3,0))</f>
        <v>howitzer ammunition</v>
      </c>
      <c r="AP885" s="517" t="str">
        <f t="shared" ca="1" si="199"/>
        <v/>
      </c>
      <c r="AQ885" s="521">
        <f>VLOOKUP($I885,'Price List, Weapons &amp; Items'!A:K,COLUMN('Price List, Weapons &amp; Items'!$K$1),0)</f>
        <v>2</v>
      </c>
      <c r="AS885" s="521">
        <f t="shared" si="192"/>
        <v>1</v>
      </c>
      <c r="AT885" s="521">
        <f t="shared" si="193"/>
        <v>1</v>
      </c>
      <c r="AU885" s="521">
        <f t="shared" si="194"/>
        <v>1</v>
      </c>
      <c r="AV885" s="521" t="str">
        <f t="shared" si="195"/>
        <v>.</v>
      </c>
    </row>
    <row r="886" spans="1:48" ht="15" customHeight="1">
      <c r="A886" s="18" t="s">
        <v>2488</v>
      </c>
      <c r="B886" s="18" t="s">
        <v>2392</v>
      </c>
      <c r="C886" s="511">
        <v>44742</v>
      </c>
      <c r="D886" s="18" t="s">
        <v>252</v>
      </c>
      <c r="E886" s="18" t="s">
        <v>253</v>
      </c>
      <c r="F886" s="512" t="s">
        <v>2489</v>
      </c>
      <c r="G886" s="39" t="s">
        <v>2394</v>
      </c>
      <c r="H886" s="513">
        <v>1000000000</v>
      </c>
      <c r="I886" s="41" t="s">
        <v>1659</v>
      </c>
      <c r="J886" s="276" t="str">
        <f>VLOOKUP($I886,'Price List, Weapons &amp; Items'!A:B,2,0)</f>
        <v>Portable defence system</v>
      </c>
      <c r="K886" s="276" t="str">
        <f>IF(I886=".",I886,VLOOKUP($I886,'Price List, Weapons &amp; Items'!A:C,3,0))</f>
        <v>Light Anti-armor Weapon (LAW)</v>
      </c>
      <c r="L886" s="514">
        <f>VLOOKUP(I886,'Price List, Weapons &amp; Items'!A:D,4,0)</f>
        <v>0</v>
      </c>
      <c r="M886" s="515">
        <v>1600</v>
      </c>
      <c r="N886" s="515">
        <v>1600</v>
      </c>
      <c r="O886" s="516">
        <f>VLOOKUP($I886,'Price List, Weapons &amp; Items'!A:F,6,0)</f>
        <v>40000</v>
      </c>
      <c r="P886" s="513">
        <f t="shared" si="200"/>
        <v>64000000</v>
      </c>
      <c r="Q886" s="513">
        <f t="shared" si="201"/>
        <v>64000000</v>
      </c>
      <c r="R886" s="513" t="str">
        <f t="shared" si="198"/>
        <v/>
      </c>
      <c r="S886" s="513" t="str">
        <f>IF(AND(AD886=1,R886&lt;&gt;".")=TRUE,R886/VLOOKUP(G886,'Exchange rates'!B:C,2,0),IF(R886=".",".",""))</f>
        <v/>
      </c>
      <c r="T886" s="513" t="str">
        <f>IF(AD886=1,IF(AF886="Value is not given at all",".",IF(AF886="Value is given by the source",S886,IF(AF886="Value is calculated with prices",(IF(SUMIFS(Q:Q,A:A,A886)&gt;0,SUMIFS(Q:Q,A:A,A886),"."))/VLOOKUP("USD",'Exchange rates'!B:C,2,0),"Error with coding"))),"")</f>
        <v/>
      </c>
      <c r="U886" s="514" t="s">
        <v>233</v>
      </c>
      <c r="V886" s="836" t="s">
        <v>2493</v>
      </c>
      <c r="W886" s="536" t="s">
        <v>2494</v>
      </c>
      <c r="X886" s="536" t="s">
        <v>232</v>
      </c>
      <c r="Y886" s="536" t="s">
        <v>232</v>
      </c>
      <c r="Z886" s="514">
        <v>0</v>
      </c>
      <c r="AA886" s="518">
        <v>1</v>
      </c>
      <c r="AB886" s="523" t="s">
        <v>2454</v>
      </c>
      <c r="AC886" s="519" t="str">
        <f>""</f>
        <v/>
      </c>
      <c r="AD886" s="522">
        <v>0</v>
      </c>
      <c r="AE886" s="522" t="s">
        <v>236</v>
      </c>
      <c r="AF886" s="522" t="s">
        <v>237</v>
      </c>
      <c r="AG886" s="522">
        <v>1</v>
      </c>
      <c r="AH886" s="522">
        <v>6</v>
      </c>
      <c r="AI886" s="522">
        <v>0</v>
      </c>
      <c r="AJ886" s="520">
        <f>VLOOKUP($I886,'Price List, Weapons &amp; Items'!A:E,5,0)</f>
        <v>0</v>
      </c>
      <c r="AK886" s="520">
        <f t="shared" si="189"/>
        <v>0</v>
      </c>
      <c r="AL886" s="520">
        <f t="shared" si="190"/>
        <v>0</v>
      </c>
      <c r="AM886" s="520">
        <f t="shared" si="191"/>
        <v>0</v>
      </c>
      <c r="AN886" s="521" t="str">
        <f>VLOOKUP($I886,'Price List, Weapons &amp; Items'!A:K,COLUMN('Price List, Weapons &amp; Items'!$I$1),0)</f>
        <v>Media reports (incl. social media)</v>
      </c>
      <c r="AO886" s="521" t="str">
        <f>IF(I886=".",".",VLOOKUP($I886,'Price List, Weapons &amp; Items'!A:I,3,0))</f>
        <v>Light Anti-armor Weapon (LAW)</v>
      </c>
      <c r="AP886" s="517" t="str">
        <f t="shared" ca="1" si="199"/>
        <v/>
      </c>
      <c r="AQ886" s="521">
        <f>VLOOKUP($I886,'Price List, Weapons &amp; Items'!A:K,COLUMN('Price List, Weapons &amp; Items'!$K$1),0)</f>
        <v>2</v>
      </c>
      <c r="AS886" s="521">
        <f t="shared" si="192"/>
        <v>1</v>
      </c>
      <c r="AT886" s="521">
        <f t="shared" si="193"/>
        <v>1</v>
      </c>
      <c r="AU886" s="521">
        <f t="shared" si="194"/>
        <v>1</v>
      </c>
      <c r="AV886" s="521" t="str">
        <f t="shared" si="195"/>
        <v>.</v>
      </c>
    </row>
    <row r="887" spans="1:48" ht="15" customHeight="1">
      <c r="A887" s="18" t="s">
        <v>2488</v>
      </c>
      <c r="B887" s="18" t="s">
        <v>2392</v>
      </c>
      <c r="C887" s="511">
        <v>44742</v>
      </c>
      <c r="D887" s="18" t="s">
        <v>252</v>
      </c>
      <c r="E887" s="18" t="s">
        <v>253</v>
      </c>
      <c r="F887" s="512" t="s">
        <v>2489</v>
      </c>
      <c r="G887" s="39" t="s">
        <v>2394</v>
      </c>
      <c r="H887" s="513">
        <v>1000000000</v>
      </c>
      <c r="I887" s="537" t="s">
        <v>2455</v>
      </c>
      <c r="J887" s="276" t="str">
        <f>VLOOKUP($I887,'Price List, Weapons &amp; Items'!A:B,2,0)</f>
        <v>Aviation and drones</v>
      </c>
      <c r="K887" s="276" t="str">
        <f>IF(I887=".",I887,VLOOKUP($I887,'Price List, Weapons &amp; Items'!A:C,3,0))</f>
        <v>Loitering munition (suicide drone)</v>
      </c>
      <c r="L887" s="514">
        <f>VLOOKUP(I887,'Price List, Weapons &amp; Items'!A:D,4,0)</f>
        <v>0</v>
      </c>
      <c r="M887" s="515">
        <v>200</v>
      </c>
      <c r="N887" s="515" t="s">
        <v>232</v>
      </c>
      <c r="O887" s="516">
        <f>VLOOKUP($I887,'Price List, Weapons &amp; Items'!A:F,6,0)</f>
        <v>6000</v>
      </c>
      <c r="P887" s="513">
        <f t="shared" si="200"/>
        <v>1200000</v>
      </c>
      <c r="Q887" s="513" t="str">
        <f t="shared" si="201"/>
        <v>.</v>
      </c>
      <c r="R887" s="513" t="str">
        <f t="shared" si="198"/>
        <v/>
      </c>
      <c r="S887" s="513" t="str">
        <f>IF(AND(AD887=1,R887&lt;&gt;".")=TRUE,R887/VLOOKUP(G887,'Exchange rates'!B:C,2,0),IF(R887=".",".",""))</f>
        <v/>
      </c>
      <c r="T887" s="513" t="str">
        <f>IF(AD887=1,IF(AF887="Value is not given at all",".",IF(AF887="Value is given by the source",S887,IF(AF887="Value is calculated with prices",(IF(SUMIFS(Q:Q,A:A,A887)&gt;0,SUMIFS(Q:Q,A:A,A887),"."))/VLOOKUP("USD",'Exchange rates'!B:C,2,0),"Error with coding"))),"")</f>
        <v/>
      </c>
      <c r="U887" s="514" t="s">
        <v>233</v>
      </c>
      <c r="V887" s="836" t="s">
        <v>2493</v>
      </c>
      <c r="W887" s="536" t="s">
        <v>2494</v>
      </c>
      <c r="X887" s="536" t="s">
        <v>232</v>
      </c>
      <c r="Y887" s="536" t="s">
        <v>232</v>
      </c>
      <c r="Z887" s="514">
        <v>0</v>
      </c>
      <c r="AA887" s="518">
        <v>0</v>
      </c>
      <c r="AB887" s="523" t="s">
        <v>232</v>
      </c>
      <c r="AC887" s="519" t="str">
        <f>""</f>
        <v/>
      </c>
      <c r="AD887" s="522">
        <v>0</v>
      </c>
      <c r="AE887" s="522" t="s">
        <v>236</v>
      </c>
      <c r="AF887" s="522" t="s">
        <v>237</v>
      </c>
      <c r="AG887" s="522">
        <v>1</v>
      </c>
      <c r="AH887" s="522">
        <v>6</v>
      </c>
      <c r="AI887" s="522">
        <v>0</v>
      </c>
      <c r="AJ887" s="520">
        <f>VLOOKUP($I887,'Price List, Weapons &amp; Items'!A:E,5,0)</f>
        <v>0</v>
      </c>
      <c r="AK887" s="520">
        <f t="shared" si="189"/>
        <v>0</v>
      </c>
      <c r="AL887" s="520">
        <f t="shared" si="190"/>
        <v>0</v>
      </c>
      <c r="AM887" s="520">
        <f t="shared" si="191"/>
        <v>0</v>
      </c>
      <c r="AN887" s="521" t="str">
        <f>VLOOKUP($I887,'Price List, Weapons &amp; Items'!A:K,COLUMN('Price List, Weapons &amp; Items'!$I$1),0)</f>
        <v>Miscellaneous</v>
      </c>
      <c r="AO887" s="521" t="str">
        <f>IF(I887=".",".",VLOOKUP($I887,'Price List, Weapons &amp; Items'!A:I,3,0))</f>
        <v>Loitering munition (suicide drone)</v>
      </c>
      <c r="AP887" s="517" t="str">
        <f t="shared" ca="1" si="199"/>
        <v/>
      </c>
      <c r="AQ887" s="521">
        <f>VLOOKUP($I887,'Price List, Weapons &amp; Items'!A:K,COLUMN('Price List, Weapons &amp; Items'!$K$1),0)</f>
        <v>2</v>
      </c>
      <c r="AS887" s="521">
        <f t="shared" si="192"/>
        <v>1</v>
      </c>
      <c r="AT887" s="521">
        <f t="shared" si="193"/>
        <v>1</v>
      </c>
      <c r="AU887" s="521">
        <f t="shared" si="194"/>
        <v>1</v>
      </c>
      <c r="AV887" s="521" t="str">
        <f t="shared" si="195"/>
        <v>.</v>
      </c>
    </row>
    <row r="888" spans="1:48" ht="15" customHeight="1">
      <c r="A888" s="18" t="s">
        <v>2488</v>
      </c>
      <c r="B888" s="18" t="s">
        <v>2392</v>
      </c>
      <c r="C888" s="511">
        <v>44742</v>
      </c>
      <c r="D888" s="18" t="s">
        <v>252</v>
      </c>
      <c r="E888" s="18" t="s">
        <v>253</v>
      </c>
      <c r="F888" s="512" t="s">
        <v>2489</v>
      </c>
      <c r="G888" s="39" t="s">
        <v>2394</v>
      </c>
      <c r="H888" s="513">
        <v>1000000000</v>
      </c>
      <c r="I888" s="41" t="s">
        <v>2495</v>
      </c>
      <c r="J888" s="276" t="str">
        <f>VLOOKUP($I888,'Price List, Weapons &amp; Items'!A:B,2,0)</f>
        <v>Aviation and drones</v>
      </c>
      <c r="K888" s="276" t="str">
        <f>IF(I888=".",I888,VLOOKUP($I888,'Price List, Weapons &amp; Items'!A:C,3,0))</f>
        <v>Reconnaissance drone</v>
      </c>
      <c r="L888" s="514">
        <f>VLOOKUP(I888,'Price List, Weapons &amp; Items'!A:D,4,0)</f>
        <v>0</v>
      </c>
      <c r="M888" s="515">
        <v>200</v>
      </c>
      <c r="N888" s="515" t="s">
        <v>232</v>
      </c>
      <c r="O888" s="516">
        <f>VLOOKUP($I888,'Price List, Weapons &amp; Items'!A:F,6,0)</f>
        <v>75265.911143968755</v>
      </c>
      <c r="P888" s="513">
        <f t="shared" si="200"/>
        <v>15053182.228793751</v>
      </c>
      <c r="Q888" s="513" t="str">
        <f t="shared" si="201"/>
        <v>.</v>
      </c>
      <c r="R888" s="513" t="str">
        <f t="shared" si="198"/>
        <v/>
      </c>
      <c r="S888" s="513" t="str">
        <f>IF(AND(AD888=1,R888&lt;&gt;".")=TRUE,R888/VLOOKUP(G888,'Exchange rates'!B:C,2,0),IF(R888=".",".",""))</f>
        <v/>
      </c>
      <c r="T888" s="513" t="str">
        <f>IF(AD888=1,IF(AF888="Value is not given at all",".",IF(AF888="Value is given by the source",S888,IF(AF888="Value is calculated with prices",(IF(SUMIFS(Q:Q,A:A,A888)&gt;0,SUMIFS(Q:Q,A:A,A888),"."))/VLOOKUP("USD",'Exchange rates'!B:C,2,0),"Error with coding"))),"")</f>
        <v/>
      </c>
      <c r="U888" s="514" t="s">
        <v>233</v>
      </c>
      <c r="V888" s="836" t="s">
        <v>2493</v>
      </c>
      <c r="W888" s="536" t="s">
        <v>2494</v>
      </c>
      <c r="X888" s="536" t="s">
        <v>232</v>
      </c>
      <c r="Y888" s="536" t="s">
        <v>232</v>
      </c>
      <c r="Z888" s="514">
        <v>0</v>
      </c>
      <c r="AA888" s="518">
        <v>0</v>
      </c>
      <c r="AB888" s="523" t="s">
        <v>232</v>
      </c>
      <c r="AC888" s="519" t="str">
        <f>""</f>
        <v/>
      </c>
      <c r="AD888" s="522">
        <v>0</v>
      </c>
      <c r="AE888" s="522" t="s">
        <v>236</v>
      </c>
      <c r="AF888" s="522" t="s">
        <v>237</v>
      </c>
      <c r="AG888" s="522">
        <v>1</v>
      </c>
      <c r="AH888" s="522">
        <v>6</v>
      </c>
      <c r="AI888" s="522">
        <v>0</v>
      </c>
      <c r="AJ888" s="520">
        <f>VLOOKUP($I888,'Price List, Weapons &amp; Items'!A:E,5,0)</f>
        <v>0</v>
      </c>
      <c r="AK888" s="520">
        <f t="shared" si="189"/>
        <v>0</v>
      </c>
      <c r="AL888" s="520">
        <f t="shared" si="190"/>
        <v>0</v>
      </c>
      <c r="AM888" s="520">
        <f t="shared" si="191"/>
        <v>0</v>
      </c>
      <c r="AN888" s="521" t="str">
        <f>VLOOKUP($I888,'Price List, Weapons &amp; Items'!A:K,COLUMN('Price List, Weapons &amp; Items'!$I$1),0)</f>
        <v>Media reports (incl. social media)</v>
      </c>
      <c r="AO888" s="521" t="str">
        <f>IF(I888=".",".",VLOOKUP($I888,'Price List, Weapons &amp; Items'!A:I,3,0))</f>
        <v>Reconnaissance drone</v>
      </c>
      <c r="AP888" s="517" t="str">
        <f t="shared" ca="1" si="199"/>
        <v/>
      </c>
      <c r="AQ888" s="521">
        <f>VLOOKUP($I888,'Price List, Weapons &amp; Items'!A:K,COLUMN('Price List, Weapons &amp; Items'!$K$1),0)</f>
        <v>2</v>
      </c>
      <c r="AS888" s="521">
        <f t="shared" si="192"/>
        <v>1</v>
      </c>
      <c r="AT888" s="521">
        <f t="shared" si="193"/>
        <v>1</v>
      </c>
      <c r="AU888" s="521">
        <f t="shared" si="194"/>
        <v>1</v>
      </c>
      <c r="AV888" s="521" t="str">
        <f t="shared" si="195"/>
        <v>.</v>
      </c>
    </row>
    <row r="889" spans="1:48" ht="15" customHeight="1">
      <c r="A889" s="18" t="s">
        <v>2488</v>
      </c>
      <c r="B889" s="18" t="s">
        <v>2392</v>
      </c>
      <c r="C889" s="511">
        <v>44784</v>
      </c>
      <c r="D889" s="18" t="s">
        <v>252</v>
      </c>
      <c r="E889" s="18" t="s">
        <v>253</v>
      </c>
      <c r="F889" s="512" t="s">
        <v>2496</v>
      </c>
      <c r="G889" s="39" t="s">
        <v>2394</v>
      </c>
      <c r="H889" s="513">
        <v>1000000000</v>
      </c>
      <c r="I889" s="41" t="s">
        <v>1133</v>
      </c>
      <c r="J889" s="276" t="str">
        <f>VLOOKUP($I889,'Price List, Weapons &amp; Items'!A:B,2,0)</f>
        <v>Heavy weapon</v>
      </c>
      <c r="K889" s="276" t="str">
        <f>IF(I889=".",I889,VLOOKUP($I889,'Price List, Weapons &amp; Items'!A:C,3,0))</f>
        <v>227mm MLRS</v>
      </c>
      <c r="L889" s="514">
        <f>VLOOKUP(I889,'Price List, Weapons &amp; Items'!A:D,4,0)</f>
        <v>0</v>
      </c>
      <c r="M889" s="515">
        <v>3</v>
      </c>
      <c r="N889" s="515" t="s">
        <v>232</v>
      </c>
      <c r="O889" s="516">
        <f>VLOOKUP($I889,'Price List, Weapons &amp; Items'!A:F,6,0)</f>
        <v>13615659.128881287</v>
      </c>
      <c r="P889" s="513">
        <f t="shared" si="200"/>
        <v>40846977.386643857</v>
      </c>
      <c r="Q889" s="513" t="str">
        <f t="shared" si="201"/>
        <v>.</v>
      </c>
      <c r="R889" s="513" t="str">
        <f t="shared" si="198"/>
        <v/>
      </c>
      <c r="S889" s="513" t="str">
        <f>IF(AND(AD889=1,R889&lt;&gt;".")=TRUE,R889/VLOOKUP(G889,'Exchange rates'!B:C,2,0),IF(R889=".",".",""))</f>
        <v/>
      </c>
      <c r="T889" s="513" t="str">
        <f>IF(AD889=1,IF(AF889="Value is not given at all",".",IF(AF889="Value is given by the source",S889,IF(AF889="Value is calculated with prices",(IF(SUMIFS(Q:Q,A:A,A889)&gt;0,SUMIFS(Q:Q,A:A,A889),"."))/VLOOKUP("USD",'Exchange rates'!B:C,2,0),"Error with coding"))),"")</f>
        <v/>
      </c>
      <c r="U889" s="514" t="s">
        <v>233</v>
      </c>
      <c r="V889" s="836" t="s">
        <v>2497</v>
      </c>
      <c r="W889" s="836" t="s">
        <v>2498</v>
      </c>
      <c r="X889" s="825" t="s">
        <v>2499</v>
      </c>
      <c r="Y889" s="517" t="s">
        <v>232</v>
      </c>
      <c r="Z889" s="514">
        <v>0</v>
      </c>
      <c r="AA889" s="518">
        <v>0</v>
      </c>
      <c r="AB889" s="832" t="s">
        <v>2500</v>
      </c>
      <c r="AC889" s="519" t="str">
        <f>""</f>
        <v/>
      </c>
      <c r="AD889" s="522">
        <v>0</v>
      </c>
      <c r="AE889" s="522" t="s">
        <v>236</v>
      </c>
      <c r="AF889" s="522" t="s">
        <v>237</v>
      </c>
      <c r="AG889" s="522">
        <v>1</v>
      </c>
      <c r="AH889" s="522">
        <v>8</v>
      </c>
      <c r="AI889" s="522">
        <v>0</v>
      </c>
      <c r="AJ889" s="520">
        <f>VLOOKUP($I889,'Price List, Weapons &amp; Items'!A:E,5,0)</f>
        <v>1</v>
      </c>
      <c r="AK889" s="520">
        <f t="shared" si="189"/>
        <v>0</v>
      </c>
      <c r="AL889" s="520">
        <f t="shared" si="190"/>
        <v>0</v>
      </c>
      <c r="AM889" s="520">
        <f t="shared" si="191"/>
        <v>0</v>
      </c>
      <c r="AN889" s="521" t="str">
        <f>VLOOKUP($I889,'Price List, Weapons &amp; Items'!A:K,COLUMN('Price List, Weapons &amp; Items'!$I$1),0)</f>
        <v>Contracts</v>
      </c>
      <c r="AO889" s="521" t="str">
        <f>IF(I889=".",".",VLOOKUP($I889,'Price List, Weapons &amp; Items'!A:I,3,0))</f>
        <v>227mm MLRS</v>
      </c>
      <c r="AP889" s="517" t="str">
        <f t="shared" ca="1" si="199"/>
        <v/>
      </c>
      <c r="AQ889" s="521">
        <f>VLOOKUP($I889,'Price List, Weapons &amp; Items'!A:K,COLUMN('Price List, Weapons &amp; Items'!$K$1),0)</f>
        <v>2</v>
      </c>
      <c r="AS889" s="521">
        <f t="shared" si="192"/>
        <v>1</v>
      </c>
      <c r="AT889" s="521">
        <f t="shared" si="193"/>
        <v>1</v>
      </c>
      <c r="AU889" s="521">
        <f t="shared" si="194"/>
        <v>1</v>
      </c>
      <c r="AV889" s="521" t="str">
        <f t="shared" si="195"/>
        <v>.</v>
      </c>
    </row>
    <row r="890" spans="1:48" ht="15" customHeight="1">
      <c r="A890" s="18" t="s">
        <v>2488</v>
      </c>
      <c r="B890" s="18" t="s">
        <v>2392</v>
      </c>
      <c r="C890" s="511">
        <v>44784</v>
      </c>
      <c r="D890" s="18" t="s">
        <v>252</v>
      </c>
      <c r="E890" s="18" t="s">
        <v>253</v>
      </c>
      <c r="F890" s="512" t="s">
        <v>2496</v>
      </c>
      <c r="G890" s="39" t="s">
        <v>2394</v>
      </c>
      <c r="H890" s="513">
        <v>1000000000</v>
      </c>
      <c r="I890" s="41" t="s">
        <v>2482</v>
      </c>
      <c r="J890" s="276" t="str">
        <f>VLOOKUP($I890,'Price List, Weapons &amp; Items'!A:B,2,0)</f>
        <v>Ammunition for heavy weapon</v>
      </c>
      <c r="K890" s="276" t="str">
        <f>IF(I890=".",I890,VLOOKUP($I890,'Price List, Weapons &amp; Items'!A:C,3,0))</f>
        <v>298mm MLRS ammunition</v>
      </c>
      <c r="L890" s="514">
        <f>VLOOKUP(I890,'Price List, Weapons &amp; Items'!A:D,4,0)</f>
        <v>0</v>
      </c>
      <c r="M890" s="515" t="s">
        <v>264</v>
      </c>
      <c r="N890" s="515" t="s">
        <v>232</v>
      </c>
      <c r="O890" s="516">
        <f>VLOOKUP($I890,'Price List, Weapons &amp; Items'!A:F,6,0)</f>
        <v>625000</v>
      </c>
      <c r="P890" s="513" t="str">
        <f t="shared" si="200"/>
        <v>.</v>
      </c>
      <c r="Q890" s="513" t="str">
        <f t="shared" si="201"/>
        <v>.</v>
      </c>
      <c r="R890" s="513" t="str">
        <f t="shared" si="198"/>
        <v/>
      </c>
      <c r="S890" s="513" t="str">
        <f>IF(AND(AD890=1,R890&lt;&gt;".")=TRUE,R890/VLOOKUP(G890,'Exchange rates'!B:C,2,0),IF(R890=".",".",""))</f>
        <v/>
      </c>
      <c r="T890" s="513" t="str">
        <f>IF(AD890=1,IF(AF890="Value is not given at all",".",IF(AF890="Value is given by the source",S890,IF(AF890="Value is calculated with prices",(IF(SUMIFS(Q:Q,A:A,A890)&gt;0,SUMIFS(Q:Q,A:A,A890),"."))/VLOOKUP("USD",'Exchange rates'!B:C,2,0),"Error with coding"))),"")</f>
        <v/>
      </c>
      <c r="U890" s="514" t="s">
        <v>233</v>
      </c>
      <c r="V890" s="836" t="s">
        <v>2501</v>
      </c>
      <c r="W890" s="836" t="s">
        <v>2498</v>
      </c>
      <c r="X890" s="531" t="s">
        <v>232</v>
      </c>
      <c r="Y890" s="517" t="s">
        <v>232</v>
      </c>
      <c r="Z890" s="514">
        <v>0</v>
      </c>
      <c r="AA890" s="518">
        <v>0</v>
      </c>
      <c r="AB890" s="523" t="s">
        <v>232</v>
      </c>
      <c r="AC890" s="519" t="str">
        <f>""</f>
        <v/>
      </c>
      <c r="AD890" s="522">
        <v>0</v>
      </c>
      <c r="AE890" s="522" t="s">
        <v>236</v>
      </c>
      <c r="AF890" s="522" t="s">
        <v>237</v>
      </c>
      <c r="AG890" s="522">
        <v>1</v>
      </c>
      <c r="AH890" s="522">
        <v>8</v>
      </c>
      <c r="AI890" s="522">
        <v>0</v>
      </c>
      <c r="AJ890" s="520">
        <f>VLOOKUP($I890,'Price List, Weapons &amp; Items'!A:E,5,0)</f>
        <v>0</v>
      </c>
      <c r="AK890" s="520">
        <f t="shared" si="189"/>
        <v>0</v>
      </c>
      <c r="AL890" s="520">
        <f t="shared" si="190"/>
        <v>0</v>
      </c>
      <c r="AM890" s="520">
        <f t="shared" si="191"/>
        <v>0</v>
      </c>
      <c r="AN890" s="521" t="str">
        <f>VLOOKUP($I890,'Price List, Weapons &amp; Items'!A:K,COLUMN('Price List, Weapons &amp; Items'!$I$1),0)</f>
        <v>Government information</v>
      </c>
      <c r="AO890" s="521" t="str">
        <f>IF(I890=".",".",VLOOKUP($I890,'Price List, Weapons &amp; Items'!A:I,3,0))</f>
        <v>298mm MLRS ammunition</v>
      </c>
      <c r="AP890" s="517" t="str">
        <f t="shared" ca="1" si="199"/>
        <v/>
      </c>
      <c r="AQ890" s="521" t="str">
        <f>VLOOKUP($I890,'Price List, Weapons &amp; Items'!A:K,COLUMN('Price List, Weapons &amp; Items'!$K$1),0)</f>
        <v>no price, 0 count</v>
      </c>
      <c r="AS890" s="521">
        <f t="shared" si="192"/>
        <v>1</v>
      </c>
      <c r="AT890" s="521">
        <f t="shared" si="193"/>
        <v>1</v>
      </c>
      <c r="AU890" s="521">
        <f t="shared" si="194"/>
        <v>1</v>
      </c>
      <c r="AV890" s="521" t="str">
        <f t="shared" si="195"/>
        <v>.</v>
      </c>
    </row>
    <row r="891" spans="1:48" ht="15" customHeight="1">
      <c r="A891" s="18" t="s">
        <v>2488</v>
      </c>
      <c r="B891" s="18" t="s">
        <v>2392</v>
      </c>
      <c r="C891" s="511">
        <v>44797</v>
      </c>
      <c r="D891" s="18" t="s">
        <v>252</v>
      </c>
      <c r="E891" s="18" t="s">
        <v>253</v>
      </c>
      <c r="F891" s="512" t="s">
        <v>2502</v>
      </c>
      <c r="G891" s="39" t="s">
        <v>2394</v>
      </c>
      <c r="H891" s="513">
        <v>1000000000</v>
      </c>
      <c r="I891" s="41" t="s">
        <v>1850</v>
      </c>
      <c r="J891" s="276" t="str">
        <f>VLOOKUP($I891,'Price List, Weapons &amp; Items'!A:B,2,0)</f>
        <v>Aviation and drones</v>
      </c>
      <c r="K891" s="276" t="str">
        <f>IF(I891=".",I891,VLOOKUP($I891,'Price List, Weapons &amp; Items'!A:C,3,0))</f>
        <v>Reconnaissance drone</v>
      </c>
      <c r="L891" s="514">
        <f>VLOOKUP(I891,'Price List, Weapons &amp; Items'!A:D,4,0)</f>
        <v>0</v>
      </c>
      <c r="M891" s="515">
        <v>850</v>
      </c>
      <c r="N891" s="515" t="s">
        <v>232</v>
      </c>
      <c r="O891" s="516" t="str">
        <f>VLOOKUP($I891,'Price List, Weapons &amp; Items'!A:F,6,0)</f>
        <v>.</v>
      </c>
      <c r="P891" s="513" t="str">
        <f t="shared" si="200"/>
        <v>No price</v>
      </c>
      <c r="Q891" s="513" t="str">
        <f t="shared" si="201"/>
        <v>.</v>
      </c>
      <c r="R891" s="513" t="str">
        <f t="shared" si="198"/>
        <v/>
      </c>
      <c r="S891" s="513" t="str">
        <f>IF(AND(AD891=1,R891&lt;&gt;".")=TRUE,R891/VLOOKUP(G891,'Exchange rates'!B:C,2,0),IF(R891=".",".",""))</f>
        <v/>
      </c>
      <c r="T891" s="513" t="str">
        <f>IF(AD891=1,IF(AF891="Value is not given at all",".",IF(AF891="Value is given by the source",S891,IF(AF891="Value is calculated with prices",(IF(SUMIFS(Q:Q,A:A,A891)&gt;0,SUMIFS(Q:Q,A:A,A891),"."))/VLOOKUP("USD",'Exchange rates'!B:C,2,0),"Error with coding"))),"")</f>
        <v/>
      </c>
      <c r="U891" s="514" t="s">
        <v>233</v>
      </c>
      <c r="V891" s="836" t="s">
        <v>2503</v>
      </c>
      <c r="W891" s="536" t="s">
        <v>232</v>
      </c>
      <c r="X891" s="531" t="s">
        <v>232</v>
      </c>
      <c r="Y891" s="517" t="s">
        <v>232</v>
      </c>
      <c r="Z891" s="514">
        <v>0</v>
      </c>
      <c r="AA891" s="518">
        <v>0</v>
      </c>
      <c r="AB891" s="523" t="s">
        <v>232</v>
      </c>
      <c r="AC891" s="519" t="str">
        <f>""</f>
        <v/>
      </c>
      <c r="AD891" s="522">
        <v>0</v>
      </c>
      <c r="AE891" s="522" t="s">
        <v>236</v>
      </c>
      <c r="AF891" s="522" t="s">
        <v>237</v>
      </c>
      <c r="AG891" s="522">
        <v>1</v>
      </c>
      <c r="AH891" s="522">
        <v>8</v>
      </c>
      <c r="AI891" s="522">
        <v>0</v>
      </c>
      <c r="AJ891" s="520">
        <f>VLOOKUP($I891,'Price List, Weapons &amp; Items'!A:E,5,0)</f>
        <v>0</v>
      </c>
      <c r="AK891" s="520">
        <f t="shared" si="189"/>
        <v>0</v>
      </c>
      <c r="AL891" s="520">
        <f t="shared" si="190"/>
        <v>0</v>
      </c>
      <c r="AM891" s="520">
        <f t="shared" si="191"/>
        <v>0</v>
      </c>
      <c r="AN891" s="521" t="str">
        <f>VLOOKUP($I891,'Price List, Weapons &amp; Items'!A:K,COLUMN('Price List, Weapons &amp; Items'!$I$1),0)</f>
        <v>.</v>
      </c>
      <c r="AO891" s="521" t="str">
        <f>IF(I891=".",".",VLOOKUP($I891,'Price List, Weapons &amp; Items'!A:I,3,0))</f>
        <v>Reconnaissance drone</v>
      </c>
      <c r="AP891" s="517" t="str">
        <f t="shared" ca="1" si="199"/>
        <v/>
      </c>
      <c r="AQ891" s="521">
        <f>VLOOKUP($I891,'Price List, Weapons &amp; Items'!A:K,COLUMN('Price List, Weapons &amp; Items'!$K$1),0)</f>
        <v>0</v>
      </c>
      <c r="AS891" s="521">
        <f t="shared" si="192"/>
        <v>1</v>
      </c>
      <c r="AT891" s="521">
        <f t="shared" si="193"/>
        <v>1</v>
      </c>
      <c r="AU891" s="521">
        <f t="shared" si="194"/>
        <v>1</v>
      </c>
      <c r="AV891" s="521" t="str">
        <f t="shared" si="195"/>
        <v>.</v>
      </c>
    </row>
    <row r="892" spans="1:48" ht="15" customHeight="1">
      <c r="A892" s="18" t="s">
        <v>2488</v>
      </c>
      <c r="B892" s="18" t="s">
        <v>2392</v>
      </c>
      <c r="C892" s="511">
        <v>44797</v>
      </c>
      <c r="D892" s="18" t="s">
        <v>252</v>
      </c>
      <c r="E892" s="18" t="s">
        <v>253</v>
      </c>
      <c r="F892" s="512" t="s">
        <v>2502</v>
      </c>
      <c r="G892" s="39" t="s">
        <v>2394</v>
      </c>
      <c r="H892" s="513">
        <v>1000000000</v>
      </c>
      <c r="I892" s="41" t="s">
        <v>2504</v>
      </c>
      <c r="J892" s="276" t="str">
        <f>VLOOKUP($I892,'Price List, Weapons &amp; Items'!A:B,2,0)</f>
        <v>Aviation and drones</v>
      </c>
      <c r="K892" s="276" t="str">
        <f>IF(I892=".",I892,VLOOKUP($I892,'Price List, Weapons &amp; Items'!A:C,3,0))</f>
        <v>Loitering munition (suicide drone)</v>
      </c>
      <c r="L892" s="514">
        <f>VLOOKUP(I892,'Price List, Weapons &amp; Items'!A:D,4,0)</f>
        <v>0</v>
      </c>
      <c r="M892" s="515">
        <v>1150</v>
      </c>
      <c r="N892" s="515" t="s">
        <v>232</v>
      </c>
      <c r="O892" s="516">
        <f>VLOOKUP($I892,'Price List, Weapons &amp; Items'!A:F,6,0)</f>
        <v>6000</v>
      </c>
      <c r="P892" s="513">
        <f t="shared" si="200"/>
        <v>6900000</v>
      </c>
      <c r="Q892" s="513" t="str">
        <f t="shared" si="201"/>
        <v>.</v>
      </c>
      <c r="R892" s="513" t="str">
        <f t="shared" si="198"/>
        <v/>
      </c>
      <c r="S892" s="513" t="str">
        <f>IF(AND(AD892=1,R892&lt;&gt;".")=TRUE,R892/VLOOKUP(G892,'Exchange rates'!B:C,2,0),IF(R892=".",".",""))</f>
        <v/>
      </c>
      <c r="T892" s="513" t="str">
        <f>IF(AD892=1,IF(AF892="Value is not given at all",".",IF(AF892="Value is given by the source",S892,IF(AF892="Value is calculated with prices",(IF(SUMIFS(Q:Q,A:A,A892)&gt;0,SUMIFS(Q:Q,A:A,A892),"."))/VLOOKUP("USD",'Exchange rates'!B:C,2,0),"Error with coding"))),"")</f>
        <v/>
      </c>
      <c r="U892" s="514" t="s">
        <v>233</v>
      </c>
      <c r="V892" s="836" t="s">
        <v>2503</v>
      </c>
      <c r="W892" s="536" t="s">
        <v>232</v>
      </c>
      <c r="X892" s="531" t="s">
        <v>232</v>
      </c>
      <c r="Y892" s="517" t="s">
        <v>232</v>
      </c>
      <c r="Z892" s="514">
        <v>0</v>
      </c>
      <c r="AA892" s="518">
        <v>0</v>
      </c>
      <c r="AB892" s="523" t="s">
        <v>232</v>
      </c>
      <c r="AC892" s="519" t="str">
        <f>""</f>
        <v/>
      </c>
      <c r="AD892" s="522">
        <v>0</v>
      </c>
      <c r="AE892" s="522" t="s">
        <v>236</v>
      </c>
      <c r="AF892" s="522" t="s">
        <v>237</v>
      </c>
      <c r="AG892" s="522">
        <v>1</v>
      </c>
      <c r="AH892" s="522">
        <v>8</v>
      </c>
      <c r="AI892" s="522">
        <v>0</v>
      </c>
      <c r="AJ892" s="520">
        <f>VLOOKUP($I892,'Price List, Weapons &amp; Items'!A:E,5,0)</f>
        <v>0</v>
      </c>
      <c r="AK892" s="520">
        <f t="shared" si="189"/>
        <v>0</v>
      </c>
      <c r="AL892" s="520">
        <f t="shared" si="190"/>
        <v>0</v>
      </c>
      <c r="AM892" s="520">
        <f t="shared" si="191"/>
        <v>0</v>
      </c>
      <c r="AN892" s="521" t="str">
        <f>VLOOKUP($I892,'Price List, Weapons &amp; Items'!A:K,COLUMN('Price List, Weapons &amp; Items'!$I$1),0)</f>
        <v>Miscellaneous</v>
      </c>
      <c r="AO892" s="521" t="str">
        <f>IF(I892=".",".",VLOOKUP($I892,'Price List, Weapons &amp; Items'!A:I,3,0))</f>
        <v>Loitering munition (suicide drone)</v>
      </c>
      <c r="AP892" s="517" t="str">
        <f t="shared" ca="1" si="199"/>
        <v/>
      </c>
      <c r="AQ892" s="521">
        <f>VLOOKUP($I892,'Price List, Weapons &amp; Items'!A:K,COLUMN('Price List, Weapons &amp; Items'!$K$1),0)</f>
        <v>2</v>
      </c>
      <c r="AS892" s="521">
        <f t="shared" si="192"/>
        <v>1</v>
      </c>
      <c r="AT892" s="521">
        <f t="shared" si="193"/>
        <v>1</v>
      </c>
      <c r="AU892" s="521">
        <f t="shared" si="194"/>
        <v>1</v>
      </c>
      <c r="AV892" s="521" t="str">
        <f t="shared" si="195"/>
        <v>.</v>
      </c>
    </row>
    <row r="893" spans="1:48" ht="15" customHeight="1">
      <c r="A893" s="18" t="s">
        <v>2488</v>
      </c>
      <c r="B893" s="18" t="s">
        <v>2392</v>
      </c>
      <c r="C893" s="511">
        <v>44800</v>
      </c>
      <c r="D893" s="18" t="s">
        <v>252</v>
      </c>
      <c r="E893" s="18" t="s">
        <v>253</v>
      </c>
      <c r="F893" s="512" t="s">
        <v>2505</v>
      </c>
      <c r="G893" s="39" t="s">
        <v>2394</v>
      </c>
      <c r="H893" s="513">
        <v>1000000000</v>
      </c>
      <c r="I893" s="41" t="s">
        <v>2506</v>
      </c>
      <c r="J893" s="276" t="str">
        <f>VLOOKUP($I893,'Price List, Weapons &amp; Items'!A:B,2,0)</f>
        <v>Aviation and drones</v>
      </c>
      <c r="K893" s="276" t="str">
        <f>IF(I893=".",I893,VLOOKUP($I893,'Price List, Weapons &amp; Items'!A:C,3,0))</f>
        <v>minehunter drone</v>
      </c>
      <c r="L893" s="514">
        <f>VLOOKUP(I893,'Price List, Weapons &amp; Items'!A:D,4,0)</f>
        <v>0</v>
      </c>
      <c r="M893" s="515">
        <v>6</v>
      </c>
      <c r="N893" s="515" t="s">
        <v>232</v>
      </c>
      <c r="O893" s="516" t="str">
        <f>VLOOKUP($I893,'Price List, Weapons &amp; Items'!A:F,6,0)</f>
        <v>.</v>
      </c>
      <c r="P893" s="513" t="str">
        <f t="shared" si="200"/>
        <v>No price</v>
      </c>
      <c r="Q893" s="513" t="str">
        <f t="shared" si="201"/>
        <v>.</v>
      </c>
      <c r="R893" s="513" t="str">
        <f t="shared" si="198"/>
        <v/>
      </c>
      <c r="S893" s="513" t="str">
        <f>IF(AND(AD893=1,R893&lt;&gt;".")=TRUE,R893/VLOOKUP(G893,'Exchange rates'!B:C,2,0),IF(R893=".",".",""))</f>
        <v/>
      </c>
      <c r="T893" s="513" t="str">
        <f>IF(AD893=1,IF(AF893="Value is not given at all",".",IF(AF893="Value is given by the source",S893,IF(AF893="Value is calculated with prices",(IF(SUMIFS(Q:Q,A:A,A893)&gt;0,SUMIFS(Q:Q,A:A,A893),"."))/VLOOKUP("USD",'Exchange rates'!B:C,2,0),"Error with coding"))),"")</f>
        <v/>
      </c>
      <c r="U893" s="514" t="s">
        <v>233</v>
      </c>
      <c r="V893" s="836" t="s">
        <v>2503</v>
      </c>
      <c r="W893" s="536" t="s">
        <v>232</v>
      </c>
      <c r="X893" s="531" t="s">
        <v>232</v>
      </c>
      <c r="Y893" s="517" t="s">
        <v>232</v>
      </c>
      <c r="Z893" s="514">
        <v>0</v>
      </c>
      <c r="AA893" s="518">
        <v>0</v>
      </c>
      <c r="AB893" s="523" t="s">
        <v>232</v>
      </c>
      <c r="AC893" s="519" t="str">
        <f>""</f>
        <v/>
      </c>
      <c r="AD893" s="522">
        <v>0</v>
      </c>
      <c r="AE893" s="522" t="s">
        <v>236</v>
      </c>
      <c r="AF893" s="522" t="s">
        <v>237</v>
      </c>
      <c r="AG893" s="522">
        <v>1</v>
      </c>
      <c r="AH893" s="522">
        <v>8</v>
      </c>
      <c r="AI893" s="522">
        <v>0</v>
      </c>
      <c r="AJ893" s="520">
        <f>VLOOKUP($I893,'Price List, Weapons &amp; Items'!A:E,5,0)</f>
        <v>0</v>
      </c>
      <c r="AK893" s="520">
        <f t="shared" si="189"/>
        <v>0</v>
      </c>
      <c r="AL893" s="520">
        <f t="shared" si="190"/>
        <v>0</v>
      </c>
      <c r="AM893" s="520">
        <f t="shared" si="191"/>
        <v>0</v>
      </c>
      <c r="AN893" s="521" t="str">
        <f>VLOOKUP($I893,'Price List, Weapons &amp; Items'!A:K,COLUMN('Price List, Weapons &amp; Items'!$I$1),0)</f>
        <v>.</v>
      </c>
      <c r="AO893" s="521" t="str">
        <f>IF(I893=".",".",VLOOKUP($I893,'Price List, Weapons &amp; Items'!A:I,3,0))</f>
        <v>minehunter drone</v>
      </c>
      <c r="AP893" s="517" t="str">
        <f t="shared" ca="1" si="199"/>
        <v/>
      </c>
      <c r="AQ893" s="521">
        <f>VLOOKUP($I893,'Price List, Weapons &amp; Items'!A:K,COLUMN('Price List, Weapons &amp; Items'!$K$1),0)</f>
        <v>0</v>
      </c>
      <c r="AS893" s="521">
        <f t="shared" si="192"/>
        <v>1</v>
      </c>
      <c r="AT893" s="521">
        <f t="shared" si="193"/>
        <v>1</v>
      </c>
      <c r="AU893" s="521">
        <f t="shared" si="194"/>
        <v>1</v>
      </c>
      <c r="AV893" s="521" t="str">
        <f t="shared" si="195"/>
        <v>.</v>
      </c>
    </row>
    <row r="894" spans="1:48" ht="15" customHeight="1">
      <c r="A894" s="41" t="s">
        <v>2507</v>
      </c>
      <c r="B894" s="41" t="s">
        <v>2392</v>
      </c>
      <c r="C894" s="511">
        <v>44774</v>
      </c>
      <c r="D894" s="18" t="s">
        <v>252</v>
      </c>
      <c r="E894" s="18" t="s">
        <v>307</v>
      </c>
      <c r="F894" s="512" t="s">
        <v>2508</v>
      </c>
      <c r="G894" s="39" t="s">
        <v>314</v>
      </c>
      <c r="H894" s="527" t="s">
        <v>309</v>
      </c>
      <c r="I894" s="41" t="s">
        <v>2509</v>
      </c>
      <c r="J894" s="276" t="str">
        <f>VLOOKUP($I894,'Price List, Weapons &amp; Items'!A:B,2,0)</f>
        <v>Heavy weapon</v>
      </c>
      <c r="K894" s="276" t="str">
        <f>IF(I894=".",I894,VLOOKUP($I894,'Price List, Weapons &amp; Items'!A:C,3,0))</f>
        <v>Mine Vessels</v>
      </c>
      <c r="L894" s="514">
        <f>VLOOKUP(I894,'Price List, Weapons &amp; Items'!A:D,4,0)</f>
        <v>0</v>
      </c>
      <c r="M894" s="527">
        <v>2</v>
      </c>
      <c r="N894" s="527" t="s">
        <v>232</v>
      </c>
      <c r="O894" s="516">
        <f>VLOOKUP($I894,'Price List, Weapons &amp; Items'!A:F,6,0)</f>
        <v>87000000</v>
      </c>
      <c r="P894" s="513">
        <f t="shared" si="200"/>
        <v>174000000</v>
      </c>
      <c r="Q894" s="513" t="str">
        <f t="shared" si="201"/>
        <v>.</v>
      </c>
      <c r="R894" s="513">
        <f t="shared" si="198"/>
        <v>174000000</v>
      </c>
      <c r="S894" s="513">
        <f>IF(AND(AD894=1,R894&lt;&gt;".")=TRUE,R894/VLOOKUP(G894,'Exchange rates'!B:C,2,0),IF(R894=".",".",""))</f>
        <v>173393124.06576979</v>
      </c>
      <c r="T894" s="513" t="str">
        <f>IF(AD894=1,IF(AF894="Value is not given at all",".",IF(AF894="Value is given by the source",S894,IF(AF894="Value is calculated with prices",(IF(SUMIFS(Q:Q,A:A,A894)&gt;0,SUMIFS(Q:Q,A:A,A894),"."))/VLOOKUP("USD",'Exchange rates'!B:C,2,0),"Error with coding"))),"")</f>
        <v>.</v>
      </c>
      <c r="U894" s="39" t="s">
        <v>372</v>
      </c>
      <c r="V894" s="42" t="s">
        <v>2510</v>
      </c>
      <c r="W894" s="42" t="s">
        <v>2511</v>
      </c>
      <c r="X894" s="512" t="s">
        <v>232</v>
      </c>
      <c r="Y894" s="512" t="s">
        <v>232</v>
      </c>
      <c r="Z894" s="39">
        <v>0</v>
      </c>
      <c r="AA894" s="518">
        <v>0</v>
      </c>
      <c r="AB894" s="41" t="s">
        <v>232</v>
      </c>
      <c r="AC894" s="519" t="str">
        <f>""</f>
        <v/>
      </c>
      <c r="AD894" s="522">
        <v>1</v>
      </c>
      <c r="AE894" s="522" t="s">
        <v>300</v>
      </c>
      <c r="AF894" s="522" t="s">
        <v>237</v>
      </c>
      <c r="AG894" s="522">
        <v>1</v>
      </c>
      <c r="AH894" s="520">
        <v>8</v>
      </c>
      <c r="AI894" s="520">
        <v>0</v>
      </c>
      <c r="AJ894" s="520">
        <f>VLOOKUP($I894,'Price List, Weapons &amp; Items'!A:E,5,0)</f>
        <v>0</v>
      </c>
      <c r="AK894" s="520">
        <f t="shared" si="189"/>
        <v>0</v>
      </c>
      <c r="AL894" s="520">
        <f t="shared" si="190"/>
        <v>0</v>
      </c>
      <c r="AM894" s="520">
        <f t="shared" si="191"/>
        <v>0</v>
      </c>
      <c r="AN894" s="521" t="str">
        <f>VLOOKUP($I894,'Price List, Weapons &amp; Items'!A:K,COLUMN('Price List, Weapons &amp; Items'!$I$1),0)</f>
        <v>Contracts</v>
      </c>
      <c r="AO894" s="521" t="str">
        <f>IF(I894=".",".",VLOOKUP($I894,'Price List, Weapons &amp; Items'!A:I,3,0))</f>
        <v>Mine Vessels</v>
      </c>
      <c r="AP894" s="517" t="str">
        <f t="shared" ca="1" si="199"/>
        <v>Hunt-class mine countermeasures vessel</v>
      </c>
      <c r="AQ894" s="521">
        <f>VLOOKUP($I894,'Price List, Weapons &amp; Items'!A:K,COLUMN('Price List, Weapons &amp; Items'!$K$1),0)</f>
        <v>2</v>
      </c>
      <c r="AS894" s="521">
        <f t="shared" si="192"/>
        <v>0</v>
      </c>
      <c r="AT894" s="521">
        <f t="shared" si="193"/>
        <v>1</v>
      </c>
      <c r="AU894" s="521">
        <f t="shared" si="194"/>
        <v>1</v>
      </c>
      <c r="AV894" s="521" t="str">
        <f t="shared" si="195"/>
        <v>.</v>
      </c>
    </row>
    <row r="895" spans="1:48" ht="15" customHeight="1">
      <c r="A895" s="18" t="s">
        <v>2512</v>
      </c>
      <c r="B895" s="18" t="s">
        <v>2392</v>
      </c>
      <c r="C895" s="511">
        <v>44847</v>
      </c>
      <c r="D895" s="18" t="s">
        <v>252</v>
      </c>
      <c r="E895" s="18" t="s">
        <v>307</v>
      </c>
      <c r="F895" s="512" t="s">
        <v>2513</v>
      </c>
      <c r="G895" s="39" t="s">
        <v>2394</v>
      </c>
      <c r="H895" s="513" t="s">
        <v>309</v>
      </c>
      <c r="I895" s="521" t="s">
        <v>2514</v>
      </c>
      <c r="J895" s="276" t="str">
        <f>VLOOKUP($I895,'Price List, Weapons &amp; Items'!A:B,2,0)</f>
        <v>Heavy weapon</v>
      </c>
      <c r="K895" s="276" t="str">
        <f>IF(I895=".",I895,VLOOKUP($I895,'Price List, Weapons &amp; Items'!A:C,3,0))</f>
        <v>Surface-to-air missile (SAM)</v>
      </c>
      <c r="L895" s="514">
        <f>VLOOKUP(I895,'Price List, Weapons &amp; Items'!A:D,4,0)</f>
        <v>0</v>
      </c>
      <c r="M895" s="515" t="s">
        <v>264</v>
      </c>
      <c r="N895" s="515" t="s">
        <v>264</v>
      </c>
      <c r="O895" s="516">
        <f>VLOOKUP($I895,'Price List, Weapons &amp; Items'!A:F,6,0)</f>
        <v>1392389.093089018</v>
      </c>
      <c r="P895" s="513" t="str">
        <f t="shared" si="200"/>
        <v>.</v>
      </c>
      <c r="Q895" s="513" t="str">
        <f t="shared" si="201"/>
        <v>.</v>
      </c>
      <c r="R895" s="513">
        <f t="shared" si="198"/>
        <v>230018170.96804595</v>
      </c>
      <c r="S895" s="513">
        <f>IF(AND(AD895=1,R895&lt;&gt;".")=TRUE,R895/VLOOKUP(G895,'Exchange rates'!B:C,2,0),IF(R895=".",".",""))</f>
        <v>265120067.96685794</v>
      </c>
      <c r="T895" s="513" t="str">
        <f>IF(AD895=1,IF(AF895="Value is not given at all",".",IF(AF895="Value is given by the source",S895,IF(AF895="Value is calculated with prices",(IF(SUMIFS(Q:Q,A:A,A895)&gt;0,SUMIFS(Q:Q,A:A,A895),"."))/VLOOKUP("USD",'Exchange rates'!B:C,2,0),"Error with coding"))),"")</f>
        <v>.</v>
      </c>
      <c r="U895" s="514" t="s">
        <v>233</v>
      </c>
      <c r="V895" s="836" t="s">
        <v>2515</v>
      </c>
      <c r="W895" s="536" t="s">
        <v>232</v>
      </c>
      <c r="X895" s="536" t="s">
        <v>232</v>
      </c>
      <c r="Y895" s="536" t="s">
        <v>232</v>
      </c>
      <c r="Z895" s="514">
        <v>0</v>
      </c>
      <c r="AA895" s="518">
        <v>1</v>
      </c>
      <c r="AB895" s="523" t="s">
        <v>232</v>
      </c>
      <c r="AC895" s="519" t="str">
        <f>""</f>
        <v/>
      </c>
      <c r="AD895" s="522">
        <v>1</v>
      </c>
      <c r="AE895" s="522" t="s">
        <v>300</v>
      </c>
      <c r="AF895" s="522" t="s">
        <v>237</v>
      </c>
      <c r="AG895" s="522">
        <v>1</v>
      </c>
      <c r="AH895" s="522">
        <v>10</v>
      </c>
      <c r="AI895" s="520">
        <v>0</v>
      </c>
      <c r="AJ895" s="520">
        <f>VLOOKUP($I895,'Price List, Weapons &amp; Items'!A:E,5,0)</f>
        <v>0</v>
      </c>
      <c r="AK895" s="520">
        <f t="shared" si="189"/>
        <v>0</v>
      </c>
      <c r="AL895" s="520">
        <f t="shared" si="190"/>
        <v>0</v>
      </c>
      <c r="AM895" s="520">
        <f t="shared" si="191"/>
        <v>0</v>
      </c>
      <c r="AN895" s="521" t="str">
        <f>VLOOKUP($I895,'Price List, Weapons &amp; Items'!A:K,COLUMN('Price List, Weapons &amp; Items'!$I$1),0)</f>
        <v>Contracts</v>
      </c>
      <c r="AO895" s="521" t="str">
        <f>IF(I895=".",".",VLOOKUP($I895,'Price List, Weapons &amp; Items'!A:I,3,0))</f>
        <v>Surface-to-air missile (SAM)</v>
      </c>
      <c r="AP895" s="517" t="str">
        <f t="shared" ca="1" si="199"/>
        <v>AMRAAM rockets (for NASAMS); Air Defence Missile; reconnaissance drone; M119 105mm howitzer</v>
      </c>
      <c r="AQ895" s="521" t="str">
        <f>VLOOKUP($I895,'Price List, Weapons &amp; Items'!A:K,COLUMN('Price List, Weapons &amp; Items'!$K$1),0)</f>
        <v>no price, 0 count</v>
      </c>
      <c r="AS895" s="521">
        <f t="shared" si="192"/>
        <v>1</v>
      </c>
      <c r="AT895" s="521">
        <f t="shared" si="193"/>
        <v>1</v>
      </c>
      <c r="AU895" s="521">
        <f t="shared" si="194"/>
        <v>1</v>
      </c>
      <c r="AV895" s="521" t="str">
        <f t="shared" si="195"/>
        <v>.</v>
      </c>
    </row>
    <row r="896" spans="1:48" ht="15" customHeight="1">
      <c r="A896" s="18" t="s">
        <v>2512</v>
      </c>
      <c r="B896" s="18" t="s">
        <v>2392</v>
      </c>
      <c r="C896" s="511">
        <v>44847</v>
      </c>
      <c r="D896" s="18" t="s">
        <v>252</v>
      </c>
      <c r="E896" s="18" t="s">
        <v>307</v>
      </c>
      <c r="F896" s="512" t="s">
        <v>2513</v>
      </c>
      <c r="G896" s="39" t="s">
        <v>2394</v>
      </c>
      <c r="H896" s="513" t="s">
        <v>309</v>
      </c>
      <c r="I896" s="41" t="s">
        <v>2516</v>
      </c>
      <c r="J896" s="276" t="str">
        <f>VLOOKUP($I896,'Price List, Weapons &amp; Items'!A:B,2,0)</f>
        <v>Heavy weapon</v>
      </c>
      <c r="K896" s="276" t="str">
        <f>IF(I896=".",I896,VLOOKUP($I896,'Price List, Weapons &amp; Items'!A:C,3,0))</f>
        <v>Surface-to-air missile (SAM)</v>
      </c>
      <c r="L896" s="514">
        <f>VLOOKUP(I896,'Price List, Weapons &amp; Items'!A:D,4,0)</f>
        <v>0</v>
      </c>
      <c r="M896" s="515">
        <v>200</v>
      </c>
      <c r="O896" s="516" t="str">
        <f>VLOOKUP($I896,'Price List, Weapons &amp; Items'!A:F,6,0)</f>
        <v>.</v>
      </c>
      <c r="P896" s="513" t="str">
        <f t="shared" si="200"/>
        <v>No price</v>
      </c>
      <c r="Q896" s="513" t="str">
        <f t="shared" si="201"/>
        <v>No price</v>
      </c>
      <c r="R896" s="513" t="str">
        <f t="shared" si="198"/>
        <v/>
      </c>
      <c r="S896" s="513" t="str">
        <f>IF(AND(AD896=1,R896&lt;&gt;".")=TRUE,R896/VLOOKUP(G896,'Exchange rates'!B:C,2,0),IF(R896=".",".",""))</f>
        <v/>
      </c>
      <c r="T896" s="513" t="str">
        <f>IF(AD896=1,IF(AF896="Value is not given at all",".",IF(AF896="Value is given by the source",S896,IF(AF896="Value is calculated with prices",(IF(SUMIFS(Q:Q,A:A,A896)&gt;0,SUMIFS(Q:Q,A:A,A896),"."))/VLOOKUP("USD",'Exchange rates'!B:C,2,0),"Error with coding"))),"")</f>
        <v/>
      </c>
      <c r="U896" s="514" t="s">
        <v>233</v>
      </c>
      <c r="V896" s="836" t="s">
        <v>2515</v>
      </c>
      <c r="W896" s="536" t="s">
        <v>232</v>
      </c>
      <c r="X896" s="536" t="s">
        <v>232</v>
      </c>
      <c r="Y896" s="536" t="s">
        <v>232</v>
      </c>
      <c r="Z896" s="514">
        <v>0</v>
      </c>
      <c r="AA896" s="518">
        <v>1</v>
      </c>
      <c r="AB896" s="523" t="s">
        <v>232</v>
      </c>
      <c r="AC896" s="519" t="str">
        <f>""</f>
        <v/>
      </c>
      <c r="AD896" s="522">
        <v>0</v>
      </c>
      <c r="AE896" s="522" t="s">
        <v>300</v>
      </c>
      <c r="AF896" s="522" t="s">
        <v>237</v>
      </c>
      <c r="AG896" s="522">
        <v>1</v>
      </c>
      <c r="AH896" s="522">
        <v>10</v>
      </c>
      <c r="AI896" s="520">
        <v>0</v>
      </c>
      <c r="AJ896" s="520">
        <f>VLOOKUP($I896,'Price List, Weapons &amp; Items'!A:E,5,0)</f>
        <v>0</v>
      </c>
      <c r="AK896" s="520">
        <f t="shared" si="189"/>
        <v>0</v>
      </c>
      <c r="AL896" s="520">
        <f t="shared" si="190"/>
        <v>0</v>
      </c>
      <c r="AM896" s="520">
        <f t="shared" si="191"/>
        <v>0</v>
      </c>
      <c r="AN896" s="521" t="str">
        <f>VLOOKUP($I896,'Price List, Weapons &amp; Items'!A:K,COLUMN('Price List, Weapons &amp; Items'!$I$1),0)</f>
        <v>.</v>
      </c>
      <c r="AO896" s="521" t="str">
        <f>IF(I896=".",".",VLOOKUP($I896,'Price List, Weapons &amp; Items'!A:I,3,0))</f>
        <v>Surface-to-air missile (SAM)</v>
      </c>
      <c r="AP896" s="517" t="str">
        <f t="shared" ca="1" si="199"/>
        <v/>
      </c>
      <c r="AQ896" s="521">
        <f>VLOOKUP($I896,'Price List, Weapons &amp; Items'!A:K,COLUMN('Price List, Weapons &amp; Items'!$K$1),0)</f>
        <v>0</v>
      </c>
      <c r="AS896" s="521">
        <f t="shared" si="192"/>
        <v>1</v>
      </c>
      <c r="AT896" s="521">
        <f t="shared" si="193"/>
        <v>1</v>
      </c>
      <c r="AU896" s="521">
        <f t="shared" si="194"/>
        <v>1</v>
      </c>
      <c r="AV896" s="521" t="str">
        <f t="shared" si="195"/>
        <v>.</v>
      </c>
    </row>
    <row r="897" spans="1:48" ht="15" customHeight="1">
      <c r="A897" s="18" t="s">
        <v>2512</v>
      </c>
      <c r="B897" s="18" t="s">
        <v>2392</v>
      </c>
      <c r="C897" s="511">
        <v>44847</v>
      </c>
      <c r="D897" s="18" t="s">
        <v>252</v>
      </c>
      <c r="E897" s="18" t="s">
        <v>307</v>
      </c>
      <c r="F897" s="512" t="s">
        <v>2513</v>
      </c>
      <c r="G897" s="39" t="s">
        <v>2394</v>
      </c>
      <c r="H897" s="513" t="s">
        <v>309</v>
      </c>
      <c r="I897" s="524" t="s">
        <v>1249</v>
      </c>
      <c r="J897" s="276" t="str">
        <f>VLOOKUP($I897,'Price List, Weapons &amp; Items'!A:B,2,0)</f>
        <v>Aviation and drones</v>
      </c>
      <c r="K897" s="276" t="str">
        <f>IF(I897=".",I897,VLOOKUP($I897,'Price List, Weapons &amp; Items'!A:C,3,0))</f>
        <v>Reconnaissance drone</v>
      </c>
      <c r="L897" s="514">
        <f>VLOOKUP(I897,'Price List, Weapons &amp; Items'!A:D,4,0)</f>
        <v>0</v>
      </c>
      <c r="M897" s="515">
        <v>200</v>
      </c>
      <c r="O897" s="516">
        <f>VLOOKUP($I897,'Price List, Weapons &amp; Items'!A:F,6,0)</f>
        <v>1035567.45</v>
      </c>
      <c r="P897" s="513">
        <f t="shared" si="200"/>
        <v>207113490</v>
      </c>
      <c r="Q897" s="513">
        <f t="shared" si="201"/>
        <v>0</v>
      </c>
      <c r="R897" s="513" t="str">
        <f t="shared" si="198"/>
        <v/>
      </c>
      <c r="S897" s="513" t="str">
        <f>IF(AND(AD897=1,R897&lt;&gt;".")=TRUE,R897/VLOOKUP(G897,'Exchange rates'!B:C,2,0),IF(R897=".",".",""))</f>
        <v/>
      </c>
      <c r="T897" s="513" t="str">
        <f>IF(AD897=1,IF(AF897="Value is not given at all",".",IF(AF897="Value is given by the source",S897,IF(AF897="Value is calculated with prices",(IF(SUMIFS(Q:Q,A:A,A897)&gt;0,SUMIFS(Q:Q,A:A,A897),"."))/VLOOKUP("USD",'Exchange rates'!B:C,2,0),"Error with coding"))),"")</f>
        <v/>
      </c>
      <c r="U897" s="514" t="s">
        <v>233</v>
      </c>
      <c r="V897" s="836" t="s">
        <v>2515</v>
      </c>
      <c r="W897" s="536" t="s">
        <v>232</v>
      </c>
      <c r="X897" s="536" t="s">
        <v>232</v>
      </c>
      <c r="Y897" s="536" t="s">
        <v>232</v>
      </c>
      <c r="Z897" s="514">
        <v>0</v>
      </c>
      <c r="AA897" s="518">
        <v>1</v>
      </c>
      <c r="AB897" s="523" t="s">
        <v>232</v>
      </c>
      <c r="AC897" s="519" t="str">
        <f>""</f>
        <v/>
      </c>
      <c r="AD897" s="522">
        <v>0</v>
      </c>
      <c r="AE897" s="522" t="s">
        <v>300</v>
      </c>
      <c r="AF897" s="522" t="s">
        <v>237</v>
      </c>
      <c r="AG897" s="522">
        <v>1</v>
      </c>
      <c r="AH897" s="522">
        <v>10</v>
      </c>
      <c r="AI897" s="520">
        <v>0</v>
      </c>
      <c r="AJ897" s="520">
        <f>VLOOKUP($I897,'Price List, Weapons &amp; Items'!A:E,5,0)</f>
        <v>0</v>
      </c>
      <c r="AK897" s="520">
        <f t="shared" si="189"/>
        <v>0</v>
      </c>
      <c r="AL897" s="520">
        <f t="shared" si="190"/>
        <v>0</v>
      </c>
      <c r="AM897" s="520">
        <f t="shared" si="191"/>
        <v>0</v>
      </c>
      <c r="AN897" s="521" t="str">
        <f>VLOOKUP($I897,'Price List, Weapons &amp; Items'!A:K,COLUMN('Price List, Weapons &amp; Items'!$I$1),0)</f>
        <v>Miscellaneous</v>
      </c>
      <c r="AO897" s="521" t="str">
        <f>IF(I897=".",".",VLOOKUP($I897,'Price List, Weapons &amp; Items'!A:I,3,0))</f>
        <v>Reconnaissance drone</v>
      </c>
      <c r="AP897" s="517" t="str">
        <f t="shared" ca="1" si="199"/>
        <v/>
      </c>
      <c r="AQ897" s="521">
        <f>VLOOKUP($I897,'Price List, Weapons &amp; Items'!A:K,COLUMN('Price List, Weapons &amp; Items'!$K$1),0)</f>
        <v>2</v>
      </c>
      <c r="AS897" s="521">
        <f t="shared" si="192"/>
        <v>1</v>
      </c>
      <c r="AT897" s="521">
        <f t="shared" si="193"/>
        <v>1</v>
      </c>
      <c r="AU897" s="521">
        <f t="shared" si="194"/>
        <v>1</v>
      </c>
      <c r="AV897" s="521" t="str">
        <f t="shared" si="195"/>
        <v>.</v>
      </c>
    </row>
    <row r="898" spans="1:48" ht="15" customHeight="1">
      <c r="A898" s="18" t="s">
        <v>2512</v>
      </c>
      <c r="B898" s="18" t="s">
        <v>2392</v>
      </c>
      <c r="C898" s="511">
        <v>44847</v>
      </c>
      <c r="D898" s="18" t="s">
        <v>252</v>
      </c>
      <c r="E898" s="18" t="s">
        <v>307</v>
      </c>
      <c r="F898" s="512" t="s">
        <v>2513</v>
      </c>
      <c r="G898" s="39" t="s">
        <v>2394</v>
      </c>
      <c r="H898" s="513" t="s">
        <v>309</v>
      </c>
      <c r="I898" s="41" t="s">
        <v>2490</v>
      </c>
      <c r="J898" s="276" t="str">
        <f>VLOOKUP($I898,'Price List, Weapons &amp; Items'!A:B,2,0)</f>
        <v>Heavy weapon</v>
      </c>
      <c r="K898" s="276" t="str">
        <f>IF(I898=".",I898,VLOOKUP($I898,'Price List, Weapons &amp; Items'!A:C,3,0))</f>
        <v>105mm howitzer</v>
      </c>
      <c r="L898" s="514">
        <f>VLOOKUP(I898,'Price List, Weapons &amp; Items'!A:D,4,0)</f>
        <v>0</v>
      </c>
      <c r="M898" s="515">
        <v>18</v>
      </c>
      <c r="O898" s="516">
        <f>VLOOKUP($I898,'Price List, Weapons &amp; Items'!A:F,6,0)</f>
        <v>1272482.2760025531</v>
      </c>
      <c r="P898" s="513">
        <f t="shared" si="200"/>
        <v>22904680.968045954</v>
      </c>
      <c r="Q898" s="513">
        <f t="shared" si="201"/>
        <v>0</v>
      </c>
      <c r="R898" s="513" t="str">
        <f t="shared" si="198"/>
        <v/>
      </c>
      <c r="S898" s="513" t="str">
        <f>IF(AND(AD898=1,R898&lt;&gt;".")=TRUE,R898/VLOOKUP(G898,'Exchange rates'!B:C,2,0),IF(R898=".",".",""))</f>
        <v/>
      </c>
      <c r="T898" s="513" t="str">
        <f>IF(AD898=1,IF(AF898="Value is not given at all",".",IF(AF898="Value is given by the source",S898,IF(AF898="Value is calculated with prices",(IF(SUMIFS(Q:Q,A:A,A898)&gt;0,SUMIFS(Q:Q,A:A,A898),"."))/VLOOKUP("USD",'Exchange rates'!B:C,2,0),"Error with coding"))),"")</f>
        <v/>
      </c>
      <c r="U898" s="514" t="s">
        <v>233</v>
      </c>
      <c r="V898" s="836" t="s">
        <v>2515</v>
      </c>
      <c r="W898" s="536" t="s">
        <v>232</v>
      </c>
      <c r="X898" s="536" t="s">
        <v>232</v>
      </c>
      <c r="Y898" s="536" t="s">
        <v>232</v>
      </c>
      <c r="Z898" s="514">
        <v>0</v>
      </c>
      <c r="AA898" s="518">
        <v>1</v>
      </c>
      <c r="AB898" s="523" t="s">
        <v>232</v>
      </c>
      <c r="AC898" s="519" t="str">
        <f>""</f>
        <v/>
      </c>
      <c r="AD898" s="522">
        <v>0</v>
      </c>
      <c r="AE898" s="522" t="s">
        <v>300</v>
      </c>
      <c r="AF898" s="522" t="s">
        <v>237</v>
      </c>
      <c r="AG898" s="522">
        <v>1</v>
      </c>
      <c r="AH898" s="522">
        <v>10</v>
      </c>
      <c r="AI898" s="520">
        <v>0</v>
      </c>
      <c r="AJ898" s="520">
        <f>VLOOKUP($I898,'Price List, Weapons &amp; Items'!A:E,5,0)</f>
        <v>0</v>
      </c>
      <c r="AK898" s="520">
        <f t="shared" si="189"/>
        <v>0</v>
      </c>
      <c r="AL898" s="520">
        <f t="shared" si="190"/>
        <v>0</v>
      </c>
      <c r="AM898" s="520">
        <f t="shared" si="191"/>
        <v>0</v>
      </c>
      <c r="AN898" s="521" t="str">
        <f>VLOOKUP($I898,'Price List, Weapons &amp; Items'!A:K,COLUMN('Price List, Weapons &amp; Items'!$I$1),0)</f>
        <v>Contracts</v>
      </c>
      <c r="AO898" s="521" t="str">
        <f>IF(I898=".",".",VLOOKUP($I898,'Price List, Weapons &amp; Items'!A:I,3,0))</f>
        <v>105mm howitzer</v>
      </c>
      <c r="AP898" s="517" t="str">
        <f t="shared" ca="1" si="199"/>
        <v/>
      </c>
      <c r="AQ898" s="521">
        <f>VLOOKUP($I898,'Price List, Weapons &amp; Items'!A:K,COLUMN('Price List, Weapons &amp; Items'!$K$1),0)</f>
        <v>2</v>
      </c>
      <c r="AS898" s="521">
        <f t="shared" si="192"/>
        <v>1</v>
      </c>
      <c r="AT898" s="521">
        <f t="shared" si="193"/>
        <v>1</v>
      </c>
      <c r="AU898" s="521">
        <f t="shared" si="194"/>
        <v>1</v>
      </c>
      <c r="AV898" s="521" t="str">
        <f t="shared" si="195"/>
        <v>.</v>
      </c>
    </row>
    <row r="899" spans="1:48" ht="15" customHeight="1">
      <c r="A899" s="18" t="s">
        <v>2517</v>
      </c>
      <c r="B899" s="18" t="s">
        <v>2392</v>
      </c>
      <c r="C899" s="511">
        <v>44847</v>
      </c>
      <c r="D899" s="18" t="s">
        <v>252</v>
      </c>
      <c r="E899" s="18" t="s">
        <v>261</v>
      </c>
      <c r="F899" s="512" t="s">
        <v>2518</v>
      </c>
      <c r="G899" s="39" t="s">
        <v>2394</v>
      </c>
      <c r="H899" s="513">
        <v>10000000</v>
      </c>
      <c r="I899" s="41" t="s">
        <v>232</v>
      </c>
      <c r="J899" s="276" t="str">
        <f>VLOOKUP($I899,'Price List, Weapons &amp; Items'!A:B,2,0)</f>
        <v>.</v>
      </c>
      <c r="K899" s="276" t="str">
        <f>IF(I899=".",I899,VLOOKUP($I899,'Price List, Weapons &amp; Items'!A:C,3,0))</f>
        <v>.</v>
      </c>
      <c r="L899" s="514">
        <f>VLOOKUP(I899,'Price List, Weapons &amp; Items'!A:D,4,0)</f>
        <v>0</v>
      </c>
      <c r="M899" s="515" t="s">
        <v>232</v>
      </c>
      <c r="N899" s="515" t="s">
        <v>232</v>
      </c>
      <c r="O899" s="516" t="str">
        <f>VLOOKUP($I899,'Price List, Weapons &amp; Items'!A:F,6,0)</f>
        <v>.</v>
      </c>
      <c r="P899" s="513" t="str">
        <f t="shared" si="200"/>
        <v>.</v>
      </c>
      <c r="Q899" s="513" t="str">
        <f t="shared" si="201"/>
        <v>.</v>
      </c>
      <c r="R899" s="513">
        <f t="shared" si="198"/>
        <v>10000000</v>
      </c>
      <c r="S899" s="513">
        <f>IF(AND(AD899=1,R899&lt;&gt;".")=TRUE,R899/VLOOKUP(G899,'Exchange rates'!B:C,2,0),IF(R899=".",".",""))</f>
        <v>11526048.870447211</v>
      </c>
      <c r="T899" s="513" t="str">
        <f>IF(AD899=1,IF(AF899="Value is not given at all",".",IF(AF899="Value is given by the source",S899,IF(AF899="Value is calculated with prices",(IF(SUMIFS(Q:Q,A:A,A899)&gt;0,SUMIFS(Q:Q,A:A,A899),"."))/VLOOKUP("USD",'Exchange rates'!B:C,2,0),"Error with coding"))),"")</f>
        <v>.</v>
      </c>
      <c r="U899" s="514" t="s">
        <v>233</v>
      </c>
      <c r="V899" s="836" t="s">
        <v>2515</v>
      </c>
      <c r="W899" s="536" t="s">
        <v>232</v>
      </c>
      <c r="X899" s="536" t="s">
        <v>232</v>
      </c>
      <c r="Y899" s="536" t="s">
        <v>232</v>
      </c>
      <c r="Z899" s="514">
        <v>0</v>
      </c>
      <c r="AA899" s="518">
        <v>1</v>
      </c>
      <c r="AB899" s="523" t="s">
        <v>232</v>
      </c>
      <c r="AC899" s="519" t="str">
        <f>""</f>
        <v/>
      </c>
      <c r="AD899" s="522">
        <v>1</v>
      </c>
      <c r="AE899" s="522" t="s">
        <v>236</v>
      </c>
      <c r="AF899" s="522" t="s">
        <v>237</v>
      </c>
      <c r="AG899" s="522">
        <v>1</v>
      </c>
      <c r="AH899" s="522">
        <v>10</v>
      </c>
      <c r="AI899" s="520">
        <v>0</v>
      </c>
      <c r="AJ899" s="520">
        <f>VLOOKUP($I899,'Price List, Weapons &amp; Items'!A:E,5,0)</f>
        <v>0</v>
      </c>
      <c r="AK899" s="520">
        <f t="shared" si="189"/>
        <v>0</v>
      </c>
      <c r="AL899" s="520">
        <f t="shared" si="190"/>
        <v>0</v>
      </c>
      <c r="AM899" s="520">
        <f t="shared" si="191"/>
        <v>0</v>
      </c>
      <c r="AN899" s="521" t="str">
        <f>VLOOKUP($I899,'Price List, Weapons &amp; Items'!A:K,COLUMN('Price List, Weapons &amp; Items'!$I$1),0)</f>
        <v>.</v>
      </c>
      <c r="AO899" s="521" t="str">
        <f>IF(I899=".",".",VLOOKUP($I899,'Price List, Weapons &amp; Items'!A:I,3,0))</f>
        <v>.</v>
      </c>
      <c r="AP899" s="517" t="str">
        <f t="shared" ca="1" si="199"/>
        <v>.</v>
      </c>
      <c r="AQ899" s="521" t="str">
        <f>VLOOKUP($I899,'Price List, Weapons &amp; Items'!A:K,COLUMN('Price List, Weapons &amp; Items'!$K$1),0)</f>
        <v>no price, 0 count</v>
      </c>
      <c r="AS899" s="521">
        <f t="shared" si="192"/>
        <v>1</v>
      </c>
      <c r="AT899" s="521">
        <f t="shared" si="193"/>
        <v>1</v>
      </c>
      <c r="AU899" s="521">
        <f t="shared" si="194"/>
        <v>1</v>
      </c>
      <c r="AV899" s="521" t="str">
        <f t="shared" si="195"/>
        <v>.</v>
      </c>
    </row>
    <row r="900" spans="1:48" ht="15" customHeight="1">
      <c r="A900" s="18" t="s">
        <v>2519</v>
      </c>
      <c r="B900" s="18" t="s">
        <v>2392</v>
      </c>
      <c r="C900" s="511">
        <v>44874</v>
      </c>
      <c r="D900" s="18" t="s">
        <v>252</v>
      </c>
      <c r="E900" s="18" t="s">
        <v>307</v>
      </c>
      <c r="F900" s="512" t="s">
        <v>2520</v>
      </c>
      <c r="G900" s="39" t="s">
        <v>2394</v>
      </c>
      <c r="H900" s="513" t="s">
        <v>309</v>
      </c>
      <c r="I900" s="425" t="s">
        <v>2521</v>
      </c>
      <c r="J900" s="276" t="str">
        <f>VLOOKUP($I900,'Price List, Weapons &amp; Items'!A:B,2,0)</f>
        <v>Heavy weapon</v>
      </c>
      <c r="K900" s="276" t="str">
        <f>IF(I900=".",I900,VLOOKUP($I900,'Price List, Weapons &amp; Items'!A:C,3,0))</f>
        <v>Surface-to-air missile (SAM)</v>
      </c>
      <c r="L900" s="514">
        <f>VLOOKUP(I900,'Price List, Weapons &amp; Items'!A:D,4,0)</f>
        <v>0</v>
      </c>
      <c r="M900" s="515">
        <v>1000</v>
      </c>
      <c r="N900" s="515">
        <v>1000</v>
      </c>
      <c r="O900" s="516" t="str">
        <f>VLOOKUP($I900,'Price List, Weapons &amp; Items'!A:F,6,0)</f>
        <v>.</v>
      </c>
      <c r="P900" s="513" t="str">
        <f t="shared" si="200"/>
        <v>No price</v>
      </c>
      <c r="Q900" s="513" t="str">
        <f t="shared" si="201"/>
        <v>No price</v>
      </c>
      <c r="R900" s="513" t="str">
        <f t="shared" si="198"/>
        <v>.</v>
      </c>
      <c r="S900" s="513" t="str">
        <f>IF(AND(AD900=1,R900&lt;&gt;".")=TRUE,R900/VLOOKUP(G900,'Exchange rates'!B:C,2,0),IF(R900=".",".",""))</f>
        <v>.</v>
      </c>
      <c r="T900" s="513" t="str">
        <f>IF(AD900=1,IF(AF900="Value is not given at all",".",IF(AF900="Value is given by the source",S900,IF(AF900="Value is calculated with prices",(IF(SUMIFS(Q:Q,A:A,A900)&gt;0,SUMIFS(Q:Q,A:A,A900),"."))/VLOOKUP("USD",'Exchange rates'!B:C,2,0),"Error with coding"))),"")</f>
        <v>.</v>
      </c>
      <c r="U900" s="514" t="s">
        <v>233</v>
      </c>
      <c r="V900" s="836" t="s">
        <v>2522</v>
      </c>
      <c r="W900" s="42" t="s">
        <v>232</v>
      </c>
      <c r="X900" s="42" t="s">
        <v>232</v>
      </c>
      <c r="Y900" s="825" t="s">
        <v>232</v>
      </c>
      <c r="Z900" s="514">
        <v>0</v>
      </c>
      <c r="AA900" s="518">
        <v>1</v>
      </c>
      <c r="AB900" s="832" t="s">
        <v>2522</v>
      </c>
      <c r="AC900" s="519" t="str">
        <f>""</f>
        <v/>
      </c>
      <c r="AD900" s="522">
        <v>1</v>
      </c>
      <c r="AE900" s="522" t="s">
        <v>300</v>
      </c>
      <c r="AF900" s="522" t="s">
        <v>237</v>
      </c>
      <c r="AG900" s="522">
        <v>1</v>
      </c>
      <c r="AH900" s="522">
        <v>11</v>
      </c>
      <c r="AI900" s="520">
        <v>0</v>
      </c>
      <c r="AJ900" s="520">
        <f>VLOOKUP($I900,'Price List, Weapons &amp; Items'!A:E,5,0)</f>
        <v>0</v>
      </c>
      <c r="AK900" s="520">
        <f t="shared" si="189"/>
        <v>0</v>
      </c>
      <c r="AL900" s="520">
        <f t="shared" si="190"/>
        <v>0</v>
      </c>
      <c r="AM900" s="520">
        <f t="shared" si="191"/>
        <v>0</v>
      </c>
      <c r="AN900" s="521" t="str">
        <f>VLOOKUP($I900,'Price List, Weapons &amp; Items'!A:K,COLUMN('Price List, Weapons &amp; Items'!$I$1),0)</f>
        <v>.</v>
      </c>
      <c r="AO900" s="521" t="str">
        <f>IF(I900=".",".",VLOOKUP($I900,'Price List, Weapons &amp; Items'!A:I,3,0))</f>
        <v>Surface-to-air missile (SAM)</v>
      </c>
      <c r="AP900" s="517" t="str">
        <f t="shared" ca="1" si="199"/>
        <v>surface to air missile</v>
      </c>
      <c r="AQ900" s="521">
        <f>VLOOKUP($I900,'Price List, Weapons &amp; Items'!A:K,COLUMN('Price List, Weapons &amp; Items'!$K$1),0)</f>
        <v>0</v>
      </c>
      <c r="AS900" s="521">
        <f t="shared" si="192"/>
        <v>1</v>
      </c>
      <c r="AT900" s="521">
        <f t="shared" si="193"/>
        <v>1</v>
      </c>
      <c r="AU900" s="521">
        <f t="shared" si="194"/>
        <v>1</v>
      </c>
      <c r="AV900" s="521" t="str">
        <f t="shared" si="195"/>
        <v>.</v>
      </c>
    </row>
    <row r="901" spans="1:48" ht="15" customHeight="1">
      <c r="A901" s="18" t="s">
        <v>2523</v>
      </c>
      <c r="B901" s="18" t="s">
        <v>2392</v>
      </c>
      <c r="C901" s="511">
        <v>44884</v>
      </c>
      <c r="D901" s="18" t="s">
        <v>252</v>
      </c>
      <c r="E901" s="18" t="s">
        <v>307</v>
      </c>
      <c r="F901" s="512" t="s">
        <v>2524</v>
      </c>
      <c r="G901" s="39" t="s">
        <v>2394</v>
      </c>
      <c r="H901" s="513">
        <v>50000000</v>
      </c>
      <c r="I901" s="423" t="s">
        <v>2525</v>
      </c>
      <c r="J901" s="276" t="str">
        <f>VLOOKUP($I901,'Price List, Weapons &amp; Items'!A:B,2,0)</f>
        <v>Heavy weapon</v>
      </c>
      <c r="K901" s="276" t="str">
        <f>IF(I901=".",I901,VLOOKUP($I901,'Price List, Weapons &amp; Items'!A:C,3,0))</f>
        <v>Self-propelled anti-aircraft weapon</v>
      </c>
      <c r="L901" s="514">
        <f>VLOOKUP(I901,'Price List, Weapons &amp; Items'!A:D,4,0)</f>
        <v>0</v>
      </c>
      <c r="M901" s="515">
        <v>125</v>
      </c>
      <c r="N901" s="515" t="s">
        <v>232</v>
      </c>
      <c r="O901" s="516" t="str">
        <f>VLOOKUP($I901,'Price List, Weapons &amp; Items'!A:F,6,0)</f>
        <v>.</v>
      </c>
      <c r="P901" s="513" t="str">
        <f t="shared" si="200"/>
        <v>No price</v>
      </c>
      <c r="Q901" s="513" t="str">
        <f t="shared" si="201"/>
        <v>.</v>
      </c>
      <c r="R901" s="513">
        <f t="shared" si="198"/>
        <v>50000000</v>
      </c>
      <c r="S901" s="513">
        <f>IF(AND(AD901=1,R901&lt;&gt;".")=TRUE,R901/VLOOKUP(G901,'Exchange rates'!B:C,2,0),IF(R901=".",".",""))</f>
        <v>57630244.352236047</v>
      </c>
      <c r="T901" s="513" t="str">
        <f>IF(AD901=1,IF(AF901="Value is not given at all",".",IF(AF901="Value is given by the source",S901,IF(AF901="Value is calculated with prices",(IF(SUMIFS(Q:Q,A:A,A901)&gt;0,SUMIFS(Q:Q,A:A,A901),"."))/VLOOKUP("USD",'Exchange rates'!B:C,2,0),"Error with coding"))),"")</f>
        <v>.</v>
      </c>
      <c r="U901" s="514" t="s">
        <v>233</v>
      </c>
      <c r="V901" s="836" t="s">
        <v>2526</v>
      </c>
      <c r="W901" s="536" t="s">
        <v>232</v>
      </c>
      <c r="X901" s="531" t="s">
        <v>232</v>
      </c>
      <c r="Y901" s="517" t="s">
        <v>232</v>
      </c>
      <c r="Z901" s="514">
        <v>0</v>
      </c>
      <c r="AA901" s="518">
        <v>1</v>
      </c>
      <c r="AB901" s="832" t="s">
        <v>232</v>
      </c>
      <c r="AC901" s="519" t="str">
        <f>""</f>
        <v/>
      </c>
      <c r="AD901" s="522">
        <v>1</v>
      </c>
      <c r="AE901" s="522" t="s">
        <v>236</v>
      </c>
      <c r="AF901" s="522" t="s">
        <v>237</v>
      </c>
      <c r="AG901" s="522">
        <v>1</v>
      </c>
      <c r="AH901" s="522">
        <v>11</v>
      </c>
      <c r="AI901" s="522">
        <v>0</v>
      </c>
      <c r="AJ901" s="520">
        <f>VLOOKUP($I901,'Price List, Weapons &amp; Items'!A:E,5,0)</f>
        <v>0</v>
      </c>
      <c r="AK901" s="520">
        <f t="shared" ref="AK901:AK967" si="202">IF(AND(AJ901=1,M901="undisclosed")=TRUE,1,0)</f>
        <v>0</v>
      </c>
      <c r="AL901" s="520">
        <f t="shared" ref="AL901:AL967" si="203">IF(AND(AJ901=1,N901="undisclosed")=TRUE,1,0)</f>
        <v>0</v>
      </c>
      <c r="AM901" s="520">
        <f t="shared" ref="AM901:AM967" si="204">IFERROR(IF(SEARCH("ammuni",I901,1)&gt;0,1,0),0)</f>
        <v>0</v>
      </c>
      <c r="AN901" s="521" t="str">
        <f>VLOOKUP($I901,'Price List, Weapons &amp; Items'!A:K,COLUMN('Price List, Weapons &amp; Items'!$I$1),0)</f>
        <v>.</v>
      </c>
      <c r="AO901" s="521" t="str">
        <f>IF(I901=".",".",VLOOKUP($I901,'Price List, Weapons &amp; Items'!A:I,3,0))</f>
        <v>Self-propelled anti-aircraft weapon</v>
      </c>
      <c r="AP901" s="517" t="str">
        <f t="shared" ca="1" si="199"/>
        <v>anti-aircraft gun</v>
      </c>
      <c r="AQ901" s="521">
        <f>VLOOKUP($I901,'Price List, Weapons &amp; Items'!A:K,COLUMN('Price List, Weapons &amp; Items'!$K$1),0)</f>
        <v>0</v>
      </c>
      <c r="AS901" s="521">
        <f t="shared" ref="AS901:AS967" si="205">IF(U901="Yes",1,0)</f>
        <v>1</v>
      </c>
      <c r="AT901" s="521">
        <f t="shared" ref="AT901:AT967" si="206">IF(OR((E901="Weapons"),(E901="Weapons and equipment"),(E901="Weapons and training"),(E901="Weapons and Assistance"),(E901="Military Equipment"))=FALSE,0,1)</f>
        <v>1</v>
      </c>
      <c r="AU901" s="521">
        <f t="shared" ref="AU901:AU967" si="207">IFERROR(IF(VALUE(TEXT(C901,"mm"))=AH901,".",1),"Value is not in date format")</f>
        <v>1</v>
      </c>
      <c r="AV901" s="521" t="str">
        <f t="shared" si="195"/>
        <v>.</v>
      </c>
    </row>
    <row r="902" spans="1:48" ht="15" customHeight="1">
      <c r="A902" s="41" t="s">
        <v>2527</v>
      </c>
      <c r="B902" s="41" t="s">
        <v>2392</v>
      </c>
      <c r="C902" s="511">
        <v>44593</v>
      </c>
      <c r="D902" s="18" t="s">
        <v>366</v>
      </c>
      <c r="E902" s="18" t="s">
        <v>330</v>
      </c>
      <c r="F902" s="512" t="s">
        <v>2528</v>
      </c>
      <c r="G902" s="39" t="s">
        <v>2394</v>
      </c>
      <c r="H902" s="513">
        <v>88000000</v>
      </c>
      <c r="I902" s="41" t="s">
        <v>232</v>
      </c>
      <c r="J902" s="276" t="str">
        <f>VLOOKUP($I902,'Price List, Weapons &amp; Items'!A:B,2,0)</f>
        <v>.</v>
      </c>
      <c r="K902" s="276" t="str">
        <f>IF(I902=".",I902,VLOOKUP($I902,'Price List, Weapons &amp; Items'!A:C,3,0))</f>
        <v>.</v>
      </c>
      <c r="L902" s="514">
        <f>VLOOKUP(I902,'Price List, Weapons &amp; Items'!A:D,4,0)</f>
        <v>0</v>
      </c>
      <c r="M902" s="515" t="s">
        <v>232</v>
      </c>
      <c r="N902" s="515" t="s">
        <v>232</v>
      </c>
      <c r="O902" s="516" t="str">
        <f>VLOOKUP($I902,'Price List, Weapons &amp; Items'!A:F,6,0)</f>
        <v>.</v>
      </c>
      <c r="P902" s="513" t="str">
        <f t="shared" si="200"/>
        <v>.</v>
      </c>
      <c r="Q902" s="513" t="str">
        <f t="shared" si="201"/>
        <v>.</v>
      </c>
      <c r="R902" s="513">
        <f t="shared" si="198"/>
        <v>88000000</v>
      </c>
      <c r="S902" s="513">
        <f>IF(AND(AD902=1,R902&lt;&gt;".")=TRUE,R902/VLOOKUP(G902,'Exchange rates'!B:C,2,0),IF(R902=".",".",""))</f>
        <v>101429230.05993545</v>
      </c>
      <c r="T902" s="513" t="str">
        <f>IF(AD902=1,IF(AF902="Value is not given at all",".",IF(AF902="Value is given by the source",S902,IF(AF902="Value is calculated with prices",(IF(SUMIFS(Q:Q,A:A,A902)&gt;0,SUMIFS(Q:Q,A:A,A902),"."))/VLOOKUP("USD",'Exchange rates'!B:C,2,0),"Error with coding"))),"")</f>
        <v>.</v>
      </c>
      <c r="U902" s="39" t="s">
        <v>233</v>
      </c>
      <c r="V902" s="42" t="s">
        <v>2424</v>
      </c>
      <c r="W902" s="512" t="s">
        <v>232</v>
      </c>
      <c r="X902" s="512" t="s">
        <v>232</v>
      </c>
      <c r="Y902" s="512" t="s">
        <v>232</v>
      </c>
      <c r="Z902" s="39">
        <v>0</v>
      </c>
      <c r="AA902" s="518">
        <v>0</v>
      </c>
      <c r="AB902" s="38" t="s">
        <v>232</v>
      </c>
      <c r="AC902" s="519" t="str">
        <f>""</f>
        <v/>
      </c>
      <c r="AD902" s="520">
        <v>1</v>
      </c>
      <c r="AE902" s="520" t="s">
        <v>236</v>
      </c>
      <c r="AF902" s="520" t="s">
        <v>237</v>
      </c>
      <c r="AG902" s="520">
        <v>1</v>
      </c>
      <c r="AH902" s="520">
        <v>2</v>
      </c>
      <c r="AI902" s="520">
        <v>1</v>
      </c>
      <c r="AJ902" s="520">
        <f>VLOOKUP($I902,'Price List, Weapons &amp; Items'!A:E,5,0)</f>
        <v>0</v>
      </c>
      <c r="AK902" s="520">
        <f t="shared" si="202"/>
        <v>0</v>
      </c>
      <c r="AL902" s="520">
        <f t="shared" si="203"/>
        <v>0</v>
      </c>
      <c r="AM902" s="520">
        <f t="shared" si="204"/>
        <v>0</v>
      </c>
      <c r="AN902" s="521" t="str">
        <f>VLOOKUP($I902,'Price List, Weapons &amp; Items'!A:K,COLUMN('Price List, Weapons &amp; Items'!$I$1),0)</f>
        <v>.</v>
      </c>
      <c r="AO902" s="521" t="str">
        <f>IF(I902=".",".",VLOOKUP($I902,'Price List, Weapons &amp; Items'!A:I,3,0))</f>
        <v>.</v>
      </c>
      <c r="AP902" s="517" t="str">
        <f t="shared" ca="1" si="199"/>
        <v>.</v>
      </c>
      <c r="AQ902" s="521" t="str">
        <f>VLOOKUP($I902,'Price List, Weapons &amp; Items'!A:K,COLUMN('Price List, Weapons &amp; Items'!$K$1),0)</f>
        <v>no price, 0 count</v>
      </c>
      <c r="AS902" s="521">
        <f t="shared" si="205"/>
        <v>1</v>
      </c>
      <c r="AT902" s="521">
        <f t="shared" si="206"/>
        <v>0</v>
      </c>
      <c r="AU902" s="521">
        <f t="shared" si="207"/>
        <v>1</v>
      </c>
      <c r="AV902" s="521" t="str">
        <f t="shared" ref="AV902:AV968" si="208">IF(AND(A902=A901,C902=C901)=TRUE,IF(F902=F901,".","1"),".")</f>
        <v>.</v>
      </c>
    </row>
    <row r="903" spans="1:48" ht="15" customHeight="1">
      <c r="A903" s="41" t="s">
        <v>2529</v>
      </c>
      <c r="B903" s="41" t="s">
        <v>2392</v>
      </c>
      <c r="C903" s="511">
        <v>44615</v>
      </c>
      <c r="D903" s="18" t="s">
        <v>366</v>
      </c>
      <c r="E903" s="18" t="s">
        <v>453</v>
      </c>
      <c r="F903" s="512" t="s">
        <v>2530</v>
      </c>
      <c r="G903" s="39" t="s">
        <v>2394</v>
      </c>
      <c r="H903" s="513">
        <v>500000000</v>
      </c>
      <c r="I903" s="41" t="s">
        <v>232</v>
      </c>
      <c r="J903" s="276" t="str">
        <f>VLOOKUP($I903,'Price List, Weapons &amp; Items'!A:B,2,0)</f>
        <v>.</v>
      </c>
      <c r="K903" s="276" t="str">
        <f>IF(I903=".",I903,VLOOKUP($I903,'Price List, Weapons &amp; Items'!A:C,3,0))</f>
        <v>.</v>
      </c>
      <c r="L903" s="514">
        <f>VLOOKUP(I903,'Price List, Weapons &amp; Items'!A:D,4,0)</f>
        <v>0</v>
      </c>
      <c r="M903" s="515" t="s">
        <v>232</v>
      </c>
      <c r="N903" s="515" t="s">
        <v>232</v>
      </c>
      <c r="O903" s="516" t="str">
        <f>VLOOKUP($I903,'Price List, Weapons &amp; Items'!A:F,6,0)</f>
        <v>.</v>
      </c>
      <c r="P903" s="513" t="str">
        <f t="shared" si="200"/>
        <v>.</v>
      </c>
      <c r="Q903" s="513" t="str">
        <f t="shared" si="201"/>
        <v>.</v>
      </c>
      <c r="R903" s="513">
        <f t="shared" si="198"/>
        <v>500000000</v>
      </c>
      <c r="S903" s="513">
        <f>IF(AND(AD903=1,R903&lt;&gt;".")=TRUE,R903/VLOOKUP(G903,'Exchange rates'!B:C,2,0),IF(R903=".",".",""))</f>
        <v>576302443.52236056</v>
      </c>
      <c r="T903" s="513" t="str">
        <f>IF(AD903=1,IF(AF903="Value is not given at all",".",IF(AF903="Value is given by the source",S903,IF(AF903="Value is calculated with prices",(IF(SUMIFS(Q:Q,A:A,A903)&gt;0,SUMIFS(Q:Q,A:A,A903),"."))/VLOOKUP("USD",'Exchange rates'!B:C,2,0),"Error with coding"))),"")</f>
        <v>.</v>
      </c>
      <c r="U903" s="39" t="s">
        <v>233</v>
      </c>
      <c r="V903" s="42" t="s">
        <v>2399</v>
      </c>
      <c r="W903" s="512" t="s">
        <v>232</v>
      </c>
      <c r="X903" s="512" t="s">
        <v>232</v>
      </c>
      <c r="Y903" s="512" t="s">
        <v>232</v>
      </c>
      <c r="Z903" s="39">
        <v>0</v>
      </c>
      <c r="AA903" s="518">
        <v>0</v>
      </c>
      <c r="AB903" s="38" t="s">
        <v>232</v>
      </c>
      <c r="AC903" s="519" t="str">
        <f>""</f>
        <v/>
      </c>
      <c r="AD903" s="520">
        <v>1</v>
      </c>
      <c r="AE903" s="520" t="s">
        <v>236</v>
      </c>
      <c r="AF903" s="520" t="s">
        <v>237</v>
      </c>
      <c r="AG903" s="520">
        <v>1</v>
      </c>
      <c r="AH903" s="520">
        <v>2</v>
      </c>
      <c r="AI903" s="520">
        <v>1</v>
      </c>
      <c r="AJ903" s="520">
        <f>VLOOKUP($I903,'Price List, Weapons &amp; Items'!A:E,5,0)</f>
        <v>0</v>
      </c>
      <c r="AK903" s="520">
        <f t="shared" si="202"/>
        <v>0</v>
      </c>
      <c r="AL903" s="520">
        <f t="shared" si="203"/>
        <v>0</v>
      </c>
      <c r="AM903" s="520">
        <f t="shared" si="204"/>
        <v>0</v>
      </c>
      <c r="AN903" s="521" t="str">
        <f>VLOOKUP($I903,'Price List, Weapons &amp; Items'!A:K,COLUMN('Price List, Weapons &amp; Items'!$I$1),0)</f>
        <v>.</v>
      </c>
      <c r="AO903" s="521" t="str">
        <f>IF(I903=".",".",VLOOKUP($I903,'Price List, Weapons &amp; Items'!A:I,3,0))</f>
        <v>.</v>
      </c>
      <c r="AP903" s="517" t="str">
        <f t="shared" ca="1" si="199"/>
        <v>.</v>
      </c>
      <c r="AQ903" s="521" t="str">
        <f>VLOOKUP($I903,'Price List, Weapons &amp; Items'!A:K,COLUMN('Price List, Weapons &amp; Items'!$K$1),0)</f>
        <v>no price, 0 count</v>
      </c>
      <c r="AS903" s="521">
        <f t="shared" si="205"/>
        <v>1</v>
      </c>
      <c r="AT903" s="521">
        <f t="shared" si="206"/>
        <v>0</v>
      </c>
      <c r="AU903" s="521">
        <f t="shared" si="207"/>
        <v>1</v>
      </c>
      <c r="AV903" s="521" t="str">
        <f t="shared" si="208"/>
        <v>.</v>
      </c>
    </row>
    <row r="904" spans="1:48" ht="15" customHeight="1">
      <c r="A904" s="41" t="s">
        <v>2531</v>
      </c>
      <c r="B904" s="41" t="s">
        <v>2392</v>
      </c>
      <c r="C904" s="511">
        <v>44627</v>
      </c>
      <c r="D904" s="18" t="s">
        <v>366</v>
      </c>
      <c r="E904" s="18" t="s">
        <v>330</v>
      </c>
      <c r="F904" s="512" t="s">
        <v>2532</v>
      </c>
      <c r="G904" s="39" t="s">
        <v>2394</v>
      </c>
      <c r="H904" s="513">
        <v>74000000</v>
      </c>
      <c r="I904" s="41" t="s">
        <v>232</v>
      </c>
      <c r="J904" s="276" t="str">
        <f>VLOOKUP($I904,'Price List, Weapons &amp; Items'!A:B,2,0)</f>
        <v>.</v>
      </c>
      <c r="K904" s="276" t="str">
        <f>IF(I904=".",I904,VLOOKUP($I904,'Price List, Weapons &amp; Items'!A:C,3,0))</f>
        <v>.</v>
      </c>
      <c r="L904" s="514">
        <f>VLOOKUP(I904,'Price List, Weapons &amp; Items'!A:D,4,0)</f>
        <v>0</v>
      </c>
      <c r="M904" s="515" t="s">
        <v>232</v>
      </c>
      <c r="N904" s="515" t="s">
        <v>232</v>
      </c>
      <c r="O904" s="516" t="str">
        <f>VLOOKUP($I904,'Price List, Weapons &amp; Items'!A:F,6,0)</f>
        <v>.</v>
      </c>
      <c r="P904" s="513" t="str">
        <f t="shared" si="200"/>
        <v>.</v>
      </c>
      <c r="Q904" s="513" t="str">
        <f t="shared" si="201"/>
        <v>.</v>
      </c>
      <c r="R904" s="513">
        <f t="shared" si="198"/>
        <v>74000000</v>
      </c>
      <c r="S904" s="513">
        <f>IF(AND(AD904=1,R904&lt;&gt;".")=TRUE,R904/VLOOKUP(G904,'Exchange rates'!B:C,2,0),IF(R904=".",".",""))</f>
        <v>85292761.641309351</v>
      </c>
      <c r="T904" s="513" t="str">
        <f>IF(AD904=1,IF(AF904="Value is not given at all",".",IF(AF904="Value is given by the source",S904,IF(AF904="Value is calculated with prices",(IF(SUMIFS(Q:Q,A:A,A904)&gt;0,SUMIFS(Q:Q,A:A,A904),"."))/VLOOKUP("USD",'Exchange rates'!B:C,2,0),"Error with coding"))),"")</f>
        <v>.</v>
      </c>
      <c r="U904" s="39" t="s">
        <v>233</v>
      </c>
      <c r="V904" s="42" t="s">
        <v>833</v>
      </c>
      <c r="W904" s="42" t="s">
        <v>2533</v>
      </c>
      <c r="X904" s="512" t="s">
        <v>232</v>
      </c>
      <c r="Y904" s="512" t="s">
        <v>232</v>
      </c>
      <c r="Z904" s="39">
        <v>1</v>
      </c>
      <c r="AA904" s="518">
        <v>0</v>
      </c>
      <c r="AB904" s="38" t="s">
        <v>232</v>
      </c>
      <c r="AC904" s="519" t="str">
        <f>""</f>
        <v/>
      </c>
      <c r="AD904" s="520">
        <v>1</v>
      </c>
      <c r="AE904" s="520" t="s">
        <v>236</v>
      </c>
      <c r="AF904" s="520" t="s">
        <v>237</v>
      </c>
      <c r="AG904" s="520">
        <v>1</v>
      </c>
      <c r="AH904" s="520">
        <v>3</v>
      </c>
      <c r="AI904" s="520">
        <v>0</v>
      </c>
      <c r="AJ904" s="520">
        <f>VLOOKUP($I904,'Price List, Weapons &amp; Items'!A:E,5,0)</f>
        <v>0</v>
      </c>
      <c r="AK904" s="520">
        <f t="shared" si="202"/>
        <v>0</v>
      </c>
      <c r="AL904" s="520">
        <f t="shared" si="203"/>
        <v>0</v>
      </c>
      <c r="AM904" s="520">
        <f t="shared" si="204"/>
        <v>0</v>
      </c>
      <c r="AN904" s="521" t="str">
        <f>VLOOKUP($I904,'Price List, Weapons &amp; Items'!A:K,COLUMN('Price List, Weapons &amp; Items'!$I$1),0)</f>
        <v>.</v>
      </c>
      <c r="AO904" s="521" t="str">
        <f>IF(I904=".",".",VLOOKUP($I904,'Price List, Weapons &amp; Items'!A:I,3,0))</f>
        <v>.</v>
      </c>
      <c r="AP904" s="517" t="str">
        <f t="shared" ca="1" si="199"/>
        <v>.</v>
      </c>
      <c r="AQ904" s="521" t="str">
        <f>VLOOKUP($I904,'Price List, Weapons &amp; Items'!A:K,COLUMN('Price List, Weapons &amp; Items'!$K$1),0)</f>
        <v>no price, 0 count</v>
      </c>
      <c r="AS904" s="521">
        <f t="shared" si="205"/>
        <v>1</v>
      </c>
      <c r="AT904" s="521">
        <f t="shared" si="206"/>
        <v>0</v>
      </c>
      <c r="AU904" s="521">
        <f t="shared" si="207"/>
        <v>1</v>
      </c>
      <c r="AV904" s="521" t="str">
        <f t="shared" si="208"/>
        <v>.</v>
      </c>
    </row>
    <row r="905" spans="1:48" ht="15" customHeight="1">
      <c r="A905" s="41" t="s">
        <v>2534</v>
      </c>
      <c r="B905" s="41" t="s">
        <v>2392</v>
      </c>
      <c r="C905" s="511">
        <v>44644</v>
      </c>
      <c r="D905" s="18" t="s">
        <v>366</v>
      </c>
      <c r="E905" s="18" t="s">
        <v>330</v>
      </c>
      <c r="F905" s="512" t="s">
        <v>2535</v>
      </c>
      <c r="G905" s="39" t="s">
        <v>2394</v>
      </c>
      <c r="H905" s="513">
        <v>29100000</v>
      </c>
      <c r="I905" s="41" t="s">
        <v>232</v>
      </c>
      <c r="J905" s="276" t="str">
        <f>VLOOKUP($I905,'Price List, Weapons &amp; Items'!A:B,2,0)</f>
        <v>.</v>
      </c>
      <c r="K905" s="276" t="str">
        <f>IF(I905=".",I905,VLOOKUP($I905,'Price List, Weapons &amp; Items'!A:C,3,0))</f>
        <v>.</v>
      </c>
      <c r="L905" s="514">
        <f>VLOOKUP(I905,'Price List, Weapons &amp; Items'!A:D,4,0)</f>
        <v>0</v>
      </c>
      <c r="M905" s="515" t="s">
        <v>232</v>
      </c>
      <c r="N905" s="515" t="s">
        <v>232</v>
      </c>
      <c r="O905" s="516" t="str">
        <f>VLOOKUP($I905,'Price List, Weapons &amp; Items'!A:F,6,0)</f>
        <v>.</v>
      </c>
      <c r="P905" s="513" t="str">
        <f t="shared" si="200"/>
        <v>.</v>
      </c>
      <c r="Q905" s="513" t="str">
        <f t="shared" si="201"/>
        <v>.</v>
      </c>
      <c r="R905" s="513">
        <f t="shared" si="198"/>
        <v>29100000</v>
      </c>
      <c r="S905" s="513">
        <f>IF(AND(AD905=1,R905&lt;&gt;".")=TRUE,R905/VLOOKUP(G905,'Exchange rates'!B:C,2,0),IF(R905=".",".",""))</f>
        <v>33540802.213001382</v>
      </c>
      <c r="T905" s="513" t="str">
        <f>IF(AD905=1,IF(AF905="Value is not given at all",".",IF(AF905="Value is given by the source",S905,IF(AF905="Value is calculated with prices",(IF(SUMIFS(Q:Q,A:A,A905)&gt;0,SUMIFS(Q:Q,A:A,A905),"."))/VLOOKUP("USD",'Exchange rates'!B:C,2,0),"Error with coding"))),"")</f>
        <v>.</v>
      </c>
      <c r="U905" s="39" t="s">
        <v>233</v>
      </c>
      <c r="V905" s="42" t="s">
        <v>2445</v>
      </c>
      <c r="W905" s="42" t="s">
        <v>2439</v>
      </c>
      <c r="X905" s="42" t="s">
        <v>2536</v>
      </c>
      <c r="Y905" s="512" t="s">
        <v>232</v>
      </c>
      <c r="Z905" s="39">
        <v>0</v>
      </c>
      <c r="AA905" s="518">
        <v>0</v>
      </c>
      <c r="AB905" s="38" t="s">
        <v>232</v>
      </c>
      <c r="AC905" s="519" t="str">
        <f>""</f>
        <v/>
      </c>
      <c r="AD905" s="520">
        <v>1</v>
      </c>
      <c r="AE905" s="520" t="s">
        <v>236</v>
      </c>
      <c r="AF905" s="520" t="s">
        <v>237</v>
      </c>
      <c r="AG905" s="520">
        <v>1</v>
      </c>
      <c r="AH905" s="520">
        <v>3</v>
      </c>
      <c r="AI905" s="520">
        <v>0</v>
      </c>
      <c r="AJ905" s="520">
        <f>VLOOKUP($I905,'Price List, Weapons &amp; Items'!A:E,5,0)</f>
        <v>0</v>
      </c>
      <c r="AK905" s="520">
        <f t="shared" si="202"/>
        <v>0</v>
      </c>
      <c r="AL905" s="520">
        <f t="shared" si="203"/>
        <v>0</v>
      </c>
      <c r="AM905" s="520">
        <f t="shared" si="204"/>
        <v>0</v>
      </c>
      <c r="AN905" s="521" t="str">
        <f>VLOOKUP($I905,'Price List, Weapons &amp; Items'!A:K,COLUMN('Price List, Weapons &amp; Items'!$I$1),0)</f>
        <v>.</v>
      </c>
      <c r="AO905" s="521" t="str">
        <f>IF(I905=".",".",VLOOKUP($I905,'Price List, Weapons &amp; Items'!A:I,3,0))</f>
        <v>.</v>
      </c>
      <c r="AP905" s="517" t="str">
        <f t="shared" ca="1" si="199"/>
        <v>.</v>
      </c>
      <c r="AQ905" s="521" t="str">
        <f>VLOOKUP($I905,'Price List, Weapons &amp; Items'!A:K,COLUMN('Price List, Weapons &amp; Items'!$K$1),0)</f>
        <v>no price, 0 count</v>
      </c>
      <c r="AS905" s="521">
        <f t="shared" si="205"/>
        <v>1</v>
      </c>
      <c r="AT905" s="521">
        <f t="shared" si="206"/>
        <v>0</v>
      </c>
      <c r="AU905" s="521">
        <f t="shared" si="207"/>
        <v>1</v>
      </c>
      <c r="AV905" s="521" t="str">
        <f t="shared" si="208"/>
        <v>.</v>
      </c>
    </row>
    <row r="906" spans="1:48" ht="15" customHeight="1">
      <c r="A906" s="41" t="s">
        <v>2537</v>
      </c>
      <c r="B906" s="41" t="s">
        <v>2392</v>
      </c>
      <c r="C906" s="511">
        <v>44673</v>
      </c>
      <c r="D906" s="18" t="s">
        <v>366</v>
      </c>
      <c r="E906" s="18" t="s">
        <v>344</v>
      </c>
      <c r="F906" s="512" t="s">
        <v>2538</v>
      </c>
      <c r="G906" s="39" t="s">
        <v>2394</v>
      </c>
      <c r="H906" s="513">
        <v>730000000</v>
      </c>
      <c r="I906" s="41" t="s">
        <v>232</v>
      </c>
      <c r="J906" s="276" t="str">
        <f>VLOOKUP($I906,'Price List, Weapons &amp; Items'!A:B,2,0)</f>
        <v>.</v>
      </c>
      <c r="K906" s="276" t="str">
        <f>IF(I906=".",I906,VLOOKUP($I906,'Price List, Weapons &amp; Items'!A:C,3,0))</f>
        <v>.</v>
      </c>
      <c r="L906" s="514">
        <f>VLOOKUP(I906,'Price List, Weapons &amp; Items'!A:D,4,0)</f>
        <v>0</v>
      </c>
      <c r="M906" s="515" t="s">
        <v>232</v>
      </c>
      <c r="N906" s="515" t="s">
        <v>232</v>
      </c>
      <c r="O906" s="516" t="str">
        <f>VLOOKUP($I906,'Price List, Weapons &amp; Items'!A:F,6,0)</f>
        <v>.</v>
      </c>
      <c r="P906" s="513" t="str">
        <f t="shared" si="200"/>
        <v>.</v>
      </c>
      <c r="Q906" s="513" t="str">
        <f t="shared" si="201"/>
        <v>.</v>
      </c>
      <c r="R906" s="513">
        <f t="shared" si="198"/>
        <v>730000000</v>
      </c>
      <c r="S906" s="513">
        <f>IF(AND(AD906=1,R906&lt;&gt;".")=TRUE,R906/VLOOKUP(G906,'Exchange rates'!B:C,2,0),IF(R906=".",".",""))</f>
        <v>841401567.54264629</v>
      </c>
      <c r="T906" s="513" t="str">
        <f>IF(AD906=1,IF(AF906="Value is not given at all",".",IF(AF906="Value is given by the source",S906,IF(AF906="Value is calculated with prices",(IF(SUMIFS(Q:Q,A:A,A906)&gt;0,SUMIFS(Q:Q,A:A,A906),"."))/VLOOKUP("USD",'Exchange rates'!B:C,2,0),"Error with coding"))),"")</f>
        <v>.</v>
      </c>
      <c r="U906" s="39" t="s">
        <v>233</v>
      </c>
      <c r="V906" s="42" t="s">
        <v>2533</v>
      </c>
      <c r="W906" s="512" t="s">
        <v>232</v>
      </c>
      <c r="X906" s="512" t="s">
        <v>232</v>
      </c>
      <c r="Y906" s="512" t="s">
        <v>232</v>
      </c>
      <c r="Z906" s="39">
        <v>1</v>
      </c>
      <c r="AA906" s="518">
        <v>0</v>
      </c>
      <c r="AB906" s="38" t="s">
        <v>232</v>
      </c>
      <c r="AC906" s="519" t="str">
        <f>""</f>
        <v/>
      </c>
      <c r="AD906" s="520">
        <v>1</v>
      </c>
      <c r="AE906" s="520" t="s">
        <v>236</v>
      </c>
      <c r="AF906" s="520" t="s">
        <v>237</v>
      </c>
      <c r="AG906" s="520">
        <v>1</v>
      </c>
      <c r="AH906" s="520">
        <v>4</v>
      </c>
      <c r="AI906" s="520">
        <v>0</v>
      </c>
      <c r="AJ906" s="520">
        <f>VLOOKUP($I906,'Price List, Weapons &amp; Items'!A:E,5,0)</f>
        <v>0</v>
      </c>
      <c r="AK906" s="520">
        <f t="shared" si="202"/>
        <v>0</v>
      </c>
      <c r="AL906" s="520">
        <f t="shared" si="203"/>
        <v>0</v>
      </c>
      <c r="AM906" s="520">
        <f t="shared" si="204"/>
        <v>0</v>
      </c>
      <c r="AN906" s="521" t="str">
        <f>VLOOKUP($I906,'Price List, Weapons &amp; Items'!A:K,COLUMN('Price List, Weapons &amp; Items'!$I$1),0)</f>
        <v>.</v>
      </c>
      <c r="AO906" s="521" t="str">
        <f>IF(I906=".",".",VLOOKUP($I906,'Price List, Weapons &amp; Items'!A:I,3,0))</f>
        <v>.</v>
      </c>
      <c r="AP906" s="517" t="str">
        <f t="shared" ca="1" si="199"/>
        <v>.</v>
      </c>
      <c r="AQ906" s="521" t="str">
        <f>VLOOKUP($I906,'Price List, Weapons &amp; Items'!A:K,COLUMN('Price List, Weapons &amp; Items'!$K$1),0)</f>
        <v>no price, 0 count</v>
      </c>
      <c r="AS906" s="521">
        <f t="shared" si="205"/>
        <v>1</v>
      </c>
      <c r="AT906" s="521">
        <f t="shared" si="206"/>
        <v>0</v>
      </c>
      <c r="AU906" s="521">
        <f t="shared" si="207"/>
        <v>1</v>
      </c>
      <c r="AV906" s="521" t="str">
        <f t="shared" si="208"/>
        <v>.</v>
      </c>
    </row>
    <row r="907" spans="1:48" ht="15" customHeight="1">
      <c r="A907" s="41" t="s">
        <v>2539</v>
      </c>
      <c r="B907" s="41" t="s">
        <v>2392</v>
      </c>
      <c r="C907" s="511">
        <v>44673</v>
      </c>
      <c r="D907" s="18" t="s">
        <v>366</v>
      </c>
      <c r="E907" s="18" t="s">
        <v>330</v>
      </c>
      <c r="F907" s="512" t="s">
        <v>2540</v>
      </c>
      <c r="G907" s="39" t="s">
        <v>2394</v>
      </c>
      <c r="H907" s="513">
        <v>320000000</v>
      </c>
      <c r="I907" s="41" t="s">
        <v>232</v>
      </c>
      <c r="J907" s="276" t="str">
        <f>VLOOKUP($I907,'Price List, Weapons &amp; Items'!A:B,2,0)</f>
        <v>.</v>
      </c>
      <c r="K907" s="276" t="str">
        <f>IF(I907=".",I907,VLOOKUP($I907,'Price List, Weapons &amp; Items'!A:C,3,0))</f>
        <v>.</v>
      </c>
      <c r="L907" s="514">
        <f>VLOOKUP(I907,'Price List, Weapons &amp; Items'!A:D,4,0)</f>
        <v>0</v>
      </c>
      <c r="M907" s="515" t="s">
        <v>232</v>
      </c>
      <c r="N907" s="515" t="s">
        <v>232</v>
      </c>
      <c r="O907" s="516" t="str">
        <f>VLOOKUP($I907,'Price List, Weapons &amp; Items'!A:F,6,0)</f>
        <v>.</v>
      </c>
      <c r="P907" s="513" t="str">
        <f t="shared" si="200"/>
        <v>.</v>
      </c>
      <c r="Q907" s="513" t="str">
        <f t="shared" si="201"/>
        <v>.</v>
      </c>
      <c r="R907" s="513">
        <f t="shared" si="198"/>
        <v>320000000</v>
      </c>
      <c r="S907" s="513">
        <f>IF(AND(AD907=1,R907&lt;&gt;".")=TRUE,R907/VLOOKUP(G907,'Exchange rates'!B:C,2,0),IF(R907=".",".",""))</f>
        <v>368833563.85431075</v>
      </c>
      <c r="T907" s="513" t="str">
        <f>IF(AD907=1,IF(AF907="Value is not given at all",".",IF(AF907="Value is given by the source",S907,IF(AF907="Value is calculated with prices",(IF(SUMIFS(Q:Q,A:A,A907)&gt;0,SUMIFS(Q:Q,A:A,A907),"."))/VLOOKUP("USD",'Exchange rates'!B:C,2,0),"Error with coding"))),"")</f>
        <v>.</v>
      </c>
      <c r="U907" s="39" t="s">
        <v>233</v>
      </c>
      <c r="V907" s="42" t="s">
        <v>2533</v>
      </c>
      <c r="W907" s="512" t="s">
        <v>232</v>
      </c>
      <c r="X907" s="512" t="s">
        <v>232</v>
      </c>
      <c r="Y907" s="512" t="s">
        <v>232</v>
      </c>
      <c r="Z907" s="39">
        <v>0</v>
      </c>
      <c r="AA907" s="518">
        <v>0</v>
      </c>
      <c r="AB907" s="38" t="s">
        <v>232</v>
      </c>
      <c r="AC907" s="519" t="str">
        <f>""</f>
        <v/>
      </c>
      <c r="AD907" s="520">
        <v>1</v>
      </c>
      <c r="AE907" s="520" t="s">
        <v>236</v>
      </c>
      <c r="AF907" s="520" t="s">
        <v>237</v>
      </c>
      <c r="AG907" s="520">
        <v>1</v>
      </c>
      <c r="AH907" s="520">
        <v>4</v>
      </c>
      <c r="AI907" s="520">
        <v>0</v>
      </c>
      <c r="AJ907" s="520">
        <f>VLOOKUP($I907,'Price List, Weapons &amp; Items'!A:E,5,0)</f>
        <v>0</v>
      </c>
      <c r="AK907" s="520">
        <f t="shared" si="202"/>
        <v>0</v>
      </c>
      <c r="AL907" s="520">
        <f t="shared" si="203"/>
        <v>0</v>
      </c>
      <c r="AM907" s="520">
        <f t="shared" si="204"/>
        <v>0</v>
      </c>
      <c r="AN907" s="521" t="str">
        <f>VLOOKUP($I907,'Price List, Weapons &amp; Items'!A:K,COLUMN('Price List, Weapons &amp; Items'!$I$1),0)</f>
        <v>.</v>
      </c>
      <c r="AO907" s="521" t="str">
        <f>IF(I907=".",".",VLOOKUP($I907,'Price List, Weapons &amp; Items'!A:I,3,0))</f>
        <v>.</v>
      </c>
      <c r="AP907" s="517" t="str">
        <f t="shared" ca="1" si="199"/>
        <v>.</v>
      </c>
      <c r="AQ907" s="521" t="str">
        <f>VLOOKUP($I907,'Price List, Weapons &amp; Items'!A:K,COLUMN('Price List, Weapons &amp; Items'!$K$1),0)</f>
        <v>no price, 0 count</v>
      </c>
      <c r="AS907" s="521">
        <f t="shared" si="205"/>
        <v>1</v>
      </c>
      <c r="AT907" s="521">
        <f t="shared" si="206"/>
        <v>0</v>
      </c>
      <c r="AU907" s="521">
        <f t="shared" si="207"/>
        <v>1</v>
      </c>
      <c r="AV907" s="521" t="str">
        <f t="shared" si="208"/>
        <v>.</v>
      </c>
    </row>
    <row r="908" spans="1:48" s="41" customFormat="1" ht="15" customHeight="1">
      <c r="A908" s="41" t="s">
        <v>2541</v>
      </c>
      <c r="B908" s="41" t="s">
        <v>2392</v>
      </c>
      <c r="C908" s="511">
        <v>44700</v>
      </c>
      <c r="D908" s="18" t="s">
        <v>366</v>
      </c>
      <c r="E908" s="18" t="s">
        <v>330</v>
      </c>
      <c r="F908" s="512" t="s">
        <v>2542</v>
      </c>
      <c r="G908" s="39" t="s">
        <v>314</v>
      </c>
      <c r="H908" s="513">
        <v>50000000</v>
      </c>
      <c r="I908" s="41" t="s">
        <v>232</v>
      </c>
      <c r="J908" s="276" t="str">
        <f>VLOOKUP($I908,'Price List, Weapons &amp; Items'!A:B,2,0)</f>
        <v>.</v>
      </c>
      <c r="K908" s="276" t="str">
        <f>IF(I908=".",I908,VLOOKUP($I908,'Price List, Weapons &amp; Items'!A:C,3,0))</f>
        <v>.</v>
      </c>
      <c r="L908" s="514">
        <f>VLOOKUP(I908,'Price List, Weapons &amp; Items'!A:D,4,0)</f>
        <v>0</v>
      </c>
      <c r="M908" s="515" t="s">
        <v>232</v>
      </c>
      <c r="N908" s="515" t="s">
        <v>232</v>
      </c>
      <c r="O908" s="516" t="str">
        <f>VLOOKUP($I908,'Price List, Weapons &amp; Items'!A:F,6,0)</f>
        <v>.</v>
      </c>
      <c r="P908" s="513" t="str">
        <f t="shared" si="200"/>
        <v>.</v>
      </c>
      <c r="Q908" s="513" t="str">
        <f t="shared" si="201"/>
        <v>.</v>
      </c>
      <c r="R908" s="513">
        <f t="shared" si="198"/>
        <v>50000000</v>
      </c>
      <c r="S908" s="513">
        <f>IF(AND(AD908=1,R908&lt;&gt;".")=TRUE,R908/VLOOKUP(G908,'Exchange rates'!B:C,2,0),IF(R908=".",".",""))</f>
        <v>49825610.363726951</v>
      </c>
      <c r="T908" s="513" t="str">
        <f>IF(AD908=1,IF(AF908="Value is not given at all",".",IF(AF908="Value is given by the source",S908,IF(AF908="Value is calculated with prices",(IF(SUMIFS(Q:Q,A:A,A908)&gt;0,SUMIFS(Q:Q,A:A,A908),"."))/VLOOKUP("USD",'Exchange rates'!B:C,2,0),"Error with coding"))),"")</f>
        <v>.</v>
      </c>
      <c r="U908" s="39" t="s">
        <v>372</v>
      </c>
      <c r="V908" s="42" t="s">
        <v>2543</v>
      </c>
      <c r="W908" s="512" t="s">
        <v>232</v>
      </c>
      <c r="X908" s="512" t="s">
        <v>232</v>
      </c>
      <c r="Y908" s="512" t="s">
        <v>232</v>
      </c>
      <c r="Z908" s="39">
        <v>0</v>
      </c>
      <c r="AA908" s="39">
        <v>0</v>
      </c>
      <c r="AB908" s="41" t="s">
        <v>232</v>
      </c>
      <c r="AC908" s="519" t="str">
        <f>""</f>
        <v/>
      </c>
      <c r="AD908" s="522">
        <v>1</v>
      </c>
      <c r="AE908" s="522" t="s">
        <v>236</v>
      </c>
      <c r="AF908" s="522" t="s">
        <v>237</v>
      </c>
      <c r="AG908" s="522">
        <v>1</v>
      </c>
      <c r="AH908" s="520">
        <v>5</v>
      </c>
      <c r="AI908" s="520">
        <v>0</v>
      </c>
      <c r="AJ908" s="520">
        <f>VLOOKUP($I908,'Price List, Weapons &amp; Items'!A:E,5,0)</f>
        <v>0</v>
      </c>
      <c r="AK908" s="520">
        <f t="shared" si="202"/>
        <v>0</v>
      </c>
      <c r="AL908" s="520">
        <f t="shared" si="203"/>
        <v>0</v>
      </c>
      <c r="AM908" s="520">
        <f t="shared" si="204"/>
        <v>0</v>
      </c>
      <c r="AN908" s="521" t="str">
        <f>VLOOKUP($I908,'Price List, Weapons &amp; Items'!A:K,COLUMN('Price List, Weapons &amp; Items'!$I$1),0)</f>
        <v>.</v>
      </c>
      <c r="AO908" s="521" t="str">
        <f>IF(I908=".",".",VLOOKUP($I908,'Price List, Weapons &amp; Items'!A:I,3,0))</f>
        <v>.</v>
      </c>
      <c r="AP908" s="517" t="str">
        <f t="shared" ca="1" si="199"/>
        <v>.</v>
      </c>
      <c r="AQ908" s="521" t="str">
        <f>VLOOKUP($I908,'Price List, Weapons &amp; Items'!A:K,COLUMN('Price List, Weapons &amp; Items'!$K$1),0)</f>
        <v>no price, 0 count</v>
      </c>
      <c r="AS908" s="521">
        <f t="shared" si="205"/>
        <v>0</v>
      </c>
      <c r="AT908" s="521">
        <f t="shared" si="206"/>
        <v>0</v>
      </c>
      <c r="AU908" s="521">
        <f t="shared" si="207"/>
        <v>1</v>
      </c>
      <c r="AV908" s="521" t="str">
        <f t="shared" si="208"/>
        <v>.</v>
      </c>
    </row>
    <row r="909" spans="1:48" s="41" customFormat="1" ht="15" customHeight="1">
      <c r="A909" s="41" t="s">
        <v>2544</v>
      </c>
      <c r="B909" s="41" t="s">
        <v>2392</v>
      </c>
      <c r="C909" s="511">
        <v>44834</v>
      </c>
      <c r="D909" s="18" t="s">
        <v>366</v>
      </c>
      <c r="E909" s="18" t="s">
        <v>344</v>
      </c>
      <c r="F909" s="512" t="s">
        <v>2545</v>
      </c>
      <c r="G909" s="39" t="s">
        <v>314</v>
      </c>
      <c r="H909" s="513">
        <v>500000000</v>
      </c>
      <c r="I909" s="41" t="s">
        <v>232</v>
      </c>
      <c r="J909" s="276" t="str">
        <f>VLOOKUP($I909,'Price List, Weapons &amp; Items'!A:B,2,0)</f>
        <v>.</v>
      </c>
      <c r="K909" s="276" t="str">
        <f>IF(I909=".",I909,VLOOKUP($I909,'Price List, Weapons &amp; Items'!A:C,3,0))</f>
        <v>.</v>
      </c>
      <c r="L909" s="514">
        <f>VLOOKUP(I909,'Price List, Weapons &amp; Items'!A:D,4,0)</f>
        <v>0</v>
      </c>
      <c r="M909" s="515" t="s">
        <v>232</v>
      </c>
      <c r="N909" s="515" t="s">
        <v>232</v>
      </c>
      <c r="O909" s="516" t="str">
        <f>VLOOKUP($I909,'Price List, Weapons &amp; Items'!A:F,6,0)</f>
        <v>.</v>
      </c>
      <c r="P909" s="513" t="str">
        <f t="shared" si="200"/>
        <v>.</v>
      </c>
      <c r="Q909" s="513" t="str">
        <f t="shared" si="201"/>
        <v>.</v>
      </c>
      <c r="R909" s="513">
        <f t="shared" si="198"/>
        <v>500000000</v>
      </c>
      <c r="S909" s="513">
        <f>IF(AND(AD909=1,R909&lt;&gt;".")=TRUE,R909/VLOOKUP(G909,'Exchange rates'!B:C,2,0),IF(R909=".",".",""))</f>
        <v>498256103.63726956</v>
      </c>
      <c r="T909" s="513" t="str">
        <f>IF(AD909=1,IF(AF909="Value is not given at all",".",IF(AF909="Value is given by the source",S909,IF(AF909="Value is calculated with prices",(IF(SUMIFS(Q:Q,A:A,A909)&gt;0,SUMIFS(Q:Q,A:A,A909),"."))/VLOOKUP("USD",'Exchange rates'!B:C,2,0),"Error with coding"))),"")</f>
        <v>.</v>
      </c>
      <c r="U909" s="39" t="s">
        <v>233</v>
      </c>
      <c r="V909" s="42" t="s">
        <v>837</v>
      </c>
      <c r="W909" s="825" t="s">
        <v>2546</v>
      </c>
      <c r="X909" s="512" t="s">
        <v>232</v>
      </c>
      <c r="Y909" s="512" t="s">
        <v>232</v>
      </c>
      <c r="Z909" s="39">
        <v>1</v>
      </c>
      <c r="AA909" s="39">
        <v>0</v>
      </c>
      <c r="AB909" s="41" t="s">
        <v>232</v>
      </c>
      <c r="AC909" s="519" t="str">
        <f>""</f>
        <v/>
      </c>
      <c r="AD909" s="522">
        <v>1</v>
      </c>
      <c r="AE909" s="522" t="s">
        <v>236</v>
      </c>
      <c r="AF909" s="522" t="s">
        <v>237</v>
      </c>
      <c r="AG909" s="522">
        <v>1</v>
      </c>
      <c r="AH909" s="520">
        <v>9</v>
      </c>
      <c r="AI909" s="520">
        <v>0</v>
      </c>
      <c r="AJ909" s="520">
        <f>VLOOKUP($I909,'Price List, Weapons &amp; Items'!A:E,5,0)</f>
        <v>0</v>
      </c>
      <c r="AK909" s="520">
        <f t="shared" si="202"/>
        <v>0</v>
      </c>
      <c r="AL909" s="520">
        <f t="shared" si="203"/>
        <v>0</v>
      </c>
      <c r="AM909" s="520">
        <f t="shared" si="204"/>
        <v>0</v>
      </c>
      <c r="AN909" s="521" t="str">
        <f>VLOOKUP($I909,'Price List, Weapons &amp; Items'!A:K,COLUMN('Price List, Weapons &amp; Items'!$I$1),0)</f>
        <v>.</v>
      </c>
      <c r="AO909" s="521" t="str">
        <f>IF(I909=".",".",VLOOKUP($I909,'Price List, Weapons &amp; Items'!A:I,3,0))</f>
        <v>.</v>
      </c>
      <c r="AP909" s="517" t="str">
        <f t="shared" ca="1" si="199"/>
        <v>.</v>
      </c>
      <c r="AQ909" s="521" t="str">
        <f>VLOOKUP($I909,'Price List, Weapons &amp; Items'!A:K,COLUMN('Price List, Weapons &amp; Items'!$K$1),0)</f>
        <v>no price, 0 count</v>
      </c>
      <c r="AS909" s="521">
        <f t="shared" si="205"/>
        <v>1</v>
      </c>
      <c r="AT909" s="521">
        <f t="shared" si="206"/>
        <v>0</v>
      </c>
      <c r="AU909" s="521">
        <f t="shared" si="207"/>
        <v>1</v>
      </c>
      <c r="AV909" s="521" t="str">
        <f t="shared" si="208"/>
        <v>.</v>
      </c>
    </row>
    <row r="910" spans="1:48" ht="15" customHeight="1">
      <c r="A910" s="41" t="s">
        <v>2547</v>
      </c>
      <c r="B910" s="41" t="s">
        <v>2548</v>
      </c>
      <c r="C910" s="511">
        <v>44619</v>
      </c>
      <c r="D910" s="18" t="s">
        <v>228</v>
      </c>
      <c r="E910" s="18" t="s">
        <v>489</v>
      </c>
      <c r="F910" s="512" t="s">
        <v>2549</v>
      </c>
      <c r="G910" s="39" t="s">
        <v>314</v>
      </c>
      <c r="H910" s="513">
        <v>54000000</v>
      </c>
      <c r="I910" s="41" t="s">
        <v>232</v>
      </c>
      <c r="J910" s="276" t="str">
        <f>VLOOKUP($I910,'Price List, Weapons &amp; Items'!A:B,2,0)</f>
        <v>.</v>
      </c>
      <c r="K910" s="276" t="str">
        <f>IF(I910=".",I910,VLOOKUP($I910,'Price List, Weapons &amp; Items'!A:C,3,0))</f>
        <v>.</v>
      </c>
      <c r="L910" s="514">
        <f>VLOOKUP(I910,'Price List, Weapons &amp; Items'!A:D,4,0)</f>
        <v>0</v>
      </c>
      <c r="M910" s="515" t="s">
        <v>232</v>
      </c>
      <c r="N910" s="515" t="s">
        <v>232</v>
      </c>
      <c r="O910" s="516" t="str">
        <f>VLOOKUP($I910,'Price List, Weapons &amp; Items'!A:F,6,0)</f>
        <v>.</v>
      </c>
      <c r="P910" s="513" t="str">
        <f t="shared" si="200"/>
        <v>.</v>
      </c>
      <c r="Q910" s="513" t="str">
        <f t="shared" si="201"/>
        <v>.</v>
      </c>
      <c r="R910" s="513">
        <f t="shared" si="198"/>
        <v>54000000</v>
      </c>
      <c r="S910" s="513">
        <f>IF(AND(AD910=1,R910&lt;&gt;".")=TRUE,R910/VLOOKUP(G910,'Exchange rates'!B:C,2,0),IF(R910=".",".",""))</f>
        <v>53811659.192825109</v>
      </c>
      <c r="T910" s="513" t="str">
        <f>IF(AD910=1,IF(AF910="Value is not given at all",".",IF(AF910="Value is given by the source",S910,IF(AF910="Value is calculated with prices",(IF(SUMIFS(Q:Q,A:A,A910)&gt;0,SUMIFS(Q:Q,A:A,A910),"."))/VLOOKUP("USD",'Exchange rates'!B:C,2,0),"Error with coding"))),"")</f>
        <v>.</v>
      </c>
      <c r="U910" s="39" t="s">
        <v>233</v>
      </c>
      <c r="V910" s="42" t="s">
        <v>2550</v>
      </c>
      <c r="W910" s="42" t="s">
        <v>2551</v>
      </c>
      <c r="X910" s="512" t="s">
        <v>232</v>
      </c>
      <c r="Y910" s="512" t="s">
        <v>232</v>
      </c>
      <c r="Z910" s="39">
        <v>0</v>
      </c>
      <c r="AA910" s="518">
        <v>0</v>
      </c>
      <c r="AB910" s="38" t="s">
        <v>232</v>
      </c>
      <c r="AC910" s="519" t="str">
        <f>""</f>
        <v/>
      </c>
      <c r="AD910" s="520">
        <v>1</v>
      </c>
      <c r="AE910" s="520" t="s">
        <v>236</v>
      </c>
      <c r="AF910" s="520" t="s">
        <v>237</v>
      </c>
      <c r="AG910" s="520">
        <v>1</v>
      </c>
      <c r="AH910" s="520">
        <v>2</v>
      </c>
      <c r="AI910" s="520">
        <v>0</v>
      </c>
      <c r="AJ910" s="520">
        <f>VLOOKUP($I910,'Price List, Weapons &amp; Items'!A:E,5,0)</f>
        <v>0</v>
      </c>
      <c r="AK910" s="520">
        <f t="shared" si="202"/>
        <v>0</v>
      </c>
      <c r="AL910" s="520">
        <f t="shared" si="203"/>
        <v>0</v>
      </c>
      <c r="AM910" s="520">
        <f t="shared" si="204"/>
        <v>0</v>
      </c>
      <c r="AN910" s="521" t="str">
        <f>VLOOKUP($I910,'Price List, Weapons &amp; Items'!A:K,COLUMN('Price List, Weapons &amp; Items'!$I$1),0)</f>
        <v>.</v>
      </c>
      <c r="AO910" s="521" t="str">
        <f>IF(I910=".",".",VLOOKUP($I910,'Price List, Weapons &amp; Items'!A:I,3,0))</f>
        <v>.</v>
      </c>
      <c r="AP910" s="517" t="str">
        <f t="shared" ca="1" si="199"/>
        <v>.</v>
      </c>
      <c r="AQ910" s="521" t="str">
        <f>VLOOKUP($I910,'Price List, Weapons &amp; Items'!A:K,COLUMN('Price List, Weapons &amp; Items'!$K$1),0)</f>
        <v>no price, 0 count</v>
      </c>
      <c r="AS910" s="521">
        <f t="shared" si="205"/>
        <v>1</v>
      </c>
      <c r="AT910" s="521">
        <f t="shared" si="206"/>
        <v>0</v>
      </c>
      <c r="AU910" s="521">
        <f t="shared" si="207"/>
        <v>1</v>
      </c>
      <c r="AV910" s="521" t="str">
        <f t="shared" si="208"/>
        <v>.</v>
      </c>
    </row>
    <row r="911" spans="1:48" ht="15" customHeight="1">
      <c r="A911" s="41" t="s">
        <v>2552</v>
      </c>
      <c r="B911" s="41" t="s">
        <v>2548</v>
      </c>
      <c r="C911" s="511">
        <v>44630</v>
      </c>
      <c r="D911" s="18" t="s">
        <v>228</v>
      </c>
      <c r="E911" s="18" t="s">
        <v>489</v>
      </c>
      <c r="F911" s="512" t="s">
        <v>2553</v>
      </c>
      <c r="G911" s="39" t="s">
        <v>314</v>
      </c>
      <c r="H911" s="513">
        <v>53000000</v>
      </c>
      <c r="I911" s="41" t="s">
        <v>232</v>
      </c>
      <c r="J911" s="276" t="str">
        <f>VLOOKUP($I911,'Price List, Weapons &amp; Items'!A:B,2,0)</f>
        <v>.</v>
      </c>
      <c r="K911" s="276" t="str">
        <f>IF(I911=".",I911,VLOOKUP($I911,'Price List, Weapons &amp; Items'!A:C,3,0))</f>
        <v>.</v>
      </c>
      <c r="L911" s="514">
        <f>VLOOKUP(I911,'Price List, Weapons &amp; Items'!A:D,4,0)</f>
        <v>0</v>
      </c>
      <c r="M911" s="515" t="s">
        <v>232</v>
      </c>
      <c r="N911" s="515" t="s">
        <v>232</v>
      </c>
      <c r="O911" s="516" t="str">
        <f>VLOOKUP($I911,'Price List, Weapons &amp; Items'!A:F,6,0)</f>
        <v>.</v>
      </c>
      <c r="P911" s="513" t="str">
        <f t="shared" si="200"/>
        <v>.</v>
      </c>
      <c r="Q911" s="513" t="str">
        <f t="shared" si="201"/>
        <v>.</v>
      </c>
      <c r="R911" s="513">
        <f t="shared" si="198"/>
        <v>53000000</v>
      </c>
      <c r="S911" s="513">
        <f>IF(AND(AD911=1,R911&lt;&gt;".")=TRUE,R911/VLOOKUP(G911,'Exchange rates'!B:C,2,0),IF(R911=".",".",""))</f>
        <v>52815146.985550568</v>
      </c>
      <c r="T911" s="513" t="str">
        <f>IF(AD911=1,IF(AF911="Value is not given at all",".",IF(AF911="Value is given by the source",S911,IF(AF911="Value is calculated with prices",(IF(SUMIFS(Q:Q,A:A,A911)&gt;0,SUMIFS(Q:Q,A:A,A911),"."))/VLOOKUP("USD",'Exchange rates'!B:C,2,0),"Error with coding"))),"")</f>
        <v>.</v>
      </c>
      <c r="U911" s="39" t="s">
        <v>233</v>
      </c>
      <c r="V911" s="42" t="s">
        <v>2554</v>
      </c>
      <c r="W911" s="42" t="s">
        <v>2555</v>
      </c>
      <c r="X911" s="42" t="s">
        <v>2551</v>
      </c>
      <c r="Y911" s="512" t="s">
        <v>232</v>
      </c>
      <c r="Z911" s="39">
        <v>0</v>
      </c>
      <c r="AA911" s="518">
        <v>0</v>
      </c>
      <c r="AB911" s="38" t="s">
        <v>232</v>
      </c>
      <c r="AC911" s="519" t="str">
        <f>""</f>
        <v/>
      </c>
      <c r="AD911" s="520">
        <v>1</v>
      </c>
      <c r="AE911" s="520" t="s">
        <v>236</v>
      </c>
      <c r="AF911" s="520" t="s">
        <v>237</v>
      </c>
      <c r="AG911" s="520">
        <v>1</v>
      </c>
      <c r="AH911" s="520">
        <v>3</v>
      </c>
      <c r="AI911" s="520">
        <v>0</v>
      </c>
      <c r="AJ911" s="520">
        <f>VLOOKUP($I911,'Price List, Weapons &amp; Items'!A:E,5,0)</f>
        <v>0</v>
      </c>
      <c r="AK911" s="520">
        <f t="shared" si="202"/>
        <v>0</v>
      </c>
      <c r="AL911" s="520">
        <f t="shared" si="203"/>
        <v>0</v>
      </c>
      <c r="AM911" s="520">
        <f t="shared" si="204"/>
        <v>0</v>
      </c>
      <c r="AN911" s="521" t="str">
        <f>VLOOKUP($I911,'Price List, Weapons &amp; Items'!A:K,COLUMN('Price List, Weapons &amp; Items'!$I$1),0)</f>
        <v>.</v>
      </c>
      <c r="AO911" s="521" t="str">
        <f>IF(I911=".",".",VLOOKUP($I911,'Price List, Weapons &amp; Items'!A:I,3,0))</f>
        <v>.</v>
      </c>
      <c r="AP911" s="517" t="str">
        <f t="shared" ca="1" si="199"/>
        <v>.</v>
      </c>
      <c r="AQ911" s="521" t="str">
        <f>VLOOKUP($I911,'Price List, Weapons &amp; Items'!A:K,COLUMN('Price List, Weapons &amp; Items'!$K$1),0)</f>
        <v>no price, 0 count</v>
      </c>
      <c r="AS911" s="521">
        <f t="shared" si="205"/>
        <v>1</v>
      </c>
      <c r="AT911" s="521">
        <f t="shared" si="206"/>
        <v>0</v>
      </c>
      <c r="AU911" s="521">
        <f t="shared" si="207"/>
        <v>1</v>
      </c>
      <c r="AV911" s="521" t="str">
        <f t="shared" si="208"/>
        <v>.</v>
      </c>
    </row>
    <row r="912" spans="1:48" ht="15" customHeight="1">
      <c r="A912" s="41" t="s">
        <v>2556</v>
      </c>
      <c r="B912" s="41" t="s">
        <v>2548</v>
      </c>
      <c r="C912" s="511">
        <v>44635</v>
      </c>
      <c r="D912" s="18" t="s">
        <v>228</v>
      </c>
      <c r="E912" s="18" t="s">
        <v>228</v>
      </c>
      <c r="F912" s="512" t="s">
        <v>2557</v>
      </c>
      <c r="G912" s="39" t="s">
        <v>314</v>
      </c>
      <c r="H912" s="513">
        <v>3446000000</v>
      </c>
      <c r="I912" s="523" t="s">
        <v>232</v>
      </c>
      <c r="J912" s="276" t="str">
        <f>VLOOKUP($I912,'Price List, Weapons &amp; Items'!A:B,2,0)</f>
        <v>.</v>
      </c>
      <c r="K912" s="276" t="str">
        <f>IF(I912=".",I912,VLOOKUP($I912,'Price List, Weapons &amp; Items'!A:C,3,0))</f>
        <v>.</v>
      </c>
      <c r="L912" s="514">
        <f>VLOOKUP(I912,'Price List, Weapons &amp; Items'!A:D,4,0)</f>
        <v>0</v>
      </c>
      <c r="M912" s="515" t="s">
        <v>232</v>
      </c>
      <c r="N912" s="515" t="s">
        <v>232</v>
      </c>
      <c r="O912" s="516" t="str">
        <f>VLOOKUP($I912,'Price List, Weapons &amp; Items'!A:F,6,0)</f>
        <v>.</v>
      </c>
      <c r="P912" s="513" t="str">
        <f t="shared" si="200"/>
        <v>.</v>
      </c>
      <c r="Q912" s="513" t="str">
        <f t="shared" si="201"/>
        <v>.</v>
      </c>
      <c r="R912" s="513">
        <f t="shared" si="198"/>
        <v>3446000000</v>
      </c>
      <c r="S912" s="513">
        <f>IF(AND(AD912=1,R912&lt;&gt;".")=TRUE,R912/VLOOKUP(G912,'Exchange rates'!B:C,2,0),IF(R912=".",".",""))</f>
        <v>3433981066.2680616</v>
      </c>
      <c r="T912" s="513" t="str">
        <f>IF(AD912=1,IF(AF912="Value is not given at all",".",IF(AF912="Value is given by the source",S912,IF(AF912="Value is calculated with prices",(IF(SUMIFS(Q:Q,A:A,A912)&gt;0,SUMIFS(Q:Q,A:A,A912),"."))/VLOOKUP("USD",'Exchange rates'!B:C,2,0),"Error with coding"))),"")</f>
        <v>.</v>
      </c>
      <c r="U912" s="39" t="s">
        <v>233</v>
      </c>
      <c r="V912" s="42" t="s">
        <v>2558</v>
      </c>
      <c r="W912" s="42" t="s">
        <v>2559</v>
      </c>
      <c r="X912" s="42" t="s">
        <v>2560</v>
      </c>
      <c r="Y912" s="512" t="s">
        <v>232</v>
      </c>
      <c r="Z912" s="39">
        <v>0</v>
      </c>
      <c r="AA912" s="518">
        <v>0</v>
      </c>
      <c r="AB912" s="38" t="s">
        <v>232</v>
      </c>
      <c r="AC912" s="519" t="str">
        <f>""</f>
        <v/>
      </c>
      <c r="AD912" s="520">
        <v>1</v>
      </c>
      <c r="AE912" s="520" t="s">
        <v>236</v>
      </c>
      <c r="AF912" s="520" t="s">
        <v>237</v>
      </c>
      <c r="AG912" s="520">
        <v>1</v>
      </c>
      <c r="AH912" s="520">
        <v>3</v>
      </c>
      <c r="AI912" s="520">
        <v>0</v>
      </c>
      <c r="AJ912" s="520">
        <f>VLOOKUP($I912,'Price List, Weapons &amp; Items'!A:E,5,0)</f>
        <v>0</v>
      </c>
      <c r="AK912" s="520">
        <f t="shared" si="202"/>
        <v>0</v>
      </c>
      <c r="AL912" s="520">
        <f t="shared" si="203"/>
        <v>0</v>
      </c>
      <c r="AM912" s="520">
        <f t="shared" si="204"/>
        <v>0</v>
      </c>
      <c r="AN912" s="521" t="str">
        <f>VLOOKUP($I912,'Price List, Weapons &amp; Items'!A:K,COLUMN('Price List, Weapons &amp; Items'!$I$1),0)</f>
        <v>.</v>
      </c>
      <c r="AO912" s="521" t="str">
        <f>IF(I912=".",".",VLOOKUP($I912,'Price List, Weapons &amp; Items'!A:I,3,0))</f>
        <v>.</v>
      </c>
      <c r="AP912" s="517" t="str">
        <f t="shared" ca="1" si="199"/>
        <v>.</v>
      </c>
      <c r="AQ912" s="521" t="str">
        <f>VLOOKUP($I912,'Price List, Weapons &amp; Items'!A:K,COLUMN('Price List, Weapons &amp; Items'!$K$1),0)</f>
        <v>no price, 0 count</v>
      </c>
      <c r="AS912" s="521">
        <f t="shared" si="205"/>
        <v>1</v>
      </c>
      <c r="AT912" s="521">
        <f t="shared" si="206"/>
        <v>0</v>
      </c>
      <c r="AU912" s="521">
        <f t="shared" si="207"/>
        <v>1</v>
      </c>
      <c r="AV912" s="521" t="str">
        <f t="shared" si="208"/>
        <v>.</v>
      </c>
    </row>
    <row r="913" spans="1:48" ht="15" customHeight="1">
      <c r="A913" s="41" t="s">
        <v>2561</v>
      </c>
      <c r="B913" s="41" t="s">
        <v>2548</v>
      </c>
      <c r="C913" s="511">
        <v>44644</v>
      </c>
      <c r="D913" s="18" t="s">
        <v>228</v>
      </c>
      <c r="E913" s="18" t="s">
        <v>489</v>
      </c>
      <c r="F913" s="512" t="s">
        <v>2562</v>
      </c>
      <c r="G913" s="39" t="s">
        <v>314</v>
      </c>
      <c r="H913" s="513">
        <v>6100000</v>
      </c>
      <c r="I913" s="41" t="s">
        <v>232</v>
      </c>
      <c r="J913" s="276" t="str">
        <f>VLOOKUP($I913,'Price List, Weapons &amp; Items'!A:B,2,0)</f>
        <v>.</v>
      </c>
      <c r="K913" s="276" t="str">
        <f>IF(I913=".",I913,VLOOKUP($I913,'Price List, Weapons &amp; Items'!A:C,3,0))</f>
        <v>.</v>
      </c>
      <c r="L913" s="514">
        <f>VLOOKUP(I913,'Price List, Weapons &amp; Items'!A:D,4,0)</f>
        <v>0</v>
      </c>
      <c r="M913" s="515" t="s">
        <v>232</v>
      </c>
      <c r="N913" s="515" t="s">
        <v>232</v>
      </c>
      <c r="O913" s="516" t="str">
        <f>VLOOKUP($I913,'Price List, Weapons &amp; Items'!A:F,6,0)</f>
        <v>.</v>
      </c>
      <c r="P913" s="513" t="str">
        <f t="shared" si="200"/>
        <v>.</v>
      </c>
      <c r="Q913" s="513" t="str">
        <f t="shared" si="201"/>
        <v>.</v>
      </c>
      <c r="R913" s="513">
        <f t="shared" si="198"/>
        <v>6100000</v>
      </c>
      <c r="S913" s="513">
        <f>IF(AND(AD913=1,R913&lt;&gt;".")=TRUE,R913/VLOOKUP(G913,'Exchange rates'!B:C,2,0),IF(R913=".",".",""))</f>
        <v>6078724.4643746885</v>
      </c>
      <c r="T913" s="513" t="str">
        <f>IF(AD913=1,IF(AF913="Value is not given at all",".",IF(AF913="Value is given by the source",S913,IF(AF913="Value is calculated with prices",(IF(SUMIFS(Q:Q,A:A,A913)&gt;0,SUMIFS(Q:Q,A:A,A913),"."))/VLOOKUP("USD",'Exchange rates'!B:C,2,0),"Error with coding"))),"")</f>
        <v>.</v>
      </c>
      <c r="U913" s="39" t="s">
        <v>233</v>
      </c>
      <c r="V913" s="42" t="s">
        <v>2563</v>
      </c>
      <c r="W913" s="42" t="s">
        <v>2564</v>
      </c>
      <c r="X913" s="517" t="s">
        <v>232</v>
      </c>
      <c r="Y913" s="517" t="s">
        <v>232</v>
      </c>
      <c r="Z913" s="39">
        <v>0</v>
      </c>
      <c r="AA913" s="518">
        <v>0</v>
      </c>
      <c r="AB913" s="38" t="s">
        <v>232</v>
      </c>
      <c r="AC913" s="519" t="str">
        <f>""</f>
        <v/>
      </c>
      <c r="AD913" s="520">
        <v>1</v>
      </c>
      <c r="AE913" s="520" t="s">
        <v>236</v>
      </c>
      <c r="AF913" s="520" t="s">
        <v>237</v>
      </c>
      <c r="AG913" s="520">
        <v>1</v>
      </c>
      <c r="AH913" s="520">
        <v>3</v>
      </c>
      <c r="AI913" s="520">
        <v>0</v>
      </c>
      <c r="AJ913" s="520">
        <f>VLOOKUP($I913,'Price List, Weapons &amp; Items'!A:E,5,0)</f>
        <v>0</v>
      </c>
      <c r="AK913" s="520">
        <f t="shared" si="202"/>
        <v>0</v>
      </c>
      <c r="AL913" s="520">
        <f t="shared" si="203"/>
        <v>0</v>
      </c>
      <c r="AM913" s="520">
        <f t="shared" si="204"/>
        <v>0</v>
      </c>
      <c r="AN913" s="521" t="str">
        <f>VLOOKUP($I913,'Price List, Weapons &amp; Items'!A:K,COLUMN('Price List, Weapons &amp; Items'!$I$1),0)</f>
        <v>.</v>
      </c>
      <c r="AO913" s="521" t="str">
        <f>IF(I913=".",".",VLOOKUP($I913,'Price List, Weapons &amp; Items'!A:I,3,0))</f>
        <v>.</v>
      </c>
      <c r="AP913" s="517" t="str">
        <f t="shared" ca="1" si="199"/>
        <v>.</v>
      </c>
      <c r="AQ913" s="521" t="str">
        <f>VLOOKUP($I913,'Price List, Weapons &amp; Items'!A:K,COLUMN('Price List, Weapons &amp; Items'!$K$1),0)</f>
        <v>no price, 0 count</v>
      </c>
      <c r="AS913" s="521">
        <f t="shared" si="205"/>
        <v>1</v>
      </c>
      <c r="AT913" s="521">
        <f t="shared" si="206"/>
        <v>0</v>
      </c>
      <c r="AU913" s="521">
        <f t="shared" si="207"/>
        <v>1</v>
      </c>
      <c r="AV913" s="521" t="str">
        <f t="shared" si="208"/>
        <v>.</v>
      </c>
    </row>
    <row r="914" spans="1:48" ht="15" customHeight="1">
      <c r="A914" s="41" t="s">
        <v>2565</v>
      </c>
      <c r="B914" s="41" t="s">
        <v>2548</v>
      </c>
      <c r="C914" s="511">
        <v>44644</v>
      </c>
      <c r="D914" s="18" t="s">
        <v>228</v>
      </c>
      <c r="E914" s="18" t="s">
        <v>229</v>
      </c>
      <c r="F914" s="512" t="s">
        <v>2566</v>
      </c>
      <c r="G914" s="39" t="s">
        <v>314</v>
      </c>
      <c r="H914" s="513">
        <v>320000000</v>
      </c>
      <c r="I914" s="41" t="s">
        <v>232</v>
      </c>
      <c r="J914" s="276" t="str">
        <f>VLOOKUP($I914,'Price List, Weapons &amp; Items'!A:B,2,0)</f>
        <v>.</v>
      </c>
      <c r="K914" s="276" t="str">
        <f>IF(I914=".",I914,VLOOKUP($I914,'Price List, Weapons &amp; Items'!A:C,3,0))</f>
        <v>.</v>
      </c>
      <c r="L914" s="514">
        <f>VLOOKUP(I914,'Price List, Weapons &amp; Items'!A:D,4,0)</f>
        <v>0</v>
      </c>
      <c r="M914" s="515" t="s">
        <v>232</v>
      </c>
      <c r="N914" s="515" t="s">
        <v>232</v>
      </c>
      <c r="O914" s="516" t="str">
        <f>VLOOKUP($I914,'Price List, Weapons &amp; Items'!A:F,6,0)</f>
        <v>.</v>
      </c>
      <c r="P914" s="513" t="str">
        <f t="shared" si="200"/>
        <v>.</v>
      </c>
      <c r="Q914" s="513" t="str">
        <f t="shared" si="201"/>
        <v>.</v>
      </c>
      <c r="R914" s="513">
        <f t="shared" si="198"/>
        <v>320000000</v>
      </c>
      <c r="S914" s="513">
        <f>IF(AND(AD914=1,R914&lt;&gt;".")=TRUE,R914/VLOOKUP(G914,'Exchange rates'!B:C,2,0),IF(R914=".",".",""))</f>
        <v>318883906.32785249</v>
      </c>
      <c r="T914" s="513" t="str">
        <f>IF(AD914=1,IF(AF914="Value is not given at all",".",IF(AF914="Value is given by the source",S914,IF(AF914="Value is calculated with prices",(IF(SUMIFS(Q:Q,A:A,A914)&gt;0,SUMIFS(Q:Q,A:A,A914),"."))/VLOOKUP("USD",'Exchange rates'!B:C,2,0),"Error with coding"))),"")</f>
        <v>.</v>
      </c>
      <c r="U914" s="39" t="s">
        <v>233</v>
      </c>
      <c r="V914" s="42" t="s">
        <v>2563</v>
      </c>
      <c r="W914" s="517" t="s">
        <v>232</v>
      </c>
      <c r="X914" s="517" t="s">
        <v>232</v>
      </c>
      <c r="Y914" s="517" t="s">
        <v>232</v>
      </c>
      <c r="Z914" s="39">
        <v>0</v>
      </c>
      <c r="AA914" s="518">
        <v>0</v>
      </c>
      <c r="AB914" s="38" t="s">
        <v>232</v>
      </c>
      <c r="AC914" s="519" t="str">
        <f>""</f>
        <v/>
      </c>
      <c r="AD914" s="520">
        <v>1</v>
      </c>
      <c r="AE914" s="520" t="s">
        <v>236</v>
      </c>
      <c r="AF914" s="520" t="s">
        <v>237</v>
      </c>
      <c r="AG914" s="520">
        <v>1</v>
      </c>
      <c r="AH914" s="520">
        <v>3</v>
      </c>
      <c r="AI914" s="520">
        <v>0</v>
      </c>
      <c r="AJ914" s="520">
        <f>VLOOKUP($I914,'Price List, Weapons &amp; Items'!A:E,5,0)</f>
        <v>0</v>
      </c>
      <c r="AK914" s="520">
        <f t="shared" si="202"/>
        <v>0</v>
      </c>
      <c r="AL914" s="520">
        <f t="shared" si="203"/>
        <v>0</v>
      </c>
      <c r="AM914" s="520">
        <f t="shared" si="204"/>
        <v>0</v>
      </c>
      <c r="AN914" s="521" t="str">
        <f>VLOOKUP($I914,'Price List, Weapons &amp; Items'!A:K,COLUMN('Price List, Weapons &amp; Items'!$I$1),0)</f>
        <v>.</v>
      </c>
      <c r="AO914" s="521" t="str">
        <f>IF(I914=".",".",VLOOKUP($I914,'Price List, Weapons &amp; Items'!A:I,3,0))</f>
        <v>.</v>
      </c>
      <c r="AP914" s="517" t="str">
        <f t="shared" ca="1" si="199"/>
        <v>.</v>
      </c>
      <c r="AQ914" s="521" t="str">
        <f>VLOOKUP($I914,'Price List, Weapons &amp; Items'!A:K,COLUMN('Price List, Weapons &amp; Items'!$K$1),0)</f>
        <v>no price, 0 count</v>
      </c>
      <c r="AS914" s="521">
        <f t="shared" si="205"/>
        <v>1</v>
      </c>
      <c r="AT914" s="521">
        <f t="shared" si="206"/>
        <v>0</v>
      </c>
      <c r="AU914" s="521">
        <f t="shared" si="207"/>
        <v>1</v>
      </c>
      <c r="AV914" s="521" t="str">
        <f t="shared" si="208"/>
        <v>.</v>
      </c>
    </row>
    <row r="915" spans="1:48" ht="15" customHeight="1">
      <c r="A915" s="41" t="s">
        <v>2567</v>
      </c>
      <c r="B915" s="41" t="s">
        <v>2548</v>
      </c>
      <c r="C915" s="511">
        <v>44644</v>
      </c>
      <c r="D915" s="18" t="s">
        <v>228</v>
      </c>
      <c r="E915" s="18" t="s">
        <v>229</v>
      </c>
      <c r="F915" s="512" t="s">
        <v>2568</v>
      </c>
      <c r="G915" s="39" t="s">
        <v>314</v>
      </c>
      <c r="H915" s="513">
        <v>1000000000</v>
      </c>
      <c r="I915" s="41" t="s">
        <v>232</v>
      </c>
      <c r="J915" s="276" t="str">
        <f>VLOOKUP($I915,'Price List, Weapons &amp; Items'!A:B,2,0)</f>
        <v>.</v>
      </c>
      <c r="K915" s="276" t="str">
        <f>IF(I915=".",I915,VLOOKUP($I915,'Price List, Weapons &amp; Items'!A:C,3,0))</f>
        <v>.</v>
      </c>
      <c r="L915" s="514">
        <f>VLOOKUP(I915,'Price List, Weapons &amp; Items'!A:D,4,0)</f>
        <v>0</v>
      </c>
      <c r="M915" s="515" t="s">
        <v>232</v>
      </c>
      <c r="N915" s="515" t="s">
        <v>232</v>
      </c>
      <c r="O915" s="516" t="str">
        <f>VLOOKUP($I915,'Price List, Weapons &amp; Items'!A:F,6,0)</f>
        <v>.</v>
      </c>
      <c r="P915" s="513" t="str">
        <f t="shared" si="200"/>
        <v>.</v>
      </c>
      <c r="Q915" s="513" t="str">
        <f t="shared" si="201"/>
        <v>.</v>
      </c>
      <c r="R915" s="513">
        <f t="shared" si="198"/>
        <v>1000000000</v>
      </c>
      <c r="S915" s="513">
        <f>IF(AND(AD915=1,R915&lt;&gt;".")=TRUE,R915/VLOOKUP(G915,'Exchange rates'!B:C,2,0),IF(R915=".",".",""))</f>
        <v>996512207.27453911</v>
      </c>
      <c r="T915" s="513" t="str">
        <f>IF(AD915=1,IF(AF915="Value is not given at all",".",IF(AF915="Value is given by the source",S915,IF(AF915="Value is calculated with prices",(IF(SUMIFS(Q:Q,A:A,A915)&gt;0,SUMIFS(Q:Q,A:A,A915),"."))/VLOOKUP("USD",'Exchange rates'!B:C,2,0),"Error with coding"))),"")</f>
        <v>.</v>
      </c>
      <c r="U915" s="39" t="s">
        <v>233</v>
      </c>
      <c r="V915" s="42" t="s">
        <v>2569</v>
      </c>
      <c r="W915" s="42" t="s">
        <v>2570</v>
      </c>
      <c r="X915" s="517" t="s">
        <v>232</v>
      </c>
      <c r="Y915" s="517" t="s">
        <v>232</v>
      </c>
      <c r="Z915" s="39">
        <v>0</v>
      </c>
      <c r="AA915" s="518">
        <v>0</v>
      </c>
      <c r="AB915" s="38" t="s">
        <v>232</v>
      </c>
      <c r="AC915" s="519" t="str">
        <f>""</f>
        <v/>
      </c>
      <c r="AD915" s="520">
        <v>1</v>
      </c>
      <c r="AE915" s="520" t="s">
        <v>236</v>
      </c>
      <c r="AF915" s="520" t="s">
        <v>237</v>
      </c>
      <c r="AG915" s="520">
        <v>1</v>
      </c>
      <c r="AH915" s="520">
        <v>3</v>
      </c>
      <c r="AI915" s="520">
        <v>0</v>
      </c>
      <c r="AJ915" s="520">
        <f>VLOOKUP($I915,'Price List, Weapons &amp; Items'!A:E,5,0)</f>
        <v>0</v>
      </c>
      <c r="AK915" s="520">
        <f t="shared" si="202"/>
        <v>0</v>
      </c>
      <c r="AL915" s="520">
        <f t="shared" si="203"/>
        <v>0</v>
      </c>
      <c r="AM915" s="520">
        <f t="shared" si="204"/>
        <v>0</v>
      </c>
      <c r="AN915" s="521" t="str">
        <f>VLOOKUP($I915,'Price List, Weapons &amp; Items'!A:K,COLUMN('Price List, Weapons &amp; Items'!$I$1),0)</f>
        <v>.</v>
      </c>
      <c r="AO915" s="521" t="str">
        <f>IF(I915=".",".",VLOOKUP($I915,'Price List, Weapons &amp; Items'!A:I,3,0))</f>
        <v>.</v>
      </c>
      <c r="AP915" s="517" t="str">
        <f t="shared" ca="1" si="199"/>
        <v>.</v>
      </c>
      <c r="AQ915" s="521" t="str">
        <f>VLOOKUP($I915,'Price List, Weapons &amp; Items'!A:K,COLUMN('Price List, Weapons &amp; Items'!$K$1),0)</f>
        <v>no price, 0 count</v>
      </c>
      <c r="AS915" s="521">
        <f t="shared" si="205"/>
        <v>1</v>
      </c>
      <c r="AT915" s="521">
        <f t="shared" si="206"/>
        <v>0</v>
      </c>
      <c r="AU915" s="521">
        <f t="shared" si="207"/>
        <v>1</v>
      </c>
      <c r="AV915" s="521" t="str">
        <f t="shared" si="208"/>
        <v>.</v>
      </c>
    </row>
    <row r="916" spans="1:48" ht="15" customHeight="1">
      <c r="A916" s="41" t="s">
        <v>2571</v>
      </c>
      <c r="B916" s="41" t="s">
        <v>2548</v>
      </c>
      <c r="C916" s="511">
        <v>44646</v>
      </c>
      <c r="D916" s="18" t="s">
        <v>228</v>
      </c>
      <c r="E916" s="46" t="s">
        <v>2572</v>
      </c>
      <c r="F916" s="512" t="s">
        <v>2573</v>
      </c>
      <c r="G916" s="39" t="s">
        <v>314</v>
      </c>
      <c r="H916" s="513">
        <v>100000000</v>
      </c>
      <c r="I916" s="41" t="s">
        <v>232</v>
      </c>
      <c r="J916" s="276" t="str">
        <f>VLOOKUP($I916,'Price List, Weapons &amp; Items'!A:B,2,0)</f>
        <v>.</v>
      </c>
      <c r="K916" s="276" t="str">
        <f>IF(I916=".",I916,VLOOKUP($I916,'Price List, Weapons &amp; Items'!A:C,3,0))</f>
        <v>.</v>
      </c>
      <c r="L916" s="514">
        <f>VLOOKUP(I916,'Price List, Weapons &amp; Items'!A:D,4,0)</f>
        <v>0</v>
      </c>
      <c r="M916" s="515" t="s">
        <v>232</v>
      </c>
      <c r="N916" s="515" t="s">
        <v>232</v>
      </c>
      <c r="O916" s="516" t="str">
        <f>VLOOKUP($I916,'Price List, Weapons &amp; Items'!A:F,6,0)</f>
        <v>.</v>
      </c>
      <c r="P916" s="513" t="str">
        <f t="shared" si="200"/>
        <v>.</v>
      </c>
      <c r="Q916" s="513" t="str">
        <f t="shared" si="201"/>
        <v>.</v>
      </c>
      <c r="R916" s="513">
        <f t="shared" si="198"/>
        <v>100000000</v>
      </c>
      <c r="S916" s="513">
        <f>IF(AND(AD916=1,R916&lt;&gt;".")=TRUE,R916/VLOOKUP(G916,'Exchange rates'!B:C,2,0),IF(R916=".",".",""))</f>
        <v>99651220.727453902</v>
      </c>
      <c r="T916" s="513" t="str">
        <f>IF(AD916=1,IF(AF916="Value is not given at all",".",IF(AF916="Value is given by the source",S916,IF(AF916="Value is calculated with prices",(IF(SUMIFS(Q:Q,A:A,A916)&gt;0,SUMIFS(Q:Q,A:A,A916),"."))/VLOOKUP("USD",'Exchange rates'!B:C,2,0),"Error with coding"))),"")</f>
        <v>.</v>
      </c>
      <c r="U916" s="39" t="s">
        <v>233</v>
      </c>
      <c r="V916" s="42" t="s">
        <v>2574</v>
      </c>
      <c r="W916" s="42" t="s">
        <v>2575</v>
      </c>
      <c r="X916" s="512" t="s">
        <v>232</v>
      </c>
      <c r="Y916" s="512" t="s">
        <v>232</v>
      </c>
      <c r="Z916" s="39">
        <v>0</v>
      </c>
      <c r="AA916" s="518">
        <v>0</v>
      </c>
      <c r="AB916" s="38" t="s">
        <v>232</v>
      </c>
      <c r="AC916" s="519" t="str">
        <f>""</f>
        <v/>
      </c>
      <c r="AD916" s="520">
        <v>1</v>
      </c>
      <c r="AE916" s="520" t="s">
        <v>236</v>
      </c>
      <c r="AF916" s="520" t="s">
        <v>237</v>
      </c>
      <c r="AG916" s="520">
        <v>1</v>
      </c>
      <c r="AH916" s="520">
        <v>3</v>
      </c>
      <c r="AI916" s="520">
        <v>0</v>
      </c>
      <c r="AJ916" s="520">
        <f>VLOOKUP($I916,'Price List, Weapons &amp; Items'!A:E,5,0)</f>
        <v>0</v>
      </c>
      <c r="AK916" s="520">
        <f t="shared" si="202"/>
        <v>0</v>
      </c>
      <c r="AL916" s="520">
        <f t="shared" si="203"/>
        <v>0</v>
      </c>
      <c r="AM916" s="520">
        <f t="shared" si="204"/>
        <v>0</v>
      </c>
      <c r="AN916" s="521" t="str">
        <f>VLOOKUP($I916,'Price List, Weapons &amp; Items'!A:K,COLUMN('Price List, Weapons &amp; Items'!$I$1),0)</f>
        <v>.</v>
      </c>
      <c r="AO916" s="521" t="str">
        <f>IF(I916=".",".",VLOOKUP($I916,'Price List, Weapons &amp; Items'!A:I,3,0))</f>
        <v>.</v>
      </c>
      <c r="AP916" s="517" t="str">
        <f t="shared" ca="1" si="199"/>
        <v>.</v>
      </c>
      <c r="AQ916" s="521" t="str">
        <f>VLOOKUP($I916,'Price List, Weapons &amp; Items'!A:K,COLUMN('Price List, Weapons &amp; Items'!$K$1),0)</f>
        <v>no price, 0 count</v>
      </c>
      <c r="AS916" s="521">
        <f t="shared" si="205"/>
        <v>1</v>
      </c>
      <c r="AT916" s="521">
        <f t="shared" si="206"/>
        <v>0</v>
      </c>
      <c r="AU916" s="521">
        <f t="shared" si="207"/>
        <v>1</v>
      </c>
      <c r="AV916" s="521" t="str">
        <f t="shared" si="208"/>
        <v>.</v>
      </c>
    </row>
    <row r="917" spans="1:48" ht="15" customHeight="1">
      <c r="A917" s="41" t="s">
        <v>2576</v>
      </c>
      <c r="B917" s="41" t="s">
        <v>2548</v>
      </c>
      <c r="C917" s="511">
        <v>44830</v>
      </c>
      <c r="D917" s="18" t="s">
        <v>228</v>
      </c>
      <c r="E917" s="18" t="s">
        <v>2572</v>
      </c>
      <c r="F917" s="512" t="s">
        <v>2577</v>
      </c>
      <c r="G917" s="39" t="s">
        <v>314</v>
      </c>
      <c r="H917" s="513">
        <v>457500000</v>
      </c>
      <c r="I917" s="41" t="s">
        <v>232</v>
      </c>
      <c r="J917" s="276" t="str">
        <f>VLOOKUP($I917,'Price List, Weapons &amp; Items'!A:B,2,0)</f>
        <v>.</v>
      </c>
      <c r="K917" s="276" t="str">
        <f>IF(I917=".",I917,VLOOKUP($I917,'Price List, Weapons &amp; Items'!A:C,3,0))</f>
        <v>.</v>
      </c>
      <c r="L917" s="514">
        <f>VLOOKUP(I917,'Price List, Weapons &amp; Items'!A:D,4,0)</f>
        <v>0</v>
      </c>
      <c r="M917" s="515" t="s">
        <v>232</v>
      </c>
      <c r="N917" s="515" t="s">
        <v>232</v>
      </c>
      <c r="O917" s="516" t="str">
        <f>VLOOKUP($I917,'Price List, Weapons &amp; Items'!A:F,6,0)</f>
        <v>.</v>
      </c>
      <c r="P917" s="513" t="str">
        <f t="shared" si="200"/>
        <v>.</v>
      </c>
      <c r="Q917" s="513" t="str">
        <f t="shared" si="201"/>
        <v>.</v>
      </c>
      <c r="R917" s="513">
        <f t="shared" si="198"/>
        <v>457500000</v>
      </c>
      <c r="S917" s="513">
        <f>IF(AND(AD917=1,R917&lt;&gt;".")=TRUE,R917/VLOOKUP(G917,'Exchange rates'!B:C,2,0),IF(R917=".",".",""))</f>
        <v>455904334.82810163</v>
      </c>
      <c r="T917" s="513" t="str">
        <f>IF(AD917=1,IF(AF917="Value is not given at all",".",IF(AF917="Value is given by the source",S917,IF(AF917="Value is calculated with prices",(IF(SUMIFS(Q:Q,A:A,A917)&gt;0,SUMIFS(Q:Q,A:A,A917),"."))/VLOOKUP("USD",'Exchange rates'!B:C,2,0),"Error with coding"))),"")</f>
        <v>.</v>
      </c>
      <c r="U917" s="39" t="s">
        <v>233</v>
      </c>
      <c r="V917" s="42" t="s">
        <v>2578</v>
      </c>
      <c r="W917" s="825" t="s">
        <v>232</v>
      </c>
      <c r="X917" s="517" t="s">
        <v>232</v>
      </c>
      <c r="Y917" s="517" t="s">
        <v>232</v>
      </c>
      <c r="Z917" s="39">
        <v>0</v>
      </c>
      <c r="AA917" s="518">
        <v>0</v>
      </c>
      <c r="AB917" s="521" t="s">
        <v>232</v>
      </c>
      <c r="AC917" s="519" t="str">
        <f>""</f>
        <v/>
      </c>
      <c r="AD917" s="520">
        <v>1</v>
      </c>
      <c r="AE917" s="520" t="s">
        <v>236</v>
      </c>
      <c r="AF917" s="520" t="s">
        <v>237</v>
      </c>
      <c r="AG917" s="520">
        <v>1</v>
      </c>
      <c r="AH917" s="520">
        <v>9</v>
      </c>
      <c r="AI917" s="522">
        <v>0</v>
      </c>
      <c r="AJ917" s="520">
        <f>VLOOKUP($I917,'Price List, Weapons &amp; Items'!A:E,5,0)</f>
        <v>0</v>
      </c>
      <c r="AK917" s="520">
        <f t="shared" si="202"/>
        <v>0</v>
      </c>
      <c r="AL917" s="520">
        <f t="shared" si="203"/>
        <v>0</v>
      </c>
      <c r="AM917" s="520">
        <f t="shared" si="204"/>
        <v>0</v>
      </c>
      <c r="AN917" s="521" t="str">
        <f>VLOOKUP($I917,'Price List, Weapons &amp; Items'!A:K,COLUMN('Price List, Weapons &amp; Items'!$I$1),0)</f>
        <v>.</v>
      </c>
      <c r="AO917" s="521" t="str">
        <f>IF(I917=".",".",VLOOKUP($I917,'Price List, Weapons &amp; Items'!A:I,3,0))</f>
        <v>.</v>
      </c>
      <c r="AP917" s="517" t="str">
        <f t="shared" ca="1" si="199"/>
        <v>.</v>
      </c>
      <c r="AQ917" s="521" t="str">
        <f>VLOOKUP($I917,'Price List, Weapons &amp; Items'!A:K,COLUMN('Price List, Weapons &amp; Items'!$K$1),0)</f>
        <v>no price, 0 count</v>
      </c>
      <c r="AS917" s="521">
        <f t="shared" si="205"/>
        <v>1</v>
      </c>
      <c r="AT917" s="521">
        <f t="shared" si="206"/>
        <v>0</v>
      </c>
      <c r="AU917" s="521">
        <f t="shared" si="207"/>
        <v>1</v>
      </c>
      <c r="AV917" s="521" t="e">
        <f>IF(AND(A917=#REF!,C917=#REF!)=TRUE,IF(F917=#REF!,".","1"),".")</f>
        <v>#REF!</v>
      </c>
    </row>
    <row r="918" spans="1:48" ht="15" customHeight="1">
      <c r="A918" s="41" t="s">
        <v>2579</v>
      </c>
      <c r="B918" s="41" t="s">
        <v>2548</v>
      </c>
      <c r="C918" s="511">
        <v>44691</v>
      </c>
      <c r="D918" s="18" t="s">
        <v>228</v>
      </c>
      <c r="E918" s="18" t="s">
        <v>229</v>
      </c>
      <c r="F918" s="512" t="s">
        <v>2580</v>
      </c>
      <c r="G918" s="39" t="s">
        <v>314</v>
      </c>
      <c r="H918" s="513">
        <v>4350000000</v>
      </c>
      <c r="I918" s="41" t="s">
        <v>232</v>
      </c>
      <c r="J918" s="276" t="str">
        <f>VLOOKUP($I918,'Price List, Weapons &amp; Items'!A:B,2,0)</f>
        <v>.</v>
      </c>
      <c r="K918" s="276" t="str">
        <f>IF(I918=".",I918,VLOOKUP($I918,'Price List, Weapons &amp; Items'!A:C,3,0))</f>
        <v>.</v>
      </c>
      <c r="L918" s="514">
        <f>VLOOKUP(I918,'Price List, Weapons &amp; Items'!A:D,4,0)</f>
        <v>0</v>
      </c>
      <c r="M918" s="515" t="s">
        <v>232</v>
      </c>
      <c r="N918" s="515" t="s">
        <v>232</v>
      </c>
      <c r="O918" s="516" t="str">
        <f>VLOOKUP($I918,'Price List, Weapons &amp; Items'!A:F,6,0)</f>
        <v>.</v>
      </c>
      <c r="P918" s="513" t="str">
        <f t="shared" si="200"/>
        <v>.</v>
      </c>
      <c r="Q918" s="513" t="str">
        <f t="shared" si="201"/>
        <v>.</v>
      </c>
      <c r="R918" s="513">
        <f t="shared" si="198"/>
        <v>4350000000</v>
      </c>
      <c r="S918" s="513">
        <f>IF(AND(AD918=1,R918&lt;&gt;".")=TRUE,R918/VLOOKUP(G918,'Exchange rates'!B:C,2,0),IF(R918=".",".",""))</f>
        <v>4334828101.6442451</v>
      </c>
      <c r="T918" s="513" t="str">
        <f>IF(AD918=1,IF(AF918="Value is not given at all",".",IF(AF918="Value is given by the source",S918,IF(AF918="Value is calculated with prices",(IF(SUMIFS(Q:Q,A:A,A918)&gt;0,SUMIFS(Q:Q,A:A,A918),"."))/VLOOKUP("USD",'Exchange rates'!B:C,2,0),"Error with coding"))),"")</f>
        <v>.</v>
      </c>
      <c r="U918" s="39" t="s">
        <v>233</v>
      </c>
      <c r="V918" s="42" t="s">
        <v>2581</v>
      </c>
      <c r="W918" s="517" t="s">
        <v>232</v>
      </c>
      <c r="X918" s="517" t="s">
        <v>232</v>
      </c>
      <c r="Y918" s="517" t="s">
        <v>232</v>
      </c>
      <c r="Z918" s="39">
        <v>0</v>
      </c>
      <c r="AA918" s="518">
        <v>0</v>
      </c>
      <c r="AB918" s="38" t="s">
        <v>232</v>
      </c>
      <c r="AC918" s="519" t="str">
        <f>""</f>
        <v/>
      </c>
      <c r="AD918" s="520">
        <v>1</v>
      </c>
      <c r="AE918" s="520" t="s">
        <v>236</v>
      </c>
      <c r="AF918" s="520" t="s">
        <v>237</v>
      </c>
      <c r="AG918" s="520">
        <v>1</v>
      </c>
      <c r="AH918" s="520">
        <v>5</v>
      </c>
      <c r="AI918" s="520">
        <v>0</v>
      </c>
      <c r="AJ918" s="520">
        <f>VLOOKUP($I918,'Price List, Weapons &amp; Items'!A:E,5,0)</f>
        <v>0</v>
      </c>
      <c r="AK918" s="520">
        <f t="shared" si="202"/>
        <v>0</v>
      </c>
      <c r="AL918" s="520">
        <f t="shared" si="203"/>
        <v>0</v>
      </c>
      <c r="AM918" s="520">
        <f t="shared" si="204"/>
        <v>0</v>
      </c>
      <c r="AN918" s="521" t="str">
        <f>VLOOKUP($I918,'Price List, Weapons &amp; Items'!A:K,COLUMN('Price List, Weapons &amp; Items'!$I$1),0)</f>
        <v>.</v>
      </c>
      <c r="AO918" s="521" t="str">
        <f>IF(I918=".",".",VLOOKUP($I918,'Price List, Weapons &amp; Items'!A:I,3,0))</f>
        <v>.</v>
      </c>
      <c r="AP918" s="517" t="str">
        <f t="shared" ca="1" si="199"/>
        <v>.</v>
      </c>
      <c r="AQ918" s="521" t="str">
        <f>VLOOKUP($I918,'Price List, Weapons &amp; Items'!A:K,COLUMN('Price List, Weapons &amp; Items'!$K$1),0)</f>
        <v>no price, 0 count</v>
      </c>
      <c r="AS918" s="521">
        <f t="shared" si="205"/>
        <v>1</v>
      </c>
      <c r="AT918" s="521">
        <f t="shared" si="206"/>
        <v>0</v>
      </c>
      <c r="AU918" s="521">
        <f t="shared" si="207"/>
        <v>1</v>
      </c>
      <c r="AV918" s="521" t="str">
        <f>IF(AND(A918=A915,C918=C915)=TRUE,IF(F918=F915,".","1"),".")</f>
        <v>.</v>
      </c>
    </row>
    <row r="919" spans="1:48" ht="15" customHeight="1">
      <c r="A919" s="41" t="s">
        <v>2582</v>
      </c>
      <c r="B919" s="41" t="s">
        <v>2548</v>
      </c>
      <c r="C919" s="511">
        <v>44691</v>
      </c>
      <c r="D919" s="18" t="s">
        <v>228</v>
      </c>
      <c r="E919" s="18" t="s">
        <v>229</v>
      </c>
      <c r="F919" s="512" t="s">
        <v>2583</v>
      </c>
      <c r="G919" s="39" t="s">
        <v>314</v>
      </c>
      <c r="H919" s="513">
        <v>2000000</v>
      </c>
      <c r="I919" s="41" t="s">
        <v>232</v>
      </c>
      <c r="J919" s="276" t="str">
        <f>VLOOKUP($I919,'Price List, Weapons &amp; Items'!A:B,2,0)</f>
        <v>.</v>
      </c>
      <c r="K919" s="276" t="str">
        <f>IF(I919=".",I919,VLOOKUP($I919,'Price List, Weapons &amp; Items'!A:C,3,0))</f>
        <v>.</v>
      </c>
      <c r="L919" s="514">
        <f>VLOOKUP(I919,'Price List, Weapons &amp; Items'!A:D,4,0)</f>
        <v>0</v>
      </c>
      <c r="M919" s="515" t="s">
        <v>232</v>
      </c>
      <c r="N919" s="515" t="s">
        <v>232</v>
      </c>
      <c r="O919" s="516" t="str">
        <f>VLOOKUP($I919,'Price List, Weapons &amp; Items'!A:F,6,0)</f>
        <v>.</v>
      </c>
      <c r="P919" s="513" t="str">
        <f t="shared" si="200"/>
        <v>.</v>
      </c>
      <c r="Q919" s="513" t="str">
        <f t="shared" si="201"/>
        <v>.</v>
      </c>
      <c r="R919" s="513">
        <f t="shared" si="198"/>
        <v>2000000</v>
      </c>
      <c r="S919" s="513">
        <f>IF(AND(AD919=1,R919&lt;&gt;".")=TRUE,R919/VLOOKUP(G919,'Exchange rates'!B:C,2,0),IF(R919=".",".",""))</f>
        <v>1993024.4145490781</v>
      </c>
      <c r="T919" s="513" t="str">
        <f>IF(AD919=1,IF(AF919="Value is not given at all",".",IF(AF919="Value is given by the source",S919,IF(AF919="Value is calculated with prices",(IF(SUMIFS(Q:Q,A:A,A919)&gt;0,SUMIFS(Q:Q,A:A,A919),"."))/VLOOKUP("USD",'Exchange rates'!B:C,2,0),"Error with coding"))),"")</f>
        <v>.</v>
      </c>
      <c r="U919" s="39" t="s">
        <v>233</v>
      </c>
      <c r="V919" s="42" t="s">
        <v>2581</v>
      </c>
      <c r="W919" s="517" t="s">
        <v>232</v>
      </c>
      <c r="X919" s="517" t="s">
        <v>232</v>
      </c>
      <c r="Y919" s="517" t="s">
        <v>232</v>
      </c>
      <c r="Z919" s="39">
        <v>0</v>
      </c>
      <c r="AA919" s="518">
        <v>0</v>
      </c>
      <c r="AB919" s="38" t="s">
        <v>232</v>
      </c>
      <c r="AC919" s="519" t="str">
        <f>""</f>
        <v/>
      </c>
      <c r="AD919" s="520">
        <v>1</v>
      </c>
      <c r="AE919" s="520" t="s">
        <v>236</v>
      </c>
      <c r="AF919" s="520" t="s">
        <v>237</v>
      </c>
      <c r="AG919" s="520">
        <v>1</v>
      </c>
      <c r="AH919" s="520">
        <v>5</v>
      </c>
      <c r="AI919" s="520">
        <v>0</v>
      </c>
      <c r="AJ919" s="520">
        <f>VLOOKUP($I919,'Price List, Weapons &amp; Items'!A:E,5,0)</f>
        <v>0</v>
      </c>
      <c r="AK919" s="520">
        <f t="shared" si="202"/>
        <v>0</v>
      </c>
      <c r="AL919" s="520">
        <f t="shared" si="203"/>
        <v>0</v>
      </c>
      <c r="AM919" s="520">
        <f t="shared" si="204"/>
        <v>0</v>
      </c>
      <c r="AN919" s="521" t="str">
        <f>VLOOKUP($I919,'Price List, Weapons &amp; Items'!A:K,COLUMN('Price List, Weapons &amp; Items'!$I$1),0)</f>
        <v>.</v>
      </c>
      <c r="AO919" s="521" t="str">
        <f>IF(I919=".",".",VLOOKUP($I919,'Price List, Weapons &amp; Items'!A:I,3,0))</f>
        <v>.</v>
      </c>
      <c r="AP919" s="517" t="str">
        <f t="shared" ca="1" si="199"/>
        <v>.</v>
      </c>
      <c r="AQ919" s="521" t="str">
        <f>VLOOKUP($I919,'Price List, Weapons &amp; Items'!A:K,COLUMN('Price List, Weapons &amp; Items'!$K$1),0)</f>
        <v>no price, 0 count</v>
      </c>
      <c r="AS919" s="521">
        <f t="shared" si="205"/>
        <v>1</v>
      </c>
      <c r="AT919" s="521">
        <f t="shared" si="206"/>
        <v>0</v>
      </c>
      <c r="AU919" s="521">
        <f t="shared" si="207"/>
        <v>1</v>
      </c>
      <c r="AV919" s="521" t="str">
        <f t="shared" si="208"/>
        <v>.</v>
      </c>
    </row>
    <row r="920" spans="1:48" ht="15" customHeight="1">
      <c r="A920" s="41" t="s">
        <v>2584</v>
      </c>
      <c r="B920" s="41" t="s">
        <v>2548</v>
      </c>
      <c r="C920" s="511">
        <v>44691</v>
      </c>
      <c r="D920" s="18" t="s">
        <v>228</v>
      </c>
      <c r="E920" s="18" t="s">
        <v>229</v>
      </c>
      <c r="F920" s="816" t="s">
        <v>2585</v>
      </c>
      <c r="G920" s="39" t="s">
        <v>314</v>
      </c>
      <c r="H920" s="513">
        <v>150000000</v>
      </c>
      <c r="I920" s="41" t="s">
        <v>232</v>
      </c>
      <c r="J920" s="276" t="str">
        <f>VLOOKUP($I920,'Price List, Weapons &amp; Items'!A:B,2,0)</f>
        <v>.</v>
      </c>
      <c r="K920" s="276" t="str">
        <f>IF(I920=".",I920,VLOOKUP($I920,'Price List, Weapons &amp; Items'!A:C,3,0))</f>
        <v>.</v>
      </c>
      <c r="L920" s="514">
        <f>VLOOKUP(I920,'Price List, Weapons &amp; Items'!A:D,4,0)</f>
        <v>0</v>
      </c>
      <c r="M920" s="515" t="s">
        <v>232</v>
      </c>
      <c r="N920" s="515" t="s">
        <v>232</v>
      </c>
      <c r="O920" s="516" t="str">
        <f>VLOOKUP($I920,'Price List, Weapons &amp; Items'!A:F,6,0)</f>
        <v>.</v>
      </c>
      <c r="P920" s="513" t="str">
        <f t="shared" si="200"/>
        <v>.</v>
      </c>
      <c r="Q920" s="513" t="str">
        <f t="shared" si="201"/>
        <v>.</v>
      </c>
      <c r="R920" s="513">
        <f t="shared" si="198"/>
        <v>150000000</v>
      </c>
      <c r="S920" s="513">
        <f>IF(AND(AD920=1,R920&lt;&gt;".")=TRUE,R920/VLOOKUP(G920,'Exchange rates'!B:C,2,0),IF(R920=".",".",""))</f>
        <v>149476831.09118086</v>
      </c>
      <c r="T920" s="513" t="str">
        <f>IF(AD920=1,IF(AF920="Value is not given at all",".",IF(AF920="Value is given by the source",S920,IF(AF920="Value is calculated with prices",(IF(SUMIFS(Q:Q,A:A,A920)&gt;0,SUMIFS(Q:Q,A:A,A920),"."))/VLOOKUP("USD",'Exchange rates'!B:C,2,0),"Error with coding"))),"")</f>
        <v>.</v>
      </c>
      <c r="U920" s="39" t="s">
        <v>233</v>
      </c>
      <c r="V920" s="42" t="s">
        <v>2581</v>
      </c>
      <c r="W920" s="517" t="s">
        <v>232</v>
      </c>
      <c r="X920" s="517" t="s">
        <v>232</v>
      </c>
      <c r="Y920" s="517" t="s">
        <v>232</v>
      </c>
      <c r="Z920" s="39">
        <v>0</v>
      </c>
      <c r="AA920" s="518">
        <v>0</v>
      </c>
      <c r="AB920" s="38" t="s">
        <v>232</v>
      </c>
      <c r="AC920" s="519" t="str">
        <f>""</f>
        <v/>
      </c>
      <c r="AD920" s="520">
        <v>1</v>
      </c>
      <c r="AE920" s="520" t="s">
        <v>236</v>
      </c>
      <c r="AF920" s="520" t="s">
        <v>237</v>
      </c>
      <c r="AG920" s="520">
        <v>1</v>
      </c>
      <c r="AH920" s="520">
        <v>5</v>
      </c>
      <c r="AI920" s="520">
        <v>0</v>
      </c>
      <c r="AJ920" s="520">
        <f>VLOOKUP($I920,'Price List, Weapons &amp; Items'!A:E,5,0)</f>
        <v>0</v>
      </c>
      <c r="AK920" s="520">
        <f t="shared" si="202"/>
        <v>0</v>
      </c>
      <c r="AL920" s="520">
        <f t="shared" si="203"/>
        <v>0</v>
      </c>
      <c r="AM920" s="520">
        <f t="shared" si="204"/>
        <v>0</v>
      </c>
      <c r="AN920" s="521" t="str">
        <f>VLOOKUP($I920,'Price List, Weapons &amp; Items'!A:K,COLUMN('Price List, Weapons &amp; Items'!$I$1),0)</f>
        <v>.</v>
      </c>
      <c r="AO920" s="521" t="str">
        <f>IF(I920=".",".",VLOOKUP($I920,'Price List, Weapons &amp; Items'!A:I,3,0))</f>
        <v>.</v>
      </c>
      <c r="AP920" s="517" t="str">
        <f t="shared" ca="1" si="199"/>
        <v>.</v>
      </c>
      <c r="AQ920" s="521" t="str">
        <f>VLOOKUP($I920,'Price List, Weapons &amp; Items'!A:K,COLUMN('Price List, Weapons &amp; Items'!$K$1),0)</f>
        <v>no price, 0 count</v>
      </c>
      <c r="AS920" s="521">
        <f t="shared" si="205"/>
        <v>1</v>
      </c>
      <c r="AT920" s="521">
        <f t="shared" si="206"/>
        <v>0</v>
      </c>
      <c r="AU920" s="521">
        <f t="shared" si="207"/>
        <v>1</v>
      </c>
      <c r="AV920" s="521" t="str">
        <f t="shared" si="208"/>
        <v>.</v>
      </c>
    </row>
    <row r="921" spans="1:48" ht="15" customHeight="1">
      <c r="A921" s="18" t="s">
        <v>2586</v>
      </c>
      <c r="B921" s="18" t="s">
        <v>2548</v>
      </c>
      <c r="C921" s="511">
        <v>44635</v>
      </c>
      <c r="D921" s="18" t="s">
        <v>252</v>
      </c>
      <c r="E921" s="18" t="s">
        <v>1157</v>
      </c>
      <c r="F921" s="512" t="s">
        <v>2587</v>
      </c>
      <c r="G921" s="39" t="s">
        <v>314</v>
      </c>
      <c r="H921" s="513" t="s">
        <v>309</v>
      </c>
      <c r="I921" s="41" t="s">
        <v>232</v>
      </c>
      <c r="J921" s="276" t="str">
        <f>VLOOKUP($I921,'Price List, Weapons &amp; Items'!A:B,2,0)</f>
        <v>.</v>
      </c>
      <c r="K921" s="276" t="str">
        <f>IF(I921=".",I921,VLOOKUP($I921,'Price List, Weapons &amp; Items'!A:C,3,0))</f>
        <v>.</v>
      </c>
      <c r="L921" s="514">
        <f>VLOOKUP(I921,'Price List, Weapons &amp; Items'!A:D,4,0)</f>
        <v>0</v>
      </c>
      <c r="M921" s="515" t="s">
        <v>232</v>
      </c>
      <c r="N921" s="515" t="s">
        <v>232</v>
      </c>
      <c r="O921" s="516" t="str">
        <f>VLOOKUP($I921,'Price List, Weapons &amp; Items'!A:F,6,0)</f>
        <v>.</v>
      </c>
      <c r="P921" s="513" t="str">
        <f t="shared" ref="P921" si="209">IF(TYPE(M921)=1,IF(TYPE(O921)=1,M921*O921,"No price"),".")</f>
        <v>.</v>
      </c>
      <c r="Q921" s="513" t="str">
        <f t="shared" ref="Q921" si="210">IF(TYPE(N921)=1,IF(TYPE(O921)=1,N921*O921,"No price"),".")</f>
        <v>.</v>
      </c>
      <c r="R921" s="513">
        <v>3000000000</v>
      </c>
      <c r="S921" s="513">
        <f>IF(AND(AD921=1,R921&lt;&gt;".")=TRUE,R921/VLOOKUP(G921,'Exchange rates'!B:C,2,0),IF(R921=".",".",""))</f>
        <v>2989536621.823617</v>
      </c>
      <c r="T921" s="513">
        <f>IF(AD921=1,IF(AF921="Value is not given at all",".",IF(AF921="Value is given by the source",S921,IF(AF921="Value is calculated with prices",(IF(SUMIFS(Q:Q,A:A,A921)&gt;0,SUMIFS(Q:Q,A:A,A921),"."))/VLOOKUP("USD",'Exchange rates'!B:C,2,0),"Error with coding"))),"")</f>
        <v>2392441733.9312406</v>
      </c>
      <c r="U921" s="39" t="s">
        <v>233</v>
      </c>
      <c r="V921" s="42" t="s">
        <v>2588</v>
      </c>
      <c r="W921" s="42" t="s">
        <v>2559</v>
      </c>
      <c r="X921" s="42" t="s">
        <v>2588</v>
      </c>
      <c r="Y921" s="517" t="s">
        <v>232</v>
      </c>
      <c r="Z921" s="39">
        <v>0</v>
      </c>
      <c r="AA921" s="518">
        <v>0</v>
      </c>
      <c r="AB921" s="394" t="s">
        <v>2589</v>
      </c>
      <c r="AC921" s="519" t="str">
        <f>""</f>
        <v/>
      </c>
      <c r="AD921" s="520">
        <v>1</v>
      </c>
      <c r="AE921" s="590" t="s">
        <v>2590</v>
      </c>
      <c r="AF921" s="520" t="s">
        <v>300</v>
      </c>
      <c r="AG921" s="520">
        <v>1</v>
      </c>
      <c r="AH921" s="520">
        <v>3</v>
      </c>
      <c r="AI921" s="520">
        <v>0</v>
      </c>
      <c r="AJ921" s="520">
        <f>VLOOKUP($I921,'Price List, Weapons &amp; Items'!A:E,5,0)</f>
        <v>0</v>
      </c>
      <c r="AK921" s="520">
        <f t="shared" ref="AK921" si="211">IF(AND(AJ921=1,M921="undisclosed")=TRUE,1,0)</f>
        <v>0</v>
      </c>
      <c r="AL921" s="520">
        <f t="shared" ref="AL921" si="212">IF(AND(AJ921=1,N921="undisclosed")=TRUE,1,0)</f>
        <v>0</v>
      </c>
      <c r="AM921" s="520">
        <f t="shared" ref="AM921" si="213">IFERROR(IF(SEARCH("ammuni",I921,1)&gt;0,1,0),0)</f>
        <v>0</v>
      </c>
      <c r="AN921" s="521" t="str">
        <f>VLOOKUP($I921,'Price List, Weapons &amp; Items'!A:K,COLUMN('Price List, Weapons &amp; Items'!$I$1),0)</f>
        <v>.</v>
      </c>
      <c r="AO921" s="521" t="str">
        <f>IF(I921=".",".",VLOOKUP($I921,'Price List, Weapons &amp; Items'!A:I,3,0))</f>
        <v>.</v>
      </c>
      <c r="AP921" s="517" t="str">
        <f t="shared" ca="1" si="199"/>
        <v>.; .; .; Stinger anti-aircraft system; Javelin; light anti-armor weapon; AT4 anti-tank weapon; Tactical unmanned aerial system; grenade launcher (M320 or M203); M4 Carbine rifle; pistol; machine gun; shotgun; round of small arms ammunitions, grenade launchers and mortar rounds; ballistic vest; helmet; Javelin; M777 howitzer; 155mm artillery round; Hughes AN/TPQ-36 Firefinder weapon locating system; AN/MPQ-64 Sentinel air surveillance radar; Switchblade tactical unmanned aerial system; Javelin anti-tank missile; anti-armor system; M113 armored personnel carrier; armored high mobility multipurpose wheeled vehicle; Mi-17; unmanned coastal defense vessel; chemical, biological, radiological, nuclear protective equipment; medical equipment; ballistic vest; helmet; optics; laser rangefinder; C-4 explosives and demolition equipment for obstacle clearing; M18A1 Claymore anti-personnel munitions; M777 howitzer; Tactical vehicle to tow 155mm howitzer; Phoenix Ghost tactical unmanned aerial system; field equipment</v>
      </c>
      <c r="AQ921" s="521" t="str">
        <f>VLOOKUP($I921,'Price List, Weapons &amp; Items'!A:K,COLUMN('Price List, Weapons &amp; Items'!$K$1),0)</f>
        <v>no price, 0 count</v>
      </c>
      <c r="AS921" s="521">
        <f t="shared" ref="AS921" si="214">IF(U921="Yes",1,0)</f>
        <v>1</v>
      </c>
      <c r="AT921" s="521">
        <f t="shared" ref="AT921" si="215">IF(OR((E921="Weapons"),(E921="Weapons and equipment"),(E921="Weapons and training"),(E921="Weapons and Assistance"),(E921="Military Equipment"))=FALSE,0,1)</f>
        <v>1</v>
      </c>
      <c r="AU921" s="521">
        <f t="shared" ref="AU921" si="216">IFERROR(IF(VALUE(TEXT(C921,"mm"))=AH921,".",1),"Value is not in date format")</f>
        <v>1</v>
      </c>
      <c r="AV921" s="521" t="str">
        <f>IF(AND(A921=A919,C921=C919)=TRUE,IF(F921=F919,".","1"),".")</f>
        <v>.</v>
      </c>
    </row>
    <row r="922" spans="1:48" ht="15" customHeight="1">
      <c r="A922" s="18" t="s">
        <v>2586</v>
      </c>
      <c r="B922" s="18" t="s">
        <v>2548</v>
      </c>
      <c r="C922" s="511">
        <v>44617</v>
      </c>
      <c r="D922" s="18" t="s">
        <v>252</v>
      </c>
      <c r="E922" s="18" t="s">
        <v>1157</v>
      </c>
      <c r="F922" s="512" t="s">
        <v>2587</v>
      </c>
      <c r="G922" s="39" t="s">
        <v>314</v>
      </c>
      <c r="H922" s="513">
        <v>350000000</v>
      </c>
      <c r="I922" s="41" t="s">
        <v>232</v>
      </c>
      <c r="J922" s="276" t="str">
        <f>VLOOKUP($I922,'Price List, Weapons &amp; Items'!A:B,2,0)</f>
        <v>.</v>
      </c>
      <c r="K922" s="276" t="str">
        <f>IF(I922=".",I922,VLOOKUP($I922,'Price List, Weapons &amp; Items'!A:C,3,0))</f>
        <v>.</v>
      </c>
      <c r="L922" s="514">
        <f>VLOOKUP(I922,'Price List, Weapons &amp; Items'!A:D,4,0)</f>
        <v>0</v>
      </c>
      <c r="M922" s="515" t="s">
        <v>232</v>
      </c>
      <c r="N922" s="515" t="s">
        <v>232</v>
      </c>
      <c r="O922" s="516" t="str">
        <f>VLOOKUP($I922,'Price List, Weapons &amp; Items'!A:F,6,0)</f>
        <v>.</v>
      </c>
      <c r="P922" s="513" t="str">
        <f t="shared" si="200"/>
        <v>.</v>
      </c>
      <c r="Q922" s="513" t="str">
        <f t="shared" si="201"/>
        <v>.</v>
      </c>
      <c r="S922" s="513" t="str">
        <f>IF(AND(AD922=1,R922&lt;&gt;".")=TRUE,R922/VLOOKUP(G922,'Exchange rates'!B:C,2,0),IF(R922=".",".",""))</f>
        <v/>
      </c>
      <c r="T922" s="513" t="str">
        <f>IF(AD922=1,IF(AF922="Value is not given at all",".",IF(AF922="Value is given by the source",S922,IF(AF922="Value is calculated with prices",(H923+H922+IF(SUMIFS(Q:Q,A:A,A922)&gt;0,SUMIFS(Q:Q,A:A,A922),"."))/VLOOKUP("USD",'Exchange rates'!B:C,2,0),"Error with coding"))),"")</f>
        <v/>
      </c>
      <c r="U922" s="39" t="s">
        <v>233</v>
      </c>
      <c r="V922" s="42" t="s">
        <v>2588</v>
      </c>
      <c r="W922" s="42" t="s">
        <v>2559</v>
      </c>
      <c r="X922" s="42" t="s">
        <v>2588</v>
      </c>
      <c r="Y922" s="517" t="s">
        <v>232</v>
      </c>
      <c r="Z922" s="39">
        <v>0</v>
      </c>
      <c r="AA922" s="518">
        <v>0</v>
      </c>
      <c r="AB922" s="394" t="s">
        <v>2589</v>
      </c>
      <c r="AC922" s="519" t="str">
        <f>""</f>
        <v/>
      </c>
      <c r="AD922" s="520">
        <v>0</v>
      </c>
      <c r="AE922" s="590" t="s">
        <v>2590</v>
      </c>
      <c r="AF922" s="520" t="s">
        <v>300</v>
      </c>
      <c r="AG922" s="520">
        <v>1</v>
      </c>
      <c r="AH922" s="520">
        <v>2</v>
      </c>
      <c r="AI922" s="520">
        <v>0</v>
      </c>
      <c r="AJ922" s="520">
        <f>VLOOKUP($I922,'Price List, Weapons &amp; Items'!A:E,5,0)</f>
        <v>0</v>
      </c>
      <c r="AK922" s="520">
        <f t="shared" si="202"/>
        <v>0</v>
      </c>
      <c r="AL922" s="520">
        <f t="shared" si="203"/>
        <v>0</v>
      </c>
      <c r="AM922" s="520">
        <f t="shared" si="204"/>
        <v>0</v>
      </c>
      <c r="AN922" s="521" t="str">
        <f>VLOOKUP($I922,'Price List, Weapons &amp; Items'!A:K,COLUMN('Price List, Weapons &amp; Items'!$I$1),0)</f>
        <v>.</v>
      </c>
      <c r="AO922" s="521" t="str">
        <f>IF(I922=".",".",VLOOKUP($I922,'Price List, Weapons &amp; Items'!A:I,3,0))</f>
        <v>.</v>
      </c>
      <c r="AP922" s="517" t="str">
        <f t="shared" ca="1" si="199"/>
        <v/>
      </c>
      <c r="AQ922" s="521" t="str">
        <f>VLOOKUP($I922,'Price List, Weapons &amp; Items'!A:K,COLUMN('Price List, Weapons &amp; Items'!$K$1),0)</f>
        <v>no price, 0 count</v>
      </c>
      <c r="AS922" s="521">
        <f t="shared" si="205"/>
        <v>1</v>
      </c>
      <c r="AT922" s="521">
        <f t="shared" si="206"/>
        <v>1</v>
      </c>
      <c r="AU922" s="521">
        <f t="shared" si="207"/>
        <v>1</v>
      </c>
      <c r="AV922" s="521" t="str">
        <f>IF(AND(A922=A920,C922=C920)=TRUE,IF(F922=F920,".","1"),".")</f>
        <v>.</v>
      </c>
    </row>
    <row r="923" spans="1:48" ht="15" customHeight="1">
      <c r="A923" s="18" t="s">
        <v>2586</v>
      </c>
      <c r="B923" s="18" t="s">
        <v>2548</v>
      </c>
      <c r="C923" s="511">
        <v>44632</v>
      </c>
      <c r="D923" s="18" t="s">
        <v>252</v>
      </c>
      <c r="E923" s="18" t="s">
        <v>1157</v>
      </c>
      <c r="F923" s="512" t="s">
        <v>2591</v>
      </c>
      <c r="G923" s="39" t="s">
        <v>314</v>
      </c>
      <c r="H923" s="513">
        <v>200000000</v>
      </c>
      <c r="I923" s="41" t="s">
        <v>232</v>
      </c>
      <c r="J923" s="276" t="str">
        <f>VLOOKUP($I923,'Price List, Weapons &amp; Items'!A:B,2,0)</f>
        <v>.</v>
      </c>
      <c r="K923" s="276" t="str">
        <f>IF(I923=".",I923,VLOOKUP($I923,'Price List, Weapons &amp; Items'!A:C,3,0))</f>
        <v>.</v>
      </c>
      <c r="L923" s="514">
        <f>VLOOKUP(I923,'Price List, Weapons &amp; Items'!A:D,4,0)</f>
        <v>0</v>
      </c>
      <c r="M923" s="515" t="s">
        <v>232</v>
      </c>
      <c r="N923" s="515" t="s">
        <v>232</v>
      </c>
      <c r="O923" s="516" t="str">
        <f>VLOOKUP($I923,'Price List, Weapons &amp; Items'!A:F,6,0)</f>
        <v>.</v>
      </c>
      <c r="P923" s="513" t="str">
        <f t="shared" si="200"/>
        <v>.</v>
      </c>
      <c r="Q923" s="513" t="str">
        <f t="shared" si="201"/>
        <v>.</v>
      </c>
      <c r="R923" s="513" t="str">
        <f t="shared" ref="R923:R960" si="217">IF(AD923=1,IF(H923&lt;&gt;"Not given",H923,IF(TYPE(H923)=2,IF(SUMIFS(P:P,A:A,A923)&gt;0,SUMIFS(P:P,A:A,A923),"."),"Format error")),"")</f>
        <v/>
      </c>
      <c r="S923" s="513" t="str">
        <f>IF(AND(AD923=1,R923&lt;&gt;".")=TRUE,R923/VLOOKUP(G923,'Exchange rates'!B:C,2,0),IF(R923=".",".",""))</f>
        <v/>
      </c>
      <c r="T923" s="513" t="str">
        <f>IF(AD923=1,IF(AF923="Value is not given at all",".",IF(AF923="Value is given by the source",S923,IF(AF923="Value is calculated with prices",(H924+H923+IF(SUMIFS(Q:Q,A:A,A923)&gt;0,SUMIFS(Q:Q,A:A,A923),"."))/VLOOKUP("USD",'Exchange rates'!B:C,2,0),"Error with coding"))),"")</f>
        <v/>
      </c>
      <c r="U923" s="39" t="s">
        <v>233</v>
      </c>
      <c r="V923" s="42" t="s">
        <v>2588</v>
      </c>
      <c r="W923" s="42" t="s">
        <v>2559</v>
      </c>
      <c r="X923" s="42" t="s">
        <v>2588</v>
      </c>
      <c r="Y923" s="517" t="s">
        <v>232</v>
      </c>
      <c r="Z923" s="39">
        <v>0</v>
      </c>
      <c r="AA923" s="518">
        <v>0</v>
      </c>
      <c r="AB923" s="394" t="s">
        <v>2589</v>
      </c>
      <c r="AC923" s="519" t="str">
        <f>""</f>
        <v/>
      </c>
      <c r="AD923" s="520">
        <v>0</v>
      </c>
      <c r="AE923" s="590" t="s">
        <v>2590</v>
      </c>
      <c r="AF923" s="520" t="s">
        <v>300</v>
      </c>
      <c r="AG923" s="520">
        <v>1</v>
      </c>
      <c r="AH923" s="520">
        <v>3</v>
      </c>
      <c r="AI923" s="520">
        <v>0</v>
      </c>
      <c r="AJ923" s="520">
        <f>VLOOKUP($I923,'Price List, Weapons &amp; Items'!A:E,5,0)</f>
        <v>0</v>
      </c>
      <c r="AK923" s="520">
        <f t="shared" si="202"/>
        <v>0</v>
      </c>
      <c r="AL923" s="520">
        <f t="shared" si="203"/>
        <v>0</v>
      </c>
      <c r="AM923" s="520">
        <f t="shared" si="204"/>
        <v>0</v>
      </c>
      <c r="AN923" s="521" t="str">
        <f>VLOOKUP($I923,'Price List, Weapons &amp; Items'!A:K,COLUMN('Price List, Weapons &amp; Items'!$I$1),0)</f>
        <v>.</v>
      </c>
      <c r="AO923" s="521" t="str">
        <f>IF(I923=".",".",VLOOKUP($I923,'Price List, Weapons &amp; Items'!A:I,3,0))</f>
        <v>.</v>
      </c>
      <c r="AP923" s="517" t="str">
        <f t="shared" ca="1" si="199"/>
        <v/>
      </c>
      <c r="AQ923" s="521" t="str">
        <f>VLOOKUP($I923,'Price List, Weapons &amp; Items'!A:K,COLUMN('Price List, Weapons &amp; Items'!$K$1),0)</f>
        <v>no price, 0 count</v>
      </c>
      <c r="AS923" s="521">
        <f t="shared" si="205"/>
        <v>1</v>
      </c>
      <c r="AT923" s="521">
        <f t="shared" si="206"/>
        <v>1</v>
      </c>
      <c r="AU923" s="521">
        <f t="shared" si="207"/>
        <v>1</v>
      </c>
      <c r="AV923" s="521" t="str">
        <f t="shared" si="208"/>
        <v>.</v>
      </c>
    </row>
    <row r="924" spans="1:48" ht="15" customHeight="1">
      <c r="A924" s="18" t="s">
        <v>2586</v>
      </c>
      <c r="B924" s="18" t="s">
        <v>2548</v>
      </c>
      <c r="C924" s="511">
        <v>44636</v>
      </c>
      <c r="D924" s="18" t="s">
        <v>252</v>
      </c>
      <c r="E924" s="18" t="s">
        <v>1157</v>
      </c>
      <c r="F924" s="512" t="s">
        <v>2592</v>
      </c>
      <c r="G924" s="39" t="s">
        <v>314</v>
      </c>
      <c r="H924" s="513">
        <v>800000000</v>
      </c>
      <c r="I924" s="41" t="s">
        <v>803</v>
      </c>
      <c r="J924" s="276" t="str">
        <f>VLOOKUP($I924,'Price List, Weapons &amp; Items'!A:B,2,0)</f>
        <v>Portable defence system</v>
      </c>
      <c r="K924" s="276" t="str">
        <f>IF(I924=".",I924,VLOOKUP($I924,'Price List, Weapons &amp; Items'!A:C,3,0))</f>
        <v>MANPADS</v>
      </c>
      <c r="L924" s="514">
        <f>VLOOKUP(I924,'Price List, Weapons &amp; Items'!A:D,4,0)</f>
        <v>0</v>
      </c>
      <c r="M924" s="515">
        <v>800</v>
      </c>
      <c r="N924" s="515">
        <f>M924</f>
        <v>800</v>
      </c>
      <c r="O924" s="516">
        <f>VLOOKUP($I924,'Price List, Weapons &amp; Items'!A:F,6,0)</f>
        <v>119000</v>
      </c>
      <c r="P924" s="513">
        <f t="shared" si="200"/>
        <v>95200000</v>
      </c>
      <c r="Q924" s="513">
        <f t="shared" si="201"/>
        <v>95200000</v>
      </c>
      <c r="R924" s="513" t="str">
        <f t="shared" si="217"/>
        <v/>
      </c>
      <c r="S924" s="513" t="str">
        <f>IF(AND(AD924=1,R924&lt;&gt;".")=TRUE,R924/VLOOKUP(G924,'Exchange rates'!B:C,2,0),IF(R924=".",".",""))</f>
        <v/>
      </c>
      <c r="T924" s="513" t="str">
        <f>IF(AD924=1,IF(AF924="Value is not given at all",".",IF(AF924="Value is given by the source",S924,IF(AF924="Value is calculated with prices",(H925+H924+IF(SUMIFS(Q:Q,A:A,A924)&gt;0,SUMIFS(Q:Q,A:A,A924),"."))/VLOOKUP("USD",'Exchange rates'!B:C,2,0),"Error with coding"))),"")</f>
        <v/>
      </c>
      <c r="U924" s="39" t="s">
        <v>233</v>
      </c>
      <c r="V924" s="376" t="s">
        <v>2588</v>
      </c>
      <c r="W924" s="376" t="s">
        <v>2559</v>
      </c>
      <c r="X924" s="528" t="s">
        <v>232</v>
      </c>
      <c r="Y924" s="528" t="s">
        <v>232</v>
      </c>
      <c r="Z924" s="39">
        <v>0</v>
      </c>
      <c r="AA924" s="518">
        <v>0</v>
      </c>
      <c r="AB924" s="394" t="s">
        <v>2593</v>
      </c>
      <c r="AC924" s="519" t="str">
        <f>""</f>
        <v/>
      </c>
      <c r="AD924" s="520">
        <v>0</v>
      </c>
      <c r="AE924" s="590" t="s">
        <v>2590</v>
      </c>
      <c r="AF924" s="520" t="s">
        <v>300</v>
      </c>
      <c r="AG924" s="520">
        <v>1</v>
      </c>
      <c r="AH924" s="520">
        <v>3</v>
      </c>
      <c r="AI924" s="520">
        <v>0</v>
      </c>
      <c r="AJ924" s="520">
        <f>VLOOKUP($I924,'Price List, Weapons &amp; Items'!A:E,5,0)</f>
        <v>0</v>
      </c>
      <c r="AK924" s="520">
        <f t="shared" si="202"/>
        <v>0</v>
      </c>
      <c r="AL924" s="520">
        <f t="shared" si="203"/>
        <v>0</v>
      </c>
      <c r="AM924" s="520">
        <f t="shared" si="204"/>
        <v>0</v>
      </c>
      <c r="AN924" s="521" t="str">
        <f>VLOOKUP($I924,'Price List, Weapons &amp; Items'!A:K,COLUMN('Price List, Weapons &amp; Items'!$I$1),0)</f>
        <v>Miscellaneous</v>
      </c>
      <c r="AO924" s="521" t="str">
        <f>IF(I924=".",".",VLOOKUP($I924,'Price List, Weapons &amp; Items'!A:I,3,0))</f>
        <v>MANPADS</v>
      </c>
      <c r="AP924" s="517" t="str">
        <f t="shared" ca="1" si="199"/>
        <v/>
      </c>
      <c r="AQ924" s="521">
        <f>VLOOKUP($I924,'Price List, Weapons &amp; Items'!A:K,COLUMN('Price List, Weapons &amp; Items'!$K$1),0)</f>
        <v>2</v>
      </c>
      <c r="AS924" s="521">
        <f t="shared" si="205"/>
        <v>1</v>
      </c>
      <c r="AT924" s="521">
        <f t="shared" si="206"/>
        <v>1</v>
      </c>
      <c r="AU924" s="521">
        <f t="shared" si="207"/>
        <v>1</v>
      </c>
      <c r="AV924" s="521" t="str">
        <f t="shared" si="208"/>
        <v>.</v>
      </c>
    </row>
    <row r="925" spans="1:48" ht="15" customHeight="1">
      <c r="A925" s="18" t="s">
        <v>2586</v>
      </c>
      <c r="B925" s="18" t="s">
        <v>2548</v>
      </c>
      <c r="C925" s="511">
        <v>44636</v>
      </c>
      <c r="D925" s="18" t="s">
        <v>252</v>
      </c>
      <c r="E925" s="18" t="s">
        <v>1157</v>
      </c>
      <c r="F925" s="512" t="s">
        <v>2592</v>
      </c>
      <c r="G925" s="39" t="s">
        <v>314</v>
      </c>
      <c r="H925" s="513">
        <v>800000000</v>
      </c>
      <c r="I925" s="41" t="s">
        <v>2594</v>
      </c>
      <c r="J925" s="276" t="str">
        <f>VLOOKUP($I925,'Price List, Weapons &amp; Items'!A:B,2,0)</f>
        <v>Portable defence system</v>
      </c>
      <c r="K925" s="276" t="str">
        <f>IF(I925=".",I925,VLOOKUP($I925,'Price List, Weapons &amp; Items'!A:C,3,0))</f>
        <v>Light Anti-armor Weapon (LAW)</v>
      </c>
      <c r="L925" s="514">
        <f>VLOOKUP(I925,'Price List, Weapons &amp; Items'!A:D,4,0)</f>
        <v>0</v>
      </c>
      <c r="M925" s="515">
        <v>2000</v>
      </c>
      <c r="N925" s="515">
        <f>M925</f>
        <v>2000</v>
      </c>
      <c r="O925" s="516">
        <f>VLOOKUP($I925,'Price List, Weapons &amp; Items'!A:F,6,0)</f>
        <v>256000</v>
      </c>
      <c r="P925" s="513">
        <f t="shared" si="200"/>
        <v>512000000</v>
      </c>
      <c r="Q925" s="513">
        <f t="shared" si="201"/>
        <v>512000000</v>
      </c>
      <c r="R925" s="513" t="str">
        <f t="shared" si="217"/>
        <v/>
      </c>
      <c r="S925" s="513" t="str">
        <f>IF(AND(AD925=1,R925&lt;&gt;".")=TRUE,R925/VLOOKUP(G925,'Exchange rates'!B:C,2,0),IF(R925=".",".",""))</f>
        <v/>
      </c>
      <c r="T925" s="513" t="str">
        <f>IF(AD925=1,IF(AF925="Value is not given at all",".",IF(AF925="Value is given by the source",S925,IF(AF925="Value is calculated with prices",(H926+H925+IF(SUMIFS(Q:Q,A:A,A925)&gt;0,SUMIFS(Q:Q,A:A,A925),"."))/VLOOKUP("USD",'Exchange rates'!B:C,2,0),"Error with coding"))),"")</f>
        <v/>
      </c>
      <c r="U925" s="39" t="s">
        <v>233</v>
      </c>
      <c r="V925" s="376" t="s">
        <v>2588</v>
      </c>
      <c r="W925" s="376" t="s">
        <v>2559</v>
      </c>
      <c r="X925" s="528" t="s">
        <v>232</v>
      </c>
      <c r="Y925" s="528" t="s">
        <v>232</v>
      </c>
      <c r="Z925" s="39">
        <v>0</v>
      </c>
      <c r="AA925" s="518">
        <v>0</v>
      </c>
      <c r="AB925" s="394" t="s">
        <v>2593</v>
      </c>
      <c r="AC925" s="519" t="str">
        <f>""</f>
        <v/>
      </c>
      <c r="AD925" s="520">
        <v>0</v>
      </c>
      <c r="AE925" s="590" t="s">
        <v>2590</v>
      </c>
      <c r="AF925" s="520" t="s">
        <v>300</v>
      </c>
      <c r="AG925" s="520">
        <v>1</v>
      </c>
      <c r="AH925" s="520">
        <v>3</v>
      </c>
      <c r="AI925" s="520">
        <v>0</v>
      </c>
      <c r="AJ925" s="520">
        <f>VLOOKUP($I925,'Price List, Weapons &amp; Items'!A:E,5,0)</f>
        <v>0</v>
      </c>
      <c r="AK925" s="520">
        <f t="shared" si="202"/>
        <v>0</v>
      </c>
      <c r="AL925" s="520">
        <f t="shared" si="203"/>
        <v>0</v>
      </c>
      <c r="AM925" s="520">
        <f t="shared" si="204"/>
        <v>0</v>
      </c>
      <c r="AN925" s="521" t="str">
        <f>VLOOKUP($I925,'Price List, Weapons &amp; Items'!A:K,COLUMN('Price List, Weapons &amp; Items'!$I$1),0)</f>
        <v>Government information</v>
      </c>
      <c r="AO925" s="521" t="str">
        <f>IF(I925=".",".",VLOOKUP($I925,'Price List, Weapons &amp; Items'!A:I,3,0))</f>
        <v>Light Anti-armor Weapon (LAW)</v>
      </c>
      <c r="AP925" s="517" t="str">
        <f t="shared" ca="1" si="199"/>
        <v/>
      </c>
      <c r="AQ925" s="521">
        <f>VLOOKUP($I925,'Price List, Weapons &amp; Items'!A:K,COLUMN('Price List, Weapons &amp; Items'!$K$1),0)</f>
        <v>2</v>
      </c>
      <c r="AS925" s="521">
        <f t="shared" si="205"/>
        <v>1</v>
      </c>
      <c r="AT925" s="521">
        <f t="shared" si="206"/>
        <v>1</v>
      </c>
      <c r="AU925" s="521">
        <f t="shared" si="207"/>
        <v>1</v>
      </c>
      <c r="AV925" s="521" t="str">
        <f t="shared" si="208"/>
        <v>.</v>
      </c>
    </row>
    <row r="926" spans="1:48" ht="15" customHeight="1">
      <c r="A926" s="18" t="s">
        <v>2586</v>
      </c>
      <c r="B926" s="18" t="s">
        <v>2548</v>
      </c>
      <c r="C926" s="511">
        <v>44636</v>
      </c>
      <c r="D926" s="18" t="s">
        <v>252</v>
      </c>
      <c r="E926" s="18" t="s">
        <v>1157</v>
      </c>
      <c r="F926" s="512" t="s">
        <v>2592</v>
      </c>
      <c r="G926" s="39" t="s">
        <v>314</v>
      </c>
      <c r="H926" s="513">
        <v>800000000</v>
      </c>
      <c r="I926" s="41" t="s">
        <v>280</v>
      </c>
      <c r="J926" s="276" t="str">
        <f>VLOOKUP($I926,'Price List, Weapons &amp; Items'!A:B,2,0)</f>
        <v>Portable defence system</v>
      </c>
      <c r="K926" s="276" t="str">
        <f>IF(I926=".",I926,VLOOKUP($I926,'Price List, Weapons &amp; Items'!A:C,3,0))</f>
        <v>Light Anti-armor Weapon (LAW)</v>
      </c>
      <c r="L926" s="514">
        <f>VLOOKUP(I926,'Price List, Weapons &amp; Items'!A:D,4,0)</f>
        <v>0</v>
      </c>
      <c r="M926" s="515">
        <v>1000</v>
      </c>
      <c r="N926" s="515">
        <f>M926</f>
        <v>1000</v>
      </c>
      <c r="O926" s="516">
        <f>VLOOKUP($I926,'Price List, Weapons &amp; Items'!A:F,6,0)</f>
        <v>1475</v>
      </c>
      <c r="P926" s="513">
        <f t="shared" si="200"/>
        <v>1475000</v>
      </c>
      <c r="Q926" s="513">
        <f t="shared" si="201"/>
        <v>1475000</v>
      </c>
      <c r="R926" s="513" t="str">
        <f t="shared" si="217"/>
        <v/>
      </c>
      <c r="S926" s="513" t="str">
        <f>IF(AND(AD926=1,R926&lt;&gt;".")=TRUE,R926/VLOOKUP(G926,'Exchange rates'!B:C,2,0),IF(R926=".",".",""))</f>
        <v/>
      </c>
      <c r="T926" s="513" t="str">
        <f>IF(AD926=1,IF(AF926="Value is not given at all",".",IF(AF926="Value is given by the source",S926,IF(AF926="Value is calculated with prices",(H927+H926+IF(SUMIFS(Q:Q,A:A,A926)&gt;0,SUMIFS(Q:Q,A:A,A926),"."))/VLOOKUP("USD",'Exchange rates'!B:C,2,0),"Error with coding"))),"")</f>
        <v/>
      </c>
      <c r="U926" s="39" t="s">
        <v>233</v>
      </c>
      <c r="V926" s="376" t="s">
        <v>2588</v>
      </c>
      <c r="W926" s="376" t="s">
        <v>2559</v>
      </c>
      <c r="X926" s="528" t="s">
        <v>232</v>
      </c>
      <c r="Y926" s="528" t="s">
        <v>232</v>
      </c>
      <c r="Z926" s="39">
        <v>0</v>
      </c>
      <c r="AA926" s="518">
        <v>0</v>
      </c>
      <c r="AB926" s="394" t="s">
        <v>2593</v>
      </c>
      <c r="AC926" s="519" t="str">
        <f>""</f>
        <v/>
      </c>
      <c r="AD926" s="520">
        <v>0</v>
      </c>
      <c r="AE926" s="590" t="s">
        <v>2590</v>
      </c>
      <c r="AF926" s="520" t="s">
        <v>300</v>
      </c>
      <c r="AG926" s="520">
        <v>1</v>
      </c>
      <c r="AH926" s="520">
        <v>3</v>
      </c>
      <c r="AI926" s="520">
        <v>0</v>
      </c>
      <c r="AJ926" s="520">
        <f>VLOOKUP($I926,'Price List, Weapons &amp; Items'!A:E,5,0)</f>
        <v>0</v>
      </c>
      <c r="AK926" s="520">
        <f t="shared" si="202"/>
        <v>0</v>
      </c>
      <c r="AL926" s="520">
        <f t="shared" si="203"/>
        <v>0</v>
      </c>
      <c r="AM926" s="520">
        <f t="shared" si="204"/>
        <v>0</v>
      </c>
      <c r="AN926" s="521" t="str">
        <f>VLOOKUP($I926,'Price List, Weapons &amp; Items'!A:K,COLUMN('Price List, Weapons &amp; Items'!$I$1),0)</f>
        <v>Military media (incl. websites)</v>
      </c>
      <c r="AO926" s="521" t="str">
        <f>IF(I926=".",".",VLOOKUP($I926,'Price List, Weapons &amp; Items'!A:I,3,0))</f>
        <v>Light Anti-armor Weapon (LAW)</v>
      </c>
      <c r="AP926" s="517" t="str">
        <f t="shared" ca="1" si="199"/>
        <v/>
      </c>
      <c r="AQ926" s="521">
        <f>VLOOKUP($I926,'Price List, Weapons &amp; Items'!A:K,COLUMN('Price List, Weapons &amp; Items'!$K$1),0)</f>
        <v>2</v>
      </c>
      <c r="AS926" s="521">
        <f t="shared" si="205"/>
        <v>1</v>
      </c>
      <c r="AT926" s="521">
        <f t="shared" si="206"/>
        <v>1</v>
      </c>
      <c r="AU926" s="521">
        <f t="shared" si="207"/>
        <v>1</v>
      </c>
      <c r="AV926" s="521" t="str">
        <f t="shared" si="208"/>
        <v>.</v>
      </c>
    </row>
    <row r="927" spans="1:48" ht="15" customHeight="1">
      <c r="A927" s="18" t="s">
        <v>2586</v>
      </c>
      <c r="B927" s="18" t="s">
        <v>2548</v>
      </c>
      <c r="C927" s="511">
        <v>44636</v>
      </c>
      <c r="D927" s="18" t="s">
        <v>252</v>
      </c>
      <c r="E927" s="18" t="s">
        <v>1157</v>
      </c>
      <c r="F927" s="512" t="s">
        <v>2592</v>
      </c>
      <c r="G927" s="39" t="s">
        <v>314</v>
      </c>
      <c r="H927" s="513">
        <v>800000000</v>
      </c>
      <c r="I927" s="41" t="s">
        <v>2289</v>
      </c>
      <c r="J927" s="276" t="str">
        <f>VLOOKUP($I927,'Price List, Weapons &amp; Items'!A:B,2,0)</f>
        <v>Portable defence system</v>
      </c>
      <c r="K927" s="276" t="str">
        <f>IF(I927=".",I927,VLOOKUP($I927,'Price List, Weapons &amp; Items'!A:C,3,0))</f>
        <v>MANPADS</v>
      </c>
      <c r="L927" s="514">
        <f>VLOOKUP(I927,'Price List, Weapons &amp; Items'!A:D,4,0)</f>
        <v>0</v>
      </c>
      <c r="M927" s="515">
        <v>6000</v>
      </c>
      <c r="N927" s="515">
        <f>M927</f>
        <v>6000</v>
      </c>
      <c r="O927" s="516">
        <f>VLOOKUP($I927,'Price List, Weapons &amp; Items'!A:F,6,0)</f>
        <v>1480.64</v>
      </c>
      <c r="P927" s="513">
        <f t="shared" si="200"/>
        <v>8883840</v>
      </c>
      <c r="Q927" s="513">
        <f t="shared" si="201"/>
        <v>8883840</v>
      </c>
      <c r="R927" s="513" t="str">
        <f t="shared" si="217"/>
        <v/>
      </c>
      <c r="S927" s="513" t="str">
        <f>IF(AND(AD927=1,R927&lt;&gt;".")=TRUE,R927/VLOOKUP(G927,'Exchange rates'!B:C,2,0),IF(R927=".",".",""))</f>
        <v/>
      </c>
      <c r="T927" s="513" t="str">
        <f>IF(AD927=1,IF(AF927="Value is not given at all",".",IF(AF927="Value is given by the source",S927,IF(AF927="Value is calculated with prices",(IF(SUMIFS(Q:Q,A:A,A927)&gt;0,SUMIFS(Q:Q,A:A,A927),"."))/VLOOKUP("USD",'Exchange rates'!B:C,2,0),"Error with coding"))),"")</f>
        <v/>
      </c>
      <c r="U927" s="39" t="s">
        <v>233</v>
      </c>
      <c r="V927" s="376" t="s">
        <v>2588</v>
      </c>
      <c r="W927" s="376" t="s">
        <v>2559</v>
      </c>
      <c r="X927" s="528" t="s">
        <v>232</v>
      </c>
      <c r="Y927" s="528" t="s">
        <v>232</v>
      </c>
      <c r="Z927" s="39">
        <v>0</v>
      </c>
      <c r="AA927" s="518">
        <v>0</v>
      </c>
      <c r="AB927" s="394" t="s">
        <v>2593</v>
      </c>
      <c r="AC927" s="519" t="str">
        <f>""</f>
        <v/>
      </c>
      <c r="AD927" s="520">
        <v>0</v>
      </c>
      <c r="AE927" s="590" t="s">
        <v>2590</v>
      </c>
      <c r="AF927" s="520" t="s">
        <v>300</v>
      </c>
      <c r="AG927" s="520">
        <v>1</v>
      </c>
      <c r="AH927" s="520">
        <v>3</v>
      </c>
      <c r="AI927" s="520">
        <v>0</v>
      </c>
      <c r="AJ927" s="520">
        <f>VLOOKUP($I927,'Price List, Weapons &amp; Items'!A:E,5,0)</f>
        <v>0</v>
      </c>
      <c r="AK927" s="520">
        <f t="shared" si="202"/>
        <v>0</v>
      </c>
      <c r="AL927" s="520">
        <f t="shared" si="203"/>
        <v>0</v>
      </c>
      <c r="AM927" s="520">
        <f t="shared" si="204"/>
        <v>0</v>
      </c>
      <c r="AN927" s="521" t="str">
        <f>VLOOKUP($I927,'Price List, Weapons &amp; Items'!A:K,COLUMN('Price List, Weapons &amp; Items'!$I$1),0)</f>
        <v>Military media (incl. websites)</v>
      </c>
      <c r="AO927" s="521" t="str">
        <f>IF(I927=".",".",VLOOKUP($I927,'Price List, Weapons &amp; Items'!A:I,3,0))</f>
        <v>MANPADS</v>
      </c>
      <c r="AP927" s="517" t="str">
        <f t="shared" ca="1" si="199"/>
        <v/>
      </c>
      <c r="AQ927" s="521">
        <f>VLOOKUP($I927,'Price List, Weapons &amp; Items'!A:K,COLUMN('Price List, Weapons &amp; Items'!$K$1),0)</f>
        <v>2</v>
      </c>
      <c r="AS927" s="521">
        <f t="shared" si="205"/>
        <v>1</v>
      </c>
      <c r="AT927" s="521">
        <f t="shared" si="206"/>
        <v>1</v>
      </c>
      <c r="AU927" s="521">
        <f t="shared" si="207"/>
        <v>1</v>
      </c>
      <c r="AV927" s="521" t="str">
        <f t="shared" si="208"/>
        <v>.</v>
      </c>
    </row>
    <row r="928" spans="1:48" ht="15" customHeight="1">
      <c r="A928" s="18" t="s">
        <v>2586</v>
      </c>
      <c r="B928" s="18" t="s">
        <v>2548</v>
      </c>
      <c r="C928" s="511">
        <v>44636</v>
      </c>
      <c r="D928" s="18" t="s">
        <v>252</v>
      </c>
      <c r="E928" s="18" t="s">
        <v>1157</v>
      </c>
      <c r="F928" s="512" t="s">
        <v>2592</v>
      </c>
      <c r="G928" s="39" t="s">
        <v>314</v>
      </c>
      <c r="H928" s="513">
        <v>800000000</v>
      </c>
      <c r="I928" s="41" t="s">
        <v>2595</v>
      </c>
      <c r="J928" s="276" t="str">
        <f>VLOOKUP($I928,'Price List, Weapons &amp; Items'!A:B,2,0)</f>
        <v>Aviation and drones</v>
      </c>
      <c r="K928" s="276" t="str">
        <f>IF(I928=".",I928,VLOOKUP($I928,'Price List, Weapons &amp; Items'!A:C,3,0))</f>
        <v>Unknown drone</v>
      </c>
      <c r="L928" s="514">
        <f>VLOOKUP(I928,'Price List, Weapons &amp; Items'!A:D,4,0)</f>
        <v>0</v>
      </c>
      <c r="M928" s="515">
        <v>100</v>
      </c>
      <c r="N928" s="515">
        <v>100</v>
      </c>
      <c r="O928" s="516">
        <f>VLOOKUP($I928,'Price List, Weapons &amp; Items'!A:F,6,0)</f>
        <v>6000</v>
      </c>
      <c r="P928" s="513">
        <f t="shared" si="200"/>
        <v>600000</v>
      </c>
      <c r="Q928" s="513">
        <f t="shared" si="201"/>
        <v>600000</v>
      </c>
      <c r="R928" s="513" t="str">
        <f t="shared" si="217"/>
        <v/>
      </c>
      <c r="S928" s="513" t="str">
        <f>IF(AND(AD928=1,R928&lt;&gt;".")=TRUE,R928/VLOOKUP(G928,'Exchange rates'!B:C,2,0),IF(R928=".",".",""))</f>
        <v/>
      </c>
      <c r="T928" s="513" t="str">
        <f>IF(AD928=1,IF(AF928="Value is not given at all",".",IF(AF928="Value is given by the source",S928,IF(AF928="Value is calculated with prices",(IF(SUMIFS(Q:Q,A:A,A928)&gt;0,SUMIFS(Q:Q,A:A,A928),"."))/VLOOKUP("USD",'Exchange rates'!B:C,2,0),"Error with coding"))),"")</f>
        <v/>
      </c>
      <c r="U928" s="39" t="s">
        <v>233</v>
      </c>
      <c r="V928" s="376" t="s">
        <v>2588</v>
      </c>
      <c r="W928" s="376" t="s">
        <v>2559</v>
      </c>
      <c r="X928" s="528" t="s">
        <v>232</v>
      </c>
      <c r="Y928" s="528" t="s">
        <v>232</v>
      </c>
      <c r="Z928" s="39">
        <v>0</v>
      </c>
      <c r="AA928" s="518">
        <v>0</v>
      </c>
      <c r="AB928" s="394" t="s">
        <v>2593</v>
      </c>
      <c r="AC928" s="519" t="str">
        <f>""</f>
        <v/>
      </c>
      <c r="AD928" s="520">
        <v>0</v>
      </c>
      <c r="AE928" s="590" t="s">
        <v>2590</v>
      </c>
      <c r="AF928" s="520" t="s">
        <v>300</v>
      </c>
      <c r="AG928" s="520">
        <v>1</v>
      </c>
      <c r="AH928" s="520">
        <v>3</v>
      </c>
      <c r="AI928" s="520">
        <v>0</v>
      </c>
      <c r="AJ928" s="520">
        <f>VLOOKUP($I928,'Price List, Weapons &amp; Items'!A:E,5,0)</f>
        <v>0</v>
      </c>
      <c r="AK928" s="520">
        <f t="shared" si="202"/>
        <v>0</v>
      </c>
      <c r="AL928" s="520">
        <f t="shared" si="203"/>
        <v>0</v>
      </c>
      <c r="AM928" s="520">
        <f t="shared" si="204"/>
        <v>0</v>
      </c>
      <c r="AN928" s="521" t="str">
        <f>VLOOKUP($I928,'Price List, Weapons &amp; Items'!A:K,COLUMN('Price List, Weapons &amp; Items'!$I$1),0)</f>
        <v>Miscellaneous</v>
      </c>
      <c r="AO928" s="521" t="str">
        <f>IF(I928=".",".",VLOOKUP($I928,'Price List, Weapons &amp; Items'!A:I,3,0))</f>
        <v>Unknown drone</v>
      </c>
      <c r="AP928" s="517" t="str">
        <f t="shared" ca="1" si="199"/>
        <v/>
      </c>
      <c r="AQ928" s="521">
        <f>VLOOKUP($I928,'Price List, Weapons &amp; Items'!A:K,COLUMN('Price List, Weapons &amp; Items'!$K$1),0)</f>
        <v>1</v>
      </c>
      <c r="AS928" s="521">
        <f t="shared" si="205"/>
        <v>1</v>
      </c>
      <c r="AT928" s="521">
        <f t="shared" si="206"/>
        <v>1</v>
      </c>
      <c r="AU928" s="521">
        <f t="shared" si="207"/>
        <v>1</v>
      </c>
      <c r="AV928" s="521" t="str">
        <f t="shared" si="208"/>
        <v>.</v>
      </c>
    </row>
    <row r="929" spans="1:48" ht="15" customHeight="1">
      <c r="A929" s="18" t="s">
        <v>2586</v>
      </c>
      <c r="B929" s="18" t="s">
        <v>2548</v>
      </c>
      <c r="C929" s="511">
        <v>44636</v>
      </c>
      <c r="D929" s="18" t="s">
        <v>252</v>
      </c>
      <c r="E929" s="18" t="s">
        <v>1157</v>
      </c>
      <c r="F929" s="512" t="s">
        <v>2592</v>
      </c>
      <c r="G929" s="39" t="s">
        <v>314</v>
      </c>
      <c r="H929" s="513">
        <v>800000000</v>
      </c>
      <c r="I929" s="41" t="s">
        <v>2596</v>
      </c>
      <c r="J929" s="276" t="str">
        <f>VLOOKUP($I929,'Price List, Weapons &amp; Items'!A:B,2,0)</f>
        <v>Portable defence system</v>
      </c>
      <c r="K929" s="276" t="str">
        <f>IF(I929=".",I929,VLOOKUP($I929,'Price List, Weapons &amp; Items'!A:C,3,0))</f>
        <v>Under-barrel grenade launcher</v>
      </c>
      <c r="L929" s="514">
        <f>VLOOKUP(I929,'Price List, Weapons &amp; Items'!A:D,4,0)</f>
        <v>0</v>
      </c>
      <c r="M929" s="515">
        <v>100</v>
      </c>
      <c r="N929" s="515">
        <f t="shared" ref="N929:N936" si="218">M929</f>
        <v>100</v>
      </c>
      <c r="O929" s="516">
        <f>VLOOKUP($I929,'Price List, Weapons &amp; Items'!A:F,6,0)</f>
        <v>2291</v>
      </c>
      <c r="P929" s="513">
        <f t="shared" si="200"/>
        <v>229100</v>
      </c>
      <c r="Q929" s="513">
        <f t="shared" si="201"/>
        <v>229100</v>
      </c>
      <c r="R929" s="513" t="str">
        <f t="shared" si="217"/>
        <v/>
      </c>
      <c r="S929" s="513" t="str">
        <f>IF(AND(AD929=1,R929&lt;&gt;".")=TRUE,R929/VLOOKUP(G929,'Exchange rates'!B:C,2,0),IF(R929=".",".",""))</f>
        <v/>
      </c>
      <c r="T929" s="513" t="str">
        <f>IF(AD929=1,IF(AF929="Value is not given at all",".",IF(AF929="Value is given by the source",S929,IF(AF929="Value is calculated with prices",(IF(SUMIFS(Q:Q,A:A,A929)&gt;0,SUMIFS(Q:Q,A:A,A929),"."))/VLOOKUP("USD",'Exchange rates'!B:C,2,0),"Error with coding"))),"")</f>
        <v/>
      </c>
      <c r="U929" s="39" t="s">
        <v>233</v>
      </c>
      <c r="V929" s="376" t="s">
        <v>2588</v>
      </c>
      <c r="W929" s="376" t="s">
        <v>2559</v>
      </c>
      <c r="X929" s="528" t="s">
        <v>232</v>
      </c>
      <c r="Y929" s="528" t="s">
        <v>232</v>
      </c>
      <c r="Z929" s="39">
        <v>0</v>
      </c>
      <c r="AA929" s="518">
        <v>0</v>
      </c>
      <c r="AB929" s="394" t="s">
        <v>2593</v>
      </c>
      <c r="AC929" s="519" t="str">
        <f>""</f>
        <v/>
      </c>
      <c r="AD929" s="520">
        <v>0</v>
      </c>
      <c r="AE929" s="590" t="s">
        <v>2590</v>
      </c>
      <c r="AF929" s="520" t="s">
        <v>300</v>
      </c>
      <c r="AG929" s="520">
        <v>1</v>
      </c>
      <c r="AH929" s="520">
        <v>3</v>
      </c>
      <c r="AI929" s="520">
        <v>0</v>
      </c>
      <c r="AJ929" s="520">
        <f>VLOOKUP($I929,'Price List, Weapons &amp; Items'!A:E,5,0)</f>
        <v>0</v>
      </c>
      <c r="AK929" s="520">
        <f t="shared" si="202"/>
        <v>0</v>
      </c>
      <c r="AL929" s="520">
        <f t="shared" si="203"/>
        <v>0</v>
      </c>
      <c r="AM929" s="520">
        <f t="shared" si="204"/>
        <v>0</v>
      </c>
      <c r="AN929" s="521" t="str">
        <f>VLOOKUP($I929,'Price List, Weapons &amp; Items'!A:K,COLUMN('Price List, Weapons &amp; Items'!$I$1),0)</f>
        <v>Miscellaneous</v>
      </c>
      <c r="AO929" s="521" t="str">
        <f>IF(I929=".",".",VLOOKUP($I929,'Price List, Weapons &amp; Items'!A:I,3,0))</f>
        <v>Under-barrel grenade launcher</v>
      </c>
      <c r="AP929" s="517" t="str">
        <f t="shared" ca="1" si="199"/>
        <v/>
      </c>
      <c r="AQ929" s="521">
        <f>VLOOKUP($I929,'Price List, Weapons &amp; Items'!A:K,COLUMN('Price List, Weapons &amp; Items'!$K$1),0)</f>
        <v>2</v>
      </c>
      <c r="AS929" s="521">
        <f t="shared" si="205"/>
        <v>1</v>
      </c>
      <c r="AT929" s="521">
        <f t="shared" si="206"/>
        <v>1</v>
      </c>
      <c r="AU929" s="521">
        <f t="shared" si="207"/>
        <v>1</v>
      </c>
      <c r="AV929" s="521" t="str">
        <f t="shared" si="208"/>
        <v>.</v>
      </c>
    </row>
    <row r="930" spans="1:48" ht="15" customHeight="1">
      <c r="A930" s="18" t="s">
        <v>2586</v>
      </c>
      <c r="B930" s="18" t="s">
        <v>2548</v>
      </c>
      <c r="C930" s="511">
        <v>44636</v>
      </c>
      <c r="D930" s="18" t="s">
        <v>252</v>
      </c>
      <c r="E930" s="18" t="s">
        <v>1157</v>
      </c>
      <c r="F930" s="512" t="s">
        <v>2592</v>
      </c>
      <c r="G930" s="39" t="s">
        <v>314</v>
      </c>
      <c r="H930" s="513">
        <v>800000000</v>
      </c>
      <c r="I930" s="41" t="s">
        <v>2597</v>
      </c>
      <c r="J930" s="276" t="str">
        <f>VLOOKUP($I930,'Price List, Weapons &amp; Items'!A:B,2,0)</f>
        <v>Light armaments &amp; infantry</v>
      </c>
      <c r="K930" s="276" t="str">
        <f>IF(I930=".",I930,VLOOKUP($I930,'Price List, Weapons &amp; Items'!A:C,3,0))</f>
        <v>Small Arms and Light Weapons (SALW)</v>
      </c>
      <c r="L930" s="514">
        <f>VLOOKUP(I930,'Price List, Weapons &amp; Items'!A:D,4,0)</f>
        <v>0</v>
      </c>
      <c r="M930" s="515">
        <v>5000</v>
      </c>
      <c r="N930" s="515">
        <f t="shared" si="218"/>
        <v>5000</v>
      </c>
      <c r="O930" s="516">
        <f>VLOOKUP($I930,'Price List, Weapons &amp; Items'!A:F,6,0)</f>
        <v>800</v>
      </c>
      <c r="P930" s="513">
        <f t="shared" si="200"/>
        <v>4000000</v>
      </c>
      <c r="Q930" s="513">
        <f t="shared" si="201"/>
        <v>4000000</v>
      </c>
      <c r="R930" s="513" t="str">
        <f t="shared" si="217"/>
        <v/>
      </c>
      <c r="S930" s="513" t="str">
        <f>IF(AND(AD930=1,R930&lt;&gt;".")=TRUE,R930/VLOOKUP(G930,'Exchange rates'!B:C,2,0),IF(R930=".",".",""))</f>
        <v/>
      </c>
      <c r="T930" s="513" t="str">
        <f>IF(AD930=1,IF(AF930="Value is not given at all",".",IF(AF930="Value is given by the source",S930,IF(AF930="Value is calculated with prices",(IF(SUMIFS(Q:Q,A:A,A930)&gt;0,SUMIFS(Q:Q,A:A,A930),"."))/VLOOKUP("USD",'Exchange rates'!B:C,2,0),"Error with coding"))),"")</f>
        <v/>
      </c>
      <c r="U930" s="39" t="s">
        <v>233</v>
      </c>
      <c r="V930" s="376" t="s">
        <v>2588</v>
      </c>
      <c r="W930" s="376" t="s">
        <v>2559</v>
      </c>
      <c r="X930" s="528" t="s">
        <v>232</v>
      </c>
      <c r="Y930" s="528" t="s">
        <v>232</v>
      </c>
      <c r="Z930" s="39">
        <v>0</v>
      </c>
      <c r="AA930" s="518">
        <v>0</v>
      </c>
      <c r="AB930" s="394" t="s">
        <v>2593</v>
      </c>
      <c r="AC930" s="519" t="str">
        <f>""</f>
        <v/>
      </c>
      <c r="AD930" s="520">
        <v>0</v>
      </c>
      <c r="AE930" s="590" t="s">
        <v>2590</v>
      </c>
      <c r="AF930" s="520" t="s">
        <v>300</v>
      </c>
      <c r="AG930" s="520">
        <v>1</v>
      </c>
      <c r="AH930" s="520">
        <v>3</v>
      </c>
      <c r="AI930" s="520">
        <v>0</v>
      </c>
      <c r="AJ930" s="520">
        <f>VLOOKUP($I930,'Price List, Weapons &amp; Items'!A:E,5,0)</f>
        <v>0</v>
      </c>
      <c r="AK930" s="520">
        <f t="shared" si="202"/>
        <v>0</v>
      </c>
      <c r="AL930" s="520">
        <f t="shared" si="203"/>
        <v>0</v>
      </c>
      <c r="AM930" s="520">
        <f t="shared" si="204"/>
        <v>0</v>
      </c>
      <c r="AN930" s="521" t="str">
        <f>VLOOKUP($I930,'Price List, Weapons &amp; Items'!A:K,COLUMN('Price List, Weapons &amp; Items'!$I$1),0)</f>
        <v>Military media (incl. websites)</v>
      </c>
      <c r="AO930" s="521" t="str">
        <f>IF(I930=".",".",VLOOKUP($I930,'Price List, Weapons &amp; Items'!A:I,3,0))</f>
        <v>Small Arms and Light Weapons (SALW)</v>
      </c>
      <c r="AP930" s="517" t="str">
        <f t="shared" ca="1" si="199"/>
        <v/>
      </c>
      <c r="AQ930" s="521">
        <f>VLOOKUP($I930,'Price List, Weapons &amp; Items'!A:K,COLUMN('Price List, Weapons &amp; Items'!$K$1),0)</f>
        <v>2</v>
      </c>
      <c r="AS930" s="521">
        <f t="shared" si="205"/>
        <v>1</v>
      </c>
      <c r="AT930" s="521">
        <f t="shared" si="206"/>
        <v>1</v>
      </c>
      <c r="AU930" s="521">
        <f t="shared" si="207"/>
        <v>1</v>
      </c>
      <c r="AV930" s="521" t="str">
        <f t="shared" si="208"/>
        <v>.</v>
      </c>
    </row>
    <row r="931" spans="1:48" ht="15" customHeight="1">
      <c r="A931" s="18" t="s">
        <v>2586</v>
      </c>
      <c r="B931" s="18" t="s">
        <v>2548</v>
      </c>
      <c r="C931" s="511">
        <v>44636</v>
      </c>
      <c r="D931" s="18" t="s">
        <v>252</v>
      </c>
      <c r="E931" s="18" t="s">
        <v>1157</v>
      </c>
      <c r="F931" s="512" t="s">
        <v>2592</v>
      </c>
      <c r="G931" s="39" t="s">
        <v>314</v>
      </c>
      <c r="H931" s="513">
        <v>800000000</v>
      </c>
      <c r="I931" s="41" t="s">
        <v>2598</v>
      </c>
      <c r="J931" s="276" t="str">
        <f>VLOOKUP($I931,'Price List, Weapons &amp; Items'!A:B,2,0)</f>
        <v>Light armaments &amp; infantry</v>
      </c>
      <c r="K931" s="276" t="str">
        <f>IF(I931=".",I931,VLOOKUP($I931,'Price List, Weapons &amp; Items'!A:C,3,0))</f>
        <v>Small Arms and Light Weapons (SALW)</v>
      </c>
      <c r="L931" s="514">
        <f>VLOOKUP(I931,'Price List, Weapons &amp; Items'!A:D,4,0)</f>
        <v>0</v>
      </c>
      <c r="M931" s="515">
        <v>1000</v>
      </c>
      <c r="N931" s="515">
        <f t="shared" si="218"/>
        <v>1000</v>
      </c>
      <c r="O931" s="516">
        <f>VLOOKUP($I931,'Price List, Weapons &amp; Items'!A:F,6,0)</f>
        <v>1071.6400000000001</v>
      </c>
      <c r="P931" s="513">
        <f t="shared" si="200"/>
        <v>1071640</v>
      </c>
      <c r="Q931" s="513">
        <f t="shared" si="201"/>
        <v>1071640</v>
      </c>
      <c r="R931" s="513" t="str">
        <f t="shared" si="217"/>
        <v/>
      </c>
      <c r="S931" s="513" t="str">
        <f>IF(AND(AD931=1,R931&lt;&gt;".")=TRUE,R931/VLOOKUP(G931,'Exchange rates'!B:C,2,0),IF(R931=".",".",""))</f>
        <v/>
      </c>
      <c r="T931" s="513" t="str">
        <f>IF(AD931=1,IF(AF931="Value is not given at all",".",IF(AF931="Value is given by the source",S931,IF(AF931="Value is calculated with prices",(IF(SUMIFS(Q:Q,A:A,A931)&gt;0,SUMIFS(Q:Q,A:A,A931),"."))/VLOOKUP("USD",'Exchange rates'!B:C,2,0),"Error with coding"))),"")</f>
        <v/>
      </c>
      <c r="U931" s="39" t="s">
        <v>233</v>
      </c>
      <c r="V931" s="376" t="s">
        <v>2588</v>
      </c>
      <c r="W931" s="376" t="s">
        <v>2559</v>
      </c>
      <c r="X931" s="528" t="s">
        <v>232</v>
      </c>
      <c r="Y931" s="528" t="s">
        <v>232</v>
      </c>
      <c r="Z931" s="39">
        <v>0</v>
      </c>
      <c r="AA931" s="518">
        <v>0</v>
      </c>
      <c r="AB931" s="394" t="s">
        <v>2593</v>
      </c>
      <c r="AC931" s="519" t="str">
        <f>""</f>
        <v/>
      </c>
      <c r="AD931" s="520">
        <v>0</v>
      </c>
      <c r="AE931" s="590" t="s">
        <v>2590</v>
      </c>
      <c r="AF931" s="520" t="s">
        <v>300</v>
      </c>
      <c r="AG931" s="520">
        <v>1</v>
      </c>
      <c r="AH931" s="520">
        <v>3</v>
      </c>
      <c r="AI931" s="520">
        <v>0</v>
      </c>
      <c r="AJ931" s="520">
        <f>VLOOKUP($I931,'Price List, Weapons &amp; Items'!A:E,5,0)</f>
        <v>0</v>
      </c>
      <c r="AK931" s="520">
        <f t="shared" si="202"/>
        <v>0</v>
      </c>
      <c r="AL931" s="520">
        <f t="shared" si="203"/>
        <v>0</v>
      </c>
      <c r="AM931" s="520">
        <f t="shared" si="204"/>
        <v>0</v>
      </c>
      <c r="AN931" s="521" t="str">
        <f>VLOOKUP($I931,'Price List, Weapons &amp; Items'!A:K,COLUMN('Price List, Weapons &amp; Items'!$I$1),0)</f>
        <v>Online marketplaces and stores</v>
      </c>
      <c r="AO931" s="521" t="str">
        <f>IF(I931=".",".",VLOOKUP($I931,'Price List, Weapons &amp; Items'!A:I,3,0))</f>
        <v>Small Arms and Light Weapons (SALW)</v>
      </c>
      <c r="AP931" s="517" t="str">
        <f t="shared" ca="1" si="199"/>
        <v/>
      </c>
      <c r="AQ931" s="521">
        <f>VLOOKUP($I931,'Price List, Weapons &amp; Items'!A:K,COLUMN('Price List, Weapons &amp; Items'!$K$1),0)</f>
        <v>2</v>
      </c>
      <c r="AS931" s="521">
        <f t="shared" si="205"/>
        <v>1</v>
      </c>
      <c r="AT931" s="521">
        <f t="shared" si="206"/>
        <v>1</v>
      </c>
      <c r="AU931" s="521">
        <f t="shared" si="207"/>
        <v>1</v>
      </c>
      <c r="AV931" s="521" t="str">
        <f t="shared" si="208"/>
        <v>.</v>
      </c>
    </row>
    <row r="932" spans="1:48" ht="15" customHeight="1">
      <c r="A932" s="18" t="s">
        <v>2586</v>
      </c>
      <c r="B932" s="18" t="s">
        <v>2548</v>
      </c>
      <c r="C932" s="511">
        <v>44636</v>
      </c>
      <c r="D932" s="18" t="s">
        <v>252</v>
      </c>
      <c r="E932" s="18" t="s">
        <v>1157</v>
      </c>
      <c r="F932" s="512" t="s">
        <v>2592</v>
      </c>
      <c r="G932" s="39" t="s">
        <v>314</v>
      </c>
      <c r="H932" s="513">
        <v>800000000</v>
      </c>
      <c r="I932" s="41" t="s">
        <v>2599</v>
      </c>
      <c r="J932" s="276" t="str">
        <f>VLOOKUP($I932,'Price List, Weapons &amp; Items'!A:B,2,0)</f>
        <v>Light armaments &amp; infantry</v>
      </c>
      <c r="K932" s="276" t="str">
        <f>IF(I932=".",I932,VLOOKUP($I932,'Price List, Weapons &amp; Items'!A:C,3,0))</f>
        <v>Small Arms and Light Weapons (SALW)</v>
      </c>
      <c r="L932" s="514">
        <f>VLOOKUP(I932,'Price List, Weapons &amp; Items'!A:D,4,0)</f>
        <v>0</v>
      </c>
      <c r="M932" s="515">
        <v>400</v>
      </c>
      <c r="N932" s="515">
        <f t="shared" si="218"/>
        <v>400</v>
      </c>
      <c r="O932" s="516">
        <f>VLOOKUP($I932,'Price List, Weapons &amp; Items'!A:F,6,0)</f>
        <v>5300</v>
      </c>
      <c r="P932" s="513">
        <f t="shared" si="200"/>
        <v>2120000</v>
      </c>
      <c r="Q932" s="513">
        <f t="shared" si="201"/>
        <v>2120000</v>
      </c>
      <c r="R932" s="513" t="str">
        <f t="shared" si="217"/>
        <v/>
      </c>
      <c r="S932" s="513" t="str">
        <f>IF(AND(AD932=1,R932&lt;&gt;".")=TRUE,R932/VLOOKUP(G932,'Exchange rates'!B:C,2,0),IF(R932=".",".",""))</f>
        <v/>
      </c>
      <c r="T932" s="513" t="str">
        <f>IF(AD932=1,IF(AF932="Value is not given at all",".",IF(AF932="Value is given by the source",S932,IF(AF932="Value is calculated with prices",(IF(SUMIFS(Q:Q,A:A,A932)&gt;0,SUMIFS(Q:Q,A:A,A932),"."))/VLOOKUP("USD",'Exchange rates'!B:C,2,0),"Error with coding"))),"")</f>
        <v/>
      </c>
      <c r="U932" s="39" t="s">
        <v>233</v>
      </c>
      <c r="V932" s="376" t="s">
        <v>2588</v>
      </c>
      <c r="W932" s="376" t="s">
        <v>2559</v>
      </c>
      <c r="X932" s="528" t="s">
        <v>232</v>
      </c>
      <c r="Y932" s="528" t="s">
        <v>232</v>
      </c>
      <c r="Z932" s="39">
        <v>0</v>
      </c>
      <c r="AA932" s="518">
        <v>0</v>
      </c>
      <c r="AB932" s="394" t="s">
        <v>2593</v>
      </c>
      <c r="AC932" s="519" t="str">
        <f>""</f>
        <v/>
      </c>
      <c r="AD932" s="520">
        <v>0</v>
      </c>
      <c r="AE932" s="590" t="s">
        <v>2590</v>
      </c>
      <c r="AF932" s="520" t="s">
        <v>300</v>
      </c>
      <c r="AG932" s="520">
        <v>1</v>
      </c>
      <c r="AH932" s="520">
        <v>3</v>
      </c>
      <c r="AI932" s="520">
        <v>0</v>
      </c>
      <c r="AJ932" s="520">
        <f>VLOOKUP($I932,'Price List, Weapons &amp; Items'!A:E,5,0)</f>
        <v>0</v>
      </c>
      <c r="AK932" s="520">
        <f t="shared" si="202"/>
        <v>0</v>
      </c>
      <c r="AL932" s="520">
        <f t="shared" si="203"/>
        <v>0</v>
      </c>
      <c r="AM932" s="520">
        <f t="shared" si="204"/>
        <v>0</v>
      </c>
      <c r="AN932" s="521" t="str">
        <f>VLOOKUP($I932,'Price List, Weapons &amp; Items'!A:K,COLUMN('Price List, Weapons &amp; Items'!$I$1),0)</f>
        <v>Miscellaneous</v>
      </c>
      <c r="AO932" s="521" t="str">
        <f>IF(I932=".",".",VLOOKUP($I932,'Price List, Weapons &amp; Items'!A:I,3,0))</f>
        <v>Small Arms and Light Weapons (SALW)</v>
      </c>
      <c r="AP932" s="517" t="str">
        <f t="shared" ref="AP932:AP995" ca="1" si="219">IF(AD932=1,_xlfn.ARRAYTOTEXT(OFFSET(I932,0,0,COUNTIF(A:A,A932),1)),"")</f>
        <v/>
      </c>
      <c r="AQ932" s="521">
        <f>VLOOKUP($I932,'Price List, Weapons &amp; Items'!A:K,COLUMN('Price List, Weapons &amp; Items'!$K$1),0)</f>
        <v>2</v>
      </c>
      <c r="AS932" s="521">
        <f t="shared" si="205"/>
        <v>1</v>
      </c>
      <c r="AT932" s="521">
        <f t="shared" si="206"/>
        <v>1</v>
      </c>
      <c r="AU932" s="521">
        <f t="shared" si="207"/>
        <v>1</v>
      </c>
      <c r="AV932" s="521" t="str">
        <f t="shared" si="208"/>
        <v>.</v>
      </c>
    </row>
    <row r="933" spans="1:48" ht="15" customHeight="1">
      <c r="A933" s="18" t="s">
        <v>2586</v>
      </c>
      <c r="B933" s="18" t="s">
        <v>2548</v>
      </c>
      <c r="C933" s="511">
        <v>44636</v>
      </c>
      <c r="D933" s="18" t="s">
        <v>252</v>
      </c>
      <c r="E933" s="18" t="s">
        <v>1157</v>
      </c>
      <c r="F933" s="512" t="s">
        <v>2592</v>
      </c>
      <c r="G933" s="39" t="s">
        <v>314</v>
      </c>
      <c r="H933" s="513">
        <v>800000000</v>
      </c>
      <c r="I933" s="41" t="s">
        <v>2600</v>
      </c>
      <c r="J933" s="276" t="str">
        <f>VLOOKUP($I933,'Price List, Weapons &amp; Items'!A:B,2,0)</f>
        <v>Light armaments &amp; infantry</v>
      </c>
      <c r="K933" s="276" t="str">
        <f>IF(I933=".",I933,VLOOKUP($I933,'Price List, Weapons &amp; Items'!A:C,3,0))</f>
        <v>Small Arms and Light Weapons (SALW)</v>
      </c>
      <c r="L933" s="514">
        <f>VLOOKUP(I933,'Price List, Weapons &amp; Items'!A:D,4,0)</f>
        <v>0</v>
      </c>
      <c r="M933" s="515">
        <v>400</v>
      </c>
      <c r="N933" s="515">
        <f t="shared" si="218"/>
        <v>400</v>
      </c>
      <c r="O933" s="516">
        <f>VLOOKUP($I933,'Price List, Weapons &amp; Items'!A:F,6,0)</f>
        <v>1100</v>
      </c>
      <c r="P933" s="513">
        <f t="shared" si="200"/>
        <v>440000</v>
      </c>
      <c r="Q933" s="513">
        <f t="shared" si="201"/>
        <v>440000</v>
      </c>
      <c r="R933" s="513" t="str">
        <f t="shared" si="217"/>
        <v/>
      </c>
      <c r="S933" s="513" t="str">
        <f>IF(AND(AD933=1,R933&lt;&gt;".")=TRUE,R933/VLOOKUP(G933,'Exchange rates'!B:C,2,0),IF(R933=".",".",""))</f>
        <v/>
      </c>
      <c r="T933" s="513" t="str">
        <f>IF(AD933=1,IF(AF933="Value is not given at all",".",IF(AF933="Value is given by the source",S933,IF(AF933="Value is calculated with prices",(IF(SUMIFS(Q:Q,A:A,A933)&gt;0,SUMIFS(Q:Q,A:A,A933),"."))/VLOOKUP("USD",'Exchange rates'!B:C,2,0),"Error with coding"))),"")</f>
        <v/>
      </c>
      <c r="U933" s="39" t="s">
        <v>233</v>
      </c>
      <c r="V933" s="376" t="s">
        <v>2588</v>
      </c>
      <c r="W933" s="376" t="s">
        <v>2559</v>
      </c>
      <c r="X933" s="528" t="s">
        <v>232</v>
      </c>
      <c r="Y933" s="528" t="s">
        <v>232</v>
      </c>
      <c r="Z933" s="39">
        <v>0</v>
      </c>
      <c r="AA933" s="518">
        <v>0</v>
      </c>
      <c r="AB933" s="394" t="s">
        <v>2593</v>
      </c>
      <c r="AC933" s="519" t="str">
        <f>""</f>
        <v/>
      </c>
      <c r="AD933" s="520">
        <v>0</v>
      </c>
      <c r="AE933" s="590" t="s">
        <v>2590</v>
      </c>
      <c r="AF933" s="520" t="s">
        <v>300</v>
      </c>
      <c r="AG933" s="520">
        <v>1</v>
      </c>
      <c r="AH933" s="520">
        <v>3</v>
      </c>
      <c r="AI933" s="520">
        <v>0</v>
      </c>
      <c r="AJ933" s="520">
        <f>VLOOKUP($I933,'Price List, Weapons &amp; Items'!A:E,5,0)</f>
        <v>0</v>
      </c>
      <c r="AK933" s="520">
        <f t="shared" si="202"/>
        <v>0</v>
      </c>
      <c r="AL933" s="520">
        <f t="shared" si="203"/>
        <v>0</v>
      </c>
      <c r="AM933" s="520">
        <f t="shared" si="204"/>
        <v>0</v>
      </c>
      <c r="AN933" s="521" t="str">
        <f>VLOOKUP($I933,'Price List, Weapons &amp; Items'!A:K,COLUMN('Price List, Weapons &amp; Items'!$I$1),0)</f>
        <v>Online marketplaces and stores</v>
      </c>
      <c r="AO933" s="521" t="str">
        <f>IF(I933=".",".",VLOOKUP($I933,'Price List, Weapons &amp; Items'!A:I,3,0))</f>
        <v>Small Arms and Light Weapons (SALW)</v>
      </c>
      <c r="AP933" s="517" t="str">
        <f t="shared" ca="1" si="219"/>
        <v/>
      </c>
      <c r="AQ933" s="521">
        <f>VLOOKUP($I933,'Price List, Weapons &amp; Items'!A:K,COLUMN('Price List, Weapons &amp; Items'!$K$1),0)</f>
        <v>1</v>
      </c>
      <c r="AS933" s="521">
        <f t="shared" si="205"/>
        <v>1</v>
      </c>
      <c r="AT933" s="521">
        <f t="shared" si="206"/>
        <v>1</v>
      </c>
      <c r="AU933" s="521">
        <f t="shared" si="207"/>
        <v>1</v>
      </c>
      <c r="AV933" s="521" t="str">
        <f t="shared" si="208"/>
        <v>.</v>
      </c>
    </row>
    <row r="934" spans="1:48" ht="15" customHeight="1">
      <c r="A934" s="18" t="s">
        <v>2586</v>
      </c>
      <c r="B934" s="18" t="s">
        <v>2548</v>
      </c>
      <c r="C934" s="511">
        <v>44636</v>
      </c>
      <c r="D934" s="18" t="s">
        <v>252</v>
      </c>
      <c r="E934" s="18" t="s">
        <v>1157</v>
      </c>
      <c r="F934" s="512" t="s">
        <v>2592</v>
      </c>
      <c r="G934" s="39" t="s">
        <v>314</v>
      </c>
      <c r="H934" s="513">
        <v>800000000</v>
      </c>
      <c r="I934" s="41" t="s">
        <v>2601</v>
      </c>
      <c r="J934" s="276" t="str">
        <f>VLOOKUP($I934,'Price List, Weapons &amp; Items'!A:B,2,0)</f>
        <v>Ammunition for light infantry</v>
      </c>
      <c r="K934" s="276" t="str">
        <f>IF(I934=".",I934,VLOOKUP($I934,'Price List, Weapons &amp; Items'!A:C,3,0))</f>
        <v>Small Arms and Light Weapons (SALW) ammunition</v>
      </c>
      <c r="L934" s="514">
        <f>VLOOKUP(I934,'Price List, Weapons &amp; Items'!A:D,4,0)</f>
        <v>0</v>
      </c>
      <c r="M934" s="515">
        <v>20000000</v>
      </c>
      <c r="N934" s="515">
        <f t="shared" si="218"/>
        <v>20000000</v>
      </c>
      <c r="O934" s="516">
        <f>VLOOKUP($I934,'Price List, Weapons &amp; Items'!A:F,6,0)</f>
        <v>5</v>
      </c>
      <c r="P934" s="513">
        <f t="shared" si="200"/>
        <v>100000000</v>
      </c>
      <c r="Q934" s="513">
        <f t="shared" si="201"/>
        <v>100000000</v>
      </c>
      <c r="R934" s="513" t="str">
        <f t="shared" si="217"/>
        <v/>
      </c>
      <c r="S934" s="513" t="str">
        <f>IF(AND(AD934=1,R934&lt;&gt;".")=TRUE,R934/VLOOKUP(G934,'Exchange rates'!B:C,2,0),IF(R934=".",".",""))</f>
        <v/>
      </c>
      <c r="T934" s="513" t="str">
        <f>IF(AD934=1,IF(AF934="Value is not given at all",".",IF(AF934="Value is given by the source",S934,IF(AF934="Value is calculated with prices",(IF(SUMIFS(Q:Q,A:A,A934)&gt;0,SUMIFS(Q:Q,A:A,A934),"."))/VLOOKUP("USD",'Exchange rates'!B:C,2,0),"Error with coding"))),"")</f>
        <v/>
      </c>
      <c r="U934" s="39" t="s">
        <v>233</v>
      </c>
      <c r="V934" s="376" t="s">
        <v>2588</v>
      </c>
      <c r="W934" s="376" t="s">
        <v>2559</v>
      </c>
      <c r="X934" s="528" t="s">
        <v>232</v>
      </c>
      <c r="Y934" s="528" t="s">
        <v>232</v>
      </c>
      <c r="Z934" s="39">
        <v>0</v>
      </c>
      <c r="AA934" s="518">
        <v>0</v>
      </c>
      <c r="AB934" s="394" t="s">
        <v>2593</v>
      </c>
      <c r="AC934" s="519" t="str">
        <f>""</f>
        <v/>
      </c>
      <c r="AD934" s="520">
        <v>0</v>
      </c>
      <c r="AE934" s="590" t="s">
        <v>2590</v>
      </c>
      <c r="AF934" s="520" t="s">
        <v>300</v>
      </c>
      <c r="AG934" s="520">
        <v>1</v>
      </c>
      <c r="AH934" s="520">
        <v>3</v>
      </c>
      <c r="AI934" s="520">
        <v>0</v>
      </c>
      <c r="AJ934" s="520">
        <f>VLOOKUP($I934,'Price List, Weapons &amp; Items'!A:E,5,0)</f>
        <v>0</v>
      </c>
      <c r="AK934" s="520">
        <f t="shared" si="202"/>
        <v>0</v>
      </c>
      <c r="AL934" s="520">
        <f t="shared" si="203"/>
        <v>0</v>
      </c>
      <c r="AM934" s="520">
        <f t="shared" si="204"/>
        <v>1</v>
      </c>
      <c r="AN934" s="521" t="str">
        <f>VLOOKUP($I934,'Price List, Weapons &amp; Items'!A:K,COLUMN('Price List, Weapons &amp; Items'!$I$1),0)</f>
        <v>Miscellaneous</v>
      </c>
      <c r="AO934" s="521" t="str">
        <f>IF(I934=".",".",VLOOKUP($I934,'Price List, Weapons &amp; Items'!A:I,3,0))</f>
        <v>Small Arms and Light Weapons (SALW) ammunition</v>
      </c>
      <c r="AP934" s="517" t="str">
        <f t="shared" ca="1" si="219"/>
        <v/>
      </c>
      <c r="AQ934" s="521">
        <f>VLOOKUP($I934,'Price List, Weapons &amp; Items'!A:K,COLUMN('Price List, Weapons &amp; Items'!$K$1),0)</f>
        <v>2</v>
      </c>
      <c r="AS934" s="521">
        <f t="shared" si="205"/>
        <v>1</v>
      </c>
      <c r="AT934" s="521">
        <f t="shared" si="206"/>
        <v>1</v>
      </c>
      <c r="AU934" s="521">
        <f t="shared" si="207"/>
        <v>1</v>
      </c>
      <c r="AV934" s="521" t="str">
        <f t="shared" si="208"/>
        <v>.</v>
      </c>
    </row>
    <row r="935" spans="1:48" ht="15" customHeight="1">
      <c r="A935" s="18" t="s">
        <v>2586</v>
      </c>
      <c r="B935" s="18" t="s">
        <v>2548</v>
      </c>
      <c r="C935" s="511">
        <v>44636</v>
      </c>
      <c r="D935" s="18" t="s">
        <v>252</v>
      </c>
      <c r="E935" s="18" t="s">
        <v>1157</v>
      </c>
      <c r="F935" s="512" t="s">
        <v>2592</v>
      </c>
      <c r="G935" s="39" t="s">
        <v>314</v>
      </c>
      <c r="H935" s="513">
        <v>800000000</v>
      </c>
      <c r="I935" s="41" t="s">
        <v>446</v>
      </c>
      <c r="J935" s="276" t="str">
        <f>VLOOKUP($I935,'Price List, Weapons &amp; Items'!A:B,2,0)</f>
        <v>Military equipment</v>
      </c>
      <c r="K935" s="276" t="str">
        <f>IF(I935=".",I935,VLOOKUP($I935,'Price List, Weapons &amp; Items'!A:C,3,0))</f>
        <v>.</v>
      </c>
      <c r="L935" s="514">
        <f>VLOOKUP(I935,'Price List, Weapons &amp; Items'!A:D,4,0)</f>
        <v>0</v>
      </c>
      <c r="M935" s="515">
        <v>25000</v>
      </c>
      <c r="N935" s="515">
        <f t="shared" si="218"/>
        <v>25000</v>
      </c>
      <c r="O935" s="516">
        <f>VLOOKUP($I935,'Price List, Weapons &amp; Items'!A:F,6,0)</f>
        <v>500</v>
      </c>
      <c r="P935" s="513">
        <f t="shared" si="200"/>
        <v>12500000</v>
      </c>
      <c r="Q935" s="513">
        <f t="shared" si="201"/>
        <v>12500000</v>
      </c>
      <c r="R935" s="513" t="str">
        <f t="shared" si="217"/>
        <v/>
      </c>
      <c r="S935" s="513" t="str">
        <f>IF(AND(AD935=1,R935&lt;&gt;".")=TRUE,R935/VLOOKUP(G935,'Exchange rates'!B:C,2,0),IF(R935=".",".",""))</f>
        <v/>
      </c>
      <c r="T935" s="513" t="str">
        <f>IF(AD935=1,IF(AF935="Value is not given at all",".",IF(AF935="Value is given by the source",S935,IF(AF935="Value is calculated with prices",(IF(SUMIFS(Q:Q,A:A,A935)&gt;0,SUMIFS(Q:Q,A:A,A935),"."))/VLOOKUP("USD",'Exchange rates'!B:C,2,0),"Error with coding"))),"")</f>
        <v/>
      </c>
      <c r="U935" s="39" t="s">
        <v>233</v>
      </c>
      <c r="V935" s="376" t="s">
        <v>2588</v>
      </c>
      <c r="W935" s="376" t="s">
        <v>2559</v>
      </c>
      <c r="X935" s="528" t="s">
        <v>232</v>
      </c>
      <c r="Y935" s="528" t="s">
        <v>232</v>
      </c>
      <c r="Z935" s="39">
        <v>0</v>
      </c>
      <c r="AA935" s="518">
        <v>0</v>
      </c>
      <c r="AB935" s="394" t="s">
        <v>2593</v>
      </c>
      <c r="AC935" s="519" t="str">
        <f>""</f>
        <v/>
      </c>
      <c r="AD935" s="520">
        <v>0</v>
      </c>
      <c r="AE935" s="590" t="s">
        <v>2590</v>
      </c>
      <c r="AF935" s="520" t="s">
        <v>300</v>
      </c>
      <c r="AG935" s="520">
        <v>1</v>
      </c>
      <c r="AH935" s="520">
        <v>3</v>
      </c>
      <c r="AI935" s="520">
        <v>0</v>
      </c>
      <c r="AJ935" s="520">
        <f>VLOOKUP($I935,'Price List, Weapons &amp; Items'!A:E,5,0)</f>
        <v>0</v>
      </c>
      <c r="AK935" s="520">
        <f t="shared" si="202"/>
        <v>0</v>
      </c>
      <c r="AL935" s="520">
        <f t="shared" si="203"/>
        <v>0</v>
      </c>
      <c r="AM935" s="520">
        <f t="shared" si="204"/>
        <v>0</v>
      </c>
      <c r="AN935" s="521" t="str">
        <f>VLOOKUP($I935,'Price List, Weapons &amp; Items'!A:K,COLUMN('Price List, Weapons &amp; Items'!$I$1),0)</f>
        <v>Military media (incl. websites)</v>
      </c>
      <c r="AO935" s="521" t="str">
        <f>IF(I935=".",".",VLOOKUP($I935,'Price List, Weapons &amp; Items'!A:I,3,0))</f>
        <v>.</v>
      </c>
      <c r="AP935" s="517" t="str">
        <f t="shared" ca="1" si="219"/>
        <v/>
      </c>
      <c r="AQ935" s="521">
        <f>VLOOKUP($I935,'Price List, Weapons &amp; Items'!A:K,COLUMN('Price List, Weapons &amp; Items'!$K$1),0)</f>
        <v>2</v>
      </c>
      <c r="AS935" s="521">
        <f t="shared" si="205"/>
        <v>1</v>
      </c>
      <c r="AT935" s="521">
        <f t="shared" si="206"/>
        <v>1</v>
      </c>
      <c r="AU935" s="521">
        <f t="shared" si="207"/>
        <v>1</v>
      </c>
      <c r="AV935" s="521" t="str">
        <f t="shared" si="208"/>
        <v>.</v>
      </c>
    </row>
    <row r="936" spans="1:48" ht="15" customHeight="1">
      <c r="A936" s="18" t="s">
        <v>2586</v>
      </c>
      <c r="B936" s="18" t="s">
        <v>2548</v>
      </c>
      <c r="C936" s="511">
        <v>44636</v>
      </c>
      <c r="D936" s="18" t="s">
        <v>252</v>
      </c>
      <c r="E936" s="18" t="s">
        <v>1157</v>
      </c>
      <c r="F936" s="512" t="s">
        <v>2592</v>
      </c>
      <c r="G936" s="39" t="s">
        <v>314</v>
      </c>
      <c r="H936" s="513">
        <v>800000000</v>
      </c>
      <c r="I936" s="41" t="s">
        <v>419</v>
      </c>
      <c r="J936" s="276" t="str">
        <f>VLOOKUP($I936,'Price List, Weapons &amp; Items'!A:B,2,0)</f>
        <v>Military equipment</v>
      </c>
      <c r="K936" s="276" t="str">
        <f>IF(I936=".",I936,VLOOKUP($I936,'Price List, Weapons &amp; Items'!A:C,3,0))</f>
        <v>.</v>
      </c>
      <c r="L936" s="514">
        <f>VLOOKUP(I936,'Price List, Weapons &amp; Items'!A:D,4,0)</f>
        <v>0</v>
      </c>
      <c r="M936" s="515">
        <v>25000</v>
      </c>
      <c r="N936" s="515">
        <f t="shared" si="218"/>
        <v>25000</v>
      </c>
      <c r="O936" s="516">
        <f>VLOOKUP($I936,'Price List, Weapons &amp; Items'!A:F,6,0)</f>
        <v>1400</v>
      </c>
      <c r="P936" s="513">
        <f t="shared" si="200"/>
        <v>35000000</v>
      </c>
      <c r="Q936" s="513">
        <f t="shared" si="201"/>
        <v>35000000</v>
      </c>
      <c r="R936" s="513" t="str">
        <f t="shared" si="217"/>
        <v/>
      </c>
      <c r="S936" s="513" t="str">
        <f>IF(AND(AD936=1,R936&lt;&gt;".")=TRUE,R936/VLOOKUP(G936,'Exchange rates'!B:C,2,0),IF(R936=".",".",""))</f>
        <v/>
      </c>
      <c r="T936" s="513" t="str">
        <f>IF(AD936=1,IF(AF936="Value is not given at all",".",IF(AF936="Value is given by the source",S936,IF(AF936="Value is calculated with prices",(IF(SUMIFS(Q:Q,A:A,A936)&gt;0,SUMIFS(Q:Q,A:A,A936),"."))/VLOOKUP("USD",'Exchange rates'!B:C,2,0),"Error with coding"))),"")</f>
        <v/>
      </c>
      <c r="U936" s="39" t="s">
        <v>233</v>
      </c>
      <c r="V936" s="376" t="s">
        <v>2588</v>
      </c>
      <c r="W936" s="376" t="s">
        <v>2559</v>
      </c>
      <c r="X936" s="528" t="s">
        <v>232</v>
      </c>
      <c r="Y936" s="528" t="s">
        <v>232</v>
      </c>
      <c r="Z936" s="39">
        <v>0</v>
      </c>
      <c r="AA936" s="518">
        <v>0</v>
      </c>
      <c r="AB936" s="394" t="s">
        <v>2593</v>
      </c>
      <c r="AC936" s="519" t="str">
        <f>""</f>
        <v/>
      </c>
      <c r="AD936" s="520">
        <v>0</v>
      </c>
      <c r="AE936" s="590" t="s">
        <v>2590</v>
      </c>
      <c r="AF936" s="520" t="s">
        <v>300</v>
      </c>
      <c r="AG936" s="520">
        <v>1</v>
      </c>
      <c r="AH936" s="520">
        <v>3</v>
      </c>
      <c r="AI936" s="520">
        <v>0</v>
      </c>
      <c r="AJ936" s="520">
        <f>VLOOKUP($I936,'Price List, Weapons &amp; Items'!A:E,5,0)</f>
        <v>0</v>
      </c>
      <c r="AK936" s="520">
        <f t="shared" si="202"/>
        <v>0</v>
      </c>
      <c r="AL936" s="520">
        <f t="shared" si="203"/>
        <v>0</v>
      </c>
      <c r="AM936" s="520">
        <f t="shared" si="204"/>
        <v>0</v>
      </c>
      <c r="AN936" s="521" t="str">
        <f>VLOOKUP($I936,'Price List, Weapons &amp; Items'!A:K,COLUMN('Price List, Weapons &amp; Items'!$I$1),0)</f>
        <v>Military media (incl. websites)</v>
      </c>
      <c r="AO936" s="521" t="str">
        <f>IF(I936=".",".",VLOOKUP($I936,'Price List, Weapons &amp; Items'!A:I,3,0))</f>
        <v>.</v>
      </c>
      <c r="AP936" s="517" t="str">
        <f t="shared" ca="1" si="219"/>
        <v/>
      </c>
      <c r="AQ936" s="521">
        <f>VLOOKUP($I936,'Price List, Weapons &amp; Items'!A:K,COLUMN('Price List, Weapons &amp; Items'!$K$1),0)</f>
        <v>2</v>
      </c>
      <c r="AS936" s="521">
        <f t="shared" si="205"/>
        <v>1</v>
      </c>
      <c r="AT936" s="521">
        <f t="shared" si="206"/>
        <v>1</v>
      </c>
      <c r="AU936" s="521">
        <f t="shared" si="207"/>
        <v>1</v>
      </c>
      <c r="AV936" s="521" t="str">
        <f t="shared" si="208"/>
        <v>.</v>
      </c>
    </row>
    <row r="937" spans="1:48" ht="15" customHeight="1">
      <c r="A937" s="18" t="s">
        <v>2586</v>
      </c>
      <c r="B937" s="18" t="s">
        <v>2548</v>
      </c>
      <c r="C937" s="511">
        <v>44656</v>
      </c>
      <c r="D937" s="18" t="s">
        <v>252</v>
      </c>
      <c r="E937" s="18" t="s">
        <v>1157</v>
      </c>
      <c r="F937" s="512" t="s">
        <v>2602</v>
      </c>
      <c r="G937" s="39" t="s">
        <v>314</v>
      </c>
      <c r="H937" s="513">
        <v>100000000</v>
      </c>
      <c r="I937" s="41" t="s">
        <v>2594</v>
      </c>
      <c r="J937" s="276" t="str">
        <f>VLOOKUP($I937,'Price List, Weapons &amp; Items'!A:B,2,0)</f>
        <v>Portable defence system</v>
      </c>
      <c r="K937" s="276" t="str">
        <f>IF(I937=".",I937,VLOOKUP($I937,'Price List, Weapons &amp; Items'!A:C,3,0))</f>
        <v>Light Anti-armor Weapon (LAW)</v>
      </c>
      <c r="L937" s="514">
        <f>VLOOKUP(I937,'Price List, Weapons &amp; Items'!A:D,4,0)</f>
        <v>0</v>
      </c>
      <c r="M937" s="515">
        <v>2950</v>
      </c>
      <c r="N937" s="515" t="s">
        <v>264</v>
      </c>
      <c r="O937" s="516">
        <f>VLOOKUP($I937,'Price List, Weapons &amp; Items'!A:F,6,0)</f>
        <v>256000</v>
      </c>
      <c r="P937" s="513">
        <f t="shared" si="200"/>
        <v>755200000</v>
      </c>
      <c r="Q937" s="513" t="str">
        <f t="shared" si="201"/>
        <v>.</v>
      </c>
      <c r="R937" s="513" t="str">
        <f t="shared" si="217"/>
        <v/>
      </c>
      <c r="S937" s="513" t="str">
        <f>IF(AND(AD937=1,R937&lt;&gt;".")=TRUE,R937/VLOOKUP(G937,'Exchange rates'!B:C,2,0),IF(R937=".",".",""))</f>
        <v/>
      </c>
      <c r="T937" s="513" t="str">
        <f>IF(AD937=1,IF(AF937="Value is not given at all",".",IF(AF937="Value is given by the source",S937,IF(AF937="Value is calculated with prices",(IF(SUMIFS(Q:Q,A:A,A937)&gt;0,SUMIFS(Q:Q,A:A,A937),"."))/VLOOKUP("USD",'Exchange rates'!B:C,2,0),"Error with coding"))),"")</f>
        <v/>
      </c>
      <c r="U937" s="39" t="s">
        <v>233</v>
      </c>
      <c r="V937" s="42" t="s">
        <v>2603</v>
      </c>
      <c r="W937" s="42" t="s">
        <v>2559</v>
      </c>
      <c r="X937" s="512" t="s">
        <v>232</v>
      </c>
      <c r="Y937" s="512" t="s">
        <v>232</v>
      </c>
      <c r="Z937" s="39">
        <v>0</v>
      </c>
      <c r="AA937" s="518">
        <v>0</v>
      </c>
      <c r="AB937" s="394" t="s">
        <v>2604</v>
      </c>
      <c r="AC937" s="519" t="str">
        <f>""</f>
        <v/>
      </c>
      <c r="AD937" s="520">
        <v>0</v>
      </c>
      <c r="AE937" s="590" t="s">
        <v>2590</v>
      </c>
      <c r="AF937" s="520" t="s">
        <v>300</v>
      </c>
      <c r="AG937" s="520">
        <v>1</v>
      </c>
      <c r="AH937" s="520">
        <v>4</v>
      </c>
      <c r="AI937" s="520">
        <v>0</v>
      </c>
      <c r="AJ937" s="520">
        <f>VLOOKUP($I937,'Price List, Weapons &amp; Items'!A:E,5,0)</f>
        <v>0</v>
      </c>
      <c r="AK937" s="520">
        <f t="shared" si="202"/>
        <v>0</v>
      </c>
      <c r="AL937" s="520">
        <f t="shared" si="203"/>
        <v>0</v>
      </c>
      <c r="AM937" s="520">
        <f t="shared" si="204"/>
        <v>0</v>
      </c>
      <c r="AN937" s="521" t="str">
        <f>VLOOKUP($I937,'Price List, Weapons &amp; Items'!A:K,COLUMN('Price List, Weapons &amp; Items'!$I$1),0)</f>
        <v>Government information</v>
      </c>
      <c r="AO937" s="521" t="str">
        <f>IF(I937=".",".",VLOOKUP($I937,'Price List, Weapons &amp; Items'!A:I,3,0))</f>
        <v>Light Anti-armor Weapon (LAW)</v>
      </c>
      <c r="AP937" s="517" t="str">
        <f t="shared" ca="1" si="219"/>
        <v/>
      </c>
      <c r="AQ937" s="521">
        <f>VLOOKUP($I937,'Price List, Weapons &amp; Items'!A:K,COLUMN('Price List, Weapons &amp; Items'!$K$1),0)</f>
        <v>2</v>
      </c>
      <c r="AS937" s="521">
        <f t="shared" si="205"/>
        <v>1</v>
      </c>
      <c r="AT937" s="521">
        <f t="shared" si="206"/>
        <v>1</v>
      </c>
      <c r="AU937" s="521">
        <f t="shared" si="207"/>
        <v>1</v>
      </c>
      <c r="AV937" s="521" t="str">
        <f t="shared" si="208"/>
        <v>.</v>
      </c>
    </row>
    <row r="938" spans="1:48" ht="15" customHeight="1">
      <c r="A938" s="18" t="s">
        <v>2586</v>
      </c>
      <c r="B938" s="18" t="s">
        <v>2548</v>
      </c>
      <c r="C938" s="511">
        <v>44664</v>
      </c>
      <c r="D938" s="18" t="s">
        <v>252</v>
      </c>
      <c r="E938" s="18" t="s">
        <v>1157</v>
      </c>
      <c r="F938" s="512" t="s">
        <v>2605</v>
      </c>
      <c r="G938" s="39" t="s">
        <v>314</v>
      </c>
      <c r="H938" s="513">
        <v>800000000</v>
      </c>
      <c r="I938" s="41" t="s">
        <v>286</v>
      </c>
      <c r="J938" s="276" t="str">
        <f>VLOOKUP($I938,'Price List, Weapons &amp; Items'!A:B,2,0)</f>
        <v>Heavy weapon</v>
      </c>
      <c r="K938" s="276" t="str">
        <f>IF(I938=".",I938,VLOOKUP($I938,'Price List, Weapons &amp; Items'!A:C,3,0))</f>
        <v>155mm howitzer</v>
      </c>
      <c r="L938" s="514">
        <f>VLOOKUP(I938,'Price List, Weapons &amp; Items'!A:D,4,0)</f>
        <v>0</v>
      </c>
      <c r="M938" s="515">
        <v>18</v>
      </c>
      <c r="N938" s="515">
        <v>18</v>
      </c>
      <c r="O938" s="516">
        <f>VLOOKUP($I938,'Price List, Weapons &amp; Items'!A:F,6,0)</f>
        <v>5170000</v>
      </c>
      <c r="P938" s="513">
        <f t="shared" si="200"/>
        <v>93060000</v>
      </c>
      <c r="Q938" s="513">
        <f t="shared" si="201"/>
        <v>93060000</v>
      </c>
      <c r="R938" s="513" t="str">
        <f t="shared" si="217"/>
        <v/>
      </c>
      <c r="S938" s="513" t="str">
        <f>IF(AND(AD938=1,R938&lt;&gt;".")=TRUE,R938/VLOOKUP(G938,'Exchange rates'!B:C,2,0),IF(R938=".",".",""))</f>
        <v/>
      </c>
      <c r="T938" s="513" t="str">
        <f>IF(AD938=1,IF(AF938="Value is not given at all",".",IF(AF938="Value is given by the source",S938,IF(AF938="Value is calculated with prices",(IF(SUMIFS(Q:Q,A:A,A938)&gt;0,SUMIFS(Q:Q,A:A,A938),"."))/VLOOKUP("USD",'Exchange rates'!B:C,2,0),"Error with coding"))),"")</f>
        <v/>
      </c>
      <c r="U938" s="39" t="s">
        <v>233</v>
      </c>
      <c r="V938" s="376" t="s">
        <v>2588</v>
      </c>
      <c r="W938" s="376" t="s">
        <v>2559</v>
      </c>
      <c r="X938" s="376" t="s">
        <v>2606</v>
      </c>
      <c r="Y938" s="528" t="s">
        <v>232</v>
      </c>
      <c r="Z938" s="39">
        <v>0</v>
      </c>
      <c r="AA938" s="518">
        <v>0</v>
      </c>
      <c r="AB938" s="394" t="s">
        <v>2607</v>
      </c>
      <c r="AC938" s="519" t="str">
        <f>""</f>
        <v/>
      </c>
      <c r="AD938" s="520">
        <v>0</v>
      </c>
      <c r="AE938" s="590" t="s">
        <v>2590</v>
      </c>
      <c r="AF938" s="520" t="s">
        <v>300</v>
      </c>
      <c r="AG938" s="520">
        <v>1</v>
      </c>
      <c r="AH938" s="520">
        <v>4</v>
      </c>
      <c r="AI938" s="520">
        <v>0</v>
      </c>
      <c r="AJ938" s="520">
        <f>VLOOKUP($I938,'Price List, Weapons &amp; Items'!A:E,5,0)</f>
        <v>1</v>
      </c>
      <c r="AK938" s="520">
        <f t="shared" si="202"/>
        <v>0</v>
      </c>
      <c r="AL938" s="520">
        <f t="shared" si="203"/>
        <v>0</v>
      </c>
      <c r="AM938" s="520">
        <f t="shared" si="204"/>
        <v>0</v>
      </c>
      <c r="AN938" s="521" t="str">
        <f>VLOOKUP($I938,'Price List, Weapons &amp; Items'!A:K,COLUMN('Price List, Weapons &amp; Items'!$I$1),0)</f>
        <v>Military media (incl. websites)</v>
      </c>
      <c r="AO938" s="521" t="str">
        <f>IF(I938=".",".",VLOOKUP($I938,'Price List, Weapons &amp; Items'!A:I,3,0))</f>
        <v>155mm howitzer</v>
      </c>
      <c r="AP938" s="517" t="str">
        <f t="shared" ca="1" si="219"/>
        <v/>
      </c>
      <c r="AQ938" s="521">
        <f>VLOOKUP($I938,'Price List, Weapons &amp; Items'!A:K,COLUMN('Price List, Weapons &amp; Items'!$K$1),0)</f>
        <v>2</v>
      </c>
      <c r="AS938" s="521">
        <f t="shared" si="205"/>
        <v>1</v>
      </c>
      <c r="AT938" s="521">
        <f t="shared" si="206"/>
        <v>1</v>
      </c>
      <c r="AU938" s="521">
        <f t="shared" si="207"/>
        <v>1</v>
      </c>
      <c r="AV938" s="521" t="str">
        <f t="shared" si="208"/>
        <v>.</v>
      </c>
    </row>
    <row r="939" spans="1:48" ht="15" customHeight="1">
      <c r="A939" s="18" t="s">
        <v>2586</v>
      </c>
      <c r="B939" s="18" t="s">
        <v>2548</v>
      </c>
      <c r="C939" s="511">
        <v>44664</v>
      </c>
      <c r="D939" s="18" t="s">
        <v>252</v>
      </c>
      <c r="E939" s="18" t="s">
        <v>1157</v>
      </c>
      <c r="F939" s="512" t="s">
        <v>2605</v>
      </c>
      <c r="G939" s="39" t="s">
        <v>314</v>
      </c>
      <c r="H939" s="513">
        <v>800000000</v>
      </c>
      <c r="I939" s="524" t="s">
        <v>574</v>
      </c>
      <c r="J939" s="276" t="str">
        <f>VLOOKUP($I939,'Price List, Weapons &amp; Items'!A:B,2,0)</f>
        <v>Ammunition for heavy weapon</v>
      </c>
      <c r="K939" s="276" t="str">
        <f>IF(I939=".",I939,VLOOKUP($I939,'Price List, Weapons &amp; Items'!A:C,3,0))</f>
        <v>155mm howitzer ammunition</v>
      </c>
      <c r="L939" s="514">
        <f>VLOOKUP(I939,'Price List, Weapons &amp; Items'!A:D,4,0)</f>
        <v>0</v>
      </c>
      <c r="M939" s="515">
        <v>40000</v>
      </c>
      <c r="N939" s="515">
        <v>40000</v>
      </c>
      <c r="O939" s="516">
        <f>VLOOKUP($I939,'Price List, Weapons &amp; Items'!A:F,6,0)</f>
        <v>3800</v>
      </c>
      <c r="P939" s="513">
        <f t="shared" si="200"/>
        <v>152000000</v>
      </c>
      <c r="Q939" s="513">
        <f t="shared" si="201"/>
        <v>152000000</v>
      </c>
      <c r="R939" s="513" t="str">
        <f t="shared" si="217"/>
        <v/>
      </c>
      <c r="S939" s="513" t="str">
        <f>IF(AND(AD939=1,R939&lt;&gt;".")=TRUE,R939/VLOOKUP(G939,'Exchange rates'!B:C,2,0),IF(R939=".",".",""))</f>
        <v/>
      </c>
      <c r="T939" s="513" t="str">
        <f>IF(AD939=1,IF(AF939="Value is not given at all",".",IF(AF939="Value is given by the source",S939,IF(AF939="Value is calculated with prices",(IF(SUMIFS(Q:Q,A:A,A939)&gt;0,SUMIFS(Q:Q,A:A,A939),"."))/VLOOKUP("USD",'Exchange rates'!B:C,2,0),"Error with coding"))),"")</f>
        <v/>
      </c>
      <c r="U939" s="39" t="s">
        <v>233</v>
      </c>
      <c r="V939" s="376" t="s">
        <v>2588</v>
      </c>
      <c r="W939" s="376" t="s">
        <v>2559</v>
      </c>
      <c r="X939" s="376" t="s">
        <v>2606</v>
      </c>
      <c r="Y939" s="528" t="s">
        <v>232</v>
      </c>
      <c r="Z939" s="39">
        <v>0</v>
      </c>
      <c r="AA939" s="518">
        <v>0</v>
      </c>
      <c r="AB939" s="38" t="s">
        <v>2607</v>
      </c>
      <c r="AC939" s="519" t="str">
        <f>""</f>
        <v/>
      </c>
      <c r="AD939" s="520">
        <v>0</v>
      </c>
      <c r="AE939" s="590" t="s">
        <v>2590</v>
      </c>
      <c r="AF939" s="520" t="s">
        <v>300</v>
      </c>
      <c r="AG939" s="520">
        <v>1</v>
      </c>
      <c r="AH939" s="520">
        <v>4</v>
      </c>
      <c r="AI939" s="520">
        <v>0</v>
      </c>
      <c r="AJ939" s="520">
        <f>VLOOKUP($I939,'Price List, Weapons &amp; Items'!A:E,5,0)</f>
        <v>1</v>
      </c>
      <c r="AK939" s="520">
        <f t="shared" si="202"/>
        <v>0</v>
      </c>
      <c r="AL939" s="520">
        <f t="shared" si="203"/>
        <v>0</v>
      </c>
      <c r="AM939" s="520">
        <f t="shared" si="204"/>
        <v>0</v>
      </c>
      <c r="AN939" s="521" t="str">
        <f>VLOOKUP($I939,'Price List, Weapons &amp; Items'!A:K,COLUMN('Price List, Weapons &amp; Items'!$I$1),0)</f>
        <v>Government information</v>
      </c>
      <c r="AO939" s="521" t="str">
        <f>IF(I939=".",".",VLOOKUP($I939,'Price List, Weapons &amp; Items'!A:I,3,0))</f>
        <v>155mm howitzer ammunition</v>
      </c>
      <c r="AP939" s="517" t="str">
        <f t="shared" ca="1" si="219"/>
        <v/>
      </c>
      <c r="AQ939" s="521">
        <f>VLOOKUP($I939,'Price List, Weapons &amp; Items'!A:K,COLUMN('Price List, Weapons &amp; Items'!$K$1),0)</f>
        <v>2</v>
      </c>
      <c r="AS939" s="521">
        <f t="shared" si="205"/>
        <v>1</v>
      </c>
      <c r="AT939" s="521">
        <f t="shared" si="206"/>
        <v>1</v>
      </c>
      <c r="AU939" s="521">
        <f t="shared" si="207"/>
        <v>1</v>
      </c>
      <c r="AV939" s="521" t="str">
        <f t="shared" si="208"/>
        <v>.</v>
      </c>
    </row>
    <row r="940" spans="1:48" ht="15" customHeight="1">
      <c r="A940" s="18" t="s">
        <v>2586</v>
      </c>
      <c r="B940" s="18" t="s">
        <v>2548</v>
      </c>
      <c r="C940" s="511">
        <v>44664</v>
      </c>
      <c r="D940" s="18" t="s">
        <v>252</v>
      </c>
      <c r="E940" s="18" t="s">
        <v>1157</v>
      </c>
      <c r="F940" s="512" t="s">
        <v>2605</v>
      </c>
      <c r="G940" s="39" t="s">
        <v>314</v>
      </c>
      <c r="H940" s="513">
        <v>800000000</v>
      </c>
      <c r="I940" s="41" t="s">
        <v>1696</v>
      </c>
      <c r="J940" s="276" t="str">
        <f>VLOOKUP($I940,'Price List, Weapons &amp; Items'!A:B,2,0)</f>
        <v>Military equipment</v>
      </c>
      <c r="K940" s="276" t="str">
        <f>IF(I940=".",I940,VLOOKUP($I940,'Price List, Weapons &amp; Items'!A:C,3,0))</f>
        <v>Radar or imagery systems</v>
      </c>
      <c r="L940" s="514">
        <f>VLOOKUP(I940,'Price List, Weapons &amp; Items'!A:D,4,0)</f>
        <v>0</v>
      </c>
      <c r="M940" s="515">
        <v>10</v>
      </c>
      <c r="N940" s="515" t="s">
        <v>232</v>
      </c>
      <c r="O940" s="516">
        <f>VLOOKUP($I940,'Price List, Weapons &amp; Items'!A:F,6,0)</f>
        <v>8888888</v>
      </c>
      <c r="P940" s="513">
        <f t="shared" si="200"/>
        <v>88888880</v>
      </c>
      <c r="Q940" s="513" t="str">
        <f t="shared" si="201"/>
        <v>.</v>
      </c>
      <c r="R940" s="513" t="str">
        <f t="shared" si="217"/>
        <v/>
      </c>
      <c r="S940" s="513" t="str">
        <f>IF(AND(AD940=1,R940&lt;&gt;".")=TRUE,R940/VLOOKUP(G940,'Exchange rates'!B:C,2,0),IF(R940=".",".",""))</f>
        <v/>
      </c>
      <c r="T940" s="513" t="str">
        <f>IF(AD940=1,IF(AF940="Value is not given at all",".",IF(AF940="Value is given by the source",S940,IF(AF940="Value is calculated with prices",(IF(SUMIFS(Q:Q,A:A,A940)&gt;0,SUMIFS(Q:Q,A:A,A940),"."))/VLOOKUP("USD",'Exchange rates'!B:C,2,0),"Error with coding"))),"")</f>
        <v/>
      </c>
      <c r="U940" s="39" t="s">
        <v>233</v>
      </c>
      <c r="V940" s="376" t="s">
        <v>2588</v>
      </c>
      <c r="W940" s="376" t="s">
        <v>2559</v>
      </c>
      <c r="X940" s="376" t="s">
        <v>2606</v>
      </c>
      <c r="Y940" s="528" t="s">
        <v>232</v>
      </c>
      <c r="Z940" s="39">
        <v>0</v>
      </c>
      <c r="AA940" s="518">
        <v>0</v>
      </c>
      <c r="AB940" s="38" t="s">
        <v>2607</v>
      </c>
      <c r="AC940" s="519" t="str">
        <f>""</f>
        <v/>
      </c>
      <c r="AD940" s="520">
        <v>0</v>
      </c>
      <c r="AE940" s="590" t="s">
        <v>2590</v>
      </c>
      <c r="AF940" s="520" t="s">
        <v>300</v>
      </c>
      <c r="AG940" s="520">
        <v>1</v>
      </c>
      <c r="AH940" s="520">
        <v>4</v>
      </c>
      <c r="AI940" s="520">
        <v>0</v>
      </c>
      <c r="AJ940" s="520">
        <f>VLOOKUP($I940,'Price List, Weapons &amp; Items'!A:E,5,0)</f>
        <v>0</v>
      </c>
      <c r="AK940" s="520">
        <f t="shared" si="202"/>
        <v>0</v>
      </c>
      <c r="AL940" s="520">
        <f t="shared" si="203"/>
        <v>0</v>
      </c>
      <c r="AM940" s="520">
        <f t="shared" si="204"/>
        <v>0</v>
      </c>
      <c r="AN940" s="521" t="str">
        <f>VLOOKUP($I940,'Price List, Weapons &amp; Items'!A:K,COLUMN('Price List, Weapons &amp; Items'!$I$1),0)</f>
        <v>Military media (incl. websites)</v>
      </c>
      <c r="AO940" s="521" t="str">
        <f>IF(I940=".",".",VLOOKUP($I940,'Price List, Weapons &amp; Items'!A:I,3,0))</f>
        <v>Radar or imagery systems</v>
      </c>
      <c r="AP940" s="517" t="str">
        <f t="shared" ca="1" si="219"/>
        <v/>
      </c>
      <c r="AQ940" s="521">
        <f>VLOOKUP($I940,'Price List, Weapons &amp; Items'!A:K,COLUMN('Price List, Weapons &amp; Items'!$K$1),0)</f>
        <v>2</v>
      </c>
      <c r="AS940" s="521">
        <f t="shared" si="205"/>
        <v>1</v>
      </c>
      <c r="AT940" s="521">
        <f t="shared" si="206"/>
        <v>1</v>
      </c>
      <c r="AU940" s="521">
        <f t="shared" si="207"/>
        <v>1</v>
      </c>
      <c r="AV940" s="521" t="str">
        <f t="shared" si="208"/>
        <v>.</v>
      </c>
    </row>
    <row r="941" spans="1:48" ht="15" customHeight="1">
      <c r="A941" s="18" t="s">
        <v>2586</v>
      </c>
      <c r="B941" s="18" t="s">
        <v>2548</v>
      </c>
      <c r="C941" s="511">
        <v>44664</v>
      </c>
      <c r="D941" s="18" t="s">
        <v>252</v>
      </c>
      <c r="E941" s="18" t="s">
        <v>1157</v>
      </c>
      <c r="F941" s="512" t="s">
        <v>2605</v>
      </c>
      <c r="G941" s="39" t="s">
        <v>314</v>
      </c>
      <c r="H941" s="513">
        <v>800000000</v>
      </c>
      <c r="I941" s="41" t="s">
        <v>2608</v>
      </c>
      <c r="J941" s="276" t="str">
        <f>VLOOKUP($I941,'Price List, Weapons &amp; Items'!A:B,2,0)</f>
        <v>Military equipment</v>
      </c>
      <c r="K941" s="276" t="str">
        <f>IF(I941=".",I941,VLOOKUP($I941,'Price List, Weapons &amp; Items'!A:C,3,0))</f>
        <v>Radar or imagery systems</v>
      </c>
      <c r="L941" s="514">
        <f>VLOOKUP(I941,'Price List, Weapons &amp; Items'!A:D,4,0)</f>
        <v>0</v>
      </c>
      <c r="M941" s="515">
        <v>2</v>
      </c>
      <c r="N941" s="515">
        <v>2</v>
      </c>
      <c r="O941" s="516">
        <f>VLOOKUP($I941,'Price List, Weapons &amp; Items'!A:F,6,0)</f>
        <v>70000000</v>
      </c>
      <c r="P941" s="513">
        <f t="shared" si="200"/>
        <v>140000000</v>
      </c>
      <c r="Q941" s="513">
        <f t="shared" si="201"/>
        <v>140000000</v>
      </c>
      <c r="R941" s="513" t="str">
        <f t="shared" si="217"/>
        <v/>
      </c>
      <c r="S941" s="513" t="str">
        <f>IF(AND(AD941=1,R941&lt;&gt;".")=TRUE,R941/VLOOKUP(G941,'Exchange rates'!B:C,2,0),IF(R941=".",".",""))</f>
        <v/>
      </c>
      <c r="T941" s="513" t="str">
        <f>IF(AD941=1,IF(AF941="Value is not given at all",".",IF(AF941="Value is given by the source",S941,IF(AF941="Value is calculated with prices",(IF(SUMIFS(Q:Q,A:A,A941)&gt;0,SUMIFS(Q:Q,A:A,A941),"."))/VLOOKUP("USD",'Exchange rates'!B:C,2,0),"Error with coding"))),"")</f>
        <v/>
      </c>
      <c r="U941" s="39" t="s">
        <v>233</v>
      </c>
      <c r="V941" s="376" t="s">
        <v>2588</v>
      </c>
      <c r="W941" s="376" t="s">
        <v>2559</v>
      </c>
      <c r="X941" s="376" t="s">
        <v>2606</v>
      </c>
      <c r="Y941" s="528" t="s">
        <v>232</v>
      </c>
      <c r="Z941" s="39">
        <v>0</v>
      </c>
      <c r="AA941" s="518">
        <v>0</v>
      </c>
      <c r="AB941" s="38" t="s">
        <v>2607</v>
      </c>
      <c r="AC941" s="519" t="str">
        <f>""</f>
        <v/>
      </c>
      <c r="AD941" s="520">
        <v>0</v>
      </c>
      <c r="AE941" s="590" t="s">
        <v>2590</v>
      </c>
      <c r="AF941" s="520" t="s">
        <v>300</v>
      </c>
      <c r="AG941" s="520">
        <v>1</v>
      </c>
      <c r="AH941" s="520">
        <v>4</v>
      </c>
      <c r="AI941" s="520">
        <v>0</v>
      </c>
      <c r="AJ941" s="520">
        <f>VLOOKUP($I941,'Price List, Weapons &amp; Items'!A:E,5,0)</f>
        <v>0</v>
      </c>
      <c r="AK941" s="520">
        <f t="shared" si="202"/>
        <v>0</v>
      </c>
      <c r="AL941" s="520">
        <f t="shared" si="203"/>
        <v>0</v>
      </c>
      <c r="AM941" s="520">
        <f t="shared" si="204"/>
        <v>0</v>
      </c>
      <c r="AN941" s="521" t="str">
        <f>VLOOKUP($I941,'Price List, Weapons &amp; Items'!A:K,COLUMN('Price List, Weapons &amp; Items'!$I$1),0)</f>
        <v>Military media (incl. websites)</v>
      </c>
      <c r="AO941" s="521" t="str">
        <f>IF(I941=".",".",VLOOKUP($I941,'Price List, Weapons &amp; Items'!A:I,3,0))</f>
        <v>Radar or imagery systems</v>
      </c>
      <c r="AP941" s="517" t="str">
        <f t="shared" ca="1" si="219"/>
        <v/>
      </c>
      <c r="AQ941" s="521">
        <f>VLOOKUP($I941,'Price List, Weapons &amp; Items'!A:K,COLUMN('Price List, Weapons &amp; Items'!$K$1),0)</f>
        <v>2</v>
      </c>
      <c r="AS941" s="521">
        <f t="shared" si="205"/>
        <v>1</v>
      </c>
      <c r="AT941" s="521">
        <f t="shared" si="206"/>
        <v>1</v>
      </c>
      <c r="AU941" s="521">
        <f t="shared" si="207"/>
        <v>1</v>
      </c>
      <c r="AV941" s="521" t="str">
        <f t="shared" si="208"/>
        <v>.</v>
      </c>
    </row>
    <row r="942" spans="1:48" ht="15" customHeight="1">
      <c r="A942" s="18" t="s">
        <v>2586</v>
      </c>
      <c r="B942" s="18" t="s">
        <v>2548</v>
      </c>
      <c r="C942" s="511">
        <v>44664</v>
      </c>
      <c r="D942" s="18" t="s">
        <v>252</v>
      </c>
      <c r="E942" s="18" t="s">
        <v>1157</v>
      </c>
      <c r="F942" s="512" t="s">
        <v>2605</v>
      </c>
      <c r="G942" s="39" t="s">
        <v>314</v>
      </c>
      <c r="H942" s="513">
        <v>800000000</v>
      </c>
      <c r="I942" s="41" t="s">
        <v>2609</v>
      </c>
      <c r="J942" s="276" t="str">
        <f>VLOOKUP($I942,'Price List, Weapons &amp; Items'!A:B,2,0)</f>
        <v>Aviation and drones</v>
      </c>
      <c r="K942" s="276" t="str">
        <f>IF(I942=".",I942,VLOOKUP($I942,'Price List, Weapons &amp; Items'!A:C,3,0))</f>
        <v>Loitering munition (suicide drone)</v>
      </c>
      <c r="L942" s="514">
        <f>VLOOKUP(I942,'Price List, Weapons &amp; Items'!A:D,4,0)</f>
        <v>0</v>
      </c>
      <c r="M942" s="515">
        <v>300</v>
      </c>
      <c r="N942" s="515">
        <v>300</v>
      </c>
      <c r="O942" s="516">
        <f>VLOOKUP($I942,'Price List, Weapons &amp; Items'!A:F,6,0)</f>
        <v>6000</v>
      </c>
      <c r="P942" s="513">
        <f t="shared" si="200"/>
        <v>1800000</v>
      </c>
      <c r="Q942" s="513">
        <f t="shared" si="201"/>
        <v>1800000</v>
      </c>
      <c r="R942" s="513" t="str">
        <f t="shared" si="217"/>
        <v/>
      </c>
      <c r="S942" s="513" t="str">
        <f>IF(AND(AD942=1,R942&lt;&gt;".")=TRUE,R942/VLOOKUP(G942,'Exchange rates'!B:C,2,0),IF(R942=".",".",""))</f>
        <v/>
      </c>
      <c r="T942" s="513" t="str">
        <f>IF(AD942=1,IF(AF942="Value is not given at all",".",IF(AF942="Value is given by the source",S942,IF(AF942="Value is calculated with prices",(IF(SUMIFS(Q:Q,A:A,A942)&gt;0,SUMIFS(Q:Q,A:A,A942),"."))/VLOOKUP("USD",'Exchange rates'!B:C,2,0),"Error with coding"))),"")</f>
        <v/>
      </c>
      <c r="U942" s="39" t="s">
        <v>233</v>
      </c>
      <c r="V942" s="376" t="s">
        <v>2588</v>
      </c>
      <c r="W942" s="376" t="s">
        <v>2559</v>
      </c>
      <c r="X942" s="376" t="s">
        <v>2606</v>
      </c>
      <c r="Y942" s="528" t="s">
        <v>232</v>
      </c>
      <c r="Z942" s="39">
        <v>0</v>
      </c>
      <c r="AA942" s="518">
        <v>0</v>
      </c>
      <c r="AB942" s="394" t="s">
        <v>2610</v>
      </c>
      <c r="AC942" s="519" t="str">
        <f>""</f>
        <v/>
      </c>
      <c r="AD942" s="520">
        <v>0</v>
      </c>
      <c r="AE942" s="590" t="s">
        <v>2590</v>
      </c>
      <c r="AF942" s="520" t="s">
        <v>300</v>
      </c>
      <c r="AG942" s="520">
        <v>1</v>
      </c>
      <c r="AH942" s="520">
        <v>4</v>
      </c>
      <c r="AI942" s="520">
        <v>0</v>
      </c>
      <c r="AJ942" s="520">
        <f>VLOOKUP($I942,'Price List, Weapons &amp; Items'!A:E,5,0)</f>
        <v>0</v>
      </c>
      <c r="AK942" s="520">
        <f t="shared" si="202"/>
        <v>0</v>
      </c>
      <c r="AL942" s="520">
        <f t="shared" si="203"/>
        <v>0</v>
      </c>
      <c r="AM942" s="520">
        <f t="shared" si="204"/>
        <v>0</v>
      </c>
      <c r="AN942" s="521" t="str">
        <f>VLOOKUP($I942,'Price List, Weapons &amp; Items'!A:K,COLUMN('Price List, Weapons &amp; Items'!$I$1),0)</f>
        <v>Miscellaneous</v>
      </c>
      <c r="AO942" s="521" t="str">
        <f>IF(I942=".",".",VLOOKUP($I942,'Price List, Weapons &amp; Items'!A:I,3,0))</f>
        <v>Loitering munition (suicide drone)</v>
      </c>
      <c r="AP942" s="517" t="str">
        <f t="shared" ca="1" si="219"/>
        <v/>
      </c>
      <c r="AQ942" s="521">
        <f>VLOOKUP($I942,'Price List, Weapons &amp; Items'!A:K,COLUMN('Price List, Weapons &amp; Items'!$K$1),0)</f>
        <v>2</v>
      </c>
      <c r="AS942" s="521">
        <f t="shared" si="205"/>
        <v>1</v>
      </c>
      <c r="AT942" s="521">
        <f t="shared" si="206"/>
        <v>1</v>
      </c>
      <c r="AU942" s="521">
        <f t="shared" si="207"/>
        <v>1</v>
      </c>
      <c r="AV942" s="521" t="str">
        <f t="shared" si="208"/>
        <v>.</v>
      </c>
    </row>
    <row r="943" spans="1:48" ht="15" customHeight="1">
      <c r="A943" s="18" t="s">
        <v>2586</v>
      </c>
      <c r="B943" s="18" t="s">
        <v>2548</v>
      </c>
      <c r="C943" s="511">
        <v>44664</v>
      </c>
      <c r="D943" s="18" t="s">
        <v>252</v>
      </c>
      <c r="E943" s="18" t="s">
        <v>1157</v>
      </c>
      <c r="F943" s="512" t="s">
        <v>2605</v>
      </c>
      <c r="G943" s="39" t="s">
        <v>314</v>
      </c>
      <c r="H943" s="513">
        <v>800000000</v>
      </c>
      <c r="I943" s="41" t="s">
        <v>849</v>
      </c>
      <c r="J943" s="276" t="str">
        <f>VLOOKUP($I943,'Price List, Weapons &amp; Items'!A:B,2,0)</f>
        <v>Ammunition for portable defence system</v>
      </c>
      <c r="K943" s="276" t="str">
        <f>IF(I943=".",I943,VLOOKUP($I943,'Price List, Weapons &amp; Items'!A:C,3,0))</f>
        <v>Light Anti-armor Weapon (LAW) ammunition</v>
      </c>
      <c r="L943" s="514">
        <f>VLOOKUP(I943,'Price List, Weapons &amp; Items'!A:D,4,0)</f>
        <v>0</v>
      </c>
      <c r="M943" s="515">
        <v>500</v>
      </c>
      <c r="N943" s="515">
        <v>500</v>
      </c>
      <c r="O943" s="516">
        <f>VLOOKUP($I943,'Price List, Weapons &amp; Items'!A:F,6,0)</f>
        <v>78000</v>
      </c>
      <c r="P943" s="513">
        <f t="shared" si="200"/>
        <v>39000000</v>
      </c>
      <c r="Q943" s="513">
        <f t="shared" si="201"/>
        <v>39000000</v>
      </c>
      <c r="R943" s="513" t="str">
        <f t="shared" si="217"/>
        <v/>
      </c>
      <c r="S943" s="513" t="str">
        <f>IF(AND(AD943=1,R943&lt;&gt;".")=TRUE,R943/VLOOKUP(G943,'Exchange rates'!B:C,2,0),IF(R943=".",".",""))</f>
        <v/>
      </c>
      <c r="T943" s="513" t="str">
        <f>IF(AD943=1,IF(AF943="Value is not given at all",".",IF(AF943="Value is given by the source",S943,IF(AF943="Value is calculated with prices",(IF(SUMIFS(Q:Q,A:A,A943)&gt;0,SUMIFS(Q:Q,A:A,A943),"."))/VLOOKUP("USD",'Exchange rates'!B:C,2,0),"Error with coding"))),"")</f>
        <v/>
      </c>
      <c r="U943" s="39" t="s">
        <v>233</v>
      </c>
      <c r="V943" s="376" t="s">
        <v>2588</v>
      </c>
      <c r="W943" s="376" t="s">
        <v>2559</v>
      </c>
      <c r="X943" s="376" t="s">
        <v>2606</v>
      </c>
      <c r="Y943" s="528" t="s">
        <v>232</v>
      </c>
      <c r="Z943" s="39">
        <v>0</v>
      </c>
      <c r="AA943" s="518">
        <v>0</v>
      </c>
      <c r="AB943" s="394" t="s">
        <v>2604</v>
      </c>
      <c r="AC943" s="519" t="str">
        <f>""</f>
        <v/>
      </c>
      <c r="AD943" s="520">
        <v>0</v>
      </c>
      <c r="AE943" s="590" t="s">
        <v>2590</v>
      </c>
      <c r="AF943" s="520" t="s">
        <v>300</v>
      </c>
      <c r="AG943" s="520">
        <v>1</v>
      </c>
      <c r="AH943" s="520">
        <v>4</v>
      </c>
      <c r="AI943" s="520">
        <v>0</v>
      </c>
      <c r="AJ943" s="520">
        <f>VLOOKUP($I943,'Price List, Weapons &amp; Items'!A:E,5,0)</f>
        <v>0</v>
      </c>
      <c r="AK943" s="520">
        <f t="shared" si="202"/>
        <v>0</v>
      </c>
      <c r="AL943" s="520">
        <f t="shared" si="203"/>
        <v>0</v>
      </c>
      <c r="AM943" s="520">
        <f t="shared" si="204"/>
        <v>0</v>
      </c>
      <c r="AN943" s="521" t="str">
        <f>VLOOKUP($I943,'Price List, Weapons &amp; Items'!A:K,COLUMN('Price List, Weapons &amp; Items'!$I$1),0)</f>
        <v>Military media (incl. websites)</v>
      </c>
      <c r="AO943" s="521" t="str">
        <f>IF(I943=".",".",VLOOKUP($I943,'Price List, Weapons &amp; Items'!A:I,3,0))</f>
        <v>Light Anti-armor Weapon (LAW) ammunition</v>
      </c>
      <c r="AP943" s="517" t="str">
        <f t="shared" ca="1" si="219"/>
        <v/>
      </c>
      <c r="AQ943" s="521">
        <f>VLOOKUP($I943,'Price List, Weapons &amp; Items'!A:K,COLUMN('Price List, Weapons &amp; Items'!$K$1),0)</f>
        <v>2</v>
      </c>
      <c r="AS943" s="521">
        <f t="shared" si="205"/>
        <v>1</v>
      </c>
      <c r="AT943" s="521">
        <f t="shared" si="206"/>
        <v>1</v>
      </c>
      <c r="AU943" s="521">
        <f t="shared" si="207"/>
        <v>1</v>
      </c>
      <c r="AV943" s="521" t="str">
        <f t="shared" si="208"/>
        <v>.</v>
      </c>
    </row>
    <row r="944" spans="1:48" ht="15" customHeight="1">
      <c r="A944" s="18" t="s">
        <v>2586</v>
      </c>
      <c r="B944" s="18" t="s">
        <v>2548</v>
      </c>
      <c r="C944" s="511">
        <v>44664</v>
      </c>
      <c r="D944" s="18" t="s">
        <v>252</v>
      </c>
      <c r="E944" s="18" t="s">
        <v>1157</v>
      </c>
      <c r="F944" s="512" t="s">
        <v>2605</v>
      </c>
      <c r="G944" s="39" t="s">
        <v>314</v>
      </c>
      <c r="H944" s="513">
        <v>800000000</v>
      </c>
      <c r="I944" s="41" t="s">
        <v>2611</v>
      </c>
      <c r="J944" s="276" t="str">
        <f>VLOOKUP($I944,'Price List, Weapons &amp; Items'!A:B,2,0)</f>
        <v>Portable defence system</v>
      </c>
      <c r="K944" s="276" t="str">
        <f>IF(I944=".",I944,VLOOKUP($I944,'Price List, Weapons &amp; Items'!A:C,3,0))</f>
        <v>Light Anti-armor Weapon (LAW)</v>
      </c>
      <c r="L944" s="514">
        <f>VLOOKUP(I944,'Price List, Weapons &amp; Items'!A:D,4,0)</f>
        <v>0</v>
      </c>
      <c r="M944" s="515">
        <v>4567</v>
      </c>
      <c r="N944" s="515">
        <f>M944</f>
        <v>4567</v>
      </c>
      <c r="O944" s="516">
        <f>VLOOKUP($I944,'Price List, Weapons &amp; Items'!A:F,6,0)</f>
        <v>78000</v>
      </c>
      <c r="P944" s="513">
        <f t="shared" si="200"/>
        <v>356226000</v>
      </c>
      <c r="Q944" s="513">
        <f t="shared" si="201"/>
        <v>356226000</v>
      </c>
      <c r="R944" s="513" t="str">
        <f t="shared" si="217"/>
        <v/>
      </c>
      <c r="S944" s="513" t="str">
        <f>IF(AND(AD944=1,R944&lt;&gt;".")=TRUE,R944/VLOOKUP(G944,'Exchange rates'!B:C,2,0),IF(R944=".",".",""))</f>
        <v/>
      </c>
      <c r="T944" s="513" t="str">
        <f>IF(AD944=1,IF(AF944="Value is not given at all",".",IF(AF944="Value is given by the source",S944,IF(AF944="Value is calculated with prices",(IF(SUMIFS(Q:Q,A:A,A944)&gt;0,SUMIFS(Q:Q,A:A,A944),"."))/VLOOKUP("USD",'Exchange rates'!B:C,2,0),"Error with coding"))),"")</f>
        <v/>
      </c>
      <c r="U944" s="39" t="s">
        <v>233</v>
      </c>
      <c r="V944" s="376" t="s">
        <v>2588</v>
      </c>
      <c r="W944" s="376" t="s">
        <v>2559</v>
      </c>
      <c r="X944" s="376" t="s">
        <v>2606</v>
      </c>
      <c r="Y944" s="528" t="s">
        <v>232</v>
      </c>
      <c r="Z944" s="39">
        <v>0</v>
      </c>
      <c r="AA944" s="518">
        <v>0</v>
      </c>
      <c r="AB944" s="38" t="s">
        <v>2604</v>
      </c>
      <c r="AC944" s="519" t="str">
        <f>""</f>
        <v/>
      </c>
      <c r="AD944" s="520">
        <v>0</v>
      </c>
      <c r="AE944" s="590" t="s">
        <v>2590</v>
      </c>
      <c r="AF944" s="520" t="s">
        <v>300</v>
      </c>
      <c r="AG944" s="520">
        <v>1</v>
      </c>
      <c r="AH944" s="520">
        <v>4</v>
      </c>
      <c r="AI944" s="520">
        <v>0</v>
      </c>
      <c r="AJ944" s="520">
        <f>VLOOKUP($I944,'Price List, Weapons &amp; Items'!A:E,5,0)</f>
        <v>0</v>
      </c>
      <c r="AK944" s="520">
        <f t="shared" si="202"/>
        <v>0</v>
      </c>
      <c r="AL944" s="520">
        <f t="shared" si="203"/>
        <v>0</v>
      </c>
      <c r="AM944" s="520">
        <f t="shared" si="204"/>
        <v>0</v>
      </c>
      <c r="AN944" s="521" t="str">
        <f>VLOOKUP($I944,'Price List, Weapons &amp; Items'!A:K,COLUMN('Price List, Weapons &amp; Items'!$I$1),0)</f>
        <v>Military media (incl. websites)</v>
      </c>
      <c r="AO944" s="521" t="str">
        <f>IF(I944=".",".",VLOOKUP($I944,'Price List, Weapons &amp; Items'!A:I,3,0))</f>
        <v>Light Anti-armor Weapon (LAW)</v>
      </c>
      <c r="AP944" s="517" t="str">
        <f t="shared" ca="1" si="219"/>
        <v/>
      </c>
      <c r="AQ944" s="521">
        <f>VLOOKUP($I944,'Price List, Weapons &amp; Items'!A:K,COLUMN('Price List, Weapons &amp; Items'!$K$1),0)</f>
        <v>2</v>
      </c>
      <c r="AS944" s="521">
        <f t="shared" si="205"/>
        <v>1</v>
      </c>
      <c r="AT944" s="521">
        <f t="shared" si="206"/>
        <v>1</v>
      </c>
      <c r="AU944" s="521">
        <f t="shared" si="207"/>
        <v>1</v>
      </c>
      <c r="AV944" s="521" t="str">
        <f t="shared" si="208"/>
        <v>.</v>
      </c>
    </row>
    <row r="945" spans="1:48" ht="15" customHeight="1">
      <c r="A945" s="18" t="s">
        <v>2586</v>
      </c>
      <c r="B945" s="18" t="s">
        <v>2548</v>
      </c>
      <c r="C945" s="511">
        <v>44664</v>
      </c>
      <c r="D945" s="18" t="s">
        <v>252</v>
      </c>
      <c r="E945" s="18" t="s">
        <v>1157</v>
      </c>
      <c r="F945" s="512" t="s">
        <v>2605</v>
      </c>
      <c r="G945" s="39" t="s">
        <v>314</v>
      </c>
      <c r="H945" s="513">
        <v>800000000</v>
      </c>
      <c r="I945" s="41" t="s">
        <v>292</v>
      </c>
      <c r="J945" s="276" t="str">
        <f>VLOOKUP($I945,'Price List, Weapons &amp; Items'!A:B,2,0)</f>
        <v>Heavy weapon</v>
      </c>
      <c r="K945" s="276" t="str">
        <f>IF(I945=".",I945,VLOOKUP($I945,'Price List, Weapons &amp; Items'!A:C,3,0))</f>
        <v>Armoured Personnel Carrier (APC)</v>
      </c>
      <c r="L945" s="514">
        <f>VLOOKUP(I945,'Price List, Weapons &amp; Items'!A:D,4,0)</f>
        <v>0</v>
      </c>
      <c r="M945" s="515">
        <v>200</v>
      </c>
      <c r="N945" s="515">
        <v>200</v>
      </c>
      <c r="O945" s="516">
        <f>VLOOKUP($I945,'Price List, Weapons &amp; Items'!A:F,6,0)</f>
        <v>300000</v>
      </c>
      <c r="P945" s="513">
        <f t="shared" si="200"/>
        <v>60000000</v>
      </c>
      <c r="Q945" s="513">
        <f t="shared" si="201"/>
        <v>60000000</v>
      </c>
      <c r="R945" s="513" t="str">
        <f t="shared" si="217"/>
        <v/>
      </c>
      <c r="S945" s="513" t="str">
        <f>IF(AND(AD945=1,R945&lt;&gt;".")=TRUE,R945/VLOOKUP(G945,'Exchange rates'!B:C,2,0),IF(R945=".",".",""))</f>
        <v/>
      </c>
      <c r="T945" s="513" t="str">
        <f>IF(AD945=1,IF(AF945="Value is not given at all",".",IF(AF945="Value is given by the source",S945,IF(AF945="Value is calculated with prices",(IF(SUMIFS(Q:Q,A:A,A945)&gt;0,SUMIFS(Q:Q,A:A,A945),"."))/VLOOKUP("USD",'Exchange rates'!B:C,2,0),"Error with coding"))),"")</f>
        <v/>
      </c>
      <c r="U945" s="39" t="s">
        <v>233</v>
      </c>
      <c r="V945" s="376" t="s">
        <v>2588</v>
      </c>
      <c r="W945" s="376" t="s">
        <v>2559</v>
      </c>
      <c r="X945" s="376" t="s">
        <v>2606</v>
      </c>
      <c r="Y945" s="528" t="s">
        <v>232</v>
      </c>
      <c r="Z945" s="39">
        <v>0</v>
      </c>
      <c r="AA945" s="518">
        <v>0</v>
      </c>
      <c r="AB945" s="394" t="s">
        <v>2593</v>
      </c>
      <c r="AC945" s="519" t="str">
        <f>""</f>
        <v/>
      </c>
      <c r="AD945" s="520">
        <v>0</v>
      </c>
      <c r="AE945" s="590" t="s">
        <v>2590</v>
      </c>
      <c r="AF945" s="520" t="s">
        <v>300</v>
      </c>
      <c r="AG945" s="520">
        <v>1</v>
      </c>
      <c r="AH945" s="520">
        <v>4</v>
      </c>
      <c r="AI945" s="520">
        <v>0</v>
      </c>
      <c r="AJ945" s="520">
        <f>VLOOKUP($I945,'Price List, Weapons &amp; Items'!A:E,5,0)</f>
        <v>1</v>
      </c>
      <c r="AK945" s="520">
        <f t="shared" si="202"/>
        <v>0</v>
      </c>
      <c r="AL945" s="520">
        <f t="shared" si="203"/>
        <v>0</v>
      </c>
      <c r="AM945" s="520">
        <f t="shared" si="204"/>
        <v>0</v>
      </c>
      <c r="AN945" s="521" t="str">
        <f>VLOOKUP($I945,'Price List, Weapons &amp; Items'!A:K,COLUMN('Price List, Weapons &amp; Items'!$I$1),0)</f>
        <v>Military media (incl. websites)</v>
      </c>
      <c r="AO945" s="521" t="str">
        <f>IF(I945=".",".",VLOOKUP($I945,'Price List, Weapons &amp; Items'!A:I,3,0))</f>
        <v>Armoured Personnel Carrier (APC)</v>
      </c>
      <c r="AP945" s="517" t="str">
        <f t="shared" ca="1" si="219"/>
        <v/>
      </c>
      <c r="AQ945" s="521">
        <f>VLOOKUP($I945,'Price List, Weapons &amp; Items'!A:K,COLUMN('Price List, Weapons &amp; Items'!$K$1),0)</f>
        <v>2</v>
      </c>
      <c r="AS945" s="521">
        <f t="shared" si="205"/>
        <v>1</v>
      </c>
      <c r="AT945" s="521">
        <f t="shared" si="206"/>
        <v>1</v>
      </c>
      <c r="AU945" s="521">
        <f t="shared" si="207"/>
        <v>1</v>
      </c>
      <c r="AV945" s="521" t="str">
        <f t="shared" si="208"/>
        <v>.</v>
      </c>
    </row>
    <row r="946" spans="1:48" ht="15" customHeight="1">
      <c r="A946" s="18" t="s">
        <v>2586</v>
      </c>
      <c r="B946" s="18" t="s">
        <v>2548</v>
      </c>
      <c r="C946" s="511">
        <v>44664</v>
      </c>
      <c r="D946" s="18" t="s">
        <v>252</v>
      </c>
      <c r="E946" s="18" t="s">
        <v>1157</v>
      </c>
      <c r="F946" s="512" t="s">
        <v>2605</v>
      </c>
      <c r="G946" s="39" t="s">
        <v>314</v>
      </c>
      <c r="H946" s="513">
        <v>800000000</v>
      </c>
      <c r="I946" s="41" t="s">
        <v>2612</v>
      </c>
      <c r="J946" s="276" t="str">
        <f>VLOOKUP($I946,'Price List, Weapons &amp; Items'!A:B,2,0)</f>
        <v>Heavy weapon</v>
      </c>
      <c r="K946" s="276" t="str">
        <f>IF(I946=".",I946,VLOOKUP($I946,'Price List, Weapons &amp; Items'!A:C,3,0))</f>
        <v>Armoured Utility Vehicle (AUV)</v>
      </c>
      <c r="L946" s="514">
        <f>VLOOKUP(I946,'Price List, Weapons &amp; Items'!A:D,4,0)</f>
        <v>0</v>
      </c>
      <c r="M946" s="515">
        <v>100</v>
      </c>
      <c r="N946" s="515">
        <v>100</v>
      </c>
      <c r="O946" s="516">
        <f>VLOOKUP($I946,'Price List, Weapons &amp; Items'!A:F,6,0)</f>
        <v>254717</v>
      </c>
      <c r="P946" s="513">
        <f t="shared" si="200"/>
        <v>25471700</v>
      </c>
      <c r="Q946" s="513">
        <f t="shared" si="201"/>
        <v>25471700</v>
      </c>
      <c r="R946" s="513" t="str">
        <f t="shared" si="217"/>
        <v/>
      </c>
      <c r="S946" s="513" t="str">
        <f>IF(AND(AD946=1,R946&lt;&gt;".")=TRUE,R946/VLOOKUP(G946,'Exchange rates'!B:C,2,0),IF(R946=".",".",""))</f>
        <v/>
      </c>
      <c r="T946" s="513" t="str">
        <f>IF(AD946=1,IF(AF946="Value is not given at all",".",IF(AF946="Value is given by the source",S946,IF(AF946="Value is calculated with prices",(IF(SUMIFS(Q:Q,A:A,A946)&gt;0,SUMIFS(Q:Q,A:A,A946),"."))/VLOOKUP("USD",'Exchange rates'!B:C,2,0),"Error with coding"))),"")</f>
        <v/>
      </c>
      <c r="U946" s="39" t="s">
        <v>233</v>
      </c>
      <c r="V946" s="376" t="s">
        <v>2588</v>
      </c>
      <c r="W946" s="376" t="s">
        <v>2559</v>
      </c>
      <c r="X946" s="376" t="s">
        <v>2606</v>
      </c>
      <c r="Y946" s="528" t="s">
        <v>232</v>
      </c>
      <c r="Z946" s="39">
        <v>0</v>
      </c>
      <c r="AA946" s="518">
        <v>0</v>
      </c>
      <c r="AB946" s="394" t="s">
        <v>2593</v>
      </c>
      <c r="AC946" s="519" t="str">
        <f>""</f>
        <v/>
      </c>
      <c r="AD946" s="520">
        <v>0</v>
      </c>
      <c r="AE946" s="590" t="s">
        <v>2590</v>
      </c>
      <c r="AF946" s="520" t="s">
        <v>300</v>
      </c>
      <c r="AG946" s="520">
        <v>1</v>
      </c>
      <c r="AH946" s="520">
        <v>4</v>
      </c>
      <c r="AI946" s="520">
        <v>0</v>
      </c>
      <c r="AJ946" s="520">
        <f>VLOOKUP($I946,'Price List, Weapons &amp; Items'!A:E,5,0)</f>
        <v>1</v>
      </c>
      <c r="AK946" s="520">
        <f t="shared" si="202"/>
        <v>0</v>
      </c>
      <c r="AL946" s="520">
        <f t="shared" si="203"/>
        <v>0</v>
      </c>
      <c r="AM946" s="520">
        <f t="shared" si="204"/>
        <v>0</v>
      </c>
      <c r="AN946" s="521" t="str">
        <f>VLOOKUP($I946,'Price List, Weapons &amp; Items'!A:K,COLUMN('Price List, Weapons &amp; Items'!$I$1),0)</f>
        <v>Military media (incl. websites)</v>
      </c>
      <c r="AO946" s="521" t="str">
        <f>IF(I946=".",".",VLOOKUP($I946,'Price List, Weapons &amp; Items'!A:I,3,0))</f>
        <v>Armoured Utility Vehicle (AUV)</v>
      </c>
      <c r="AP946" s="517" t="str">
        <f t="shared" ca="1" si="219"/>
        <v/>
      </c>
      <c r="AQ946" s="521">
        <f>VLOOKUP($I946,'Price List, Weapons &amp; Items'!A:K,COLUMN('Price List, Weapons &amp; Items'!$K$1),0)</f>
        <v>2</v>
      </c>
      <c r="AS946" s="521">
        <f t="shared" si="205"/>
        <v>1</v>
      </c>
      <c r="AT946" s="521">
        <f t="shared" si="206"/>
        <v>1</v>
      </c>
      <c r="AU946" s="521">
        <f t="shared" si="207"/>
        <v>1</v>
      </c>
      <c r="AV946" s="521" t="str">
        <f t="shared" si="208"/>
        <v>.</v>
      </c>
    </row>
    <row r="947" spans="1:48" ht="15" customHeight="1">
      <c r="A947" s="18" t="s">
        <v>2586</v>
      </c>
      <c r="B947" s="18" t="s">
        <v>2548</v>
      </c>
      <c r="C947" s="511">
        <v>44664</v>
      </c>
      <c r="D947" s="18" t="s">
        <v>252</v>
      </c>
      <c r="E947" s="18" t="s">
        <v>1157</v>
      </c>
      <c r="F947" s="512" t="s">
        <v>2605</v>
      </c>
      <c r="G947" s="39" t="s">
        <v>314</v>
      </c>
      <c r="H947" s="513">
        <v>800000000</v>
      </c>
      <c r="I947" s="41" t="s">
        <v>1548</v>
      </c>
      <c r="J947" s="276" t="str">
        <f>VLOOKUP($I947,'Price List, Weapons &amp; Items'!A:B,2,0)</f>
        <v>Aviation and drones</v>
      </c>
      <c r="K947" s="276" t="str">
        <f>IF(I947=".",I947,VLOOKUP($I947,'Price List, Weapons &amp; Items'!A:C,3,0))</f>
        <v>Combat aircraft</v>
      </c>
      <c r="L947" s="514">
        <f>VLOOKUP(I947,'Price List, Weapons &amp; Items'!A:D,4,0)</f>
        <v>1</v>
      </c>
      <c r="M947" s="515">
        <v>11</v>
      </c>
      <c r="N947" s="515">
        <v>11</v>
      </c>
      <c r="O947" s="516">
        <f>VLOOKUP($I947,'Price List, Weapons &amp; Items'!A:F,6,0)</f>
        <v>18400000</v>
      </c>
      <c r="P947" s="513">
        <f t="shared" si="200"/>
        <v>202400000</v>
      </c>
      <c r="Q947" s="513">
        <f t="shared" si="201"/>
        <v>202400000</v>
      </c>
      <c r="R947" s="513" t="str">
        <f t="shared" si="217"/>
        <v/>
      </c>
      <c r="S947" s="513" t="str">
        <f>IF(AND(AD947=1,R947&lt;&gt;".")=TRUE,R947/VLOOKUP(G947,'Exchange rates'!B:C,2,0),IF(R947=".",".",""))</f>
        <v/>
      </c>
      <c r="T947" s="513" t="str">
        <f>IF(AD947=1,IF(AF947="Value is not given at all",".",IF(AF947="Value is given by the source",S947,IF(AF947="Value is calculated with prices",(IF(SUMIFS(Q:Q,A:A,A947)&gt;0,SUMIFS(Q:Q,A:A,A947),"."))/VLOOKUP("USD",'Exchange rates'!B:C,2,0),"Error with coding"))),"")</f>
        <v/>
      </c>
      <c r="U947" s="39" t="s">
        <v>233</v>
      </c>
      <c r="V947" s="376" t="s">
        <v>2588</v>
      </c>
      <c r="W947" s="376" t="s">
        <v>2559</v>
      </c>
      <c r="X947" s="376" t="s">
        <v>2606</v>
      </c>
      <c r="Y947" s="528" t="s">
        <v>232</v>
      </c>
      <c r="Z947" s="39">
        <v>0</v>
      </c>
      <c r="AA947" s="518">
        <v>0</v>
      </c>
      <c r="AB947" s="394" t="s">
        <v>2613</v>
      </c>
      <c r="AC947" s="519" t="str">
        <f>""</f>
        <v/>
      </c>
      <c r="AD947" s="520">
        <v>0</v>
      </c>
      <c r="AE947" s="590" t="s">
        <v>2590</v>
      </c>
      <c r="AF947" s="520" t="s">
        <v>300</v>
      </c>
      <c r="AG947" s="520">
        <v>1</v>
      </c>
      <c r="AH947" s="520">
        <v>4</v>
      </c>
      <c r="AI947" s="520">
        <v>0</v>
      </c>
      <c r="AJ947" s="520">
        <f>VLOOKUP($I947,'Price List, Weapons &amp; Items'!A:E,5,0)</f>
        <v>0</v>
      </c>
      <c r="AK947" s="520">
        <f t="shared" si="202"/>
        <v>0</v>
      </c>
      <c r="AL947" s="520">
        <f t="shared" si="203"/>
        <v>0</v>
      </c>
      <c r="AM947" s="520">
        <f t="shared" si="204"/>
        <v>0</v>
      </c>
      <c r="AN947" s="521" t="str">
        <f>VLOOKUP($I947,'Price List, Weapons &amp; Items'!A:K,COLUMN('Price List, Weapons &amp; Items'!$I$1),0)</f>
        <v>Media reports (incl. social media)</v>
      </c>
      <c r="AO947" s="521" t="str">
        <f>IF(I947=".",".",VLOOKUP($I947,'Price List, Weapons &amp; Items'!A:I,3,0))</f>
        <v>Combat aircraft</v>
      </c>
      <c r="AP947" s="517" t="str">
        <f t="shared" ca="1" si="219"/>
        <v/>
      </c>
      <c r="AQ947" s="521">
        <f>VLOOKUP($I947,'Price List, Weapons &amp; Items'!A:K,COLUMN('Price List, Weapons &amp; Items'!$K$1),0)</f>
        <v>2</v>
      </c>
      <c r="AS947" s="521">
        <f t="shared" si="205"/>
        <v>1</v>
      </c>
      <c r="AT947" s="521">
        <f t="shared" si="206"/>
        <v>1</v>
      </c>
      <c r="AU947" s="521">
        <f t="shared" si="207"/>
        <v>1</v>
      </c>
      <c r="AV947" s="521" t="str">
        <f t="shared" si="208"/>
        <v>.</v>
      </c>
    </row>
    <row r="948" spans="1:48" ht="15" customHeight="1">
      <c r="A948" s="18" t="s">
        <v>2586</v>
      </c>
      <c r="B948" s="18" t="s">
        <v>2548</v>
      </c>
      <c r="C948" s="511">
        <v>44664</v>
      </c>
      <c r="D948" s="18" t="s">
        <v>252</v>
      </c>
      <c r="E948" s="18" t="s">
        <v>1157</v>
      </c>
      <c r="F948" s="512" t="s">
        <v>2605</v>
      </c>
      <c r="G948" s="39" t="s">
        <v>314</v>
      </c>
      <c r="H948" s="513">
        <v>800000000</v>
      </c>
      <c r="I948" s="816" t="s">
        <v>2614</v>
      </c>
      <c r="J948" s="276" t="str">
        <f>VLOOKUP($I948,'Price List, Weapons &amp; Items'!A:B,2,0)</f>
        <v>Heavy weapon</v>
      </c>
      <c r="K948" s="276" t="str">
        <f>IF(I948=".",I948,VLOOKUP($I948,'Price List, Weapons &amp; Items'!A:C,3,0))</f>
        <v>Patrol and coastal combatants</v>
      </c>
      <c r="L948" s="514">
        <f>VLOOKUP(I948,'Price List, Weapons &amp; Items'!A:D,4,0)</f>
        <v>0</v>
      </c>
      <c r="M948" s="515" t="s">
        <v>264</v>
      </c>
      <c r="N948" s="515" t="str">
        <f t="shared" ref="N948:N956" si="220">M948</f>
        <v>undisclosed</v>
      </c>
      <c r="O948" s="516">
        <f>VLOOKUP($I948,'Price List, Weapons &amp; Items'!A:F,6,0)</f>
        <v>2548204.5789999999</v>
      </c>
      <c r="P948" s="513" t="str">
        <f t="shared" si="200"/>
        <v>.</v>
      </c>
      <c r="Q948" s="513" t="str">
        <f t="shared" si="201"/>
        <v>.</v>
      </c>
      <c r="R948" s="513" t="str">
        <f t="shared" si="217"/>
        <v/>
      </c>
      <c r="S948" s="513" t="str">
        <f>IF(AND(AD948=1,R948&lt;&gt;".")=TRUE,R948/VLOOKUP(G948,'Exchange rates'!B:C,2,0),IF(R948=".",".",""))</f>
        <v/>
      </c>
      <c r="T948" s="513" t="str">
        <f>IF(AD948=1,IF(AF948="Value is not given at all",".",IF(AF948="Value is given by the source",S948,IF(AF948="Value is calculated with prices",(IF(SUMIFS(Q:Q,A:A,A948)&gt;0,SUMIFS(Q:Q,A:A,A948),"."))/VLOOKUP("USD",'Exchange rates'!B:C,2,0),"Error with coding"))),"")</f>
        <v/>
      </c>
      <c r="U948" s="39" t="s">
        <v>233</v>
      </c>
      <c r="V948" s="376" t="s">
        <v>2588</v>
      </c>
      <c r="W948" s="376" t="s">
        <v>2559</v>
      </c>
      <c r="X948" s="376" t="s">
        <v>2606</v>
      </c>
      <c r="Y948" s="528" t="s">
        <v>232</v>
      </c>
      <c r="Z948" s="39">
        <v>0</v>
      </c>
      <c r="AA948" s="518">
        <v>0</v>
      </c>
      <c r="AB948" s="38" t="s">
        <v>2613</v>
      </c>
      <c r="AC948" s="519" t="str">
        <f>""</f>
        <v/>
      </c>
      <c r="AD948" s="520">
        <v>0</v>
      </c>
      <c r="AE948" s="590" t="s">
        <v>2590</v>
      </c>
      <c r="AF948" s="520" t="s">
        <v>300</v>
      </c>
      <c r="AG948" s="520">
        <v>1</v>
      </c>
      <c r="AH948" s="520">
        <v>4</v>
      </c>
      <c r="AI948" s="520">
        <v>0</v>
      </c>
      <c r="AJ948" s="520">
        <f>VLOOKUP($I948,'Price List, Weapons &amp; Items'!A:E,5,0)</f>
        <v>0</v>
      </c>
      <c r="AK948" s="520">
        <f t="shared" si="202"/>
        <v>0</v>
      </c>
      <c r="AL948" s="520">
        <f t="shared" si="203"/>
        <v>0</v>
      </c>
      <c r="AM948" s="520">
        <f t="shared" si="204"/>
        <v>0</v>
      </c>
      <c r="AN948" s="521" t="str">
        <f>VLOOKUP($I948,'Price List, Weapons &amp; Items'!A:K,COLUMN('Price List, Weapons &amp; Items'!$I$1),0)</f>
        <v>Government information</v>
      </c>
      <c r="AO948" s="521" t="str">
        <f>IF(I948=".",".",VLOOKUP($I948,'Price List, Weapons &amp; Items'!A:I,3,0))</f>
        <v>Patrol and coastal combatants</v>
      </c>
      <c r="AP948" s="517" t="str">
        <f t="shared" ca="1" si="219"/>
        <v/>
      </c>
      <c r="AQ948" s="521" t="str">
        <f>VLOOKUP($I948,'Price List, Weapons &amp; Items'!A:K,COLUMN('Price List, Weapons &amp; Items'!$K$1),0)</f>
        <v>no price, 0 count</v>
      </c>
      <c r="AS948" s="521">
        <f t="shared" si="205"/>
        <v>1</v>
      </c>
      <c r="AT948" s="521">
        <f t="shared" si="206"/>
        <v>1</v>
      </c>
      <c r="AU948" s="521">
        <f t="shared" si="207"/>
        <v>1</v>
      </c>
      <c r="AV948" s="521" t="str">
        <f t="shared" si="208"/>
        <v>.</v>
      </c>
    </row>
    <row r="949" spans="1:48" ht="15" customHeight="1">
      <c r="A949" s="18" t="s">
        <v>2586</v>
      </c>
      <c r="B949" s="18" t="s">
        <v>2548</v>
      </c>
      <c r="C949" s="511">
        <v>44664</v>
      </c>
      <c r="D949" s="18" t="s">
        <v>252</v>
      </c>
      <c r="E949" s="18" t="s">
        <v>1157</v>
      </c>
      <c r="F949" s="512" t="s">
        <v>2605</v>
      </c>
      <c r="G949" s="39" t="s">
        <v>314</v>
      </c>
      <c r="H949" s="513">
        <v>800000000</v>
      </c>
      <c r="I949" s="41" t="s">
        <v>1497</v>
      </c>
      <c r="J949" s="276" t="str">
        <f>VLOOKUP($I949,'Price List, Weapons &amp; Items'!A:B,2,0)</f>
        <v>Military equipment</v>
      </c>
      <c r="K949" s="276" t="str">
        <f>IF(I949=".",I949,VLOOKUP($I949,'Price List, Weapons &amp; Items'!A:C,3,0))</f>
        <v>.</v>
      </c>
      <c r="L949" s="514">
        <f>VLOOKUP(I949,'Price List, Weapons &amp; Items'!A:D,4,0)</f>
        <v>0</v>
      </c>
      <c r="M949" s="515" t="s">
        <v>232</v>
      </c>
      <c r="N949" s="515" t="str">
        <f t="shared" si="220"/>
        <v>.</v>
      </c>
      <c r="O949" s="516" t="str">
        <f>VLOOKUP($I949,'Price List, Weapons &amp; Items'!A:F,6,0)</f>
        <v>.</v>
      </c>
      <c r="P949" s="513" t="str">
        <f t="shared" si="200"/>
        <v>.</v>
      </c>
      <c r="Q949" s="513" t="str">
        <f t="shared" si="201"/>
        <v>.</v>
      </c>
      <c r="R949" s="513" t="str">
        <f t="shared" si="217"/>
        <v/>
      </c>
      <c r="S949" s="513" t="str">
        <f>IF(AND(AD949=1,R949&lt;&gt;".")=TRUE,R949/VLOOKUP(G949,'Exchange rates'!B:C,2,0),IF(R949=".",".",""))</f>
        <v/>
      </c>
      <c r="T949" s="513" t="str">
        <f>IF(AD949=1,IF(AF949="Value is not given at all",".",IF(AF949="Value is given by the source",S949,IF(AF949="Value is calculated with prices",(IF(SUMIFS(Q:Q,A:A,A949)&gt;0,SUMIFS(Q:Q,A:A,A949),"."))/VLOOKUP("USD",'Exchange rates'!B:C,2,0),"Error with coding"))),"")</f>
        <v/>
      </c>
      <c r="U949" s="39" t="s">
        <v>233</v>
      </c>
      <c r="V949" s="376" t="s">
        <v>2588</v>
      </c>
      <c r="W949" s="376" t="s">
        <v>2559</v>
      </c>
      <c r="X949" s="376" t="s">
        <v>2606</v>
      </c>
      <c r="Y949" s="528" t="s">
        <v>232</v>
      </c>
      <c r="Z949" s="39">
        <v>0</v>
      </c>
      <c r="AA949" s="518">
        <v>0</v>
      </c>
      <c r="AB949" s="38" t="s">
        <v>2613</v>
      </c>
      <c r="AC949" s="519" t="str">
        <f>""</f>
        <v/>
      </c>
      <c r="AD949" s="520">
        <v>0</v>
      </c>
      <c r="AE949" s="590" t="s">
        <v>2590</v>
      </c>
      <c r="AF949" s="520" t="s">
        <v>300</v>
      </c>
      <c r="AG949" s="520">
        <v>1</v>
      </c>
      <c r="AH949" s="520">
        <v>4</v>
      </c>
      <c r="AI949" s="520">
        <v>0</v>
      </c>
      <c r="AJ949" s="520">
        <f>VLOOKUP($I949,'Price List, Weapons &amp; Items'!A:E,5,0)</f>
        <v>0</v>
      </c>
      <c r="AK949" s="520">
        <f t="shared" si="202"/>
        <v>0</v>
      </c>
      <c r="AL949" s="520">
        <f t="shared" si="203"/>
        <v>0</v>
      </c>
      <c r="AM949" s="520">
        <f t="shared" si="204"/>
        <v>0</v>
      </c>
      <c r="AN949" s="521" t="str">
        <f>VLOOKUP($I949,'Price List, Weapons &amp; Items'!A:K,COLUMN('Price List, Weapons &amp; Items'!$I$1),0)</f>
        <v>.</v>
      </c>
      <c r="AO949" s="521" t="str">
        <f>IF(I949=".",".",VLOOKUP($I949,'Price List, Weapons &amp; Items'!A:I,3,0))</f>
        <v>.</v>
      </c>
      <c r="AP949" s="517" t="str">
        <f t="shared" ca="1" si="219"/>
        <v/>
      </c>
      <c r="AQ949" s="521" t="str">
        <f>VLOOKUP($I949,'Price List, Weapons &amp; Items'!A:K,COLUMN('Price List, Weapons &amp; Items'!$K$1),0)</f>
        <v>no price, 0 count</v>
      </c>
      <c r="AS949" s="521">
        <f t="shared" si="205"/>
        <v>1</v>
      </c>
      <c r="AT949" s="521">
        <f t="shared" si="206"/>
        <v>1</v>
      </c>
      <c r="AU949" s="521">
        <f t="shared" si="207"/>
        <v>1</v>
      </c>
      <c r="AV949" s="521" t="str">
        <f t="shared" si="208"/>
        <v>.</v>
      </c>
    </row>
    <row r="950" spans="1:48" ht="15" customHeight="1">
      <c r="A950" s="18" t="s">
        <v>2586</v>
      </c>
      <c r="B950" s="18" t="s">
        <v>2548</v>
      </c>
      <c r="C950" s="511">
        <v>44664</v>
      </c>
      <c r="D950" s="18" t="s">
        <v>252</v>
      </c>
      <c r="E950" s="18" t="s">
        <v>1157</v>
      </c>
      <c r="F950" s="512" t="s">
        <v>2605</v>
      </c>
      <c r="G950" s="39" t="s">
        <v>314</v>
      </c>
      <c r="H950" s="513">
        <v>800000000</v>
      </c>
      <c r="I950" s="41" t="s">
        <v>2027</v>
      </c>
      <c r="J950" s="276" t="str">
        <f>VLOOKUP($I950,'Price List, Weapons &amp; Items'!A:B,2,0)</f>
        <v>Military equipment</v>
      </c>
      <c r="K950" s="276" t="str">
        <f>IF(I950=".",I950,VLOOKUP($I950,'Price List, Weapons &amp; Items'!A:C,3,0))</f>
        <v>.</v>
      </c>
      <c r="L950" s="514">
        <f>VLOOKUP(I950,'Price List, Weapons &amp; Items'!A:D,4,0)</f>
        <v>0</v>
      </c>
      <c r="M950" s="515" t="s">
        <v>232</v>
      </c>
      <c r="N950" s="515" t="str">
        <f t="shared" si="220"/>
        <v>.</v>
      </c>
      <c r="O950" s="516" t="str">
        <f>VLOOKUP($I950,'Price List, Weapons &amp; Items'!A:F,6,0)</f>
        <v>.</v>
      </c>
      <c r="P950" s="513" t="str">
        <f t="shared" si="200"/>
        <v>.</v>
      </c>
      <c r="Q950" s="513" t="str">
        <f t="shared" si="201"/>
        <v>.</v>
      </c>
      <c r="R950" s="513" t="str">
        <f t="shared" si="217"/>
        <v/>
      </c>
      <c r="S950" s="513" t="str">
        <f>IF(AND(AD950=1,R950&lt;&gt;".")=TRUE,R950/VLOOKUP(G950,'Exchange rates'!B:C,2,0),IF(R950=".",".",""))</f>
        <v/>
      </c>
      <c r="T950" s="513" t="str">
        <f>IF(AD950=1,IF(AF950="Value is not given at all",".",IF(AF950="Value is given by the source",S950,IF(AF950="Value is calculated with prices",(IF(SUMIFS(Q:Q,A:A,A950)&gt;0,SUMIFS(Q:Q,A:A,A950),"."))/VLOOKUP("USD",'Exchange rates'!B:C,2,0),"Error with coding"))),"")</f>
        <v/>
      </c>
      <c r="U950" s="39" t="s">
        <v>233</v>
      </c>
      <c r="V950" s="376" t="s">
        <v>2588</v>
      </c>
      <c r="W950" s="376" t="s">
        <v>2559</v>
      </c>
      <c r="X950" s="376" t="s">
        <v>2606</v>
      </c>
      <c r="Y950" s="528" t="s">
        <v>232</v>
      </c>
      <c r="Z950" s="39">
        <v>0</v>
      </c>
      <c r="AA950" s="518">
        <v>0</v>
      </c>
      <c r="AB950" s="38" t="s">
        <v>2613</v>
      </c>
      <c r="AC950" s="519" t="str">
        <f>""</f>
        <v/>
      </c>
      <c r="AD950" s="520">
        <v>0</v>
      </c>
      <c r="AE950" s="590" t="s">
        <v>2590</v>
      </c>
      <c r="AF950" s="520" t="s">
        <v>300</v>
      </c>
      <c r="AG950" s="520">
        <v>1</v>
      </c>
      <c r="AH950" s="520">
        <v>4</v>
      </c>
      <c r="AI950" s="520">
        <v>0</v>
      </c>
      <c r="AJ950" s="520">
        <f>VLOOKUP($I950,'Price List, Weapons &amp; Items'!A:E,5,0)</f>
        <v>0</v>
      </c>
      <c r="AK950" s="520">
        <f t="shared" si="202"/>
        <v>0</v>
      </c>
      <c r="AL950" s="520">
        <f t="shared" si="203"/>
        <v>0</v>
      </c>
      <c r="AM950" s="520">
        <f t="shared" si="204"/>
        <v>0</v>
      </c>
      <c r="AN950" s="521" t="str">
        <f>VLOOKUP($I950,'Price List, Weapons &amp; Items'!A:K,COLUMN('Price List, Weapons &amp; Items'!$I$1),0)</f>
        <v>.</v>
      </c>
      <c r="AO950" s="521" t="str">
        <f>IF(I950=".",".",VLOOKUP($I950,'Price List, Weapons &amp; Items'!A:I,3,0))</f>
        <v>.</v>
      </c>
      <c r="AP950" s="517" t="str">
        <f t="shared" ca="1" si="219"/>
        <v/>
      </c>
      <c r="AQ950" s="521" t="str">
        <f>VLOOKUP($I950,'Price List, Weapons &amp; Items'!A:K,COLUMN('Price List, Weapons &amp; Items'!$K$1),0)</f>
        <v>no price, 0 count</v>
      </c>
      <c r="AS950" s="521">
        <f t="shared" si="205"/>
        <v>1</v>
      </c>
      <c r="AT950" s="521">
        <f t="shared" si="206"/>
        <v>1</v>
      </c>
      <c r="AU950" s="521">
        <f t="shared" si="207"/>
        <v>1</v>
      </c>
      <c r="AV950" s="521" t="str">
        <f t="shared" si="208"/>
        <v>.</v>
      </c>
    </row>
    <row r="951" spans="1:48" ht="15" customHeight="1">
      <c r="A951" s="18" t="s">
        <v>2586</v>
      </c>
      <c r="B951" s="18" t="s">
        <v>2548</v>
      </c>
      <c r="C951" s="511">
        <v>44664</v>
      </c>
      <c r="D951" s="18" t="s">
        <v>252</v>
      </c>
      <c r="E951" s="18" t="s">
        <v>1157</v>
      </c>
      <c r="F951" s="512" t="s">
        <v>2605</v>
      </c>
      <c r="G951" s="39" t="s">
        <v>314</v>
      </c>
      <c r="H951" s="513">
        <v>800000000</v>
      </c>
      <c r="I951" s="41" t="s">
        <v>446</v>
      </c>
      <c r="J951" s="276" t="str">
        <f>VLOOKUP($I951,'Price List, Weapons &amp; Items'!A:B,2,0)</f>
        <v>Military equipment</v>
      </c>
      <c r="K951" s="276" t="str">
        <f>IF(I951=".",I951,VLOOKUP($I951,'Price List, Weapons &amp; Items'!A:C,3,0))</f>
        <v>.</v>
      </c>
      <c r="L951" s="514">
        <f>VLOOKUP(I951,'Price List, Weapons &amp; Items'!A:D,4,0)</f>
        <v>0</v>
      </c>
      <c r="M951" s="515">
        <v>30000</v>
      </c>
      <c r="N951" s="515">
        <f t="shared" si="220"/>
        <v>30000</v>
      </c>
      <c r="O951" s="516">
        <f>VLOOKUP($I951,'Price List, Weapons &amp; Items'!A:F,6,0)</f>
        <v>500</v>
      </c>
      <c r="P951" s="513">
        <f t="shared" si="200"/>
        <v>15000000</v>
      </c>
      <c r="Q951" s="513">
        <f t="shared" si="201"/>
        <v>15000000</v>
      </c>
      <c r="R951" s="513" t="str">
        <f t="shared" si="217"/>
        <v/>
      </c>
      <c r="S951" s="513" t="str">
        <f>IF(AND(AD951=1,R951&lt;&gt;".")=TRUE,R951/VLOOKUP(G951,'Exchange rates'!B:C,2,0),IF(R951=".",".",""))</f>
        <v/>
      </c>
      <c r="T951" s="513" t="str">
        <f>IF(AD951=1,IF(AF951="Value is not given at all",".",IF(AF951="Value is given by the source",S951,IF(AF951="Value is calculated with prices",(IF(SUMIFS(Q:Q,A:A,A951)&gt;0,SUMIFS(Q:Q,A:A,A951),"."))/VLOOKUP("USD",'Exchange rates'!B:C,2,0),"Error with coding"))),"")</f>
        <v/>
      </c>
      <c r="U951" s="39" t="s">
        <v>233</v>
      </c>
      <c r="V951" s="376" t="s">
        <v>2588</v>
      </c>
      <c r="W951" s="376" t="s">
        <v>2559</v>
      </c>
      <c r="X951" s="376" t="s">
        <v>2606</v>
      </c>
      <c r="Y951" s="528" t="s">
        <v>232</v>
      </c>
      <c r="Z951" s="39">
        <v>0</v>
      </c>
      <c r="AA951" s="518">
        <v>0</v>
      </c>
      <c r="AB951" s="38" t="s">
        <v>2613</v>
      </c>
      <c r="AC951" s="519" t="str">
        <f>""</f>
        <v/>
      </c>
      <c r="AD951" s="520">
        <v>0</v>
      </c>
      <c r="AE951" s="590" t="s">
        <v>2590</v>
      </c>
      <c r="AF951" s="520" t="s">
        <v>300</v>
      </c>
      <c r="AG951" s="520">
        <v>1</v>
      </c>
      <c r="AH951" s="520">
        <v>4</v>
      </c>
      <c r="AI951" s="520">
        <v>0</v>
      </c>
      <c r="AJ951" s="520">
        <f>VLOOKUP($I951,'Price List, Weapons &amp; Items'!A:E,5,0)</f>
        <v>0</v>
      </c>
      <c r="AK951" s="520">
        <f t="shared" si="202"/>
        <v>0</v>
      </c>
      <c r="AL951" s="520">
        <f t="shared" si="203"/>
        <v>0</v>
      </c>
      <c r="AM951" s="520">
        <f t="shared" si="204"/>
        <v>0</v>
      </c>
      <c r="AN951" s="521" t="str">
        <f>VLOOKUP($I951,'Price List, Weapons &amp; Items'!A:K,COLUMN('Price List, Weapons &amp; Items'!$I$1),0)</f>
        <v>Military media (incl. websites)</v>
      </c>
      <c r="AO951" s="521" t="str">
        <f>IF(I951=".",".",VLOOKUP($I951,'Price List, Weapons &amp; Items'!A:I,3,0))</f>
        <v>.</v>
      </c>
      <c r="AP951" s="517" t="str">
        <f t="shared" ca="1" si="219"/>
        <v/>
      </c>
      <c r="AQ951" s="521">
        <f>VLOOKUP($I951,'Price List, Weapons &amp; Items'!A:K,COLUMN('Price List, Weapons &amp; Items'!$K$1),0)</f>
        <v>2</v>
      </c>
      <c r="AS951" s="521">
        <f t="shared" si="205"/>
        <v>1</v>
      </c>
      <c r="AT951" s="521">
        <f t="shared" si="206"/>
        <v>1</v>
      </c>
      <c r="AU951" s="521">
        <f t="shared" si="207"/>
        <v>1</v>
      </c>
      <c r="AV951" s="521" t="str">
        <f t="shared" si="208"/>
        <v>.</v>
      </c>
    </row>
    <row r="952" spans="1:48" ht="15" customHeight="1">
      <c r="A952" s="18" t="s">
        <v>2586</v>
      </c>
      <c r="B952" s="18" t="s">
        <v>2548</v>
      </c>
      <c r="C952" s="511">
        <v>44664</v>
      </c>
      <c r="D952" s="18" t="s">
        <v>252</v>
      </c>
      <c r="E952" s="18" t="s">
        <v>1157</v>
      </c>
      <c r="F952" s="512" t="s">
        <v>2605</v>
      </c>
      <c r="G952" s="39" t="s">
        <v>314</v>
      </c>
      <c r="H952" s="513">
        <v>800000000</v>
      </c>
      <c r="I952" s="41" t="s">
        <v>419</v>
      </c>
      <c r="J952" s="276" t="str">
        <f>VLOOKUP($I952,'Price List, Weapons &amp; Items'!A:B,2,0)</f>
        <v>Military equipment</v>
      </c>
      <c r="K952" s="276" t="str">
        <f>IF(I952=".",I952,VLOOKUP($I952,'Price List, Weapons &amp; Items'!A:C,3,0))</f>
        <v>.</v>
      </c>
      <c r="L952" s="514">
        <f>VLOOKUP(I952,'Price List, Weapons &amp; Items'!A:D,4,0)</f>
        <v>0</v>
      </c>
      <c r="M952" s="515">
        <v>30000</v>
      </c>
      <c r="N952" s="515">
        <f t="shared" si="220"/>
        <v>30000</v>
      </c>
      <c r="O952" s="516">
        <f>VLOOKUP($I952,'Price List, Weapons &amp; Items'!A:F,6,0)</f>
        <v>1400</v>
      </c>
      <c r="P952" s="513">
        <f t="shared" si="200"/>
        <v>42000000</v>
      </c>
      <c r="Q952" s="513">
        <f t="shared" si="201"/>
        <v>42000000</v>
      </c>
      <c r="R952" s="513" t="str">
        <f t="shared" si="217"/>
        <v/>
      </c>
      <c r="S952" s="513" t="str">
        <f>IF(AND(AD952=1,R952&lt;&gt;".")=TRUE,R952/VLOOKUP(G952,'Exchange rates'!B:C,2,0),IF(R952=".",".",""))</f>
        <v/>
      </c>
      <c r="T952" s="513" t="str">
        <f>IF(AD952=1,IF(AF952="Value is not given at all",".",IF(AF952="Value is given by the source",S952,IF(AF952="Value is calculated with prices",(IF(SUMIFS(Q:Q,A:A,A952)&gt;0,SUMIFS(Q:Q,A:A,A952),"."))/VLOOKUP("USD",'Exchange rates'!B:C,2,0),"Error with coding"))),"")</f>
        <v/>
      </c>
      <c r="U952" s="39" t="s">
        <v>233</v>
      </c>
      <c r="V952" s="376" t="s">
        <v>2588</v>
      </c>
      <c r="W952" s="376" t="s">
        <v>2559</v>
      </c>
      <c r="X952" s="376" t="s">
        <v>2606</v>
      </c>
      <c r="Y952" s="528" t="s">
        <v>232</v>
      </c>
      <c r="Z952" s="39">
        <v>0</v>
      </c>
      <c r="AA952" s="518">
        <v>0</v>
      </c>
      <c r="AB952" s="38" t="s">
        <v>2613</v>
      </c>
      <c r="AC952" s="519" t="str">
        <f>""</f>
        <v/>
      </c>
      <c r="AD952" s="520">
        <v>0</v>
      </c>
      <c r="AE952" s="590" t="s">
        <v>2590</v>
      </c>
      <c r="AF952" s="520" t="s">
        <v>300</v>
      </c>
      <c r="AG952" s="520">
        <v>1</v>
      </c>
      <c r="AH952" s="520">
        <v>4</v>
      </c>
      <c r="AI952" s="520">
        <v>0</v>
      </c>
      <c r="AJ952" s="520">
        <f>VLOOKUP($I952,'Price List, Weapons &amp; Items'!A:E,5,0)</f>
        <v>0</v>
      </c>
      <c r="AK952" s="520">
        <f t="shared" si="202"/>
        <v>0</v>
      </c>
      <c r="AL952" s="520">
        <f t="shared" si="203"/>
        <v>0</v>
      </c>
      <c r="AM952" s="520">
        <f t="shared" si="204"/>
        <v>0</v>
      </c>
      <c r="AN952" s="521" t="str">
        <f>VLOOKUP($I952,'Price List, Weapons &amp; Items'!A:K,COLUMN('Price List, Weapons &amp; Items'!$I$1),0)</f>
        <v>Military media (incl. websites)</v>
      </c>
      <c r="AO952" s="521" t="str">
        <f>IF(I952=".",".",VLOOKUP($I952,'Price List, Weapons &amp; Items'!A:I,3,0))</f>
        <v>.</v>
      </c>
      <c r="AP952" s="517" t="str">
        <f t="shared" ca="1" si="219"/>
        <v/>
      </c>
      <c r="AQ952" s="521">
        <f>VLOOKUP($I952,'Price List, Weapons &amp; Items'!A:K,COLUMN('Price List, Weapons &amp; Items'!$K$1),0)</f>
        <v>2</v>
      </c>
      <c r="AS952" s="521">
        <f t="shared" si="205"/>
        <v>1</v>
      </c>
      <c r="AT952" s="521">
        <f t="shared" si="206"/>
        <v>1</v>
      </c>
      <c r="AU952" s="521">
        <f t="shared" si="207"/>
        <v>1</v>
      </c>
      <c r="AV952" s="521" t="str">
        <f t="shared" si="208"/>
        <v>.</v>
      </c>
    </row>
    <row r="953" spans="1:48" ht="15" customHeight="1">
      <c r="A953" s="18" t="s">
        <v>2586</v>
      </c>
      <c r="B953" s="18" t="s">
        <v>2548</v>
      </c>
      <c r="C953" s="511">
        <v>44664</v>
      </c>
      <c r="D953" s="18" t="s">
        <v>252</v>
      </c>
      <c r="E953" s="18" t="s">
        <v>1157</v>
      </c>
      <c r="F953" s="512" t="s">
        <v>2605</v>
      </c>
      <c r="G953" s="39" t="s">
        <v>314</v>
      </c>
      <c r="H953" s="513">
        <v>800000000</v>
      </c>
      <c r="I953" s="41" t="s">
        <v>2615</v>
      </c>
      <c r="J953" s="276" t="str">
        <f>VLOOKUP($I953,'Price List, Weapons &amp; Items'!A:B,2,0)</f>
        <v>Military equipment</v>
      </c>
      <c r="K953" s="276" t="str">
        <f>IF(I953=".",I953,VLOOKUP($I953,'Price List, Weapons &amp; Items'!A:C,3,0))</f>
        <v>.</v>
      </c>
      <c r="L953" s="514">
        <f>VLOOKUP(I953,'Price List, Weapons &amp; Items'!A:D,4,0)</f>
        <v>0</v>
      </c>
      <c r="M953" s="515">
        <v>2000</v>
      </c>
      <c r="N953" s="515">
        <f t="shared" si="220"/>
        <v>2000</v>
      </c>
      <c r="O953" s="516">
        <f>VLOOKUP($I953,'Price List, Weapons &amp; Items'!A:F,6,0)</f>
        <v>45</v>
      </c>
      <c r="P953" s="513">
        <f t="shared" si="200"/>
        <v>90000</v>
      </c>
      <c r="Q953" s="513">
        <f t="shared" si="201"/>
        <v>90000</v>
      </c>
      <c r="R953" s="513" t="str">
        <f t="shared" si="217"/>
        <v/>
      </c>
      <c r="S953" s="513" t="str">
        <f>IF(AND(AD953=1,R953&lt;&gt;".")=TRUE,R953/VLOOKUP(G953,'Exchange rates'!B:C,2,0),IF(R953=".",".",""))</f>
        <v/>
      </c>
      <c r="T953" s="513" t="str">
        <f>IF(AD953=1,IF(AF953="Value is not given at all",".",IF(AF953="Value is given by the source",S953,IF(AF953="Value is calculated with prices",(IF(SUMIFS(Q:Q,A:A,A953)&gt;0,SUMIFS(Q:Q,A:A,A953),"."))/VLOOKUP("USD",'Exchange rates'!B:C,2,0),"Error with coding"))),"")</f>
        <v/>
      </c>
      <c r="U953" s="39" t="s">
        <v>233</v>
      </c>
      <c r="V953" s="376" t="s">
        <v>2588</v>
      </c>
      <c r="W953" s="376" t="s">
        <v>2559</v>
      </c>
      <c r="X953" s="376" t="s">
        <v>2606</v>
      </c>
      <c r="Y953" s="528" t="s">
        <v>232</v>
      </c>
      <c r="Z953" s="39">
        <v>0</v>
      </c>
      <c r="AA953" s="518">
        <v>0</v>
      </c>
      <c r="AB953" s="38" t="s">
        <v>2613</v>
      </c>
      <c r="AC953" s="519" t="str">
        <f>""</f>
        <v/>
      </c>
      <c r="AD953" s="520">
        <v>0</v>
      </c>
      <c r="AE953" s="590" t="s">
        <v>2590</v>
      </c>
      <c r="AF953" s="520" t="s">
        <v>300</v>
      </c>
      <c r="AG953" s="520">
        <v>1</v>
      </c>
      <c r="AH953" s="520">
        <v>4</v>
      </c>
      <c r="AI953" s="520">
        <v>0</v>
      </c>
      <c r="AJ953" s="520">
        <f>VLOOKUP($I953,'Price List, Weapons &amp; Items'!A:E,5,0)</f>
        <v>0</v>
      </c>
      <c r="AK953" s="520">
        <f t="shared" si="202"/>
        <v>0</v>
      </c>
      <c r="AL953" s="520">
        <f t="shared" si="203"/>
        <v>0</v>
      </c>
      <c r="AM953" s="520">
        <f t="shared" si="204"/>
        <v>0</v>
      </c>
      <c r="AN953" s="521" t="str">
        <f>VLOOKUP($I953,'Price List, Weapons &amp; Items'!A:K,COLUMN('Price List, Weapons &amp; Items'!$I$1),0)</f>
        <v>Online marketplaces and stores</v>
      </c>
      <c r="AO953" s="521" t="str">
        <f>IF(I953=".",".",VLOOKUP($I953,'Price List, Weapons &amp; Items'!A:I,3,0))</f>
        <v>.</v>
      </c>
      <c r="AP953" s="517" t="str">
        <f t="shared" ca="1" si="219"/>
        <v/>
      </c>
      <c r="AQ953" s="521">
        <f>VLOOKUP($I953,'Price List, Weapons &amp; Items'!A:K,COLUMN('Price List, Weapons &amp; Items'!$K$1),0)</f>
        <v>1</v>
      </c>
      <c r="AS953" s="521">
        <f t="shared" si="205"/>
        <v>1</v>
      </c>
      <c r="AT953" s="521">
        <f t="shared" si="206"/>
        <v>1</v>
      </c>
      <c r="AU953" s="521">
        <f t="shared" si="207"/>
        <v>1</v>
      </c>
      <c r="AV953" s="521" t="str">
        <f t="shared" si="208"/>
        <v>.</v>
      </c>
    </row>
    <row r="954" spans="1:48" ht="15" customHeight="1">
      <c r="A954" s="18" t="s">
        <v>2586</v>
      </c>
      <c r="B954" s="18" t="s">
        <v>2548</v>
      </c>
      <c r="C954" s="511">
        <v>44664</v>
      </c>
      <c r="D954" s="18" t="s">
        <v>252</v>
      </c>
      <c r="E954" s="18" t="s">
        <v>1157</v>
      </c>
      <c r="F954" s="512" t="s">
        <v>2605</v>
      </c>
      <c r="G954" s="39" t="s">
        <v>314</v>
      </c>
      <c r="H954" s="513">
        <v>800000000</v>
      </c>
      <c r="I954" s="41" t="s">
        <v>861</v>
      </c>
      <c r="J954" s="276" t="str">
        <f>VLOOKUP($I954,'Price List, Weapons &amp; Items'!A:B,2,0)</f>
        <v>Military equipment</v>
      </c>
      <c r="K954" s="276" t="str">
        <f>IF(I954=".",I954,VLOOKUP($I954,'Price List, Weapons &amp; Items'!A:C,3,0))</f>
        <v>.</v>
      </c>
      <c r="L954" s="514">
        <f>VLOOKUP(I954,'Price List, Weapons &amp; Items'!A:D,4,0)</f>
        <v>0</v>
      </c>
      <c r="M954" s="515">
        <v>2000</v>
      </c>
      <c r="N954" s="515">
        <f t="shared" si="220"/>
        <v>2000</v>
      </c>
      <c r="O954" s="516">
        <f>VLOOKUP($I954,'Price List, Weapons &amp; Items'!A:F,6,0)</f>
        <v>51404</v>
      </c>
      <c r="P954" s="513">
        <f t="shared" si="200"/>
        <v>102808000</v>
      </c>
      <c r="Q954" s="513">
        <f t="shared" si="201"/>
        <v>102808000</v>
      </c>
      <c r="R954" s="513" t="str">
        <f t="shared" si="217"/>
        <v/>
      </c>
      <c r="S954" s="513" t="str">
        <f>IF(AND(AD954=1,R954&lt;&gt;".")=TRUE,R954/VLOOKUP(G954,'Exchange rates'!B:C,2,0),IF(R954=".",".",""))</f>
        <v/>
      </c>
      <c r="T954" s="513" t="str">
        <f>IF(AD954=1,IF(AF954="Value is not given at all",".",IF(AF954="Value is given by the source",S954,IF(AF954="Value is calculated with prices",(IF(SUMIFS(Q:Q,A:A,A954)&gt;0,SUMIFS(Q:Q,A:A,A954),"."))/VLOOKUP("USD",'Exchange rates'!B:C,2,0),"Error with coding"))),"")</f>
        <v/>
      </c>
      <c r="U954" s="39" t="s">
        <v>233</v>
      </c>
      <c r="V954" s="376" t="s">
        <v>2588</v>
      </c>
      <c r="W954" s="376" t="s">
        <v>2559</v>
      </c>
      <c r="X954" s="376" t="s">
        <v>2606</v>
      </c>
      <c r="Y954" s="528" t="s">
        <v>232</v>
      </c>
      <c r="Z954" s="39">
        <v>0</v>
      </c>
      <c r="AA954" s="518">
        <v>0</v>
      </c>
      <c r="AB954" s="38" t="s">
        <v>2613</v>
      </c>
      <c r="AC954" s="519" t="str">
        <f>""</f>
        <v/>
      </c>
      <c r="AD954" s="520">
        <v>0</v>
      </c>
      <c r="AE954" s="590" t="s">
        <v>2590</v>
      </c>
      <c r="AF954" s="520" t="s">
        <v>300</v>
      </c>
      <c r="AG954" s="520">
        <v>1</v>
      </c>
      <c r="AH954" s="520">
        <v>4</v>
      </c>
      <c r="AI954" s="520">
        <v>0</v>
      </c>
      <c r="AJ954" s="520">
        <f>VLOOKUP($I954,'Price List, Weapons &amp; Items'!A:E,5,0)</f>
        <v>0</v>
      </c>
      <c r="AK954" s="520">
        <f t="shared" si="202"/>
        <v>0</v>
      </c>
      <c r="AL954" s="520">
        <f t="shared" si="203"/>
        <v>0</v>
      </c>
      <c r="AM954" s="520">
        <f t="shared" si="204"/>
        <v>0</v>
      </c>
      <c r="AN954" s="521" t="str">
        <f>VLOOKUP($I954,'Price List, Weapons &amp; Items'!A:K,COLUMN('Price List, Weapons &amp; Items'!$I$1),0)</f>
        <v>Contracts</v>
      </c>
      <c r="AO954" s="521" t="str">
        <f>IF(I954=".",".",VLOOKUP($I954,'Price List, Weapons &amp; Items'!A:I,3,0))</f>
        <v>.</v>
      </c>
      <c r="AP954" s="517" t="str">
        <f t="shared" ca="1" si="219"/>
        <v/>
      </c>
      <c r="AQ954" s="521">
        <f>VLOOKUP($I954,'Price List, Weapons &amp; Items'!A:K,COLUMN('Price List, Weapons &amp; Items'!$K$1),0)</f>
        <v>2</v>
      </c>
      <c r="AS954" s="521">
        <f t="shared" si="205"/>
        <v>1</v>
      </c>
      <c r="AT954" s="521">
        <f t="shared" si="206"/>
        <v>1</v>
      </c>
      <c r="AU954" s="521">
        <f t="shared" si="207"/>
        <v>1</v>
      </c>
      <c r="AV954" s="521" t="str">
        <f t="shared" si="208"/>
        <v>.</v>
      </c>
    </row>
    <row r="955" spans="1:48" ht="15" customHeight="1">
      <c r="A955" s="18" t="s">
        <v>2586</v>
      </c>
      <c r="B955" s="18" t="s">
        <v>2548</v>
      </c>
      <c r="C955" s="511">
        <v>44664</v>
      </c>
      <c r="D955" s="18" t="s">
        <v>252</v>
      </c>
      <c r="E955" s="18" t="s">
        <v>1157</v>
      </c>
      <c r="F955" s="512" t="s">
        <v>2605</v>
      </c>
      <c r="G955" s="39" t="s">
        <v>314</v>
      </c>
      <c r="H955" s="513">
        <v>800000000</v>
      </c>
      <c r="I955" s="41" t="s">
        <v>2616</v>
      </c>
      <c r="J955" s="276" t="str">
        <f>VLOOKUP($I955,'Price List, Weapons &amp; Items'!A:B,2,0)</f>
        <v>Military equipment</v>
      </c>
      <c r="K955" s="276" t="str">
        <f>IF(I955=".",I955,VLOOKUP($I955,'Price List, Weapons &amp; Items'!A:C,3,0))</f>
        <v>.</v>
      </c>
      <c r="L955" s="514">
        <f>VLOOKUP(I955,'Price List, Weapons &amp; Items'!A:D,4,0)</f>
        <v>0</v>
      </c>
      <c r="M955" s="515" t="s">
        <v>264</v>
      </c>
      <c r="N955" s="515" t="str">
        <f t="shared" si="220"/>
        <v>undisclosed</v>
      </c>
      <c r="O955" s="516">
        <f>VLOOKUP($I955,'Price List, Weapons &amp; Items'!A:F,6,0)</f>
        <v>90</v>
      </c>
      <c r="P955" s="513" t="str">
        <f t="shared" si="200"/>
        <v>.</v>
      </c>
      <c r="Q955" s="513" t="str">
        <f t="shared" si="201"/>
        <v>.</v>
      </c>
      <c r="R955" s="513" t="str">
        <f t="shared" si="217"/>
        <v/>
      </c>
      <c r="S955" s="513" t="str">
        <f>IF(AND(AD955=1,R955&lt;&gt;".")=TRUE,R955/VLOOKUP(G955,'Exchange rates'!B:C,2,0),IF(R955=".",".",""))</f>
        <v/>
      </c>
      <c r="T955" s="513" t="str">
        <f>IF(AD955=1,IF(AF955="Value is not given at all",".",IF(AF955="Value is given by the source",S955,IF(AF955="Value is calculated with prices",(IF(SUMIFS(Q:Q,A:A,A955)&gt;0,SUMIFS(Q:Q,A:A,A955),"."))/VLOOKUP("USD",'Exchange rates'!B:C,2,0),"Error with coding"))),"")</f>
        <v/>
      </c>
      <c r="U955" s="39" t="s">
        <v>233</v>
      </c>
      <c r="V955" s="376" t="s">
        <v>2588</v>
      </c>
      <c r="W955" s="376" t="s">
        <v>2559</v>
      </c>
      <c r="X955" s="376" t="s">
        <v>2606</v>
      </c>
      <c r="Y955" s="528" t="s">
        <v>232</v>
      </c>
      <c r="Z955" s="39">
        <v>0</v>
      </c>
      <c r="AA955" s="518">
        <v>0</v>
      </c>
      <c r="AB955" s="38" t="s">
        <v>2613</v>
      </c>
      <c r="AC955" s="519" t="str">
        <f>""</f>
        <v/>
      </c>
      <c r="AD955" s="520">
        <v>0</v>
      </c>
      <c r="AE955" s="590" t="s">
        <v>2590</v>
      </c>
      <c r="AF955" s="520" t="s">
        <v>300</v>
      </c>
      <c r="AG955" s="520">
        <v>1</v>
      </c>
      <c r="AH955" s="520">
        <v>4</v>
      </c>
      <c r="AI955" s="520">
        <v>0</v>
      </c>
      <c r="AJ955" s="520">
        <f>VLOOKUP($I955,'Price List, Weapons &amp; Items'!A:E,5,0)</f>
        <v>0</v>
      </c>
      <c r="AK955" s="520">
        <f t="shared" si="202"/>
        <v>0</v>
      </c>
      <c r="AL955" s="520">
        <f t="shared" si="203"/>
        <v>0</v>
      </c>
      <c r="AM955" s="520">
        <f t="shared" si="204"/>
        <v>0</v>
      </c>
      <c r="AN955" s="521" t="str">
        <f>VLOOKUP($I955,'Price List, Weapons &amp; Items'!A:K,COLUMN('Price List, Weapons &amp; Items'!$I$1),0)</f>
        <v>Media reports (incl. social media)</v>
      </c>
      <c r="AO955" s="521" t="str">
        <f>IF(I955=".",".",VLOOKUP($I955,'Price List, Weapons &amp; Items'!A:I,3,0))</f>
        <v>.</v>
      </c>
      <c r="AP955" s="517" t="str">
        <f t="shared" ca="1" si="219"/>
        <v/>
      </c>
      <c r="AQ955" s="521" t="str">
        <f>VLOOKUP($I955,'Price List, Weapons &amp; Items'!A:K,COLUMN('Price List, Weapons &amp; Items'!$K$1),0)</f>
        <v>no price, 0 count</v>
      </c>
      <c r="AS955" s="521">
        <f t="shared" si="205"/>
        <v>1</v>
      </c>
      <c r="AT955" s="521">
        <f t="shared" si="206"/>
        <v>1</v>
      </c>
      <c r="AU955" s="521">
        <f t="shared" si="207"/>
        <v>1</v>
      </c>
      <c r="AV955" s="521" t="str">
        <f t="shared" si="208"/>
        <v>.</v>
      </c>
    </row>
    <row r="956" spans="1:48" ht="15" customHeight="1">
      <c r="A956" s="18" t="s">
        <v>2586</v>
      </c>
      <c r="B956" s="18" t="s">
        <v>2548</v>
      </c>
      <c r="C956" s="511">
        <v>44664</v>
      </c>
      <c r="D956" s="18" t="s">
        <v>252</v>
      </c>
      <c r="E956" s="18" t="s">
        <v>1157</v>
      </c>
      <c r="F956" s="512" t="s">
        <v>2605</v>
      </c>
      <c r="G956" s="39" t="s">
        <v>314</v>
      </c>
      <c r="H956" s="513">
        <v>800000000</v>
      </c>
      <c r="I956" s="41" t="s">
        <v>2617</v>
      </c>
      <c r="J956" s="276" t="str">
        <f>VLOOKUP($I956,'Price List, Weapons &amp; Items'!A:B,2,0)</f>
        <v>Light armaments &amp; infantry</v>
      </c>
      <c r="K956" s="276" t="str">
        <f>IF(I956=".",I956,VLOOKUP($I956,'Price List, Weapons &amp; Items'!A:C,3,0))</f>
        <v>Explosive</v>
      </c>
      <c r="L956" s="514">
        <f>VLOOKUP(I956,'Price List, Weapons &amp; Items'!A:D,4,0)</f>
        <v>0</v>
      </c>
      <c r="M956" s="515" t="s">
        <v>264</v>
      </c>
      <c r="N956" s="515" t="str">
        <f t="shared" si="220"/>
        <v>undisclosed</v>
      </c>
      <c r="O956" s="516">
        <f>VLOOKUP($I956,'Price List, Weapons &amp; Items'!A:F,6,0)</f>
        <v>223.15</v>
      </c>
      <c r="P956" s="513" t="str">
        <f t="shared" ref="P956:P1019" si="221">IF(TYPE(M956)=1,IF(TYPE(O956)=1,M956*O956,"No price"),".")</f>
        <v>.</v>
      </c>
      <c r="Q956" s="513" t="str">
        <f t="shared" ref="Q956:Q1019" si="222">IF(TYPE(N956)=1,IF(TYPE(O956)=1,N956*O956,"No price"),".")</f>
        <v>.</v>
      </c>
      <c r="R956" s="513" t="str">
        <f t="shared" si="217"/>
        <v/>
      </c>
      <c r="S956" s="513" t="str">
        <f>IF(AND(AD956=1,R956&lt;&gt;".")=TRUE,R956/VLOOKUP(G956,'Exchange rates'!B:C,2,0),IF(R956=".",".",""))</f>
        <v/>
      </c>
      <c r="T956" s="513" t="str">
        <f>IF(AD956=1,IF(AF956="Value is not given at all",".",IF(AF956="Value is given by the source",S956,IF(AF956="Value is calculated with prices",(IF(SUMIFS(Q:Q,A:A,A956)&gt;0,SUMIFS(Q:Q,A:A,A956),"."))/VLOOKUP("USD",'Exchange rates'!B:C,2,0),"Error with coding"))),"")</f>
        <v/>
      </c>
      <c r="U956" s="39" t="s">
        <v>233</v>
      </c>
      <c r="V956" s="376" t="s">
        <v>2588</v>
      </c>
      <c r="W956" s="376" t="s">
        <v>2559</v>
      </c>
      <c r="X956" s="376" t="s">
        <v>2606</v>
      </c>
      <c r="Y956" s="528" t="s">
        <v>232</v>
      </c>
      <c r="Z956" s="39">
        <v>0</v>
      </c>
      <c r="AA956" s="518">
        <v>0</v>
      </c>
      <c r="AB956" s="38" t="s">
        <v>2613</v>
      </c>
      <c r="AC956" s="519" t="str">
        <f>""</f>
        <v/>
      </c>
      <c r="AD956" s="520">
        <v>0</v>
      </c>
      <c r="AE956" s="590" t="s">
        <v>2590</v>
      </c>
      <c r="AF956" s="520" t="s">
        <v>300</v>
      </c>
      <c r="AG956" s="520">
        <v>1</v>
      </c>
      <c r="AH956" s="520">
        <v>4</v>
      </c>
      <c r="AI956" s="520">
        <v>0</v>
      </c>
      <c r="AJ956" s="520">
        <f>VLOOKUP($I956,'Price List, Weapons &amp; Items'!A:E,5,0)</f>
        <v>0</v>
      </c>
      <c r="AK956" s="520">
        <f t="shared" si="202"/>
        <v>0</v>
      </c>
      <c r="AL956" s="520">
        <f t="shared" si="203"/>
        <v>0</v>
      </c>
      <c r="AM956" s="520">
        <f t="shared" si="204"/>
        <v>0</v>
      </c>
      <c r="AN956" s="521" t="str">
        <f>VLOOKUP($I956,'Price List, Weapons &amp; Items'!A:K,COLUMN('Price List, Weapons &amp; Items'!$I$1),0)</f>
        <v>Miscellaneous</v>
      </c>
      <c r="AO956" s="521" t="str">
        <f>IF(I956=".",".",VLOOKUP($I956,'Price List, Weapons &amp; Items'!A:I,3,0))</f>
        <v>Explosive</v>
      </c>
      <c r="AP956" s="517" t="str">
        <f t="shared" ca="1" si="219"/>
        <v/>
      </c>
      <c r="AQ956" s="521" t="str">
        <f>VLOOKUP($I956,'Price List, Weapons &amp; Items'!A:K,COLUMN('Price List, Weapons &amp; Items'!$K$1),0)</f>
        <v>no price, 0 count</v>
      </c>
      <c r="AS956" s="521">
        <f t="shared" si="205"/>
        <v>1</v>
      </c>
      <c r="AT956" s="521">
        <f t="shared" si="206"/>
        <v>1</v>
      </c>
      <c r="AU956" s="521">
        <f t="shared" si="207"/>
        <v>1</v>
      </c>
      <c r="AV956" s="521" t="str">
        <f t="shared" si="208"/>
        <v>.</v>
      </c>
    </row>
    <row r="957" spans="1:48" ht="15" customHeight="1">
      <c r="A957" s="18" t="s">
        <v>2586</v>
      </c>
      <c r="B957" s="18" t="s">
        <v>2548</v>
      </c>
      <c r="C957" s="511">
        <v>44672</v>
      </c>
      <c r="D957" s="18" t="s">
        <v>252</v>
      </c>
      <c r="E957" s="18" t="s">
        <v>1157</v>
      </c>
      <c r="F957" s="512" t="s">
        <v>2605</v>
      </c>
      <c r="G957" s="39" t="s">
        <v>314</v>
      </c>
      <c r="H957" s="513">
        <v>800000000</v>
      </c>
      <c r="I957" s="41" t="s">
        <v>286</v>
      </c>
      <c r="J957" s="276" t="str">
        <f>VLOOKUP($I957,'Price List, Weapons &amp; Items'!A:B,2,0)</f>
        <v>Heavy weapon</v>
      </c>
      <c r="K957" s="276" t="str">
        <f>IF(I957=".",I957,VLOOKUP($I957,'Price List, Weapons &amp; Items'!A:C,3,0))</f>
        <v>155mm howitzer</v>
      </c>
      <c r="L957" s="514">
        <f>VLOOKUP(I957,'Price List, Weapons &amp; Items'!A:D,4,0)</f>
        <v>0</v>
      </c>
      <c r="M957" s="515">
        <v>72</v>
      </c>
      <c r="N957" s="515">
        <v>72</v>
      </c>
      <c r="O957" s="516">
        <f>VLOOKUP($I957,'Price List, Weapons &amp; Items'!A:F,6,0)</f>
        <v>5170000</v>
      </c>
      <c r="P957" s="513">
        <f t="shared" si="221"/>
        <v>372240000</v>
      </c>
      <c r="Q957" s="513">
        <f t="shared" si="222"/>
        <v>372240000</v>
      </c>
      <c r="R957" s="513" t="str">
        <f t="shared" si="217"/>
        <v/>
      </c>
      <c r="S957" s="513" t="str">
        <f>IF(AND(AD957=1,R957&lt;&gt;".")=TRUE,R957/VLOOKUP(G957,'Exchange rates'!B:C,2,0),IF(R957=".",".",""))</f>
        <v/>
      </c>
      <c r="T957" s="513" t="str">
        <f>IF(AD957=1,IF(AF957="Value is not given at all",".",IF(AF957="Value is given by the source",S957,IF(AF957="Value is calculated with prices",(IF(SUMIFS(Q:Q,A:A,A957)&gt;0,SUMIFS(Q:Q,A:A,A957),"."))/VLOOKUP("USD",'Exchange rates'!B:C,2,0),"Error with coding"))),"")</f>
        <v/>
      </c>
      <c r="U957" s="39" t="s">
        <v>233</v>
      </c>
      <c r="V957" s="376" t="s">
        <v>2588</v>
      </c>
      <c r="W957" s="376" t="s">
        <v>2559</v>
      </c>
      <c r="X957" s="376" t="s">
        <v>2618</v>
      </c>
      <c r="Y957" s="376" t="s">
        <v>2619</v>
      </c>
      <c r="Z957" s="39">
        <v>0</v>
      </c>
      <c r="AA957" s="518">
        <v>0</v>
      </c>
      <c r="AB957" s="394" t="s">
        <v>2620</v>
      </c>
      <c r="AC957" s="519" t="str">
        <f>""</f>
        <v/>
      </c>
      <c r="AD957" s="520">
        <v>0</v>
      </c>
      <c r="AE957" s="590" t="s">
        <v>2590</v>
      </c>
      <c r="AF957" s="520" t="s">
        <v>300</v>
      </c>
      <c r="AG957" s="520">
        <v>1</v>
      </c>
      <c r="AH957" s="520">
        <v>4</v>
      </c>
      <c r="AI957" s="520">
        <v>0</v>
      </c>
      <c r="AJ957" s="520">
        <f>VLOOKUP($I957,'Price List, Weapons &amp; Items'!A:E,5,0)</f>
        <v>1</v>
      </c>
      <c r="AK957" s="520">
        <f t="shared" si="202"/>
        <v>0</v>
      </c>
      <c r="AL957" s="520">
        <f t="shared" si="203"/>
        <v>0</v>
      </c>
      <c r="AM957" s="520">
        <f t="shared" si="204"/>
        <v>0</v>
      </c>
      <c r="AN957" s="521" t="str">
        <f>VLOOKUP($I957,'Price List, Weapons &amp; Items'!A:K,COLUMN('Price List, Weapons &amp; Items'!$I$1),0)</f>
        <v>Military media (incl. websites)</v>
      </c>
      <c r="AO957" s="521" t="str">
        <f>IF(I957=".",".",VLOOKUP($I957,'Price List, Weapons &amp; Items'!A:I,3,0))</f>
        <v>155mm howitzer</v>
      </c>
      <c r="AP957" s="517" t="str">
        <f t="shared" ca="1" si="219"/>
        <v/>
      </c>
      <c r="AQ957" s="521">
        <f>VLOOKUP($I957,'Price List, Weapons &amp; Items'!A:K,COLUMN('Price List, Weapons &amp; Items'!$K$1),0)</f>
        <v>2</v>
      </c>
      <c r="AS957" s="521">
        <f t="shared" si="205"/>
        <v>1</v>
      </c>
      <c r="AT957" s="521">
        <f t="shared" si="206"/>
        <v>1</v>
      </c>
      <c r="AU957" s="521">
        <f t="shared" si="207"/>
        <v>1</v>
      </c>
      <c r="AV957" s="521" t="str">
        <f t="shared" si="208"/>
        <v>.</v>
      </c>
    </row>
    <row r="958" spans="1:48" ht="15" customHeight="1">
      <c r="A958" s="18" t="s">
        <v>2586</v>
      </c>
      <c r="B958" s="18" t="s">
        <v>2548</v>
      </c>
      <c r="C958" s="511">
        <v>44672</v>
      </c>
      <c r="D958" s="18" t="s">
        <v>252</v>
      </c>
      <c r="E958" s="18" t="s">
        <v>1157</v>
      </c>
      <c r="F958" s="512" t="s">
        <v>2605</v>
      </c>
      <c r="G958" s="39" t="s">
        <v>314</v>
      </c>
      <c r="H958" s="513">
        <v>800000000</v>
      </c>
      <c r="I958" s="41" t="s">
        <v>2621</v>
      </c>
      <c r="J958" s="276" t="str">
        <f>VLOOKUP($I958,'Price List, Weapons &amp; Items'!A:B,2,0)</f>
        <v>Military equipment</v>
      </c>
      <c r="K958" s="276" t="str">
        <f>IF(I958=".",I958,VLOOKUP($I958,'Price List, Weapons &amp; Items'!A:C,3,0))</f>
        <v>.</v>
      </c>
      <c r="L958" s="514">
        <f>VLOOKUP(I958,'Price List, Weapons &amp; Items'!A:D,4,0)</f>
        <v>0</v>
      </c>
      <c r="M958" s="515">
        <v>72</v>
      </c>
      <c r="N958" s="515">
        <v>72</v>
      </c>
      <c r="O958" s="516">
        <f>VLOOKUP($I958,'Price List, Weapons &amp; Items'!A:F,6,0)</f>
        <v>350000</v>
      </c>
      <c r="P958" s="513">
        <f t="shared" si="221"/>
        <v>25200000</v>
      </c>
      <c r="Q958" s="513">
        <f t="shared" si="222"/>
        <v>25200000</v>
      </c>
      <c r="R958" s="513" t="str">
        <f t="shared" si="217"/>
        <v/>
      </c>
      <c r="S958" s="513" t="str">
        <f>IF(AND(AD958=1,R958&lt;&gt;".")=TRUE,R958/VLOOKUP(G958,'Exchange rates'!B:C,2,0),IF(R958=".",".",""))</f>
        <v/>
      </c>
      <c r="T958" s="513" t="str">
        <f>IF(AD958=1,IF(AF958="Value is not given at all",".",IF(AF958="Value is given by the source",S958,IF(AF958="Value is calculated with prices",(IF(SUMIFS(Q:Q,A:A,A958)&gt;0,SUMIFS(Q:Q,A:A,A958),"."))/VLOOKUP("USD",'Exchange rates'!B:C,2,0),"Error with coding"))),"")</f>
        <v/>
      </c>
      <c r="U958" s="39" t="s">
        <v>233</v>
      </c>
      <c r="V958" s="376" t="s">
        <v>2588</v>
      </c>
      <c r="W958" s="376" t="s">
        <v>2559</v>
      </c>
      <c r="X958" s="376" t="s">
        <v>2618</v>
      </c>
      <c r="Y958" s="376" t="s">
        <v>2619</v>
      </c>
      <c r="Z958" s="39">
        <v>0</v>
      </c>
      <c r="AA958" s="518">
        <v>0</v>
      </c>
      <c r="AB958" s="394" t="s">
        <v>2622</v>
      </c>
      <c r="AC958" s="519" t="str">
        <f>""</f>
        <v/>
      </c>
      <c r="AD958" s="520">
        <v>0</v>
      </c>
      <c r="AE958" s="590" t="s">
        <v>2590</v>
      </c>
      <c r="AF958" s="520" t="s">
        <v>300</v>
      </c>
      <c r="AG958" s="520">
        <v>1</v>
      </c>
      <c r="AH958" s="520">
        <v>4</v>
      </c>
      <c r="AI958" s="520">
        <v>0</v>
      </c>
      <c r="AJ958" s="520">
        <f>VLOOKUP($I958,'Price List, Weapons &amp; Items'!A:E,5,0)</f>
        <v>0</v>
      </c>
      <c r="AK958" s="520">
        <f t="shared" si="202"/>
        <v>0</v>
      </c>
      <c r="AL958" s="520">
        <f t="shared" si="203"/>
        <v>0</v>
      </c>
      <c r="AM958" s="520">
        <f t="shared" si="204"/>
        <v>0</v>
      </c>
      <c r="AN958" s="521" t="str">
        <f>VLOOKUP($I958,'Price List, Weapons &amp; Items'!A:K,COLUMN('Price List, Weapons &amp; Items'!$I$1),0)</f>
        <v>Media reports (incl. social media)</v>
      </c>
      <c r="AO958" s="521" t="str">
        <f>IF(I958=".",".",VLOOKUP($I958,'Price List, Weapons &amp; Items'!A:I,3,0))</f>
        <v>.</v>
      </c>
      <c r="AP958" s="517" t="str">
        <f t="shared" ca="1" si="219"/>
        <v/>
      </c>
      <c r="AQ958" s="521">
        <f>VLOOKUP($I958,'Price List, Weapons &amp; Items'!A:K,COLUMN('Price List, Weapons &amp; Items'!$K$1),0)</f>
        <v>2</v>
      </c>
      <c r="AS958" s="521">
        <f t="shared" si="205"/>
        <v>1</v>
      </c>
      <c r="AT958" s="521">
        <f t="shared" si="206"/>
        <v>1</v>
      </c>
      <c r="AU958" s="521">
        <f t="shared" si="207"/>
        <v>1</v>
      </c>
      <c r="AV958" s="521" t="str">
        <f t="shared" si="208"/>
        <v>.</v>
      </c>
    </row>
    <row r="959" spans="1:48" ht="15" customHeight="1">
      <c r="A959" s="18" t="s">
        <v>2586</v>
      </c>
      <c r="B959" s="18" t="s">
        <v>2548</v>
      </c>
      <c r="C959" s="511">
        <v>44672</v>
      </c>
      <c r="D959" s="18" t="s">
        <v>252</v>
      </c>
      <c r="E959" s="18" t="s">
        <v>1157</v>
      </c>
      <c r="F959" s="512" t="s">
        <v>2605</v>
      </c>
      <c r="G959" s="39" t="s">
        <v>314</v>
      </c>
      <c r="H959" s="513">
        <v>800000000</v>
      </c>
      <c r="I959" s="41" t="s">
        <v>2623</v>
      </c>
      <c r="J959" s="276" t="str">
        <f>VLOOKUP($I959,'Price List, Weapons &amp; Items'!A:B,2,0)</f>
        <v>Aviation and drones</v>
      </c>
      <c r="K959" s="276" t="str">
        <f>IF(I959=".",I959,VLOOKUP($I959,'Price List, Weapons &amp; Items'!A:C,3,0))</f>
        <v>Loitering munition (suicide drone)</v>
      </c>
      <c r="L959" s="514">
        <f>VLOOKUP(I959,'Price List, Weapons &amp; Items'!A:D,4,0)</f>
        <v>0</v>
      </c>
      <c r="M959" s="515">
        <v>121</v>
      </c>
      <c r="N959" s="515" t="s">
        <v>2624</v>
      </c>
      <c r="O959" s="516">
        <f>VLOOKUP($I959,'Price List, Weapons &amp; Items'!A:F,6,0)</f>
        <v>163793</v>
      </c>
      <c r="P959" s="513">
        <f t="shared" si="221"/>
        <v>19818953</v>
      </c>
      <c r="Q959" s="513" t="str">
        <f t="shared" si="222"/>
        <v>.</v>
      </c>
      <c r="R959" s="513" t="str">
        <f t="shared" si="217"/>
        <v/>
      </c>
      <c r="S959" s="513" t="str">
        <f>IF(AND(AD959=1,R959&lt;&gt;".")=TRUE,R959/VLOOKUP(G959,'Exchange rates'!B:C,2,0),IF(R959=".",".",""))</f>
        <v/>
      </c>
      <c r="T959" s="513" t="str">
        <f>IF(AD959=1,IF(AF959="Value is not given at all",".",IF(AF959="Value is given by the source",S959,IF(AF959="Value is calculated with prices",(IF(SUMIFS(Q:Q,A:A,A959)&gt;0,SUMIFS(Q:Q,A:A,A959),"."))/VLOOKUP("USD",'Exchange rates'!B:C,2,0),"Error with coding"))),"")</f>
        <v/>
      </c>
      <c r="U959" s="39" t="s">
        <v>233</v>
      </c>
      <c r="V959" s="376" t="s">
        <v>2588</v>
      </c>
      <c r="W959" s="376" t="s">
        <v>2559</v>
      </c>
      <c r="X959" s="376" t="s">
        <v>2618</v>
      </c>
      <c r="Y959" s="376" t="s">
        <v>2619</v>
      </c>
      <c r="Z959" s="39">
        <v>0</v>
      </c>
      <c r="AA959" s="518">
        <v>0</v>
      </c>
      <c r="AB959" s="394" t="s">
        <v>2625</v>
      </c>
      <c r="AC959" s="519" t="str">
        <f>""</f>
        <v/>
      </c>
      <c r="AD959" s="520">
        <v>0</v>
      </c>
      <c r="AE959" s="590" t="s">
        <v>2590</v>
      </c>
      <c r="AF959" s="520" t="s">
        <v>300</v>
      </c>
      <c r="AG959" s="520">
        <v>1</v>
      </c>
      <c r="AH959" s="520">
        <v>4</v>
      </c>
      <c r="AI959" s="520">
        <v>0</v>
      </c>
      <c r="AJ959" s="520">
        <f>VLOOKUP($I959,'Price List, Weapons &amp; Items'!A:E,5,0)</f>
        <v>0</v>
      </c>
      <c r="AK959" s="520">
        <f t="shared" si="202"/>
        <v>0</v>
      </c>
      <c r="AL959" s="520">
        <f t="shared" si="203"/>
        <v>0</v>
      </c>
      <c r="AM959" s="520">
        <f t="shared" si="204"/>
        <v>0</v>
      </c>
      <c r="AN959" s="521" t="str">
        <f>VLOOKUP($I959,'Price List, Weapons &amp; Items'!A:K,COLUMN('Price List, Weapons &amp; Items'!$I$1),0)</f>
        <v>Government information</v>
      </c>
      <c r="AO959" s="521" t="str">
        <f>IF(I959=".",".",VLOOKUP($I959,'Price List, Weapons &amp; Items'!A:I,3,0))</f>
        <v>Loitering munition (suicide drone)</v>
      </c>
      <c r="AP959" s="517" t="str">
        <f t="shared" ca="1" si="219"/>
        <v/>
      </c>
      <c r="AQ959" s="521">
        <f>VLOOKUP($I959,'Price List, Weapons &amp; Items'!A:K,COLUMN('Price List, Weapons &amp; Items'!$K$1),0)</f>
        <v>2</v>
      </c>
      <c r="AS959" s="521">
        <f t="shared" si="205"/>
        <v>1</v>
      </c>
      <c r="AT959" s="521">
        <f t="shared" si="206"/>
        <v>1</v>
      </c>
      <c r="AU959" s="521">
        <f t="shared" si="207"/>
        <v>1</v>
      </c>
      <c r="AV959" s="521" t="str">
        <f t="shared" si="208"/>
        <v>.</v>
      </c>
    </row>
    <row r="960" spans="1:48" ht="15" customHeight="1">
      <c r="A960" s="18" t="s">
        <v>2586</v>
      </c>
      <c r="B960" s="18" t="s">
        <v>2548</v>
      </c>
      <c r="C960" s="511">
        <v>44672</v>
      </c>
      <c r="D960" s="18" t="s">
        <v>252</v>
      </c>
      <c r="E960" s="18" t="s">
        <v>1157</v>
      </c>
      <c r="F960" s="512" t="s">
        <v>2605</v>
      </c>
      <c r="G960" s="39" t="s">
        <v>314</v>
      </c>
      <c r="H960" s="513">
        <v>800000000</v>
      </c>
      <c r="I960" s="41" t="s">
        <v>2626</v>
      </c>
      <c r="J960" s="276" t="str">
        <f>VLOOKUP($I960,'Price List, Weapons &amp; Items'!A:B,2,0)</f>
        <v>Military equipment</v>
      </c>
      <c r="K960" s="276" t="str">
        <f>IF(I960=".",I960,VLOOKUP($I960,'Price List, Weapons &amp; Items'!A:C,3,0))</f>
        <v>.</v>
      </c>
      <c r="L960" s="514">
        <f>VLOOKUP(I960,'Price List, Weapons &amp; Items'!A:D,4,0)</f>
        <v>0</v>
      </c>
      <c r="M960" s="515" t="s">
        <v>264</v>
      </c>
      <c r="N960" s="515" t="s">
        <v>232</v>
      </c>
      <c r="O960" s="516" t="str">
        <f>VLOOKUP($I960,'Price List, Weapons &amp; Items'!A:F,6,0)</f>
        <v>.</v>
      </c>
      <c r="P960" s="513" t="str">
        <f t="shared" si="221"/>
        <v>.</v>
      </c>
      <c r="Q960" s="513" t="str">
        <f t="shared" si="222"/>
        <v>.</v>
      </c>
      <c r="R960" s="513" t="str">
        <f t="shared" si="217"/>
        <v/>
      </c>
      <c r="S960" s="513" t="str">
        <f>IF(AND(AD960=1,R960&lt;&gt;".")=TRUE,R960/VLOOKUP(G960,'Exchange rates'!B:C,2,0),IF(R960=".",".",""))</f>
        <v/>
      </c>
      <c r="T960" s="513" t="str">
        <f>IF(AD960=1,IF(AF960="Value is not given at all",".",IF(AF960="Value is given by the source",S960,IF(AF960="Value is calculated with prices",(IF(SUMIFS(Q:Q,A:A,A960)&gt;0,SUMIFS(Q:Q,A:A,A960),"."))/VLOOKUP("USD",'Exchange rates'!B:C,2,0),"Error with coding"))),"")</f>
        <v/>
      </c>
      <c r="U960" s="39" t="s">
        <v>233</v>
      </c>
      <c r="V960" s="376" t="s">
        <v>2588</v>
      </c>
      <c r="W960" s="376" t="s">
        <v>2559</v>
      </c>
      <c r="X960" s="376" t="s">
        <v>2618</v>
      </c>
      <c r="Y960" s="376" t="s">
        <v>2619</v>
      </c>
      <c r="Z960" s="39">
        <v>0</v>
      </c>
      <c r="AA960" s="518">
        <v>0</v>
      </c>
      <c r="AB960" s="38" t="s">
        <v>2625</v>
      </c>
      <c r="AC960" s="519" t="str">
        <f>""</f>
        <v/>
      </c>
      <c r="AD960" s="520">
        <v>0</v>
      </c>
      <c r="AE960" s="590" t="s">
        <v>2590</v>
      </c>
      <c r="AF960" s="520" t="s">
        <v>300</v>
      </c>
      <c r="AG960" s="520">
        <v>1</v>
      </c>
      <c r="AH960" s="520">
        <v>4</v>
      </c>
      <c r="AI960" s="520">
        <v>0</v>
      </c>
      <c r="AJ960" s="520">
        <f>VLOOKUP($I960,'Price List, Weapons &amp; Items'!A:E,5,0)</f>
        <v>0</v>
      </c>
      <c r="AK960" s="520">
        <f t="shared" si="202"/>
        <v>0</v>
      </c>
      <c r="AL960" s="520">
        <f t="shared" si="203"/>
        <v>0</v>
      </c>
      <c r="AM960" s="520">
        <f t="shared" si="204"/>
        <v>0</v>
      </c>
      <c r="AN960" s="521" t="str">
        <f>VLOOKUP($I960,'Price List, Weapons &amp; Items'!A:K,COLUMN('Price List, Weapons &amp; Items'!$I$1),0)</f>
        <v>.</v>
      </c>
      <c r="AO960" s="521" t="str">
        <f>IF(I960=".",".",VLOOKUP($I960,'Price List, Weapons &amp; Items'!A:I,3,0))</f>
        <v>.</v>
      </c>
      <c r="AP960" s="517" t="str">
        <f t="shared" ca="1" si="219"/>
        <v/>
      </c>
      <c r="AQ960" s="521" t="str">
        <f>VLOOKUP($I960,'Price List, Weapons &amp; Items'!A:K,COLUMN('Price List, Weapons &amp; Items'!$K$1),0)</f>
        <v>no price, 0 count</v>
      </c>
      <c r="AS960" s="521">
        <f t="shared" si="205"/>
        <v>1</v>
      </c>
      <c r="AT960" s="521">
        <f t="shared" si="206"/>
        <v>1</v>
      </c>
      <c r="AU960" s="521">
        <f t="shared" si="207"/>
        <v>1</v>
      </c>
      <c r="AV960" s="521" t="str">
        <f t="shared" si="208"/>
        <v>.</v>
      </c>
    </row>
    <row r="961" spans="1:48" ht="15" customHeight="1">
      <c r="A961" s="18" t="s">
        <v>2627</v>
      </c>
      <c r="B961" s="18" t="s">
        <v>2548</v>
      </c>
      <c r="C961" s="511">
        <v>44687</v>
      </c>
      <c r="D961" s="18" t="s">
        <v>252</v>
      </c>
      <c r="E961" s="18" t="s">
        <v>1157</v>
      </c>
      <c r="F961" s="512" t="s">
        <v>2628</v>
      </c>
      <c r="G961" s="39" t="s">
        <v>314</v>
      </c>
      <c r="H961" s="513">
        <v>150000000</v>
      </c>
      <c r="I961" s="524" t="s">
        <v>574</v>
      </c>
      <c r="J961" s="276" t="str">
        <f>VLOOKUP($I961,'Price List, Weapons &amp; Items'!A:B,2,0)</f>
        <v>Ammunition for heavy weapon</v>
      </c>
      <c r="K961" s="276" t="str">
        <f>IF(I961=".",I961,VLOOKUP($I961,'Price List, Weapons &amp; Items'!A:C,3,0))</f>
        <v>155mm howitzer ammunition</v>
      </c>
      <c r="L961" s="514">
        <f>VLOOKUP(I961,'Price List, Weapons &amp; Items'!A:D,4,0)</f>
        <v>0</v>
      </c>
      <c r="M961" s="515">
        <v>25000</v>
      </c>
      <c r="N961" s="515">
        <v>25000</v>
      </c>
      <c r="O961" s="516">
        <f>VLOOKUP($I961,'Price List, Weapons &amp; Items'!A:F,6,0)</f>
        <v>3800</v>
      </c>
      <c r="P961" s="513">
        <f t="shared" si="221"/>
        <v>95000000</v>
      </c>
      <c r="Q961" s="513">
        <f t="shared" si="222"/>
        <v>95000000</v>
      </c>
      <c r="R961" s="513">
        <v>6025000000</v>
      </c>
      <c r="S961" s="513">
        <f>IF(AND(AD961=1,R961&lt;&gt;".")=TRUE,R961/VLOOKUP(G961,'Exchange rates'!B:C,2,0),IF(R961=".",".",""))</f>
        <v>6003986048.8290977</v>
      </c>
      <c r="T961" s="513">
        <f>IF(AD961=1,IF(AF961="Value is not given at all",".",IF(AF961="Value is given by the source",S961,IF(AF961="Value is calculated with prices",(IF(SUMIFS(Q:Q,A:A,A961)&gt;0,SUMIFS(Q:Q,A:A,A961),"."))/VLOOKUP("USD",'Exchange rates'!B:C,2,0),"Error with coding"))),"")</f>
        <v>557072871.64779794</v>
      </c>
      <c r="U961" s="39" t="s">
        <v>233</v>
      </c>
      <c r="V961" s="376" t="s">
        <v>2629</v>
      </c>
      <c r="W961" s="376" t="s">
        <v>2630</v>
      </c>
      <c r="X961" s="512" t="s">
        <v>232</v>
      </c>
      <c r="Y961" s="512" t="s">
        <v>232</v>
      </c>
      <c r="Z961" s="39">
        <v>0</v>
      </c>
      <c r="AA961" s="518">
        <v>0</v>
      </c>
      <c r="AB961" s="394" t="s">
        <v>2631</v>
      </c>
      <c r="AC961" s="519" t="str">
        <f>""</f>
        <v/>
      </c>
      <c r="AD961" s="520">
        <v>1</v>
      </c>
      <c r="AE961" s="590" t="s">
        <v>2590</v>
      </c>
      <c r="AF961" s="520" t="s">
        <v>300</v>
      </c>
      <c r="AG961" s="520">
        <v>1</v>
      </c>
      <c r="AH961" s="520">
        <v>5</v>
      </c>
      <c r="AI961" s="520">
        <v>0</v>
      </c>
      <c r="AJ961" s="520">
        <f>VLOOKUP($I961,'Price List, Weapons &amp; Items'!A:E,5,0)</f>
        <v>1</v>
      </c>
      <c r="AK961" s="520">
        <f t="shared" si="202"/>
        <v>0</v>
      </c>
      <c r="AL961" s="520">
        <f t="shared" si="203"/>
        <v>0</v>
      </c>
      <c r="AM961" s="520">
        <f t="shared" si="204"/>
        <v>0</v>
      </c>
      <c r="AN961" s="521" t="str">
        <f>VLOOKUP($I961,'Price List, Weapons &amp; Items'!A:K,COLUMN('Price List, Weapons &amp; Items'!$I$1),0)</f>
        <v>Government information</v>
      </c>
      <c r="AO961" s="521" t="str">
        <f>IF(I961=".",".",VLOOKUP($I961,'Price List, Weapons &amp; Items'!A:I,3,0))</f>
        <v>155mm howitzer ammunition</v>
      </c>
      <c r="AP961" s="517" t="str">
        <f t="shared" ca="1" si="219"/>
        <v>155mm artillery round; Hughes AN/TPQ-36 Firefinder weapon locating system; Electronic jamming equipment; field equipment; spare parts; M777 howitzer; Tactical vehicle to tow 155mm howitzer; Hughes AN/TPQ-36 Firefinder weapon locating system; field equipment; spare parts; HIMARS 142 multiple rocket launcher; Guided Multiple Launch Rocket System round; artillery radar; air-surveillance radar US; Javelin anti-tank missile; Javelin command launch unit; anti-armor weapon; 155mm artillery round; Mi-17; tactical vehicle; spare part and equipment; M777 howitzer; 155mm artillery round; Tactical vehicle to tow 155mm howitzer; ammunition for HIMARS; Tactical vehicle; spare part and equipment; HIMARS 142 multiple rocket launcher; 105mm light field gun ammunition; Tactical vehicle to tow 155mm howitzer; grenade launcher (M320 or M203); machine gun; coastal and riverine patrol boat; spare part and equipment; ammunition for HIMARS; HIMARS 142 multiple rocket launcher; ammunition for HIMARS; Tactical vehicle; 155mm artillery round; demolition munition; counter battery systems; spare part and equipment; HIMARS 142 multiple rocket launcher; ammunition for HIMARS; Unspecified Command Post Carrier; 105mm light field gun ammunition; anti-armor weapon; spare part and equipment; ammunition for HIMARS; 155mm artillery round; ammunition for HIMARS; 155mm artillery round; 120mm mortar system; 120mm mortar ammunition; munitions for NASAMS; Javelin; AT4 anti-tank weapon; armored medical treatment vehicles; M18A1 Claymore anti-personnel munitions; C-4 explosives, demolition munitions, and demolition equipment; Medical supplies and other equipment; ammunition for HIMARS; 105mm howitzer; 105mm artillery round; Scan Eagle Unmanned Aerial Systems; MaxxPro Mine Resistant Ambush Protected Vehicles; High-speed Anti-radiation missiles; Armored high mobility multipurpose wheeled vehicle; Tube-Launched, optically-Tracked, Wire-Guided (TOW) missiles; Javelin anti-armor systems; anti-armor rounds; Mine clearing equipment; Demolition munition; Tactical secure communications system; Night vision device; Thermal imagery system; optics; Laser rangefinder; ammunition for HIMARS; 105mm howitzer; 105mm artillery round; High-speed Anti-radiation missiles; Armored High Mobility Multipurpose Wheeled Vehicle; rounds of small arms ammunition; anti-armor system; 155mm rounds of Remote Anti-Armor Mine (RAAM) Systems; grenade launchers and small arms; armored medical treatment vehicles; Night vision device; Other field equipment; ammunition for HIMARS; 105mm artillery round; 150mm artillery round; counter artillery radar; truck; trailer; Counter-Unmanned Aerial System; Mine clearing equipment; M18A1 Claymore anti-personnel munitions; Demolition munition; Small arms and ammunition; Night vision device; Cold weather gear; Other field equipment</v>
      </c>
      <c r="AQ961" s="521">
        <f>VLOOKUP($I961,'Price List, Weapons &amp; Items'!A:K,COLUMN('Price List, Weapons &amp; Items'!$K$1),0)</f>
        <v>2</v>
      </c>
      <c r="AS961" s="521">
        <f t="shared" si="205"/>
        <v>1</v>
      </c>
      <c r="AT961" s="521">
        <f t="shared" si="206"/>
        <v>1</v>
      </c>
      <c r="AU961" s="521">
        <f t="shared" si="207"/>
        <v>1</v>
      </c>
      <c r="AV961" s="521" t="str">
        <f t="shared" si="208"/>
        <v>.</v>
      </c>
    </row>
    <row r="962" spans="1:48" ht="15" customHeight="1">
      <c r="A962" s="18" t="s">
        <v>2627</v>
      </c>
      <c r="B962" s="18" t="s">
        <v>2548</v>
      </c>
      <c r="C962" s="511">
        <v>44687</v>
      </c>
      <c r="D962" s="18" t="s">
        <v>252</v>
      </c>
      <c r="E962" s="18" t="s">
        <v>1157</v>
      </c>
      <c r="F962" s="512" t="s">
        <v>2628</v>
      </c>
      <c r="G962" s="39" t="s">
        <v>314</v>
      </c>
      <c r="H962" s="513">
        <v>150000000</v>
      </c>
      <c r="I962" s="41" t="s">
        <v>1696</v>
      </c>
      <c r="J962" s="276" t="str">
        <f>VLOOKUP($I962,'Price List, Weapons &amp; Items'!A:B,2,0)</f>
        <v>Military equipment</v>
      </c>
      <c r="K962" s="276" t="str">
        <f>IF(I962=".",I962,VLOOKUP($I962,'Price List, Weapons &amp; Items'!A:C,3,0))</f>
        <v>Radar or imagery systems</v>
      </c>
      <c r="L962" s="514">
        <f>VLOOKUP(I962,'Price List, Weapons &amp; Items'!A:D,4,0)</f>
        <v>0</v>
      </c>
      <c r="M962" s="515">
        <v>3</v>
      </c>
      <c r="N962" s="515" t="s">
        <v>232</v>
      </c>
      <c r="O962" s="516">
        <f>VLOOKUP($I962,'Price List, Weapons &amp; Items'!A:F,6,0)</f>
        <v>8888888</v>
      </c>
      <c r="P962" s="513">
        <f t="shared" si="221"/>
        <v>26666664</v>
      </c>
      <c r="Q962" s="513" t="str">
        <f t="shared" si="222"/>
        <v>.</v>
      </c>
      <c r="R962" s="513" t="str">
        <f t="shared" ref="R962:R970" si="223">IF(AD962=1,IF(H962&lt;&gt;"Not given",H962,IF(TYPE(H962)=2,IF(SUMIFS(P:P,A:A,A962)&gt;0,SUMIFS(P:P,A:A,A962),"."),"Format error")),"")</f>
        <v/>
      </c>
      <c r="S962" s="513" t="str">
        <f>IF(AND(AD962=1,R962&lt;&gt;".")=TRUE,R962/VLOOKUP(G962,'Exchange rates'!B:C,2,0),IF(R962=".",".",""))</f>
        <v/>
      </c>
      <c r="T962" s="513" t="str">
        <f>IF(AD962=1,IF(AF962="Value is not given at all",".",IF(AF962="Value is given by the source",S962,IF(AF962="Value is calculated with prices",(IF(SUMIFS(Q:Q,A:A,A962)&gt;0,SUMIFS(Q:Q,A:A,A962),"."))/VLOOKUP("USD",'Exchange rates'!B:C,2,0),"Error with coding"))),"")</f>
        <v/>
      </c>
      <c r="U962" s="39" t="s">
        <v>233</v>
      </c>
      <c r="V962" s="376" t="s">
        <v>2629</v>
      </c>
      <c r="W962" s="376" t="s">
        <v>2630</v>
      </c>
      <c r="X962" s="512" t="s">
        <v>232</v>
      </c>
      <c r="Y962" s="512" t="s">
        <v>232</v>
      </c>
      <c r="Z962" s="39">
        <v>0</v>
      </c>
      <c r="AA962" s="518">
        <v>0</v>
      </c>
      <c r="AB962" s="38" t="s">
        <v>2631</v>
      </c>
      <c r="AC962" s="519" t="str">
        <f>""</f>
        <v/>
      </c>
      <c r="AD962" s="520">
        <v>0</v>
      </c>
      <c r="AE962" s="590" t="s">
        <v>2590</v>
      </c>
      <c r="AF962" s="520" t="s">
        <v>300</v>
      </c>
      <c r="AG962" s="520">
        <v>1</v>
      </c>
      <c r="AH962" s="520">
        <v>5</v>
      </c>
      <c r="AI962" s="520">
        <v>0</v>
      </c>
      <c r="AJ962" s="520">
        <f>VLOOKUP($I962,'Price List, Weapons &amp; Items'!A:E,5,0)</f>
        <v>0</v>
      </c>
      <c r="AK962" s="520">
        <f t="shared" si="202"/>
        <v>0</v>
      </c>
      <c r="AL962" s="520">
        <f t="shared" si="203"/>
        <v>0</v>
      </c>
      <c r="AM962" s="520">
        <f t="shared" si="204"/>
        <v>0</v>
      </c>
      <c r="AN962" s="521" t="str">
        <f>VLOOKUP($I962,'Price List, Weapons &amp; Items'!A:K,COLUMN('Price List, Weapons &amp; Items'!$I$1),0)</f>
        <v>Military media (incl. websites)</v>
      </c>
      <c r="AO962" s="521" t="str">
        <f>IF(I962=".",".",VLOOKUP($I962,'Price List, Weapons &amp; Items'!A:I,3,0))</f>
        <v>Radar or imagery systems</v>
      </c>
      <c r="AP962" s="517" t="str">
        <f t="shared" ca="1" si="219"/>
        <v/>
      </c>
      <c r="AQ962" s="521">
        <f>VLOOKUP($I962,'Price List, Weapons &amp; Items'!A:K,COLUMN('Price List, Weapons &amp; Items'!$K$1),0)</f>
        <v>2</v>
      </c>
      <c r="AS962" s="521">
        <f t="shared" si="205"/>
        <v>1</v>
      </c>
      <c r="AT962" s="521">
        <f t="shared" si="206"/>
        <v>1</v>
      </c>
      <c r="AU962" s="521">
        <f t="shared" si="207"/>
        <v>1</v>
      </c>
      <c r="AV962" s="521" t="str">
        <f t="shared" si="208"/>
        <v>.</v>
      </c>
    </row>
    <row r="963" spans="1:48" ht="15" customHeight="1">
      <c r="A963" s="18" t="s">
        <v>2627</v>
      </c>
      <c r="B963" s="18" t="s">
        <v>2548</v>
      </c>
      <c r="C963" s="511">
        <v>44687</v>
      </c>
      <c r="D963" s="18" t="s">
        <v>252</v>
      </c>
      <c r="E963" s="18" t="s">
        <v>1157</v>
      </c>
      <c r="F963" s="512" t="s">
        <v>2628</v>
      </c>
      <c r="G963" s="39" t="s">
        <v>314</v>
      </c>
      <c r="H963" s="513">
        <v>150000000</v>
      </c>
      <c r="I963" s="41" t="s">
        <v>2632</v>
      </c>
      <c r="J963" s="276" t="str">
        <f>VLOOKUP($I963,'Price List, Weapons &amp; Items'!A:B,2,0)</f>
        <v>Military equipment</v>
      </c>
      <c r="K963" s="276" t="str">
        <f>IF(I963=".",I963,VLOOKUP($I963,'Price List, Weapons &amp; Items'!A:C,3,0))</f>
        <v>Jammers or disruptive systems</v>
      </c>
      <c r="L963" s="514">
        <f>VLOOKUP(I963,'Price List, Weapons &amp; Items'!A:D,4,0)</f>
        <v>0</v>
      </c>
      <c r="M963" s="515" t="s">
        <v>232</v>
      </c>
      <c r="N963" s="515" t="s">
        <v>232</v>
      </c>
      <c r="O963" s="516" t="str">
        <f>VLOOKUP($I963,'Price List, Weapons &amp; Items'!A:F,6,0)</f>
        <v>.</v>
      </c>
      <c r="P963" s="513" t="str">
        <f t="shared" si="221"/>
        <v>.</v>
      </c>
      <c r="Q963" s="513" t="str">
        <f t="shared" si="222"/>
        <v>.</v>
      </c>
      <c r="R963" s="513" t="str">
        <f t="shared" si="223"/>
        <v/>
      </c>
      <c r="S963" s="513" t="str">
        <f>IF(AND(AD963=1,R963&lt;&gt;".")=TRUE,R963/VLOOKUP(G963,'Exchange rates'!B:C,2,0),IF(R963=".",".",""))</f>
        <v/>
      </c>
      <c r="T963" s="513" t="str">
        <f>IF(AD963=1,IF(AF963="Value is not given at all",".",IF(AF963="Value is given by the source",S963,IF(AF963="Value is calculated with prices",(IF(SUMIFS(Q:Q,A:A,A963)&gt;0,SUMIFS(Q:Q,A:A,A963),"."))/VLOOKUP("USD",'Exchange rates'!B:C,2,0),"Error with coding"))),"")</f>
        <v/>
      </c>
      <c r="U963" s="39" t="s">
        <v>233</v>
      </c>
      <c r="V963" s="376" t="s">
        <v>2629</v>
      </c>
      <c r="W963" s="376" t="s">
        <v>2630</v>
      </c>
      <c r="X963" s="512" t="s">
        <v>232</v>
      </c>
      <c r="Y963" s="512" t="s">
        <v>232</v>
      </c>
      <c r="Z963" s="39">
        <v>0</v>
      </c>
      <c r="AA963" s="518">
        <v>0</v>
      </c>
      <c r="AB963" s="38" t="s">
        <v>2631</v>
      </c>
      <c r="AC963" s="519" t="str">
        <f>""</f>
        <v/>
      </c>
      <c r="AD963" s="520">
        <v>0</v>
      </c>
      <c r="AE963" s="590" t="s">
        <v>2590</v>
      </c>
      <c r="AF963" s="520" t="s">
        <v>300</v>
      </c>
      <c r="AG963" s="520">
        <v>1</v>
      </c>
      <c r="AH963" s="520">
        <v>5</v>
      </c>
      <c r="AI963" s="520">
        <v>0</v>
      </c>
      <c r="AJ963" s="520">
        <f>VLOOKUP($I963,'Price List, Weapons &amp; Items'!A:E,5,0)</f>
        <v>0</v>
      </c>
      <c r="AK963" s="520">
        <f t="shared" si="202"/>
        <v>0</v>
      </c>
      <c r="AL963" s="520">
        <f t="shared" si="203"/>
        <v>0</v>
      </c>
      <c r="AM963" s="520">
        <f t="shared" si="204"/>
        <v>0</v>
      </c>
      <c r="AN963" s="521" t="str">
        <f>VLOOKUP($I963,'Price List, Weapons &amp; Items'!A:K,COLUMN('Price List, Weapons &amp; Items'!$I$1),0)</f>
        <v>.</v>
      </c>
      <c r="AO963" s="521" t="str">
        <f>IF(I963=".",".",VLOOKUP($I963,'Price List, Weapons &amp; Items'!A:I,3,0))</f>
        <v>Jammers or disruptive systems</v>
      </c>
      <c r="AP963" s="517" t="str">
        <f t="shared" ca="1" si="219"/>
        <v/>
      </c>
      <c r="AQ963" s="521" t="str">
        <f>VLOOKUP($I963,'Price List, Weapons &amp; Items'!A:K,COLUMN('Price List, Weapons &amp; Items'!$K$1),0)</f>
        <v>no price, 0 count</v>
      </c>
      <c r="AS963" s="521">
        <f t="shared" si="205"/>
        <v>1</v>
      </c>
      <c r="AT963" s="521">
        <f t="shared" si="206"/>
        <v>1</v>
      </c>
      <c r="AU963" s="521">
        <f t="shared" si="207"/>
        <v>1</v>
      </c>
      <c r="AV963" s="521" t="str">
        <f t="shared" si="208"/>
        <v>.</v>
      </c>
    </row>
    <row r="964" spans="1:48" ht="15" customHeight="1">
      <c r="A964" s="18" t="s">
        <v>2627</v>
      </c>
      <c r="B964" s="18" t="s">
        <v>2548</v>
      </c>
      <c r="C964" s="511">
        <v>44687</v>
      </c>
      <c r="D964" s="18" t="s">
        <v>252</v>
      </c>
      <c r="E964" s="18" t="s">
        <v>1157</v>
      </c>
      <c r="F964" s="512" t="s">
        <v>2628</v>
      </c>
      <c r="G964" s="39" t="s">
        <v>314</v>
      </c>
      <c r="H964" s="513">
        <v>150000000</v>
      </c>
      <c r="I964" s="41" t="s">
        <v>2626</v>
      </c>
      <c r="J964" s="276" t="str">
        <f>VLOOKUP($I964,'Price List, Weapons &amp; Items'!A:B,2,0)</f>
        <v>Military equipment</v>
      </c>
      <c r="K964" s="276" t="str">
        <f>IF(I964=".",I964,VLOOKUP($I964,'Price List, Weapons &amp; Items'!A:C,3,0))</f>
        <v>.</v>
      </c>
      <c r="L964" s="514">
        <f>VLOOKUP(I964,'Price List, Weapons &amp; Items'!A:D,4,0)</f>
        <v>0</v>
      </c>
      <c r="M964" s="515" t="s">
        <v>232</v>
      </c>
      <c r="N964" s="515" t="s">
        <v>232</v>
      </c>
      <c r="O964" s="516" t="str">
        <f>VLOOKUP($I964,'Price List, Weapons &amp; Items'!A:F,6,0)</f>
        <v>.</v>
      </c>
      <c r="P964" s="513" t="str">
        <f t="shared" si="221"/>
        <v>.</v>
      </c>
      <c r="Q964" s="513" t="str">
        <f t="shared" si="222"/>
        <v>.</v>
      </c>
      <c r="R964" s="513" t="str">
        <f t="shared" si="223"/>
        <v/>
      </c>
      <c r="S964" s="513" t="str">
        <f>IF(AND(AD964=1,R964&lt;&gt;".")=TRUE,R964/VLOOKUP(G964,'Exchange rates'!B:C,2,0),IF(R964=".",".",""))</f>
        <v/>
      </c>
      <c r="T964" s="513" t="str">
        <f>IF(AD964=1,IF(AF964="Value is not given at all",".",IF(AF964="Value is given by the source",S964,IF(AF964="Value is calculated with prices",(IF(SUMIFS(Q:Q,A:A,A964)&gt;0,SUMIFS(Q:Q,A:A,A964),"."))/VLOOKUP("USD",'Exchange rates'!B:C,2,0),"Error with coding"))),"")</f>
        <v/>
      </c>
      <c r="U964" s="39" t="s">
        <v>233</v>
      </c>
      <c r="V964" s="376" t="s">
        <v>2629</v>
      </c>
      <c r="W964" s="376" t="s">
        <v>2630</v>
      </c>
      <c r="X964" s="512" t="s">
        <v>232</v>
      </c>
      <c r="Y964" s="512" t="s">
        <v>232</v>
      </c>
      <c r="Z964" s="39">
        <v>0</v>
      </c>
      <c r="AA964" s="518">
        <v>0</v>
      </c>
      <c r="AB964" s="38" t="s">
        <v>2631</v>
      </c>
      <c r="AC964" s="519" t="str">
        <f>""</f>
        <v/>
      </c>
      <c r="AD964" s="520">
        <v>0</v>
      </c>
      <c r="AE964" s="590" t="s">
        <v>2590</v>
      </c>
      <c r="AF964" s="520" t="s">
        <v>300</v>
      </c>
      <c r="AG964" s="520">
        <v>1</v>
      </c>
      <c r="AH964" s="520">
        <v>5</v>
      </c>
      <c r="AI964" s="520">
        <v>0</v>
      </c>
      <c r="AJ964" s="520">
        <f>VLOOKUP($I964,'Price List, Weapons &amp; Items'!A:E,5,0)</f>
        <v>0</v>
      </c>
      <c r="AK964" s="520">
        <f t="shared" si="202"/>
        <v>0</v>
      </c>
      <c r="AL964" s="520">
        <f t="shared" si="203"/>
        <v>0</v>
      </c>
      <c r="AM964" s="520">
        <f t="shared" si="204"/>
        <v>0</v>
      </c>
      <c r="AN964" s="521" t="str">
        <f>VLOOKUP($I964,'Price List, Weapons &amp; Items'!A:K,COLUMN('Price List, Weapons &amp; Items'!$I$1),0)</f>
        <v>.</v>
      </c>
      <c r="AO964" s="521" t="str">
        <f>IF(I964=".",".",VLOOKUP($I964,'Price List, Weapons &amp; Items'!A:I,3,0))</f>
        <v>.</v>
      </c>
      <c r="AP964" s="517" t="str">
        <f t="shared" ca="1" si="219"/>
        <v/>
      </c>
      <c r="AQ964" s="521" t="str">
        <f>VLOOKUP($I964,'Price List, Weapons &amp; Items'!A:K,COLUMN('Price List, Weapons &amp; Items'!$K$1),0)</f>
        <v>no price, 0 count</v>
      </c>
      <c r="AS964" s="521">
        <f t="shared" si="205"/>
        <v>1</v>
      </c>
      <c r="AT964" s="521">
        <f t="shared" si="206"/>
        <v>1</v>
      </c>
      <c r="AU964" s="521">
        <f t="shared" si="207"/>
        <v>1</v>
      </c>
      <c r="AV964" s="521" t="str">
        <f t="shared" si="208"/>
        <v>.</v>
      </c>
    </row>
    <row r="965" spans="1:48" ht="15" customHeight="1">
      <c r="A965" s="18" t="s">
        <v>2627</v>
      </c>
      <c r="B965" s="18" t="s">
        <v>2548</v>
      </c>
      <c r="C965" s="511">
        <v>44687</v>
      </c>
      <c r="D965" s="18" t="s">
        <v>252</v>
      </c>
      <c r="E965" s="18" t="s">
        <v>1157</v>
      </c>
      <c r="F965" s="512" t="s">
        <v>2628</v>
      </c>
      <c r="G965" s="39" t="s">
        <v>314</v>
      </c>
      <c r="H965" s="513">
        <v>150000000</v>
      </c>
      <c r="I965" s="41" t="s">
        <v>2633</v>
      </c>
      <c r="J965" s="276" t="str">
        <f>VLOOKUP($I965,'Price List, Weapons &amp; Items'!A:B,2,0)</f>
        <v>Military equipment</v>
      </c>
      <c r="K965" s="276" t="str">
        <f>IF(I965=".",I965,VLOOKUP($I965,'Price List, Weapons &amp; Items'!A:C,3,0))</f>
        <v>spare parts</v>
      </c>
      <c r="L965" s="514">
        <f>VLOOKUP(I965,'Price List, Weapons &amp; Items'!A:D,4,0)</f>
        <v>0</v>
      </c>
      <c r="M965" s="515" t="s">
        <v>232</v>
      </c>
      <c r="N965" s="515" t="s">
        <v>232</v>
      </c>
      <c r="O965" s="516" t="str">
        <f>VLOOKUP($I965,'Price List, Weapons &amp; Items'!A:F,6,0)</f>
        <v>.</v>
      </c>
      <c r="P965" s="513" t="str">
        <f t="shared" si="221"/>
        <v>.</v>
      </c>
      <c r="Q965" s="513" t="str">
        <f t="shared" si="222"/>
        <v>.</v>
      </c>
      <c r="R965" s="513" t="str">
        <f t="shared" si="223"/>
        <v/>
      </c>
      <c r="S965" s="513" t="str">
        <f>IF(AND(AD965=1,R965&lt;&gt;".")=TRUE,R965/VLOOKUP(G965,'Exchange rates'!B:C,2,0),IF(R965=".",".",""))</f>
        <v/>
      </c>
      <c r="T965" s="513" t="str">
        <f>IF(AD965=1,IF(AF965="Value is not given at all",".",IF(AF965="Value is given by the source",S965,IF(AF965="Value is calculated with prices",(IF(SUMIFS(Q:Q,A:A,A965)&gt;0,SUMIFS(Q:Q,A:A,A965),"."))/VLOOKUP("USD",'Exchange rates'!B:C,2,0),"Error with coding"))),"")</f>
        <v/>
      </c>
      <c r="U965" s="39" t="s">
        <v>233</v>
      </c>
      <c r="V965" s="42" t="s">
        <v>2629</v>
      </c>
      <c r="W965" s="42" t="s">
        <v>2630</v>
      </c>
      <c r="X965" s="512" t="s">
        <v>232</v>
      </c>
      <c r="Y965" s="512" t="s">
        <v>232</v>
      </c>
      <c r="Z965" s="39">
        <v>0</v>
      </c>
      <c r="AA965" s="518">
        <v>0</v>
      </c>
      <c r="AB965" s="38" t="s">
        <v>2631</v>
      </c>
      <c r="AC965" s="519" t="str">
        <f>""</f>
        <v/>
      </c>
      <c r="AD965" s="520">
        <v>0</v>
      </c>
      <c r="AE965" s="590" t="s">
        <v>2590</v>
      </c>
      <c r="AF965" s="520" t="s">
        <v>300</v>
      </c>
      <c r="AG965" s="520">
        <v>1</v>
      </c>
      <c r="AH965" s="520">
        <v>5</v>
      </c>
      <c r="AI965" s="520">
        <v>0</v>
      </c>
      <c r="AJ965" s="520">
        <f>VLOOKUP($I965,'Price List, Weapons &amp; Items'!A:E,5,0)</f>
        <v>0</v>
      </c>
      <c r="AK965" s="520">
        <f t="shared" si="202"/>
        <v>0</v>
      </c>
      <c r="AL965" s="520">
        <f t="shared" si="203"/>
        <v>0</v>
      </c>
      <c r="AM965" s="520">
        <f t="shared" si="204"/>
        <v>0</v>
      </c>
      <c r="AN965" s="521" t="str">
        <f>VLOOKUP($I965,'Price List, Weapons &amp; Items'!A:K,COLUMN('Price List, Weapons &amp; Items'!$I$1),0)</f>
        <v>.</v>
      </c>
      <c r="AO965" s="521" t="str">
        <f>IF(I965=".",".",VLOOKUP($I965,'Price List, Weapons &amp; Items'!A:I,3,0))</f>
        <v>spare parts</v>
      </c>
      <c r="AP965" s="517" t="str">
        <f t="shared" ca="1" si="219"/>
        <v/>
      </c>
      <c r="AQ965" s="521" t="str">
        <f>VLOOKUP($I965,'Price List, Weapons &amp; Items'!A:K,COLUMN('Price List, Weapons &amp; Items'!$K$1),0)</f>
        <v>no price, 0 count</v>
      </c>
      <c r="AS965" s="521">
        <f t="shared" si="205"/>
        <v>1</v>
      </c>
      <c r="AT965" s="521">
        <f t="shared" si="206"/>
        <v>1</v>
      </c>
      <c r="AU965" s="521">
        <f t="shared" si="207"/>
        <v>1</v>
      </c>
      <c r="AV965" s="521" t="str">
        <f t="shared" si="208"/>
        <v>.</v>
      </c>
    </row>
    <row r="966" spans="1:48" ht="15" customHeight="1">
      <c r="A966" s="18" t="s">
        <v>2627</v>
      </c>
      <c r="B966" s="18" t="s">
        <v>2548</v>
      </c>
      <c r="C966" s="511">
        <v>44700</v>
      </c>
      <c r="D966" s="18" t="s">
        <v>252</v>
      </c>
      <c r="E966" s="18" t="s">
        <v>1157</v>
      </c>
      <c r="F966" s="512" t="s">
        <v>2634</v>
      </c>
      <c r="G966" s="39" t="s">
        <v>314</v>
      </c>
      <c r="H966" s="513">
        <v>100000000</v>
      </c>
      <c r="I966" s="41" t="s">
        <v>286</v>
      </c>
      <c r="J966" s="276" t="str">
        <f>VLOOKUP($I966,'Price List, Weapons &amp; Items'!A:B,2,0)</f>
        <v>Heavy weapon</v>
      </c>
      <c r="K966" s="276" t="str">
        <f>IF(I966=".",I966,VLOOKUP($I966,'Price List, Weapons &amp; Items'!A:C,3,0))</f>
        <v>155mm howitzer</v>
      </c>
      <c r="L966" s="514">
        <f>VLOOKUP(I966,'Price List, Weapons &amp; Items'!A:D,4,0)</f>
        <v>0</v>
      </c>
      <c r="M966" s="515">
        <v>18</v>
      </c>
      <c r="N966" s="515">
        <v>18</v>
      </c>
      <c r="O966" s="516">
        <f>VLOOKUP($I966,'Price List, Weapons &amp; Items'!A:F,6,0)</f>
        <v>5170000</v>
      </c>
      <c r="P966" s="513">
        <f t="shared" si="221"/>
        <v>93060000</v>
      </c>
      <c r="Q966" s="513">
        <f t="shared" si="222"/>
        <v>93060000</v>
      </c>
      <c r="R966" s="513" t="str">
        <f t="shared" si="223"/>
        <v/>
      </c>
      <c r="S966" s="513" t="str">
        <f>IF(AND(AD966=1,R966&lt;&gt;".")=TRUE,R966/VLOOKUP(G966,'Exchange rates'!B:C,2,0),IF(R966=".",".",""))</f>
        <v/>
      </c>
      <c r="T966" s="513" t="str">
        <f>IF(AD966=1,IF(AF966="Value is not given at all",".",IF(AF966="Value is given by the source",S966,IF(AF966="Value is calculated with prices",(IF(SUMIFS(Q:Q,A:A,A966)&gt;0,SUMIFS(Q:Q,A:A,A966),"."))/VLOOKUP("USD",'Exchange rates'!B:C,2,0),"Error with coding"))),"")</f>
        <v/>
      </c>
      <c r="U966" s="39" t="s">
        <v>233</v>
      </c>
      <c r="V966" s="376" t="s">
        <v>2635</v>
      </c>
      <c r="W966" s="528" t="s">
        <v>232</v>
      </c>
      <c r="X966" s="528" t="s">
        <v>232</v>
      </c>
      <c r="Y966" s="528" t="s">
        <v>232</v>
      </c>
      <c r="Z966" s="39">
        <v>0</v>
      </c>
      <c r="AA966" s="518">
        <v>0</v>
      </c>
      <c r="AB966" s="394" t="s">
        <v>2636</v>
      </c>
      <c r="AC966" s="519" t="str">
        <f>""</f>
        <v/>
      </c>
      <c r="AD966" s="520">
        <v>0</v>
      </c>
      <c r="AE966" s="590" t="s">
        <v>2590</v>
      </c>
      <c r="AF966" s="520" t="s">
        <v>300</v>
      </c>
      <c r="AG966" s="520">
        <v>1</v>
      </c>
      <c r="AH966" s="520">
        <v>5</v>
      </c>
      <c r="AI966" s="520">
        <v>0</v>
      </c>
      <c r="AJ966" s="520">
        <f>VLOOKUP($I966,'Price List, Weapons &amp; Items'!A:E,5,0)</f>
        <v>1</v>
      </c>
      <c r="AK966" s="520">
        <f t="shared" si="202"/>
        <v>0</v>
      </c>
      <c r="AL966" s="520">
        <f t="shared" si="203"/>
        <v>0</v>
      </c>
      <c r="AM966" s="520">
        <f t="shared" si="204"/>
        <v>0</v>
      </c>
      <c r="AN966" s="521" t="str">
        <f>VLOOKUP($I966,'Price List, Weapons &amp; Items'!A:K,COLUMN('Price List, Weapons &amp; Items'!$I$1),0)</f>
        <v>Military media (incl. websites)</v>
      </c>
      <c r="AO966" s="521" t="str">
        <f>IF(I966=".",".",VLOOKUP($I966,'Price List, Weapons &amp; Items'!A:I,3,0))</f>
        <v>155mm howitzer</v>
      </c>
      <c r="AP966" s="517" t="str">
        <f t="shared" ca="1" si="219"/>
        <v/>
      </c>
      <c r="AQ966" s="521">
        <f>VLOOKUP($I966,'Price List, Weapons &amp; Items'!A:K,COLUMN('Price List, Weapons &amp; Items'!$K$1),0)</f>
        <v>2</v>
      </c>
      <c r="AS966" s="521">
        <f t="shared" si="205"/>
        <v>1</v>
      </c>
      <c r="AT966" s="521">
        <f t="shared" si="206"/>
        <v>1</v>
      </c>
      <c r="AU966" s="521">
        <f t="shared" si="207"/>
        <v>1</v>
      </c>
      <c r="AV966" s="521" t="str">
        <f>IF(AND(A966=A965,C966=C965)=TRUE,IF(F966=F965,".","1"),".")</f>
        <v>.</v>
      </c>
    </row>
    <row r="967" spans="1:48" ht="15" customHeight="1">
      <c r="A967" s="18" t="s">
        <v>2627</v>
      </c>
      <c r="B967" s="18" t="s">
        <v>2548</v>
      </c>
      <c r="C967" s="511">
        <v>44700</v>
      </c>
      <c r="D967" s="18" t="s">
        <v>252</v>
      </c>
      <c r="E967" s="18" t="s">
        <v>1157</v>
      </c>
      <c r="F967" s="512" t="s">
        <v>2634</v>
      </c>
      <c r="G967" s="39" t="s">
        <v>314</v>
      </c>
      <c r="H967" s="513">
        <v>100000000</v>
      </c>
      <c r="I967" s="41" t="s">
        <v>2621</v>
      </c>
      <c r="J967" s="276" t="str">
        <f>VLOOKUP($I967,'Price List, Weapons &amp; Items'!A:B,2,0)</f>
        <v>Military equipment</v>
      </c>
      <c r="K967" s="276" t="str">
        <f>IF(I967=".",I967,VLOOKUP($I967,'Price List, Weapons &amp; Items'!A:C,3,0))</f>
        <v>.</v>
      </c>
      <c r="L967" s="514">
        <f>VLOOKUP(I967,'Price List, Weapons &amp; Items'!A:D,4,0)</f>
        <v>0</v>
      </c>
      <c r="M967" s="515">
        <v>18</v>
      </c>
      <c r="N967" s="515">
        <v>18</v>
      </c>
      <c r="O967" s="516">
        <f>VLOOKUP($I967,'Price List, Weapons &amp; Items'!A:F,6,0)</f>
        <v>350000</v>
      </c>
      <c r="P967" s="513">
        <f t="shared" si="221"/>
        <v>6300000</v>
      </c>
      <c r="Q967" s="513">
        <f t="shared" si="222"/>
        <v>6300000</v>
      </c>
      <c r="R967" s="513" t="str">
        <f t="shared" si="223"/>
        <v/>
      </c>
      <c r="S967" s="513" t="str">
        <f>IF(AND(AD967=1,R967&lt;&gt;".")=TRUE,R967/VLOOKUP(G967,'Exchange rates'!B:C,2,0),IF(R967=".",".",""))</f>
        <v/>
      </c>
      <c r="T967" s="513" t="str">
        <f>IF(AD967=1,IF(AF967="Value is not given at all",".",IF(AF967="Value is given by the source",S967,IF(AF967="Value is calculated with prices",(IF(SUMIFS(Q:Q,A:A,A967)&gt;0,SUMIFS(Q:Q,A:A,A967),"."))/VLOOKUP("USD",'Exchange rates'!B:C,2,0),"Error with coding"))),"")</f>
        <v/>
      </c>
      <c r="U967" s="39" t="s">
        <v>233</v>
      </c>
      <c r="V967" s="376" t="s">
        <v>2635</v>
      </c>
      <c r="W967" s="528" t="s">
        <v>232</v>
      </c>
      <c r="X967" s="528" t="s">
        <v>232</v>
      </c>
      <c r="Y967" s="528" t="s">
        <v>232</v>
      </c>
      <c r="Z967" s="39">
        <v>0</v>
      </c>
      <c r="AA967" s="518">
        <v>0</v>
      </c>
      <c r="AB967" s="394" t="s">
        <v>2636</v>
      </c>
      <c r="AC967" s="519" t="str">
        <f>""</f>
        <v/>
      </c>
      <c r="AD967" s="520">
        <v>0</v>
      </c>
      <c r="AE967" s="590" t="s">
        <v>2590</v>
      </c>
      <c r="AF967" s="520" t="s">
        <v>300</v>
      </c>
      <c r="AG967" s="520">
        <v>1</v>
      </c>
      <c r="AH967" s="520">
        <v>5</v>
      </c>
      <c r="AI967" s="520">
        <v>0</v>
      </c>
      <c r="AJ967" s="520">
        <f>VLOOKUP($I967,'Price List, Weapons &amp; Items'!A:E,5,0)</f>
        <v>0</v>
      </c>
      <c r="AK967" s="520">
        <f t="shared" si="202"/>
        <v>0</v>
      </c>
      <c r="AL967" s="520">
        <f t="shared" si="203"/>
        <v>0</v>
      </c>
      <c r="AM967" s="520">
        <f t="shared" si="204"/>
        <v>0</v>
      </c>
      <c r="AN967" s="521" t="str">
        <f>VLOOKUP($I967,'Price List, Weapons &amp; Items'!A:K,COLUMN('Price List, Weapons &amp; Items'!$I$1),0)</f>
        <v>Media reports (incl. social media)</v>
      </c>
      <c r="AO967" s="521" t="str">
        <f>IF(I967=".",".",VLOOKUP($I967,'Price List, Weapons &amp; Items'!A:I,3,0))</f>
        <v>.</v>
      </c>
      <c r="AP967" s="517" t="str">
        <f t="shared" ca="1" si="219"/>
        <v/>
      </c>
      <c r="AQ967" s="521">
        <f>VLOOKUP($I967,'Price List, Weapons &amp; Items'!A:K,COLUMN('Price List, Weapons &amp; Items'!$K$1),0)</f>
        <v>2</v>
      </c>
      <c r="AS967" s="521">
        <f t="shared" si="205"/>
        <v>1</v>
      </c>
      <c r="AT967" s="521">
        <f t="shared" si="206"/>
        <v>1</v>
      </c>
      <c r="AU967" s="521">
        <f t="shared" si="207"/>
        <v>1</v>
      </c>
      <c r="AV967" s="521" t="str">
        <f t="shared" si="208"/>
        <v>.</v>
      </c>
    </row>
    <row r="968" spans="1:48" ht="15" customHeight="1">
      <c r="A968" s="18" t="s">
        <v>2627</v>
      </c>
      <c r="B968" s="18" t="s">
        <v>2548</v>
      </c>
      <c r="C968" s="511">
        <v>44700</v>
      </c>
      <c r="D968" s="18" t="s">
        <v>252</v>
      </c>
      <c r="E968" s="18" t="s">
        <v>1157</v>
      </c>
      <c r="F968" s="512" t="s">
        <v>2634</v>
      </c>
      <c r="G968" s="39" t="s">
        <v>314</v>
      </c>
      <c r="H968" s="513">
        <v>100000000</v>
      </c>
      <c r="I968" s="41" t="s">
        <v>1696</v>
      </c>
      <c r="J968" s="276" t="str">
        <f>VLOOKUP($I968,'Price List, Weapons &amp; Items'!A:B,2,0)</f>
        <v>Military equipment</v>
      </c>
      <c r="K968" s="276" t="str">
        <f>IF(I968=".",I968,VLOOKUP($I968,'Price List, Weapons &amp; Items'!A:C,3,0))</f>
        <v>Radar or imagery systems</v>
      </c>
      <c r="L968" s="514">
        <f>VLOOKUP(I968,'Price List, Weapons &amp; Items'!A:D,4,0)</f>
        <v>0</v>
      </c>
      <c r="M968" s="515">
        <v>3</v>
      </c>
      <c r="N968" s="515">
        <v>3</v>
      </c>
      <c r="O968" s="516">
        <f>VLOOKUP($I968,'Price List, Weapons &amp; Items'!A:F,6,0)</f>
        <v>8888888</v>
      </c>
      <c r="P968" s="513">
        <f t="shared" si="221"/>
        <v>26666664</v>
      </c>
      <c r="Q968" s="513">
        <f t="shared" si="222"/>
        <v>26666664</v>
      </c>
      <c r="R968" s="513" t="str">
        <f t="shared" si="223"/>
        <v/>
      </c>
      <c r="S968" s="513" t="str">
        <f>IF(AND(AD968=1,R968&lt;&gt;".")=TRUE,R968/VLOOKUP(G968,'Exchange rates'!B:C,2,0),IF(R968=".",".",""))</f>
        <v/>
      </c>
      <c r="T968" s="513" t="str">
        <f>IF(AD968=1,IF(AF968="Value is not given at all",".",IF(AF968="Value is given by the source",S968,IF(AF968="Value is calculated with prices",(IF(SUMIFS(Q:Q,A:A,A968)&gt;0,SUMIFS(Q:Q,A:A,A968),"."))/VLOOKUP("USD",'Exchange rates'!B:C,2,0),"Error with coding"))),"")</f>
        <v/>
      </c>
      <c r="U968" s="39" t="s">
        <v>233</v>
      </c>
      <c r="V968" s="376" t="s">
        <v>2635</v>
      </c>
      <c r="W968" s="528" t="s">
        <v>232</v>
      </c>
      <c r="X968" s="528" t="s">
        <v>232</v>
      </c>
      <c r="Y968" s="528" t="s">
        <v>232</v>
      </c>
      <c r="Z968" s="39">
        <v>0</v>
      </c>
      <c r="AA968" s="518">
        <v>0</v>
      </c>
      <c r="AB968" s="394" t="s">
        <v>2636</v>
      </c>
      <c r="AC968" s="519" t="str">
        <f>""</f>
        <v/>
      </c>
      <c r="AD968" s="520">
        <v>0</v>
      </c>
      <c r="AE968" s="590" t="s">
        <v>2590</v>
      </c>
      <c r="AF968" s="520" t="s">
        <v>300</v>
      </c>
      <c r="AG968" s="520">
        <v>1</v>
      </c>
      <c r="AH968" s="520">
        <v>5</v>
      </c>
      <c r="AI968" s="520">
        <v>0</v>
      </c>
      <c r="AJ968" s="520">
        <f>VLOOKUP($I968,'Price List, Weapons &amp; Items'!A:E,5,0)</f>
        <v>0</v>
      </c>
      <c r="AK968" s="520">
        <f t="shared" ref="AK968:AK1031" si="224">IF(AND(AJ968=1,M968="undisclosed")=TRUE,1,0)</f>
        <v>0</v>
      </c>
      <c r="AL968" s="520">
        <f t="shared" ref="AL968:AL1031" si="225">IF(AND(AJ968=1,N968="undisclosed")=TRUE,1,0)</f>
        <v>0</v>
      </c>
      <c r="AM968" s="520">
        <f t="shared" ref="AM968:AM1031" si="226">IFERROR(IF(SEARCH("ammuni",I968,1)&gt;0,1,0),0)</f>
        <v>0</v>
      </c>
      <c r="AN968" s="521" t="str">
        <f>VLOOKUP($I968,'Price List, Weapons &amp; Items'!A:K,COLUMN('Price List, Weapons &amp; Items'!$I$1),0)</f>
        <v>Military media (incl. websites)</v>
      </c>
      <c r="AO968" s="521" t="str">
        <f>IF(I968=".",".",VLOOKUP($I968,'Price List, Weapons &amp; Items'!A:I,3,0))</f>
        <v>Radar or imagery systems</v>
      </c>
      <c r="AP968" s="517" t="str">
        <f t="shared" ca="1" si="219"/>
        <v/>
      </c>
      <c r="AQ968" s="521">
        <f>VLOOKUP($I968,'Price List, Weapons &amp; Items'!A:K,COLUMN('Price List, Weapons &amp; Items'!$K$1),0)</f>
        <v>2</v>
      </c>
      <c r="AS968" s="521">
        <f t="shared" ref="AS968:AS1031" si="227">IF(U968="Yes",1,0)</f>
        <v>1</v>
      </c>
      <c r="AT968" s="521">
        <f t="shared" ref="AT968:AT1031" si="228">IF(OR((E968="Weapons"),(E968="Weapons and equipment"),(E968="Weapons and training"),(E968="Weapons and Assistance"),(E968="Military Equipment"))=FALSE,0,1)</f>
        <v>1</v>
      </c>
      <c r="AU968" s="521">
        <f t="shared" ref="AU968:AU1031" si="229">IFERROR(IF(VALUE(TEXT(C968,"mm"))=AH968,".",1),"Value is not in date format")</f>
        <v>1</v>
      </c>
      <c r="AV968" s="521" t="str">
        <f t="shared" si="208"/>
        <v>.</v>
      </c>
    </row>
    <row r="969" spans="1:48" ht="15" customHeight="1">
      <c r="A969" s="18" t="s">
        <v>2627</v>
      </c>
      <c r="B969" s="18" t="s">
        <v>2548</v>
      </c>
      <c r="C969" s="511">
        <v>44700</v>
      </c>
      <c r="D969" s="18" t="s">
        <v>252</v>
      </c>
      <c r="E969" s="18" t="s">
        <v>1157</v>
      </c>
      <c r="F969" s="512" t="s">
        <v>2634</v>
      </c>
      <c r="G969" s="39" t="s">
        <v>314</v>
      </c>
      <c r="H969" s="513">
        <v>100000000</v>
      </c>
      <c r="I969" s="41" t="s">
        <v>2626</v>
      </c>
      <c r="J969" s="276" t="str">
        <f>VLOOKUP($I969,'Price List, Weapons &amp; Items'!A:B,2,0)</f>
        <v>Military equipment</v>
      </c>
      <c r="K969" s="276" t="str">
        <f>IF(I969=".",I969,VLOOKUP($I969,'Price List, Weapons &amp; Items'!A:C,3,0))</f>
        <v>.</v>
      </c>
      <c r="L969" s="514">
        <f>VLOOKUP(I969,'Price List, Weapons &amp; Items'!A:D,4,0)</f>
        <v>0</v>
      </c>
      <c r="M969" s="515" t="s">
        <v>232</v>
      </c>
      <c r="N969" s="515" t="s">
        <v>264</v>
      </c>
      <c r="O969" s="516" t="str">
        <f>VLOOKUP($I969,'Price List, Weapons &amp; Items'!A:F,6,0)</f>
        <v>.</v>
      </c>
      <c r="P969" s="513" t="str">
        <f t="shared" si="221"/>
        <v>.</v>
      </c>
      <c r="Q969" s="513" t="str">
        <f t="shared" si="222"/>
        <v>.</v>
      </c>
      <c r="R969" s="513" t="str">
        <f t="shared" si="223"/>
        <v/>
      </c>
      <c r="S969" s="513" t="str">
        <f>IF(AND(AD969=1,R969&lt;&gt;".")=TRUE,R969/VLOOKUP(G969,'Exchange rates'!B:C,2,0),IF(R969=".",".",""))</f>
        <v/>
      </c>
      <c r="T969" s="513" t="str">
        <f>IF(AD969=1,IF(AF969="Value is not given at all",".",IF(AF969="Value is given by the source",S969,IF(AF969="Value is calculated with prices",(IF(SUMIFS(Q:Q,A:A,A969)&gt;0,SUMIFS(Q:Q,A:A,A969),"."))/VLOOKUP("USD",'Exchange rates'!B:C,2,0),"Error with coding"))),"")</f>
        <v/>
      </c>
      <c r="U969" s="39" t="s">
        <v>233</v>
      </c>
      <c r="V969" s="376" t="s">
        <v>2635</v>
      </c>
      <c r="W969" s="528" t="s">
        <v>232</v>
      </c>
      <c r="X969" s="528" t="s">
        <v>232</v>
      </c>
      <c r="Y969" s="528" t="s">
        <v>232</v>
      </c>
      <c r="Z969" s="39">
        <v>0</v>
      </c>
      <c r="AA969" s="518">
        <v>0</v>
      </c>
      <c r="AB969" s="394" t="s">
        <v>2636</v>
      </c>
      <c r="AC969" s="519" t="str">
        <f>""</f>
        <v/>
      </c>
      <c r="AD969" s="520">
        <v>0</v>
      </c>
      <c r="AE969" s="590" t="s">
        <v>2590</v>
      </c>
      <c r="AF969" s="520" t="s">
        <v>300</v>
      </c>
      <c r="AG969" s="520">
        <v>1</v>
      </c>
      <c r="AH969" s="520">
        <v>5</v>
      </c>
      <c r="AI969" s="520">
        <v>0</v>
      </c>
      <c r="AJ969" s="520">
        <f>VLOOKUP($I969,'Price List, Weapons &amp; Items'!A:E,5,0)</f>
        <v>0</v>
      </c>
      <c r="AK969" s="520">
        <f t="shared" si="224"/>
        <v>0</v>
      </c>
      <c r="AL969" s="520">
        <f t="shared" si="225"/>
        <v>0</v>
      </c>
      <c r="AM969" s="520">
        <f t="shared" si="226"/>
        <v>0</v>
      </c>
      <c r="AN969" s="521" t="str">
        <f>VLOOKUP($I969,'Price List, Weapons &amp; Items'!A:K,COLUMN('Price List, Weapons &amp; Items'!$I$1),0)</f>
        <v>.</v>
      </c>
      <c r="AO969" s="521" t="str">
        <f>IF(I969=".",".",VLOOKUP($I969,'Price List, Weapons &amp; Items'!A:I,3,0))</f>
        <v>.</v>
      </c>
      <c r="AP969" s="517" t="str">
        <f t="shared" ca="1" si="219"/>
        <v/>
      </c>
      <c r="AQ969" s="521" t="str">
        <f>VLOOKUP($I969,'Price List, Weapons &amp; Items'!A:K,COLUMN('Price List, Weapons &amp; Items'!$K$1),0)</f>
        <v>no price, 0 count</v>
      </c>
      <c r="AS969" s="521">
        <f t="shared" si="227"/>
        <v>1</v>
      </c>
      <c r="AT969" s="521">
        <f t="shared" si="228"/>
        <v>1</v>
      </c>
      <c r="AU969" s="521">
        <f t="shared" si="229"/>
        <v>1</v>
      </c>
      <c r="AV969" s="521" t="str">
        <f t="shared" ref="AV969:AV1032" si="230">IF(AND(A969=A968,C969=C968)=TRUE,IF(F969=F968,".","1"),".")</f>
        <v>.</v>
      </c>
    </row>
    <row r="970" spans="1:48" ht="15" customHeight="1">
      <c r="A970" s="18" t="s">
        <v>2627</v>
      </c>
      <c r="B970" s="18" t="s">
        <v>2548</v>
      </c>
      <c r="C970" s="511">
        <v>44700</v>
      </c>
      <c r="D970" s="18" t="s">
        <v>252</v>
      </c>
      <c r="E970" s="18" t="s">
        <v>1157</v>
      </c>
      <c r="F970" s="512" t="s">
        <v>2634</v>
      </c>
      <c r="G970" s="39" t="s">
        <v>314</v>
      </c>
      <c r="H970" s="513">
        <v>100000000</v>
      </c>
      <c r="I970" s="41" t="s">
        <v>2633</v>
      </c>
      <c r="J970" s="276" t="str">
        <f>VLOOKUP($I970,'Price List, Weapons &amp; Items'!A:B,2,0)</f>
        <v>Military equipment</v>
      </c>
      <c r="K970" s="276" t="str">
        <f>IF(I970=".",I970,VLOOKUP($I970,'Price List, Weapons &amp; Items'!A:C,3,0))</f>
        <v>spare parts</v>
      </c>
      <c r="L970" s="514">
        <f>VLOOKUP(I970,'Price List, Weapons &amp; Items'!A:D,4,0)</f>
        <v>0</v>
      </c>
      <c r="M970" s="515" t="s">
        <v>232</v>
      </c>
      <c r="N970" s="515" t="s">
        <v>264</v>
      </c>
      <c r="O970" s="516" t="str">
        <f>VLOOKUP($I970,'Price List, Weapons &amp; Items'!A:F,6,0)</f>
        <v>.</v>
      </c>
      <c r="P970" s="513" t="str">
        <f t="shared" si="221"/>
        <v>.</v>
      </c>
      <c r="Q970" s="513" t="str">
        <f t="shared" si="222"/>
        <v>.</v>
      </c>
      <c r="R970" s="513" t="str">
        <f t="shared" si="223"/>
        <v/>
      </c>
      <c r="S970" s="513" t="str">
        <f>IF(AND(AD970=1,R970&lt;&gt;".")=TRUE,R970/VLOOKUP(G970,'Exchange rates'!B:C,2,0),IF(R970=".",".",""))</f>
        <v/>
      </c>
      <c r="T970" s="513" t="str">
        <f>IF(AD970=1,IF(AF970="Value is not given at all",".",IF(AF970="Value is given by the source",S970,IF(AF970="Value is calculated with prices",(IF(SUMIFS(Q:Q,A:A,A970)&gt;0,SUMIFS(Q:Q,A:A,A970),"."))/VLOOKUP("USD",'Exchange rates'!B:C,2,0),"Error with coding"))),"")</f>
        <v/>
      </c>
      <c r="U970" s="39" t="s">
        <v>233</v>
      </c>
      <c r="V970" s="376" t="s">
        <v>2635</v>
      </c>
      <c r="W970" s="528" t="s">
        <v>232</v>
      </c>
      <c r="X970" s="528" t="s">
        <v>232</v>
      </c>
      <c r="Y970" s="528" t="s">
        <v>232</v>
      </c>
      <c r="Z970" s="39">
        <v>0</v>
      </c>
      <c r="AA970" s="518">
        <v>0</v>
      </c>
      <c r="AB970" s="394" t="s">
        <v>2636</v>
      </c>
      <c r="AC970" s="519" t="str">
        <f>""</f>
        <v/>
      </c>
      <c r="AD970" s="520">
        <v>0</v>
      </c>
      <c r="AE970" s="590" t="s">
        <v>2590</v>
      </c>
      <c r="AF970" s="520" t="s">
        <v>300</v>
      </c>
      <c r="AG970" s="520">
        <v>1</v>
      </c>
      <c r="AH970" s="520">
        <v>5</v>
      </c>
      <c r="AI970" s="520">
        <v>0</v>
      </c>
      <c r="AJ970" s="520">
        <f>VLOOKUP($I970,'Price List, Weapons &amp; Items'!A:E,5,0)</f>
        <v>0</v>
      </c>
      <c r="AK970" s="520">
        <f t="shared" si="224"/>
        <v>0</v>
      </c>
      <c r="AL970" s="520">
        <f t="shared" si="225"/>
        <v>0</v>
      </c>
      <c r="AM970" s="520">
        <f t="shared" si="226"/>
        <v>0</v>
      </c>
      <c r="AN970" s="521" t="str">
        <f>VLOOKUP($I970,'Price List, Weapons &amp; Items'!A:K,COLUMN('Price List, Weapons &amp; Items'!$I$1),0)</f>
        <v>.</v>
      </c>
      <c r="AO970" s="521" t="str">
        <f>IF(I970=".",".",VLOOKUP($I970,'Price List, Weapons &amp; Items'!A:I,3,0))</f>
        <v>spare parts</v>
      </c>
      <c r="AP970" s="517" t="str">
        <f t="shared" ca="1" si="219"/>
        <v/>
      </c>
      <c r="AQ970" s="521" t="str">
        <f>VLOOKUP($I970,'Price List, Weapons &amp; Items'!A:K,COLUMN('Price List, Weapons &amp; Items'!$K$1),0)</f>
        <v>no price, 0 count</v>
      </c>
      <c r="AS970" s="521">
        <f t="shared" si="227"/>
        <v>1</v>
      </c>
      <c r="AT970" s="521">
        <f t="shared" si="228"/>
        <v>1</v>
      </c>
      <c r="AU970" s="521">
        <f t="shared" si="229"/>
        <v>1</v>
      </c>
      <c r="AV970" s="521" t="str">
        <f t="shared" si="230"/>
        <v>.</v>
      </c>
    </row>
    <row r="971" spans="1:48" ht="15" customHeight="1">
      <c r="A971" s="18" t="s">
        <v>2627</v>
      </c>
      <c r="B971" s="591" t="s">
        <v>2548</v>
      </c>
      <c r="C971" s="511">
        <v>44713</v>
      </c>
      <c r="D971" s="591" t="s">
        <v>252</v>
      </c>
      <c r="E971" s="18" t="s">
        <v>1157</v>
      </c>
      <c r="F971" s="512" t="s">
        <v>2637</v>
      </c>
      <c r="G971" s="39" t="s">
        <v>314</v>
      </c>
      <c r="H971" s="513">
        <v>700000000</v>
      </c>
      <c r="I971" s="524" t="s">
        <v>2638</v>
      </c>
      <c r="J971" s="276" t="str">
        <f>VLOOKUP($I971,'Price List, Weapons &amp; Items'!A:B,2,0)</f>
        <v>Heavy weapon</v>
      </c>
      <c r="K971" s="276" t="str">
        <f>IF(I971=".",I971,VLOOKUP($I971,'Price List, Weapons &amp; Items'!A:C,3,0))</f>
        <v>227mm MLRS</v>
      </c>
      <c r="L971" s="514">
        <f>VLOOKUP(I971,'Price List, Weapons &amp; Items'!A:D,4,0)</f>
        <v>0</v>
      </c>
      <c r="M971" s="515">
        <v>4</v>
      </c>
      <c r="N971" s="515">
        <v>4</v>
      </c>
      <c r="O971" s="516">
        <f>VLOOKUP($I971,'Price List, Weapons &amp; Items'!A:F,6,0)</f>
        <v>15076313.029999999</v>
      </c>
      <c r="P971" s="513">
        <f t="shared" si="221"/>
        <v>60305252.119999997</v>
      </c>
      <c r="Q971" s="513">
        <f t="shared" si="222"/>
        <v>60305252.119999997</v>
      </c>
      <c r="S971" s="513" t="str">
        <f>IF(AND(AD971=1,R971&lt;&gt;".")=TRUE,R971/VLOOKUP(G971,'Exchange rates'!B:C,2,0),IF(R971=".",".",""))</f>
        <v/>
      </c>
      <c r="T971" s="513" t="str">
        <f>IF(AD971=1,IF(AF971="Value is not given at all",".",IF(AF971="Value is given by the source",S971,IF(AF971="Value is calculated with prices",(IF(SUMIFS(Q:Q,A:A,A971)&gt;0,SUMIFS(Q:Q,A:A,A971),"."))/VLOOKUP("USD",'Exchange rates'!B:C,2,0),"Error with coding"))),"")</f>
        <v/>
      </c>
      <c r="U971" s="39" t="s">
        <v>233</v>
      </c>
      <c r="V971" s="376" t="s">
        <v>2581</v>
      </c>
      <c r="W971" s="376" t="s">
        <v>2639</v>
      </c>
      <c r="X971" s="42" t="s">
        <v>2640</v>
      </c>
      <c r="Y971" s="42" t="s">
        <v>2641</v>
      </c>
      <c r="Z971" s="39">
        <v>0</v>
      </c>
      <c r="AA971" s="39">
        <v>0</v>
      </c>
      <c r="AB971" s="395" t="s">
        <v>2642</v>
      </c>
      <c r="AC971" s="519" t="str">
        <f>""</f>
        <v/>
      </c>
      <c r="AD971" s="590">
        <v>0</v>
      </c>
      <c r="AE971" s="590" t="s">
        <v>2590</v>
      </c>
      <c r="AF971" s="590" t="s">
        <v>300</v>
      </c>
      <c r="AG971" s="590">
        <v>1</v>
      </c>
      <c r="AH971" s="590">
        <v>6</v>
      </c>
      <c r="AI971" s="590">
        <v>0</v>
      </c>
      <c r="AJ971" s="520">
        <f>VLOOKUP($I971,'Price List, Weapons &amp; Items'!A:E,5,0)</f>
        <v>1</v>
      </c>
      <c r="AK971" s="520">
        <f t="shared" si="224"/>
        <v>0</v>
      </c>
      <c r="AL971" s="520">
        <f t="shared" si="225"/>
        <v>0</v>
      </c>
      <c r="AM971" s="520">
        <f t="shared" si="226"/>
        <v>0</v>
      </c>
      <c r="AN971" s="521" t="str">
        <f>VLOOKUP($I971,'Price List, Weapons &amp; Items'!A:K,COLUMN('Price List, Weapons &amp; Items'!$I$1),0)</f>
        <v>Contracts</v>
      </c>
      <c r="AO971" s="521" t="str">
        <f>IF(I971=".",".",VLOOKUP($I971,'Price List, Weapons &amp; Items'!A:I,3,0))</f>
        <v>227mm MLRS</v>
      </c>
      <c r="AP971" s="517" t="str">
        <f t="shared" ca="1" si="219"/>
        <v/>
      </c>
      <c r="AQ971" s="521">
        <f>VLOOKUP($I971,'Price List, Weapons &amp; Items'!A:K,COLUMN('Price List, Weapons &amp; Items'!$K$1),0)</f>
        <v>2</v>
      </c>
      <c r="AS971" s="521">
        <f t="shared" si="227"/>
        <v>1</v>
      </c>
      <c r="AT971" s="521">
        <f t="shared" si="228"/>
        <v>1</v>
      </c>
      <c r="AU971" s="521">
        <f t="shared" si="229"/>
        <v>1</v>
      </c>
      <c r="AV971" s="521" t="str">
        <f t="shared" si="230"/>
        <v>.</v>
      </c>
    </row>
    <row r="972" spans="1:48" ht="15" customHeight="1">
      <c r="A972" s="18" t="s">
        <v>2627</v>
      </c>
      <c r="B972" s="18" t="s">
        <v>2548</v>
      </c>
      <c r="C972" s="511">
        <v>44713</v>
      </c>
      <c r="D972" s="18" t="s">
        <v>252</v>
      </c>
      <c r="E972" s="18" t="s">
        <v>1157</v>
      </c>
      <c r="F972" s="512" t="s">
        <v>2637</v>
      </c>
      <c r="G972" s="39" t="s">
        <v>314</v>
      </c>
      <c r="H972" s="513">
        <v>700000000</v>
      </c>
      <c r="I972" s="524" t="s">
        <v>2643</v>
      </c>
      <c r="J972" s="276" t="str">
        <f>VLOOKUP($I972,'Price List, Weapons &amp; Items'!A:B,2,0)</f>
        <v>Ammunition for heavy weapon</v>
      </c>
      <c r="K972" s="276" t="str">
        <f>IF(I972=".",I972,VLOOKUP($I972,'Price List, Weapons &amp; Items'!A:C,3,0))</f>
        <v>227mm MLRS ammunition</v>
      </c>
      <c r="L972" s="514">
        <f>VLOOKUP(I972,'Price List, Weapons &amp; Items'!A:D,4,0)</f>
        <v>0</v>
      </c>
      <c r="M972" s="515" t="s">
        <v>264</v>
      </c>
      <c r="N972" s="515" t="s">
        <v>264</v>
      </c>
      <c r="O972" s="516">
        <f>VLOOKUP($I972,'Price List, Weapons &amp; Items'!A:F,6,0)</f>
        <v>168000</v>
      </c>
      <c r="P972" s="513" t="str">
        <f t="shared" si="221"/>
        <v>.</v>
      </c>
      <c r="Q972" s="513" t="str">
        <f t="shared" si="222"/>
        <v>.</v>
      </c>
      <c r="R972" s="513" t="str">
        <f t="shared" ref="R972:R1003" si="231">IF(AD972=1,IF(H972&lt;&gt;"Not given",H972,IF(TYPE(H972)=2,IF(SUMIFS(P:P,A:A,A972)&gt;0,SUMIFS(P:P,A:A,A972),"."),"Format error")),"")</f>
        <v/>
      </c>
      <c r="S972" s="513" t="str">
        <f>IF(AND(AD972=1,R972&lt;&gt;".")=TRUE,R972/VLOOKUP(G972,'Exchange rates'!B:C,2,0),IF(R972=".",".",""))</f>
        <v/>
      </c>
      <c r="T972" s="513" t="str">
        <f>IF(AD972=1,IF(AF972="Value is not given at all",".",IF(AF972="Value is given by the source",S972,IF(AF972="Value is calculated with prices",(IF(SUMIFS(Q:Q,A:A,A972)&gt;0,SUMIFS(Q:Q,A:A,A972),"."))/VLOOKUP("USD",'Exchange rates'!B:C,2,0),"Error with coding"))),"")</f>
        <v/>
      </c>
      <c r="U972" s="39" t="s">
        <v>233</v>
      </c>
      <c r="V972" s="376" t="s">
        <v>2581</v>
      </c>
      <c r="W972" s="376" t="s">
        <v>2639</v>
      </c>
      <c r="X972" s="376" t="s">
        <v>2644</v>
      </c>
      <c r="Y972" s="512" t="s">
        <v>232</v>
      </c>
      <c r="Z972" s="39">
        <v>0</v>
      </c>
      <c r="AA972" s="39">
        <v>0</v>
      </c>
      <c r="AB972" s="41" t="s">
        <v>2642</v>
      </c>
      <c r="AC972" s="519" t="str">
        <f>""</f>
        <v/>
      </c>
      <c r="AD972" s="522">
        <v>0</v>
      </c>
      <c r="AE972" s="522" t="s">
        <v>2590</v>
      </c>
      <c r="AF972" s="522" t="s">
        <v>300</v>
      </c>
      <c r="AG972" s="522">
        <v>1</v>
      </c>
      <c r="AH972" s="522">
        <v>6</v>
      </c>
      <c r="AI972" s="522">
        <v>0</v>
      </c>
      <c r="AJ972" s="520">
        <f>VLOOKUP($I972,'Price List, Weapons &amp; Items'!A:E,5,0)</f>
        <v>1</v>
      </c>
      <c r="AK972" s="520">
        <f t="shared" si="224"/>
        <v>1</v>
      </c>
      <c r="AL972" s="520">
        <f t="shared" si="225"/>
        <v>1</v>
      </c>
      <c r="AM972" s="520">
        <f t="shared" si="226"/>
        <v>0</v>
      </c>
      <c r="AN972" s="521" t="str">
        <f>VLOOKUP($I972,'Price List, Weapons &amp; Items'!A:K,COLUMN('Price List, Weapons &amp; Items'!$I$1),0)</f>
        <v>Military media (incl. websites)</v>
      </c>
      <c r="AO972" s="521" t="str">
        <f>IF(I972=".",".",VLOOKUP($I972,'Price List, Weapons &amp; Items'!A:I,3,0))</f>
        <v>227mm MLRS ammunition</v>
      </c>
      <c r="AP972" s="517" t="str">
        <f t="shared" ca="1" si="219"/>
        <v/>
      </c>
      <c r="AQ972" s="521" t="str">
        <f>VLOOKUP($I972,'Price List, Weapons &amp; Items'!A:K,COLUMN('Price List, Weapons &amp; Items'!$K$1),0)</f>
        <v>no price, 0 count</v>
      </c>
      <c r="AS972" s="521">
        <f t="shared" si="227"/>
        <v>1</v>
      </c>
      <c r="AT972" s="521">
        <f t="shared" si="228"/>
        <v>1</v>
      </c>
      <c r="AU972" s="521">
        <f t="shared" si="229"/>
        <v>1</v>
      </c>
      <c r="AV972" s="521" t="str">
        <f t="shared" si="230"/>
        <v>.</v>
      </c>
    </row>
    <row r="973" spans="1:48" ht="15" customHeight="1">
      <c r="A973" s="18" t="s">
        <v>2627</v>
      </c>
      <c r="B973" s="18" t="s">
        <v>2548</v>
      </c>
      <c r="C973" s="511">
        <v>44713</v>
      </c>
      <c r="D973" s="18" t="s">
        <v>252</v>
      </c>
      <c r="E973" s="18" t="s">
        <v>1157</v>
      </c>
      <c r="F973" s="512" t="s">
        <v>2637</v>
      </c>
      <c r="G973" s="39" t="s">
        <v>314</v>
      </c>
      <c r="H973" s="513">
        <v>700000000</v>
      </c>
      <c r="I973" s="524" t="s">
        <v>2645</v>
      </c>
      <c r="J973" s="276" t="str">
        <f>VLOOKUP($I973,'Price List, Weapons &amp; Items'!A:B,2,0)</f>
        <v>Military equipment</v>
      </c>
      <c r="K973" s="276" t="str">
        <f>IF(I973=".",I973,VLOOKUP($I973,'Price List, Weapons &amp; Items'!A:C,3,0))</f>
        <v>Radar or imagery systems</v>
      </c>
      <c r="L973" s="514">
        <f>VLOOKUP(I973,'Price List, Weapons &amp; Items'!A:D,4,0)</f>
        <v>0</v>
      </c>
      <c r="M973" s="515">
        <v>5</v>
      </c>
      <c r="N973" s="515">
        <v>5</v>
      </c>
      <c r="O973" s="516">
        <f>VLOOKUP($I973,'Price List, Weapons &amp; Items'!A:F,6,0)</f>
        <v>19354990.843713053</v>
      </c>
      <c r="P973" s="513">
        <f t="shared" si="221"/>
        <v>96774954.218565255</v>
      </c>
      <c r="Q973" s="513">
        <f t="shared" si="222"/>
        <v>96774954.218565255</v>
      </c>
      <c r="R973" s="513" t="str">
        <f t="shared" si="231"/>
        <v/>
      </c>
      <c r="S973" s="513" t="str">
        <f>IF(AND(AD973=1,R973&lt;&gt;".")=TRUE,R973/VLOOKUP(G973,'Exchange rates'!B:C,2,0),IF(R973=".",".",""))</f>
        <v/>
      </c>
      <c r="T973" s="513" t="str">
        <f>IF(AD973=1,IF(AF973="Value is not given at all",".",IF(AF973="Value is given by the source",S973,IF(AF973="Value is calculated with prices",(IF(SUMIFS(Q:Q,A:A,A973)&gt;0,SUMIFS(Q:Q,A:A,A973),"."))/VLOOKUP("USD",'Exchange rates'!B:C,2,0),"Error with coding"))),"")</f>
        <v/>
      </c>
      <c r="U973" s="39" t="s">
        <v>233</v>
      </c>
      <c r="V973" s="376" t="s">
        <v>2581</v>
      </c>
      <c r="W973" s="376" t="s">
        <v>2639</v>
      </c>
      <c r="X973" s="376" t="s">
        <v>2644</v>
      </c>
      <c r="Y973" s="512" t="s">
        <v>232</v>
      </c>
      <c r="Z973" s="39">
        <v>0</v>
      </c>
      <c r="AA973" s="39">
        <v>0</v>
      </c>
      <c r="AB973" s="41" t="s">
        <v>2642</v>
      </c>
      <c r="AC973" s="519" t="str">
        <f>""</f>
        <v/>
      </c>
      <c r="AD973" s="522">
        <v>0</v>
      </c>
      <c r="AE973" s="522" t="s">
        <v>2590</v>
      </c>
      <c r="AF973" s="522" t="s">
        <v>300</v>
      </c>
      <c r="AG973" s="522">
        <v>1</v>
      </c>
      <c r="AH973" s="522">
        <v>6</v>
      </c>
      <c r="AI973" s="522">
        <v>0</v>
      </c>
      <c r="AJ973" s="520">
        <f>VLOOKUP($I973,'Price List, Weapons &amp; Items'!A:E,5,0)</f>
        <v>0</v>
      </c>
      <c r="AK973" s="520">
        <f t="shared" si="224"/>
        <v>0</v>
      </c>
      <c r="AL973" s="520">
        <f t="shared" si="225"/>
        <v>0</v>
      </c>
      <c r="AM973" s="520">
        <f t="shared" si="226"/>
        <v>0</v>
      </c>
      <c r="AN973" s="521" t="str">
        <f>VLOOKUP($I973,'Price List, Weapons &amp; Items'!A:K,COLUMN('Price List, Weapons &amp; Items'!$I$1),0)</f>
        <v>Military media (incl. websites)</v>
      </c>
      <c r="AO973" s="521" t="str">
        <f>IF(I973=".",".",VLOOKUP($I973,'Price List, Weapons &amp; Items'!A:I,3,0))</f>
        <v>Radar or imagery systems</v>
      </c>
      <c r="AP973" s="517" t="str">
        <f t="shared" ca="1" si="219"/>
        <v/>
      </c>
      <c r="AQ973" s="521">
        <f>VLOOKUP($I973,'Price List, Weapons &amp; Items'!A:K,COLUMN('Price List, Weapons &amp; Items'!$K$1),0)</f>
        <v>2</v>
      </c>
      <c r="AS973" s="521">
        <f t="shared" si="227"/>
        <v>1</v>
      </c>
      <c r="AT973" s="521">
        <f t="shared" si="228"/>
        <v>1</v>
      </c>
      <c r="AU973" s="521">
        <f t="shared" si="229"/>
        <v>1</v>
      </c>
      <c r="AV973" s="521" t="str">
        <f t="shared" si="230"/>
        <v>.</v>
      </c>
    </row>
    <row r="974" spans="1:48" ht="15" customHeight="1">
      <c r="A974" s="18" t="s">
        <v>2627</v>
      </c>
      <c r="B974" s="18" t="s">
        <v>2548</v>
      </c>
      <c r="C974" s="511">
        <v>44713</v>
      </c>
      <c r="D974" s="18" t="s">
        <v>252</v>
      </c>
      <c r="E974" s="18" t="s">
        <v>1157</v>
      </c>
      <c r="F974" s="512" t="s">
        <v>2637</v>
      </c>
      <c r="G974" s="39" t="s">
        <v>314</v>
      </c>
      <c r="H974" s="513">
        <v>700000000</v>
      </c>
      <c r="I974" s="524" t="s">
        <v>2646</v>
      </c>
      <c r="J974" s="276" t="str">
        <f>VLOOKUP($I974,'Price List, Weapons &amp; Items'!A:B,2,0)</f>
        <v>Military equipment</v>
      </c>
      <c r="K974" s="276" t="str">
        <f>IF(I974=".",I974,VLOOKUP($I974,'Price List, Weapons &amp; Items'!A:C,3,0))</f>
        <v>.</v>
      </c>
      <c r="L974" s="514">
        <f>VLOOKUP(I974,'Price List, Weapons &amp; Items'!A:D,4,0)</f>
        <v>0</v>
      </c>
      <c r="M974" s="515">
        <v>2</v>
      </c>
      <c r="N974" s="515" t="s">
        <v>232</v>
      </c>
      <c r="O974" s="516">
        <f>VLOOKUP($I974,'Price List, Weapons &amp; Items'!A:F,6,0)</f>
        <v>70000000</v>
      </c>
      <c r="P974" s="513">
        <f t="shared" si="221"/>
        <v>140000000</v>
      </c>
      <c r="Q974" s="513" t="str">
        <f t="shared" si="222"/>
        <v>.</v>
      </c>
      <c r="R974" s="513" t="str">
        <f t="shared" si="231"/>
        <v/>
      </c>
      <c r="S974" s="513" t="str">
        <f>IF(AND(AD974=1,R974&lt;&gt;".")=TRUE,R974/VLOOKUP(G974,'Exchange rates'!B:C,2,0),IF(R974=".",".",""))</f>
        <v/>
      </c>
      <c r="T974" s="513" t="str">
        <f>IF(AD974=1,IF(AF974="Value is not given at all",".",IF(AF974="Value is given by the source",S974,IF(AF974="Value is calculated with prices",(IF(SUMIFS(Q:Q,A:A,A974)&gt;0,SUMIFS(Q:Q,A:A,A974),"."))/VLOOKUP("USD",'Exchange rates'!B:C,2,0),"Error with coding"))),"")</f>
        <v/>
      </c>
      <c r="U974" s="39" t="s">
        <v>233</v>
      </c>
      <c r="V974" s="376" t="s">
        <v>2581</v>
      </c>
      <c r="W974" s="376" t="s">
        <v>2639</v>
      </c>
      <c r="X974" s="376" t="s">
        <v>2644</v>
      </c>
      <c r="Y974" s="512" t="s">
        <v>232</v>
      </c>
      <c r="Z974" s="39">
        <v>0</v>
      </c>
      <c r="AA974" s="39">
        <v>0</v>
      </c>
      <c r="AB974" s="41" t="s">
        <v>2642</v>
      </c>
      <c r="AC974" s="519" t="str">
        <f>""</f>
        <v/>
      </c>
      <c r="AD974" s="522">
        <v>0</v>
      </c>
      <c r="AE974" s="522" t="s">
        <v>2590</v>
      </c>
      <c r="AF974" s="522" t="s">
        <v>300</v>
      </c>
      <c r="AG974" s="522">
        <v>1</v>
      </c>
      <c r="AH974" s="522">
        <v>6</v>
      </c>
      <c r="AI974" s="522">
        <v>0</v>
      </c>
      <c r="AJ974" s="520">
        <f>VLOOKUP($I974,'Price List, Weapons &amp; Items'!A:E,5,0)</f>
        <v>0</v>
      </c>
      <c r="AK974" s="520">
        <f t="shared" si="224"/>
        <v>0</v>
      </c>
      <c r="AL974" s="520">
        <f t="shared" si="225"/>
        <v>0</v>
      </c>
      <c r="AM974" s="520">
        <f t="shared" si="226"/>
        <v>0</v>
      </c>
      <c r="AN974" s="521" t="str">
        <f>VLOOKUP($I974,'Price List, Weapons &amp; Items'!A:K,COLUMN('Price List, Weapons &amp; Items'!$I$1),0)</f>
        <v>Military media (incl. websites)</v>
      </c>
      <c r="AO974" s="521" t="str">
        <f>IF(I974=".",".",VLOOKUP($I974,'Price List, Weapons &amp; Items'!A:I,3,0))</f>
        <v>.</v>
      </c>
      <c r="AP974" s="517" t="str">
        <f t="shared" ca="1" si="219"/>
        <v/>
      </c>
      <c r="AQ974" s="521">
        <f>VLOOKUP($I974,'Price List, Weapons &amp; Items'!A:K,COLUMN('Price List, Weapons &amp; Items'!$K$1),0)</f>
        <v>2</v>
      </c>
      <c r="AS974" s="521">
        <f t="shared" si="227"/>
        <v>1</v>
      </c>
      <c r="AT974" s="521">
        <f t="shared" si="228"/>
        <v>1</v>
      </c>
      <c r="AU974" s="521">
        <f t="shared" si="229"/>
        <v>1</v>
      </c>
      <c r="AV974" s="521" t="str">
        <f t="shared" si="230"/>
        <v>.</v>
      </c>
    </row>
    <row r="975" spans="1:48" ht="15" customHeight="1">
      <c r="A975" s="18" t="s">
        <v>2627</v>
      </c>
      <c r="B975" s="18" t="s">
        <v>2548</v>
      </c>
      <c r="C975" s="511">
        <v>44713</v>
      </c>
      <c r="D975" s="18" t="s">
        <v>252</v>
      </c>
      <c r="E975" s="18" t="s">
        <v>1157</v>
      </c>
      <c r="F975" s="512" t="s">
        <v>2637</v>
      </c>
      <c r="G975" s="39" t="s">
        <v>314</v>
      </c>
      <c r="H975" s="513">
        <v>700000000</v>
      </c>
      <c r="I975" s="524" t="s">
        <v>849</v>
      </c>
      <c r="J975" s="276" t="str">
        <f>VLOOKUP($I975,'Price List, Weapons &amp; Items'!A:B,2,0)</f>
        <v>Ammunition for portable defence system</v>
      </c>
      <c r="K975" s="276" t="str">
        <f>IF(I975=".",I975,VLOOKUP($I975,'Price List, Weapons &amp; Items'!A:C,3,0))</f>
        <v>Light Anti-armor Weapon (LAW) ammunition</v>
      </c>
      <c r="L975" s="514">
        <f>VLOOKUP(I975,'Price List, Weapons &amp; Items'!A:D,4,0)</f>
        <v>0</v>
      </c>
      <c r="M975" s="515">
        <v>1000</v>
      </c>
      <c r="N975" s="515" t="s">
        <v>232</v>
      </c>
      <c r="O975" s="516">
        <f>VLOOKUP($I975,'Price List, Weapons &amp; Items'!A:F,6,0)</f>
        <v>78000</v>
      </c>
      <c r="P975" s="513">
        <f t="shared" si="221"/>
        <v>78000000</v>
      </c>
      <c r="Q975" s="513" t="str">
        <f t="shared" si="222"/>
        <v>.</v>
      </c>
      <c r="R975" s="513" t="str">
        <f t="shared" si="231"/>
        <v/>
      </c>
      <c r="S975" s="513" t="str">
        <f>IF(AND(AD975=1,R975&lt;&gt;".")=TRUE,R975/VLOOKUP(G975,'Exchange rates'!B:C,2,0),IF(R975=".",".",""))</f>
        <v/>
      </c>
      <c r="T975" s="513" t="str">
        <f>IF(AD975=1,IF(AF975="Value is not given at all",".",IF(AF975="Value is given by the source",S975,IF(AF975="Value is calculated with prices",(IF(SUMIFS(Q:Q,A:A,A975)&gt;0,SUMIFS(Q:Q,A:A,A975),"."))/VLOOKUP("USD",'Exchange rates'!B:C,2,0),"Error with coding"))),"")</f>
        <v/>
      </c>
      <c r="U975" s="39" t="s">
        <v>233</v>
      </c>
      <c r="V975" s="376" t="s">
        <v>2581</v>
      </c>
      <c r="W975" s="376" t="s">
        <v>2639</v>
      </c>
      <c r="X975" s="376" t="s">
        <v>2644</v>
      </c>
      <c r="Y975" s="512" t="s">
        <v>232</v>
      </c>
      <c r="Z975" s="39">
        <v>0</v>
      </c>
      <c r="AA975" s="39">
        <v>0</v>
      </c>
      <c r="AB975" s="41" t="s">
        <v>2642</v>
      </c>
      <c r="AC975" s="519" t="str">
        <f>""</f>
        <v/>
      </c>
      <c r="AD975" s="522">
        <v>0</v>
      </c>
      <c r="AE975" s="522" t="s">
        <v>2590</v>
      </c>
      <c r="AF975" s="522" t="s">
        <v>300</v>
      </c>
      <c r="AG975" s="522">
        <v>1</v>
      </c>
      <c r="AH975" s="522">
        <v>6</v>
      </c>
      <c r="AI975" s="522">
        <v>0</v>
      </c>
      <c r="AJ975" s="520">
        <f>VLOOKUP($I975,'Price List, Weapons &amp; Items'!A:E,5,0)</f>
        <v>0</v>
      </c>
      <c r="AK975" s="520">
        <f t="shared" si="224"/>
        <v>0</v>
      </c>
      <c r="AL975" s="520">
        <f t="shared" si="225"/>
        <v>0</v>
      </c>
      <c r="AM975" s="520">
        <f t="shared" si="226"/>
        <v>0</v>
      </c>
      <c r="AN975" s="521" t="str">
        <f>VLOOKUP($I975,'Price List, Weapons &amp; Items'!A:K,COLUMN('Price List, Weapons &amp; Items'!$I$1),0)</f>
        <v>Military media (incl. websites)</v>
      </c>
      <c r="AO975" s="521" t="str">
        <f>IF(I975=".",".",VLOOKUP($I975,'Price List, Weapons &amp; Items'!A:I,3,0))</f>
        <v>Light Anti-armor Weapon (LAW) ammunition</v>
      </c>
      <c r="AP975" s="517" t="str">
        <f t="shared" ca="1" si="219"/>
        <v/>
      </c>
      <c r="AQ975" s="521">
        <f>VLOOKUP($I975,'Price List, Weapons &amp; Items'!A:K,COLUMN('Price List, Weapons &amp; Items'!$K$1),0)</f>
        <v>2</v>
      </c>
      <c r="AS975" s="521">
        <f t="shared" si="227"/>
        <v>1</v>
      </c>
      <c r="AT975" s="521">
        <f t="shared" si="228"/>
        <v>1</v>
      </c>
      <c r="AU975" s="521">
        <f t="shared" si="229"/>
        <v>1</v>
      </c>
      <c r="AV975" s="521" t="str">
        <f t="shared" si="230"/>
        <v>.</v>
      </c>
    </row>
    <row r="976" spans="1:48" ht="15" customHeight="1">
      <c r="A976" s="18" t="s">
        <v>2627</v>
      </c>
      <c r="B976" s="18" t="s">
        <v>2548</v>
      </c>
      <c r="C976" s="511">
        <v>44713</v>
      </c>
      <c r="D976" s="18" t="s">
        <v>252</v>
      </c>
      <c r="E976" s="18" t="s">
        <v>1157</v>
      </c>
      <c r="F976" s="512" t="s">
        <v>2637</v>
      </c>
      <c r="G976" s="39" t="s">
        <v>314</v>
      </c>
      <c r="H976" s="513">
        <v>700000000</v>
      </c>
      <c r="I976" s="524" t="s">
        <v>2647</v>
      </c>
      <c r="J976" s="276" t="str">
        <f>VLOOKUP($I976,'Price List, Weapons &amp; Items'!A:B,2,0)</f>
        <v>Portable defence system</v>
      </c>
      <c r="K976" s="276" t="str">
        <f>IF(I976=".",I976,VLOOKUP($I976,'Price List, Weapons &amp; Items'!A:C,3,0))</f>
        <v>Light Anti-armor Weapon (LAW)</v>
      </c>
      <c r="L976" s="514">
        <f>VLOOKUP(I976,'Price List, Weapons &amp; Items'!A:D,4,0)</f>
        <v>0</v>
      </c>
      <c r="M976" s="515">
        <v>50</v>
      </c>
      <c r="N976" s="515" t="s">
        <v>232</v>
      </c>
      <c r="O976" s="516">
        <f>VLOOKUP($I976,'Price List, Weapons &amp; Items'!A:F,6,0)</f>
        <v>178000</v>
      </c>
      <c r="P976" s="513">
        <f t="shared" si="221"/>
        <v>8900000</v>
      </c>
      <c r="Q976" s="513" t="str">
        <f t="shared" si="222"/>
        <v>.</v>
      </c>
      <c r="R976" s="513" t="str">
        <f t="shared" si="231"/>
        <v/>
      </c>
      <c r="S976" s="513" t="str">
        <f>IF(AND(AD976=1,R976&lt;&gt;".")=TRUE,R976/VLOOKUP(G976,'Exchange rates'!B:C,2,0),IF(R976=".",".",""))</f>
        <v/>
      </c>
      <c r="T976" s="513" t="str">
        <f>IF(AD976=1,IF(AF976="Value is not given at all",".",IF(AF976="Value is given by the source",S976,IF(AF976="Value is calculated with prices",(IF(SUMIFS(Q:Q,A:A,A976)&gt;0,SUMIFS(Q:Q,A:A,A976),"."))/VLOOKUP("USD",'Exchange rates'!B:C,2,0),"Error with coding"))),"")</f>
        <v/>
      </c>
      <c r="U976" s="39" t="s">
        <v>233</v>
      </c>
      <c r="V976" s="376" t="s">
        <v>2581</v>
      </c>
      <c r="W976" s="376" t="s">
        <v>2639</v>
      </c>
      <c r="X976" s="376" t="s">
        <v>2644</v>
      </c>
      <c r="Y976" s="512" t="s">
        <v>232</v>
      </c>
      <c r="Z976" s="39">
        <v>0</v>
      </c>
      <c r="AA976" s="39">
        <v>0</v>
      </c>
      <c r="AB976" s="41" t="s">
        <v>2642</v>
      </c>
      <c r="AC976" s="519" t="str">
        <f>""</f>
        <v/>
      </c>
      <c r="AD976" s="522">
        <v>0</v>
      </c>
      <c r="AE976" s="522" t="s">
        <v>2590</v>
      </c>
      <c r="AF976" s="522" t="s">
        <v>300</v>
      </c>
      <c r="AG976" s="522">
        <v>1</v>
      </c>
      <c r="AH976" s="522">
        <v>6</v>
      </c>
      <c r="AI976" s="522">
        <v>0</v>
      </c>
      <c r="AJ976" s="520">
        <f>VLOOKUP($I976,'Price List, Weapons &amp; Items'!A:E,5,0)</f>
        <v>0</v>
      </c>
      <c r="AK976" s="520">
        <f t="shared" si="224"/>
        <v>0</v>
      </c>
      <c r="AL976" s="520">
        <f t="shared" si="225"/>
        <v>0</v>
      </c>
      <c r="AM976" s="520">
        <f t="shared" si="226"/>
        <v>0</v>
      </c>
      <c r="AN976" s="521" t="str">
        <f>VLOOKUP($I976,'Price List, Weapons &amp; Items'!A:K,COLUMN('Price List, Weapons &amp; Items'!$I$1),0)</f>
        <v>Government information</v>
      </c>
      <c r="AO976" s="521" t="str">
        <f>IF(I976=".",".",VLOOKUP($I976,'Price List, Weapons &amp; Items'!A:I,3,0))</f>
        <v>Light Anti-armor Weapon (LAW)</v>
      </c>
      <c r="AP976" s="517" t="str">
        <f t="shared" ca="1" si="219"/>
        <v/>
      </c>
      <c r="AQ976" s="521">
        <f>VLOOKUP($I976,'Price List, Weapons &amp; Items'!A:K,COLUMN('Price List, Weapons &amp; Items'!$K$1),0)</f>
        <v>2</v>
      </c>
      <c r="AS976" s="521">
        <f t="shared" si="227"/>
        <v>1</v>
      </c>
      <c r="AT976" s="521">
        <f t="shared" si="228"/>
        <v>1</v>
      </c>
      <c r="AU976" s="521">
        <f t="shared" si="229"/>
        <v>1</v>
      </c>
      <c r="AV976" s="521" t="str">
        <f t="shared" si="230"/>
        <v>.</v>
      </c>
    </row>
    <row r="977" spans="1:48" ht="15" customHeight="1">
      <c r="A977" s="18" t="s">
        <v>2627</v>
      </c>
      <c r="B977" s="18" t="s">
        <v>2548</v>
      </c>
      <c r="C977" s="511">
        <v>44713</v>
      </c>
      <c r="D977" s="18" t="s">
        <v>252</v>
      </c>
      <c r="E977" s="18" t="s">
        <v>1157</v>
      </c>
      <c r="F977" s="512" t="s">
        <v>2637</v>
      </c>
      <c r="G977" s="39" t="s">
        <v>314</v>
      </c>
      <c r="H977" s="513">
        <v>700000000</v>
      </c>
      <c r="I977" s="524" t="s">
        <v>2648</v>
      </c>
      <c r="J977" s="276" t="str">
        <f>VLOOKUP($I977,'Price List, Weapons &amp; Items'!A:B,2,0)</f>
        <v>Portable defence system</v>
      </c>
      <c r="K977" s="276" t="str">
        <f>IF(I977=".",I977,VLOOKUP($I977,'Price List, Weapons &amp; Items'!A:C,3,0))</f>
        <v>Light Anti-armor Weapon (LAW)</v>
      </c>
      <c r="L977" s="514">
        <f>VLOOKUP(I977,'Price List, Weapons &amp; Items'!A:D,4,0)</f>
        <v>0</v>
      </c>
      <c r="M977" s="515">
        <v>6000</v>
      </c>
      <c r="N977" s="515" t="s">
        <v>232</v>
      </c>
      <c r="O977" s="516">
        <f>VLOOKUP($I977,'Price List, Weapons &amp; Items'!A:F,6,0)</f>
        <v>3873.65</v>
      </c>
      <c r="P977" s="513">
        <f t="shared" si="221"/>
        <v>23241900</v>
      </c>
      <c r="Q977" s="513" t="str">
        <f t="shared" si="222"/>
        <v>.</v>
      </c>
      <c r="R977" s="513" t="str">
        <f t="shared" si="231"/>
        <v/>
      </c>
      <c r="S977" s="513" t="str">
        <f>IF(AND(AD977=1,R977&lt;&gt;".")=TRUE,R977/VLOOKUP(G977,'Exchange rates'!B:C,2,0),IF(R977=".",".",""))</f>
        <v/>
      </c>
      <c r="T977" s="513" t="str">
        <f>IF(AD977=1,IF(AF977="Value is not given at all",".",IF(AF977="Value is given by the source",S977,IF(AF977="Value is calculated with prices",(IF(SUMIFS(Q:Q,A:A,A977)&gt;0,SUMIFS(Q:Q,A:A,A977),"."))/VLOOKUP("USD",'Exchange rates'!B:C,2,0),"Error with coding"))),"")</f>
        <v/>
      </c>
      <c r="U977" s="39" t="s">
        <v>233</v>
      </c>
      <c r="V977" s="376" t="s">
        <v>2581</v>
      </c>
      <c r="W977" s="376" t="s">
        <v>2639</v>
      </c>
      <c r="X977" s="376" t="s">
        <v>2644</v>
      </c>
      <c r="Y977" s="512" t="s">
        <v>232</v>
      </c>
      <c r="Z977" s="39">
        <v>0</v>
      </c>
      <c r="AA977" s="39">
        <v>0</v>
      </c>
      <c r="AB977" s="41" t="s">
        <v>2642</v>
      </c>
      <c r="AC977" s="519" t="str">
        <f>""</f>
        <v/>
      </c>
      <c r="AD977" s="522">
        <v>0</v>
      </c>
      <c r="AE977" s="522" t="s">
        <v>2590</v>
      </c>
      <c r="AF977" s="522" t="s">
        <v>300</v>
      </c>
      <c r="AG977" s="522">
        <v>1</v>
      </c>
      <c r="AH977" s="522">
        <v>6</v>
      </c>
      <c r="AI977" s="522">
        <v>0</v>
      </c>
      <c r="AJ977" s="520">
        <f>VLOOKUP($I977,'Price List, Weapons &amp; Items'!A:E,5,0)</f>
        <v>0</v>
      </c>
      <c r="AK977" s="520">
        <f t="shared" si="224"/>
        <v>0</v>
      </c>
      <c r="AL977" s="520">
        <f t="shared" si="225"/>
        <v>0</v>
      </c>
      <c r="AM977" s="520">
        <f t="shared" si="226"/>
        <v>0</v>
      </c>
      <c r="AN977" s="521" t="str">
        <f>VLOOKUP($I977,'Price List, Weapons &amp; Items'!A:K,COLUMN('Price List, Weapons &amp; Items'!$I$1),0)</f>
        <v>Military media (incl. websites)</v>
      </c>
      <c r="AO977" s="521" t="str">
        <f>IF(I977=".",".",VLOOKUP($I977,'Price List, Weapons &amp; Items'!A:I,3,0))</f>
        <v>Light Anti-armor Weapon (LAW)</v>
      </c>
      <c r="AP977" s="517" t="str">
        <f t="shared" ca="1" si="219"/>
        <v/>
      </c>
      <c r="AQ977" s="521">
        <f>VLOOKUP($I977,'Price List, Weapons &amp; Items'!A:K,COLUMN('Price List, Weapons &amp; Items'!$K$1),0)</f>
        <v>2</v>
      </c>
      <c r="AS977" s="521">
        <f t="shared" si="227"/>
        <v>1</v>
      </c>
      <c r="AT977" s="521">
        <f t="shared" si="228"/>
        <v>1</v>
      </c>
      <c r="AU977" s="521">
        <f t="shared" si="229"/>
        <v>1</v>
      </c>
      <c r="AV977" s="521" t="str">
        <f t="shared" si="230"/>
        <v>.</v>
      </c>
    </row>
    <row r="978" spans="1:48" ht="15" customHeight="1">
      <c r="A978" s="18" t="s">
        <v>2627</v>
      </c>
      <c r="B978" s="18" t="s">
        <v>2548</v>
      </c>
      <c r="C978" s="511">
        <v>44713</v>
      </c>
      <c r="D978" s="18" t="s">
        <v>252</v>
      </c>
      <c r="E978" s="18" t="s">
        <v>1157</v>
      </c>
      <c r="F978" s="512" t="s">
        <v>2637</v>
      </c>
      <c r="G978" s="39" t="s">
        <v>314</v>
      </c>
      <c r="H978" s="513">
        <v>700000000</v>
      </c>
      <c r="I978" s="524" t="s">
        <v>574</v>
      </c>
      <c r="J978" s="276" t="str">
        <f>VLOOKUP($I978,'Price List, Weapons &amp; Items'!A:B,2,0)</f>
        <v>Ammunition for heavy weapon</v>
      </c>
      <c r="K978" s="276" t="str">
        <f>IF(I978=".",I978,VLOOKUP($I978,'Price List, Weapons &amp; Items'!A:C,3,0))</f>
        <v>155mm howitzer ammunition</v>
      </c>
      <c r="L978" s="514">
        <f>VLOOKUP(I978,'Price List, Weapons &amp; Items'!A:D,4,0)</f>
        <v>0</v>
      </c>
      <c r="M978" s="515">
        <v>15000</v>
      </c>
      <c r="N978" s="515" t="s">
        <v>232</v>
      </c>
      <c r="O978" s="516">
        <f>VLOOKUP($I978,'Price List, Weapons &amp; Items'!A:F,6,0)</f>
        <v>3800</v>
      </c>
      <c r="P978" s="513">
        <f t="shared" si="221"/>
        <v>57000000</v>
      </c>
      <c r="Q978" s="513" t="str">
        <f t="shared" si="222"/>
        <v>.</v>
      </c>
      <c r="R978" s="513" t="str">
        <f t="shared" si="231"/>
        <v/>
      </c>
      <c r="S978" s="513" t="str">
        <f>IF(AND(AD978=1,R978&lt;&gt;".")=TRUE,R978/VLOOKUP(G978,'Exchange rates'!B:C,2,0),IF(R978=".",".",""))</f>
        <v/>
      </c>
      <c r="T978" s="513" t="str">
        <f>IF(AD978=1,IF(AF978="Value is not given at all",".",IF(AF978="Value is given by the source",S978,IF(AF978="Value is calculated with prices",(IF(SUMIFS(Q:Q,A:A,A978)&gt;0,SUMIFS(Q:Q,A:A,A978),"."))/VLOOKUP("USD",'Exchange rates'!B:C,2,0),"Error with coding"))),"")</f>
        <v/>
      </c>
      <c r="U978" s="39" t="s">
        <v>233</v>
      </c>
      <c r="V978" s="376" t="s">
        <v>2581</v>
      </c>
      <c r="W978" s="376" t="s">
        <v>2639</v>
      </c>
      <c r="X978" s="376" t="s">
        <v>2644</v>
      </c>
      <c r="Y978" s="512" t="s">
        <v>232</v>
      </c>
      <c r="Z978" s="39">
        <v>0</v>
      </c>
      <c r="AA978" s="39">
        <v>0</v>
      </c>
      <c r="AB978" s="41" t="s">
        <v>2642</v>
      </c>
      <c r="AC978" s="519" t="str">
        <f>""</f>
        <v/>
      </c>
      <c r="AD978" s="522">
        <v>0</v>
      </c>
      <c r="AE978" s="522" t="s">
        <v>2590</v>
      </c>
      <c r="AF978" s="522" t="s">
        <v>300</v>
      </c>
      <c r="AG978" s="522">
        <v>1</v>
      </c>
      <c r="AH978" s="522">
        <v>6</v>
      </c>
      <c r="AI978" s="522">
        <v>0</v>
      </c>
      <c r="AJ978" s="520">
        <f>VLOOKUP($I978,'Price List, Weapons &amp; Items'!A:E,5,0)</f>
        <v>1</v>
      </c>
      <c r="AK978" s="520">
        <f t="shared" si="224"/>
        <v>0</v>
      </c>
      <c r="AL978" s="520">
        <f t="shared" si="225"/>
        <v>0</v>
      </c>
      <c r="AM978" s="520">
        <f t="shared" si="226"/>
        <v>0</v>
      </c>
      <c r="AN978" s="521" t="str">
        <f>VLOOKUP($I978,'Price List, Weapons &amp; Items'!A:K,COLUMN('Price List, Weapons &amp; Items'!$I$1),0)</f>
        <v>Government information</v>
      </c>
      <c r="AO978" s="521" t="str">
        <f>IF(I978=".",".",VLOOKUP($I978,'Price List, Weapons &amp; Items'!A:I,3,0))</f>
        <v>155mm howitzer ammunition</v>
      </c>
      <c r="AP978" s="517" t="str">
        <f t="shared" ca="1" si="219"/>
        <v/>
      </c>
      <c r="AQ978" s="521">
        <f>VLOOKUP($I978,'Price List, Weapons &amp; Items'!A:K,COLUMN('Price List, Weapons &amp; Items'!$K$1),0)</f>
        <v>2</v>
      </c>
      <c r="AS978" s="521">
        <f t="shared" si="227"/>
        <v>1</v>
      </c>
      <c r="AT978" s="521">
        <f t="shared" si="228"/>
        <v>1</v>
      </c>
      <c r="AU978" s="521">
        <f t="shared" si="229"/>
        <v>1</v>
      </c>
      <c r="AV978" s="521" t="str">
        <f t="shared" si="230"/>
        <v>.</v>
      </c>
    </row>
    <row r="979" spans="1:48" ht="15" customHeight="1">
      <c r="A979" s="18" t="s">
        <v>2627</v>
      </c>
      <c r="B979" s="18" t="s">
        <v>2548</v>
      </c>
      <c r="C979" s="511">
        <v>44713</v>
      </c>
      <c r="D979" s="18" t="s">
        <v>252</v>
      </c>
      <c r="E979" s="18" t="s">
        <v>1157</v>
      </c>
      <c r="F979" s="512" t="s">
        <v>2637</v>
      </c>
      <c r="G979" s="39" t="s">
        <v>314</v>
      </c>
      <c r="H979" s="513">
        <v>700000000</v>
      </c>
      <c r="I979" s="524" t="s">
        <v>1548</v>
      </c>
      <c r="J979" s="276" t="str">
        <f>VLOOKUP($I979,'Price List, Weapons &amp; Items'!A:B,2,0)</f>
        <v>Aviation and drones</v>
      </c>
      <c r="K979" s="276" t="str">
        <f>IF(I979=".",I979,VLOOKUP($I979,'Price List, Weapons &amp; Items'!A:C,3,0))</f>
        <v>Combat aircraft</v>
      </c>
      <c r="L979" s="514">
        <f>VLOOKUP(I979,'Price List, Weapons &amp; Items'!A:D,4,0)</f>
        <v>1</v>
      </c>
      <c r="M979" s="515">
        <v>4</v>
      </c>
      <c r="N979" s="515" t="s">
        <v>232</v>
      </c>
      <c r="O979" s="516">
        <f>VLOOKUP($I979,'Price List, Weapons &amp; Items'!A:F,6,0)</f>
        <v>18400000</v>
      </c>
      <c r="P979" s="513">
        <f t="shared" si="221"/>
        <v>73600000</v>
      </c>
      <c r="Q979" s="513" t="str">
        <f t="shared" si="222"/>
        <v>.</v>
      </c>
      <c r="R979" s="513" t="str">
        <f t="shared" si="231"/>
        <v/>
      </c>
      <c r="S979" s="513" t="str">
        <f>IF(AND(AD979=1,R979&lt;&gt;".")=TRUE,R979/VLOOKUP(G979,'Exchange rates'!B:C,2,0),IF(R979=".",".",""))</f>
        <v/>
      </c>
      <c r="T979" s="513" t="str">
        <f>IF(AD979=1,IF(AF979="Value is not given at all",".",IF(AF979="Value is given by the source",S979,IF(AF979="Value is calculated with prices",(IF(SUMIFS(Q:Q,A:A,A979)&gt;0,SUMIFS(Q:Q,A:A,A979),"."))/VLOOKUP("USD",'Exchange rates'!B:C,2,0),"Error with coding"))),"")</f>
        <v/>
      </c>
      <c r="U979" s="39" t="s">
        <v>233</v>
      </c>
      <c r="V979" s="376" t="s">
        <v>2581</v>
      </c>
      <c r="W979" s="376" t="s">
        <v>2639</v>
      </c>
      <c r="X979" s="376" t="s">
        <v>2644</v>
      </c>
      <c r="Y979" s="512" t="s">
        <v>232</v>
      </c>
      <c r="Z979" s="39">
        <v>0</v>
      </c>
      <c r="AA979" s="39">
        <v>0</v>
      </c>
      <c r="AB979" s="395" t="s">
        <v>2642</v>
      </c>
      <c r="AC979" s="519" t="str">
        <f>""</f>
        <v/>
      </c>
      <c r="AD979" s="522">
        <v>0</v>
      </c>
      <c r="AE979" s="522" t="s">
        <v>2590</v>
      </c>
      <c r="AF979" s="522" t="s">
        <v>300</v>
      </c>
      <c r="AG979" s="522">
        <v>1</v>
      </c>
      <c r="AH979" s="522">
        <v>6</v>
      </c>
      <c r="AI979" s="522">
        <v>0</v>
      </c>
      <c r="AJ979" s="520">
        <f>VLOOKUP($I979,'Price List, Weapons &amp; Items'!A:E,5,0)</f>
        <v>0</v>
      </c>
      <c r="AK979" s="520">
        <f t="shared" si="224"/>
        <v>0</v>
      </c>
      <c r="AL979" s="520">
        <f t="shared" si="225"/>
        <v>0</v>
      </c>
      <c r="AM979" s="520">
        <f t="shared" si="226"/>
        <v>0</v>
      </c>
      <c r="AN979" s="521" t="str">
        <f>VLOOKUP($I979,'Price List, Weapons &amp; Items'!A:K,COLUMN('Price List, Weapons &amp; Items'!$I$1),0)</f>
        <v>Media reports (incl. social media)</v>
      </c>
      <c r="AO979" s="521" t="str">
        <f>IF(I979=".",".",VLOOKUP($I979,'Price List, Weapons &amp; Items'!A:I,3,0))</f>
        <v>Combat aircraft</v>
      </c>
      <c r="AP979" s="517" t="str">
        <f t="shared" ca="1" si="219"/>
        <v/>
      </c>
      <c r="AQ979" s="521">
        <f>VLOOKUP($I979,'Price List, Weapons &amp; Items'!A:K,COLUMN('Price List, Weapons &amp; Items'!$K$1),0)</f>
        <v>2</v>
      </c>
      <c r="AS979" s="521">
        <f t="shared" si="227"/>
        <v>1</v>
      </c>
      <c r="AT979" s="521">
        <f t="shared" si="228"/>
        <v>1</v>
      </c>
      <c r="AU979" s="521">
        <f t="shared" si="229"/>
        <v>1</v>
      </c>
      <c r="AV979" s="521" t="str">
        <f t="shared" si="230"/>
        <v>.</v>
      </c>
    </row>
    <row r="980" spans="1:48" ht="15" customHeight="1">
      <c r="A980" s="18" t="s">
        <v>2627</v>
      </c>
      <c r="B980" s="18" t="s">
        <v>2548</v>
      </c>
      <c r="C980" s="511">
        <v>44713</v>
      </c>
      <c r="D980" s="18" t="s">
        <v>252</v>
      </c>
      <c r="E980" s="18" t="s">
        <v>1157</v>
      </c>
      <c r="F980" s="512" t="s">
        <v>2637</v>
      </c>
      <c r="G980" s="39" t="s">
        <v>314</v>
      </c>
      <c r="H980" s="513">
        <v>700000000</v>
      </c>
      <c r="I980" s="524" t="s">
        <v>2649</v>
      </c>
      <c r="J980" s="276" t="str">
        <f>VLOOKUP($I980,'Price List, Weapons &amp; Items'!A:B,2,0)</f>
        <v>Military equipment</v>
      </c>
      <c r="K980" s="276" t="str">
        <f>IF(I980=".",I980,VLOOKUP($I980,'Price List, Weapons &amp; Items'!A:C,3,0))</f>
        <v>.</v>
      </c>
      <c r="L980" s="514">
        <f>VLOOKUP(I980,'Price List, Weapons &amp; Items'!A:D,4,0)</f>
        <v>0</v>
      </c>
      <c r="M980" s="515">
        <v>15</v>
      </c>
      <c r="N980" s="515" t="s">
        <v>232</v>
      </c>
      <c r="O980" s="516">
        <f>VLOOKUP($I980,'Price List, Weapons &amp; Items'!A:F,6,0)</f>
        <v>350000</v>
      </c>
      <c r="P980" s="513">
        <f t="shared" si="221"/>
        <v>5250000</v>
      </c>
      <c r="Q980" s="513" t="str">
        <f t="shared" si="222"/>
        <v>.</v>
      </c>
      <c r="R980" s="513" t="str">
        <f t="shared" si="231"/>
        <v/>
      </c>
      <c r="S980" s="513" t="str">
        <f>IF(AND(AD980=1,R980&lt;&gt;".")=TRUE,R980/VLOOKUP(G980,'Exchange rates'!B:C,2,0),IF(R980=".",".",""))</f>
        <v/>
      </c>
      <c r="T980" s="513" t="str">
        <f>IF(AD980=1,IF(AF980="Value is not given at all",".",IF(AF980="Value is given by the source",S980,IF(AF980="Value is calculated with prices",(IF(SUMIFS(Q:Q,A:A,A980)&gt;0,SUMIFS(Q:Q,A:A,A980),"."))/VLOOKUP("USD",'Exchange rates'!B:C,2,0),"Error with coding"))),"")</f>
        <v/>
      </c>
      <c r="U980" s="39" t="s">
        <v>233</v>
      </c>
      <c r="V980" s="376" t="s">
        <v>2581</v>
      </c>
      <c r="W980" s="376" t="s">
        <v>2639</v>
      </c>
      <c r="X980" s="376" t="s">
        <v>2644</v>
      </c>
      <c r="Y980" s="512" t="s">
        <v>232</v>
      </c>
      <c r="Z980" s="39">
        <v>0</v>
      </c>
      <c r="AA980" s="39">
        <v>0</v>
      </c>
      <c r="AB980" s="41" t="s">
        <v>2642</v>
      </c>
      <c r="AC980" s="519" t="str">
        <f>""</f>
        <v/>
      </c>
      <c r="AD980" s="522">
        <v>0</v>
      </c>
      <c r="AE980" s="522" t="s">
        <v>2590</v>
      </c>
      <c r="AF980" s="522" t="s">
        <v>300</v>
      </c>
      <c r="AG980" s="522">
        <v>1</v>
      </c>
      <c r="AH980" s="522">
        <v>6</v>
      </c>
      <c r="AI980" s="522">
        <v>0</v>
      </c>
      <c r="AJ980" s="520">
        <f>VLOOKUP($I980,'Price List, Weapons &amp; Items'!A:E,5,0)</f>
        <v>0</v>
      </c>
      <c r="AK980" s="520">
        <f t="shared" si="224"/>
        <v>0</v>
      </c>
      <c r="AL980" s="520">
        <f t="shared" si="225"/>
        <v>0</v>
      </c>
      <c r="AM980" s="520">
        <f t="shared" si="226"/>
        <v>0</v>
      </c>
      <c r="AN980" s="521" t="str">
        <f>VLOOKUP($I980,'Price List, Weapons &amp; Items'!A:K,COLUMN('Price List, Weapons &amp; Items'!$I$1),0)</f>
        <v>Media reports (incl. social media)</v>
      </c>
      <c r="AO980" s="521" t="str">
        <f>IF(I980=".",".",VLOOKUP($I980,'Price List, Weapons &amp; Items'!A:I,3,0))</f>
        <v>.</v>
      </c>
      <c r="AP980" s="517" t="str">
        <f t="shared" ca="1" si="219"/>
        <v/>
      </c>
      <c r="AQ980" s="521">
        <f>VLOOKUP($I980,'Price List, Weapons &amp; Items'!A:K,COLUMN('Price List, Weapons &amp; Items'!$K$1),0)</f>
        <v>2</v>
      </c>
      <c r="AS980" s="521">
        <f t="shared" si="227"/>
        <v>1</v>
      </c>
      <c r="AT980" s="521">
        <f t="shared" si="228"/>
        <v>1</v>
      </c>
      <c r="AU980" s="521">
        <f t="shared" si="229"/>
        <v>1</v>
      </c>
      <c r="AV980" s="521" t="str">
        <f t="shared" si="230"/>
        <v>.</v>
      </c>
    </row>
    <row r="981" spans="1:48" ht="15" customHeight="1">
      <c r="A981" s="18" t="s">
        <v>2627</v>
      </c>
      <c r="B981" s="18" t="s">
        <v>2548</v>
      </c>
      <c r="C981" s="511">
        <v>44713</v>
      </c>
      <c r="D981" s="18" t="s">
        <v>252</v>
      </c>
      <c r="E981" s="18" t="s">
        <v>1157</v>
      </c>
      <c r="F981" s="512" t="s">
        <v>2637</v>
      </c>
      <c r="G981" s="39" t="s">
        <v>314</v>
      </c>
      <c r="H981" s="513">
        <v>700000000</v>
      </c>
      <c r="I981" s="524" t="s">
        <v>420</v>
      </c>
      <c r="J981" s="276" t="str">
        <f>VLOOKUP($I981,'Price List, Weapons &amp; Items'!A:B,2,0)</f>
        <v>Military equipment</v>
      </c>
      <c r="K981" s="276" t="str">
        <f>IF(I981=".",I981,VLOOKUP($I981,'Price List, Weapons &amp; Items'!A:C,3,0))</f>
        <v>spare parts</v>
      </c>
      <c r="L981" s="514">
        <f>VLOOKUP(I981,'Price List, Weapons &amp; Items'!A:D,4,0)</f>
        <v>0</v>
      </c>
      <c r="M981" s="515" t="s">
        <v>232</v>
      </c>
      <c r="N981" s="515" t="s">
        <v>232</v>
      </c>
      <c r="O981" s="516" t="str">
        <f>VLOOKUP($I981,'Price List, Weapons &amp; Items'!A:F,6,0)</f>
        <v>.</v>
      </c>
      <c r="P981" s="513" t="str">
        <f t="shared" si="221"/>
        <v>.</v>
      </c>
      <c r="Q981" s="513" t="str">
        <f t="shared" si="222"/>
        <v>.</v>
      </c>
      <c r="R981" s="513" t="str">
        <f t="shared" si="231"/>
        <v/>
      </c>
      <c r="S981" s="513" t="str">
        <f>IF(AND(AD981=1,R981&lt;&gt;".")=TRUE,R981/VLOOKUP(G981,'Exchange rates'!B:C,2,0),IF(R981=".",".",""))</f>
        <v/>
      </c>
      <c r="T981" s="513" t="str">
        <f>IF(AD981=1,IF(AF981="Value is not given at all",".",IF(AF981="Value is given by the source",S981,IF(AF981="Value is calculated with prices",(IF(SUMIFS(Q:Q,A:A,A981)&gt;0,SUMIFS(Q:Q,A:A,A981),"."))/VLOOKUP("USD",'Exchange rates'!B:C,2,0),"Error with coding"))),"")</f>
        <v/>
      </c>
      <c r="U981" s="39" t="s">
        <v>233</v>
      </c>
      <c r="V981" s="376" t="s">
        <v>2581</v>
      </c>
      <c r="W981" s="376" t="s">
        <v>2639</v>
      </c>
      <c r="X981" s="376" t="s">
        <v>2644</v>
      </c>
      <c r="Y981" s="512" t="s">
        <v>232</v>
      </c>
      <c r="Z981" s="39">
        <v>0</v>
      </c>
      <c r="AA981" s="39">
        <v>0</v>
      </c>
      <c r="AB981" s="41" t="s">
        <v>2642</v>
      </c>
      <c r="AC981" s="519" t="str">
        <f>""</f>
        <v/>
      </c>
      <c r="AD981" s="522">
        <v>0</v>
      </c>
      <c r="AE981" s="522" t="s">
        <v>2590</v>
      </c>
      <c r="AF981" s="522" t="s">
        <v>300</v>
      </c>
      <c r="AG981" s="522">
        <v>1</v>
      </c>
      <c r="AH981" s="522">
        <v>6</v>
      </c>
      <c r="AI981" s="522">
        <v>0</v>
      </c>
      <c r="AJ981" s="520">
        <f>VLOOKUP($I981,'Price List, Weapons &amp; Items'!A:E,5,0)</f>
        <v>0</v>
      </c>
      <c r="AK981" s="520">
        <f t="shared" si="224"/>
        <v>0</v>
      </c>
      <c r="AL981" s="520">
        <f t="shared" si="225"/>
        <v>0</v>
      </c>
      <c r="AM981" s="520">
        <f t="shared" si="226"/>
        <v>0</v>
      </c>
      <c r="AN981" s="521" t="str">
        <f>VLOOKUP($I981,'Price List, Weapons &amp; Items'!A:K,COLUMN('Price List, Weapons &amp; Items'!$I$1),0)</f>
        <v>.</v>
      </c>
      <c r="AO981" s="521" t="str">
        <f>IF(I981=".",".",VLOOKUP($I981,'Price List, Weapons &amp; Items'!A:I,3,0))</f>
        <v>spare parts</v>
      </c>
      <c r="AP981" s="517" t="str">
        <f t="shared" ca="1" si="219"/>
        <v/>
      </c>
      <c r="AQ981" s="521" t="str">
        <f>VLOOKUP($I981,'Price List, Weapons &amp; Items'!A:K,COLUMN('Price List, Weapons &amp; Items'!$K$1),0)</f>
        <v>no price, 0 count</v>
      </c>
      <c r="AS981" s="521">
        <f t="shared" si="227"/>
        <v>1</v>
      </c>
      <c r="AT981" s="521">
        <f t="shared" si="228"/>
        <v>1</v>
      </c>
      <c r="AU981" s="521">
        <f t="shared" si="229"/>
        <v>1</v>
      </c>
      <c r="AV981" s="521" t="str">
        <f t="shared" si="230"/>
        <v>.</v>
      </c>
    </row>
    <row r="982" spans="1:48" ht="15" customHeight="1">
      <c r="A982" s="18" t="s">
        <v>2627</v>
      </c>
      <c r="B982" s="18" t="s">
        <v>2548</v>
      </c>
      <c r="C982" s="511">
        <v>44727</v>
      </c>
      <c r="D982" s="18" t="s">
        <v>252</v>
      </c>
      <c r="E982" s="18" t="s">
        <v>1157</v>
      </c>
      <c r="F982" s="512" t="s">
        <v>2650</v>
      </c>
      <c r="G982" s="39" t="s">
        <v>314</v>
      </c>
      <c r="H982" s="513">
        <v>350000000</v>
      </c>
      <c r="I982" s="524" t="s">
        <v>286</v>
      </c>
      <c r="J982" s="276" t="str">
        <f>VLOOKUP($I982,'Price List, Weapons &amp; Items'!A:B,2,0)</f>
        <v>Heavy weapon</v>
      </c>
      <c r="K982" s="276" t="str">
        <f>IF(I982=".",I982,VLOOKUP($I982,'Price List, Weapons &amp; Items'!A:C,3,0))</f>
        <v>155mm howitzer</v>
      </c>
      <c r="L982" s="514">
        <f>VLOOKUP(I982,'Price List, Weapons &amp; Items'!A:D,4,0)</f>
        <v>0</v>
      </c>
      <c r="M982" s="515">
        <v>18</v>
      </c>
      <c r="N982" s="515" t="s">
        <v>232</v>
      </c>
      <c r="O982" s="516">
        <f>VLOOKUP($I982,'Price List, Weapons &amp; Items'!A:F,6,0)</f>
        <v>5170000</v>
      </c>
      <c r="P982" s="513">
        <f t="shared" si="221"/>
        <v>93060000</v>
      </c>
      <c r="Q982" s="513" t="str">
        <f t="shared" si="222"/>
        <v>.</v>
      </c>
      <c r="R982" s="513" t="str">
        <f t="shared" si="231"/>
        <v/>
      </c>
      <c r="S982" s="513" t="str">
        <f>IF(AND(AD982=1,R982&lt;&gt;".")=TRUE,R982/VLOOKUP(G982,'Exchange rates'!B:C,2,0),IF(R982=".",".",""))</f>
        <v/>
      </c>
      <c r="T982" s="513" t="str">
        <f>IF(AD982=1,IF(AF982="Value is not given at all",".",IF(AF982="Value is given by the source",S982,IF(AF982="Value is calculated with prices",(IF(SUMIFS(Q:Q,A:A,A982)&gt;0,SUMIFS(Q:Q,A:A,A982),"."))/VLOOKUP("USD",'Exchange rates'!B:C,2,0),"Error with coding"))),"")</f>
        <v/>
      </c>
      <c r="U982" s="39" t="s">
        <v>233</v>
      </c>
      <c r="V982" s="376" t="s">
        <v>2651</v>
      </c>
      <c r="W982" s="376" t="s">
        <v>2652</v>
      </c>
      <c r="X982" s="376" t="s">
        <v>2653</v>
      </c>
      <c r="Y982" s="825" t="s">
        <v>2654</v>
      </c>
      <c r="Z982" s="39">
        <v>0</v>
      </c>
      <c r="AA982" s="39">
        <v>0</v>
      </c>
      <c r="AB982" s="41" t="s">
        <v>2642</v>
      </c>
      <c r="AC982" s="519" t="str">
        <f>""</f>
        <v/>
      </c>
      <c r="AD982" s="522">
        <v>0</v>
      </c>
      <c r="AE982" s="522" t="s">
        <v>2590</v>
      </c>
      <c r="AF982" s="522" t="s">
        <v>300</v>
      </c>
      <c r="AG982" s="522">
        <v>1</v>
      </c>
      <c r="AH982" s="522">
        <v>6</v>
      </c>
      <c r="AI982" s="522">
        <v>0</v>
      </c>
      <c r="AJ982" s="520">
        <f>VLOOKUP($I982,'Price List, Weapons &amp; Items'!A:E,5,0)</f>
        <v>1</v>
      </c>
      <c r="AK982" s="520">
        <f t="shared" si="224"/>
        <v>0</v>
      </c>
      <c r="AL982" s="520">
        <f t="shared" si="225"/>
        <v>0</v>
      </c>
      <c r="AM982" s="520">
        <f t="shared" si="226"/>
        <v>0</v>
      </c>
      <c r="AN982" s="521" t="str">
        <f>VLOOKUP($I982,'Price List, Weapons &amp; Items'!A:K,COLUMN('Price List, Weapons &amp; Items'!$I$1),0)</f>
        <v>Military media (incl. websites)</v>
      </c>
      <c r="AO982" s="521" t="str">
        <f>IF(I982=".",".",VLOOKUP($I982,'Price List, Weapons &amp; Items'!A:I,3,0))</f>
        <v>155mm howitzer</v>
      </c>
      <c r="AP982" s="517" t="str">
        <f t="shared" ca="1" si="219"/>
        <v/>
      </c>
      <c r="AQ982" s="521">
        <f>VLOOKUP($I982,'Price List, Weapons &amp; Items'!A:K,COLUMN('Price List, Weapons &amp; Items'!$K$1),0)</f>
        <v>2</v>
      </c>
      <c r="AS982" s="521">
        <f t="shared" si="227"/>
        <v>1</v>
      </c>
      <c r="AT982" s="521">
        <f t="shared" si="228"/>
        <v>1</v>
      </c>
      <c r="AU982" s="521">
        <f t="shared" si="229"/>
        <v>1</v>
      </c>
      <c r="AV982" s="521" t="str">
        <f t="shared" si="230"/>
        <v>.</v>
      </c>
    </row>
    <row r="983" spans="1:48" ht="15" customHeight="1">
      <c r="A983" s="18" t="s">
        <v>2627</v>
      </c>
      <c r="B983" s="18" t="s">
        <v>2548</v>
      </c>
      <c r="C983" s="511">
        <v>44727</v>
      </c>
      <c r="D983" s="18" t="s">
        <v>252</v>
      </c>
      <c r="E983" s="18" t="s">
        <v>1157</v>
      </c>
      <c r="F983" s="512" t="s">
        <v>2650</v>
      </c>
      <c r="G983" s="39" t="s">
        <v>314</v>
      </c>
      <c r="H983" s="513">
        <v>350000000</v>
      </c>
      <c r="I983" s="524" t="s">
        <v>574</v>
      </c>
      <c r="J983" s="276" t="str">
        <f>VLOOKUP($I983,'Price List, Weapons &amp; Items'!A:B,2,0)</f>
        <v>Ammunition for heavy weapon</v>
      </c>
      <c r="K983" s="276" t="str">
        <f>IF(I983=".",I983,VLOOKUP($I983,'Price List, Weapons &amp; Items'!A:C,3,0))</f>
        <v>155mm howitzer ammunition</v>
      </c>
      <c r="L983" s="514">
        <f>VLOOKUP(I983,'Price List, Weapons &amp; Items'!A:D,4,0)</f>
        <v>0</v>
      </c>
      <c r="M983" s="515">
        <v>36000</v>
      </c>
      <c r="N983" s="515" t="s">
        <v>232</v>
      </c>
      <c r="O983" s="516">
        <f>VLOOKUP($I983,'Price List, Weapons &amp; Items'!A:F,6,0)</f>
        <v>3800</v>
      </c>
      <c r="P983" s="513">
        <f t="shared" si="221"/>
        <v>136800000</v>
      </c>
      <c r="Q983" s="513" t="str">
        <f t="shared" si="222"/>
        <v>.</v>
      </c>
      <c r="R983" s="513" t="str">
        <f t="shared" si="231"/>
        <v/>
      </c>
      <c r="S983" s="513" t="str">
        <f>IF(AND(AD983=1,R983&lt;&gt;".")=TRUE,R983/VLOOKUP(G983,'Exchange rates'!B:C,2,0),IF(R983=".",".",""))</f>
        <v/>
      </c>
      <c r="T983" s="513" t="str">
        <f>IF(AD983=1,IF(AF983="Value is not given at all",".",IF(AF983="Value is given by the source",S983,IF(AF983="Value is calculated with prices",(IF(SUMIFS(Q:Q,A:A,A983)&gt;0,SUMIFS(Q:Q,A:A,A983),"."))/VLOOKUP("USD",'Exchange rates'!B:C,2,0),"Error with coding"))),"")</f>
        <v/>
      </c>
      <c r="U983" s="39" t="s">
        <v>233</v>
      </c>
      <c r="V983" s="376" t="s">
        <v>2651</v>
      </c>
      <c r="W983" s="376" t="s">
        <v>2652</v>
      </c>
      <c r="X983" s="376" t="s">
        <v>2653</v>
      </c>
      <c r="Y983" s="825" t="s">
        <v>2654</v>
      </c>
      <c r="Z983" s="39">
        <v>0</v>
      </c>
      <c r="AA983" s="39">
        <v>0</v>
      </c>
      <c r="AB983" s="41" t="s">
        <v>2642</v>
      </c>
      <c r="AC983" s="519" t="str">
        <f>""</f>
        <v/>
      </c>
      <c r="AD983" s="522">
        <v>0</v>
      </c>
      <c r="AE983" s="522" t="s">
        <v>2590</v>
      </c>
      <c r="AF983" s="522" t="s">
        <v>300</v>
      </c>
      <c r="AG983" s="522">
        <v>1</v>
      </c>
      <c r="AH983" s="522">
        <v>6</v>
      </c>
      <c r="AI983" s="522">
        <v>0</v>
      </c>
      <c r="AJ983" s="520">
        <f>VLOOKUP($I983,'Price List, Weapons &amp; Items'!A:E,5,0)</f>
        <v>1</v>
      </c>
      <c r="AK983" s="520">
        <f t="shared" si="224"/>
        <v>0</v>
      </c>
      <c r="AL983" s="520">
        <f t="shared" si="225"/>
        <v>0</v>
      </c>
      <c r="AM983" s="520">
        <f t="shared" si="226"/>
        <v>0</v>
      </c>
      <c r="AN983" s="521" t="str">
        <f>VLOOKUP($I983,'Price List, Weapons &amp; Items'!A:K,COLUMN('Price List, Weapons &amp; Items'!$I$1),0)</f>
        <v>Government information</v>
      </c>
      <c r="AO983" s="521" t="str">
        <f>IF(I983=".",".",VLOOKUP($I983,'Price List, Weapons &amp; Items'!A:I,3,0))</f>
        <v>155mm howitzer ammunition</v>
      </c>
      <c r="AP983" s="517" t="str">
        <f t="shared" ca="1" si="219"/>
        <v/>
      </c>
      <c r="AQ983" s="521">
        <f>VLOOKUP($I983,'Price List, Weapons &amp; Items'!A:K,COLUMN('Price List, Weapons &amp; Items'!$K$1),0)</f>
        <v>2</v>
      </c>
      <c r="AS983" s="521">
        <f t="shared" si="227"/>
        <v>1</v>
      </c>
      <c r="AT983" s="521">
        <f t="shared" si="228"/>
        <v>1</v>
      </c>
      <c r="AU983" s="521">
        <f t="shared" si="229"/>
        <v>1</v>
      </c>
      <c r="AV983" s="521" t="str">
        <f t="shared" si="230"/>
        <v>.</v>
      </c>
    </row>
    <row r="984" spans="1:48" ht="15" customHeight="1">
      <c r="A984" s="18" t="s">
        <v>2627</v>
      </c>
      <c r="B984" s="18" t="s">
        <v>2548</v>
      </c>
      <c r="C984" s="511">
        <v>44727</v>
      </c>
      <c r="D984" s="18" t="s">
        <v>252</v>
      </c>
      <c r="E984" s="18" t="s">
        <v>1157</v>
      </c>
      <c r="F984" s="512" t="s">
        <v>2650</v>
      </c>
      <c r="G984" s="39" t="s">
        <v>314</v>
      </c>
      <c r="H984" s="513">
        <v>350000000</v>
      </c>
      <c r="I984" s="524" t="s">
        <v>2621</v>
      </c>
      <c r="J984" s="276" t="str">
        <f>VLOOKUP($I984,'Price List, Weapons &amp; Items'!A:B,2,0)</f>
        <v>Military equipment</v>
      </c>
      <c r="K984" s="276" t="str">
        <f>IF(I984=".",I984,VLOOKUP($I984,'Price List, Weapons &amp; Items'!A:C,3,0))</f>
        <v>.</v>
      </c>
      <c r="L984" s="514">
        <f>VLOOKUP(I984,'Price List, Weapons &amp; Items'!A:D,4,0)</f>
        <v>0</v>
      </c>
      <c r="M984" s="515">
        <v>18</v>
      </c>
      <c r="N984" s="515" t="s">
        <v>232</v>
      </c>
      <c r="O984" s="516">
        <f>VLOOKUP($I984,'Price List, Weapons &amp; Items'!A:F,6,0)</f>
        <v>350000</v>
      </c>
      <c r="P984" s="513">
        <f t="shared" si="221"/>
        <v>6300000</v>
      </c>
      <c r="Q984" s="513" t="str">
        <f t="shared" si="222"/>
        <v>.</v>
      </c>
      <c r="R984" s="513" t="str">
        <f t="shared" si="231"/>
        <v/>
      </c>
      <c r="S984" s="513" t="str">
        <f>IF(AND(AD984=1,R984&lt;&gt;".")=TRUE,R984/VLOOKUP(G984,'Exchange rates'!B:C,2,0),IF(R984=".",".",""))</f>
        <v/>
      </c>
      <c r="T984" s="513" t="str">
        <f>IF(AD984=1,IF(AF984="Value is not given at all",".",IF(AF984="Value is given by the source",S984,IF(AF984="Value is calculated with prices",(IF(SUMIFS(Q:Q,A:A,A984)&gt;0,SUMIFS(Q:Q,A:A,A984),"."))/VLOOKUP("USD",'Exchange rates'!B:C,2,0),"Error with coding"))),"")</f>
        <v/>
      </c>
      <c r="U984" s="39" t="s">
        <v>233</v>
      </c>
      <c r="V984" s="376" t="s">
        <v>2651</v>
      </c>
      <c r="W984" s="376" t="s">
        <v>2652</v>
      </c>
      <c r="X984" s="376" t="s">
        <v>2653</v>
      </c>
      <c r="Y984" s="825" t="s">
        <v>2654</v>
      </c>
      <c r="Z984" s="39">
        <v>0</v>
      </c>
      <c r="AA984" s="39">
        <v>0</v>
      </c>
      <c r="AB984" s="41" t="s">
        <v>2642</v>
      </c>
      <c r="AC984" s="519" t="str">
        <f>""</f>
        <v/>
      </c>
      <c r="AD984" s="522">
        <v>0</v>
      </c>
      <c r="AE984" s="522" t="s">
        <v>2590</v>
      </c>
      <c r="AF984" s="522" t="s">
        <v>300</v>
      </c>
      <c r="AG984" s="522">
        <v>1</v>
      </c>
      <c r="AH984" s="522">
        <v>6</v>
      </c>
      <c r="AI984" s="522">
        <v>0</v>
      </c>
      <c r="AJ984" s="520">
        <f>VLOOKUP($I984,'Price List, Weapons &amp; Items'!A:E,5,0)</f>
        <v>0</v>
      </c>
      <c r="AK984" s="520">
        <f t="shared" si="224"/>
        <v>0</v>
      </c>
      <c r="AL984" s="520">
        <f t="shared" si="225"/>
        <v>0</v>
      </c>
      <c r="AM984" s="520">
        <f t="shared" si="226"/>
        <v>0</v>
      </c>
      <c r="AN984" s="521" t="str">
        <f>VLOOKUP($I984,'Price List, Weapons &amp; Items'!A:K,COLUMN('Price List, Weapons &amp; Items'!$I$1),0)</f>
        <v>Media reports (incl. social media)</v>
      </c>
      <c r="AO984" s="521" t="str">
        <f>IF(I984=".",".",VLOOKUP($I984,'Price List, Weapons &amp; Items'!A:I,3,0))</f>
        <v>.</v>
      </c>
      <c r="AP984" s="517" t="str">
        <f t="shared" ca="1" si="219"/>
        <v/>
      </c>
      <c r="AQ984" s="521">
        <f>VLOOKUP($I984,'Price List, Weapons &amp; Items'!A:K,COLUMN('Price List, Weapons &amp; Items'!$K$1),0)</f>
        <v>2</v>
      </c>
      <c r="AS984" s="521">
        <f t="shared" si="227"/>
        <v>1</v>
      </c>
      <c r="AT984" s="521">
        <f t="shared" si="228"/>
        <v>1</v>
      </c>
      <c r="AU984" s="521">
        <f t="shared" si="229"/>
        <v>1</v>
      </c>
      <c r="AV984" s="521" t="str">
        <f t="shared" si="230"/>
        <v>.</v>
      </c>
    </row>
    <row r="985" spans="1:48" ht="15" customHeight="1">
      <c r="A985" s="18" t="s">
        <v>2627</v>
      </c>
      <c r="B985" s="18" t="s">
        <v>2548</v>
      </c>
      <c r="C985" s="511">
        <v>44727</v>
      </c>
      <c r="D985" s="18" t="s">
        <v>252</v>
      </c>
      <c r="E985" s="18" t="s">
        <v>1157</v>
      </c>
      <c r="F985" s="512" t="s">
        <v>2650</v>
      </c>
      <c r="G985" s="39" t="s">
        <v>314</v>
      </c>
      <c r="H985" s="513">
        <v>350000000</v>
      </c>
      <c r="I985" s="524" t="s">
        <v>2655</v>
      </c>
      <c r="J985" s="276" t="str">
        <f>VLOOKUP($I985,'Price List, Weapons &amp; Items'!A:B,2,0)</f>
        <v>Ammunition for heavy weapon</v>
      </c>
      <c r="K985" s="276" t="str">
        <f>IF(I985=".",I985,VLOOKUP($I985,'Price List, Weapons &amp; Items'!A:C,3,0))</f>
        <v>227mm MLRS ammunition</v>
      </c>
      <c r="L985" s="514">
        <f>VLOOKUP(I985,'Price List, Weapons &amp; Items'!A:D,4,0)</f>
        <v>0</v>
      </c>
      <c r="M985" s="515" t="s">
        <v>264</v>
      </c>
      <c r="N985" s="515" t="s">
        <v>232</v>
      </c>
      <c r="O985" s="516">
        <f>VLOOKUP($I985,'Price List, Weapons &amp; Items'!A:F,6,0)</f>
        <v>150000</v>
      </c>
      <c r="P985" s="513" t="str">
        <f t="shared" si="221"/>
        <v>.</v>
      </c>
      <c r="Q985" s="513" t="str">
        <f t="shared" si="222"/>
        <v>.</v>
      </c>
      <c r="R985" s="513" t="str">
        <f t="shared" si="231"/>
        <v/>
      </c>
      <c r="S985" s="513" t="str">
        <f>IF(AND(AD985=1,R985&lt;&gt;".")=TRUE,R985/VLOOKUP(G985,'Exchange rates'!B:C,2,0),IF(R985=".",".",""))</f>
        <v/>
      </c>
      <c r="T985" s="513" t="str">
        <f>IF(AD985=1,IF(AF985="Value is not given at all",".",IF(AF985="Value is given by the source",S985,IF(AF985="Value is calculated with prices",(IF(SUMIFS(Q:Q,A:A,A985)&gt;0,SUMIFS(Q:Q,A:A,A985),"."))/VLOOKUP("USD",'Exchange rates'!B:C,2,0),"Error with coding"))),"")</f>
        <v/>
      </c>
      <c r="U985" s="39" t="s">
        <v>233</v>
      </c>
      <c r="V985" s="376" t="s">
        <v>2651</v>
      </c>
      <c r="W985" s="376" t="s">
        <v>2652</v>
      </c>
      <c r="X985" s="376" t="s">
        <v>2653</v>
      </c>
      <c r="Y985" s="825" t="s">
        <v>2654</v>
      </c>
      <c r="Z985" s="39">
        <v>0</v>
      </c>
      <c r="AA985" s="39">
        <v>0</v>
      </c>
      <c r="AB985" s="41" t="s">
        <v>2642</v>
      </c>
      <c r="AC985" s="519" t="str">
        <f>""</f>
        <v/>
      </c>
      <c r="AD985" s="522">
        <v>0</v>
      </c>
      <c r="AE985" s="522" t="s">
        <v>2590</v>
      </c>
      <c r="AF985" s="522" t="s">
        <v>300</v>
      </c>
      <c r="AG985" s="522">
        <v>1</v>
      </c>
      <c r="AH985" s="522">
        <v>6</v>
      </c>
      <c r="AI985" s="522">
        <v>0</v>
      </c>
      <c r="AJ985" s="520">
        <f>VLOOKUP($I985,'Price List, Weapons &amp; Items'!A:E,5,0)</f>
        <v>1</v>
      </c>
      <c r="AK985" s="520">
        <f t="shared" si="224"/>
        <v>1</v>
      </c>
      <c r="AL985" s="520">
        <f t="shared" si="225"/>
        <v>0</v>
      </c>
      <c r="AM985" s="520">
        <f t="shared" si="226"/>
        <v>1</v>
      </c>
      <c r="AN985" s="521" t="str">
        <f>VLOOKUP($I985,'Price List, Weapons &amp; Items'!A:K,COLUMN('Price List, Weapons &amp; Items'!$I$1),0)</f>
        <v>Media reports (incl. social media)</v>
      </c>
      <c r="AO985" s="521" t="str">
        <f>IF(I985=".",".",VLOOKUP($I985,'Price List, Weapons &amp; Items'!A:I,3,0))</f>
        <v>227mm MLRS ammunition</v>
      </c>
      <c r="AP985" s="517" t="str">
        <f t="shared" ca="1" si="219"/>
        <v/>
      </c>
      <c r="AQ985" s="521" t="str">
        <f>VLOOKUP($I985,'Price List, Weapons &amp; Items'!A:K,COLUMN('Price List, Weapons &amp; Items'!$K$1),0)</f>
        <v>no price, 0 count</v>
      </c>
      <c r="AS985" s="521">
        <f t="shared" si="227"/>
        <v>1</v>
      </c>
      <c r="AT985" s="521">
        <f t="shared" si="228"/>
        <v>1</v>
      </c>
      <c r="AU985" s="521">
        <f t="shared" si="229"/>
        <v>1</v>
      </c>
      <c r="AV985" s="521" t="str">
        <f t="shared" si="230"/>
        <v>.</v>
      </c>
    </row>
    <row r="986" spans="1:48" ht="15" customHeight="1">
      <c r="A986" s="18" t="s">
        <v>2627</v>
      </c>
      <c r="B986" s="18" t="s">
        <v>2548</v>
      </c>
      <c r="C986" s="511">
        <v>44727</v>
      </c>
      <c r="D986" s="18" t="s">
        <v>252</v>
      </c>
      <c r="E986" s="18" t="s">
        <v>1157</v>
      </c>
      <c r="F986" s="512" t="s">
        <v>2650</v>
      </c>
      <c r="G986" s="39" t="s">
        <v>314</v>
      </c>
      <c r="H986" s="513">
        <v>350000000</v>
      </c>
      <c r="I986" s="524" t="s">
        <v>2656</v>
      </c>
      <c r="J986" s="276" t="str">
        <f>VLOOKUP($I986,'Price List, Weapons &amp; Items'!A:B,2,0)</f>
        <v>Military equipment</v>
      </c>
      <c r="K986" s="276" t="str">
        <f>IF(I986=".",I986,VLOOKUP($I986,'Price List, Weapons &amp; Items'!A:C,3,0))</f>
        <v>.</v>
      </c>
      <c r="L986" s="514">
        <f>VLOOKUP(I986,'Price List, Weapons &amp; Items'!A:D,4,0)</f>
        <v>0</v>
      </c>
      <c r="M986" s="515">
        <v>4</v>
      </c>
      <c r="N986" s="515" t="s">
        <v>232</v>
      </c>
      <c r="O986" s="516">
        <f>VLOOKUP($I986,'Price List, Weapons &amp; Items'!A:F,6,0)</f>
        <v>350000</v>
      </c>
      <c r="P986" s="513">
        <f t="shared" si="221"/>
        <v>1400000</v>
      </c>
      <c r="Q986" s="513" t="str">
        <f t="shared" si="222"/>
        <v>.</v>
      </c>
      <c r="R986" s="513" t="str">
        <f t="shared" si="231"/>
        <v/>
      </c>
      <c r="S986" s="513" t="str">
        <f>IF(AND(AD986=1,R986&lt;&gt;".")=TRUE,R986/VLOOKUP(G986,'Exchange rates'!B:C,2,0),IF(R986=".",".",""))</f>
        <v/>
      </c>
      <c r="T986" s="513" t="str">
        <f>IF(AD986=1,IF(AF986="Value is not given at all",".",IF(AF986="Value is given by the source",S986,IF(AF986="Value is calculated with prices",(IF(SUMIFS(Q:Q,A:A,A986)&gt;0,SUMIFS(Q:Q,A:A,A986),"."))/VLOOKUP("USD",'Exchange rates'!B:C,2,0),"Error with coding"))),"")</f>
        <v/>
      </c>
      <c r="U986" s="39" t="s">
        <v>233</v>
      </c>
      <c r="V986" s="376" t="s">
        <v>2651</v>
      </c>
      <c r="W986" s="376" t="s">
        <v>2652</v>
      </c>
      <c r="X986" s="376" t="s">
        <v>2653</v>
      </c>
      <c r="Y986" s="825" t="s">
        <v>2654</v>
      </c>
      <c r="Z986" s="39">
        <v>0</v>
      </c>
      <c r="AA986" s="39">
        <v>0</v>
      </c>
      <c r="AB986" s="41" t="s">
        <v>2642</v>
      </c>
      <c r="AC986" s="519" t="str">
        <f>""</f>
        <v/>
      </c>
      <c r="AD986" s="522">
        <v>0</v>
      </c>
      <c r="AE986" s="522" t="s">
        <v>2590</v>
      </c>
      <c r="AF986" s="522" t="s">
        <v>300</v>
      </c>
      <c r="AG986" s="522">
        <v>1</v>
      </c>
      <c r="AH986" s="522">
        <v>6</v>
      </c>
      <c r="AI986" s="522">
        <v>0</v>
      </c>
      <c r="AJ986" s="520">
        <f>VLOOKUP($I986,'Price List, Weapons &amp; Items'!A:E,5,0)</f>
        <v>0</v>
      </c>
      <c r="AK986" s="520">
        <f t="shared" si="224"/>
        <v>0</v>
      </c>
      <c r="AL986" s="520">
        <f t="shared" si="225"/>
        <v>0</v>
      </c>
      <c r="AM986" s="520">
        <f t="shared" si="226"/>
        <v>0</v>
      </c>
      <c r="AN986" s="521" t="str">
        <f>VLOOKUP($I986,'Price List, Weapons &amp; Items'!A:K,COLUMN('Price List, Weapons &amp; Items'!$I$1),0)</f>
        <v>Media reports (incl. social media)</v>
      </c>
      <c r="AO986" s="521" t="str">
        <f>IF(I986=".",".",VLOOKUP($I986,'Price List, Weapons &amp; Items'!A:I,3,0))</f>
        <v>.</v>
      </c>
      <c r="AP986" s="517" t="str">
        <f t="shared" ca="1" si="219"/>
        <v/>
      </c>
      <c r="AQ986" s="521">
        <f>VLOOKUP($I986,'Price List, Weapons &amp; Items'!A:K,COLUMN('Price List, Weapons &amp; Items'!$K$1),0)</f>
        <v>2</v>
      </c>
      <c r="AS986" s="521">
        <f t="shared" si="227"/>
        <v>1</v>
      </c>
      <c r="AT986" s="521">
        <f t="shared" si="228"/>
        <v>1</v>
      </c>
      <c r="AU986" s="521">
        <f t="shared" si="229"/>
        <v>1</v>
      </c>
      <c r="AV986" s="521" t="str">
        <f t="shared" si="230"/>
        <v>.</v>
      </c>
    </row>
    <row r="987" spans="1:48" ht="15" customHeight="1">
      <c r="A987" s="18" t="s">
        <v>2627</v>
      </c>
      <c r="B987" s="18" t="s">
        <v>2548</v>
      </c>
      <c r="C987" s="511">
        <v>44727</v>
      </c>
      <c r="D987" s="18" t="s">
        <v>252</v>
      </c>
      <c r="E987" s="18" t="s">
        <v>1157</v>
      </c>
      <c r="F987" s="512" t="s">
        <v>2650</v>
      </c>
      <c r="G987" s="39" t="s">
        <v>314</v>
      </c>
      <c r="H987" s="513">
        <v>350000000</v>
      </c>
      <c r="I987" s="524" t="s">
        <v>420</v>
      </c>
      <c r="J987" s="276" t="str">
        <f>VLOOKUP($I987,'Price List, Weapons &amp; Items'!A:B,2,0)</f>
        <v>Military equipment</v>
      </c>
      <c r="K987" s="276" t="str">
        <f>IF(I987=".",I987,VLOOKUP($I987,'Price List, Weapons &amp; Items'!A:C,3,0))</f>
        <v>spare parts</v>
      </c>
      <c r="L987" s="514">
        <f>VLOOKUP(I987,'Price List, Weapons &amp; Items'!A:D,4,0)</f>
        <v>0</v>
      </c>
      <c r="M987" s="515" t="s">
        <v>232</v>
      </c>
      <c r="N987" s="515" t="s">
        <v>232</v>
      </c>
      <c r="O987" s="516" t="str">
        <f>VLOOKUP($I987,'Price List, Weapons &amp; Items'!A:F,6,0)</f>
        <v>.</v>
      </c>
      <c r="P987" s="513" t="str">
        <f t="shared" si="221"/>
        <v>.</v>
      </c>
      <c r="Q987" s="513" t="str">
        <f t="shared" si="222"/>
        <v>.</v>
      </c>
      <c r="R987" s="513" t="str">
        <f t="shared" si="231"/>
        <v/>
      </c>
      <c r="S987" s="513" t="str">
        <f>IF(AND(AD987=1,R987&lt;&gt;".")=TRUE,R987/VLOOKUP(G987,'Exchange rates'!B:C,2,0),IF(R987=".",".",""))</f>
        <v/>
      </c>
      <c r="T987" s="513" t="str">
        <f>IF(AD987=1,IF(AF987="Value is not given at all",".",IF(AF987="Value is given by the source",S987,IF(AF987="Value is calculated with prices",(IF(SUMIFS(Q:Q,A:A,A987)&gt;0,SUMIFS(Q:Q,A:A,A987),"."))/VLOOKUP("USD",'Exchange rates'!B:C,2,0),"Error with coding"))),"")</f>
        <v/>
      </c>
      <c r="U987" s="39" t="s">
        <v>233</v>
      </c>
      <c r="V987" s="376" t="s">
        <v>2651</v>
      </c>
      <c r="W987" s="376" t="s">
        <v>2652</v>
      </c>
      <c r="X987" s="376" t="s">
        <v>2653</v>
      </c>
      <c r="Y987" s="825" t="s">
        <v>2654</v>
      </c>
      <c r="Z987" s="39">
        <v>0</v>
      </c>
      <c r="AA987" s="39">
        <v>0</v>
      </c>
      <c r="AB987" s="41" t="s">
        <v>2642</v>
      </c>
      <c r="AC987" s="519" t="str">
        <f>""</f>
        <v/>
      </c>
      <c r="AD987" s="522">
        <v>0</v>
      </c>
      <c r="AE987" s="522" t="s">
        <v>2590</v>
      </c>
      <c r="AF987" s="522" t="s">
        <v>300</v>
      </c>
      <c r="AG987" s="522">
        <v>1</v>
      </c>
      <c r="AH987" s="522">
        <v>6</v>
      </c>
      <c r="AI987" s="522">
        <v>0</v>
      </c>
      <c r="AJ987" s="520">
        <f>VLOOKUP($I987,'Price List, Weapons &amp; Items'!A:E,5,0)</f>
        <v>0</v>
      </c>
      <c r="AK987" s="520">
        <f t="shared" si="224"/>
        <v>0</v>
      </c>
      <c r="AL987" s="520">
        <f t="shared" si="225"/>
        <v>0</v>
      </c>
      <c r="AM987" s="520">
        <f t="shared" si="226"/>
        <v>0</v>
      </c>
      <c r="AN987" s="521" t="str">
        <f>VLOOKUP($I987,'Price List, Weapons &amp; Items'!A:K,COLUMN('Price List, Weapons &amp; Items'!$I$1),0)</f>
        <v>.</v>
      </c>
      <c r="AO987" s="521" t="str">
        <f>IF(I987=".",".",VLOOKUP($I987,'Price List, Weapons &amp; Items'!A:I,3,0))</f>
        <v>spare parts</v>
      </c>
      <c r="AP987" s="517" t="str">
        <f t="shared" ca="1" si="219"/>
        <v/>
      </c>
      <c r="AQ987" s="521" t="str">
        <f>VLOOKUP($I987,'Price List, Weapons &amp; Items'!A:K,COLUMN('Price List, Weapons &amp; Items'!$K$1),0)</f>
        <v>no price, 0 count</v>
      </c>
      <c r="AS987" s="521">
        <f t="shared" si="227"/>
        <v>1</v>
      </c>
      <c r="AT987" s="521">
        <f t="shared" si="228"/>
        <v>1</v>
      </c>
      <c r="AU987" s="521">
        <f t="shared" si="229"/>
        <v>1</v>
      </c>
      <c r="AV987" s="521" t="str">
        <f t="shared" si="230"/>
        <v>.</v>
      </c>
    </row>
    <row r="988" spans="1:48" ht="15" customHeight="1">
      <c r="A988" s="18" t="s">
        <v>2627</v>
      </c>
      <c r="B988" s="18" t="s">
        <v>2548</v>
      </c>
      <c r="C988" s="511">
        <v>44735</v>
      </c>
      <c r="D988" s="18" t="s">
        <v>252</v>
      </c>
      <c r="E988" s="18" t="s">
        <v>1157</v>
      </c>
      <c r="F988" s="512" t="s">
        <v>2657</v>
      </c>
      <c r="G988" s="39" t="s">
        <v>314</v>
      </c>
      <c r="H988" s="513">
        <v>450000000</v>
      </c>
      <c r="I988" s="524" t="s">
        <v>2638</v>
      </c>
      <c r="J988" s="276" t="str">
        <f>VLOOKUP($I988,'Price List, Weapons &amp; Items'!A:B,2,0)</f>
        <v>Heavy weapon</v>
      </c>
      <c r="K988" s="276" t="str">
        <f>IF(I988=".",I988,VLOOKUP($I988,'Price List, Weapons &amp; Items'!A:C,3,0))</f>
        <v>227mm MLRS</v>
      </c>
      <c r="L988" s="514">
        <f>VLOOKUP(I988,'Price List, Weapons &amp; Items'!A:D,4,0)</f>
        <v>0</v>
      </c>
      <c r="M988" s="515">
        <v>4</v>
      </c>
      <c r="N988" s="515">
        <v>4</v>
      </c>
      <c r="O988" s="516">
        <f>VLOOKUP($I988,'Price List, Weapons &amp; Items'!A:F,6,0)</f>
        <v>15076313.029999999</v>
      </c>
      <c r="P988" s="513">
        <f t="shared" si="221"/>
        <v>60305252.119999997</v>
      </c>
      <c r="Q988" s="513">
        <f t="shared" si="222"/>
        <v>60305252.119999997</v>
      </c>
      <c r="R988" s="513" t="str">
        <f t="shared" si="231"/>
        <v/>
      </c>
      <c r="S988" s="513" t="str">
        <f>IF(AND(AD988=1,R988&lt;&gt;".")=TRUE,R988/VLOOKUP(G988,'Exchange rates'!B:C,2,0),IF(R988=".",".",""))</f>
        <v/>
      </c>
      <c r="T988" s="513" t="str">
        <f>IF(AD988=1,IF(AF988="Value is not given at all",".",IF(AF988="Value is given by the source",S988,IF(AF988="Value is calculated with prices",(IF(SUMIFS(Q:Q,A:A,A988)&gt;0,SUMIFS(Q:Q,A:A,A988),"."))/VLOOKUP("USD",'Exchange rates'!B:C,2,0),"Error with coding"))),"")</f>
        <v/>
      </c>
      <c r="U988" s="39" t="s">
        <v>233</v>
      </c>
      <c r="V988" s="376" t="s">
        <v>2658</v>
      </c>
      <c r="W988" s="580" t="s">
        <v>232</v>
      </c>
      <c r="X988" s="531" t="s">
        <v>232</v>
      </c>
      <c r="Y988" s="517" t="s">
        <v>232</v>
      </c>
      <c r="Z988" s="39">
        <v>0</v>
      </c>
      <c r="AA988" s="39">
        <v>0</v>
      </c>
      <c r="AB988" s="395" t="s">
        <v>2659</v>
      </c>
      <c r="AC988" s="519" t="str">
        <f>""</f>
        <v/>
      </c>
      <c r="AD988" s="522">
        <v>0</v>
      </c>
      <c r="AE988" s="522" t="s">
        <v>2590</v>
      </c>
      <c r="AF988" s="522" t="s">
        <v>300</v>
      </c>
      <c r="AG988" s="522">
        <v>1</v>
      </c>
      <c r="AH988" s="522">
        <v>6</v>
      </c>
      <c r="AI988" s="522">
        <v>0</v>
      </c>
      <c r="AJ988" s="520">
        <f>VLOOKUP($I988,'Price List, Weapons &amp; Items'!A:E,5,0)</f>
        <v>1</v>
      </c>
      <c r="AK988" s="520">
        <f t="shared" si="224"/>
        <v>0</v>
      </c>
      <c r="AL988" s="520">
        <f t="shared" si="225"/>
        <v>0</v>
      </c>
      <c r="AM988" s="520">
        <f t="shared" si="226"/>
        <v>0</v>
      </c>
      <c r="AN988" s="521" t="str">
        <f>VLOOKUP($I988,'Price List, Weapons &amp; Items'!A:K,COLUMN('Price List, Weapons &amp; Items'!$I$1),0)</f>
        <v>Contracts</v>
      </c>
      <c r="AO988" s="521" t="str">
        <f>IF(I988=".",".",VLOOKUP($I988,'Price List, Weapons &amp; Items'!A:I,3,0))</f>
        <v>227mm MLRS</v>
      </c>
      <c r="AP988" s="517" t="str">
        <f t="shared" ca="1" si="219"/>
        <v/>
      </c>
      <c r="AQ988" s="521">
        <f>VLOOKUP($I988,'Price List, Weapons &amp; Items'!A:K,COLUMN('Price List, Weapons &amp; Items'!$K$1),0)</f>
        <v>2</v>
      </c>
      <c r="AS988" s="521">
        <f t="shared" si="227"/>
        <v>1</v>
      </c>
      <c r="AT988" s="521">
        <f t="shared" si="228"/>
        <v>1</v>
      </c>
      <c r="AU988" s="521">
        <f t="shared" si="229"/>
        <v>1</v>
      </c>
      <c r="AV988" s="521" t="str">
        <f t="shared" si="230"/>
        <v>.</v>
      </c>
    </row>
    <row r="989" spans="1:48" ht="15" customHeight="1">
      <c r="A989" s="18" t="s">
        <v>2627</v>
      </c>
      <c r="B989" s="18" t="s">
        <v>2548</v>
      </c>
      <c r="C989" s="511">
        <v>44735</v>
      </c>
      <c r="D989" s="18" t="s">
        <v>252</v>
      </c>
      <c r="E989" s="18" t="s">
        <v>1157</v>
      </c>
      <c r="F989" s="512" t="s">
        <v>2657</v>
      </c>
      <c r="G989" s="39" t="s">
        <v>314</v>
      </c>
      <c r="H989" s="513">
        <v>450000000</v>
      </c>
      <c r="I989" s="524" t="s">
        <v>1448</v>
      </c>
      <c r="J989" s="276" t="str">
        <f>VLOOKUP($I989,'Price List, Weapons &amp; Items'!A:B,2,0)</f>
        <v>Ammunition for heavy weapon</v>
      </c>
      <c r="K989" s="276" t="str">
        <f>IF(I989=".",I989,VLOOKUP($I989,'Price List, Weapons &amp; Items'!A:C,3,0))</f>
        <v>105mm</v>
      </c>
      <c r="L989" s="514">
        <f>VLOOKUP(I989,'Price List, Weapons &amp; Items'!A:D,4,0)</f>
        <v>0</v>
      </c>
      <c r="M989" s="515">
        <v>36000</v>
      </c>
      <c r="N989" s="515" t="s">
        <v>232</v>
      </c>
      <c r="O989" s="516">
        <f>VLOOKUP($I989,'Price List, Weapons &amp; Items'!A:F,6,0)</f>
        <v>400</v>
      </c>
      <c r="P989" s="513">
        <f t="shared" si="221"/>
        <v>14400000</v>
      </c>
      <c r="Q989" s="513" t="str">
        <f t="shared" si="222"/>
        <v>.</v>
      </c>
      <c r="R989" s="513" t="str">
        <f t="shared" si="231"/>
        <v/>
      </c>
      <c r="S989" s="513" t="str">
        <f>IF(AND(AD989=1,R989&lt;&gt;".")=TRUE,R989/VLOOKUP(G989,'Exchange rates'!B:C,2,0),IF(R989=".",".",""))</f>
        <v/>
      </c>
      <c r="T989" s="513" t="str">
        <f>IF(AD989=1,IF(AF989="Value is not given at all",".",IF(AF989="Value is given by the source",S989,IF(AF989="Value is calculated with prices",(IF(SUMIFS(Q:Q,A:A,A989)&gt;0,SUMIFS(Q:Q,A:A,A989),"."))/VLOOKUP("USD",'Exchange rates'!B:C,2,0),"Error with coding"))),"")</f>
        <v/>
      </c>
      <c r="U989" s="39" t="s">
        <v>233</v>
      </c>
      <c r="V989" s="376" t="s">
        <v>2658</v>
      </c>
      <c r="W989" s="580" t="s">
        <v>232</v>
      </c>
      <c r="X989" s="531" t="s">
        <v>232</v>
      </c>
      <c r="Y989" s="517" t="s">
        <v>232</v>
      </c>
      <c r="Z989" s="39">
        <v>0</v>
      </c>
      <c r="AA989" s="39">
        <v>0</v>
      </c>
      <c r="AB989" s="41" t="s">
        <v>2659</v>
      </c>
      <c r="AC989" s="519" t="str">
        <f>""</f>
        <v/>
      </c>
      <c r="AD989" s="522">
        <v>0</v>
      </c>
      <c r="AE989" s="522" t="s">
        <v>2590</v>
      </c>
      <c r="AF989" s="522" t="s">
        <v>300</v>
      </c>
      <c r="AG989" s="522">
        <v>1</v>
      </c>
      <c r="AH989" s="522">
        <v>6</v>
      </c>
      <c r="AI989" s="522">
        <v>0</v>
      </c>
      <c r="AJ989" s="520">
        <f>VLOOKUP($I989,'Price List, Weapons &amp; Items'!A:E,5,0)</f>
        <v>0</v>
      </c>
      <c r="AK989" s="520">
        <f t="shared" si="224"/>
        <v>0</v>
      </c>
      <c r="AL989" s="520">
        <f t="shared" si="225"/>
        <v>0</v>
      </c>
      <c r="AM989" s="520">
        <f t="shared" si="226"/>
        <v>1</v>
      </c>
      <c r="AN989" s="521" t="str">
        <f>VLOOKUP($I989,'Price List, Weapons &amp; Items'!A:K,COLUMN('Price List, Weapons &amp; Items'!$I$1),0)</f>
        <v>Military media (incl. websites)</v>
      </c>
      <c r="AO989" s="521" t="str">
        <f>IF(I989=".",".",VLOOKUP($I989,'Price List, Weapons &amp; Items'!A:I,3,0))</f>
        <v>105mm</v>
      </c>
      <c r="AP989" s="517" t="str">
        <f t="shared" ca="1" si="219"/>
        <v/>
      </c>
      <c r="AQ989" s="521">
        <f>VLOOKUP($I989,'Price List, Weapons &amp; Items'!A:K,COLUMN('Price List, Weapons &amp; Items'!$K$1),0)</f>
        <v>2</v>
      </c>
      <c r="AS989" s="521">
        <f t="shared" si="227"/>
        <v>1</v>
      </c>
      <c r="AT989" s="521">
        <f t="shared" si="228"/>
        <v>1</v>
      </c>
      <c r="AU989" s="521">
        <f t="shared" si="229"/>
        <v>1</v>
      </c>
      <c r="AV989" s="521" t="str">
        <f t="shared" si="230"/>
        <v>.</v>
      </c>
    </row>
    <row r="990" spans="1:48" ht="15" customHeight="1">
      <c r="A990" s="18" t="s">
        <v>2627</v>
      </c>
      <c r="B990" s="18" t="s">
        <v>2548</v>
      </c>
      <c r="C990" s="511">
        <v>44735</v>
      </c>
      <c r="D990" s="18" t="s">
        <v>252</v>
      </c>
      <c r="E990" s="18" t="s">
        <v>1157</v>
      </c>
      <c r="F990" s="512" t="s">
        <v>2657</v>
      </c>
      <c r="G990" s="39" t="s">
        <v>314</v>
      </c>
      <c r="H990" s="513">
        <v>450000000</v>
      </c>
      <c r="I990" s="524" t="s">
        <v>2621</v>
      </c>
      <c r="J990" s="276" t="str">
        <f>VLOOKUP($I990,'Price List, Weapons &amp; Items'!A:B,2,0)</f>
        <v>Military equipment</v>
      </c>
      <c r="K990" s="276" t="str">
        <f>IF(I990=".",I990,VLOOKUP($I990,'Price List, Weapons &amp; Items'!A:C,3,0))</f>
        <v>.</v>
      </c>
      <c r="L990" s="514">
        <f>VLOOKUP(I990,'Price List, Weapons &amp; Items'!A:D,4,0)</f>
        <v>0</v>
      </c>
      <c r="M990" s="515">
        <v>18</v>
      </c>
      <c r="N990" s="515" t="s">
        <v>232</v>
      </c>
      <c r="O990" s="516">
        <f>VLOOKUP($I990,'Price List, Weapons &amp; Items'!A:F,6,0)</f>
        <v>350000</v>
      </c>
      <c r="P990" s="513">
        <f t="shared" si="221"/>
        <v>6300000</v>
      </c>
      <c r="Q990" s="513" t="str">
        <f t="shared" si="222"/>
        <v>.</v>
      </c>
      <c r="R990" s="513" t="str">
        <f t="shared" si="231"/>
        <v/>
      </c>
      <c r="S990" s="513" t="str">
        <f>IF(AND(AD990=1,R990&lt;&gt;".")=TRUE,R990/VLOOKUP(G990,'Exchange rates'!B:C,2,0),IF(R990=".",".",""))</f>
        <v/>
      </c>
      <c r="T990" s="513" t="str">
        <f>IF(AD990=1,IF(AF990="Value is not given at all",".",IF(AF990="Value is given by the source",S990,IF(AF990="Value is calculated with prices",(IF(SUMIFS(Q:Q,A:A,A990)&gt;0,SUMIFS(Q:Q,A:A,A990),"."))/VLOOKUP("USD",'Exchange rates'!B:C,2,0),"Error with coding"))),"")</f>
        <v/>
      </c>
      <c r="U990" s="39" t="s">
        <v>233</v>
      </c>
      <c r="V990" s="376" t="s">
        <v>2658</v>
      </c>
      <c r="W990" s="580" t="s">
        <v>232</v>
      </c>
      <c r="X990" s="531" t="s">
        <v>232</v>
      </c>
      <c r="Y990" s="517" t="s">
        <v>232</v>
      </c>
      <c r="Z990" s="39">
        <v>0</v>
      </c>
      <c r="AA990" s="39">
        <v>0</v>
      </c>
      <c r="AB990" s="41" t="s">
        <v>2659</v>
      </c>
      <c r="AC990" s="519" t="str">
        <f>""</f>
        <v/>
      </c>
      <c r="AD990" s="522">
        <v>0</v>
      </c>
      <c r="AE990" s="522" t="s">
        <v>2590</v>
      </c>
      <c r="AF990" s="522" t="s">
        <v>300</v>
      </c>
      <c r="AG990" s="522">
        <v>1</v>
      </c>
      <c r="AH990" s="522">
        <v>6</v>
      </c>
      <c r="AI990" s="522">
        <v>0</v>
      </c>
      <c r="AJ990" s="520">
        <f>VLOOKUP($I990,'Price List, Weapons &amp; Items'!A:E,5,0)</f>
        <v>0</v>
      </c>
      <c r="AK990" s="520">
        <f t="shared" si="224"/>
        <v>0</v>
      </c>
      <c r="AL990" s="520">
        <f t="shared" si="225"/>
        <v>0</v>
      </c>
      <c r="AM990" s="520">
        <f t="shared" si="226"/>
        <v>0</v>
      </c>
      <c r="AN990" s="521" t="str">
        <f>VLOOKUP($I990,'Price List, Weapons &amp; Items'!A:K,COLUMN('Price List, Weapons &amp; Items'!$I$1),0)</f>
        <v>Media reports (incl. social media)</v>
      </c>
      <c r="AO990" s="521" t="str">
        <f>IF(I990=".",".",VLOOKUP($I990,'Price List, Weapons &amp; Items'!A:I,3,0))</f>
        <v>.</v>
      </c>
      <c r="AP990" s="517" t="str">
        <f t="shared" ca="1" si="219"/>
        <v/>
      </c>
      <c r="AQ990" s="521">
        <f>VLOOKUP($I990,'Price List, Weapons &amp; Items'!A:K,COLUMN('Price List, Weapons &amp; Items'!$K$1),0)</f>
        <v>2</v>
      </c>
      <c r="AS990" s="521">
        <f t="shared" si="227"/>
        <v>1</v>
      </c>
      <c r="AT990" s="521">
        <f t="shared" si="228"/>
        <v>1</v>
      </c>
      <c r="AU990" s="521">
        <f t="shared" si="229"/>
        <v>1</v>
      </c>
      <c r="AV990" s="521" t="str">
        <f t="shared" si="230"/>
        <v>.</v>
      </c>
    </row>
    <row r="991" spans="1:48" ht="15" customHeight="1">
      <c r="A991" s="18" t="s">
        <v>2627</v>
      </c>
      <c r="B991" s="18" t="s">
        <v>2548</v>
      </c>
      <c r="C991" s="511">
        <v>44735</v>
      </c>
      <c r="D991" s="18" t="s">
        <v>252</v>
      </c>
      <c r="E991" s="18" t="s">
        <v>1157</v>
      </c>
      <c r="F991" s="512" t="s">
        <v>2657</v>
      </c>
      <c r="G991" s="39" t="s">
        <v>314</v>
      </c>
      <c r="H991" s="513">
        <v>450000000</v>
      </c>
      <c r="I991" s="41" t="s">
        <v>2596</v>
      </c>
      <c r="J991" s="276" t="str">
        <f>VLOOKUP($I991,'Price List, Weapons &amp; Items'!A:B,2,0)</f>
        <v>Portable defence system</v>
      </c>
      <c r="K991" s="276" t="str">
        <f>IF(I991=".",I991,VLOOKUP($I991,'Price List, Weapons &amp; Items'!A:C,3,0))</f>
        <v>Under-barrel grenade launcher</v>
      </c>
      <c r="L991" s="514">
        <f>VLOOKUP(I991,'Price List, Weapons &amp; Items'!A:D,4,0)</f>
        <v>0</v>
      </c>
      <c r="M991" s="515">
        <v>1200</v>
      </c>
      <c r="N991" s="515" t="s">
        <v>232</v>
      </c>
      <c r="O991" s="516">
        <f>VLOOKUP($I991,'Price List, Weapons &amp; Items'!A:F,6,0)</f>
        <v>2291</v>
      </c>
      <c r="P991" s="513">
        <f t="shared" si="221"/>
        <v>2749200</v>
      </c>
      <c r="Q991" s="513" t="str">
        <f t="shared" si="222"/>
        <v>.</v>
      </c>
      <c r="R991" s="513" t="str">
        <f t="shared" si="231"/>
        <v/>
      </c>
      <c r="S991" s="513" t="str">
        <f>IF(AND(AD991=1,R991&lt;&gt;".")=TRUE,R991/VLOOKUP(G991,'Exchange rates'!B:C,2,0),IF(R991=".",".",""))</f>
        <v/>
      </c>
      <c r="T991" s="513" t="str">
        <f>IF(AD991=1,IF(AF991="Value is not given at all",".",IF(AF991="Value is given by the source",S991,IF(AF991="Value is calculated with prices",(IF(SUMIFS(Q:Q,A:A,A991)&gt;0,SUMIFS(Q:Q,A:A,A991),"."))/VLOOKUP("USD",'Exchange rates'!B:C,2,0),"Error with coding"))),"")</f>
        <v/>
      </c>
      <c r="U991" s="39" t="s">
        <v>233</v>
      </c>
      <c r="V991" s="376" t="s">
        <v>2658</v>
      </c>
      <c r="W991" s="580" t="s">
        <v>232</v>
      </c>
      <c r="X991" s="531" t="s">
        <v>232</v>
      </c>
      <c r="Y991" s="517" t="s">
        <v>232</v>
      </c>
      <c r="Z991" s="39">
        <v>0</v>
      </c>
      <c r="AA991" s="39">
        <v>0</v>
      </c>
      <c r="AB991" s="41" t="s">
        <v>2659</v>
      </c>
      <c r="AC991" s="519" t="str">
        <f>""</f>
        <v/>
      </c>
      <c r="AD991" s="522">
        <v>0</v>
      </c>
      <c r="AE991" s="522" t="s">
        <v>2590</v>
      </c>
      <c r="AF991" s="522" t="s">
        <v>300</v>
      </c>
      <c r="AG991" s="522">
        <v>1</v>
      </c>
      <c r="AH991" s="522">
        <v>6</v>
      </c>
      <c r="AI991" s="522">
        <v>0</v>
      </c>
      <c r="AJ991" s="520">
        <f>VLOOKUP($I991,'Price List, Weapons &amp; Items'!A:E,5,0)</f>
        <v>0</v>
      </c>
      <c r="AK991" s="520">
        <f t="shared" si="224"/>
        <v>0</v>
      </c>
      <c r="AL991" s="520">
        <f t="shared" si="225"/>
        <v>0</v>
      </c>
      <c r="AM991" s="520">
        <f t="shared" si="226"/>
        <v>0</v>
      </c>
      <c r="AN991" s="521" t="str">
        <f>VLOOKUP($I991,'Price List, Weapons &amp; Items'!A:K,COLUMN('Price List, Weapons &amp; Items'!$I$1),0)</f>
        <v>Miscellaneous</v>
      </c>
      <c r="AO991" s="521" t="str">
        <f>IF(I991=".",".",VLOOKUP($I991,'Price List, Weapons &amp; Items'!A:I,3,0))</f>
        <v>Under-barrel grenade launcher</v>
      </c>
      <c r="AP991" s="517" t="str">
        <f t="shared" ca="1" si="219"/>
        <v/>
      </c>
      <c r="AQ991" s="521">
        <f>VLOOKUP($I991,'Price List, Weapons &amp; Items'!A:K,COLUMN('Price List, Weapons &amp; Items'!$K$1),0)</f>
        <v>2</v>
      </c>
      <c r="AS991" s="521">
        <f t="shared" si="227"/>
        <v>1</v>
      </c>
      <c r="AT991" s="521">
        <f t="shared" si="228"/>
        <v>1</v>
      </c>
      <c r="AU991" s="521">
        <f t="shared" si="229"/>
        <v>1</v>
      </c>
      <c r="AV991" s="521" t="str">
        <f t="shared" si="230"/>
        <v>.</v>
      </c>
    </row>
    <row r="992" spans="1:48" ht="15" customHeight="1">
      <c r="A992" s="18" t="s">
        <v>2627</v>
      </c>
      <c r="B992" s="18" t="s">
        <v>2548</v>
      </c>
      <c r="C992" s="511">
        <v>44735</v>
      </c>
      <c r="D992" s="18" t="s">
        <v>252</v>
      </c>
      <c r="E992" s="18" t="s">
        <v>1157</v>
      </c>
      <c r="F992" s="512" t="s">
        <v>2657</v>
      </c>
      <c r="G992" s="39" t="s">
        <v>314</v>
      </c>
      <c r="H992" s="513">
        <v>450000000</v>
      </c>
      <c r="I992" s="524" t="s">
        <v>2599</v>
      </c>
      <c r="J992" s="276" t="str">
        <f>VLOOKUP($I992,'Price List, Weapons &amp; Items'!A:B,2,0)</f>
        <v>Light armaments &amp; infantry</v>
      </c>
      <c r="K992" s="276" t="str">
        <f>IF(I992=".",I992,VLOOKUP($I992,'Price List, Weapons &amp; Items'!A:C,3,0))</f>
        <v>Small Arms and Light Weapons (SALW)</v>
      </c>
      <c r="L992" s="514">
        <f>VLOOKUP(I992,'Price List, Weapons &amp; Items'!A:D,4,0)</f>
        <v>0</v>
      </c>
      <c r="M992" s="515">
        <v>2000</v>
      </c>
      <c r="N992" s="515" t="s">
        <v>232</v>
      </c>
      <c r="O992" s="516">
        <f>VLOOKUP($I992,'Price List, Weapons &amp; Items'!A:F,6,0)</f>
        <v>5300</v>
      </c>
      <c r="P992" s="513">
        <f t="shared" si="221"/>
        <v>10600000</v>
      </c>
      <c r="Q992" s="513" t="str">
        <f t="shared" si="222"/>
        <v>.</v>
      </c>
      <c r="R992" s="513" t="str">
        <f t="shared" si="231"/>
        <v/>
      </c>
      <c r="S992" s="513" t="str">
        <f>IF(AND(AD992=1,R992&lt;&gt;".")=TRUE,R992/VLOOKUP(G992,'Exchange rates'!B:C,2,0),IF(R992=".",".",""))</f>
        <v/>
      </c>
      <c r="T992" s="513" t="str">
        <f>IF(AD992=1,IF(AF992="Value is not given at all",".",IF(AF992="Value is given by the source",S992,IF(AF992="Value is calculated with prices",(IF(SUMIFS(Q:Q,A:A,A992)&gt;0,SUMIFS(Q:Q,A:A,A992),"."))/VLOOKUP("USD",'Exchange rates'!B:C,2,0),"Error with coding"))),"")</f>
        <v/>
      </c>
      <c r="U992" s="39" t="s">
        <v>233</v>
      </c>
      <c r="V992" s="376" t="s">
        <v>2658</v>
      </c>
      <c r="W992" s="580" t="s">
        <v>232</v>
      </c>
      <c r="X992" s="531" t="s">
        <v>232</v>
      </c>
      <c r="Y992" s="517" t="s">
        <v>232</v>
      </c>
      <c r="Z992" s="39">
        <v>0</v>
      </c>
      <c r="AA992" s="39">
        <v>0</v>
      </c>
      <c r="AB992" s="41" t="s">
        <v>2659</v>
      </c>
      <c r="AC992" s="519" t="str">
        <f>""</f>
        <v/>
      </c>
      <c r="AD992" s="522">
        <v>0</v>
      </c>
      <c r="AE992" s="522" t="s">
        <v>2590</v>
      </c>
      <c r="AF992" s="522" t="s">
        <v>300</v>
      </c>
      <c r="AG992" s="522">
        <v>1</v>
      </c>
      <c r="AH992" s="522">
        <v>6</v>
      </c>
      <c r="AI992" s="522">
        <v>0</v>
      </c>
      <c r="AJ992" s="520">
        <f>VLOOKUP($I992,'Price List, Weapons &amp; Items'!A:E,5,0)</f>
        <v>0</v>
      </c>
      <c r="AK992" s="520">
        <f t="shared" si="224"/>
        <v>0</v>
      </c>
      <c r="AL992" s="520">
        <f t="shared" si="225"/>
        <v>0</v>
      </c>
      <c r="AM992" s="520">
        <f t="shared" si="226"/>
        <v>0</v>
      </c>
      <c r="AN992" s="521" t="str">
        <f>VLOOKUP($I992,'Price List, Weapons &amp; Items'!A:K,COLUMN('Price List, Weapons &amp; Items'!$I$1),0)</f>
        <v>Miscellaneous</v>
      </c>
      <c r="AO992" s="521" t="str">
        <f>IF(I992=".",".",VLOOKUP($I992,'Price List, Weapons &amp; Items'!A:I,3,0))</f>
        <v>Small Arms and Light Weapons (SALW)</v>
      </c>
      <c r="AP992" s="517" t="str">
        <f t="shared" ca="1" si="219"/>
        <v/>
      </c>
      <c r="AQ992" s="521">
        <f>VLOOKUP($I992,'Price List, Weapons &amp; Items'!A:K,COLUMN('Price List, Weapons &amp; Items'!$K$1),0)</f>
        <v>2</v>
      </c>
      <c r="AS992" s="521">
        <f t="shared" si="227"/>
        <v>1</v>
      </c>
      <c r="AT992" s="521">
        <f t="shared" si="228"/>
        <v>1</v>
      </c>
      <c r="AU992" s="521">
        <f t="shared" si="229"/>
        <v>1</v>
      </c>
      <c r="AV992" s="521" t="str">
        <f t="shared" si="230"/>
        <v>.</v>
      </c>
    </row>
    <row r="993" spans="1:48" ht="15" customHeight="1">
      <c r="A993" s="18" t="s">
        <v>2627</v>
      </c>
      <c r="B993" s="18" t="s">
        <v>2548</v>
      </c>
      <c r="C993" s="511">
        <v>44735</v>
      </c>
      <c r="D993" s="18" t="s">
        <v>252</v>
      </c>
      <c r="E993" s="18" t="s">
        <v>1157</v>
      </c>
      <c r="F993" s="512" t="s">
        <v>2657</v>
      </c>
      <c r="G993" s="39" t="s">
        <v>314</v>
      </c>
      <c r="H993" s="513">
        <v>450000000</v>
      </c>
      <c r="I993" s="524" t="s">
        <v>2660</v>
      </c>
      <c r="J993" s="276" t="str">
        <f>VLOOKUP($I993,'Price List, Weapons &amp; Items'!A:B,2,0)</f>
        <v>Heavy weapon</v>
      </c>
      <c r="K993" s="276" t="str">
        <f>IF(I993=".",I993,VLOOKUP($I993,'Price List, Weapons &amp; Items'!A:C,3,0))</f>
        <v>Patrol and coastal combatants</v>
      </c>
      <c r="L993" s="514">
        <f>VLOOKUP(I993,'Price List, Weapons &amp; Items'!A:D,4,0)</f>
        <v>0</v>
      </c>
      <c r="M993" s="515">
        <v>18</v>
      </c>
      <c r="N993" s="515" t="s">
        <v>232</v>
      </c>
      <c r="O993" s="516">
        <f>VLOOKUP($I993,'Price List, Weapons &amp; Items'!A:F,6,0)</f>
        <v>39916727.899999999</v>
      </c>
      <c r="P993" s="513">
        <f t="shared" si="221"/>
        <v>718501102.19999993</v>
      </c>
      <c r="Q993" s="513" t="str">
        <f t="shared" si="222"/>
        <v>.</v>
      </c>
      <c r="R993" s="513" t="str">
        <f t="shared" si="231"/>
        <v/>
      </c>
      <c r="S993" s="513" t="str">
        <f>IF(AND(AD993=1,R993&lt;&gt;".")=TRUE,R993/VLOOKUP(G993,'Exchange rates'!B:C,2,0),IF(R993=".",".",""))</f>
        <v/>
      </c>
      <c r="T993" s="513" t="str">
        <f>IF(AD993=1,IF(AF993="Value is not given at all",".",IF(AF993="Value is given by the source",S993,IF(AF993="Value is calculated with prices",(IF(SUMIFS(Q:Q,A:A,A993)&gt;0,SUMIFS(Q:Q,A:A,A993),"."))/VLOOKUP("USD",'Exchange rates'!B:C,2,0),"Error with coding"))),"")</f>
        <v/>
      </c>
      <c r="U993" s="39" t="s">
        <v>233</v>
      </c>
      <c r="V993" s="376" t="s">
        <v>2658</v>
      </c>
      <c r="W993" s="580" t="s">
        <v>232</v>
      </c>
      <c r="X993" s="531" t="s">
        <v>232</v>
      </c>
      <c r="Y993" s="517" t="s">
        <v>232</v>
      </c>
      <c r="Z993" s="39">
        <v>0</v>
      </c>
      <c r="AA993" s="39">
        <v>0</v>
      </c>
      <c r="AB993" s="41" t="s">
        <v>2659</v>
      </c>
      <c r="AC993" s="519" t="str">
        <f>""</f>
        <v/>
      </c>
      <c r="AD993" s="522">
        <v>0</v>
      </c>
      <c r="AE993" s="522" t="s">
        <v>2590</v>
      </c>
      <c r="AF993" s="522" t="s">
        <v>300</v>
      </c>
      <c r="AG993" s="522">
        <v>1</v>
      </c>
      <c r="AH993" s="522">
        <v>6</v>
      </c>
      <c r="AI993" s="522">
        <v>0</v>
      </c>
      <c r="AJ993" s="520">
        <f>VLOOKUP($I993,'Price List, Weapons &amp; Items'!A:E,5,0)</f>
        <v>0</v>
      </c>
      <c r="AK993" s="520">
        <f t="shared" si="224"/>
        <v>0</v>
      </c>
      <c r="AL993" s="520">
        <f t="shared" si="225"/>
        <v>0</v>
      </c>
      <c r="AM993" s="520">
        <f t="shared" si="226"/>
        <v>0</v>
      </c>
      <c r="AN993" s="521" t="str">
        <f>VLOOKUP($I993,'Price List, Weapons &amp; Items'!A:K,COLUMN('Price List, Weapons &amp; Items'!$I$1),0)</f>
        <v>Military media (incl. websites)</v>
      </c>
      <c r="AO993" s="521" t="str">
        <f>IF(I993=".",".",VLOOKUP($I993,'Price List, Weapons &amp; Items'!A:I,3,0))</f>
        <v>Patrol and coastal combatants</v>
      </c>
      <c r="AP993" s="517" t="str">
        <f t="shared" ca="1" si="219"/>
        <v/>
      </c>
      <c r="AQ993" s="521">
        <f>VLOOKUP($I993,'Price List, Weapons &amp; Items'!A:K,COLUMN('Price List, Weapons &amp; Items'!$K$1),0)</f>
        <v>2</v>
      </c>
      <c r="AS993" s="521">
        <f t="shared" si="227"/>
        <v>1</v>
      </c>
      <c r="AT993" s="521">
        <f t="shared" si="228"/>
        <v>1</v>
      </c>
      <c r="AU993" s="521">
        <f t="shared" si="229"/>
        <v>1</v>
      </c>
      <c r="AV993" s="521" t="str">
        <f t="shared" si="230"/>
        <v>.</v>
      </c>
    </row>
    <row r="994" spans="1:48" ht="15" customHeight="1">
      <c r="A994" s="18" t="s">
        <v>2627</v>
      </c>
      <c r="B994" s="18" t="s">
        <v>2548</v>
      </c>
      <c r="C994" s="511">
        <v>44735</v>
      </c>
      <c r="D994" s="18" t="s">
        <v>252</v>
      </c>
      <c r="E994" s="18" t="s">
        <v>1157</v>
      </c>
      <c r="F994" s="512" t="s">
        <v>2657</v>
      </c>
      <c r="G994" s="39" t="s">
        <v>314</v>
      </c>
      <c r="H994" s="513">
        <v>450000000</v>
      </c>
      <c r="I994" s="524" t="s">
        <v>420</v>
      </c>
      <c r="J994" s="276" t="str">
        <f>VLOOKUP($I994,'Price List, Weapons &amp; Items'!A:B,2,0)</f>
        <v>Military equipment</v>
      </c>
      <c r="K994" s="276" t="str">
        <f>IF(I994=".",I994,VLOOKUP($I994,'Price List, Weapons &amp; Items'!A:C,3,0))</f>
        <v>spare parts</v>
      </c>
      <c r="L994" s="514">
        <f>VLOOKUP(I994,'Price List, Weapons &amp; Items'!A:D,4,0)</f>
        <v>0</v>
      </c>
      <c r="M994" s="515" t="s">
        <v>232</v>
      </c>
      <c r="N994" s="515" t="s">
        <v>232</v>
      </c>
      <c r="O994" s="516" t="str">
        <f>VLOOKUP($I994,'Price List, Weapons &amp; Items'!A:F,6,0)</f>
        <v>.</v>
      </c>
      <c r="P994" s="513" t="str">
        <f t="shared" si="221"/>
        <v>.</v>
      </c>
      <c r="Q994" s="513" t="str">
        <f t="shared" si="222"/>
        <v>.</v>
      </c>
      <c r="R994" s="513" t="str">
        <f t="shared" si="231"/>
        <v/>
      </c>
      <c r="S994" s="513" t="str">
        <f>IF(AND(AD994=1,R994&lt;&gt;".")=TRUE,R994/VLOOKUP(G994,'Exchange rates'!B:C,2,0),IF(R994=".",".",""))</f>
        <v/>
      </c>
      <c r="T994" s="513" t="str">
        <f>IF(AD994=1,IF(AF994="Value is not given at all",".",IF(AF994="Value is given by the source",S994,IF(AF994="Value is calculated with prices",(IF(SUMIFS(Q:Q,A:A,A994)&gt;0,SUMIFS(Q:Q,A:A,A994),"."))/VLOOKUP("USD",'Exchange rates'!B:C,2,0),"Error with coding"))),"")</f>
        <v/>
      </c>
      <c r="U994" s="39" t="s">
        <v>233</v>
      </c>
      <c r="V994" s="376" t="s">
        <v>2658</v>
      </c>
      <c r="W994" s="580" t="s">
        <v>232</v>
      </c>
      <c r="X994" s="531" t="s">
        <v>232</v>
      </c>
      <c r="Y994" s="517" t="s">
        <v>232</v>
      </c>
      <c r="Z994" s="39">
        <v>0</v>
      </c>
      <c r="AA994" s="39">
        <v>0</v>
      </c>
      <c r="AB994" s="41" t="s">
        <v>2659</v>
      </c>
      <c r="AC994" s="519" t="str">
        <f>""</f>
        <v/>
      </c>
      <c r="AD994" s="522">
        <v>0</v>
      </c>
      <c r="AE994" s="522" t="s">
        <v>2590</v>
      </c>
      <c r="AF994" s="522" t="s">
        <v>300</v>
      </c>
      <c r="AG994" s="522">
        <v>1</v>
      </c>
      <c r="AH994" s="522">
        <v>6</v>
      </c>
      <c r="AI994" s="522">
        <v>0</v>
      </c>
      <c r="AJ994" s="520">
        <f>VLOOKUP($I994,'Price List, Weapons &amp; Items'!A:E,5,0)</f>
        <v>0</v>
      </c>
      <c r="AK994" s="520">
        <f t="shared" si="224"/>
        <v>0</v>
      </c>
      <c r="AL994" s="520">
        <f t="shared" si="225"/>
        <v>0</v>
      </c>
      <c r="AM994" s="520">
        <f t="shared" si="226"/>
        <v>0</v>
      </c>
      <c r="AN994" s="521" t="str">
        <f>VLOOKUP($I994,'Price List, Weapons &amp; Items'!A:K,COLUMN('Price List, Weapons &amp; Items'!$I$1),0)</f>
        <v>.</v>
      </c>
      <c r="AO994" s="521" t="str">
        <f>IF(I994=".",".",VLOOKUP($I994,'Price List, Weapons &amp; Items'!A:I,3,0))</f>
        <v>spare parts</v>
      </c>
      <c r="AP994" s="517" t="str">
        <f t="shared" ca="1" si="219"/>
        <v/>
      </c>
      <c r="AQ994" s="521" t="str">
        <f>VLOOKUP($I994,'Price List, Weapons &amp; Items'!A:K,COLUMN('Price List, Weapons &amp; Items'!$K$1),0)</f>
        <v>no price, 0 count</v>
      </c>
      <c r="AS994" s="521">
        <f t="shared" si="227"/>
        <v>1</v>
      </c>
      <c r="AT994" s="521">
        <f t="shared" si="228"/>
        <v>1</v>
      </c>
      <c r="AU994" s="521">
        <f t="shared" si="229"/>
        <v>1</v>
      </c>
      <c r="AV994" s="521" t="str">
        <f t="shared" si="230"/>
        <v>.</v>
      </c>
    </row>
    <row r="995" spans="1:48" ht="15" customHeight="1">
      <c r="A995" s="18" t="s">
        <v>2627</v>
      </c>
      <c r="B995" s="18" t="s">
        <v>2548</v>
      </c>
      <c r="C995" s="511">
        <v>44743</v>
      </c>
      <c r="D995" s="18" t="s">
        <v>252</v>
      </c>
      <c r="E995" s="18" t="s">
        <v>1157</v>
      </c>
      <c r="F995" s="512" t="s">
        <v>2661</v>
      </c>
      <c r="G995" s="39" t="s">
        <v>314</v>
      </c>
      <c r="H995" s="513">
        <v>50000000</v>
      </c>
      <c r="I995" s="41" t="s">
        <v>2655</v>
      </c>
      <c r="J995" s="276" t="str">
        <f>VLOOKUP($I995,'Price List, Weapons &amp; Items'!A:B,2,0)</f>
        <v>Ammunition for heavy weapon</v>
      </c>
      <c r="K995" s="276" t="str">
        <f>IF(I995=".",I995,VLOOKUP($I995,'Price List, Weapons &amp; Items'!A:C,3,0))</f>
        <v>227mm MLRS ammunition</v>
      </c>
      <c r="L995" s="514">
        <f>VLOOKUP(I995,'Price List, Weapons &amp; Items'!A:D,4,0)</f>
        <v>0</v>
      </c>
      <c r="M995" s="515" t="s">
        <v>264</v>
      </c>
      <c r="N995" s="515" t="s">
        <v>232</v>
      </c>
      <c r="O995" s="516">
        <f>VLOOKUP($I995,'Price List, Weapons &amp; Items'!A:F,6,0)</f>
        <v>150000</v>
      </c>
      <c r="P995" s="513" t="str">
        <f t="shared" si="221"/>
        <v>.</v>
      </c>
      <c r="Q995" s="513" t="str">
        <f t="shared" si="222"/>
        <v>.</v>
      </c>
      <c r="R995" s="513" t="str">
        <f t="shared" si="231"/>
        <v/>
      </c>
      <c r="S995" s="513" t="str">
        <f>IF(AND(AD995=1,R995&lt;&gt;".")=TRUE,R995/VLOOKUP(G995,'Exchange rates'!B:C,2,0),IF(R995=".",".",""))</f>
        <v/>
      </c>
      <c r="T995" s="513" t="str">
        <f>IF(AD995=1,IF(AF995="Value is not given at all",".",IF(AF995="Value is given by the source",S995,IF(AF995="Value is calculated with prices",(IF(SUMIFS(Q:Q,A:A,A995)&gt;0,SUMIFS(Q:Q,A:A,A995),"."))/VLOOKUP("USD",'Exchange rates'!B:C,2,0),"Error with coding"))),"")</f>
        <v/>
      </c>
      <c r="U995" s="39" t="s">
        <v>233</v>
      </c>
      <c r="V995" s="42" t="s">
        <v>2662</v>
      </c>
      <c r="W995" s="531" t="s">
        <v>232</v>
      </c>
      <c r="X995" s="531" t="s">
        <v>232</v>
      </c>
      <c r="Y995" s="517" t="s">
        <v>232</v>
      </c>
      <c r="Z995" s="39">
        <v>0</v>
      </c>
      <c r="AA995" s="39">
        <v>0</v>
      </c>
      <c r="AB995" s="41" t="s">
        <v>2659</v>
      </c>
      <c r="AC995" s="519" t="str">
        <f>""</f>
        <v/>
      </c>
      <c r="AD995" s="522">
        <v>0</v>
      </c>
      <c r="AE995" s="522" t="s">
        <v>2590</v>
      </c>
      <c r="AF995" s="522" t="s">
        <v>300</v>
      </c>
      <c r="AG995" s="522">
        <v>1</v>
      </c>
      <c r="AH995" s="520">
        <v>7</v>
      </c>
      <c r="AI995" s="520">
        <v>0</v>
      </c>
      <c r="AJ995" s="520">
        <f>VLOOKUP($I995,'Price List, Weapons &amp; Items'!A:E,5,0)</f>
        <v>1</v>
      </c>
      <c r="AK995" s="520">
        <f t="shared" si="224"/>
        <v>1</v>
      </c>
      <c r="AL995" s="520">
        <f t="shared" si="225"/>
        <v>0</v>
      </c>
      <c r="AM995" s="520">
        <f t="shared" si="226"/>
        <v>1</v>
      </c>
      <c r="AN995" s="521" t="str">
        <f>VLOOKUP($I995,'Price List, Weapons &amp; Items'!A:K,COLUMN('Price List, Weapons &amp; Items'!$I$1),0)</f>
        <v>Media reports (incl. social media)</v>
      </c>
      <c r="AO995" s="521" t="str">
        <f>IF(I995=".",".",VLOOKUP($I995,'Price List, Weapons &amp; Items'!A:I,3,0))</f>
        <v>227mm MLRS ammunition</v>
      </c>
      <c r="AP995" s="517" t="str">
        <f t="shared" ca="1" si="219"/>
        <v/>
      </c>
      <c r="AQ995" s="521" t="str">
        <f>VLOOKUP($I995,'Price List, Weapons &amp; Items'!A:K,COLUMN('Price List, Weapons &amp; Items'!$K$1),0)</f>
        <v>no price, 0 count</v>
      </c>
      <c r="AS995" s="521">
        <f t="shared" si="227"/>
        <v>1</v>
      </c>
      <c r="AT995" s="521">
        <f t="shared" si="228"/>
        <v>1</v>
      </c>
      <c r="AU995" s="521">
        <f t="shared" si="229"/>
        <v>1</v>
      </c>
      <c r="AV995" s="521" t="str">
        <f t="shared" si="230"/>
        <v>.</v>
      </c>
    </row>
    <row r="996" spans="1:48" ht="15" customHeight="1">
      <c r="A996" s="18" t="s">
        <v>2627</v>
      </c>
      <c r="B996" s="18" t="s">
        <v>2548</v>
      </c>
      <c r="C996" s="511">
        <v>44751</v>
      </c>
      <c r="D996" s="18" t="s">
        <v>252</v>
      </c>
      <c r="E996" s="18" t="s">
        <v>1157</v>
      </c>
      <c r="F996" s="512" t="s">
        <v>2663</v>
      </c>
      <c r="G996" s="39" t="s">
        <v>314</v>
      </c>
      <c r="H996" s="513">
        <v>400000000</v>
      </c>
      <c r="I996" s="41" t="s">
        <v>2638</v>
      </c>
      <c r="J996" s="276" t="str">
        <f>VLOOKUP($I996,'Price List, Weapons &amp; Items'!A:B,2,0)</f>
        <v>Heavy weapon</v>
      </c>
      <c r="K996" s="276" t="str">
        <f>IF(I996=".",I996,VLOOKUP($I996,'Price List, Weapons &amp; Items'!A:C,3,0))</f>
        <v>227mm MLRS</v>
      </c>
      <c r="L996" s="514">
        <f>VLOOKUP(I996,'Price List, Weapons &amp; Items'!A:D,4,0)</f>
        <v>0</v>
      </c>
      <c r="M996" s="515">
        <v>4</v>
      </c>
      <c r="N996" s="515">
        <v>4</v>
      </c>
      <c r="O996" s="516">
        <f>VLOOKUP($I996,'Price List, Weapons &amp; Items'!A:F,6,0)</f>
        <v>15076313.029999999</v>
      </c>
      <c r="P996" s="513">
        <f t="shared" si="221"/>
        <v>60305252.119999997</v>
      </c>
      <c r="Q996" s="513">
        <f t="shared" si="222"/>
        <v>60305252.119999997</v>
      </c>
      <c r="R996" s="513" t="str">
        <f t="shared" si="231"/>
        <v/>
      </c>
      <c r="S996" s="513" t="str">
        <f>IF(AND(AD996=1,R996&lt;&gt;".")=TRUE,R996/VLOOKUP(G996,'Exchange rates'!B:C,2,0),IF(R996=".",".",""))</f>
        <v/>
      </c>
      <c r="T996" s="513" t="str">
        <f>IF(AD996=1,IF(AF996="Value is not given at all",".",IF(AF996="Value is given by the source",S996,IF(AF996="Value is calculated with prices",(IF(SUMIFS(Q:Q,A:A,A996)&gt;0,SUMIFS(Q:Q,A:A,A996),"."))/VLOOKUP("USD",'Exchange rates'!B:C,2,0),"Error with coding"))),"")</f>
        <v/>
      </c>
      <c r="U996" s="39" t="s">
        <v>233</v>
      </c>
      <c r="V996" s="376" t="s">
        <v>2664</v>
      </c>
      <c r="W996" s="580" t="s">
        <v>2665</v>
      </c>
      <c r="X996" s="825" t="s">
        <v>232</v>
      </c>
      <c r="Y996" s="517" t="s">
        <v>232</v>
      </c>
      <c r="Z996" s="39">
        <v>0</v>
      </c>
      <c r="AA996" s="518">
        <v>0</v>
      </c>
      <c r="AB996" s="395" t="s">
        <v>2666</v>
      </c>
      <c r="AC996" s="519" t="str">
        <f>""</f>
        <v/>
      </c>
      <c r="AD996" s="522">
        <v>0</v>
      </c>
      <c r="AE996" s="522" t="s">
        <v>2590</v>
      </c>
      <c r="AF996" s="522" t="s">
        <v>300</v>
      </c>
      <c r="AG996" s="522">
        <v>1</v>
      </c>
      <c r="AH996" s="522">
        <v>7</v>
      </c>
      <c r="AI996" s="522">
        <v>0</v>
      </c>
      <c r="AJ996" s="520">
        <f>VLOOKUP($I996,'Price List, Weapons &amp; Items'!A:E,5,0)</f>
        <v>1</v>
      </c>
      <c r="AK996" s="520">
        <f t="shared" si="224"/>
        <v>0</v>
      </c>
      <c r="AL996" s="520">
        <f t="shared" si="225"/>
        <v>0</v>
      </c>
      <c r="AM996" s="520">
        <f t="shared" si="226"/>
        <v>0</v>
      </c>
      <c r="AN996" s="521" t="str">
        <f>VLOOKUP($I996,'Price List, Weapons &amp; Items'!A:K,COLUMN('Price List, Weapons &amp; Items'!$I$1),0)</f>
        <v>Contracts</v>
      </c>
      <c r="AO996" s="521" t="str">
        <f>IF(I996=".",".",VLOOKUP($I996,'Price List, Weapons &amp; Items'!A:I,3,0))</f>
        <v>227mm MLRS</v>
      </c>
      <c r="AP996" s="517" t="str">
        <f t="shared" ref="AP996:AP1059" ca="1" si="232">IF(AD996=1,_xlfn.ARRAYTOTEXT(OFFSET(I996,0,0,COUNTIF(A:A,A996),1)),"")</f>
        <v/>
      </c>
      <c r="AQ996" s="521">
        <f>VLOOKUP($I996,'Price List, Weapons &amp; Items'!A:K,COLUMN('Price List, Weapons &amp; Items'!$K$1),0)</f>
        <v>2</v>
      </c>
      <c r="AS996" s="521">
        <f t="shared" si="227"/>
        <v>1</v>
      </c>
      <c r="AT996" s="521">
        <f t="shared" si="228"/>
        <v>1</v>
      </c>
      <c r="AU996" s="521">
        <f t="shared" si="229"/>
        <v>1</v>
      </c>
      <c r="AV996" s="521" t="str">
        <f t="shared" si="230"/>
        <v>.</v>
      </c>
    </row>
    <row r="997" spans="1:48" ht="15" customHeight="1">
      <c r="A997" s="18" t="s">
        <v>2627</v>
      </c>
      <c r="B997" s="18" t="s">
        <v>2548</v>
      </c>
      <c r="C997" s="511">
        <v>44751</v>
      </c>
      <c r="D997" s="18" t="s">
        <v>252</v>
      </c>
      <c r="E997" s="18" t="s">
        <v>1157</v>
      </c>
      <c r="F997" s="512" t="s">
        <v>2663</v>
      </c>
      <c r="G997" s="39" t="s">
        <v>314</v>
      </c>
      <c r="H997" s="513">
        <v>400000000</v>
      </c>
      <c r="I997" s="41" t="s">
        <v>2655</v>
      </c>
      <c r="J997" s="276" t="str">
        <f>VLOOKUP($I997,'Price List, Weapons &amp; Items'!A:B,2,0)</f>
        <v>Ammunition for heavy weapon</v>
      </c>
      <c r="K997" s="276" t="str">
        <f>IF(I997=".",I997,VLOOKUP($I997,'Price List, Weapons &amp; Items'!A:C,3,0))</f>
        <v>227mm MLRS ammunition</v>
      </c>
      <c r="L997" s="514">
        <f>VLOOKUP(I997,'Price List, Weapons &amp; Items'!A:D,4,0)</f>
        <v>0</v>
      </c>
      <c r="M997" s="515" t="s">
        <v>264</v>
      </c>
      <c r="N997" s="515" t="s">
        <v>232</v>
      </c>
      <c r="O997" s="516">
        <f>VLOOKUP($I997,'Price List, Weapons &amp; Items'!A:F,6,0)</f>
        <v>150000</v>
      </c>
      <c r="P997" s="513" t="str">
        <f t="shared" si="221"/>
        <v>.</v>
      </c>
      <c r="Q997" s="513" t="str">
        <f t="shared" si="222"/>
        <v>.</v>
      </c>
      <c r="R997" s="513" t="str">
        <f t="shared" si="231"/>
        <v/>
      </c>
      <c r="S997" s="513" t="str">
        <f>IF(AND(AD997=1,R997&lt;&gt;".")=TRUE,R997/VLOOKUP(G997,'Exchange rates'!B:C,2,0),IF(R997=".",".",""))</f>
        <v/>
      </c>
      <c r="T997" s="513" t="str">
        <f>IF(AD997=1,IF(AF997="Value is not given at all",".",IF(AF997="Value is given by the source",S997,IF(AF997="Value is calculated with prices",(IF(SUMIFS(Q:Q,A:A,A997)&gt;0,SUMIFS(Q:Q,A:A,A997),"."))/VLOOKUP("USD",'Exchange rates'!B:C,2,0),"Error with coding"))),"")</f>
        <v/>
      </c>
      <c r="U997" s="39" t="s">
        <v>233</v>
      </c>
      <c r="V997" s="376" t="s">
        <v>2664</v>
      </c>
      <c r="W997" s="580" t="s">
        <v>2665</v>
      </c>
      <c r="X997" s="825" t="s">
        <v>232</v>
      </c>
      <c r="Y997" s="517" t="s">
        <v>232</v>
      </c>
      <c r="Z997" s="39">
        <v>0</v>
      </c>
      <c r="AA997" s="518">
        <v>0</v>
      </c>
      <c r="AB997" s="41" t="s">
        <v>2666</v>
      </c>
      <c r="AC997" s="519" t="str">
        <f>""</f>
        <v/>
      </c>
      <c r="AD997" s="522">
        <v>0</v>
      </c>
      <c r="AE997" s="522" t="s">
        <v>2590</v>
      </c>
      <c r="AF997" s="522" t="s">
        <v>300</v>
      </c>
      <c r="AG997" s="522">
        <v>1</v>
      </c>
      <c r="AH997" s="522">
        <v>7</v>
      </c>
      <c r="AI997" s="522">
        <v>0</v>
      </c>
      <c r="AJ997" s="520">
        <f>VLOOKUP($I997,'Price List, Weapons &amp; Items'!A:E,5,0)</f>
        <v>1</v>
      </c>
      <c r="AK997" s="520">
        <f t="shared" si="224"/>
        <v>1</v>
      </c>
      <c r="AL997" s="520">
        <f t="shared" si="225"/>
        <v>0</v>
      </c>
      <c r="AM997" s="520">
        <f t="shared" si="226"/>
        <v>1</v>
      </c>
      <c r="AN997" s="521" t="str">
        <f>VLOOKUP($I997,'Price List, Weapons &amp; Items'!A:K,COLUMN('Price List, Weapons &amp; Items'!$I$1),0)</f>
        <v>Media reports (incl. social media)</v>
      </c>
      <c r="AO997" s="521" t="str">
        <f>IF(I997=".",".",VLOOKUP($I997,'Price List, Weapons &amp; Items'!A:I,3,0))</f>
        <v>227mm MLRS ammunition</v>
      </c>
      <c r="AP997" s="517" t="str">
        <f t="shared" ca="1" si="232"/>
        <v/>
      </c>
      <c r="AQ997" s="521" t="str">
        <f>VLOOKUP($I997,'Price List, Weapons &amp; Items'!A:K,COLUMN('Price List, Weapons &amp; Items'!$K$1),0)</f>
        <v>no price, 0 count</v>
      </c>
      <c r="AS997" s="521">
        <f t="shared" si="227"/>
        <v>1</v>
      </c>
      <c r="AT997" s="521">
        <f t="shared" si="228"/>
        <v>1</v>
      </c>
      <c r="AU997" s="521">
        <f t="shared" si="229"/>
        <v>1</v>
      </c>
      <c r="AV997" s="521" t="str">
        <f t="shared" si="230"/>
        <v>.</v>
      </c>
    </row>
    <row r="998" spans="1:48" ht="15" customHeight="1">
      <c r="A998" s="18" t="s">
        <v>2627</v>
      </c>
      <c r="B998" s="18" t="s">
        <v>2548</v>
      </c>
      <c r="C998" s="511">
        <v>44751</v>
      </c>
      <c r="D998" s="18" t="s">
        <v>252</v>
      </c>
      <c r="E998" s="18" t="s">
        <v>1157</v>
      </c>
      <c r="F998" s="512" t="s">
        <v>2663</v>
      </c>
      <c r="G998" s="39" t="s">
        <v>314</v>
      </c>
      <c r="H998" s="513">
        <v>400000000</v>
      </c>
      <c r="I998" s="41" t="s">
        <v>2656</v>
      </c>
      <c r="J998" s="276" t="str">
        <f>VLOOKUP($I998,'Price List, Weapons &amp; Items'!A:B,2,0)</f>
        <v>Military equipment</v>
      </c>
      <c r="K998" s="276" t="str">
        <f>IF(I998=".",I998,VLOOKUP($I998,'Price List, Weapons &amp; Items'!A:C,3,0))</f>
        <v>.</v>
      </c>
      <c r="L998" s="514">
        <f>VLOOKUP(I998,'Price List, Weapons &amp; Items'!A:D,4,0)</f>
        <v>0</v>
      </c>
      <c r="M998" s="515">
        <v>3</v>
      </c>
      <c r="N998" s="515" t="s">
        <v>232</v>
      </c>
      <c r="O998" s="516">
        <f>VLOOKUP($I998,'Price List, Weapons &amp; Items'!A:F,6,0)</f>
        <v>350000</v>
      </c>
      <c r="P998" s="513">
        <f t="shared" si="221"/>
        <v>1050000</v>
      </c>
      <c r="Q998" s="513" t="str">
        <f t="shared" si="222"/>
        <v>.</v>
      </c>
      <c r="R998" s="513" t="str">
        <f t="shared" si="231"/>
        <v/>
      </c>
      <c r="S998" s="513" t="str">
        <f>IF(AND(AD998=1,R998&lt;&gt;".")=TRUE,R998/VLOOKUP(G998,'Exchange rates'!B:C,2,0),IF(R998=".",".",""))</f>
        <v/>
      </c>
      <c r="T998" s="513" t="str">
        <f>IF(AD998=1,IF(AF998="Value is not given at all",".",IF(AF998="Value is given by the source",S998,IF(AF998="Value is calculated with prices",(IF(SUMIFS(Q:Q,A:A,A998)&gt;0,SUMIFS(Q:Q,A:A,A998),"."))/VLOOKUP("USD",'Exchange rates'!B:C,2,0),"Error with coding"))),"")</f>
        <v/>
      </c>
      <c r="U998" s="39" t="s">
        <v>233</v>
      </c>
      <c r="V998" s="376" t="s">
        <v>2664</v>
      </c>
      <c r="W998" s="580" t="s">
        <v>2665</v>
      </c>
      <c r="X998" s="825" t="s">
        <v>232</v>
      </c>
      <c r="Y998" s="517" t="s">
        <v>232</v>
      </c>
      <c r="Z998" s="39">
        <v>0</v>
      </c>
      <c r="AA998" s="518">
        <v>0</v>
      </c>
      <c r="AB998" s="41" t="s">
        <v>2666</v>
      </c>
      <c r="AC998" s="519" t="str">
        <f>""</f>
        <v/>
      </c>
      <c r="AD998" s="522">
        <v>0</v>
      </c>
      <c r="AE998" s="522" t="s">
        <v>2590</v>
      </c>
      <c r="AF998" s="522" t="s">
        <v>300</v>
      </c>
      <c r="AG998" s="522">
        <v>1</v>
      </c>
      <c r="AH998" s="522">
        <v>7</v>
      </c>
      <c r="AI998" s="522">
        <v>0</v>
      </c>
      <c r="AJ998" s="520">
        <f>VLOOKUP($I998,'Price List, Weapons &amp; Items'!A:E,5,0)</f>
        <v>0</v>
      </c>
      <c r="AK998" s="520">
        <f t="shared" si="224"/>
        <v>0</v>
      </c>
      <c r="AL998" s="520">
        <f t="shared" si="225"/>
        <v>0</v>
      </c>
      <c r="AM998" s="520">
        <f t="shared" si="226"/>
        <v>0</v>
      </c>
      <c r="AN998" s="521" t="str">
        <f>VLOOKUP($I998,'Price List, Weapons &amp; Items'!A:K,COLUMN('Price List, Weapons &amp; Items'!$I$1),0)</f>
        <v>Media reports (incl. social media)</v>
      </c>
      <c r="AO998" s="521" t="str">
        <f>IF(I998=".",".",VLOOKUP($I998,'Price List, Weapons &amp; Items'!A:I,3,0))</f>
        <v>.</v>
      </c>
      <c r="AP998" s="517" t="str">
        <f t="shared" ca="1" si="232"/>
        <v/>
      </c>
      <c r="AQ998" s="521">
        <f>VLOOKUP($I998,'Price List, Weapons &amp; Items'!A:K,COLUMN('Price List, Weapons &amp; Items'!$K$1),0)</f>
        <v>2</v>
      </c>
      <c r="AS998" s="521">
        <f t="shared" si="227"/>
        <v>1</v>
      </c>
      <c r="AT998" s="521">
        <f t="shared" si="228"/>
        <v>1</v>
      </c>
      <c r="AU998" s="521">
        <f t="shared" si="229"/>
        <v>1</v>
      </c>
      <c r="AV998" s="521" t="str">
        <f t="shared" si="230"/>
        <v>.</v>
      </c>
    </row>
    <row r="999" spans="1:48" ht="15" customHeight="1">
      <c r="A999" s="18" t="s">
        <v>2627</v>
      </c>
      <c r="B999" s="18" t="s">
        <v>2548</v>
      </c>
      <c r="C999" s="511">
        <v>44751</v>
      </c>
      <c r="D999" s="18" t="s">
        <v>252</v>
      </c>
      <c r="E999" s="18" t="s">
        <v>1157</v>
      </c>
      <c r="F999" s="512" t="s">
        <v>2663</v>
      </c>
      <c r="G999" s="39" t="s">
        <v>314</v>
      </c>
      <c r="H999" s="513">
        <v>400000000</v>
      </c>
      <c r="I999" s="41" t="s">
        <v>574</v>
      </c>
      <c r="J999" s="276" t="str">
        <f>VLOOKUP($I999,'Price List, Weapons &amp; Items'!A:B,2,0)</f>
        <v>Ammunition for heavy weapon</v>
      </c>
      <c r="K999" s="276" t="str">
        <f>IF(I999=".",I999,VLOOKUP($I999,'Price List, Weapons &amp; Items'!A:C,3,0))</f>
        <v>155mm howitzer ammunition</v>
      </c>
      <c r="L999" s="514">
        <f>VLOOKUP(I999,'Price List, Weapons &amp; Items'!A:D,4,0)</f>
        <v>0</v>
      </c>
      <c r="M999" s="515">
        <v>1000</v>
      </c>
      <c r="N999" s="515" t="s">
        <v>232</v>
      </c>
      <c r="O999" s="516">
        <f>VLOOKUP($I999,'Price List, Weapons &amp; Items'!A:F,6,0)</f>
        <v>3800</v>
      </c>
      <c r="P999" s="513">
        <f t="shared" si="221"/>
        <v>3800000</v>
      </c>
      <c r="Q999" s="513" t="str">
        <f t="shared" si="222"/>
        <v>.</v>
      </c>
      <c r="R999" s="513" t="str">
        <f t="shared" si="231"/>
        <v/>
      </c>
      <c r="S999" s="513" t="str">
        <f>IF(AND(AD999=1,R999&lt;&gt;".")=TRUE,R999/VLOOKUP(G999,'Exchange rates'!B:C,2,0),IF(R999=".",".",""))</f>
        <v/>
      </c>
      <c r="T999" s="513" t="str">
        <f>IF(AD999=1,IF(AF999="Value is not given at all",".",IF(AF999="Value is given by the source",S999,IF(AF999="Value is calculated with prices",(IF(SUMIFS(Q:Q,A:A,A999)&gt;0,SUMIFS(Q:Q,A:A,A999),"."))/VLOOKUP("USD",'Exchange rates'!B:C,2,0),"Error with coding"))),"")</f>
        <v/>
      </c>
      <c r="U999" s="39" t="s">
        <v>233</v>
      </c>
      <c r="V999" s="376" t="s">
        <v>2664</v>
      </c>
      <c r="W999" s="580" t="s">
        <v>2665</v>
      </c>
      <c r="X999" s="825" t="s">
        <v>232</v>
      </c>
      <c r="Y999" s="517" t="s">
        <v>232</v>
      </c>
      <c r="Z999" s="39">
        <v>0</v>
      </c>
      <c r="AA999" s="518">
        <v>0</v>
      </c>
      <c r="AB999" s="41" t="s">
        <v>2666</v>
      </c>
      <c r="AC999" s="519" t="str">
        <f>""</f>
        <v/>
      </c>
      <c r="AD999" s="522">
        <v>0</v>
      </c>
      <c r="AE999" s="522" t="s">
        <v>2590</v>
      </c>
      <c r="AF999" s="522" t="s">
        <v>300</v>
      </c>
      <c r="AG999" s="522">
        <v>1</v>
      </c>
      <c r="AH999" s="522">
        <v>7</v>
      </c>
      <c r="AI999" s="522">
        <v>0</v>
      </c>
      <c r="AJ999" s="520">
        <f>VLOOKUP($I999,'Price List, Weapons &amp; Items'!A:E,5,0)</f>
        <v>1</v>
      </c>
      <c r="AK999" s="520">
        <f t="shared" si="224"/>
        <v>0</v>
      </c>
      <c r="AL999" s="520">
        <f t="shared" si="225"/>
        <v>0</v>
      </c>
      <c r="AM999" s="520">
        <f t="shared" si="226"/>
        <v>0</v>
      </c>
      <c r="AN999" s="521" t="str">
        <f>VLOOKUP($I999,'Price List, Weapons &amp; Items'!A:K,COLUMN('Price List, Weapons &amp; Items'!$I$1),0)</f>
        <v>Government information</v>
      </c>
      <c r="AO999" s="521" t="str">
        <f>IF(I999=".",".",VLOOKUP($I999,'Price List, Weapons &amp; Items'!A:I,3,0))</f>
        <v>155mm howitzer ammunition</v>
      </c>
      <c r="AP999" s="517" t="str">
        <f t="shared" ca="1" si="232"/>
        <v/>
      </c>
      <c r="AQ999" s="521">
        <f>VLOOKUP($I999,'Price List, Weapons &amp; Items'!A:K,COLUMN('Price List, Weapons &amp; Items'!$K$1),0)</f>
        <v>2</v>
      </c>
      <c r="AS999" s="521">
        <f t="shared" si="227"/>
        <v>1</v>
      </c>
      <c r="AT999" s="521">
        <f t="shared" si="228"/>
        <v>1</v>
      </c>
      <c r="AU999" s="521">
        <f t="shared" si="229"/>
        <v>1</v>
      </c>
      <c r="AV999" s="521" t="str">
        <f t="shared" si="230"/>
        <v>.</v>
      </c>
    </row>
    <row r="1000" spans="1:48" ht="15" customHeight="1">
      <c r="A1000" s="18" t="s">
        <v>2627</v>
      </c>
      <c r="B1000" s="18" t="s">
        <v>2548</v>
      </c>
      <c r="C1000" s="511">
        <v>44751</v>
      </c>
      <c r="D1000" s="18" t="s">
        <v>252</v>
      </c>
      <c r="E1000" s="18" t="s">
        <v>1157</v>
      </c>
      <c r="F1000" s="512" t="s">
        <v>2663</v>
      </c>
      <c r="G1000" s="39" t="s">
        <v>314</v>
      </c>
      <c r="H1000" s="513">
        <v>400000000</v>
      </c>
      <c r="I1000" s="41" t="s">
        <v>2667</v>
      </c>
      <c r="J1000" s="276" t="str">
        <f>VLOOKUP($I1000,'Price List, Weapons &amp; Items'!A:B,2,0)</f>
        <v>Military equipment</v>
      </c>
      <c r="K1000" s="276" t="str">
        <f>IF(I1000=".",I1000,VLOOKUP($I1000,'Price List, Weapons &amp; Items'!A:C,3,0))</f>
        <v>.</v>
      </c>
      <c r="L1000" s="514">
        <f>VLOOKUP(I1000,'Price List, Weapons &amp; Items'!A:D,4,0)</f>
        <v>0</v>
      </c>
      <c r="M1000" s="515" t="s">
        <v>264</v>
      </c>
      <c r="N1000" s="515" t="s">
        <v>232</v>
      </c>
      <c r="O1000" s="516">
        <f>VLOOKUP($I1000,'Price List, Weapons &amp; Items'!A:F,6,0)</f>
        <v>90</v>
      </c>
      <c r="P1000" s="513" t="str">
        <f t="shared" si="221"/>
        <v>.</v>
      </c>
      <c r="Q1000" s="513" t="str">
        <f t="shared" si="222"/>
        <v>.</v>
      </c>
      <c r="R1000" s="513" t="str">
        <f t="shared" si="231"/>
        <v/>
      </c>
      <c r="S1000" s="513" t="str">
        <f>IF(AND(AD1000=1,R1000&lt;&gt;".")=TRUE,R1000/VLOOKUP(G1000,'Exchange rates'!B:C,2,0),IF(R1000=".",".",""))</f>
        <v/>
      </c>
      <c r="T1000" s="513" t="str">
        <f>IF(AD1000=1,IF(AF1000="Value is not given at all",".",IF(AF1000="Value is given by the source",S1000,IF(AF1000="Value is calculated with prices",(IF(SUMIFS(Q:Q,A:A,A1000)&gt;0,SUMIFS(Q:Q,A:A,A1000),"."))/VLOOKUP("USD",'Exchange rates'!B:C,2,0),"Error with coding"))),"")</f>
        <v/>
      </c>
      <c r="U1000" s="39" t="s">
        <v>233</v>
      </c>
      <c r="V1000" s="376" t="s">
        <v>2664</v>
      </c>
      <c r="W1000" s="580" t="s">
        <v>2665</v>
      </c>
      <c r="X1000" s="825" t="s">
        <v>232</v>
      </c>
      <c r="Y1000" s="517" t="s">
        <v>232</v>
      </c>
      <c r="Z1000" s="39">
        <v>0</v>
      </c>
      <c r="AA1000" s="518">
        <v>0</v>
      </c>
      <c r="AB1000" s="41" t="s">
        <v>2666</v>
      </c>
      <c r="AC1000" s="519" t="str">
        <f>""</f>
        <v/>
      </c>
      <c r="AD1000" s="522">
        <v>0</v>
      </c>
      <c r="AE1000" s="522" t="s">
        <v>2590</v>
      </c>
      <c r="AF1000" s="522" t="s">
        <v>300</v>
      </c>
      <c r="AG1000" s="522">
        <v>1</v>
      </c>
      <c r="AH1000" s="522">
        <v>7</v>
      </c>
      <c r="AI1000" s="522">
        <v>0</v>
      </c>
      <c r="AJ1000" s="520">
        <f>VLOOKUP($I1000,'Price List, Weapons &amp; Items'!A:E,5,0)</f>
        <v>0</v>
      </c>
      <c r="AK1000" s="520">
        <f t="shared" si="224"/>
        <v>0</v>
      </c>
      <c r="AL1000" s="520">
        <f t="shared" si="225"/>
        <v>0</v>
      </c>
      <c r="AM1000" s="520">
        <f t="shared" si="226"/>
        <v>0</v>
      </c>
      <c r="AN1000" s="521" t="str">
        <f>VLOOKUP($I1000,'Price List, Weapons &amp; Items'!A:K,COLUMN('Price List, Weapons &amp; Items'!$I$1),0)</f>
        <v>Media reports (incl. social media)</v>
      </c>
      <c r="AO1000" s="521" t="str">
        <f>IF(I1000=".",".",VLOOKUP($I1000,'Price List, Weapons &amp; Items'!A:I,3,0))</f>
        <v>.</v>
      </c>
      <c r="AP1000" s="517" t="str">
        <f t="shared" ca="1" si="232"/>
        <v/>
      </c>
      <c r="AQ1000" s="521" t="str">
        <f>VLOOKUP($I1000,'Price List, Weapons &amp; Items'!A:K,COLUMN('Price List, Weapons &amp; Items'!$K$1),0)</f>
        <v>no price, 0 count</v>
      </c>
      <c r="AS1000" s="521">
        <f t="shared" si="227"/>
        <v>1</v>
      </c>
      <c r="AT1000" s="521">
        <f t="shared" si="228"/>
        <v>1</v>
      </c>
      <c r="AU1000" s="521">
        <f t="shared" si="229"/>
        <v>1</v>
      </c>
      <c r="AV1000" s="521" t="str">
        <f t="shared" si="230"/>
        <v>.</v>
      </c>
    </row>
    <row r="1001" spans="1:48" ht="15" customHeight="1">
      <c r="A1001" s="18" t="s">
        <v>2627</v>
      </c>
      <c r="B1001" s="18" t="s">
        <v>2548</v>
      </c>
      <c r="C1001" s="511">
        <v>44751</v>
      </c>
      <c r="D1001" s="18" t="s">
        <v>252</v>
      </c>
      <c r="E1001" s="18" t="s">
        <v>1157</v>
      </c>
      <c r="F1001" s="512" t="s">
        <v>2663</v>
      </c>
      <c r="G1001" s="39" t="s">
        <v>314</v>
      </c>
      <c r="H1001" s="513">
        <v>400000000</v>
      </c>
      <c r="I1001" s="41" t="s">
        <v>2668</v>
      </c>
      <c r="J1001" s="276" t="str">
        <f>VLOOKUP($I1001,'Price List, Weapons &amp; Items'!A:B,2,0)</f>
        <v>Military equipment</v>
      </c>
      <c r="K1001" s="276" t="str">
        <f>IF(I1001=".",I1001,VLOOKUP($I1001,'Price List, Weapons &amp; Items'!A:C,3,0))</f>
        <v>Radar or imagery systems</v>
      </c>
      <c r="L1001" s="514">
        <f>VLOOKUP(I1001,'Price List, Weapons &amp; Items'!A:D,4,0)</f>
        <v>0</v>
      </c>
      <c r="M1001" s="515">
        <v>2</v>
      </c>
      <c r="N1001" s="515" t="s">
        <v>232</v>
      </c>
      <c r="O1001" s="516" t="str">
        <f>VLOOKUP($I1001,'Price List, Weapons &amp; Items'!A:F,6,0)</f>
        <v>.</v>
      </c>
      <c r="P1001" s="513" t="str">
        <f t="shared" si="221"/>
        <v>No price</v>
      </c>
      <c r="Q1001" s="513" t="str">
        <f t="shared" si="222"/>
        <v>.</v>
      </c>
      <c r="R1001" s="513" t="str">
        <f t="shared" si="231"/>
        <v/>
      </c>
      <c r="S1001" s="513" t="str">
        <f>IF(AND(AD1001=1,R1001&lt;&gt;".")=TRUE,R1001/VLOOKUP(G1001,'Exchange rates'!B:C,2,0),IF(R1001=".",".",""))</f>
        <v/>
      </c>
      <c r="T1001" s="513" t="str">
        <f>IF(AD1001=1,IF(AF1001="Value is not given at all",".",IF(AF1001="Value is given by the source",S1001,IF(AF1001="Value is calculated with prices",(IF(SUMIFS(Q:Q,A:A,A1001)&gt;0,SUMIFS(Q:Q,A:A,A1001),"."))/VLOOKUP("USD",'Exchange rates'!B:C,2,0),"Error with coding"))),"")</f>
        <v/>
      </c>
      <c r="U1001" s="39" t="s">
        <v>233</v>
      </c>
      <c r="V1001" s="376" t="s">
        <v>2664</v>
      </c>
      <c r="W1001" s="580" t="s">
        <v>2665</v>
      </c>
      <c r="X1001" s="825" t="s">
        <v>232</v>
      </c>
      <c r="Y1001" s="517" t="s">
        <v>232</v>
      </c>
      <c r="Z1001" s="39">
        <v>0</v>
      </c>
      <c r="AA1001" s="518">
        <v>0</v>
      </c>
      <c r="AB1001" s="41" t="s">
        <v>2666</v>
      </c>
      <c r="AC1001" s="519" t="str">
        <f>""</f>
        <v/>
      </c>
      <c r="AD1001" s="522">
        <v>0</v>
      </c>
      <c r="AE1001" s="522" t="s">
        <v>2590</v>
      </c>
      <c r="AF1001" s="522" t="s">
        <v>300</v>
      </c>
      <c r="AG1001" s="522">
        <v>1</v>
      </c>
      <c r="AH1001" s="522">
        <v>7</v>
      </c>
      <c r="AI1001" s="522">
        <v>0</v>
      </c>
      <c r="AJ1001" s="520">
        <f>VLOOKUP($I1001,'Price List, Weapons &amp; Items'!A:E,5,0)</f>
        <v>0</v>
      </c>
      <c r="AK1001" s="520">
        <f t="shared" si="224"/>
        <v>0</v>
      </c>
      <c r="AL1001" s="520">
        <f t="shared" si="225"/>
        <v>0</v>
      </c>
      <c r="AM1001" s="520">
        <f t="shared" si="226"/>
        <v>0</v>
      </c>
      <c r="AN1001" s="521" t="str">
        <f>VLOOKUP($I1001,'Price List, Weapons &amp; Items'!A:K,COLUMN('Price List, Weapons &amp; Items'!$I$1),0)</f>
        <v>.</v>
      </c>
      <c r="AO1001" s="521" t="str">
        <f>IF(I1001=".",".",VLOOKUP($I1001,'Price List, Weapons &amp; Items'!A:I,3,0))</f>
        <v>Radar or imagery systems</v>
      </c>
      <c r="AP1001" s="517" t="str">
        <f t="shared" ca="1" si="232"/>
        <v/>
      </c>
      <c r="AQ1001" s="521">
        <f>VLOOKUP($I1001,'Price List, Weapons &amp; Items'!A:K,COLUMN('Price List, Weapons &amp; Items'!$K$1),0)</f>
        <v>0</v>
      </c>
      <c r="AS1001" s="521">
        <f t="shared" si="227"/>
        <v>1</v>
      </c>
      <c r="AT1001" s="521">
        <f t="shared" si="228"/>
        <v>1</v>
      </c>
      <c r="AU1001" s="521">
        <f t="shared" si="229"/>
        <v>1</v>
      </c>
      <c r="AV1001" s="521" t="str">
        <f t="shared" si="230"/>
        <v>.</v>
      </c>
    </row>
    <row r="1002" spans="1:48" ht="15" customHeight="1">
      <c r="A1002" s="18" t="s">
        <v>2627</v>
      </c>
      <c r="B1002" s="18" t="s">
        <v>2548</v>
      </c>
      <c r="C1002" s="511">
        <v>44751</v>
      </c>
      <c r="D1002" s="18" t="s">
        <v>252</v>
      </c>
      <c r="E1002" s="18" t="s">
        <v>1157</v>
      </c>
      <c r="F1002" s="512" t="s">
        <v>2663</v>
      </c>
      <c r="G1002" s="39" t="s">
        <v>314</v>
      </c>
      <c r="H1002" s="513">
        <v>400000000</v>
      </c>
      <c r="I1002" s="41" t="s">
        <v>420</v>
      </c>
      <c r="J1002" s="276" t="str">
        <f>VLOOKUP($I1002,'Price List, Weapons &amp; Items'!A:B,2,0)</f>
        <v>Military equipment</v>
      </c>
      <c r="K1002" s="276" t="str">
        <f>IF(I1002=".",I1002,VLOOKUP($I1002,'Price List, Weapons &amp; Items'!A:C,3,0))</f>
        <v>spare parts</v>
      </c>
      <c r="L1002" s="514">
        <f>VLOOKUP(I1002,'Price List, Weapons &amp; Items'!A:D,4,0)</f>
        <v>0</v>
      </c>
      <c r="M1002" s="515" t="s">
        <v>232</v>
      </c>
      <c r="N1002" s="515" t="s">
        <v>232</v>
      </c>
      <c r="O1002" s="516" t="str">
        <f>VLOOKUP($I1002,'Price List, Weapons &amp; Items'!A:F,6,0)</f>
        <v>.</v>
      </c>
      <c r="P1002" s="513" t="str">
        <f t="shared" si="221"/>
        <v>.</v>
      </c>
      <c r="Q1002" s="513" t="str">
        <f t="shared" si="222"/>
        <v>.</v>
      </c>
      <c r="R1002" s="513" t="str">
        <f t="shared" si="231"/>
        <v/>
      </c>
      <c r="S1002" s="513" t="str">
        <f>IF(AND(AD1002=1,R1002&lt;&gt;".")=TRUE,R1002/VLOOKUP(G1002,'Exchange rates'!B:C,2,0),IF(R1002=".",".",""))</f>
        <v/>
      </c>
      <c r="T1002" s="513" t="str">
        <f>IF(AD1002=1,IF(AF1002="Value is not given at all",".",IF(AF1002="Value is given by the source",S1002,IF(AF1002="Value is calculated with prices",(IF(SUMIFS(Q:Q,A:A,A1002)&gt;0,SUMIFS(Q:Q,A:A,A1002),"."))/VLOOKUP("USD",'Exchange rates'!B:C,2,0),"Error with coding"))),"")</f>
        <v/>
      </c>
      <c r="U1002" s="39" t="s">
        <v>233</v>
      </c>
      <c r="V1002" s="376" t="s">
        <v>2664</v>
      </c>
      <c r="W1002" s="592" t="s">
        <v>2665</v>
      </c>
      <c r="X1002" s="825" t="s">
        <v>232</v>
      </c>
      <c r="Y1002" s="517" t="s">
        <v>232</v>
      </c>
      <c r="Z1002" s="39">
        <v>0</v>
      </c>
      <c r="AA1002" s="518">
        <v>0</v>
      </c>
      <c r="AB1002" s="41" t="s">
        <v>2666</v>
      </c>
      <c r="AC1002" s="519" t="str">
        <f>""</f>
        <v/>
      </c>
      <c r="AD1002" s="522">
        <v>0</v>
      </c>
      <c r="AE1002" s="522" t="s">
        <v>2590</v>
      </c>
      <c r="AF1002" s="522" t="s">
        <v>300</v>
      </c>
      <c r="AG1002" s="522">
        <v>1</v>
      </c>
      <c r="AH1002" s="522">
        <v>7</v>
      </c>
      <c r="AI1002" s="522">
        <v>0</v>
      </c>
      <c r="AJ1002" s="520">
        <f>VLOOKUP($I1002,'Price List, Weapons &amp; Items'!A:E,5,0)</f>
        <v>0</v>
      </c>
      <c r="AK1002" s="520">
        <f t="shared" si="224"/>
        <v>0</v>
      </c>
      <c r="AL1002" s="520">
        <f t="shared" si="225"/>
        <v>0</v>
      </c>
      <c r="AM1002" s="520">
        <f t="shared" si="226"/>
        <v>0</v>
      </c>
      <c r="AN1002" s="521" t="str">
        <f>VLOOKUP($I1002,'Price List, Weapons &amp; Items'!A:K,COLUMN('Price List, Weapons &amp; Items'!$I$1),0)</f>
        <v>.</v>
      </c>
      <c r="AO1002" s="521" t="str">
        <f>IF(I1002=".",".",VLOOKUP($I1002,'Price List, Weapons &amp; Items'!A:I,3,0))</f>
        <v>spare parts</v>
      </c>
      <c r="AP1002" s="517" t="str">
        <f t="shared" ca="1" si="232"/>
        <v/>
      </c>
      <c r="AQ1002" s="521" t="str">
        <f>VLOOKUP($I1002,'Price List, Weapons &amp; Items'!A:K,COLUMN('Price List, Weapons &amp; Items'!$K$1),0)</f>
        <v>no price, 0 count</v>
      </c>
      <c r="AS1002" s="521">
        <f t="shared" si="227"/>
        <v>1</v>
      </c>
      <c r="AT1002" s="521">
        <f t="shared" si="228"/>
        <v>1</v>
      </c>
      <c r="AU1002" s="521">
        <f t="shared" si="229"/>
        <v>1</v>
      </c>
      <c r="AV1002" s="521" t="str">
        <f t="shared" si="230"/>
        <v>.</v>
      </c>
    </row>
    <row r="1003" spans="1:48" ht="15" customHeight="1">
      <c r="A1003" s="18" t="s">
        <v>2627</v>
      </c>
      <c r="B1003" s="18" t="s">
        <v>2548</v>
      </c>
      <c r="C1003" s="511">
        <v>44764</v>
      </c>
      <c r="D1003" s="18" t="s">
        <v>252</v>
      </c>
      <c r="E1003" s="18" t="s">
        <v>1157</v>
      </c>
      <c r="F1003" s="512" t="s">
        <v>2669</v>
      </c>
      <c r="G1003" s="39" t="s">
        <v>314</v>
      </c>
      <c r="H1003" s="513">
        <v>175000000</v>
      </c>
      <c r="I1003" s="524" t="s">
        <v>2638</v>
      </c>
      <c r="J1003" s="276" t="str">
        <f>VLOOKUP($I1003,'Price List, Weapons &amp; Items'!A:B,2,0)</f>
        <v>Heavy weapon</v>
      </c>
      <c r="K1003" s="276" t="str">
        <f>IF(I1003=".",I1003,VLOOKUP($I1003,'Price List, Weapons &amp; Items'!A:C,3,0))</f>
        <v>227mm MLRS</v>
      </c>
      <c r="L1003" s="514">
        <f>VLOOKUP(I1003,'Price List, Weapons &amp; Items'!A:D,4,0)</f>
        <v>0</v>
      </c>
      <c r="M1003" s="515">
        <v>4</v>
      </c>
      <c r="N1003" s="515">
        <v>4</v>
      </c>
      <c r="O1003" s="516">
        <f>VLOOKUP($I1003,'Price List, Weapons &amp; Items'!A:F,6,0)</f>
        <v>15076313.029999999</v>
      </c>
      <c r="P1003" s="513">
        <f t="shared" si="221"/>
        <v>60305252.119999997</v>
      </c>
      <c r="Q1003" s="513">
        <f t="shared" si="222"/>
        <v>60305252.119999997</v>
      </c>
      <c r="R1003" s="513" t="str">
        <f t="shared" si="231"/>
        <v/>
      </c>
      <c r="S1003" s="513" t="str">
        <f>IF(AND(AD1003=1,R1003&lt;&gt;".")=TRUE,R1003/VLOOKUP(G1003,'Exchange rates'!B:C,2,0),IF(R1003=".",".",""))</f>
        <v/>
      </c>
      <c r="T1003" s="513" t="str">
        <f>IF(AD1003=1,IF(AF1003="Value is not given at all",".",IF(AF1003="Value is given by the source",S1003,IF(AF1003="Value is calculated with prices",(IF(SUMIFS(Q:Q,A:A,A1003)&gt;0,SUMIFS(Q:Q,A:A,A1003),"."))/VLOOKUP("USD",'Exchange rates'!B:C,2,0),"Error with coding"))),"")</f>
        <v/>
      </c>
      <c r="U1003" s="39" t="s">
        <v>233</v>
      </c>
      <c r="V1003" s="376" t="s">
        <v>2670</v>
      </c>
      <c r="W1003" s="592" t="s">
        <v>2665</v>
      </c>
      <c r="X1003" s="531" t="s">
        <v>232</v>
      </c>
      <c r="Y1003" s="517" t="s">
        <v>232</v>
      </c>
      <c r="Z1003" s="39">
        <v>0</v>
      </c>
      <c r="AA1003" s="518">
        <v>0</v>
      </c>
      <c r="AB1003" s="830" t="s">
        <v>2671</v>
      </c>
      <c r="AC1003" s="519" t="str">
        <f>""</f>
        <v/>
      </c>
      <c r="AD1003" s="522">
        <v>0</v>
      </c>
      <c r="AE1003" s="522" t="s">
        <v>2590</v>
      </c>
      <c r="AF1003" s="522" t="s">
        <v>300</v>
      </c>
      <c r="AG1003" s="522">
        <v>1</v>
      </c>
      <c r="AH1003" s="522">
        <v>7</v>
      </c>
      <c r="AI1003" s="522">
        <v>0</v>
      </c>
      <c r="AJ1003" s="520">
        <f>VLOOKUP($I1003,'Price List, Weapons &amp; Items'!A:E,5,0)</f>
        <v>1</v>
      </c>
      <c r="AK1003" s="520">
        <f t="shared" si="224"/>
        <v>0</v>
      </c>
      <c r="AL1003" s="520">
        <f t="shared" si="225"/>
        <v>0</v>
      </c>
      <c r="AM1003" s="520">
        <f t="shared" si="226"/>
        <v>0</v>
      </c>
      <c r="AN1003" s="521" t="str">
        <f>VLOOKUP($I1003,'Price List, Weapons &amp; Items'!A:K,COLUMN('Price List, Weapons &amp; Items'!$I$1),0)</f>
        <v>Contracts</v>
      </c>
      <c r="AO1003" s="521" t="str">
        <f>IF(I1003=".",".",VLOOKUP($I1003,'Price List, Weapons &amp; Items'!A:I,3,0))</f>
        <v>227mm MLRS</v>
      </c>
      <c r="AP1003" s="517" t="str">
        <f t="shared" ca="1" si="232"/>
        <v/>
      </c>
      <c r="AQ1003" s="521">
        <f>VLOOKUP($I1003,'Price List, Weapons &amp; Items'!A:K,COLUMN('Price List, Weapons &amp; Items'!$K$1),0)</f>
        <v>2</v>
      </c>
      <c r="AS1003" s="521">
        <f t="shared" si="227"/>
        <v>1</v>
      </c>
      <c r="AT1003" s="521">
        <f t="shared" si="228"/>
        <v>1</v>
      </c>
      <c r="AU1003" s="521">
        <f t="shared" si="229"/>
        <v>1</v>
      </c>
      <c r="AV1003" s="521" t="str">
        <f t="shared" si="230"/>
        <v>.</v>
      </c>
    </row>
    <row r="1004" spans="1:48" ht="15" customHeight="1">
      <c r="A1004" s="18" t="s">
        <v>2627</v>
      </c>
      <c r="B1004" s="18" t="s">
        <v>2548</v>
      </c>
      <c r="C1004" s="511">
        <v>44764</v>
      </c>
      <c r="D1004" s="18" t="s">
        <v>252</v>
      </c>
      <c r="E1004" s="18" t="s">
        <v>1157</v>
      </c>
      <c r="F1004" s="512" t="s">
        <v>2669</v>
      </c>
      <c r="G1004" s="39" t="s">
        <v>314</v>
      </c>
      <c r="H1004" s="513">
        <v>175000000</v>
      </c>
      <c r="I1004" s="524" t="s">
        <v>2655</v>
      </c>
      <c r="J1004" s="276" t="str">
        <f>VLOOKUP($I1004,'Price List, Weapons &amp; Items'!A:B,2,0)</f>
        <v>Ammunition for heavy weapon</v>
      </c>
      <c r="K1004" s="276" t="str">
        <f>IF(I1004=".",I1004,VLOOKUP($I1004,'Price List, Weapons &amp; Items'!A:C,3,0))</f>
        <v>227mm MLRS ammunition</v>
      </c>
      <c r="L1004" s="514">
        <f>VLOOKUP(I1004,'Price List, Weapons &amp; Items'!A:D,4,0)</f>
        <v>0</v>
      </c>
      <c r="M1004" s="515" t="s">
        <v>264</v>
      </c>
      <c r="N1004" s="515" t="s">
        <v>232</v>
      </c>
      <c r="O1004" s="516">
        <f>VLOOKUP($I1004,'Price List, Weapons &amp; Items'!A:F,6,0)</f>
        <v>150000</v>
      </c>
      <c r="P1004" s="513" t="str">
        <f t="shared" si="221"/>
        <v>.</v>
      </c>
      <c r="Q1004" s="513" t="str">
        <f t="shared" si="222"/>
        <v>.</v>
      </c>
      <c r="R1004" s="513" t="str">
        <f t="shared" ref="R1004:R1035" si="233">IF(AD1004=1,IF(H1004&lt;&gt;"Not given",H1004,IF(TYPE(H1004)=2,IF(SUMIFS(P:P,A:A,A1004)&gt;0,SUMIFS(P:P,A:A,A1004),"."),"Format error")),"")</f>
        <v/>
      </c>
      <c r="S1004" s="513" t="str">
        <f>IF(AND(AD1004=1,R1004&lt;&gt;".")=TRUE,R1004/VLOOKUP(G1004,'Exchange rates'!B:C,2,0),IF(R1004=".",".",""))</f>
        <v/>
      </c>
      <c r="T1004" s="513" t="str">
        <f>IF(AD1004=1,IF(AF1004="Value is not given at all",".",IF(AF1004="Value is given by the source",S1004,IF(AF1004="Value is calculated with prices",(IF(SUMIFS(Q:Q,A:A,A1004)&gt;0,SUMIFS(Q:Q,A:A,A1004),"."))/VLOOKUP("USD",'Exchange rates'!B:C,2,0),"Error with coding"))),"")</f>
        <v/>
      </c>
      <c r="U1004" s="39" t="s">
        <v>233</v>
      </c>
      <c r="V1004" s="376" t="s">
        <v>2670</v>
      </c>
      <c r="W1004" s="580" t="s">
        <v>2665</v>
      </c>
      <c r="X1004" s="531" t="s">
        <v>232</v>
      </c>
      <c r="Y1004" s="517" t="s">
        <v>232</v>
      </c>
      <c r="Z1004" s="39">
        <v>0</v>
      </c>
      <c r="AA1004" s="518">
        <v>0</v>
      </c>
      <c r="AB1004" s="523" t="s">
        <v>232</v>
      </c>
      <c r="AC1004" s="519" t="str">
        <f>""</f>
        <v/>
      </c>
      <c r="AD1004" s="522">
        <v>0</v>
      </c>
      <c r="AE1004" s="522" t="s">
        <v>2590</v>
      </c>
      <c r="AF1004" s="522" t="s">
        <v>300</v>
      </c>
      <c r="AG1004" s="522">
        <v>1</v>
      </c>
      <c r="AH1004" s="522">
        <v>7</v>
      </c>
      <c r="AI1004" s="522">
        <v>0</v>
      </c>
      <c r="AJ1004" s="520">
        <f>VLOOKUP($I1004,'Price List, Weapons &amp; Items'!A:E,5,0)</f>
        <v>1</v>
      </c>
      <c r="AK1004" s="520">
        <f t="shared" si="224"/>
        <v>1</v>
      </c>
      <c r="AL1004" s="520">
        <f t="shared" si="225"/>
        <v>0</v>
      </c>
      <c r="AM1004" s="520">
        <f t="shared" si="226"/>
        <v>1</v>
      </c>
      <c r="AN1004" s="521" t="str">
        <f>VLOOKUP($I1004,'Price List, Weapons &amp; Items'!A:K,COLUMN('Price List, Weapons &amp; Items'!$I$1),0)</f>
        <v>Media reports (incl. social media)</v>
      </c>
      <c r="AO1004" s="521" t="str">
        <f>IF(I1004=".",".",VLOOKUP($I1004,'Price List, Weapons &amp; Items'!A:I,3,0))</f>
        <v>227mm MLRS ammunition</v>
      </c>
      <c r="AP1004" s="517" t="str">
        <f t="shared" ca="1" si="232"/>
        <v/>
      </c>
      <c r="AQ1004" s="521" t="str">
        <f>VLOOKUP($I1004,'Price List, Weapons &amp; Items'!A:K,COLUMN('Price List, Weapons &amp; Items'!$K$1),0)</f>
        <v>no price, 0 count</v>
      </c>
      <c r="AS1004" s="521">
        <f t="shared" si="227"/>
        <v>1</v>
      </c>
      <c r="AT1004" s="521">
        <f t="shared" si="228"/>
        <v>1</v>
      </c>
      <c r="AU1004" s="521">
        <f t="shared" si="229"/>
        <v>1</v>
      </c>
      <c r="AV1004" s="521" t="str">
        <f t="shared" si="230"/>
        <v>.</v>
      </c>
    </row>
    <row r="1005" spans="1:48" ht="15" customHeight="1">
      <c r="A1005" s="18" t="s">
        <v>2627</v>
      </c>
      <c r="B1005" s="18" t="s">
        <v>2548</v>
      </c>
      <c r="C1005" s="511">
        <v>44764</v>
      </c>
      <c r="D1005" s="18" t="s">
        <v>252</v>
      </c>
      <c r="E1005" s="18" t="s">
        <v>1157</v>
      </c>
      <c r="F1005" s="512" t="s">
        <v>2669</v>
      </c>
      <c r="G1005" s="39" t="s">
        <v>314</v>
      </c>
      <c r="H1005" s="513">
        <v>175000000</v>
      </c>
      <c r="I1005" s="524" t="s">
        <v>2672</v>
      </c>
      <c r="J1005" s="276" t="str">
        <f>VLOOKUP($I1005,'Price List, Weapons &amp; Items'!A:B,2,0)</f>
        <v>Heavy weapon</v>
      </c>
      <c r="K1005" s="276" t="str">
        <f>IF(I1005=".",I1005,VLOOKUP($I1005,'Price List, Weapons &amp; Items'!A:C,3,0))</f>
        <v>Armoured Personnel Carrier (APC)</v>
      </c>
      <c r="L1005" s="514">
        <f>VLOOKUP(I1005,'Price List, Weapons &amp; Items'!A:D,4,0)</f>
        <v>0</v>
      </c>
      <c r="M1005" s="515">
        <v>4</v>
      </c>
      <c r="N1005" s="515" t="s">
        <v>232</v>
      </c>
      <c r="O1005" s="516">
        <f>VLOOKUP($I1005,'Price List, Weapons &amp; Items'!A:F,6,0)</f>
        <v>326778</v>
      </c>
      <c r="P1005" s="513">
        <f t="shared" si="221"/>
        <v>1307112</v>
      </c>
      <c r="Q1005" s="513" t="str">
        <f t="shared" si="222"/>
        <v>.</v>
      </c>
      <c r="R1005" s="513" t="str">
        <f t="shared" si="233"/>
        <v/>
      </c>
      <c r="S1005" s="513" t="str">
        <f>IF(AND(AD1005=1,R1005&lt;&gt;".")=TRUE,R1005/VLOOKUP(G1005,'Exchange rates'!B:C,2,0),IF(R1005=".",".",""))</f>
        <v/>
      </c>
      <c r="T1005" s="513" t="str">
        <f>IF(AD1005=1,IF(AF1005="Value is not given at all",".",IF(AF1005="Value is given by the source",S1005,IF(AF1005="Value is calculated with prices",(IF(SUMIFS(Q:Q,A:A,A1005)&gt;0,SUMIFS(Q:Q,A:A,A1005),"."))/VLOOKUP("USD",'Exchange rates'!B:C,2,0),"Error with coding"))),"")</f>
        <v/>
      </c>
      <c r="U1005" s="39" t="s">
        <v>233</v>
      </c>
      <c r="V1005" s="376" t="s">
        <v>2670</v>
      </c>
      <c r="W1005" s="837" t="s">
        <v>2673</v>
      </c>
      <c r="X1005" s="531" t="s">
        <v>232</v>
      </c>
      <c r="Y1005" s="517" t="s">
        <v>232</v>
      </c>
      <c r="Z1005" s="39">
        <v>0</v>
      </c>
      <c r="AA1005" s="518">
        <v>0</v>
      </c>
      <c r="AB1005" s="523" t="s">
        <v>232</v>
      </c>
      <c r="AC1005" s="519" t="str">
        <f>""</f>
        <v/>
      </c>
      <c r="AD1005" s="522">
        <v>0</v>
      </c>
      <c r="AE1005" s="522" t="s">
        <v>2590</v>
      </c>
      <c r="AF1005" s="522" t="s">
        <v>300</v>
      </c>
      <c r="AG1005" s="522">
        <v>1</v>
      </c>
      <c r="AH1005" s="522">
        <v>7</v>
      </c>
      <c r="AI1005" s="522">
        <v>0</v>
      </c>
      <c r="AJ1005" s="520">
        <f>VLOOKUP($I1005,'Price List, Weapons &amp; Items'!A:E,5,0)</f>
        <v>1</v>
      </c>
      <c r="AK1005" s="520">
        <f t="shared" si="224"/>
        <v>0</v>
      </c>
      <c r="AL1005" s="520">
        <f t="shared" si="225"/>
        <v>0</v>
      </c>
      <c r="AM1005" s="520">
        <f t="shared" si="226"/>
        <v>0</v>
      </c>
      <c r="AN1005" s="521" t="str">
        <f>VLOOKUP($I1005,'Price List, Weapons &amp; Items'!A:K,COLUMN('Price List, Weapons &amp; Items'!$I$1),0)</f>
        <v>Contracts</v>
      </c>
      <c r="AO1005" s="521" t="str">
        <f>IF(I1005=".",".",VLOOKUP($I1005,'Price List, Weapons &amp; Items'!A:I,3,0))</f>
        <v>Armoured Personnel Carrier (APC)</v>
      </c>
      <c r="AP1005" s="517" t="str">
        <f t="shared" ca="1" si="232"/>
        <v/>
      </c>
      <c r="AQ1005" s="521">
        <f>VLOOKUP($I1005,'Price List, Weapons &amp; Items'!A:K,COLUMN('Price List, Weapons &amp; Items'!$K$1),0)</f>
        <v>2</v>
      </c>
      <c r="AS1005" s="521">
        <f t="shared" si="227"/>
        <v>1</v>
      </c>
      <c r="AT1005" s="521">
        <f t="shared" si="228"/>
        <v>1</v>
      </c>
      <c r="AU1005" s="521">
        <f t="shared" si="229"/>
        <v>1</v>
      </c>
      <c r="AV1005" s="521" t="str">
        <f t="shared" si="230"/>
        <v>.</v>
      </c>
    </row>
    <row r="1006" spans="1:48" ht="15" customHeight="1">
      <c r="A1006" s="18" t="s">
        <v>2627</v>
      </c>
      <c r="B1006" s="18" t="s">
        <v>2548</v>
      </c>
      <c r="C1006" s="511">
        <v>44764</v>
      </c>
      <c r="D1006" s="18" t="s">
        <v>252</v>
      </c>
      <c r="E1006" s="18" t="s">
        <v>1157</v>
      </c>
      <c r="F1006" s="512" t="s">
        <v>2669</v>
      </c>
      <c r="G1006" s="39" t="s">
        <v>314</v>
      </c>
      <c r="H1006" s="513">
        <v>175000000</v>
      </c>
      <c r="I1006" s="537" t="s">
        <v>1448</v>
      </c>
      <c r="J1006" s="276" t="str">
        <f>VLOOKUP($I1006,'Price List, Weapons &amp; Items'!A:B,2,0)</f>
        <v>Ammunition for heavy weapon</v>
      </c>
      <c r="K1006" s="276" t="str">
        <f>IF(I1006=".",I1006,VLOOKUP($I1006,'Price List, Weapons &amp; Items'!A:C,3,0))</f>
        <v>105mm</v>
      </c>
      <c r="L1006" s="514">
        <f>VLOOKUP(I1006,'Price List, Weapons &amp; Items'!A:D,4,0)</f>
        <v>0</v>
      </c>
      <c r="M1006" s="515">
        <v>36000</v>
      </c>
      <c r="N1006" s="515" t="s">
        <v>232</v>
      </c>
      <c r="O1006" s="516">
        <f>VLOOKUP($I1006,'Price List, Weapons &amp; Items'!A:F,6,0)</f>
        <v>400</v>
      </c>
      <c r="P1006" s="513">
        <f t="shared" si="221"/>
        <v>14400000</v>
      </c>
      <c r="Q1006" s="513" t="str">
        <f t="shared" si="222"/>
        <v>.</v>
      </c>
      <c r="R1006" s="513" t="str">
        <f t="shared" si="233"/>
        <v/>
      </c>
      <c r="S1006" s="513" t="str">
        <f>IF(AND(AD1006=1,R1006&lt;&gt;".")=TRUE,R1006/VLOOKUP(G1006,'Exchange rates'!B:C,2,0),IF(R1006=".",".",""))</f>
        <v/>
      </c>
      <c r="T1006" s="513" t="str">
        <f>IF(AD1006=1,IF(AF1006="Value is not given at all",".",IF(AF1006="Value is given by the source",S1006,IF(AF1006="Value is calculated with prices",(IF(SUMIFS(Q:Q,A:A,A1006)&gt;0,SUMIFS(Q:Q,A:A,A1006),"."))/VLOOKUP("USD",'Exchange rates'!B:C,2,0),"Error with coding"))),"")</f>
        <v/>
      </c>
      <c r="U1006" s="39" t="s">
        <v>233</v>
      </c>
      <c r="V1006" s="376" t="s">
        <v>2670</v>
      </c>
      <c r="W1006" s="580" t="s">
        <v>2665</v>
      </c>
      <c r="X1006" s="531" t="s">
        <v>232</v>
      </c>
      <c r="Y1006" s="517" t="s">
        <v>232</v>
      </c>
      <c r="Z1006" s="39">
        <v>0</v>
      </c>
      <c r="AA1006" s="518">
        <v>0</v>
      </c>
      <c r="AB1006" s="523" t="s">
        <v>232</v>
      </c>
      <c r="AC1006" s="519" t="str">
        <f>""</f>
        <v/>
      </c>
      <c r="AD1006" s="522">
        <v>0</v>
      </c>
      <c r="AE1006" s="522" t="s">
        <v>2590</v>
      </c>
      <c r="AF1006" s="522" t="s">
        <v>300</v>
      </c>
      <c r="AG1006" s="522">
        <v>1</v>
      </c>
      <c r="AH1006" s="522">
        <v>7</v>
      </c>
      <c r="AI1006" s="522">
        <v>0</v>
      </c>
      <c r="AJ1006" s="520">
        <f>VLOOKUP($I1006,'Price List, Weapons &amp; Items'!A:E,5,0)</f>
        <v>0</v>
      </c>
      <c r="AK1006" s="520">
        <f t="shared" si="224"/>
        <v>0</v>
      </c>
      <c r="AL1006" s="520">
        <f t="shared" si="225"/>
        <v>0</v>
      </c>
      <c r="AM1006" s="520">
        <f t="shared" si="226"/>
        <v>1</v>
      </c>
      <c r="AN1006" s="521" t="str">
        <f>VLOOKUP($I1006,'Price List, Weapons &amp; Items'!A:K,COLUMN('Price List, Weapons &amp; Items'!$I$1),0)</f>
        <v>Military media (incl. websites)</v>
      </c>
      <c r="AO1006" s="521" t="str">
        <f>IF(I1006=".",".",VLOOKUP($I1006,'Price List, Weapons &amp; Items'!A:I,3,0))</f>
        <v>105mm</v>
      </c>
      <c r="AP1006" s="517" t="str">
        <f t="shared" ca="1" si="232"/>
        <v/>
      </c>
      <c r="AQ1006" s="521">
        <f>VLOOKUP($I1006,'Price List, Weapons &amp; Items'!A:K,COLUMN('Price List, Weapons &amp; Items'!$K$1),0)</f>
        <v>2</v>
      </c>
      <c r="AS1006" s="521">
        <f t="shared" si="227"/>
        <v>1</v>
      </c>
      <c r="AT1006" s="521">
        <f t="shared" si="228"/>
        <v>1</v>
      </c>
      <c r="AU1006" s="521">
        <f t="shared" si="229"/>
        <v>1</v>
      </c>
      <c r="AV1006" s="521" t="str">
        <f t="shared" si="230"/>
        <v>.</v>
      </c>
    </row>
    <row r="1007" spans="1:48" ht="15" customHeight="1">
      <c r="A1007" s="18" t="s">
        <v>2627</v>
      </c>
      <c r="B1007" s="18" t="s">
        <v>2548</v>
      </c>
      <c r="C1007" s="511">
        <v>44764</v>
      </c>
      <c r="D1007" s="18" t="s">
        <v>252</v>
      </c>
      <c r="E1007" s="18" t="s">
        <v>1157</v>
      </c>
      <c r="F1007" s="512" t="s">
        <v>2669</v>
      </c>
      <c r="G1007" s="39" t="s">
        <v>314</v>
      </c>
      <c r="H1007" s="513">
        <v>175000000</v>
      </c>
      <c r="I1007" s="524" t="s">
        <v>2648</v>
      </c>
      <c r="J1007" s="276" t="str">
        <f>VLOOKUP($I1007,'Price List, Weapons &amp; Items'!A:B,2,0)</f>
        <v>Portable defence system</v>
      </c>
      <c r="K1007" s="276" t="str">
        <f>IF(I1007=".",I1007,VLOOKUP($I1007,'Price List, Weapons &amp; Items'!A:C,3,0))</f>
        <v>Light Anti-armor Weapon (LAW)</v>
      </c>
      <c r="L1007" s="514">
        <f>VLOOKUP(I1007,'Price List, Weapons &amp; Items'!A:D,4,0)</f>
        <v>0</v>
      </c>
      <c r="M1007" s="515">
        <v>4567</v>
      </c>
      <c r="N1007" s="515" t="s">
        <v>232</v>
      </c>
      <c r="O1007" s="516">
        <f>VLOOKUP($I1007,'Price List, Weapons &amp; Items'!A:F,6,0)</f>
        <v>3873.65</v>
      </c>
      <c r="P1007" s="513">
        <f t="shared" si="221"/>
        <v>17690959.550000001</v>
      </c>
      <c r="Q1007" s="513" t="str">
        <f t="shared" si="222"/>
        <v>.</v>
      </c>
      <c r="R1007" s="513" t="str">
        <f t="shared" si="233"/>
        <v/>
      </c>
      <c r="S1007" s="513" t="str">
        <f>IF(AND(AD1007=1,R1007&lt;&gt;".")=TRUE,R1007/VLOOKUP(G1007,'Exchange rates'!B:C,2,0),IF(R1007=".",".",""))</f>
        <v/>
      </c>
      <c r="T1007" s="513" t="str">
        <f>IF(AD1007=1,IF(AF1007="Value is not given at all",".",IF(AF1007="Value is given by the source",S1007,IF(AF1007="Value is calculated with prices",(IF(SUMIFS(Q:Q,A:A,A1007)&gt;0,SUMIFS(Q:Q,A:A,A1007),"."))/VLOOKUP("USD",'Exchange rates'!B:C,2,0),"Error with coding"))),"")</f>
        <v/>
      </c>
      <c r="U1007" s="39" t="s">
        <v>233</v>
      </c>
      <c r="V1007" s="376" t="s">
        <v>2670</v>
      </c>
      <c r="W1007" s="580" t="s">
        <v>2665</v>
      </c>
      <c r="X1007" s="531" t="s">
        <v>232</v>
      </c>
      <c r="Y1007" s="517" t="s">
        <v>232</v>
      </c>
      <c r="Z1007" s="39">
        <v>0</v>
      </c>
      <c r="AA1007" s="518">
        <v>0</v>
      </c>
      <c r="AB1007" s="523" t="s">
        <v>232</v>
      </c>
      <c r="AC1007" s="519" t="str">
        <f>""</f>
        <v/>
      </c>
      <c r="AD1007" s="522">
        <v>0</v>
      </c>
      <c r="AE1007" s="522" t="s">
        <v>2590</v>
      </c>
      <c r="AF1007" s="522" t="s">
        <v>300</v>
      </c>
      <c r="AG1007" s="522">
        <v>1</v>
      </c>
      <c r="AH1007" s="522">
        <v>7</v>
      </c>
      <c r="AI1007" s="522">
        <v>0</v>
      </c>
      <c r="AJ1007" s="520">
        <f>VLOOKUP($I1007,'Price List, Weapons &amp; Items'!A:E,5,0)</f>
        <v>0</v>
      </c>
      <c r="AK1007" s="520">
        <f t="shared" si="224"/>
        <v>0</v>
      </c>
      <c r="AL1007" s="520">
        <f t="shared" si="225"/>
        <v>0</v>
      </c>
      <c r="AM1007" s="520">
        <f t="shared" si="226"/>
        <v>0</v>
      </c>
      <c r="AN1007" s="521" t="str">
        <f>VLOOKUP($I1007,'Price List, Weapons &amp; Items'!A:K,COLUMN('Price List, Weapons &amp; Items'!$I$1),0)</f>
        <v>Military media (incl. websites)</v>
      </c>
      <c r="AO1007" s="521" t="str">
        <f>IF(I1007=".",".",VLOOKUP($I1007,'Price List, Weapons &amp; Items'!A:I,3,0))</f>
        <v>Light Anti-armor Weapon (LAW)</v>
      </c>
      <c r="AP1007" s="517" t="str">
        <f t="shared" ca="1" si="232"/>
        <v/>
      </c>
      <c r="AQ1007" s="521">
        <f>VLOOKUP($I1007,'Price List, Weapons &amp; Items'!A:K,COLUMN('Price List, Weapons &amp; Items'!$K$1),0)</f>
        <v>2</v>
      </c>
      <c r="AS1007" s="521">
        <f t="shared" si="227"/>
        <v>1</v>
      </c>
      <c r="AT1007" s="521">
        <f t="shared" si="228"/>
        <v>1</v>
      </c>
      <c r="AU1007" s="521">
        <f t="shared" si="229"/>
        <v>1</v>
      </c>
      <c r="AV1007" s="521" t="str">
        <f t="shared" si="230"/>
        <v>.</v>
      </c>
    </row>
    <row r="1008" spans="1:48" ht="15" customHeight="1">
      <c r="A1008" s="18" t="s">
        <v>2627</v>
      </c>
      <c r="B1008" s="18" t="s">
        <v>2548</v>
      </c>
      <c r="C1008" s="511">
        <v>44764</v>
      </c>
      <c r="D1008" s="18" t="s">
        <v>252</v>
      </c>
      <c r="E1008" s="18" t="s">
        <v>1157</v>
      </c>
      <c r="F1008" s="512" t="s">
        <v>2669</v>
      </c>
      <c r="G1008" s="39" t="s">
        <v>314</v>
      </c>
      <c r="H1008" s="513">
        <v>175000000</v>
      </c>
      <c r="I1008" s="524" t="s">
        <v>420</v>
      </c>
      <c r="J1008" s="276" t="str">
        <f>VLOOKUP($I1008,'Price List, Weapons &amp; Items'!A:B,2,0)</f>
        <v>Military equipment</v>
      </c>
      <c r="K1008" s="276" t="str">
        <f>IF(I1008=".",I1008,VLOOKUP($I1008,'Price List, Weapons &amp; Items'!A:C,3,0))</f>
        <v>spare parts</v>
      </c>
      <c r="L1008" s="514">
        <f>VLOOKUP(I1008,'Price List, Weapons &amp; Items'!A:D,4,0)</f>
        <v>0</v>
      </c>
      <c r="M1008" s="515" t="s">
        <v>232</v>
      </c>
      <c r="N1008" s="515" t="s">
        <v>232</v>
      </c>
      <c r="O1008" s="516" t="str">
        <f>VLOOKUP($I1008,'Price List, Weapons &amp; Items'!A:F,6,0)</f>
        <v>.</v>
      </c>
      <c r="P1008" s="513" t="str">
        <f t="shared" si="221"/>
        <v>.</v>
      </c>
      <c r="Q1008" s="513" t="str">
        <f t="shared" si="222"/>
        <v>.</v>
      </c>
      <c r="R1008" s="513" t="str">
        <f t="shared" si="233"/>
        <v/>
      </c>
      <c r="S1008" s="513" t="str">
        <f>IF(AND(AD1008=1,R1008&lt;&gt;".")=TRUE,R1008/VLOOKUP(G1008,'Exchange rates'!B:C,2,0),IF(R1008=".",".",""))</f>
        <v/>
      </c>
      <c r="T1008" s="513" t="str">
        <f>IF(AD1008=1,IF(AF1008="Value is not given at all",".",IF(AF1008="Value is given by the source",S1008,IF(AF1008="Value is calculated with prices",(IF(SUMIFS(Q:Q,A:A,A1008)&gt;0,SUMIFS(Q:Q,A:A,A1008),"."))/VLOOKUP("USD",'Exchange rates'!B:C,2,0),"Error with coding"))),"")</f>
        <v/>
      </c>
      <c r="U1008" s="39" t="s">
        <v>233</v>
      </c>
      <c r="V1008" s="376" t="s">
        <v>2670</v>
      </c>
      <c r="W1008" s="580" t="s">
        <v>2665</v>
      </c>
      <c r="X1008" s="531" t="s">
        <v>232</v>
      </c>
      <c r="Y1008" s="517" t="s">
        <v>232</v>
      </c>
      <c r="Z1008" s="39">
        <v>0</v>
      </c>
      <c r="AA1008" s="518">
        <v>0</v>
      </c>
      <c r="AB1008" s="523" t="s">
        <v>232</v>
      </c>
      <c r="AC1008" s="519" t="str">
        <f>""</f>
        <v/>
      </c>
      <c r="AD1008" s="522">
        <v>0</v>
      </c>
      <c r="AE1008" s="522" t="s">
        <v>2590</v>
      </c>
      <c r="AF1008" s="522" t="s">
        <v>300</v>
      </c>
      <c r="AG1008" s="522">
        <v>1</v>
      </c>
      <c r="AH1008" s="522">
        <v>7</v>
      </c>
      <c r="AI1008" s="522">
        <v>0</v>
      </c>
      <c r="AJ1008" s="520">
        <f>VLOOKUP($I1008,'Price List, Weapons &amp; Items'!A:E,5,0)</f>
        <v>0</v>
      </c>
      <c r="AK1008" s="520">
        <f t="shared" si="224"/>
        <v>0</v>
      </c>
      <c r="AL1008" s="520">
        <f t="shared" si="225"/>
        <v>0</v>
      </c>
      <c r="AM1008" s="520">
        <f t="shared" si="226"/>
        <v>0</v>
      </c>
      <c r="AN1008" s="521" t="str">
        <f>VLOOKUP($I1008,'Price List, Weapons &amp; Items'!A:K,COLUMN('Price List, Weapons &amp; Items'!$I$1),0)</f>
        <v>.</v>
      </c>
      <c r="AO1008" s="521" t="str">
        <f>IF(I1008=".",".",VLOOKUP($I1008,'Price List, Weapons &amp; Items'!A:I,3,0))</f>
        <v>spare parts</v>
      </c>
      <c r="AP1008" s="517" t="str">
        <f t="shared" ca="1" si="232"/>
        <v/>
      </c>
      <c r="AQ1008" s="521" t="str">
        <f>VLOOKUP($I1008,'Price List, Weapons &amp; Items'!A:K,COLUMN('Price List, Weapons &amp; Items'!$K$1),0)</f>
        <v>no price, 0 count</v>
      </c>
      <c r="AS1008" s="521">
        <f t="shared" si="227"/>
        <v>1</v>
      </c>
      <c r="AT1008" s="521">
        <f t="shared" si="228"/>
        <v>1</v>
      </c>
      <c r="AU1008" s="521">
        <f t="shared" si="229"/>
        <v>1</v>
      </c>
      <c r="AV1008" s="521" t="str">
        <f t="shared" si="230"/>
        <v>.</v>
      </c>
    </row>
    <row r="1009" spans="1:48" ht="15" customHeight="1">
      <c r="A1009" s="18" t="s">
        <v>2627</v>
      </c>
      <c r="B1009" s="18" t="s">
        <v>2548</v>
      </c>
      <c r="C1009" s="511">
        <v>44774</v>
      </c>
      <c r="D1009" s="18" t="s">
        <v>252</v>
      </c>
      <c r="E1009" s="18" t="s">
        <v>1157</v>
      </c>
      <c r="F1009" s="512" t="s">
        <v>2674</v>
      </c>
      <c r="G1009" s="39" t="s">
        <v>314</v>
      </c>
      <c r="H1009" s="513">
        <v>550000000</v>
      </c>
      <c r="I1009" s="41" t="s">
        <v>2655</v>
      </c>
      <c r="J1009" s="276" t="str">
        <f>VLOOKUP($I1009,'Price List, Weapons &amp; Items'!A:B,2,0)</f>
        <v>Ammunition for heavy weapon</v>
      </c>
      <c r="K1009" s="276" t="str">
        <f>IF(I1009=".",I1009,VLOOKUP($I1009,'Price List, Weapons &amp; Items'!A:C,3,0))</f>
        <v>227mm MLRS ammunition</v>
      </c>
      <c r="L1009" s="514">
        <f>VLOOKUP(I1009,'Price List, Weapons &amp; Items'!A:D,4,0)</f>
        <v>0</v>
      </c>
      <c r="M1009" s="515" t="s">
        <v>264</v>
      </c>
      <c r="N1009" s="515" t="s">
        <v>232</v>
      </c>
      <c r="O1009" s="516">
        <f>VLOOKUP($I1009,'Price List, Weapons &amp; Items'!A:F,6,0)</f>
        <v>150000</v>
      </c>
      <c r="P1009" s="513" t="str">
        <f t="shared" si="221"/>
        <v>.</v>
      </c>
      <c r="Q1009" s="513" t="str">
        <f t="shared" si="222"/>
        <v>.</v>
      </c>
      <c r="R1009" s="513" t="str">
        <f t="shared" si="233"/>
        <v/>
      </c>
      <c r="S1009" s="513" t="str">
        <f>IF(AND(AD1009=1,R1009&lt;&gt;".")=TRUE,R1009/VLOOKUP(G1009,'Exchange rates'!B:C,2,0),IF(R1009=".",".",""))</f>
        <v/>
      </c>
      <c r="T1009" s="513" t="str">
        <f>IF(AD1009=1,IF(AF1009="Value is not given at all",".",IF(AF1009="Value is given by the source",S1009,IF(AF1009="Value is calculated with prices",(IF(SUMIFS(Q:Q,A:A,A1009)&gt;0,SUMIFS(Q:Q,A:A,A1009),"."))/VLOOKUP("USD",'Exchange rates'!B:C,2,0),"Error with coding"))),"")</f>
        <v/>
      </c>
      <c r="U1009" s="39" t="s">
        <v>233</v>
      </c>
      <c r="V1009" s="376" t="s">
        <v>2675</v>
      </c>
      <c r="W1009" s="376" t="s">
        <v>2676</v>
      </c>
      <c r="X1009" s="531" t="s">
        <v>232</v>
      </c>
      <c r="Y1009" s="517" t="s">
        <v>232</v>
      </c>
      <c r="Z1009" s="39">
        <v>0</v>
      </c>
      <c r="AA1009" s="518">
        <v>0</v>
      </c>
      <c r="AB1009" s="523" t="s">
        <v>232</v>
      </c>
      <c r="AC1009" s="519" t="str">
        <f>""</f>
        <v/>
      </c>
      <c r="AD1009" s="522">
        <v>0</v>
      </c>
      <c r="AE1009" s="522" t="s">
        <v>2590</v>
      </c>
      <c r="AF1009" s="522" t="s">
        <v>300</v>
      </c>
      <c r="AG1009" s="522">
        <v>1</v>
      </c>
      <c r="AH1009" s="522">
        <v>8</v>
      </c>
      <c r="AI1009" s="522">
        <v>0</v>
      </c>
      <c r="AJ1009" s="520">
        <f>VLOOKUP($I1009,'Price List, Weapons &amp; Items'!A:E,5,0)</f>
        <v>1</v>
      </c>
      <c r="AK1009" s="520">
        <f t="shared" si="224"/>
        <v>1</v>
      </c>
      <c r="AL1009" s="520">
        <f t="shared" si="225"/>
        <v>0</v>
      </c>
      <c r="AM1009" s="520">
        <f t="shared" si="226"/>
        <v>1</v>
      </c>
      <c r="AN1009" s="521" t="str">
        <f>VLOOKUP($I1009,'Price List, Weapons &amp; Items'!A:K,COLUMN('Price List, Weapons &amp; Items'!$I$1),0)</f>
        <v>Media reports (incl. social media)</v>
      </c>
      <c r="AO1009" s="521" t="str">
        <f>IF(I1009=".",".",VLOOKUP($I1009,'Price List, Weapons &amp; Items'!A:I,3,0))</f>
        <v>227mm MLRS ammunition</v>
      </c>
      <c r="AP1009" s="517" t="str">
        <f t="shared" ca="1" si="232"/>
        <v/>
      </c>
      <c r="AQ1009" s="521" t="str">
        <f>VLOOKUP($I1009,'Price List, Weapons &amp; Items'!A:K,COLUMN('Price List, Weapons &amp; Items'!$K$1),0)</f>
        <v>no price, 0 count</v>
      </c>
      <c r="AS1009" s="521">
        <f t="shared" si="227"/>
        <v>1</v>
      </c>
      <c r="AT1009" s="521">
        <f t="shared" si="228"/>
        <v>1</v>
      </c>
      <c r="AU1009" s="521">
        <f t="shared" si="229"/>
        <v>1</v>
      </c>
      <c r="AV1009" s="521" t="str">
        <f t="shared" si="230"/>
        <v>.</v>
      </c>
    </row>
    <row r="1010" spans="1:48" ht="15" customHeight="1">
      <c r="A1010" s="18" t="s">
        <v>2627</v>
      </c>
      <c r="B1010" s="18" t="s">
        <v>2548</v>
      </c>
      <c r="C1010" s="511">
        <v>44774</v>
      </c>
      <c r="D1010" s="18" t="s">
        <v>252</v>
      </c>
      <c r="E1010" s="18" t="s">
        <v>1157</v>
      </c>
      <c r="F1010" s="512" t="s">
        <v>2674</v>
      </c>
      <c r="G1010" s="39" t="s">
        <v>314</v>
      </c>
      <c r="H1010" s="513">
        <v>550000000</v>
      </c>
      <c r="I1010" s="524" t="s">
        <v>574</v>
      </c>
      <c r="J1010" s="276" t="str">
        <f>VLOOKUP($I1010,'Price List, Weapons &amp; Items'!A:B,2,0)</f>
        <v>Ammunition for heavy weapon</v>
      </c>
      <c r="K1010" s="276" t="str">
        <f>IF(I1010=".",I1010,VLOOKUP($I1010,'Price List, Weapons &amp; Items'!A:C,3,0))</f>
        <v>155mm howitzer ammunition</v>
      </c>
      <c r="L1010" s="514">
        <f>VLOOKUP(I1010,'Price List, Weapons &amp; Items'!A:D,4,0)</f>
        <v>0</v>
      </c>
      <c r="M1010" s="515">
        <v>75000</v>
      </c>
      <c r="N1010" s="515" t="s">
        <v>232</v>
      </c>
      <c r="O1010" s="516">
        <f>VLOOKUP($I1010,'Price List, Weapons &amp; Items'!A:F,6,0)</f>
        <v>3800</v>
      </c>
      <c r="P1010" s="513">
        <f t="shared" si="221"/>
        <v>285000000</v>
      </c>
      <c r="Q1010" s="513" t="str">
        <f t="shared" si="222"/>
        <v>.</v>
      </c>
      <c r="R1010" s="513" t="str">
        <f t="shared" si="233"/>
        <v/>
      </c>
      <c r="S1010" s="513" t="str">
        <f>IF(AND(AD1010=1,R1010&lt;&gt;".")=TRUE,R1010/VLOOKUP(G1010,'Exchange rates'!B:C,2,0),IF(R1010=".",".",""))</f>
        <v/>
      </c>
      <c r="T1010" s="513" t="str">
        <f>IF(AD1010=1,IF(AF1010="Value is not given at all",".",IF(AF1010="Value is given by the source",S1010,IF(AF1010="Value is calculated with prices",(IF(SUMIFS(Q:Q,A:A,A1010)&gt;0,SUMIFS(Q:Q,A:A,A1010),"."))/VLOOKUP("USD",'Exchange rates'!B:C,2,0),"Error with coding"))),"")</f>
        <v/>
      </c>
      <c r="U1010" s="39" t="s">
        <v>233</v>
      </c>
      <c r="V1010" s="376" t="s">
        <v>2675</v>
      </c>
      <c r="W1010" s="376" t="s">
        <v>2676</v>
      </c>
      <c r="X1010" s="531" t="s">
        <v>232</v>
      </c>
      <c r="Y1010" s="517" t="s">
        <v>232</v>
      </c>
      <c r="Z1010" s="39">
        <v>0</v>
      </c>
      <c r="AA1010" s="518">
        <v>0</v>
      </c>
      <c r="AB1010" s="523" t="s">
        <v>232</v>
      </c>
      <c r="AC1010" s="519" t="str">
        <f>""</f>
        <v/>
      </c>
      <c r="AD1010" s="522">
        <v>0</v>
      </c>
      <c r="AE1010" s="522" t="s">
        <v>2590</v>
      </c>
      <c r="AF1010" s="522" t="s">
        <v>300</v>
      </c>
      <c r="AG1010" s="522">
        <v>1</v>
      </c>
      <c r="AH1010" s="522">
        <v>8</v>
      </c>
      <c r="AI1010" s="522">
        <v>0</v>
      </c>
      <c r="AJ1010" s="520">
        <f>VLOOKUP($I1010,'Price List, Weapons &amp; Items'!A:E,5,0)</f>
        <v>1</v>
      </c>
      <c r="AK1010" s="520">
        <f t="shared" si="224"/>
        <v>0</v>
      </c>
      <c r="AL1010" s="520">
        <f t="shared" si="225"/>
        <v>0</v>
      </c>
      <c r="AM1010" s="520">
        <f t="shared" si="226"/>
        <v>0</v>
      </c>
      <c r="AN1010" s="521" t="str">
        <f>VLOOKUP($I1010,'Price List, Weapons &amp; Items'!A:K,COLUMN('Price List, Weapons &amp; Items'!$I$1),0)</f>
        <v>Government information</v>
      </c>
      <c r="AO1010" s="521" t="str">
        <f>IF(I1010=".",".",VLOOKUP($I1010,'Price List, Weapons &amp; Items'!A:I,3,0))</f>
        <v>155mm howitzer ammunition</v>
      </c>
      <c r="AP1010" s="517" t="str">
        <f t="shared" ca="1" si="232"/>
        <v/>
      </c>
      <c r="AQ1010" s="521">
        <f>VLOOKUP($I1010,'Price List, Weapons &amp; Items'!A:K,COLUMN('Price List, Weapons &amp; Items'!$K$1),0)</f>
        <v>2</v>
      </c>
      <c r="AS1010" s="521">
        <f t="shared" si="227"/>
        <v>1</v>
      </c>
      <c r="AT1010" s="521">
        <f t="shared" si="228"/>
        <v>1</v>
      </c>
      <c r="AU1010" s="521">
        <f t="shared" si="229"/>
        <v>1</v>
      </c>
      <c r="AV1010" s="521" t="str">
        <f t="shared" si="230"/>
        <v>.</v>
      </c>
    </row>
    <row r="1011" spans="1:48" ht="15" customHeight="1">
      <c r="A1011" s="18" t="s">
        <v>2627</v>
      </c>
      <c r="B1011" s="46" t="s">
        <v>2548</v>
      </c>
      <c r="C1011" s="550">
        <v>44781</v>
      </c>
      <c r="D1011" s="46" t="s">
        <v>252</v>
      </c>
      <c r="E1011" s="18" t="s">
        <v>1157</v>
      </c>
      <c r="F1011" s="46" t="s">
        <v>2677</v>
      </c>
      <c r="G1011" s="39" t="s">
        <v>314</v>
      </c>
      <c r="H1011" s="563">
        <v>1000000000</v>
      </c>
      <c r="I1011" s="46" t="s">
        <v>2655</v>
      </c>
      <c r="J1011" s="276" t="str">
        <f>VLOOKUP($I1011,'Price List, Weapons &amp; Items'!A:B,2,0)</f>
        <v>Ammunition for heavy weapon</v>
      </c>
      <c r="K1011" s="276" t="str">
        <f>IF(I1011=".",I1011,VLOOKUP($I1011,'Price List, Weapons &amp; Items'!A:C,3,0))</f>
        <v>227mm MLRS ammunition</v>
      </c>
      <c r="L1011" s="514">
        <f>VLOOKUP(I1011,'Price List, Weapons &amp; Items'!A:D,4,0)</f>
        <v>0</v>
      </c>
      <c r="M1011" s="46" t="s">
        <v>264</v>
      </c>
      <c r="N1011" s="46" t="s">
        <v>232</v>
      </c>
      <c r="O1011" s="516">
        <f>VLOOKUP($I1011,'Price List, Weapons &amp; Items'!A:F,6,0)</f>
        <v>150000</v>
      </c>
      <c r="P1011" s="513" t="str">
        <f t="shared" si="221"/>
        <v>.</v>
      </c>
      <c r="Q1011" s="513" t="str">
        <f t="shared" si="222"/>
        <v>.</v>
      </c>
      <c r="R1011" s="513" t="str">
        <f t="shared" si="233"/>
        <v/>
      </c>
      <c r="S1011" s="513" t="str">
        <f>IF(AND(AD1011=1,R1011&lt;&gt;".")=TRUE,R1011/VLOOKUP(G1011,'Exchange rates'!B:C,2,0),IF(R1011=".",".",""))</f>
        <v/>
      </c>
      <c r="T1011" s="513" t="str">
        <f>IF(AD1011=1,IF(AF1011="Value is not given at all",".",IF(AF1011="Value is given by the source",S1011,IF(AF1011="Value is calculated with prices",(IF(SUMIFS(Q:Q,A:A,A1011)&gt;0,SUMIFS(Q:Q,A:A,A1011),"."))/VLOOKUP("USD",'Exchange rates'!B:C,2,0),"Error with coding"))),"")</f>
        <v/>
      </c>
      <c r="U1011" s="39" t="s">
        <v>233</v>
      </c>
      <c r="V1011" s="826" t="s">
        <v>2678</v>
      </c>
      <c r="W1011" s="376" t="s">
        <v>232</v>
      </c>
      <c r="X1011" s="376" t="s">
        <v>232</v>
      </c>
      <c r="Y1011" s="376" t="s">
        <v>232</v>
      </c>
      <c r="Z1011" s="552">
        <v>0</v>
      </c>
      <c r="AA1011" s="552">
        <v>0</v>
      </c>
      <c r="AB1011" s="41" t="s">
        <v>232</v>
      </c>
      <c r="AC1011" s="519" t="str">
        <f>""</f>
        <v/>
      </c>
      <c r="AD1011" s="522">
        <v>0</v>
      </c>
      <c r="AE1011" s="522" t="s">
        <v>2590</v>
      </c>
      <c r="AF1011" s="522" t="s">
        <v>237</v>
      </c>
      <c r="AG1011" s="522">
        <v>1</v>
      </c>
      <c r="AH1011" s="522">
        <v>8</v>
      </c>
      <c r="AI1011" s="522">
        <v>0</v>
      </c>
      <c r="AJ1011" s="520">
        <f>VLOOKUP($I1011,'Price List, Weapons &amp; Items'!A:E,5,0)</f>
        <v>1</v>
      </c>
      <c r="AK1011" s="520">
        <f t="shared" si="224"/>
        <v>1</v>
      </c>
      <c r="AL1011" s="520">
        <f t="shared" si="225"/>
        <v>0</v>
      </c>
      <c r="AM1011" s="520">
        <f t="shared" si="226"/>
        <v>1</v>
      </c>
      <c r="AN1011" s="521" t="str">
        <f>VLOOKUP($I1011,'Price List, Weapons &amp; Items'!A:K,COLUMN('Price List, Weapons &amp; Items'!$I$1),0)</f>
        <v>Media reports (incl. social media)</v>
      </c>
      <c r="AO1011" s="521" t="str">
        <f>IF(I1011=".",".",VLOOKUP($I1011,'Price List, Weapons &amp; Items'!A:I,3,0))</f>
        <v>227mm MLRS ammunition</v>
      </c>
      <c r="AP1011" s="517" t="str">
        <f t="shared" ca="1" si="232"/>
        <v/>
      </c>
      <c r="AQ1011" s="521" t="str">
        <f>VLOOKUP($I1011,'Price List, Weapons &amp; Items'!A:K,COLUMN('Price List, Weapons &amp; Items'!$K$1),0)</f>
        <v>no price, 0 count</v>
      </c>
      <c r="AS1011" s="521">
        <f t="shared" si="227"/>
        <v>1</v>
      </c>
      <c r="AT1011" s="521">
        <f t="shared" si="228"/>
        <v>1</v>
      </c>
      <c r="AU1011" s="521">
        <f t="shared" si="229"/>
        <v>1</v>
      </c>
      <c r="AV1011" s="521" t="str">
        <f t="shared" si="230"/>
        <v>.</v>
      </c>
    </row>
    <row r="1012" spans="1:48" ht="15" customHeight="1">
      <c r="A1012" s="18" t="s">
        <v>2627</v>
      </c>
      <c r="B1012" s="46" t="s">
        <v>2548</v>
      </c>
      <c r="C1012" s="550">
        <v>44781</v>
      </c>
      <c r="D1012" s="46" t="s">
        <v>252</v>
      </c>
      <c r="E1012" s="18" t="s">
        <v>1157</v>
      </c>
      <c r="F1012" s="46" t="s">
        <v>2677</v>
      </c>
      <c r="G1012" s="39" t="s">
        <v>314</v>
      </c>
      <c r="H1012" s="563">
        <v>1000000000</v>
      </c>
      <c r="I1012" s="46" t="s">
        <v>574</v>
      </c>
      <c r="J1012" s="276" t="str">
        <f>VLOOKUP($I1012,'Price List, Weapons &amp; Items'!A:B,2,0)</f>
        <v>Ammunition for heavy weapon</v>
      </c>
      <c r="K1012" s="276" t="str">
        <f>IF(I1012=".",I1012,VLOOKUP($I1012,'Price List, Weapons &amp; Items'!A:C,3,0))</f>
        <v>155mm howitzer ammunition</v>
      </c>
      <c r="L1012" s="514">
        <f>VLOOKUP(I1012,'Price List, Weapons &amp; Items'!A:D,4,0)</f>
        <v>0</v>
      </c>
      <c r="M1012" s="46">
        <v>75000</v>
      </c>
      <c r="N1012" s="46" t="s">
        <v>232</v>
      </c>
      <c r="O1012" s="516">
        <f>VLOOKUP($I1012,'Price List, Weapons &amp; Items'!A:F,6,0)</f>
        <v>3800</v>
      </c>
      <c r="P1012" s="513">
        <f t="shared" si="221"/>
        <v>285000000</v>
      </c>
      <c r="Q1012" s="513" t="str">
        <f t="shared" si="222"/>
        <v>.</v>
      </c>
      <c r="R1012" s="513" t="str">
        <f t="shared" si="233"/>
        <v/>
      </c>
      <c r="S1012" s="513" t="str">
        <f>IF(AND(AD1012=1,R1012&lt;&gt;".")=TRUE,R1012/VLOOKUP(G1012,'Exchange rates'!B:C,2,0),IF(R1012=".",".",""))</f>
        <v/>
      </c>
      <c r="T1012" s="513" t="str">
        <f>IF(AD1012=1,IF(AF1012="Value is not given at all",".",IF(AF1012="Value is given by the source",S1012,IF(AF1012="Value is calculated with prices",(IF(SUMIFS(Q:Q,A:A,A1012)&gt;0,SUMIFS(Q:Q,A:A,A1012),"."))/VLOOKUP("USD",'Exchange rates'!B:C,2,0),"Error with coding"))),"")</f>
        <v/>
      </c>
      <c r="U1012" s="39" t="s">
        <v>233</v>
      </c>
      <c r="V1012" s="826" t="s">
        <v>2678</v>
      </c>
      <c r="W1012" s="376" t="s">
        <v>232</v>
      </c>
      <c r="X1012" s="376" t="s">
        <v>232</v>
      </c>
      <c r="Y1012" s="376" t="s">
        <v>232</v>
      </c>
      <c r="Z1012" s="552">
        <v>0</v>
      </c>
      <c r="AA1012" s="552">
        <v>0</v>
      </c>
      <c r="AB1012" s="41" t="s">
        <v>232</v>
      </c>
      <c r="AC1012" s="519" t="str">
        <f>""</f>
        <v/>
      </c>
      <c r="AD1012" s="522">
        <v>0</v>
      </c>
      <c r="AE1012" s="522" t="s">
        <v>2590</v>
      </c>
      <c r="AF1012" s="522" t="s">
        <v>237</v>
      </c>
      <c r="AG1012" s="522">
        <v>1</v>
      </c>
      <c r="AH1012" s="522">
        <v>8</v>
      </c>
      <c r="AI1012" s="522">
        <v>0</v>
      </c>
      <c r="AJ1012" s="520">
        <f>VLOOKUP($I1012,'Price List, Weapons &amp; Items'!A:E,5,0)</f>
        <v>1</v>
      </c>
      <c r="AK1012" s="520">
        <f t="shared" si="224"/>
        <v>0</v>
      </c>
      <c r="AL1012" s="520">
        <f t="shared" si="225"/>
        <v>0</v>
      </c>
      <c r="AM1012" s="520">
        <f t="shared" si="226"/>
        <v>0</v>
      </c>
      <c r="AN1012" s="521" t="str">
        <f>VLOOKUP($I1012,'Price List, Weapons &amp; Items'!A:K,COLUMN('Price List, Weapons &amp; Items'!$I$1),0)</f>
        <v>Government information</v>
      </c>
      <c r="AO1012" s="521" t="str">
        <f>IF(I1012=".",".",VLOOKUP($I1012,'Price List, Weapons &amp; Items'!A:I,3,0))</f>
        <v>155mm howitzer ammunition</v>
      </c>
      <c r="AP1012" s="517" t="str">
        <f t="shared" ca="1" si="232"/>
        <v/>
      </c>
      <c r="AQ1012" s="521">
        <f>VLOOKUP($I1012,'Price List, Weapons &amp; Items'!A:K,COLUMN('Price List, Weapons &amp; Items'!$K$1),0)</f>
        <v>2</v>
      </c>
      <c r="AS1012" s="521">
        <f t="shared" si="227"/>
        <v>1</v>
      </c>
      <c r="AT1012" s="521">
        <f t="shared" si="228"/>
        <v>1</v>
      </c>
      <c r="AU1012" s="521">
        <f t="shared" si="229"/>
        <v>1</v>
      </c>
      <c r="AV1012" s="521" t="str">
        <f t="shared" si="230"/>
        <v>.</v>
      </c>
    </row>
    <row r="1013" spans="1:48" ht="15" customHeight="1">
      <c r="A1013" s="18" t="s">
        <v>2627</v>
      </c>
      <c r="B1013" s="46" t="s">
        <v>2548</v>
      </c>
      <c r="C1013" s="550">
        <v>44781</v>
      </c>
      <c r="D1013" s="46" t="s">
        <v>252</v>
      </c>
      <c r="E1013" s="18" t="s">
        <v>1157</v>
      </c>
      <c r="F1013" s="46" t="s">
        <v>2677</v>
      </c>
      <c r="G1013" s="39" t="s">
        <v>314</v>
      </c>
      <c r="H1013" s="563">
        <v>1000000000</v>
      </c>
      <c r="I1013" s="46" t="s">
        <v>2679</v>
      </c>
      <c r="J1013" s="276" t="str">
        <f>VLOOKUP($I1013,'Price List, Weapons &amp; Items'!A:B,2,0)</f>
        <v>Heavy weapon</v>
      </c>
      <c r="K1013" s="276" t="str">
        <f>IF(I1013=".",I1013,VLOOKUP($I1013,'Price List, Weapons &amp; Items'!A:C,3,0))</f>
        <v>Mortar</v>
      </c>
      <c r="L1013" s="514">
        <f>VLOOKUP(I1013,'Price List, Weapons &amp; Items'!A:D,4,0)</f>
        <v>0</v>
      </c>
      <c r="M1013" s="46">
        <v>20</v>
      </c>
      <c r="N1013" s="46" t="s">
        <v>232</v>
      </c>
      <c r="O1013" s="516" t="str">
        <f>VLOOKUP($I1013,'Price List, Weapons &amp; Items'!A:F,6,0)</f>
        <v>.</v>
      </c>
      <c r="P1013" s="513" t="str">
        <f t="shared" si="221"/>
        <v>No price</v>
      </c>
      <c r="Q1013" s="513" t="str">
        <f t="shared" si="222"/>
        <v>.</v>
      </c>
      <c r="R1013" s="513" t="str">
        <f t="shared" si="233"/>
        <v/>
      </c>
      <c r="S1013" s="513" t="str">
        <f>IF(AND(AD1013=1,R1013&lt;&gt;".")=TRUE,R1013/VLOOKUP(G1013,'Exchange rates'!B:C,2,0),IF(R1013=".",".",""))</f>
        <v/>
      </c>
      <c r="T1013" s="513" t="str">
        <f>IF(AD1013=1,IF(AF1013="Value is not given at all",".",IF(AF1013="Value is given by the source",S1013,IF(AF1013="Value is calculated with prices",(IF(SUMIFS(Q:Q,A:A,A1013)&gt;0,SUMIFS(Q:Q,A:A,A1013),"."))/VLOOKUP("USD",'Exchange rates'!B:C,2,0),"Error with coding"))),"")</f>
        <v/>
      </c>
      <c r="U1013" s="39" t="s">
        <v>233</v>
      </c>
      <c r="V1013" s="826" t="s">
        <v>2678</v>
      </c>
      <c r="W1013" s="376" t="s">
        <v>232</v>
      </c>
      <c r="X1013" s="376" t="s">
        <v>232</v>
      </c>
      <c r="Y1013" s="376" t="s">
        <v>232</v>
      </c>
      <c r="Z1013" s="552">
        <v>0</v>
      </c>
      <c r="AA1013" s="552">
        <v>0</v>
      </c>
      <c r="AB1013" s="41" t="s">
        <v>232</v>
      </c>
      <c r="AC1013" s="519" t="str">
        <f>""</f>
        <v/>
      </c>
      <c r="AD1013" s="522">
        <v>0</v>
      </c>
      <c r="AE1013" s="522" t="s">
        <v>2590</v>
      </c>
      <c r="AF1013" s="522" t="s">
        <v>237</v>
      </c>
      <c r="AG1013" s="522">
        <v>1</v>
      </c>
      <c r="AH1013" s="522">
        <v>8</v>
      </c>
      <c r="AI1013" s="522">
        <v>0</v>
      </c>
      <c r="AJ1013" s="520">
        <f>VLOOKUP($I1013,'Price List, Weapons &amp; Items'!A:E,5,0)</f>
        <v>0</v>
      </c>
      <c r="AK1013" s="520">
        <f t="shared" si="224"/>
        <v>0</v>
      </c>
      <c r="AL1013" s="520">
        <f t="shared" si="225"/>
        <v>0</v>
      </c>
      <c r="AM1013" s="520">
        <f t="shared" si="226"/>
        <v>0</v>
      </c>
      <c r="AN1013" s="521" t="str">
        <f>VLOOKUP($I1013,'Price List, Weapons &amp; Items'!A:K,COLUMN('Price List, Weapons &amp; Items'!$I$1),0)</f>
        <v>.</v>
      </c>
      <c r="AO1013" s="521" t="str">
        <f>IF(I1013=".",".",VLOOKUP($I1013,'Price List, Weapons &amp; Items'!A:I,3,0))</f>
        <v>Mortar</v>
      </c>
      <c r="AP1013" s="517" t="str">
        <f t="shared" ca="1" si="232"/>
        <v/>
      </c>
      <c r="AQ1013" s="521">
        <f>VLOOKUP($I1013,'Price List, Weapons &amp; Items'!A:K,COLUMN('Price List, Weapons &amp; Items'!$K$1),0)</f>
        <v>0</v>
      </c>
      <c r="AS1013" s="521">
        <f t="shared" si="227"/>
        <v>1</v>
      </c>
      <c r="AT1013" s="521">
        <f t="shared" si="228"/>
        <v>1</v>
      </c>
      <c r="AU1013" s="521">
        <f t="shared" si="229"/>
        <v>1</v>
      </c>
      <c r="AV1013" s="521" t="str">
        <f t="shared" si="230"/>
        <v>.</v>
      </c>
    </row>
    <row r="1014" spans="1:48" ht="15" customHeight="1">
      <c r="A1014" s="18" t="s">
        <v>2627</v>
      </c>
      <c r="B1014" s="46" t="s">
        <v>2548</v>
      </c>
      <c r="C1014" s="550">
        <v>44781</v>
      </c>
      <c r="D1014" s="46" t="s">
        <v>252</v>
      </c>
      <c r="E1014" s="18" t="s">
        <v>1157</v>
      </c>
      <c r="F1014" s="46" t="s">
        <v>2677</v>
      </c>
      <c r="G1014" s="39" t="s">
        <v>314</v>
      </c>
      <c r="H1014" s="563">
        <v>1000000000</v>
      </c>
      <c r="I1014" s="46" t="s">
        <v>2680</v>
      </c>
      <c r="J1014" s="276" t="str">
        <f>VLOOKUP($I1014,'Price List, Weapons &amp; Items'!A:B,2,0)</f>
        <v>Ammunition for light infantry</v>
      </c>
      <c r="K1014" s="276" t="str">
        <f>IF(I1014=".",I1014,VLOOKUP($I1014,'Price List, Weapons &amp; Items'!A:C,3,0))</f>
        <v>Mortar ammunition</v>
      </c>
      <c r="L1014" s="514">
        <f>VLOOKUP(I1014,'Price List, Weapons &amp; Items'!A:D,4,0)</f>
        <v>0</v>
      </c>
      <c r="M1014" s="46">
        <v>20000</v>
      </c>
      <c r="N1014" s="46" t="s">
        <v>232</v>
      </c>
      <c r="O1014" s="516" t="str">
        <f>VLOOKUP($I1014,'Price List, Weapons &amp; Items'!A:F,6,0)</f>
        <v>.</v>
      </c>
      <c r="P1014" s="513" t="str">
        <f t="shared" si="221"/>
        <v>No price</v>
      </c>
      <c r="Q1014" s="513" t="str">
        <f t="shared" si="222"/>
        <v>.</v>
      </c>
      <c r="R1014" s="513" t="str">
        <f t="shared" si="233"/>
        <v/>
      </c>
      <c r="S1014" s="513" t="str">
        <f>IF(AND(AD1014=1,R1014&lt;&gt;".")=TRUE,R1014/VLOOKUP(G1014,'Exchange rates'!B:C,2,0),IF(R1014=".",".",""))</f>
        <v/>
      </c>
      <c r="T1014" s="513" t="str">
        <f>IF(AD1014=1,IF(AF1014="Value is not given at all",".",IF(AF1014="Value is given by the source",S1014,IF(AF1014="Value is calculated with prices",(IF(SUMIFS(Q:Q,A:A,A1014)&gt;0,SUMIFS(Q:Q,A:A,A1014),"."))/VLOOKUP("USD",'Exchange rates'!B:C,2,0),"Error with coding"))),"")</f>
        <v/>
      </c>
      <c r="U1014" s="39" t="s">
        <v>233</v>
      </c>
      <c r="V1014" s="826" t="s">
        <v>2678</v>
      </c>
      <c r="W1014" s="376" t="s">
        <v>232</v>
      </c>
      <c r="X1014" s="376" t="s">
        <v>232</v>
      </c>
      <c r="Y1014" s="376" t="s">
        <v>232</v>
      </c>
      <c r="Z1014" s="552">
        <v>0</v>
      </c>
      <c r="AA1014" s="552">
        <v>0</v>
      </c>
      <c r="AB1014" s="41" t="s">
        <v>232</v>
      </c>
      <c r="AC1014" s="519" t="str">
        <f>""</f>
        <v/>
      </c>
      <c r="AD1014" s="522">
        <v>0</v>
      </c>
      <c r="AE1014" s="522" t="s">
        <v>2590</v>
      </c>
      <c r="AF1014" s="522" t="s">
        <v>237</v>
      </c>
      <c r="AG1014" s="522">
        <v>1</v>
      </c>
      <c r="AH1014" s="522">
        <v>8</v>
      </c>
      <c r="AI1014" s="522">
        <v>0</v>
      </c>
      <c r="AJ1014" s="520">
        <f>VLOOKUP($I1014,'Price List, Weapons &amp; Items'!A:E,5,0)</f>
        <v>0</v>
      </c>
      <c r="AK1014" s="520">
        <f t="shared" si="224"/>
        <v>0</v>
      </c>
      <c r="AL1014" s="520">
        <f t="shared" si="225"/>
        <v>0</v>
      </c>
      <c r="AM1014" s="520">
        <f t="shared" si="226"/>
        <v>1</v>
      </c>
      <c r="AN1014" s="521" t="str">
        <f>VLOOKUP($I1014,'Price List, Weapons &amp; Items'!A:K,COLUMN('Price List, Weapons &amp; Items'!$I$1),0)</f>
        <v>.</v>
      </c>
      <c r="AO1014" s="521" t="str">
        <f>IF(I1014=".",".",VLOOKUP($I1014,'Price List, Weapons &amp; Items'!A:I,3,0))</f>
        <v>Mortar ammunition</v>
      </c>
      <c r="AP1014" s="517" t="str">
        <f t="shared" ca="1" si="232"/>
        <v/>
      </c>
      <c r="AQ1014" s="521">
        <f>VLOOKUP($I1014,'Price List, Weapons &amp; Items'!A:K,COLUMN('Price List, Weapons &amp; Items'!$K$1),0)</f>
        <v>0</v>
      </c>
      <c r="AS1014" s="521">
        <f t="shared" si="227"/>
        <v>1</v>
      </c>
      <c r="AT1014" s="521">
        <f t="shared" si="228"/>
        <v>1</v>
      </c>
      <c r="AU1014" s="521">
        <f t="shared" si="229"/>
        <v>1</v>
      </c>
      <c r="AV1014" s="521" t="str">
        <f t="shared" si="230"/>
        <v>.</v>
      </c>
    </row>
    <row r="1015" spans="1:48" ht="15" customHeight="1">
      <c r="A1015" s="18" t="s">
        <v>2627</v>
      </c>
      <c r="B1015" s="46" t="s">
        <v>2548</v>
      </c>
      <c r="C1015" s="550">
        <v>44781</v>
      </c>
      <c r="D1015" s="46" t="s">
        <v>252</v>
      </c>
      <c r="E1015" s="18" t="s">
        <v>1157</v>
      </c>
      <c r="F1015" s="46" t="s">
        <v>2677</v>
      </c>
      <c r="G1015" s="39" t="s">
        <v>314</v>
      </c>
      <c r="H1015" s="563">
        <v>1000000000</v>
      </c>
      <c r="I1015" s="46" t="s">
        <v>2681</v>
      </c>
      <c r="J1015" s="276" t="str">
        <f>VLOOKUP($I1015,'Price List, Weapons &amp; Items'!A:B,2,0)</f>
        <v>Ammunition for Heavy Weapon</v>
      </c>
      <c r="K1015" s="276" t="str">
        <f>IF(I1015=".",I1015,VLOOKUP($I1015,'Price List, Weapons &amp; Items'!A:C,3,0))</f>
        <v>.</v>
      </c>
      <c r="L1015" s="514">
        <f>VLOOKUP(I1015,'Price List, Weapons &amp; Items'!A:D,4,0)</f>
        <v>0</v>
      </c>
      <c r="M1015" s="46" t="s">
        <v>264</v>
      </c>
      <c r="N1015" s="46" t="s">
        <v>232</v>
      </c>
      <c r="O1015" s="516">
        <f>VLOOKUP($I1015,'Price List, Weapons &amp; Items'!A:F,6,0)</f>
        <v>1090000</v>
      </c>
      <c r="P1015" s="513" t="str">
        <f t="shared" si="221"/>
        <v>.</v>
      </c>
      <c r="Q1015" s="513" t="str">
        <f t="shared" si="222"/>
        <v>.</v>
      </c>
      <c r="R1015" s="513" t="str">
        <f t="shared" si="233"/>
        <v/>
      </c>
      <c r="S1015" s="513" t="str">
        <f>IF(AND(AD1015=1,R1015&lt;&gt;".")=TRUE,R1015/VLOOKUP(G1015,'Exchange rates'!B:C,2,0),IF(R1015=".",".",""))</f>
        <v/>
      </c>
      <c r="T1015" s="513" t="str">
        <f>IF(AD1015=1,IF(AF1015="Value is not given at all",".",IF(AF1015="Value is given by the source",S1015,IF(AF1015="Value is calculated with prices",(IF(SUMIFS(Q:Q,A:A,A1015)&gt;0,SUMIFS(Q:Q,A:A,A1015),"."))/VLOOKUP("USD",'Exchange rates'!B:C,2,0),"Error with coding"))),"")</f>
        <v/>
      </c>
      <c r="U1015" s="39" t="s">
        <v>233</v>
      </c>
      <c r="V1015" s="826" t="s">
        <v>2678</v>
      </c>
      <c r="W1015" s="376" t="s">
        <v>232</v>
      </c>
      <c r="X1015" s="376" t="s">
        <v>232</v>
      </c>
      <c r="Y1015" s="376" t="s">
        <v>232</v>
      </c>
      <c r="Z1015" s="552">
        <v>0</v>
      </c>
      <c r="AA1015" s="552">
        <v>0</v>
      </c>
      <c r="AB1015" s="41" t="s">
        <v>232</v>
      </c>
      <c r="AC1015" s="519" t="str">
        <f>""</f>
        <v/>
      </c>
      <c r="AD1015" s="522">
        <v>0</v>
      </c>
      <c r="AE1015" s="522" t="s">
        <v>2590</v>
      </c>
      <c r="AF1015" s="522" t="s">
        <v>237</v>
      </c>
      <c r="AG1015" s="522">
        <v>1</v>
      </c>
      <c r="AH1015" s="522">
        <v>8</v>
      </c>
      <c r="AI1015" s="522">
        <v>0</v>
      </c>
      <c r="AJ1015" s="520">
        <f>VLOOKUP($I1015,'Price List, Weapons &amp; Items'!A:E,5,0)</f>
        <v>0</v>
      </c>
      <c r="AK1015" s="520">
        <f t="shared" si="224"/>
        <v>0</v>
      </c>
      <c r="AL1015" s="520">
        <f t="shared" si="225"/>
        <v>0</v>
      </c>
      <c r="AM1015" s="520">
        <f t="shared" si="226"/>
        <v>0</v>
      </c>
      <c r="AN1015" s="521" t="str">
        <f>VLOOKUP($I1015,'Price List, Weapons &amp; Items'!A:K,COLUMN('Price List, Weapons &amp; Items'!$I$1),0)</f>
        <v>Miscellaneous</v>
      </c>
      <c r="AO1015" s="521" t="str">
        <f>IF(I1015=".",".",VLOOKUP($I1015,'Price List, Weapons &amp; Items'!A:I,3,0))</f>
        <v>.</v>
      </c>
      <c r="AP1015" s="517" t="str">
        <f t="shared" ca="1" si="232"/>
        <v/>
      </c>
      <c r="AQ1015" s="521" t="str">
        <f>VLOOKUP($I1015,'Price List, Weapons &amp; Items'!A:K,COLUMN('Price List, Weapons &amp; Items'!$K$1),0)</f>
        <v>no price, 0 count</v>
      </c>
      <c r="AS1015" s="521">
        <f t="shared" si="227"/>
        <v>1</v>
      </c>
      <c r="AT1015" s="521">
        <f t="shared" si="228"/>
        <v>1</v>
      </c>
      <c r="AU1015" s="521">
        <f t="shared" si="229"/>
        <v>1</v>
      </c>
      <c r="AV1015" s="521" t="str">
        <f t="shared" si="230"/>
        <v>.</v>
      </c>
    </row>
    <row r="1016" spans="1:48" ht="15" customHeight="1">
      <c r="A1016" s="18" t="s">
        <v>2627</v>
      </c>
      <c r="B1016" s="46" t="s">
        <v>2548</v>
      </c>
      <c r="C1016" s="550">
        <v>44781</v>
      </c>
      <c r="D1016" s="46" t="s">
        <v>252</v>
      </c>
      <c r="E1016" s="18" t="s">
        <v>1157</v>
      </c>
      <c r="F1016" s="46" t="s">
        <v>2677</v>
      </c>
      <c r="G1016" s="39" t="s">
        <v>314</v>
      </c>
      <c r="H1016" s="563">
        <v>1000000000</v>
      </c>
      <c r="I1016" s="46" t="s">
        <v>2594</v>
      </c>
      <c r="J1016" s="276" t="str">
        <f>VLOOKUP($I1016,'Price List, Weapons &amp; Items'!A:B,2,0)</f>
        <v>Portable defence system</v>
      </c>
      <c r="K1016" s="276" t="str">
        <f>IF(I1016=".",I1016,VLOOKUP($I1016,'Price List, Weapons &amp; Items'!A:C,3,0))</f>
        <v>Light Anti-armor Weapon (LAW)</v>
      </c>
      <c r="L1016" s="514">
        <f>VLOOKUP(I1016,'Price List, Weapons &amp; Items'!A:D,4,0)</f>
        <v>0</v>
      </c>
      <c r="M1016" s="46">
        <v>1000</v>
      </c>
      <c r="N1016" s="46" t="s">
        <v>232</v>
      </c>
      <c r="O1016" s="516">
        <f>VLOOKUP($I1016,'Price List, Weapons &amp; Items'!A:F,6,0)</f>
        <v>256000</v>
      </c>
      <c r="P1016" s="513">
        <f t="shared" si="221"/>
        <v>256000000</v>
      </c>
      <c r="Q1016" s="513" t="str">
        <f t="shared" si="222"/>
        <v>.</v>
      </c>
      <c r="R1016" s="513" t="str">
        <f t="shared" si="233"/>
        <v/>
      </c>
      <c r="S1016" s="513" t="str">
        <f>IF(AND(AD1016=1,R1016&lt;&gt;".")=TRUE,R1016/VLOOKUP(G1016,'Exchange rates'!B:C,2,0),IF(R1016=".",".",""))</f>
        <v/>
      </c>
      <c r="T1016" s="513" t="str">
        <f>IF(AD1016=1,IF(AF1016="Value is not given at all",".",IF(AF1016="Value is given by the source",S1016,IF(AF1016="Value is calculated with prices",(IF(SUMIFS(Q:Q,A:A,A1016)&gt;0,SUMIFS(Q:Q,A:A,A1016),"."))/VLOOKUP("USD",'Exchange rates'!B:C,2,0),"Error with coding"))),"")</f>
        <v/>
      </c>
      <c r="U1016" s="39" t="s">
        <v>233</v>
      </c>
      <c r="V1016" s="826" t="s">
        <v>2678</v>
      </c>
      <c r="W1016" s="376" t="s">
        <v>232</v>
      </c>
      <c r="X1016" s="376" t="s">
        <v>232</v>
      </c>
      <c r="Y1016" s="376" t="s">
        <v>232</v>
      </c>
      <c r="Z1016" s="552">
        <v>0</v>
      </c>
      <c r="AA1016" s="552">
        <v>0</v>
      </c>
      <c r="AB1016" s="41" t="s">
        <v>232</v>
      </c>
      <c r="AC1016" s="519" t="str">
        <f>""</f>
        <v/>
      </c>
      <c r="AD1016" s="522">
        <v>0</v>
      </c>
      <c r="AE1016" s="522" t="s">
        <v>2590</v>
      </c>
      <c r="AF1016" s="522" t="s">
        <v>237</v>
      </c>
      <c r="AG1016" s="522">
        <v>1</v>
      </c>
      <c r="AH1016" s="522">
        <v>8</v>
      </c>
      <c r="AI1016" s="522">
        <v>0</v>
      </c>
      <c r="AJ1016" s="520">
        <f>VLOOKUP($I1016,'Price List, Weapons &amp; Items'!A:E,5,0)</f>
        <v>0</v>
      </c>
      <c r="AK1016" s="520">
        <f t="shared" si="224"/>
        <v>0</v>
      </c>
      <c r="AL1016" s="520">
        <f t="shared" si="225"/>
        <v>0</v>
      </c>
      <c r="AM1016" s="520">
        <f t="shared" si="226"/>
        <v>0</v>
      </c>
      <c r="AN1016" s="521" t="str">
        <f>VLOOKUP($I1016,'Price List, Weapons &amp; Items'!A:K,COLUMN('Price List, Weapons &amp; Items'!$I$1),0)</f>
        <v>Government information</v>
      </c>
      <c r="AO1016" s="521" t="str">
        <f>IF(I1016=".",".",VLOOKUP($I1016,'Price List, Weapons &amp; Items'!A:I,3,0))</f>
        <v>Light Anti-armor Weapon (LAW)</v>
      </c>
      <c r="AP1016" s="517" t="str">
        <f t="shared" ca="1" si="232"/>
        <v/>
      </c>
      <c r="AQ1016" s="521">
        <f>VLOOKUP($I1016,'Price List, Weapons &amp; Items'!A:K,COLUMN('Price List, Weapons &amp; Items'!$K$1),0)</f>
        <v>2</v>
      </c>
      <c r="AS1016" s="521">
        <f t="shared" si="227"/>
        <v>1</v>
      </c>
      <c r="AT1016" s="521">
        <f t="shared" si="228"/>
        <v>1</v>
      </c>
      <c r="AU1016" s="521">
        <f t="shared" si="229"/>
        <v>1</v>
      </c>
      <c r="AV1016" s="521" t="str">
        <f t="shared" si="230"/>
        <v>.</v>
      </c>
    </row>
    <row r="1017" spans="1:48" ht="15" customHeight="1">
      <c r="A1017" s="18" t="s">
        <v>2627</v>
      </c>
      <c r="B1017" s="46" t="s">
        <v>2548</v>
      </c>
      <c r="C1017" s="550">
        <v>44781</v>
      </c>
      <c r="D1017" s="46" t="s">
        <v>252</v>
      </c>
      <c r="E1017" s="18" t="s">
        <v>1157</v>
      </c>
      <c r="F1017" s="46" t="s">
        <v>2677</v>
      </c>
      <c r="G1017" s="39" t="s">
        <v>314</v>
      </c>
      <c r="H1017" s="563">
        <v>1000000000</v>
      </c>
      <c r="I1017" s="46" t="s">
        <v>2289</v>
      </c>
      <c r="J1017" s="276" t="str">
        <f>VLOOKUP($I1017,'Price List, Weapons &amp; Items'!A:B,2,0)</f>
        <v>Portable defence system</v>
      </c>
      <c r="K1017" s="276" t="str">
        <f>IF(I1017=".",I1017,VLOOKUP($I1017,'Price List, Weapons &amp; Items'!A:C,3,0))</f>
        <v>MANPADS</v>
      </c>
      <c r="L1017" s="514">
        <f>VLOOKUP(I1017,'Price List, Weapons &amp; Items'!A:D,4,0)</f>
        <v>0</v>
      </c>
      <c r="M1017" s="46">
        <v>4567</v>
      </c>
      <c r="N1017" s="46" t="s">
        <v>232</v>
      </c>
      <c r="O1017" s="516">
        <f>VLOOKUP($I1017,'Price List, Weapons &amp; Items'!A:F,6,0)</f>
        <v>1480.64</v>
      </c>
      <c r="P1017" s="513">
        <f t="shared" si="221"/>
        <v>6762082.8800000008</v>
      </c>
      <c r="Q1017" s="513" t="str">
        <f t="shared" si="222"/>
        <v>.</v>
      </c>
      <c r="R1017" s="513" t="str">
        <f t="shared" si="233"/>
        <v/>
      </c>
      <c r="S1017" s="513" t="str">
        <f>IF(AND(AD1017=1,R1017&lt;&gt;".")=TRUE,R1017/VLOOKUP(G1017,'Exchange rates'!B:C,2,0),IF(R1017=".",".",""))</f>
        <v/>
      </c>
      <c r="T1017" s="513" t="str">
        <f>IF(AD1017=1,IF(AF1017="Value is not given at all",".",IF(AF1017="Value is given by the source",S1017,IF(AF1017="Value is calculated with prices",(IF(SUMIFS(Q:Q,A:A,A1017)&gt;0,SUMIFS(Q:Q,A:A,A1017),"."))/VLOOKUP("USD",'Exchange rates'!B:C,2,0),"Error with coding"))),"")</f>
        <v/>
      </c>
      <c r="U1017" s="39" t="s">
        <v>233</v>
      </c>
      <c r="V1017" s="826" t="s">
        <v>2678</v>
      </c>
      <c r="W1017" s="376" t="s">
        <v>232</v>
      </c>
      <c r="X1017" s="376" t="s">
        <v>232</v>
      </c>
      <c r="Y1017" s="376" t="s">
        <v>232</v>
      </c>
      <c r="Z1017" s="552">
        <v>0</v>
      </c>
      <c r="AA1017" s="552">
        <v>0</v>
      </c>
      <c r="AB1017" s="41" t="s">
        <v>232</v>
      </c>
      <c r="AC1017" s="519" t="str">
        <f>""</f>
        <v/>
      </c>
      <c r="AD1017" s="522">
        <v>0</v>
      </c>
      <c r="AE1017" s="522" t="s">
        <v>2590</v>
      </c>
      <c r="AF1017" s="522" t="s">
        <v>237</v>
      </c>
      <c r="AG1017" s="522">
        <v>1</v>
      </c>
      <c r="AH1017" s="522">
        <v>8</v>
      </c>
      <c r="AI1017" s="522">
        <v>0</v>
      </c>
      <c r="AJ1017" s="520">
        <f>VLOOKUP($I1017,'Price List, Weapons &amp; Items'!A:E,5,0)</f>
        <v>0</v>
      </c>
      <c r="AK1017" s="520">
        <f t="shared" si="224"/>
        <v>0</v>
      </c>
      <c r="AL1017" s="520">
        <f t="shared" si="225"/>
        <v>0</v>
      </c>
      <c r="AM1017" s="520">
        <f t="shared" si="226"/>
        <v>0</v>
      </c>
      <c r="AN1017" s="521" t="str">
        <f>VLOOKUP($I1017,'Price List, Weapons &amp; Items'!A:K,COLUMN('Price List, Weapons &amp; Items'!$I$1),0)</f>
        <v>Military media (incl. websites)</v>
      </c>
      <c r="AO1017" s="521" t="str">
        <f>IF(I1017=".",".",VLOOKUP($I1017,'Price List, Weapons &amp; Items'!A:I,3,0))</f>
        <v>MANPADS</v>
      </c>
      <c r="AP1017" s="517" t="str">
        <f t="shared" ca="1" si="232"/>
        <v/>
      </c>
      <c r="AQ1017" s="521">
        <f>VLOOKUP($I1017,'Price List, Weapons &amp; Items'!A:K,COLUMN('Price List, Weapons &amp; Items'!$K$1),0)</f>
        <v>2</v>
      </c>
      <c r="AS1017" s="521">
        <f t="shared" si="227"/>
        <v>1</v>
      </c>
      <c r="AT1017" s="521">
        <f t="shared" si="228"/>
        <v>1</v>
      </c>
      <c r="AU1017" s="521">
        <f t="shared" si="229"/>
        <v>1</v>
      </c>
      <c r="AV1017" s="521" t="str">
        <f t="shared" si="230"/>
        <v>.</v>
      </c>
    </row>
    <row r="1018" spans="1:48" ht="15" customHeight="1">
      <c r="A1018" s="18" t="s">
        <v>2627</v>
      </c>
      <c r="B1018" s="46" t="s">
        <v>2548</v>
      </c>
      <c r="C1018" s="550">
        <v>44781</v>
      </c>
      <c r="D1018" s="46" t="s">
        <v>252</v>
      </c>
      <c r="E1018" s="18" t="s">
        <v>1157</v>
      </c>
      <c r="F1018" s="46" t="s">
        <v>2677</v>
      </c>
      <c r="G1018" s="39" t="s">
        <v>314</v>
      </c>
      <c r="H1018" s="563">
        <v>1000000000</v>
      </c>
      <c r="I1018" s="46" t="s">
        <v>2682</v>
      </c>
      <c r="J1018" s="276" t="str">
        <f>VLOOKUP($I1018,'Price List, Weapons &amp; Items'!A:B,2,0)</f>
        <v>Military equipment</v>
      </c>
      <c r="K1018" s="276" t="str">
        <f>IF(I1018=".",I1018,VLOOKUP($I1018,'Price List, Weapons &amp; Items'!A:C,3,0))</f>
        <v>.</v>
      </c>
      <c r="L1018" s="514">
        <f>VLOOKUP(I1018,'Price List, Weapons &amp; Items'!A:D,4,0)</f>
        <v>0</v>
      </c>
      <c r="M1018" s="46">
        <v>50</v>
      </c>
      <c r="N1018" s="46" t="s">
        <v>232</v>
      </c>
      <c r="O1018" s="516" t="str">
        <f>VLOOKUP($I1018,'Price List, Weapons &amp; Items'!A:F,6,0)</f>
        <v>.</v>
      </c>
      <c r="P1018" s="513" t="str">
        <f t="shared" si="221"/>
        <v>No price</v>
      </c>
      <c r="Q1018" s="513" t="str">
        <f t="shared" si="222"/>
        <v>.</v>
      </c>
      <c r="R1018" s="513" t="str">
        <f t="shared" si="233"/>
        <v/>
      </c>
      <c r="S1018" s="513" t="str">
        <f>IF(AND(AD1018=1,R1018&lt;&gt;".")=TRUE,R1018/VLOOKUP(G1018,'Exchange rates'!B:C,2,0),IF(R1018=".",".",""))</f>
        <v/>
      </c>
      <c r="T1018" s="513" t="str">
        <f>IF(AD1018=1,IF(AF1018="Value is not given at all",".",IF(AF1018="Value is given by the source",S1018,IF(AF1018="Value is calculated with prices",(IF(SUMIFS(Q:Q,A:A,A1018)&gt;0,SUMIFS(Q:Q,A:A,A1018),"."))/VLOOKUP("USD",'Exchange rates'!B:C,2,0),"Error with coding"))),"")</f>
        <v/>
      </c>
      <c r="U1018" s="39" t="s">
        <v>233</v>
      </c>
      <c r="V1018" s="826" t="s">
        <v>2678</v>
      </c>
      <c r="W1018" s="376" t="s">
        <v>232</v>
      </c>
      <c r="X1018" s="376" t="s">
        <v>232</v>
      </c>
      <c r="Y1018" s="376" t="s">
        <v>232</v>
      </c>
      <c r="Z1018" s="552">
        <v>0</v>
      </c>
      <c r="AA1018" s="552">
        <v>0</v>
      </c>
      <c r="AB1018" s="41" t="s">
        <v>232</v>
      </c>
      <c r="AC1018" s="519" t="str">
        <f>""</f>
        <v/>
      </c>
      <c r="AD1018" s="522">
        <v>0</v>
      </c>
      <c r="AE1018" s="522" t="s">
        <v>2590</v>
      </c>
      <c r="AF1018" s="522" t="s">
        <v>237</v>
      </c>
      <c r="AG1018" s="522">
        <v>1</v>
      </c>
      <c r="AH1018" s="522">
        <v>8</v>
      </c>
      <c r="AI1018" s="522">
        <v>0</v>
      </c>
      <c r="AJ1018" s="520">
        <f>VLOOKUP($I1018,'Price List, Weapons &amp; Items'!A:E,5,0)</f>
        <v>0</v>
      </c>
      <c r="AK1018" s="520">
        <f t="shared" si="224"/>
        <v>0</v>
      </c>
      <c r="AL1018" s="520">
        <f t="shared" si="225"/>
        <v>0</v>
      </c>
      <c r="AM1018" s="520">
        <f t="shared" si="226"/>
        <v>0</v>
      </c>
      <c r="AN1018" s="521" t="str">
        <f>VLOOKUP($I1018,'Price List, Weapons &amp; Items'!A:K,COLUMN('Price List, Weapons &amp; Items'!$I$1),0)</f>
        <v>.</v>
      </c>
      <c r="AO1018" s="521" t="str">
        <f>IF(I1018=".",".",VLOOKUP($I1018,'Price List, Weapons &amp; Items'!A:I,3,0))</f>
        <v>.</v>
      </c>
      <c r="AP1018" s="517" t="str">
        <f t="shared" ca="1" si="232"/>
        <v/>
      </c>
      <c r="AQ1018" s="521">
        <f>VLOOKUP($I1018,'Price List, Weapons &amp; Items'!A:K,COLUMN('Price List, Weapons &amp; Items'!$K$1),0)</f>
        <v>0</v>
      </c>
      <c r="AS1018" s="521">
        <f t="shared" si="227"/>
        <v>1</v>
      </c>
      <c r="AT1018" s="521">
        <f t="shared" si="228"/>
        <v>1</v>
      </c>
      <c r="AU1018" s="521">
        <f t="shared" si="229"/>
        <v>1</v>
      </c>
      <c r="AV1018" s="521" t="str">
        <f t="shared" si="230"/>
        <v>.</v>
      </c>
    </row>
    <row r="1019" spans="1:48" ht="15" customHeight="1">
      <c r="A1019" s="18" t="s">
        <v>2627</v>
      </c>
      <c r="B1019" s="46" t="s">
        <v>2548</v>
      </c>
      <c r="C1019" s="550">
        <v>44781</v>
      </c>
      <c r="D1019" s="46" t="s">
        <v>252</v>
      </c>
      <c r="E1019" s="18" t="s">
        <v>1157</v>
      </c>
      <c r="F1019" s="46" t="s">
        <v>2677</v>
      </c>
      <c r="G1019" s="39" t="s">
        <v>314</v>
      </c>
      <c r="H1019" s="563">
        <v>1000000000</v>
      </c>
      <c r="I1019" s="46" t="s">
        <v>2617</v>
      </c>
      <c r="J1019" s="276" t="str">
        <f>VLOOKUP($I1019,'Price List, Weapons &amp; Items'!A:B,2,0)</f>
        <v>Light armaments &amp; infantry</v>
      </c>
      <c r="K1019" s="276" t="str">
        <f>IF(I1019=".",I1019,VLOOKUP($I1019,'Price List, Weapons &amp; Items'!A:C,3,0))</f>
        <v>Explosive</v>
      </c>
      <c r="L1019" s="514">
        <f>VLOOKUP(I1019,'Price List, Weapons &amp; Items'!A:D,4,0)</f>
        <v>0</v>
      </c>
      <c r="M1019" s="46" t="s">
        <v>264</v>
      </c>
      <c r="N1019" s="46" t="s">
        <v>232</v>
      </c>
      <c r="O1019" s="516">
        <f>VLOOKUP($I1019,'Price List, Weapons &amp; Items'!A:F,6,0)</f>
        <v>223.15</v>
      </c>
      <c r="P1019" s="513" t="str">
        <f t="shared" si="221"/>
        <v>.</v>
      </c>
      <c r="Q1019" s="513" t="str">
        <f t="shared" si="222"/>
        <v>.</v>
      </c>
      <c r="R1019" s="513" t="str">
        <f t="shared" si="233"/>
        <v/>
      </c>
      <c r="S1019" s="513" t="str">
        <f>IF(AND(AD1019=1,R1019&lt;&gt;".")=TRUE,R1019/VLOOKUP(G1019,'Exchange rates'!B:C,2,0),IF(R1019=".",".",""))</f>
        <v/>
      </c>
      <c r="T1019" s="513" t="str">
        <f>IF(AD1019=1,IF(AF1019="Value is not given at all",".",IF(AF1019="Value is given by the source",S1019,IF(AF1019="Value is calculated with prices",(IF(SUMIFS(Q:Q,A:A,A1019)&gt;0,SUMIFS(Q:Q,A:A,A1019),"."))/VLOOKUP("USD",'Exchange rates'!B:C,2,0),"Error with coding"))),"")</f>
        <v/>
      </c>
      <c r="U1019" s="39" t="s">
        <v>233</v>
      </c>
      <c r="V1019" s="826" t="s">
        <v>2678</v>
      </c>
      <c r="W1019" s="376" t="s">
        <v>232</v>
      </c>
      <c r="X1019" s="376" t="s">
        <v>232</v>
      </c>
      <c r="Y1019" s="376" t="s">
        <v>232</v>
      </c>
      <c r="Z1019" s="552">
        <v>0</v>
      </c>
      <c r="AA1019" s="552">
        <v>0</v>
      </c>
      <c r="AB1019" s="41" t="s">
        <v>232</v>
      </c>
      <c r="AC1019" s="519" t="str">
        <f>""</f>
        <v/>
      </c>
      <c r="AD1019" s="522">
        <v>0</v>
      </c>
      <c r="AE1019" s="522" t="s">
        <v>2590</v>
      </c>
      <c r="AF1019" s="522" t="s">
        <v>237</v>
      </c>
      <c r="AG1019" s="522">
        <v>1</v>
      </c>
      <c r="AH1019" s="522">
        <v>8</v>
      </c>
      <c r="AI1019" s="522">
        <v>0</v>
      </c>
      <c r="AJ1019" s="520">
        <f>VLOOKUP($I1019,'Price List, Weapons &amp; Items'!A:E,5,0)</f>
        <v>0</v>
      </c>
      <c r="AK1019" s="520">
        <f t="shared" si="224"/>
        <v>0</v>
      </c>
      <c r="AL1019" s="520">
        <f t="shared" si="225"/>
        <v>0</v>
      </c>
      <c r="AM1019" s="520">
        <f t="shared" si="226"/>
        <v>0</v>
      </c>
      <c r="AN1019" s="521" t="str">
        <f>VLOOKUP($I1019,'Price List, Weapons &amp; Items'!A:K,COLUMN('Price List, Weapons &amp; Items'!$I$1),0)</f>
        <v>Miscellaneous</v>
      </c>
      <c r="AO1019" s="521" t="str">
        <f>IF(I1019=".",".",VLOOKUP($I1019,'Price List, Weapons &amp; Items'!A:I,3,0))</f>
        <v>Explosive</v>
      </c>
      <c r="AP1019" s="517" t="str">
        <f t="shared" ca="1" si="232"/>
        <v/>
      </c>
      <c r="AQ1019" s="521" t="str">
        <f>VLOOKUP($I1019,'Price List, Weapons &amp; Items'!A:K,COLUMN('Price List, Weapons &amp; Items'!$K$1),0)</f>
        <v>no price, 0 count</v>
      </c>
      <c r="AS1019" s="521">
        <f t="shared" si="227"/>
        <v>1</v>
      </c>
      <c r="AT1019" s="521">
        <f t="shared" si="228"/>
        <v>1</v>
      </c>
      <c r="AU1019" s="521">
        <f t="shared" si="229"/>
        <v>1</v>
      </c>
      <c r="AV1019" s="521" t="str">
        <f t="shared" si="230"/>
        <v>.</v>
      </c>
    </row>
    <row r="1020" spans="1:48" ht="15" customHeight="1">
      <c r="A1020" s="18" t="s">
        <v>2627</v>
      </c>
      <c r="B1020" s="46" t="s">
        <v>2548</v>
      </c>
      <c r="C1020" s="550">
        <v>44781</v>
      </c>
      <c r="D1020" s="46" t="s">
        <v>252</v>
      </c>
      <c r="E1020" s="18" t="s">
        <v>1157</v>
      </c>
      <c r="F1020" s="46" t="s">
        <v>2677</v>
      </c>
      <c r="G1020" s="39" t="s">
        <v>314</v>
      </c>
      <c r="H1020" s="563">
        <v>1000000000</v>
      </c>
      <c r="I1020" s="46" t="s">
        <v>2683</v>
      </c>
      <c r="J1020" s="276" t="str">
        <f>VLOOKUP($I1020,'Price List, Weapons &amp; Items'!A:B,2,0)</f>
        <v>Military equipment</v>
      </c>
      <c r="K1020" s="276" t="str">
        <f>IF(I1020=".",I1020,VLOOKUP($I1020,'Price List, Weapons &amp; Items'!A:C,3,0))</f>
        <v>.</v>
      </c>
      <c r="L1020" s="514">
        <f>VLOOKUP(I1020,'Price List, Weapons &amp; Items'!A:D,4,0)</f>
        <v>0</v>
      </c>
      <c r="M1020" s="46" t="s">
        <v>232</v>
      </c>
      <c r="N1020" s="46" t="s">
        <v>232</v>
      </c>
      <c r="O1020" s="516">
        <f>VLOOKUP($I1020,'Price List, Weapons &amp; Items'!A:F,6,0)</f>
        <v>90</v>
      </c>
      <c r="P1020" s="513" t="str">
        <f t="shared" ref="P1020:P1082" si="234">IF(TYPE(M1020)=1,IF(TYPE(O1020)=1,M1020*O1020,"No price"),".")</f>
        <v>.</v>
      </c>
      <c r="Q1020" s="513" t="str">
        <f t="shared" ref="Q1020:Q1082" si="235">IF(TYPE(N1020)=1,IF(TYPE(O1020)=1,N1020*O1020,"No price"),".")</f>
        <v>.</v>
      </c>
      <c r="R1020" s="513" t="str">
        <f t="shared" si="233"/>
        <v/>
      </c>
      <c r="S1020" s="513" t="str">
        <f>IF(AND(AD1020=1,R1020&lt;&gt;".")=TRUE,R1020/VLOOKUP(G1020,'Exchange rates'!B:C,2,0),IF(R1020=".",".",""))</f>
        <v/>
      </c>
      <c r="T1020" s="513" t="str">
        <f>IF(AD1020=1,IF(AF1020="Value is not given at all",".",IF(AF1020="Value is given by the source",S1020,IF(AF1020="Value is calculated with prices",(IF(SUMIFS(Q:Q,A:A,A1020)&gt;0,SUMIFS(Q:Q,A:A,A1020),"."))/VLOOKUP("USD",'Exchange rates'!B:C,2,0),"Error with coding"))),"")</f>
        <v/>
      </c>
      <c r="U1020" s="39" t="s">
        <v>233</v>
      </c>
      <c r="V1020" s="826" t="s">
        <v>2678</v>
      </c>
      <c r="W1020" s="376" t="s">
        <v>232</v>
      </c>
      <c r="X1020" s="376" t="s">
        <v>232</v>
      </c>
      <c r="Y1020" s="376" t="s">
        <v>232</v>
      </c>
      <c r="Z1020" s="552">
        <v>0</v>
      </c>
      <c r="AA1020" s="552">
        <v>0</v>
      </c>
      <c r="AB1020" s="41" t="s">
        <v>232</v>
      </c>
      <c r="AC1020" s="519" t="str">
        <f>""</f>
        <v/>
      </c>
      <c r="AD1020" s="522">
        <v>0</v>
      </c>
      <c r="AE1020" s="522" t="s">
        <v>2590</v>
      </c>
      <c r="AF1020" s="522" t="s">
        <v>237</v>
      </c>
      <c r="AG1020" s="522">
        <v>1</v>
      </c>
      <c r="AH1020" s="522">
        <v>8</v>
      </c>
      <c r="AI1020" s="522">
        <v>0</v>
      </c>
      <c r="AJ1020" s="520">
        <f>VLOOKUP($I1020,'Price List, Weapons &amp; Items'!A:E,5,0)</f>
        <v>0</v>
      </c>
      <c r="AK1020" s="520">
        <f t="shared" si="224"/>
        <v>0</v>
      </c>
      <c r="AL1020" s="520">
        <f t="shared" si="225"/>
        <v>0</v>
      </c>
      <c r="AM1020" s="520">
        <f t="shared" si="226"/>
        <v>0</v>
      </c>
      <c r="AN1020" s="521" t="str">
        <f>VLOOKUP($I1020,'Price List, Weapons &amp; Items'!A:K,COLUMN('Price List, Weapons &amp; Items'!$I$1),0)</f>
        <v>Media reports (incl. social media)</v>
      </c>
      <c r="AO1020" s="521" t="str">
        <f>IF(I1020=".",".",VLOOKUP($I1020,'Price List, Weapons &amp; Items'!A:I,3,0))</f>
        <v>.</v>
      </c>
      <c r="AP1020" s="517" t="str">
        <f t="shared" ca="1" si="232"/>
        <v/>
      </c>
      <c r="AQ1020" s="521" t="str">
        <f>VLOOKUP($I1020,'Price List, Weapons &amp; Items'!A:K,COLUMN('Price List, Weapons &amp; Items'!$K$1),0)</f>
        <v>no price, 0 count</v>
      </c>
      <c r="AS1020" s="521">
        <f t="shared" si="227"/>
        <v>1</v>
      </c>
      <c r="AT1020" s="521">
        <f t="shared" si="228"/>
        <v>1</v>
      </c>
      <c r="AU1020" s="521">
        <f t="shared" si="229"/>
        <v>1</v>
      </c>
      <c r="AV1020" s="521" t="str">
        <f t="shared" si="230"/>
        <v>.</v>
      </c>
    </row>
    <row r="1021" spans="1:48" ht="15" customHeight="1">
      <c r="A1021" s="18" t="s">
        <v>2627</v>
      </c>
      <c r="B1021" s="46" t="s">
        <v>2548</v>
      </c>
      <c r="C1021" s="550">
        <v>44781</v>
      </c>
      <c r="D1021" s="46" t="s">
        <v>252</v>
      </c>
      <c r="E1021" s="18" t="s">
        <v>1157</v>
      </c>
      <c r="F1021" s="46" t="s">
        <v>2677</v>
      </c>
      <c r="G1021" s="39" t="s">
        <v>314</v>
      </c>
      <c r="H1021" s="563">
        <v>1000000000</v>
      </c>
      <c r="I1021" s="46" t="s">
        <v>2684</v>
      </c>
      <c r="J1021" s="276" t="str">
        <f>VLOOKUP($I1021,'Price List, Weapons &amp; Items'!A:B,2,0)</f>
        <v>Military equipment</v>
      </c>
      <c r="K1021" s="276" t="str">
        <f>IF(I1021=".",I1021,VLOOKUP($I1021,'Price List, Weapons &amp; Items'!A:C,3,0))</f>
        <v>.</v>
      </c>
      <c r="L1021" s="514">
        <f>VLOOKUP(I1021,'Price List, Weapons &amp; Items'!A:D,4,0)</f>
        <v>0</v>
      </c>
      <c r="M1021" s="46" t="s">
        <v>232</v>
      </c>
      <c r="N1021" s="46" t="s">
        <v>232</v>
      </c>
      <c r="O1021" s="516" t="str">
        <f>VLOOKUP($I1021,'Price List, Weapons &amp; Items'!A:F,6,0)</f>
        <v>.</v>
      </c>
      <c r="P1021" s="513" t="str">
        <f t="shared" si="234"/>
        <v>.</v>
      </c>
      <c r="Q1021" s="513" t="str">
        <f t="shared" si="235"/>
        <v>.</v>
      </c>
      <c r="R1021" s="513" t="str">
        <f t="shared" si="233"/>
        <v/>
      </c>
      <c r="S1021" s="513" t="str">
        <f>IF(AND(AD1021=1,R1021&lt;&gt;".")=TRUE,R1021/VLOOKUP(G1021,'Exchange rates'!B:C,2,0),IF(R1021=".",".",""))</f>
        <v/>
      </c>
      <c r="T1021" s="513" t="str">
        <f>IF(AD1021=1,IF(AF1021="Value is not given at all",".",IF(AF1021="Value is given by the source",S1021,IF(AF1021="Value is calculated with prices",(IF(SUMIFS(Q:Q,A:A,A1021)&gt;0,SUMIFS(Q:Q,A:A,A1021),"."))/VLOOKUP("USD",'Exchange rates'!B:C,2,0),"Error with coding"))),"")</f>
        <v/>
      </c>
      <c r="U1021" s="39" t="s">
        <v>233</v>
      </c>
      <c r="V1021" s="826" t="s">
        <v>2678</v>
      </c>
      <c r="W1021" s="376" t="s">
        <v>232</v>
      </c>
      <c r="X1021" s="376" t="s">
        <v>232</v>
      </c>
      <c r="Y1021" s="376" t="s">
        <v>232</v>
      </c>
      <c r="Z1021" s="552">
        <v>0</v>
      </c>
      <c r="AA1021" s="552">
        <v>0</v>
      </c>
      <c r="AB1021" s="41" t="s">
        <v>232</v>
      </c>
      <c r="AC1021" s="519" t="str">
        <f>""</f>
        <v/>
      </c>
      <c r="AD1021" s="522">
        <v>0</v>
      </c>
      <c r="AE1021" s="522" t="s">
        <v>2590</v>
      </c>
      <c r="AF1021" s="522" t="s">
        <v>237</v>
      </c>
      <c r="AG1021" s="522">
        <v>1</v>
      </c>
      <c r="AH1021" s="522">
        <v>8</v>
      </c>
      <c r="AI1021" s="522">
        <v>0</v>
      </c>
      <c r="AJ1021" s="520">
        <f>VLOOKUP($I1021,'Price List, Weapons &amp; Items'!A:E,5,0)</f>
        <v>0</v>
      </c>
      <c r="AK1021" s="520">
        <f t="shared" si="224"/>
        <v>0</v>
      </c>
      <c r="AL1021" s="520">
        <f t="shared" si="225"/>
        <v>0</v>
      </c>
      <c r="AM1021" s="520">
        <f t="shared" si="226"/>
        <v>0</v>
      </c>
      <c r="AN1021" s="521" t="str">
        <f>VLOOKUP($I1021,'Price List, Weapons &amp; Items'!A:K,COLUMN('Price List, Weapons &amp; Items'!$I$1),0)</f>
        <v>.</v>
      </c>
      <c r="AO1021" s="521" t="str">
        <f>IF(I1021=".",".",VLOOKUP($I1021,'Price List, Weapons &amp; Items'!A:I,3,0))</f>
        <v>.</v>
      </c>
      <c r="AP1021" s="517" t="str">
        <f t="shared" ca="1" si="232"/>
        <v/>
      </c>
      <c r="AQ1021" s="521" t="str">
        <f>VLOOKUP($I1021,'Price List, Weapons &amp; Items'!A:K,COLUMN('Price List, Weapons &amp; Items'!$K$1),0)</f>
        <v>no price, 0 count</v>
      </c>
      <c r="AS1021" s="521">
        <f t="shared" si="227"/>
        <v>1</v>
      </c>
      <c r="AT1021" s="521">
        <f t="shared" si="228"/>
        <v>1</v>
      </c>
      <c r="AU1021" s="521">
        <f t="shared" si="229"/>
        <v>1</v>
      </c>
      <c r="AV1021" s="521" t="str">
        <f t="shared" si="230"/>
        <v>.</v>
      </c>
    </row>
    <row r="1022" spans="1:48" ht="15" customHeight="1">
      <c r="A1022" s="18" t="s">
        <v>2627</v>
      </c>
      <c r="B1022" s="46" t="s">
        <v>2548</v>
      </c>
      <c r="C1022" s="550">
        <v>44792</v>
      </c>
      <c r="D1022" s="46" t="s">
        <v>252</v>
      </c>
      <c r="E1022" s="18" t="s">
        <v>1157</v>
      </c>
      <c r="F1022" s="46" t="s">
        <v>2685</v>
      </c>
      <c r="G1022" s="39" t="s">
        <v>314</v>
      </c>
      <c r="H1022" s="563">
        <v>775000000</v>
      </c>
      <c r="I1022" s="46" t="s">
        <v>2655</v>
      </c>
      <c r="J1022" s="276" t="str">
        <f>VLOOKUP($I1022,'Price List, Weapons &amp; Items'!A:B,2,0)</f>
        <v>Ammunition for heavy weapon</v>
      </c>
      <c r="K1022" s="276" t="str">
        <f>IF(I1022=".",I1022,VLOOKUP($I1022,'Price List, Weapons &amp; Items'!A:C,3,0))</f>
        <v>227mm MLRS ammunition</v>
      </c>
      <c r="L1022" s="514">
        <f>VLOOKUP(I1022,'Price List, Weapons &amp; Items'!A:D,4,0)</f>
        <v>0</v>
      </c>
      <c r="M1022" s="46" t="s">
        <v>264</v>
      </c>
      <c r="N1022" s="46" t="s">
        <v>232</v>
      </c>
      <c r="O1022" s="516">
        <f>VLOOKUP($I1022,'Price List, Weapons &amp; Items'!A:F,6,0)</f>
        <v>150000</v>
      </c>
      <c r="P1022" s="513" t="str">
        <f t="shared" si="234"/>
        <v>.</v>
      </c>
      <c r="Q1022" s="513" t="str">
        <f t="shared" si="235"/>
        <v>.</v>
      </c>
      <c r="R1022" s="513" t="str">
        <f t="shared" si="233"/>
        <v/>
      </c>
      <c r="S1022" s="513" t="str">
        <f>IF(AND(AD1022=1,R1022&lt;&gt;".")=TRUE,R1022/VLOOKUP(G1022,'Exchange rates'!B:C,2,0),IF(R1022=".",".",""))</f>
        <v/>
      </c>
      <c r="T1022" s="513" t="str">
        <f>IF(AD1022=1,IF(AF1022="Value is not given at all",".",IF(AF1022="Value is given by the source",S1022,IF(AF1022="Value is calculated with prices",(IF(SUMIFS(Q:Q,A:A,A1022)&gt;0,SUMIFS(Q:Q,A:A,A1022),"."))/VLOOKUP("USD",'Exchange rates'!B:C,2,0),"Error with coding"))),"")</f>
        <v/>
      </c>
      <c r="U1022" s="39" t="s">
        <v>233</v>
      </c>
      <c r="V1022" s="826" t="s">
        <v>2686</v>
      </c>
      <c r="W1022" s="376" t="s">
        <v>232</v>
      </c>
      <c r="X1022" s="376" t="s">
        <v>232</v>
      </c>
      <c r="Y1022" s="376" t="s">
        <v>232</v>
      </c>
      <c r="Z1022" s="552">
        <v>0</v>
      </c>
      <c r="AA1022" s="552">
        <v>0</v>
      </c>
      <c r="AB1022" s="41" t="s">
        <v>232</v>
      </c>
      <c r="AC1022" s="519" t="str">
        <f>""</f>
        <v/>
      </c>
      <c r="AD1022" s="522">
        <v>0</v>
      </c>
      <c r="AE1022" s="522" t="s">
        <v>2590</v>
      </c>
      <c r="AF1022" s="522" t="s">
        <v>237</v>
      </c>
      <c r="AG1022" s="522">
        <v>1</v>
      </c>
      <c r="AH1022" s="522">
        <v>8</v>
      </c>
      <c r="AI1022" s="522">
        <v>0</v>
      </c>
      <c r="AJ1022" s="520">
        <f>VLOOKUP($I1022,'Price List, Weapons &amp; Items'!A:E,5,0)</f>
        <v>1</v>
      </c>
      <c r="AK1022" s="520">
        <f t="shared" si="224"/>
        <v>1</v>
      </c>
      <c r="AL1022" s="520">
        <f t="shared" si="225"/>
        <v>0</v>
      </c>
      <c r="AM1022" s="520">
        <f t="shared" si="226"/>
        <v>1</v>
      </c>
      <c r="AN1022" s="521" t="str">
        <f>VLOOKUP($I1022,'Price List, Weapons &amp; Items'!A:K,COLUMN('Price List, Weapons &amp; Items'!$I$1),0)</f>
        <v>Media reports (incl. social media)</v>
      </c>
      <c r="AO1022" s="521" t="str">
        <f>IF(I1022=".",".",VLOOKUP($I1022,'Price List, Weapons &amp; Items'!A:I,3,0))</f>
        <v>227mm MLRS ammunition</v>
      </c>
      <c r="AP1022" s="517" t="str">
        <f t="shared" ca="1" si="232"/>
        <v/>
      </c>
      <c r="AQ1022" s="521" t="str">
        <f>VLOOKUP($I1022,'Price List, Weapons &amp; Items'!A:K,COLUMN('Price List, Weapons &amp; Items'!$K$1),0)</f>
        <v>no price, 0 count</v>
      </c>
      <c r="AS1022" s="521">
        <f t="shared" si="227"/>
        <v>1</v>
      </c>
      <c r="AT1022" s="521">
        <f t="shared" si="228"/>
        <v>1</v>
      </c>
      <c r="AU1022" s="521">
        <f t="shared" si="229"/>
        <v>1</v>
      </c>
      <c r="AV1022" s="521" t="str">
        <f t="shared" si="230"/>
        <v>.</v>
      </c>
    </row>
    <row r="1023" spans="1:48" ht="15" customHeight="1">
      <c r="A1023" s="18" t="s">
        <v>2627</v>
      </c>
      <c r="B1023" s="46" t="s">
        <v>2548</v>
      </c>
      <c r="C1023" s="550">
        <v>44792</v>
      </c>
      <c r="D1023" s="46" t="s">
        <v>252</v>
      </c>
      <c r="E1023" s="18" t="s">
        <v>1157</v>
      </c>
      <c r="F1023" s="46" t="s">
        <v>2685</v>
      </c>
      <c r="G1023" s="39" t="s">
        <v>314</v>
      </c>
      <c r="H1023" s="563">
        <v>775000000</v>
      </c>
      <c r="I1023" s="46" t="s">
        <v>2687</v>
      </c>
      <c r="J1023" s="276" t="str">
        <f>VLOOKUP($I1023,'Price List, Weapons &amp; Items'!A:B,2,0)</f>
        <v>Heavy weapon</v>
      </c>
      <c r="K1023" s="276" t="str">
        <f>IF(I1023=".",I1023,VLOOKUP($I1023,'Price List, Weapons &amp; Items'!A:C,3,0))</f>
        <v>105mm howitzer</v>
      </c>
      <c r="L1023" s="514">
        <f>VLOOKUP(I1023,'Price List, Weapons &amp; Items'!A:D,4,0)</f>
        <v>0</v>
      </c>
      <c r="M1023" s="46">
        <v>16</v>
      </c>
      <c r="N1023" s="46" t="s">
        <v>232</v>
      </c>
      <c r="O1023" s="516">
        <f>VLOOKUP($I1023,'Price List, Weapons &amp; Items'!A:F,6,0)</f>
        <v>1272482.2760025531</v>
      </c>
      <c r="P1023" s="513">
        <f t="shared" si="234"/>
        <v>20359716.416040849</v>
      </c>
      <c r="Q1023" s="513" t="str">
        <f t="shared" si="235"/>
        <v>.</v>
      </c>
      <c r="R1023" s="513" t="str">
        <f t="shared" si="233"/>
        <v/>
      </c>
      <c r="S1023" s="513" t="str">
        <f>IF(AND(AD1023=1,R1023&lt;&gt;".")=TRUE,R1023/VLOOKUP(G1023,'Exchange rates'!B:C,2,0),IF(R1023=".",".",""))</f>
        <v/>
      </c>
      <c r="T1023" s="513" t="str">
        <f>IF(AD1023=1,IF(AF1023="Value is not given at all",".",IF(AF1023="Value is given by the source",S1023,IF(AF1023="Value is calculated with prices",(IF(SUMIFS(Q:Q,A:A,A1023)&gt;0,SUMIFS(Q:Q,A:A,A1023),"."))/VLOOKUP("USD",'Exchange rates'!B:C,2,0),"Error with coding"))),"")</f>
        <v/>
      </c>
      <c r="U1023" s="39" t="s">
        <v>233</v>
      </c>
      <c r="V1023" s="826" t="s">
        <v>2686</v>
      </c>
      <c r="W1023" s="376" t="s">
        <v>232</v>
      </c>
      <c r="X1023" s="376" t="s">
        <v>232</v>
      </c>
      <c r="Y1023" s="376" t="s">
        <v>232</v>
      </c>
      <c r="Z1023" s="552">
        <v>0</v>
      </c>
      <c r="AA1023" s="552">
        <v>0</v>
      </c>
      <c r="AB1023" s="41" t="s">
        <v>232</v>
      </c>
      <c r="AC1023" s="519" t="str">
        <f>""</f>
        <v/>
      </c>
      <c r="AD1023" s="522">
        <v>0</v>
      </c>
      <c r="AE1023" s="522" t="s">
        <v>2590</v>
      </c>
      <c r="AF1023" s="522" t="s">
        <v>237</v>
      </c>
      <c r="AG1023" s="522">
        <v>1</v>
      </c>
      <c r="AH1023" s="522">
        <v>8</v>
      </c>
      <c r="AI1023" s="522">
        <v>0</v>
      </c>
      <c r="AJ1023" s="520">
        <f>VLOOKUP($I1023,'Price List, Weapons &amp; Items'!A:E,5,0)</f>
        <v>0</v>
      </c>
      <c r="AK1023" s="520">
        <f t="shared" si="224"/>
        <v>0</v>
      </c>
      <c r="AL1023" s="520">
        <f t="shared" si="225"/>
        <v>0</v>
      </c>
      <c r="AM1023" s="520">
        <f t="shared" si="226"/>
        <v>0</v>
      </c>
      <c r="AN1023" s="521" t="str">
        <f>VLOOKUP($I1023,'Price List, Weapons &amp; Items'!A:K,COLUMN('Price List, Weapons &amp; Items'!$I$1),0)</f>
        <v>Contracts</v>
      </c>
      <c r="AO1023" s="521" t="str">
        <f>IF(I1023=".",".",VLOOKUP($I1023,'Price List, Weapons &amp; Items'!A:I,3,0))</f>
        <v>105mm howitzer</v>
      </c>
      <c r="AP1023" s="517" t="str">
        <f t="shared" ca="1" si="232"/>
        <v/>
      </c>
      <c r="AQ1023" s="521">
        <f>VLOOKUP($I1023,'Price List, Weapons &amp; Items'!A:K,COLUMN('Price List, Weapons &amp; Items'!$K$1),0)</f>
        <v>2</v>
      </c>
      <c r="AS1023" s="521">
        <f t="shared" si="227"/>
        <v>1</v>
      </c>
      <c r="AT1023" s="521">
        <f t="shared" si="228"/>
        <v>1</v>
      </c>
      <c r="AU1023" s="521">
        <f t="shared" si="229"/>
        <v>1</v>
      </c>
      <c r="AV1023" s="521" t="str">
        <f t="shared" si="230"/>
        <v>.</v>
      </c>
    </row>
    <row r="1024" spans="1:48" ht="15" customHeight="1">
      <c r="A1024" s="18" t="s">
        <v>2627</v>
      </c>
      <c r="B1024" s="46" t="s">
        <v>2548</v>
      </c>
      <c r="C1024" s="550">
        <v>44792</v>
      </c>
      <c r="D1024" s="46" t="s">
        <v>252</v>
      </c>
      <c r="E1024" s="18" t="s">
        <v>1157</v>
      </c>
      <c r="F1024" s="46" t="s">
        <v>2685</v>
      </c>
      <c r="G1024" s="39" t="s">
        <v>314</v>
      </c>
      <c r="H1024" s="563">
        <v>775000000</v>
      </c>
      <c r="I1024" s="46" t="s">
        <v>2688</v>
      </c>
      <c r="J1024" s="276" t="str">
        <f>VLOOKUP($I1024,'Price List, Weapons &amp; Items'!A:B,2,0)</f>
        <v>Ammunition for heavy weapon</v>
      </c>
      <c r="K1024" s="276" t="str">
        <f>IF(I1024=".",I1024,VLOOKUP($I1024,'Price List, Weapons &amp; Items'!A:C,3,0))</f>
        <v>105mm</v>
      </c>
      <c r="L1024" s="514">
        <f>VLOOKUP(I1024,'Price List, Weapons &amp; Items'!A:D,4,0)</f>
        <v>0</v>
      </c>
      <c r="M1024" s="46">
        <v>36000</v>
      </c>
      <c r="N1024" s="46" t="s">
        <v>232</v>
      </c>
      <c r="O1024" s="516">
        <f>VLOOKUP($I1024,'Price List, Weapons &amp; Items'!A:F,6,0)</f>
        <v>400</v>
      </c>
      <c r="P1024" s="513">
        <f t="shared" si="234"/>
        <v>14400000</v>
      </c>
      <c r="Q1024" s="513" t="str">
        <f t="shared" si="235"/>
        <v>.</v>
      </c>
      <c r="R1024" s="513" t="str">
        <f t="shared" si="233"/>
        <v/>
      </c>
      <c r="S1024" s="513" t="str">
        <f>IF(AND(AD1024=1,R1024&lt;&gt;".")=TRUE,R1024/VLOOKUP(G1024,'Exchange rates'!B:C,2,0),IF(R1024=".",".",""))</f>
        <v/>
      </c>
      <c r="T1024" s="513" t="str">
        <f>IF(AD1024=1,IF(AF1024="Value is not given at all",".",IF(AF1024="Value is given by the source",S1024,IF(AF1024="Value is calculated with prices",(IF(SUMIFS(Q:Q,A:A,A1024)&gt;0,SUMIFS(Q:Q,A:A,A1024),"."))/VLOOKUP("USD",'Exchange rates'!B:C,2,0),"Error with coding"))),"")</f>
        <v/>
      </c>
      <c r="U1024" s="39" t="s">
        <v>233</v>
      </c>
      <c r="V1024" s="826" t="s">
        <v>2686</v>
      </c>
      <c r="W1024" s="376" t="s">
        <v>232</v>
      </c>
      <c r="X1024" s="376" t="s">
        <v>232</v>
      </c>
      <c r="Y1024" s="376" t="s">
        <v>232</v>
      </c>
      <c r="Z1024" s="552">
        <v>0</v>
      </c>
      <c r="AA1024" s="552">
        <v>0</v>
      </c>
      <c r="AB1024" s="41" t="s">
        <v>232</v>
      </c>
      <c r="AC1024" s="519" t="str">
        <f>""</f>
        <v/>
      </c>
      <c r="AD1024" s="522">
        <v>0</v>
      </c>
      <c r="AE1024" s="522" t="s">
        <v>2590</v>
      </c>
      <c r="AF1024" s="522" t="s">
        <v>237</v>
      </c>
      <c r="AG1024" s="522">
        <v>1</v>
      </c>
      <c r="AH1024" s="522">
        <v>8</v>
      </c>
      <c r="AI1024" s="522">
        <v>0</v>
      </c>
      <c r="AJ1024" s="520">
        <f>VLOOKUP($I1024,'Price List, Weapons &amp; Items'!A:E,5,0)</f>
        <v>0</v>
      </c>
      <c r="AK1024" s="520">
        <f t="shared" si="224"/>
        <v>0</v>
      </c>
      <c r="AL1024" s="520">
        <f t="shared" si="225"/>
        <v>0</v>
      </c>
      <c r="AM1024" s="520">
        <f t="shared" si="226"/>
        <v>0</v>
      </c>
      <c r="AN1024" s="521" t="str">
        <f>VLOOKUP($I1024,'Price List, Weapons &amp; Items'!A:K,COLUMN('Price List, Weapons &amp; Items'!$I$1),0)</f>
        <v>Military media (incl. websites)</v>
      </c>
      <c r="AO1024" s="521" t="str">
        <f>IF(I1024=".",".",VLOOKUP($I1024,'Price List, Weapons &amp; Items'!A:I,3,0))</f>
        <v>105mm</v>
      </c>
      <c r="AP1024" s="517" t="str">
        <f t="shared" ca="1" si="232"/>
        <v/>
      </c>
      <c r="AQ1024" s="521">
        <f>VLOOKUP($I1024,'Price List, Weapons &amp; Items'!A:K,COLUMN('Price List, Weapons &amp; Items'!$K$1),0)</f>
        <v>2</v>
      </c>
      <c r="AS1024" s="521">
        <f t="shared" si="227"/>
        <v>1</v>
      </c>
      <c r="AT1024" s="521">
        <f t="shared" si="228"/>
        <v>1</v>
      </c>
      <c r="AU1024" s="521">
        <f t="shared" si="229"/>
        <v>1</v>
      </c>
      <c r="AV1024" s="521" t="str">
        <f t="shared" si="230"/>
        <v>.</v>
      </c>
    </row>
    <row r="1025" spans="1:48" ht="15" customHeight="1">
      <c r="A1025" s="18" t="s">
        <v>2627</v>
      </c>
      <c r="B1025" s="46" t="s">
        <v>2548</v>
      </c>
      <c r="C1025" s="550">
        <v>44792</v>
      </c>
      <c r="D1025" s="46" t="s">
        <v>252</v>
      </c>
      <c r="E1025" s="18" t="s">
        <v>1157</v>
      </c>
      <c r="F1025" s="46" t="s">
        <v>2685</v>
      </c>
      <c r="G1025" s="39" t="s">
        <v>314</v>
      </c>
      <c r="H1025" s="563">
        <v>775000000</v>
      </c>
      <c r="I1025" s="46" t="s">
        <v>2689</v>
      </c>
      <c r="J1025" s="276" t="str">
        <f>VLOOKUP($I1025,'Price List, Weapons &amp; Items'!A:B,2,0)</f>
        <v>Aviation and Drones</v>
      </c>
      <c r="K1025" s="276" t="str">
        <f>IF(I1025=".",I1025,VLOOKUP($I1025,'Price List, Weapons &amp; Items'!A:C,3,0))</f>
        <v>.</v>
      </c>
      <c r="L1025" s="514">
        <f>VLOOKUP(I1025,'Price List, Weapons &amp; Items'!A:D,4,0)</f>
        <v>0</v>
      </c>
      <c r="M1025" s="46">
        <v>15</v>
      </c>
      <c r="N1025" s="46" t="s">
        <v>232</v>
      </c>
      <c r="O1025" s="516">
        <f>VLOOKUP($I1025,'Price List, Weapons &amp; Items'!A:F,6,0)</f>
        <v>3200000</v>
      </c>
      <c r="P1025" s="513">
        <f t="shared" si="234"/>
        <v>48000000</v>
      </c>
      <c r="Q1025" s="513" t="str">
        <f t="shared" si="235"/>
        <v>.</v>
      </c>
      <c r="R1025" s="513" t="str">
        <f t="shared" si="233"/>
        <v/>
      </c>
      <c r="S1025" s="513" t="str">
        <f>IF(AND(AD1025=1,R1025&lt;&gt;".")=TRUE,R1025/VLOOKUP(G1025,'Exchange rates'!B:C,2,0),IF(R1025=".",".",""))</f>
        <v/>
      </c>
      <c r="T1025" s="513" t="str">
        <f>IF(AD1025=1,IF(AF1025="Value is not given at all",".",IF(AF1025="Value is given by the source",S1025,IF(AF1025="Value is calculated with prices",(IF(SUMIFS(Q:Q,A:A,A1025)&gt;0,SUMIFS(Q:Q,A:A,A1025),"."))/VLOOKUP("USD",'Exchange rates'!B:C,2,0),"Error with coding"))),"")</f>
        <v/>
      </c>
      <c r="U1025" s="39" t="s">
        <v>233</v>
      </c>
      <c r="V1025" s="826" t="s">
        <v>2686</v>
      </c>
      <c r="W1025" s="376" t="s">
        <v>232</v>
      </c>
      <c r="X1025" s="376" t="s">
        <v>232</v>
      </c>
      <c r="Y1025" s="376" t="s">
        <v>232</v>
      </c>
      <c r="Z1025" s="552">
        <v>0</v>
      </c>
      <c r="AA1025" s="552">
        <v>0</v>
      </c>
      <c r="AB1025" s="41" t="s">
        <v>232</v>
      </c>
      <c r="AC1025" s="519" t="str">
        <f>""</f>
        <v/>
      </c>
      <c r="AD1025" s="522">
        <v>0</v>
      </c>
      <c r="AE1025" s="522" t="s">
        <v>2590</v>
      </c>
      <c r="AF1025" s="522" t="s">
        <v>237</v>
      </c>
      <c r="AG1025" s="522">
        <v>1</v>
      </c>
      <c r="AH1025" s="522">
        <v>8</v>
      </c>
      <c r="AI1025" s="522">
        <v>0</v>
      </c>
      <c r="AJ1025" s="520">
        <f>VLOOKUP($I1025,'Price List, Weapons &amp; Items'!A:E,5,0)</f>
        <v>0</v>
      </c>
      <c r="AK1025" s="520">
        <f t="shared" si="224"/>
        <v>0</v>
      </c>
      <c r="AL1025" s="520">
        <f t="shared" si="225"/>
        <v>0</v>
      </c>
      <c r="AM1025" s="520">
        <f t="shared" si="226"/>
        <v>0</v>
      </c>
      <c r="AN1025" s="521" t="str">
        <f>VLOOKUP($I1025,'Price List, Weapons &amp; Items'!A:K,COLUMN('Price List, Weapons &amp; Items'!$I$1),0)</f>
        <v>.</v>
      </c>
      <c r="AO1025" s="521" t="str">
        <f>IF(I1025=".",".",VLOOKUP($I1025,'Price List, Weapons &amp; Items'!A:I,3,0))</f>
        <v>.</v>
      </c>
      <c r="AP1025" s="517" t="str">
        <f t="shared" ca="1" si="232"/>
        <v/>
      </c>
      <c r="AQ1025" s="521">
        <f>VLOOKUP($I1025,'Price List, Weapons &amp; Items'!A:K,COLUMN('Price List, Weapons &amp; Items'!$K$1),0)</f>
        <v>2</v>
      </c>
      <c r="AS1025" s="521">
        <f t="shared" si="227"/>
        <v>1</v>
      </c>
      <c r="AT1025" s="521">
        <f t="shared" si="228"/>
        <v>1</v>
      </c>
      <c r="AU1025" s="521">
        <f t="shared" si="229"/>
        <v>1</v>
      </c>
      <c r="AV1025" s="521" t="str">
        <f t="shared" si="230"/>
        <v>.</v>
      </c>
    </row>
    <row r="1026" spans="1:48" ht="15" customHeight="1">
      <c r="A1026" s="18" t="s">
        <v>2627</v>
      </c>
      <c r="B1026" s="46" t="s">
        <v>2548</v>
      </c>
      <c r="C1026" s="550">
        <v>44792</v>
      </c>
      <c r="D1026" s="46" t="s">
        <v>252</v>
      </c>
      <c r="E1026" s="18" t="s">
        <v>1157</v>
      </c>
      <c r="F1026" s="46" t="s">
        <v>2685</v>
      </c>
      <c r="G1026" s="39" t="s">
        <v>314</v>
      </c>
      <c r="H1026" s="563">
        <v>775000000</v>
      </c>
      <c r="I1026" s="46" t="s">
        <v>2690</v>
      </c>
      <c r="J1026" s="276" t="str">
        <f>VLOOKUP($I1026,'Price List, Weapons &amp; Items'!A:B,2,0)</f>
        <v>Heavy Weapon</v>
      </c>
      <c r="K1026" s="276" t="str">
        <f>IF(I1026=".",I1026,VLOOKUP($I1026,'Price List, Weapons &amp; Items'!A:C,3,0))</f>
        <v>.</v>
      </c>
      <c r="L1026" s="514">
        <f>VLOOKUP(I1026,'Price List, Weapons &amp; Items'!A:D,4,0)</f>
        <v>0</v>
      </c>
      <c r="M1026" s="46">
        <v>40</v>
      </c>
      <c r="N1026" s="46" t="s">
        <v>232</v>
      </c>
      <c r="O1026" s="516">
        <f>VLOOKUP($I1026,'Price List, Weapons &amp; Items'!A:F,6,0)</f>
        <v>405530</v>
      </c>
      <c r="P1026" s="513">
        <f t="shared" si="234"/>
        <v>16221200</v>
      </c>
      <c r="Q1026" s="513" t="str">
        <f t="shared" si="235"/>
        <v>.</v>
      </c>
      <c r="R1026" s="513" t="str">
        <f t="shared" si="233"/>
        <v/>
      </c>
      <c r="S1026" s="513" t="str">
        <f>IF(AND(AD1026=1,R1026&lt;&gt;".")=TRUE,R1026/VLOOKUP(G1026,'Exchange rates'!B:C,2,0),IF(R1026=".",".",""))</f>
        <v/>
      </c>
      <c r="T1026" s="513" t="str">
        <f>IF(AD1026=1,IF(AF1026="Value is not given at all",".",IF(AF1026="Value is given by the source",S1026,IF(AF1026="Value is calculated with prices",(IF(SUMIFS(Q:Q,A:A,A1026)&gt;0,SUMIFS(Q:Q,A:A,A1026),"."))/VLOOKUP("USD",'Exchange rates'!B:C,2,0),"Error with coding"))),"")</f>
        <v/>
      </c>
      <c r="U1026" s="39" t="s">
        <v>233</v>
      </c>
      <c r="V1026" s="826" t="s">
        <v>2686</v>
      </c>
      <c r="W1026" s="376" t="s">
        <v>232</v>
      </c>
      <c r="X1026" s="376" t="s">
        <v>232</v>
      </c>
      <c r="Y1026" s="376" t="s">
        <v>232</v>
      </c>
      <c r="Z1026" s="552">
        <v>0</v>
      </c>
      <c r="AA1026" s="552">
        <v>0</v>
      </c>
      <c r="AB1026" s="41" t="s">
        <v>232</v>
      </c>
      <c r="AC1026" s="519" t="str">
        <f>""</f>
        <v/>
      </c>
      <c r="AD1026" s="522">
        <v>0</v>
      </c>
      <c r="AE1026" s="522" t="s">
        <v>2590</v>
      </c>
      <c r="AF1026" s="522" t="s">
        <v>237</v>
      </c>
      <c r="AG1026" s="522">
        <v>1</v>
      </c>
      <c r="AH1026" s="522">
        <v>8</v>
      </c>
      <c r="AI1026" s="522">
        <v>0</v>
      </c>
      <c r="AJ1026" s="520">
        <f>VLOOKUP($I1026,'Price List, Weapons &amp; Items'!A:E,5,0)</f>
        <v>0</v>
      </c>
      <c r="AK1026" s="520">
        <f t="shared" si="224"/>
        <v>0</v>
      </c>
      <c r="AL1026" s="520">
        <f t="shared" si="225"/>
        <v>0</v>
      </c>
      <c r="AM1026" s="520">
        <f t="shared" si="226"/>
        <v>0</v>
      </c>
      <c r="AN1026" s="521" t="str">
        <f>VLOOKUP($I1026,'Price List, Weapons &amp; Items'!A:K,COLUMN('Price List, Weapons &amp; Items'!$I$1),0)</f>
        <v>Contract</v>
      </c>
      <c r="AO1026" s="521" t="str">
        <f>IF(I1026=".",".",VLOOKUP($I1026,'Price List, Weapons &amp; Items'!A:I,3,0))</f>
        <v>.</v>
      </c>
      <c r="AP1026" s="517" t="str">
        <f t="shared" ca="1" si="232"/>
        <v/>
      </c>
      <c r="AQ1026" s="521">
        <f>VLOOKUP($I1026,'Price List, Weapons &amp; Items'!A:K,COLUMN('Price List, Weapons &amp; Items'!$K$1),0)</f>
        <v>2</v>
      </c>
      <c r="AS1026" s="521">
        <f t="shared" si="227"/>
        <v>1</v>
      </c>
      <c r="AT1026" s="521">
        <f t="shared" si="228"/>
        <v>1</v>
      </c>
      <c r="AU1026" s="521">
        <f t="shared" si="229"/>
        <v>1</v>
      </c>
      <c r="AV1026" s="521" t="str">
        <f t="shared" si="230"/>
        <v>.</v>
      </c>
    </row>
    <row r="1027" spans="1:48" ht="15" customHeight="1">
      <c r="A1027" s="18" t="s">
        <v>2627</v>
      </c>
      <c r="B1027" s="46" t="s">
        <v>2548</v>
      </c>
      <c r="C1027" s="550">
        <v>44792</v>
      </c>
      <c r="D1027" s="46" t="s">
        <v>252</v>
      </c>
      <c r="E1027" s="18" t="s">
        <v>1157</v>
      </c>
      <c r="F1027" s="46" t="s">
        <v>2685</v>
      </c>
      <c r="G1027" s="39" t="s">
        <v>314</v>
      </c>
      <c r="H1027" s="563">
        <v>775000000</v>
      </c>
      <c r="I1027" s="46" t="s">
        <v>2691</v>
      </c>
      <c r="J1027" s="276" t="str">
        <f>VLOOKUP($I1027,'Price List, Weapons &amp; Items'!A:B,2,0)</f>
        <v>Ammunition for heavy weapon</v>
      </c>
      <c r="K1027" s="276" t="str">
        <f>IF(I1027=".",I1027,VLOOKUP($I1027,'Price List, Weapons &amp; Items'!A:C,3,0))</f>
        <v>.</v>
      </c>
      <c r="L1027" s="514">
        <f>VLOOKUP(I1027,'Price List, Weapons &amp; Items'!A:D,4,0)</f>
        <v>0</v>
      </c>
      <c r="M1027" s="46" t="s">
        <v>264</v>
      </c>
      <c r="N1027" s="46" t="s">
        <v>232</v>
      </c>
      <c r="O1027" s="516">
        <f>VLOOKUP($I1027,'Price List, Weapons &amp; Items'!A:F,6,0)</f>
        <v>557000</v>
      </c>
      <c r="P1027" s="513" t="str">
        <f t="shared" si="234"/>
        <v>.</v>
      </c>
      <c r="Q1027" s="513" t="str">
        <f t="shared" si="235"/>
        <v>.</v>
      </c>
      <c r="R1027" s="513" t="str">
        <f t="shared" si="233"/>
        <v/>
      </c>
      <c r="S1027" s="513" t="str">
        <f>IF(AND(AD1027=1,R1027&lt;&gt;".")=TRUE,R1027/VLOOKUP(G1027,'Exchange rates'!B:C,2,0),IF(R1027=".",".",""))</f>
        <v/>
      </c>
      <c r="T1027" s="513" t="str">
        <f>IF(AD1027=1,IF(AF1027="Value is not given at all",".",IF(AF1027="Value is given by the source",S1027,IF(AF1027="Value is calculated with prices",(IF(SUMIFS(Q:Q,A:A,A1027)&gt;0,SUMIFS(Q:Q,A:A,A1027),"."))/VLOOKUP("USD",'Exchange rates'!B:C,2,0),"Error with coding"))),"")</f>
        <v/>
      </c>
      <c r="U1027" s="39" t="s">
        <v>233</v>
      </c>
      <c r="V1027" s="826" t="s">
        <v>2686</v>
      </c>
      <c r="W1027" s="376" t="s">
        <v>232</v>
      </c>
      <c r="X1027" s="376" t="s">
        <v>232</v>
      </c>
      <c r="Y1027" s="376" t="s">
        <v>232</v>
      </c>
      <c r="Z1027" s="552">
        <v>0</v>
      </c>
      <c r="AA1027" s="552">
        <v>0</v>
      </c>
      <c r="AB1027" s="41" t="s">
        <v>232</v>
      </c>
      <c r="AC1027" s="519" t="str">
        <f>""</f>
        <v/>
      </c>
      <c r="AD1027" s="522">
        <v>0</v>
      </c>
      <c r="AE1027" s="522" t="s">
        <v>2590</v>
      </c>
      <c r="AF1027" s="522" t="s">
        <v>237</v>
      </c>
      <c r="AG1027" s="522">
        <v>1</v>
      </c>
      <c r="AH1027" s="522">
        <v>8</v>
      </c>
      <c r="AI1027" s="522">
        <v>0</v>
      </c>
      <c r="AJ1027" s="520">
        <f>VLOOKUP($I1027,'Price List, Weapons &amp; Items'!A:E,5,0)</f>
        <v>0</v>
      </c>
      <c r="AK1027" s="520">
        <f t="shared" si="224"/>
        <v>0</v>
      </c>
      <c r="AL1027" s="520">
        <f t="shared" si="225"/>
        <v>0</v>
      </c>
      <c r="AM1027" s="520">
        <f t="shared" si="226"/>
        <v>0</v>
      </c>
      <c r="AN1027" s="521" t="str">
        <f>VLOOKUP($I1027,'Price List, Weapons &amp; Items'!A:K,COLUMN('Price List, Weapons &amp; Items'!$I$1),0)</f>
        <v>Miscellaneous</v>
      </c>
      <c r="AO1027" s="521" t="str">
        <f>IF(I1027=".",".",VLOOKUP($I1027,'Price List, Weapons &amp; Items'!A:I,3,0))</f>
        <v>.</v>
      </c>
      <c r="AP1027" s="517" t="str">
        <f t="shared" ca="1" si="232"/>
        <v/>
      </c>
      <c r="AQ1027" s="521" t="str">
        <f>VLOOKUP($I1027,'Price List, Weapons &amp; Items'!A:K,COLUMN('Price List, Weapons &amp; Items'!$K$1),0)</f>
        <v>no price, 0 count</v>
      </c>
      <c r="AS1027" s="521">
        <f t="shared" si="227"/>
        <v>1</v>
      </c>
      <c r="AT1027" s="521">
        <f t="shared" si="228"/>
        <v>1</v>
      </c>
      <c r="AU1027" s="521">
        <f t="shared" si="229"/>
        <v>1</v>
      </c>
      <c r="AV1027" s="521" t="str">
        <f t="shared" si="230"/>
        <v>.</v>
      </c>
    </row>
    <row r="1028" spans="1:48" ht="15" customHeight="1">
      <c r="A1028" s="18" t="s">
        <v>2627</v>
      </c>
      <c r="B1028" s="46" t="s">
        <v>2548</v>
      </c>
      <c r="C1028" s="550">
        <v>44792</v>
      </c>
      <c r="D1028" s="46" t="s">
        <v>252</v>
      </c>
      <c r="E1028" s="18" t="s">
        <v>1157</v>
      </c>
      <c r="F1028" s="46" t="s">
        <v>2685</v>
      </c>
      <c r="G1028" s="39" t="s">
        <v>314</v>
      </c>
      <c r="H1028" s="563">
        <v>775000000</v>
      </c>
      <c r="I1028" s="46" t="s">
        <v>2692</v>
      </c>
      <c r="J1028" s="276" t="str">
        <f>VLOOKUP($I1028,'Price List, Weapons &amp; Items'!A:B,2,0)</f>
        <v>Heavy weapon</v>
      </c>
      <c r="K1028" s="276" t="str">
        <f>IF(I1028=".",I1028,VLOOKUP($I1028,'Price List, Weapons &amp; Items'!A:C,3,0))</f>
        <v>Armoured Utility Vehicle (AUV)</v>
      </c>
      <c r="L1028" s="514">
        <f>VLOOKUP(I1028,'Price List, Weapons &amp; Items'!A:D,4,0)</f>
        <v>0</v>
      </c>
      <c r="M1028" s="46">
        <v>50</v>
      </c>
      <c r="N1028" s="46" t="s">
        <v>232</v>
      </c>
      <c r="O1028" s="516">
        <f>VLOOKUP($I1028,'Price List, Weapons &amp; Items'!A:F,6,0)</f>
        <v>254717</v>
      </c>
      <c r="P1028" s="513">
        <f t="shared" si="234"/>
        <v>12735850</v>
      </c>
      <c r="Q1028" s="513" t="str">
        <f t="shared" si="235"/>
        <v>.</v>
      </c>
      <c r="R1028" s="513" t="str">
        <f t="shared" si="233"/>
        <v/>
      </c>
      <c r="S1028" s="513" t="str">
        <f>IF(AND(AD1028=1,R1028&lt;&gt;".")=TRUE,R1028/VLOOKUP(G1028,'Exchange rates'!B:C,2,0),IF(R1028=".",".",""))</f>
        <v/>
      </c>
      <c r="T1028" s="513" t="str">
        <f>IF(AD1028=1,IF(AF1028="Value is not given at all",".",IF(AF1028="Value is given by the source",S1028,IF(AF1028="Value is calculated with prices",(IF(SUMIFS(Q:Q,A:A,A1028)&gt;0,SUMIFS(Q:Q,A:A,A1028),"."))/VLOOKUP("USD",'Exchange rates'!B:C,2,0),"Error with coding"))),"")</f>
        <v/>
      </c>
      <c r="U1028" s="39" t="s">
        <v>233</v>
      </c>
      <c r="V1028" s="826" t="s">
        <v>2686</v>
      </c>
      <c r="W1028" s="376" t="s">
        <v>232</v>
      </c>
      <c r="X1028" s="376" t="s">
        <v>232</v>
      </c>
      <c r="Y1028" s="376" t="s">
        <v>232</v>
      </c>
      <c r="Z1028" s="552">
        <v>0</v>
      </c>
      <c r="AA1028" s="552">
        <v>0</v>
      </c>
      <c r="AB1028" s="41" t="s">
        <v>232</v>
      </c>
      <c r="AC1028" s="519" t="str">
        <f>""</f>
        <v/>
      </c>
      <c r="AD1028" s="522">
        <v>0</v>
      </c>
      <c r="AE1028" s="522" t="s">
        <v>2590</v>
      </c>
      <c r="AF1028" s="522" t="s">
        <v>237</v>
      </c>
      <c r="AG1028" s="522">
        <v>1</v>
      </c>
      <c r="AH1028" s="522">
        <v>8</v>
      </c>
      <c r="AI1028" s="522">
        <v>0</v>
      </c>
      <c r="AJ1028" s="520">
        <f>VLOOKUP($I1028,'Price List, Weapons &amp; Items'!A:E,5,0)</f>
        <v>1</v>
      </c>
      <c r="AK1028" s="520">
        <f t="shared" si="224"/>
        <v>0</v>
      </c>
      <c r="AL1028" s="520">
        <f t="shared" si="225"/>
        <v>0</v>
      </c>
      <c r="AM1028" s="520">
        <f t="shared" si="226"/>
        <v>0</v>
      </c>
      <c r="AN1028" s="521" t="str">
        <f>VLOOKUP($I1028,'Price List, Weapons &amp; Items'!A:K,COLUMN('Price List, Weapons &amp; Items'!$I$1),0)</f>
        <v>Military media (incl. websites)</v>
      </c>
      <c r="AO1028" s="521" t="str">
        <f>IF(I1028=".",".",VLOOKUP($I1028,'Price List, Weapons &amp; Items'!A:I,3,0))</f>
        <v>Armoured Utility Vehicle (AUV)</v>
      </c>
      <c r="AP1028" s="517" t="str">
        <f t="shared" ca="1" si="232"/>
        <v/>
      </c>
      <c r="AQ1028" s="521">
        <f>VLOOKUP($I1028,'Price List, Weapons &amp; Items'!A:K,COLUMN('Price List, Weapons &amp; Items'!$K$1),0)</f>
        <v>2</v>
      </c>
      <c r="AS1028" s="521">
        <f t="shared" si="227"/>
        <v>1</v>
      </c>
      <c r="AT1028" s="521">
        <f t="shared" si="228"/>
        <v>1</v>
      </c>
      <c r="AU1028" s="521">
        <f t="shared" si="229"/>
        <v>1</v>
      </c>
      <c r="AV1028" s="521" t="str">
        <f t="shared" si="230"/>
        <v>.</v>
      </c>
    </row>
    <row r="1029" spans="1:48" ht="15" customHeight="1">
      <c r="A1029" s="18" t="s">
        <v>2627</v>
      </c>
      <c r="B1029" s="46" t="s">
        <v>2548</v>
      </c>
      <c r="C1029" s="550">
        <v>44792</v>
      </c>
      <c r="D1029" s="46" t="s">
        <v>252</v>
      </c>
      <c r="E1029" s="18" t="s">
        <v>1157</v>
      </c>
      <c r="F1029" s="46" t="s">
        <v>2685</v>
      </c>
      <c r="G1029" s="39" t="s">
        <v>314</v>
      </c>
      <c r="H1029" s="563">
        <v>775000000</v>
      </c>
      <c r="I1029" s="46" t="s">
        <v>2693</v>
      </c>
      <c r="J1029" s="276" t="str">
        <f>VLOOKUP($I1029,'Price List, Weapons &amp; Items'!A:B,2,0)</f>
        <v>Ammunition for portable defence system</v>
      </c>
      <c r="K1029" s="276" t="str">
        <f>IF(I1029=".",I1029,VLOOKUP($I1029,'Price List, Weapons &amp; Items'!A:C,3,0))</f>
        <v>Light Anti-armor Weapon (LAW) ammunition</v>
      </c>
      <c r="L1029" s="514">
        <f>VLOOKUP(I1029,'Price List, Weapons &amp; Items'!A:D,4,0)</f>
        <v>0</v>
      </c>
      <c r="M1029" s="46">
        <v>1500</v>
      </c>
      <c r="N1029" s="46" t="s">
        <v>232</v>
      </c>
      <c r="O1029" s="516">
        <f>VLOOKUP($I1029,'Price List, Weapons &amp; Items'!A:F,6,0)</f>
        <v>93647</v>
      </c>
      <c r="P1029" s="513">
        <f t="shared" si="234"/>
        <v>140470500</v>
      </c>
      <c r="Q1029" s="513" t="str">
        <f t="shared" si="235"/>
        <v>.</v>
      </c>
      <c r="R1029" s="513" t="str">
        <f t="shared" si="233"/>
        <v/>
      </c>
      <c r="S1029" s="513" t="str">
        <f>IF(AND(AD1029=1,R1029&lt;&gt;".")=TRUE,R1029/VLOOKUP(G1029,'Exchange rates'!B:C,2,0),IF(R1029=".",".",""))</f>
        <v/>
      </c>
      <c r="T1029" s="513" t="str">
        <f>IF(AD1029=1,IF(AF1029="Value is not given at all",".",IF(AF1029="Value is given by the source",S1029,IF(AF1029="Value is calculated with prices",(IF(SUMIFS(Q:Q,A:A,A1029)&gt;0,SUMIFS(Q:Q,A:A,A1029),"."))/VLOOKUP("USD",'Exchange rates'!B:C,2,0),"Error with coding"))),"")</f>
        <v/>
      </c>
      <c r="U1029" s="39" t="s">
        <v>233</v>
      </c>
      <c r="V1029" s="826" t="s">
        <v>2686</v>
      </c>
      <c r="W1029" s="376" t="s">
        <v>232</v>
      </c>
      <c r="X1029" s="376" t="s">
        <v>232</v>
      </c>
      <c r="Y1029" s="376" t="s">
        <v>232</v>
      </c>
      <c r="Z1029" s="552">
        <v>0</v>
      </c>
      <c r="AA1029" s="552">
        <v>0</v>
      </c>
      <c r="AB1029" s="41" t="s">
        <v>232</v>
      </c>
      <c r="AC1029" s="519" t="str">
        <f>""</f>
        <v/>
      </c>
      <c r="AD1029" s="522">
        <v>0</v>
      </c>
      <c r="AE1029" s="522" t="s">
        <v>2590</v>
      </c>
      <c r="AF1029" s="522" t="s">
        <v>237</v>
      </c>
      <c r="AG1029" s="522">
        <v>1</v>
      </c>
      <c r="AH1029" s="522">
        <v>8</v>
      </c>
      <c r="AI1029" s="522">
        <v>0</v>
      </c>
      <c r="AJ1029" s="520">
        <f>VLOOKUP($I1029,'Price List, Weapons &amp; Items'!A:E,5,0)</f>
        <v>0</v>
      </c>
      <c r="AK1029" s="520">
        <f t="shared" si="224"/>
        <v>0</v>
      </c>
      <c r="AL1029" s="520">
        <f t="shared" si="225"/>
        <v>0</v>
      </c>
      <c r="AM1029" s="520">
        <f t="shared" si="226"/>
        <v>0</v>
      </c>
      <c r="AN1029" s="521" t="str">
        <f>VLOOKUP($I1029,'Price List, Weapons &amp; Items'!A:K,COLUMN('Price List, Weapons &amp; Items'!$I$1),0)</f>
        <v>Military media (incl. websites)</v>
      </c>
      <c r="AO1029" s="521" t="str">
        <f>IF(I1029=".",".",VLOOKUP($I1029,'Price List, Weapons &amp; Items'!A:I,3,0))</f>
        <v>Light Anti-armor Weapon (LAW) ammunition</v>
      </c>
      <c r="AP1029" s="517" t="str">
        <f t="shared" ca="1" si="232"/>
        <v/>
      </c>
      <c r="AQ1029" s="521">
        <f>VLOOKUP($I1029,'Price List, Weapons &amp; Items'!A:K,COLUMN('Price List, Weapons &amp; Items'!$K$1),0)</f>
        <v>2</v>
      </c>
      <c r="AS1029" s="521">
        <f t="shared" si="227"/>
        <v>1</v>
      </c>
      <c r="AT1029" s="521">
        <f t="shared" si="228"/>
        <v>1</v>
      </c>
      <c r="AU1029" s="521">
        <f t="shared" si="229"/>
        <v>1</v>
      </c>
      <c r="AV1029" s="521" t="str">
        <f t="shared" si="230"/>
        <v>.</v>
      </c>
    </row>
    <row r="1030" spans="1:48" ht="15" customHeight="1">
      <c r="A1030" s="18" t="s">
        <v>2627</v>
      </c>
      <c r="B1030" s="46" t="s">
        <v>2548</v>
      </c>
      <c r="C1030" s="550">
        <v>44792</v>
      </c>
      <c r="D1030" s="46" t="s">
        <v>252</v>
      </c>
      <c r="E1030" s="18" t="s">
        <v>1157</v>
      </c>
      <c r="F1030" s="46" t="s">
        <v>2685</v>
      </c>
      <c r="G1030" s="39" t="s">
        <v>314</v>
      </c>
      <c r="H1030" s="563">
        <v>775000000</v>
      </c>
      <c r="I1030" s="46" t="s">
        <v>2694</v>
      </c>
      <c r="J1030" s="276" t="str">
        <f>VLOOKUP($I1030,'Price List, Weapons &amp; Items'!A:B,2,0)</f>
        <v>Portable defence system</v>
      </c>
      <c r="K1030" s="276" t="str">
        <f>IF(I1030=".",I1030,VLOOKUP($I1030,'Price List, Weapons &amp; Items'!A:C,3,0))</f>
        <v>Light Anti-armor Weapon (LAW)</v>
      </c>
      <c r="L1030" s="514">
        <f>VLOOKUP(I1030,'Price List, Weapons &amp; Items'!A:D,4,0)</f>
        <v>0</v>
      </c>
      <c r="M1030" s="46">
        <v>1000</v>
      </c>
      <c r="N1030" s="46" t="s">
        <v>232</v>
      </c>
      <c r="O1030" s="516">
        <f>VLOOKUP($I1030,'Price List, Weapons &amp; Items'!A:F,6,0)</f>
        <v>246216</v>
      </c>
      <c r="P1030" s="513">
        <f t="shared" si="234"/>
        <v>246216000</v>
      </c>
      <c r="Q1030" s="513" t="str">
        <f t="shared" si="235"/>
        <v>.</v>
      </c>
      <c r="R1030" s="513" t="str">
        <f t="shared" si="233"/>
        <v/>
      </c>
      <c r="S1030" s="513" t="str">
        <f>IF(AND(AD1030=1,R1030&lt;&gt;".")=TRUE,R1030/VLOOKUP(G1030,'Exchange rates'!B:C,2,0),IF(R1030=".",".",""))</f>
        <v/>
      </c>
      <c r="T1030" s="513" t="str">
        <f>IF(AD1030=1,IF(AF1030="Value is not given at all",".",IF(AF1030="Value is given by the source",S1030,IF(AF1030="Value is calculated with prices",(IF(SUMIFS(Q:Q,A:A,A1030)&gt;0,SUMIFS(Q:Q,A:A,A1030),"."))/VLOOKUP("USD",'Exchange rates'!B:C,2,0),"Error with coding"))),"")</f>
        <v/>
      </c>
      <c r="U1030" s="39" t="s">
        <v>233</v>
      </c>
      <c r="V1030" s="826" t="s">
        <v>2686</v>
      </c>
      <c r="W1030" s="376" t="s">
        <v>232</v>
      </c>
      <c r="X1030" s="376" t="s">
        <v>232</v>
      </c>
      <c r="Y1030" s="376" t="s">
        <v>232</v>
      </c>
      <c r="Z1030" s="552">
        <v>0</v>
      </c>
      <c r="AA1030" s="552">
        <v>0</v>
      </c>
      <c r="AB1030" s="41" t="s">
        <v>232</v>
      </c>
      <c r="AC1030" s="519" t="str">
        <f>""</f>
        <v/>
      </c>
      <c r="AD1030" s="522">
        <v>0</v>
      </c>
      <c r="AE1030" s="522" t="s">
        <v>2590</v>
      </c>
      <c r="AF1030" s="522" t="s">
        <v>237</v>
      </c>
      <c r="AG1030" s="522">
        <v>1</v>
      </c>
      <c r="AH1030" s="522">
        <v>8</v>
      </c>
      <c r="AI1030" s="522">
        <v>0</v>
      </c>
      <c r="AJ1030" s="520">
        <f>VLOOKUP($I1030,'Price List, Weapons &amp; Items'!A:E,5,0)</f>
        <v>0</v>
      </c>
      <c r="AK1030" s="520">
        <f t="shared" si="224"/>
        <v>0</v>
      </c>
      <c r="AL1030" s="520">
        <f t="shared" si="225"/>
        <v>0</v>
      </c>
      <c r="AM1030" s="520">
        <f t="shared" si="226"/>
        <v>0</v>
      </c>
      <c r="AN1030" s="521" t="str">
        <f>VLOOKUP($I1030,'Price List, Weapons &amp; Items'!A:K,COLUMN('Price List, Weapons &amp; Items'!$I$1),0)</f>
        <v>Government information</v>
      </c>
      <c r="AO1030" s="521" t="str">
        <f>IF(I1030=".",".",VLOOKUP($I1030,'Price List, Weapons &amp; Items'!A:I,3,0))</f>
        <v>Light Anti-armor Weapon (LAW)</v>
      </c>
      <c r="AP1030" s="517" t="str">
        <f t="shared" ca="1" si="232"/>
        <v/>
      </c>
      <c r="AQ1030" s="521">
        <f>VLOOKUP($I1030,'Price List, Weapons &amp; Items'!A:K,COLUMN('Price List, Weapons &amp; Items'!$K$1),0)</f>
        <v>2</v>
      </c>
      <c r="AS1030" s="521">
        <f t="shared" si="227"/>
        <v>1</v>
      </c>
      <c r="AT1030" s="521">
        <f t="shared" si="228"/>
        <v>1</v>
      </c>
      <c r="AU1030" s="521">
        <f t="shared" si="229"/>
        <v>1</v>
      </c>
      <c r="AV1030" s="521" t="str">
        <f t="shared" si="230"/>
        <v>.</v>
      </c>
    </row>
    <row r="1031" spans="1:48" ht="15" customHeight="1">
      <c r="A1031" s="18" t="s">
        <v>2627</v>
      </c>
      <c r="B1031" s="46" t="s">
        <v>2548</v>
      </c>
      <c r="C1031" s="550">
        <v>44792</v>
      </c>
      <c r="D1031" s="46" t="s">
        <v>252</v>
      </c>
      <c r="E1031" s="18" t="s">
        <v>1157</v>
      </c>
      <c r="F1031" s="46" t="s">
        <v>2685</v>
      </c>
      <c r="G1031" s="39" t="s">
        <v>314</v>
      </c>
      <c r="H1031" s="563">
        <v>775000000</v>
      </c>
      <c r="I1031" s="46" t="s">
        <v>2695</v>
      </c>
      <c r="J1031" s="276" t="str">
        <f>VLOOKUP($I1031,'Price List, Weapons &amp; Items'!A:B,2,0)</f>
        <v>Ammunition for portable defence system</v>
      </c>
      <c r="K1031" s="276" t="str">
        <f>IF(I1031=".",I1031,VLOOKUP($I1031,'Price List, Weapons &amp; Items'!A:C,3,0))</f>
        <v>Light Anti-armor Weapon (LAW) ammunition</v>
      </c>
      <c r="L1031" s="514">
        <f>VLOOKUP(I1031,'Price List, Weapons &amp; Items'!A:D,4,0)</f>
        <v>0</v>
      </c>
      <c r="M1031" s="46">
        <v>2000</v>
      </c>
      <c r="N1031" s="46" t="s">
        <v>232</v>
      </c>
      <c r="O1031" s="516">
        <f>VLOOKUP($I1031,'Price List, Weapons &amp; Items'!A:F,6,0)</f>
        <v>78000</v>
      </c>
      <c r="P1031" s="513">
        <f t="shared" si="234"/>
        <v>156000000</v>
      </c>
      <c r="Q1031" s="513" t="str">
        <f t="shared" si="235"/>
        <v>.</v>
      </c>
      <c r="R1031" s="513" t="str">
        <f t="shared" si="233"/>
        <v/>
      </c>
      <c r="S1031" s="513" t="str">
        <f>IF(AND(AD1031=1,R1031&lt;&gt;".")=TRUE,R1031/VLOOKUP(G1031,'Exchange rates'!B:C,2,0),IF(R1031=".",".",""))</f>
        <v/>
      </c>
      <c r="T1031" s="513" t="str">
        <f>IF(AD1031=1,IF(AF1031="Value is not given at all",".",IF(AF1031="Value is given by the source",S1031,IF(AF1031="Value is calculated with prices",(IF(SUMIFS(Q:Q,A:A,A1031)&gt;0,SUMIFS(Q:Q,A:A,A1031),"."))/VLOOKUP("USD",'Exchange rates'!B:C,2,0),"Error with coding"))),"")</f>
        <v/>
      </c>
      <c r="U1031" s="39" t="s">
        <v>233</v>
      </c>
      <c r="V1031" s="826" t="s">
        <v>2686</v>
      </c>
      <c r="W1031" s="376" t="s">
        <v>232</v>
      </c>
      <c r="X1031" s="376" t="s">
        <v>232</v>
      </c>
      <c r="Y1031" s="376" t="s">
        <v>232</v>
      </c>
      <c r="Z1031" s="552">
        <v>0</v>
      </c>
      <c r="AA1031" s="552">
        <v>0</v>
      </c>
      <c r="AB1031" s="41" t="s">
        <v>232</v>
      </c>
      <c r="AC1031" s="519" t="str">
        <f>""</f>
        <v/>
      </c>
      <c r="AD1031" s="522">
        <v>0</v>
      </c>
      <c r="AE1031" s="522" t="s">
        <v>2590</v>
      </c>
      <c r="AF1031" s="522" t="s">
        <v>237</v>
      </c>
      <c r="AG1031" s="522">
        <v>1</v>
      </c>
      <c r="AH1031" s="522">
        <v>8</v>
      </c>
      <c r="AI1031" s="522">
        <v>0</v>
      </c>
      <c r="AJ1031" s="520">
        <f>VLOOKUP($I1031,'Price List, Weapons &amp; Items'!A:E,5,0)</f>
        <v>0</v>
      </c>
      <c r="AK1031" s="520">
        <f t="shared" si="224"/>
        <v>0</v>
      </c>
      <c r="AL1031" s="520">
        <f t="shared" si="225"/>
        <v>0</v>
      </c>
      <c r="AM1031" s="520">
        <f t="shared" si="226"/>
        <v>0</v>
      </c>
      <c r="AN1031" s="521" t="str">
        <f>VLOOKUP($I1031,'Price List, Weapons &amp; Items'!A:K,COLUMN('Price List, Weapons &amp; Items'!$I$1),0)</f>
        <v>Military media (incl. websites)</v>
      </c>
      <c r="AO1031" s="521" t="str">
        <f>IF(I1031=".",".",VLOOKUP($I1031,'Price List, Weapons &amp; Items'!A:I,3,0))</f>
        <v>Light Anti-armor Weapon (LAW) ammunition</v>
      </c>
      <c r="AP1031" s="517" t="str">
        <f t="shared" ca="1" si="232"/>
        <v/>
      </c>
      <c r="AQ1031" s="521">
        <f>VLOOKUP($I1031,'Price List, Weapons &amp; Items'!A:K,COLUMN('Price List, Weapons &amp; Items'!$K$1),0)</f>
        <v>2</v>
      </c>
      <c r="AS1031" s="521">
        <f t="shared" si="227"/>
        <v>1</v>
      </c>
      <c r="AT1031" s="521">
        <f t="shared" si="228"/>
        <v>1</v>
      </c>
      <c r="AU1031" s="521">
        <f t="shared" si="229"/>
        <v>1</v>
      </c>
      <c r="AV1031" s="521" t="str">
        <f t="shared" si="230"/>
        <v>.</v>
      </c>
    </row>
    <row r="1032" spans="1:48" ht="15" customHeight="1">
      <c r="A1032" s="18" t="s">
        <v>2627</v>
      </c>
      <c r="B1032" s="46" t="s">
        <v>2548</v>
      </c>
      <c r="C1032" s="550">
        <v>44792</v>
      </c>
      <c r="D1032" s="46" t="s">
        <v>252</v>
      </c>
      <c r="E1032" s="18" t="s">
        <v>1157</v>
      </c>
      <c r="F1032" s="46" t="s">
        <v>2685</v>
      </c>
      <c r="G1032" s="39" t="s">
        <v>314</v>
      </c>
      <c r="H1032" s="563">
        <v>775000000</v>
      </c>
      <c r="I1032" s="46" t="s">
        <v>2696</v>
      </c>
      <c r="J1032" s="276" t="str">
        <f>VLOOKUP($I1032,'Price List, Weapons &amp; Items'!A:B,2,0)</f>
        <v>Military equipment</v>
      </c>
      <c r="K1032" s="276" t="str">
        <f>IF(I1032=".",I1032,VLOOKUP($I1032,'Price List, Weapons &amp; Items'!A:C,3,0))</f>
        <v>.</v>
      </c>
      <c r="L1032" s="514">
        <f>VLOOKUP(I1032,'Price List, Weapons &amp; Items'!A:D,4,0)</f>
        <v>0</v>
      </c>
      <c r="M1032" s="46" t="s">
        <v>232</v>
      </c>
      <c r="N1032" s="46" t="s">
        <v>232</v>
      </c>
      <c r="O1032" s="516" t="str">
        <f>VLOOKUP($I1032,'Price List, Weapons &amp; Items'!A:F,6,0)</f>
        <v>.</v>
      </c>
      <c r="P1032" s="513" t="str">
        <f t="shared" si="234"/>
        <v>.</v>
      </c>
      <c r="Q1032" s="513" t="str">
        <f t="shared" si="235"/>
        <v>.</v>
      </c>
      <c r="R1032" s="513" t="str">
        <f t="shared" si="233"/>
        <v/>
      </c>
      <c r="S1032" s="513" t="str">
        <f>IF(AND(AD1032=1,R1032&lt;&gt;".")=TRUE,R1032/VLOOKUP(G1032,'Exchange rates'!B:C,2,0),IF(R1032=".",".",""))</f>
        <v/>
      </c>
      <c r="T1032" s="513" t="str">
        <f>IF(AD1032=1,IF(AF1032="Value is not given at all",".",IF(AF1032="Value is given by the source",S1032,IF(AF1032="Value is calculated with prices",(IF(SUMIFS(Q:Q,A:A,A1032)&gt;0,SUMIFS(Q:Q,A:A,A1032),"."))/VLOOKUP("USD",'Exchange rates'!B:C,2,0),"Error with coding"))),"")</f>
        <v/>
      </c>
      <c r="U1032" s="39" t="s">
        <v>233</v>
      </c>
      <c r="V1032" s="826" t="s">
        <v>2686</v>
      </c>
      <c r="W1032" s="376" t="s">
        <v>232</v>
      </c>
      <c r="X1032" s="376" t="s">
        <v>232</v>
      </c>
      <c r="Y1032" s="376" t="s">
        <v>232</v>
      </c>
      <c r="Z1032" s="552">
        <v>0</v>
      </c>
      <c r="AA1032" s="552">
        <v>0</v>
      </c>
      <c r="AB1032" s="41" t="s">
        <v>232</v>
      </c>
      <c r="AC1032" s="519" t="str">
        <f>""</f>
        <v/>
      </c>
      <c r="AD1032" s="522">
        <v>0</v>
      </c>
      <c r="AE1032" s="522" t="s">
        <v>2590</v>
      </c>
      <c r="AF1032" s="522" t="s">
        <v>237</v>
      </c>
      <c r="AG1032" s="522">
        <v>1</v>
      </c>
      <c r="AH1032" s="522">
        <v>8</v>
      </c>
      <c r="AI1032" s="522">
        <v>0</v>
      </c>
      <c r="AJ1032" s="520">
        <f>VLOOKUP($I1032,'Price List, Weapons &amp; Items'!A:E,5,0)</f>
        <v>0</v>
      </c>
      <c r="AK1032" s="520">
        <f t="shared" ref="AK1032:AK1094" si="236">IF(AND(AJ1032=1,M1032="undisclosed")=TRUE,1,0)</f>
        <v>0</v>
      </c>
      <c r="AL1032" s="520">
        <f t="shared" ref="AL1032:AL1094" si="237">IF(AND(AJ1032=1,N1032="undisclosed")=TRUE,1,0)</f>
        <v>0</v>
      </c>
      <c r="AM1032" s="520">
        <f t="shared" ref="AM1032:AM1094" si="238">IFERROR(IF(SEARCH("ammuni",I1032,1)&gt;0,1,0),0)</f>
        <v>0</v>
      </c>
      <c r="AN1032" s="521" t="str">
        <f>VLOOKUP($I1032,'Price List, Weapons &amp; Items'!A:K,COLUMN('Price List, Weapons &amp; Items'!$I$1),0)</f>
        <v>.</v>
      </c>
      <c r="AO1032" s="521" t="str">
        <f>IF(I1032=".",".",VLOOKUP($I1032,'Price List, Weapons &amp; Items'!A:I,3,0))</f>
        <v>.</v>
      </c>
      <c r="AP1032" s="517" t="str">
        <f t="shared" ca="1" si="232"/>
        <v/>
      </c>
      <c r="AQ1032" s="521" t="str">
        <f>VLOOKUP($I1032,'Price List, Weapons &amp; Items'!A:K,COLUMN('Price List, Weapons &amp; Items'!$K$1),0)</f>
        <v>no price, 0 count</v>
      </c>
      <c r="AS1032" s="521">
        <f t="shared" ref="AS1032:AS1094" si="239">IF(U1032="Yes",1,0)</f>
        <v>1</v>
      </c>
      <c r="AT1032" s="521">
        <f t="shared" ref="AT1032:AT1094" si="240">IF(OR((E1032="Weapons"),(E1032="Weapons and equipment"),(E1032="Weapons and training"),(E1032="Weapons and Assistance"),(E1032="Military Equipment"))=FALSE,0,1)</f>
        <v>1</v>
      </c>
      <c r="AU1032" s="521">
        <f t="shared" ref="AU1032:AU1094" si="241">IFERROR(IF(VALUE(TEXT(C1032,"mm"))=AH1032,".",1),"Value is not in date format")</f>
        <v>1</v>
      </c>
      <c r="AV1032" s="521" t="str">
        <f t="shared" si="230"/>
        <v>.</v>
      </c>
    </row>
    <row r="1033" spans="1:48" ht="15" customHeight="1">
      <c r="A1033" s="18" t="s">
        <v>2627</v>
      </c>
      <c r="B1033" s="46" t="s">
        <v>2548</v>
      </c>
      <c r="C1033" s="550">
        <v>44792</v>
      </c>
      <c r="D1033" s="46" t="s">
        <v>252</v>
      </c>
      <c r="E1033" s="18" t="s">
        <v>1157</v>
      </c>
      <c r="F1033" s="46" t="s">
        <v>2685</v>
      </c>
      <c r="G1033" s="39" t="s">
        <v>314</v>
      </c>
      <c r="H1033" s="563">
        <v>775000000</v>
      </c>
      <c r="I1033" s="46" t="s">
        <v>2697</v>
      </c>
      <c r="J1033" s="276" t="str">
        <f>VLOOKUP($I1033,'Price List, Weapons &amp; Items'!A:B,2,0)</f>
        <v>Military equipment</v>
      </c>
      <c r="K1033" s="276" t="str">
        <f>IF(I1033=".",I1033,VLOOKUP($I1033,'Price List, Weapons &amp; Items'!A:C,3,0))</f>
        <v>.</v>
      </c>
      <c r="L1033" s="514">
        <f>VLOOKUP(I1033,'Price List, Weapons &amp; Items'!A:D,4,0)</f>
        <v>0</v>
      </c>
      <c r="M1033" s="46" t="s">
        <v>264</v>
      </c>
      <c r="N1033" s="46" t="s">
        <v>232</v>
      </c>
      <c r="O1033" s="516">
        <f>VLOOKUP($I1033,'Price List, Weapons &amp; Items'!A:F,6,0)</f>
        <v>90</v>
      </c>
      <c r="P1033" s="513" t="str">
        <f t="shared" si="234"/>
        <v>.</v>
      </c>
      <c r="Q1033" s="513" t="str">
        <f t="shared" si="235"/>
        <v>.</v>
      </c>
      <c r="R1033" s="513" t="str">
        <f t="shared" si="233"/>
        <v/>
      </c>
      <c r="S1033" s="513" t="str">
        <f>IF(AND(AD1033=1,R1033&lt;&gt;".")=TRUE,R1033/VLOOKUP(G1033,'Exchange rates'!B:C,2,0),IF(R1033=".",".",""))</f>
        <v/>
      </c>
      <c r="T1033" s="513" t="str">
        <f>IF(AD1033=1,IF(AF1033="Value is not given at all",".",IF(AF1033="Value is given by the source",S1033,IF(AF1033="Value is calculated with prices",(IF(SUMIFS(Q:Q,A:A,A1033)&gt;0,SUMIFS(Q:Q,A:A,A1033),"."))/VLOOKUP("USD",'Exchange rates'!B:C,2,0),"Error with coding"))),"")</f>
        <v/>
      </c>
      <c r="U1033" s="39" t="s">
        <v>233</v>
      </c>
      <c r="V1033" s="826" t="s">
        <v>2686</v>
      </c>
      <c r="W1033" s="376" t="s">
        <v>232</v>
      </c>
      <c r="X1033" s="376" t="s">
        <v>232</v>
      </c>
      <c r="Y1033" s="376" t="s">
        <v>232</v>
      </c>
      <c r="Z1033" s="552">
        <v>0</v>
      </c>
      <c r="AA1033" s="552">
        <v>0</v>
      </c>
      <c r="AB1033" s="41" t="s">
        <v>232</v>
      </c>
      <c r="AC1033" s="519" t="str">
        <f>""</f>
        <v/>
      </c>
      <c r="AD1033" s="522">
        <v>0</v>
      </c>
      <c r="AE1033" s="522" t="s">
        <v>2590</v>
      </c>
      <c r="AF1033" s="522" t="s">
        <v>237</v>
      </c>
      <c r="AG1033" s="522">
        <v>1</v>
      </c>
      <c r="AH1033" s="522">
        <v>8</v>
      </c>
      <c r="AI1033" s="522">
        <v>0</v>
      </c>
      <c r="AJ1033" s="520">
        <f>VLOOKUP($I1033,'Price List, Weapons &amp; Items'!A:E,5,0)</f>
        <v>0</v>
      </c>
      <c r="AK1033" s="520">
        <f t="shared" si="236"/>
        <v>0</v>
      </c>
      <c r="AL1033" s="520">
        <f t="shared" si="237"/>
        <v>0</v>
      </c>
      <c r="AM1033" s="520">
        <f t="shared" si="238"/>
        <v>0</v>
      </c>
      <c r="AN1033" s="521" t="str">
        <f>VLOOKUP($I1033,'Price List, Weapons &amp; Items'!A:K,COLUMN('Price List, Weapons &amp; Items'!$I$1),0)</f>
        <v>Media reports (incl. social media)</v>
      </c>
      <c r="AO1033" s="521" t="str">
        <f>IF(I1033=".",".",VLOOKUP($I1033,'Price List, Weapons &amp; Items'!A:I,3,0))</f>
        <v>.</v>
      </c>
      <c r="AP1033" s="517" t="str">
        <f t="shared" ca="1" si="232"/>
        <v/>
      </c>
      <c r="AQ1033" s="521" t="str">
        <f>VLOOKUP($I1033,'Price List, Weapons &amp; Items'!A:K,COLUMN('Price List, Weapons &amp; Items'!$K$1),0)</f>
        <v>no price, 0 count</v>
      </c>
      <c r="AS1033" s="521">
        <f t="shared" si="239"/>
        <v>1</v>
      </c>
      <c r="AT1033" s="521">
        <f t="shared" si="240"/>
        <v>1</v>
      </c>
      <c r="AU1033" s="521">
        <f t="shared" si="241"/>
        <v>1</v>
      </c>
      <c r="AV1033" s="521" t="str">
        <f t="shared" ref="AV1033:AV1095" si="242">IF(AND(A1033=A1032,C1033=C1032)=TRUE,IF(F1033=F1032,".","1"),".")</f>
        <v>.</v>
      </c>
    </row>
    <row r="1034" spans="1:48" ht="15" customHeight="1">
      <c r="A1034" s="18" t="s">
        <v>2627</v>
      </c>
      <c r="B1034" s="46" t="s">
        <v>2548</v>
      </c>
      <c r="C1034" s="550">
        <v>44792</v>
      </c>
      <c r="D1034" s="46" t="s">
        <v>252</v>
      </c>
      <c r="E1034" s="18" t="s">
        <v>1157</v>
      </c>
      <c r="F1034" s="46" t="s">
        <v>2685</v>
      </c>
      <c r="G1034" s="39" t="s">
        <v>314</v>
      </c>
      <c r="H1034" s="563">
        <v>775000000</v>
      </c>
      <c r="I1034" s="46" t="s">
        <v>2698</v>
      </c>
      <c r="J1034" s="276" t="str">
        <f>VLOOKUP($I1034,'Price List, Weapons &amp; Items'!A:B,2,0)</f>
        <v>Military equipment</v>
      </c>
      <c r="K1034" s="276" t="str">
        <f>IF(I1034=".",I1034,VLOOKUP($I1034,'Price List, Weapons &amp; Items'!A:C,3,0))</f>
        <v>.</v>
      </c>
      <c r="L1034" s="514">
        <f>VLOOKUP(I1034,'Price List, Weapons &amp; Items'!A:D,4,0)</f>
        <v>0</v>
      </c>
      <c r="M1034" s="46" t="s">
        <v>264</v>
      </c>
      <c r="N1034" s="46" t="s">
        <v>232</v>
      </c>
      <c r="O1034" s="516" t="str">
        <f>VLOOKUP($I1034,'Price List, Weapons &amp; Items'!A:F,6,0)</f>
        <v>.</v>
      </c>
      <c r="P1034" s="513" t="str">
        <f t="shared" si="234"/>
        <v>.</v>
      </c>
      <c r="Q1034" s="513" t="str">
        <f t="shared" si="235"/>
        <v>.</v>
      </c>
      <c r="R1034" s="513" t="str">
        <f t="shared" si="233"/>
        <v/>
      </c>
      <c r="S1034" s="513" t="str">
        <f>IF(AND(AD1034=1,R1034&lt;&gt;".")=TRUE,R1034/VLOOKUP(G1034,'Exchange rates'!B:C,2,0),IF(R1034=".",".",""))</f>
        <v/>
      </c>
      <c r="T1034" s="513" t="str">
        <f>IF(AD1034=1,IF(AF1034="Value is not given at all",".",IF(AF1034="Value is given by the source",S1034,IF(AF1034="Value is calculated with prices",(IF(SUMIFS(Q:Q,A:A,A1034)&gt;0,SUMIFS(Q:Q,A:A,A1034),"."))/VLOOKUP("USD",'Exchange rates'!B:C,2,0),"Error with coding"))),"")</f>
        <v/>
      </c>
      <c r="U1034" s="39" t="s">
        <v>233</v>
      </c>
      <c r="V1034" s="826" t="s">
        <v>2686</v>
      </c>
      <c r="W1034" s="376" t="s">
        <v>232</v>
      </c>
      <c r="X1034" s="376" t="s">
        <v>232</v>
      </c>
      <c r="Y1034" s="376" t="s">
        <v>232</v>
      </c>
      <c r="Z1034" s="552">
        <v>0</v>
      </c>
      <c r="AA1034" s="552">
        <v>0</v>
      </c>
      <c r="AB1034" s="41" t="s">
        <v>232</v>
      </c>
      <c r="AC1034" s="519" t="str">
        <f>""</f>
        <v/>
      </c>
      <c r="AD1034" s="522">
        <v>0</v>
      </c>
      <c r="AE1034" s="522" t="s">
        <v>2590</v>
      </c>
      <c r="AF1034" s="522" t="s">
        <v>237</v>
      </c>
      <c r="AG1034" s="522">
        <v>1</v>
      </c>
      <c r="AH1034" s="522">
        <v>8</v>
      </c>
      <c r="AI1034" s="522">
        <v>0</v>
      </c>
      <c r="AJ1034" s="520">
        <f>VLOOKUP($I1034,'Price List, Weapons &amp; Items'!A:E,5,0)</f>
        <v>0</v>
      </c>
      <c r="AK1034" s="520">
        <f t="shared" si="236"/>
        <v>0</v>
      </c>
      <c r="AL1034" s="520">
        <f t="shared" si="237"/>
        <v>0</v>
      </c>
      <c r="AM1034" s="520">
        <f t="shared" si="238"/>
        <v>0</v>
      </c>
      <c r="AN1034" s="521" t="str">
        <f>VLOOKUP($I1034,'Price List, Weapons &amp; Items'!A:K,COLUMN('Price List, Weapons &amp; Items'!$I$1),0)</f>
        <v>.</v>
      </c>
      <c r="AO1034" s="521" t="str">
        <f>IF(I1034=".",".",VLOOKUP($I1034,'Price List, Weapons &amp; Items'!A:I,3,0))</f>
        <v>.</v>
      </c>
      <c r="AP1034" s="517" t="str">
        <f t="shared" ca="1" si="232"/>
        <v/>
      </c>
      <c r="AQ1034" s="521" t="str">
        <f>VLOOKUP($I1034,'Price List, Weapons &amp; Items'!A:K,COLUMN('Price List, Weapons &amp; Items'!$K$1),0)</f>
        <v>no price, 0 count</v>
      </c>
      <c r="AS1034" s="521">
        <f t="shared" si="239"/>
        <v>1</v>
      </c>
      <c r="AT1034" s="521">
        <f t="shared" si="240"/>
        <v>1</v>
      </c>
      <c r="AU1034" s="521">
        <f t="shared" si="241"/>
        <v>1</v>
      </c>
      <c r="AV1034" s="521" t="str">
        <f t="shared" si="242"/>
        <v>.</v>
      </c>
    </row>
    <row r="1035" spans="1:48" ht="15" customHeight="1">
      <c r="A1035" s="18" t="s">
        <v>2627</v>
      </c>
      <c r="B1035" s="46" t="s">
        <v>2548</v>
      </c>
      <c r="C1035" s="550">
        <v>44792</v>
      </c>
      <c r="D1035" s="46" t="s">
        <v>252</v>
      </c>
      <c r="E1035" s="18" t="s">
        <v>1157</v>
      </c>
      <c r="F1035" s="46" t="s">
        <v>2685</v>
      </c>
      <c r="G1035" s="39" t="s">
        <v>314</v>
      </c>
      <c r="H1035" s="563">
        <v>775000000</v>
      </c>
      <c r="I1035" s="46" t="s">
        <v>1858</v>
      </c>
      <c r="J1035" s="276" t="str">
        <f>VLOOKUP($I1035,'Price List, Weapons &amp; Items'!A:B,2,0)</f>
        <v>Military equipment</v>
      </c>
      <c r="K1035" s="276" t="str">
        <f>IF(I1035=".",I1035,VLOOKUP($I1035,'Price List, Weapons &amp; Items'!A:C,3,0))</f>
        <v>.</v>
      </c>
      <c r="L1035" s="514">
        <f>VLOOKUP(I1035,'Price List, Weapons &amp; Items'!A:D,4,0)</f>
        <v>0</v>
      </c>
      <c r="M1035" s="46" t="s">
        <v>264</v>
      </c>
      <c r="N1035" s="46" t="s">
        <v>232</v>
      </c>
      <c r="O1035" s="516">
        <f>VLOOKUP($I1035,'Price List, Weapons &amp; Items'!A:F,6,0)</f>
        <v>2320</v>
      </c>
      <c r="P1035" s="513" t="str">
        <f t="shared" si="234"/>
        <v>.</v>
      </c>
      <c r="Q1035" s="513" t="str">
        <f t="shared" si="235"/>
        <v>.</v>
      </c>
      <c r="R1035" s="513" t="str">
        <f t="shared" si="233"/>
        <v/>
      </c>
      <c r="S1035" s="513" t="str">
        <f>IF(AND(AD1035=1,R1035&lt;&gt;".")=TRUE,R1035/VLOOKUP(G1035,'Exchange rates'!B:C,2,0),IF(R1035=".",".",""))</f>
        <v/>
      </c>
      <c r="T1035" s="513" t="str">
        <f>IF(AD1035=1,IF(AF1035="Value is not given at all",".",IF(AF1035="Value is given by the source",S1035,IF(AF1035="Value is calculated with prices",(IF(SUMIFS(Q:Q,A:A,A1035)&gt;0,SUMIFS(Q:Q,A:A,A1035),"."))/VLOOKUP("USD",'Exchange rates'!B:C,2,0),"Error with coding"))),"")</f>
        <v/>
      </c>
      <c r="U1035" s="39" t="s">
        <v>233</v>
      </c>
      <c r="V1035" s="826" t="s">
        <v>2686</v>
      </c>
      <c r="W1035" s="376" t="s">
        <v>232</v>
      </c>
      <c r="X1035" s="376" t="s">
        <v>232</v>
      </c>
      <c r="Y1035" s="376" t="s">
        <v>232</v>
      </c>
      <c r="Z1035" s="552">
        <v>0</v>
      </c>
      <c r="AA1035" s="552">
        <v>0</v>
      </c>
      <c r="AB1035" s="41" t="s">
        <v>232</v>
      </c>
      <c r="AC1035" s="519" t="str">
        <f>""</f>
        <v/>
      </c>
      <c r="AD1035" s="522">
        <v>0</v>
      </c>
      <c r="AE1035" s="522" t="s">
        <v>2590</v>
      </c>
      <c r="AF1035" s="522" t="s">
        <v>237</v>
      </c>
      <c r="AG1035" s="522">
        <v>1</v>
      </c>
      <c r="AH1035" s="522">
        <v>8</v>
      </c>
      <c r="AI1035" s="522">
        <v>0</v>
      </c>
      <c r="AJ1035" s="520">
        <f>VLOOKUP($I1035,'Price List, Weapons &amp; Items'!A:E,5,0)</f>
        <v>0</v>
      </c>
      <c r="AK1035" s="520">
        <f t="shared" si="236"/>
        <v>0</v>
      </c>
      <c r="AL1035" s="520">
        <f t="shared" si="237"/>
        <v>0</v>
      </c>
      <c r="AM1035" s="520">
        <f t="shared" si="238"/>
        <v>0</v>
      </c>
      <c r="AN1035" s="521" t="str">
        <f>VLOOKUP($I1035,'Price List, Weapons &amp; Items'!A:K,COLUMN('Price List, Weapons &amp; Items'!$I$1),0)</f>
        <v>Media reports (incl. social media)</v>
      </c>
      <c r="AO1035" s="521" t="str">
        <f>IF(I1035=".",".",VLOOKUP($I1035,'Price List, Weapons &amp; Items'!A:I,3,0))</f>
        <v>.</v>
      </c>
      <c r="AP1035" s="517" t="str">
        <f t="shared" ca="1" si="232"/>
        <v/>
      </c>
      <c r="AQ1035" s="521">
        <f>VLOOKUP($I1035,'Price List, Weapons &amp; Items'!A:K,COLUMN('Price List, Weapons &amp; Items'!$K$1),0)</f>
        <v>2</v>
      </c>
      <c r="AS1035" s="521">
        <f t="shared" si="239"/>
        <v>1</v>
      </c>
      <c r="AT1035" s="521">
        <f t="shared" si="240"/>
        <v>1</v>
      </c>
      <c r="AU1035" s="521">
        <f t="shared" si="241"/>
        <v>1</v>
      </c>
      <c r="AV1035" s="521" t="str">
        <f t="shared" si="242"/>
        <v>.</v>
      </c>
    </row>
    <row r="1036" spans="1:48" ht="15" customHeight="1">
      <c r="A1036" s="18" t="s">
        <v>2627</v>
      </c>
      <c r="B1036" s="46" t="s">
        <v>2548</v>
      </c>
      <c r="C1036" s="550">
        <v>44792</v>
      </c>
      <c r="D1036" s="46" t="s">
        <v>252</v>
      </c>
      <c r="E1036" s="18" t="s">
        <v>1157</v>
      </c>
      <c r="F1036" s="46" t="s">
        <v>2685</v>
      </c>
      <c r="G1036" s="39" t="s">
        <v>314</v>
      </c>
      <c r="H1036" s="563">
        <v>775000000</v>
      </c>
      <c r="I1036" s="46" t="s">
        <v>1625</v>
      </c>
      <c r="J1036" s="276" t="str">
        <f>VLOOKUP($I1036,'Price List, Weapons &amp; Items'!A:B,2,0)</f>
        <v>Military equipment</v>
      </c>
      <c r="K1036" s="276" t="str">
        <f>IF(I1036=".",I1036,VLOOKUP($I1036,'Price List, Weapons &amp; Items'!A:C,3,0))</f>
        <v>radar and imagery systems</v>
      </c>
      <c r="L1036" s="514">
        <f>VLOOKUP(I1036,'Price List, Weapons &amp; Items'!A:D,4,0)</f>
        <v>0</v>
      </c>
      <c r="M1036" s="46" t="s">
        <v>264</v>
      </c>
      <c r="N1036" s="46" t="s">
        <v>232</v>
      </c>
      <c r="O1036" s="516">
        <f>VLOOKUP($I1036,'Price List, Weapons &amp; Items'!A:F,6,0)</f>
        <v>5000</v>
      </c>
      <c r="P1036" s="513" t="str">
        <f t="shared" si="234"/>
        <v>.</v>
      </c>
      <c r="Q1036" s="513" t="str">
        <f t="shared" si="235"/>
        <v>.</v>
      </c>
      <c r="R1036" s="513" t="str">
        <f t="shared" ref="R1036:R1067" si="243">IF(AD1036=1,IF(H1036&lt;&gt;"Not given",H1036,IF(TYPE(H1036)=2,IF(SUMIFS(P:P,A:A,A1036)&gt;0,SUMIFS(P:P,A:A,A1036),"."),"Format error")),"")</f>
        <v/>
      </c>
      <c r="S1036" s="513" t="str">
        <f>IF(AND(AD1036=1,R1036&lt;&gt;".")=TRUE,R1036/VLOOKUP(G1036,'Exchange rates'!B:C,2,0),IF(R1036=".",".",""))</f>
        <v/>
      </c>
      <c r="T1036" s="513" t="str">
        <f>IF(AD1036=1,IF(AF1036="Value is not given at all",".",IF(AF1036="Value is given by the source",S1036,IF(AF1036="Value is calculated with prices",(IF(SUMIFS(Q:Q,A:A,A1036)&gt;0,SUMIFS(Q:Q,A:A,A1036),"."))/VLOOKUP("USD",'Exchange rates'!B:C,2,0),"Error with coding"))),"")</f>
        <v/>
      </c>
      <c r="U1036" s="39" t="s">
        <v>233</v>
      </c>
      <c r="V1036" s="826" t="s">
        <v>2686</v>
      </c>
      <c r="W1036" s="376" t="s">
        <v>232</v>
      </c>
      <c r="X1036" s="376" t="s">
        <v>232</v>
      </c>
      <c r="Y1036" s="376" t="s">
        <v>232</v>
      </c>
      <c r="Z1036" s="552">
        <v>0</v>
      </c>
      <c r="AA1036" s="552">
        <v>0</v>
      </c>
      <c r="AB1036" s="41" t="s">
        <v>232</v>
      </c>
      <c r="AC1036" s="519" t="str">
        <f>""</f>
        <v/>
      </c>
      <c r="AD1036" s="522">
        <v>0</v>
      </c>
      <c r="AE1036" s="522" t="s">
        <v>2590</v>
      </c>
      <c r="AF1036" s="522" t="s">
        <v>237</v>
      </c>
      <c r="AG1036" s="522">
        <v>1</v>
      </c>
      <c r="AH1036" s="522">
        <v>8</v>
      </c>
      <c r="AI1036" s="522">
        <v>0</v>
      </c>
      <c r="AJ1036" s="520">
        <f>VLOOKUP($I1036,'Price List, Weapons &amp; Items'!A:E,5,0)</f>
        <v>0</v>
      </c>
      <c r="AK1036" s="520">
        <f t="shared" si="236"/>
        <v>0</v>
      </c>
      <c r="AL1036" s="520">
        <f t="shared" si="237"/>
        <v>0</v>
      </c>
      <c r="AM1036" s="520">
        <f t="shared" si="238"/>
        <v>0</v>
      </c>
      <c r="AN1036" s="521" t="str">
        <f>VLOOKUP($I1036,'Price List, Weapons &amp; Items'!A:K,COLUMN('Price List, Weapons &amp; Items'!$I$1),0)</f>
        <v>Miscellaneous</v>
      </c>
      <c r="AO1036" s="521" t="str">
        <f>IF(I1036=".",".",VLOOKUP($I1036,'Price List, Weapons &amp; Items'!A:I,3,0))</f>
        <v>radar and imagery systems</v>
      </c>
      <c r="AP1036" s="517" t="str">
        <f t="shared" ca="1" si="232"/>
        <v/>
      </c>
      <c r="AQ1036" s="521" t="str">
        <f>VLOOKUP($I1036,'Price List, Weapons &amp; Items'!A:K,COLUMN('Price List, Weapons &amp; Items'!$K$1),0)</f>
        <v>no price, 0 count</v>
      </c>
      <c r="AS1036" s="521">
        <f t="shared" si="239"/>
        <v>1</v>
      </c>
      <c r="AT1036" s="521">
        <f t="shared" si="240"/>
        <v>1</v>
      </c>
      <c r="AU1036" s="521">
        <f t="shared" si="241"/>
        <v>1</v>
      </c>
      <c r="AV1036" s="521" t="str">
        <f t="shared" si="242"/>
        <v>.</v>
      </c>
    </row>
    <row r="1037" spans="1:48" ht="15" customHeight="1">
      <c r="A1037" s="18" t="s">
        <v>2627</v>
      </c>
      <c r="B1037" s="46" t="s">
        <v>2548</v>
      </c>
      <c r="C1037" s="550">
        <v>44792</v>
      </c>
      <c r="D1037" s="46" t="s">
        <v>252</v>
      </c>
      <c r="E1037" s="18" t="s">
        <v>1157</v>
      </c>
      <c r="F1037" s="46" t="s">
        <v>2685</v>
      </c>
      <c r="G1037" s="39" t="s">
        <v>314</v>
      </c>
      <c r="H1037" s="563">
        <v>775000000</v>
      </c>
      <c r="I1037" s="46" t="s">
        <v>2615</v>
      </c>
      <c r="J1037" s="276" t="str">
        <f>VLOOKUP($I1037,'Price List, Weapons &amp; Items'!A:B,2,0)</f>
        <v>Military equipment</v>
      </c>
      <c r="K1037" s="276" t="str">
        <f>IF(I1037=".",I1037,VLOOKUP($I1037,'Price List, Weapons &amp; Items'!A:C,3,0))</f>
        <v>.</v>
      </c>
      <c r="L1037" s="514">
        <f>VLOOKUP(I1037,'Price List, Weapons &amp; Items'!A:D,4,0)</f>
        <v>0</v>
      </c>
      <c r="M1037" s="46" t="s">
        <v>264</v>
      </c>
      <c r="N1037" s="46" t="s">
        <v>232</v>
      </c>
      <c r="O1037" s="516">
        <f>VLOOKUP($I1037,'Price List, Weapons &amp; Items'!A:F,6,0)</f>
        <v>45</v>
      </c>
      <c r="P1037" s="513" t="str">
        <f t="shared" si="234"/>
        <v>.</v>
      </c>
      <c r="Q1037" s="513" t="str">
        <f t="shared" si="235"/>
        <v>.</v>
      </c>
      <c r="R1037" s="513" t="str">
        <f t="shared" si="243"/>
        <v/>
      </c>
      <c r="S1037" s="513" t="str">
        <f>IF(AND(AD1037=1,R1037&lt;&gt;".")=TRUE,R1037/VLOOKUP(G1037,'Exchange rates'!B:C,2,0),IF(R1037=".",".",""))</f>
        <v/>
      </c>
      <c r="T1037" s="513" t="str">
        <f>IF(AD1037=1,IF(AF1037="Value is not given at all",".",IF(AF1037="Value is given by the source",S1037,IF(AF1037="Value is calculated with prices",(IF(SUMIFS(Q:Q,A:A,A1037)&gt;0,SUMIFS(Q:Q,A:A,A1037),"."))/VLOOKUP("USD",'Exchange rates'!B:C,2,0),"Error with coding"))),"")</f>
        <v/>
      </c>
      <c r="U1037" s="39" t="s">
        <v>233</v>
      </c>
      <c r="V1037" s="826" t="s">
        <v>2699</v>
      </c>
      <c r="W1037" s="376" t="s">
        <v>232</v>
      </c>
      <c r="X1037" s="376" t="s">
        <v>232</v>
      </c>
      <c r="Y1037" s="376" t="s">
        <v>232</v>
      </c>
      <c r="Z1037" s="552">
        <v>0</v>
      </c>
      <c r="AA1037" s="552">
        <v>0</v>
      </c>
      <c r="AB1037" s="41" t="s">
        <v>232</v>
      </c>
      <c r="AC1037" s="519" t="str">
        <f>""</f>
        <v/>
      </c>
      <c r="AD1037" s="522">
        <v>0</v>
      </c>
      <c r="AE1037" s="522" t="s">
        <v>2590</v>
      </c>
      <c r="AF1037" s="522" t="s">
        <v>237</v>
      </c>
      <c r="AG1037" s="522">
        <v>1</v>
      </c>
      <c r="AH1037" s="522">
        <v>8</v>
      </c>
      <c r="AI1037" s="522">
        <v>0</v>
      </c>
      <c r="AJ1037" s="520">
        <f>VLOOKUP($I1037,'Price List, Weapons &amp; Items'!A:E,5,0)</f>
        <v>0</v>
      </c>
      <c r="AK1037" s="520">
        <f t="shared" si="236"/>
        <v>0</v>
      </c>
      <c r="AL1037" s="520">
        <f t="shared" si="237"/>
        <v>0</v>
      </c>
      <c r="AM1037" s="520">
        <f t="shared" si="238"/>
        <v>0</v>
      </c>
      <c r="AN1037" s="521" t="str">
        <f>VLOOKUP($I1037,'Price List, Weapons &amp; Items'!A:K,COLUMN('Price List, Weapons &amp; Items'!$I$1),0)</f>
        <v>Online marketplaces and stores</v>
      </c>
      <c r="AO1037" s="521" t="str">
        <f>IF(I1037=".",".",VLOOKUP($I1037,'Price List, Weapons &amp; Items'!A:I,3,0))</f>
        <v>.</v>
      </c>
      <c r="AP1037" s="517" t="str">
        <f t="shared" ca="1" si="232"/>
        <v/>
      </c>
      <c r="AQ1037" s="521">
        <f>VLOOKUP($I1037,'Price List, Weapons &amp; Items'!A:K,COLUMN('Price List, Weapons &amp; Items'!$K$1),0)</f>
        <v>1</v>
      </c>
      <c r="AS1037" s="521">
        <f t="shared" si="239"/>
        <v>1</v>
      </c>
      <c r="AT1037" s="521">
        <f t="shared" si="240"/>
        <v>1</v>
      </c>
      <c r="AU1037" s="521">
        <f t="shared" si="241"/>
        <v>1</v>
      </c>
      <c r="AV1037" s="521" t="str">
        <f t="shared" si="242"/>
        <v>.</v>
      </c>
    </row>
    <row r="1038" spans="1:48" ht="15" customHeight="1">
      <c r="A1038" s="18" t="s">
        <v>2627</v>
      </c>
      <c r="B1038" s="46" t="s">
        <v>2548</v>
      </c>
      <c r="C1038" s="550">
        <v>44792</v>
      </c>
      <c r="D1038" s="46" t="s">
        <v>252</v>
      </c>
      <c r="E1038" s="18" t="s">
        <v>1157</v>
      </c>
      <c r="F1038" s="46" t="s">
        <v>2685</v>
      </c>
      <c r="G1038" s="39" t="s">
        <v>314</v>
      </c>
      <c r="H1038" s="563">
        <v>775000000</v>
      </c>
      <c r="I1038" s="46" t="s">
        <v>2700</v>
      </c>
      <c r="J1038" s="276" t="str">
        <f>VLOOKUP($I1038,'Price List, Weapons &amp; Items'!A:B,2,0)</f>
        <v>Military equipment</v>
      </c>
      <c r="K1038" s="276" t="str">
        <f>IF(I1038=".",I1038,VLOOKUP($I1038,'Price List, Weapons &amp; Items'!A:C,3,0))</f>
        <v>.</v>
      </c>
      <c r="L1038" s="514">
        <f>VLOOKUP(I1038,'Price List, Weapons &amp; Items'!A:D,4,0)</f>
        <v>0</v>
      </c>
      <c r="M1038" s="46" t="s">
        <v>264</v>
      </c>
      <c r="N1038" s="46" t="s">
        <v>232</v>
      </c>
      <c r="O1038" s="516">
        <f>VLOOKUP($I1038,'Price List, Weapons &amp; Items'!A:F,6,0)</f>
        <v>51404</v>
      </c>
      <c r="P1038" s="513" t="str">
        <f t="shared" si="234"/>
        <v>.</v>
      </c>
      <c r="Q1038" s="513" t="str">
        <f t="shared" si="235"/>
        <v>.</v>
      </c>
      <c r="R1038" s="513" t="str">
        <f t="shared" si="243"/>
        <v/>
      </c>
      <c r="S1038" s="513" t="str">
        <f>IF(AND(AD1038=1,R1038&lt;&gt;".")=TRUE,R1038/VLOOKUP(G1038,'Exchange rates'!B:C,2,0),IF(R1038=".",".",""))</f>
        <v/>
      </c>
      <c r="T1038" s="513" t="str">
        <f>IF(AD1038=1,IF(AF1038="Value is not given at all",".",IF(AF1038="Value is given by the source",S1038,IF(AF1038="Value is calculated with prices",(IF(SUMIFS(Q:Q,A:A,A1038)&gt;0,SUMIFS(Q:Q,A:A,A1038),"."))/VLOOKUP("USD",'Exchange rates'!B:C,2,0),"Error with coding"))),"")</f>
        <v/>
      </c>
      <c r="U1038" s="39" t="s">
        <v>233</v>
      </c>
      <c r="V1038" s="826" t="s">
        <v>2686</v>
      </c>
      <c r="W1038" s="376" t="s">
        <v>232</v>
      </c>
      <c r="X1038" s="376" t="s">
        <v>232</v>
      </c>
      <c r="Y1038" s="376" t="s">
        <v>232</v>
      </c>
      <c r="Z1038" s="552">
        <v>0</v>
      </c>
      <c r="AA1038" s="552">
        <v>0</v>
      </c>
      <c r="AB1038" s="41" t="s">
        <v>232</v>
      </c>
      <c r="AC1038" s="519" t="str">
        <f>""</f>
        <v/>
      </c>
      <c r="AD1038" s="522">
        <v>0</v>
      </c>
      <c r="AE1038" s="522" t="s">
        <v>2590</v>
      </c>
      <c r="AF1038" s="522" t="s">
        <v>237</v>
      </c>
      <c r="AG1038" s="522">
        <v>1</v>
      </c>
      <c r="AH1038" s="522">
        <v>8</v>
      </c>
      <c r="AI1038" s="522">
        <v>0</v>
      </c>
      <c r="AJ1038" s="520">
        <f>VLOOKUP($I1038,'Price List, Weapons &amp; Items'!A:E,5,0)</f>
        <v>0</v>
      </c>
      <c r="AK1038" s="520">
        <f t="shared" si="236"/>
        <v>0</v>
      </c>
      <c r="AL1038" s="520">
        <f t="shared" si="237"/>
        <v>0</v>
      </c>
      <c r="AM1038" s="520">
        <f t="shared" si="238"/>
        <v>0</v>
      </c>
      <c r="AN1038" s="521" t="str">
        <f>VLOOKUP($I1038,'Price List, Weapons &amp; Items'!A:K,COLUMN('Price List, Weapons &amp; Items'!$I$1),0)</f>
        <v>Contracts</v>
      </c>
      <c r="AO1038" s="521" t="str">
        <f>IF(I1038=".",".",VLOOKUP($I1038,'Price List, Weapons &amp; Items'!A:I,3,0))</f>
        <v>.</v>
      </c>
      <c r="AP1038" s="517" t="str">
        <f t="shared" ca="1" si="232"/>
        <v/>
      </c>
      <c r="AQ1038" s="521">
        <f>VLOOKUP($I1038,'Price List, Weapons &amp; Items'!A:K,COLUMN('Price List, Weapons &amp; Items'!$K$1),0)</f>
        <v>2</v>
      </c>
      <c r="AS1038" s="521">
        <f t="shared" si="239"/>
        <v>1</v>
      </c>
      <c r="AT1038" s="521">
        <f t="shared" si="240"/>
        <v>1</v>
      </c>
      <c r="AU1038" s="521">
        <f t="shared" si="241"/>
        <v>1</v>
      </c>
      <c r="AV1038" s="521" t="str">
        <f t="shared" si="242"/>
        <v>.</v>
      </c>
    </row>
    <row r="1039" spans="1:48" ht="15" customHeight="1">
      <c r="A1039" s="18" t="s">
        <v>2627</v>
      </c>
      <c r="B1039" s="46" t="s">
        <v>2548</v>
      </c>
      <c r="C1039" s="550">
        <v>44812</v>
      </c>
      <c r="D1039" s="46" t="s">
        <v>252</v>
      </c>
      <c r="E1039" s="18" t="s">
        <v>1157</v>
      </c>
      <c r="F1039" s="46" t="s">
        <v>2701</v>
      </c>
      <c r="G1039" s="39" t="s">
        <v>314</v>
      </c>
      <c r="H1039" s="563">
        <v>675000000</v>
      </c>
      <c r="I1039" s="46" t="s">
        <v>2655</v>
      </c>
      <c r="J1039" s="276" t="str">
        <f>VLOOKUP($I1039,'Price List, Weapons &amp; Items'!A:B,2,0)</f>
        <v>Ammunition for heavy weapon</v>
      </c>
      <c r="K1039" s="276" t="str">
        <f>IF(I1039=".",I1039,VLOOKUP($I1039,'Price List, Weapons &amp; Items'!A:C,3,0))</f>
        <v>227mm MLRS ammunition</v>
      </c>
      <c r="L1039" s="514">
        <f>VLOOKUP(I1039,'Price List, Weapons &amp; Items'!A:D,4,0)</f>
        <v>0</v>
      </c>
      <c r="M1039" s="46" t="s">
        <v>264</v>
      </c>
      <c r="N1039" s="46" t="s">
        <v>232</v>
      </c>
      <c r="O1039" s="516">
        <f>VLOOKUP($I1039,'Price List, Weapons &amp; Items'!A:F,6,0)</f>
        <v>150000</v>
      </c>
      <c r="P1039" s="513" t="str">
        <f t="shared" si="234"/>
        <v>.</v>
      </c>
      <c r="Q1039" s="513" t="str">
        <f t="shared" si="235"/>
        <v>.</v>
      </c>
      <c r="R1039" s="513" t="str">
        <f t="shared" si="243"/>
        <v/>
      </c>
      <c r="S1039" s="513" t="str">
        <f>IF(AND(AD1039=1,R1039&lt;&gt;".")=TRUE,R1039/VLOOKUP(G1039,'Exchange rates'!B:C,2,0),IF(R1039=".",".",""))</f>
        <v/>
      </c>
      <c r="T1039" s="513" t="str">
        <f>IF(AD1039=1,IF(AF1039="Value is not given at all",".",IF(AF1039="Value is given by the source",S1039,IF(AF1039="Value is calculated with prices",(IF(SUMIFS(Q:Q,A:A,A1039)&gt;0,SUMIFS(Q:Q,A:A,A1039),"."))/VLOOKUP("USD",'Exchange rates'!B:C,2,0),"Error with coding"))),"")</f>
        <v/>
      </c>
      <c r="U1039" s="39" t="s">
        <v>233</v>
      </c>
      <c r="V1039" s="826" t="s">
        <v>2702</v>
      </c>
      <c r="W1039" s="376" t="s">
        <v>232</v>
      </c>
      <c r="X1039" s="376" t="s">
        <v>232</v>
      </c>
      <c r="Y1039" s="376" t="s">
        <v>232</v>
      </c>
      <c r="Z1039" s="552">
        <v>0</v>
      </c>
      <c r="AA1039" s="552">
        <v>0</v>
      </c>
      <c r="AB1039" s="41" t="s">
        <v>232</v>
      </c>
      <c r="AC1039" s="519" t="str">
        <f>""</f>
        <v/>
      </c>
      <c r="AD1039" s="522">
        <v>0</v>
      </c>
      <c r="AE1039" s="522" t="s">
        <v>2590</v>
      </c>
      <c r="AF1039" s="522" t="s">
        <v>237</v>
      </c>
      <c r="AG1039" s="522">
        <v>1</v>
      </c>
      <c r="AH1039" s="522">
        <v>9</v>
      </c>
      <c r="AI1039" s="522">
        <v>0</v>
      </c>
      <c r="AJ1039" s="520">
        <f>VLOOKUP($I1039,'Price List, Weapons &amp; Items'!A:E,5,0)</f>
        <v>1</v>
      </c>
      <c r="AK1039" s="520">
        <f t="shared" si="236"/>
        <v>1</v>
      </c>
      <c r="AL1039" s="520">
        <f t="shared" si="237"/>
        <v>0</v>
      </c>
      <c r="AM1039" s="520">
        <f t="shared" si="238"/>
        <v>1</v>
      </c>
      <c r="AN1039" s="521" t="str">
        <f>VLOOKUP($I1039,'Price List, Weapons &amp; Items'!A:K,COLUMN('Price List, Weapons &amp; Items'!$I$1),0)</f>
        <v>Media reports (incl. social media)</v>
      </c>
      <c r="AO1039" s="521" t="str">
        <f>IF(I1039=".",".",VLOOKUP($I1039,'Price List, Weapons &amp; Items'!A:I,3,0))</f>
        <v>227mm MLRS ammunition</v>
      </c>
      <c r="AP1039" s="517" t="str">
        <f t="shared" ca="1" si="232"/>
        <v/>
      </c>
      <c r="AQ1039" s="521" t="str">
        <f>VLOOKUP($I1039,'Price List, Weapons &amp; Items'!A:K,COLUMN('Price List, Weapons &amp; Items'!$K$1),0)</f>
        <v>no price, 0 count</v>
      </c>
      <c r="AS1039" s="521">
        <f t="shared" si="239"/>
        <v>1</v>
      </c>
      <c r="AT1039" s="521">
        <f t="shared" si="240"/>
        <v>1</v>
      </c>
      <c r="AU1039" s="521">
        <f t="shared" si="241"/>
        <v>1</v>
      </c>
      <c r="AV1039" s="521" t="str">
        <f t="shared" si="242"/>
        <v>.</v>
      </c>
    </row>
    <row r="1040" spans="1:48" ht="15" customHeight="1">
      <c r="A1040" s="18" t="s">
        <v>2627</v>
      </c>
      <c r="B1040" s="46" t="s">
        <v>2548</v>
      </c>
      <c r="C1040" s="550">
        <v>44812</v>
      </c>
      <c r="D1040" s="46" t="s">
        <v>252</v>
      </c>
      <c r="E1040" s="18" t="s">
        <v>1157</v>
      </c>
      <c r="F1040" s="46" t="s">
        <v>2701</v>
      </c>
      <c r="G1040" s="39" t="s">
        <v>314</v>
      </c>
      <c r="H1040" s="563">
        <v>675000000</v>
      </c>
      <c r="I1040" s="46" t="s">
        <v>2687</v>
      </c>
      <c r="J1040" s="276" t="str">
        <f>VLOOKUP($I1040,'Price List, Weapons &amp; Items'!A:B,2,0)</f>
        <v>Heavy weapon</v>
      </c>
      <c r="K1040" s="276" t="str">
        <f>IF(I1040=".",I1040,VLOOKUP($I1040,'Price List, Weapons &amp; Items'!A:C,3,0))</f>
        <v>105mm howitzer</v>
      </c>
      <c r="L1040" s="514">
        <f>VLOOKUP(I1040,'Price List, Weapons &amp; Items'!A:D,4,0)</f>
        <v>0</v>
      </c>
      <c r="M1040" s="46">
        <v>4</v>
      </c>
      <c r="N1040" s="46" t="s">
        <v>232</v>
      </c>
      <c r="O1040" s="516">
        <f>VLOOKUP($I1040,'Price List, Weapons &amp; Items'!A:F,6,0)</f>
        <v>1272482.2760025531</v>
      </c>
      <c r="P1040" s="513">
        <f t="shared" si="234"/>
        <v>5089929.1040102122</v>
      </c>
      <c r="Q1040" s="513" t="str">
        <f t="shared" si="235"/>
        <v>.</v>
      </c>
      <c r="R1040" s="513" t="str">
        <f t="shared" si="243"/>
        <v/>
      </c>
      <c r="S1040" s="513" t="str">
        <f>IF(AND(AD1040=1,R1040&lt;&gt;".")=TRUE,R1040/VLOOKUP(G1040,'Exchange rates'!B:C,2,0),IF(R1040=".",".",""))</f>
        <v/>
      </c>
      <c r="T1040" s="513" t="str">
        <f>IF(AD1040=1,IF(AF1040="Value is not given at all",".",IF(AF1040="Value is given by the source",S1040,IF(AF1040="Value is calculated with prices",(IF(SUMIFS(Q:Q,A:A,A1040)&gt;0,SUMIFS(Q:Q,A:A,A1040),"."))/VLOOKUP("USD",'Exchange rates'!B:C,2,0),"Error with coding"))),"")</f>
        <v/>
      </c>
      <c r="U1040" s="39" t="s">
        <v>233</v>
      </c>
      <c r="V1040" s="826" t="s">
        <v>2702</v>
      </c>
      <c r="W1040" s="376" t="s">
        <v>232</v>
      </c>
      <c r="X1040" s="376" t="s">
        <v>232</v>
      </c>
      <c r="Y1040" s="376" t="s">
        <v>232</v>
      </c>
      <c r="Z1040" s="552">
        <v>0</v>
      </c>
      <c r="AA1040" s="552">
        <v>0</v>
      </c>
      <c r="AB1040" s="41" t="s">
        <v>232</v>
      </c>
      <c r="AC1040" s="519" t="str">
        <f>""</f>
        <v/>
      </c>
      <c r="AD1040" s="522">
        <v>0</v>
      </c>
      <c r="AE1040" s="522" t="s">
        <v>2590</v>
      </c>
      <c r="AF1040" s="522" t="s">
        <v>237</v>
      </c>
      <c r="AG1040" s="522">
        <v>1</v>
      </c>
      <c r="AH1040" s="522">
        <v>9</v>
      </c>
      <c r="AI1040" s="522">
        <v>0</v>
      </c>
      <c r="AJ1040" s="520">
        <f>VLOOKUP($I1040,'Price List, Weapons &amp; Items'!A:E,5,0)</f>
        <v>0</v>
      </c>
      <c r="AK1040" s="520">
        <f t="shared" si="236"/>
        <v>0</v>
      </c>
      <c r="AL1040" s="520">
        <f t="shared" si="237"/>
        <v>0</v>
      </c>
      <c r="AM1040" s="520">
        <f t="shared" si="238"/>
        <v>0</v>
      </c>
      <c r="AN1040" s="521" t="str">
        <f>VLOOKUP($I1040,'Price List, Weapons &amp; Items'!A:K,COLUMN('Price List, Weapons &amp; Items'!$I$1),0)</f>
        <v>Contracts</v>
      </c>
      <c r="AO1040" s="521" t="str">
        <f>IF(I1040=".",".",VLOOKUP($I1040,'Price List, Weapons &amp; Items'!A:I,3,0))</f>
        <v>105mm howitzer</v>
      </c>
      <c r="AP1040" s="517" t="str">
        <f t="shared" ca="1" si="232"/>
        <v/>
      </c>
      <c r="AQ1040" s="521">
        <f>VLOOKUP($I1040,'Price List, Weapons &amp; Items'!A:K,COLUMN('Price List, Weapons &amp; Items'!$K$1),0)</f>
        <v>2</v>
      </c>
      <c r="AS1040" s="521">
        <f t="shared" si="239"/>
        <v>1</v>
      </c>
      <c r="AT1040" s="521">
        <f t="shared" si="240"/>
        <v>1</v>
      </c>
      <c r="AU1040" s="521">
        <f t="shared" si="241"/>
        <v>1</v>
      </c>
      <c r="AV1040" s="521" t="str">
        <f t="shared" si="242"/>
        <v>.</v>
      </c>
    </row>
    <row r="1041" spans="1:48" ht="15" customHeight="1">
      <c r="A1041" s="18" t="s">
        <v>2627</v>
      </c>
      <c r="B1041" s="46" t="s">
        <v>2548</v>
      </c>
      <c r="C1041" s="550">
        <v>44812</v>
      </c>
      <c r="D1041" s="46" t="s">
        <v>252</v>
      </c>
      <c r="E1041" s="18" t="s">
        <v>1157</v>
      </c>
      <c r="F1041" s="46" t="s">
        <v>2701</v>
      </c>
      <c r="G1041" s="39" t="s">
        <v>314</v>
      </c>
      <c r="H1041" s="563">
        <v>675000000</v>
      </c>
      <c r="I1041" s="46" t="s">
        <v>2688</v>
      </c>
      <c r="J1041" s="276" t="str">
        <f>VLOOKUP($I1041,'Price List, Weapons &amp; Items'!A:B,2,0)</f>
        <v>Ammunition for heavy weapon</v>
      </c>
      <c r="K1041" s="276" t="str">
        <f>IF(I1041=".",I1041,VLOOKUP($I1041,'Price List, Weapons &amp; Items'!A:C,3,0))</f>
        <v>105mm</v>
      </c>
      <c r="L1041" s="514">
        <f>VLOOKUP(I1041,'Price List, Weapons &amp; Items'!A:D,4,0)</f>
        <v>0</v>
      </c>
      <c r="M1041" s="46">
        <v>36000</v>
      </c>
      <c r="N1041" s="46" t="s">
        <v>232</v>
      </c>
      <c r="O1041" s="516">
        <f>VLOOKUP($I1041,'Price List, Weapons &amp; Items'!A:F,6,0)</f>
        <v>400</v>
      </c>
      <c r="P1041" s="513">
        <f t="shared" si="234"/>
        <v>14400000</v>
      </c>
      <c r="Q1041" s="513" t="str">
        <f t="shared" si="235"/>
        <v>.</v>
      </c>
      <c r="R1041" s="513" t="str">
        <f t="shared" si="243"/>
        <v/>
      </c>
      <c r="S1041" s="513" t="str">
        <f>IF(AND(AD1041=1,R1041&lt;&gt;".")=TRUE,R1041/VLOOKUP(G1041,'Exchange rates'!B:C,2,0),IF(R1041=".",".",""))</f>
        <v/>
      </c>
      <c r="T1041" s="513" t="str">
        <f>IF(AD1041=1,IF(AF1041="Value is not given at all",".",IF(AF1041="Value is given by the source",S1041,IF(AF1041="Value is calculated with prices",(IF(SUMIFS(Q:Q,A:A,A1041)&gt;0,SUMIFS(Q:Q,A:A,A1041),"."))/VLOOKUP("USD",'Exchange rates'!B:C,2,0),"Error with coding"))),"")</f>
        <v/>
      </c>
      <c r="U1041" s="39" t="s">
        <v>233</v>
      </c>
      <c r="V1041" s="826" t="s">
        <v>2702</v>
      </c>
      <c r="W1041" s="376" t="s">
        <v>232</v>
      </c>
      <c r="X1041" s="376" t="s">
        <v>232</v>
      </c>
      <c r="Y1041" s="376" t="s">
        <v>232</v>
      </c>
      <c r="Z1041" s="552">
        <v>0</v>
      </c>
      <c r="AA1041" s="552">
        <v>0</v>
      </c>
      <c r="AB1041" s="41" t="s">
        <v>232</v>
      </c>
      <c r="AC1041" s="519" t="str">
        <f>""</f>
        <v/>
      </c>
      <c r="AD1041" s="522">
        <v>0</v>
      </c>
      <c r="AE1041" s="522" t="s">
        <v>2590</v>
      </c>
      <c r="AF1041" s="522" t="s">
        <v>237</v>
      </c>
      <c r="AG1041" s="522">
        <v>1</v>
      </c>
      <c r="AH1041" s="522">
        <v>9</v>
      </c>
      <c r="AI1041" s="522">
        <v>0</v>
      </c>
      <c r="AJ1041" s="520">
        <f>VLOOKUP($I1041,'Price List, Weapons &amp; Items'!A:E,5,0)</f>
        <v>0</v>
      </c>
      <c r="AK1041" s="520">
        <f t="shared" si="236"/>
        <v>0</v>
      </c>
      <c r="AL1041" s="520">
        <f t="shared" si="237"/>
        <v>0</v>
      </c>
      <c r="AM1041" s="520">
        <f t="shared" si="238"/>
        <v>0</v>
      </c>
      <c r="AN1041" s="521" t="str">
        <f>VLOOKUP($I1041,'Price List, Weapons &amp; Items'!A:K,COLUMN('Price List, Weapons &amp; Items'!$I$1),0)</f>
        <v>Military media (incl. websites)</v>
      </c>
      <c r="AO1041" s="521" t="str">
        <f>IF(I1041=".",".",VLOOKUP($I1041,'Price List, Weapons &amp; Items'!A:I,3,0))</f>
        <v>105mm</v>
      </c>
      <c r="AP1041" s="517" t="str">
        <f t="shared" ca="1" si="232"/>
        <v/>
      </c>
      <c r="AQ1041" s="521">
        <f>VLOOKUP($I1041,'Price List, Weapons &amp; Items'!A:K,COLUMN('Price List, Weapons &amp; Items'!$K$1),0)</f>
        <v>2</v>
      </c>
      <c r="AS1041" s="521">
        <f t="shared" si="239"/>
        <v>1</v>
      </c>
      <c r="AT1041" s="521">
        <f t="shared" si="240"/>
        <v>1</v>
      </c>
      <c r="AU1041" s="521">
        <f t="shared" si="241"/>
        <v>1</v>
      </c>
      <c r="AV1041" s="521" t="str">
        <f t="shared" si="242"/>
        <v>.</v>
      </c>
    </row>
    <row r="1042" spans="1:48" ht="15" customHeight="1">
      <c r="A1042" s="18" t="s">
        <v>2627</v>
      </c>
      <c r="B1042" s="46" t="s">
        <v>2548</v>
      </c>
      <c r="C1042" s="550">
        <v>44812</v>
      </c>
      <c r="D1042" s="46" t="s">
        <v>252</v>
      </c>
      <c r="E1042" s="18" t="s">
        <v>1157</v>
      </c>
      <c r="F1042" s="46" t="s">
        <v>2701</v>
      </c>
      <c r="G1042" s="39" t="s">
        <v>314</v>
      </c>
      <c r="H1042" s="563">
        <v>675000000</v>
      </c>
      <c r="I1042" s="46" t="s">
        <v>2691</v>
      </c>
      <c r="J1042" s="276" t="str">
        <f>VLOOKUP($I1042,'Price List, Weapons &amp; Items'!A:B,2,0)</f>
        <v>Ammunition for heavy weapon</v>
      </c>
      <c r="K1042" s="276" t="str">
        <f>IF(I1042=".",I1042,VLOOKUP($I1042,'Price List, Weapons &amp; Items'!A:C,3,0))</f>
        <v>.</v>
      </c>
      <c r="L1042" s="514">
        <f>VLOOKUP(I1042,'Price List, Weapons &amp; Items'!A:D,4,0)</f>
        <v>0</v>
      </c>
      <c r="M1042" s="46" t="s">
        <v>264</v>
      </c>
      <c r="N1042" s="46" t="s">
        <v>232</v>
      </c>
      <c r="O1042" s="516">
        <f>VLOOKUP($I1042,'Price List, Weapons &amp; Items'!A:F,6,0)</f>
        <v>557000</v>
      </c>
      <c r="P1042" s="513" t="str">
        <f t="shared" si="234"/>
        <v>.</v>
      </c>
      <c r="Q1042" s="513" t="str">
        <f t="shared" si="235"/>
        <v>.</v>
      </c>
      <c r="R1042" s="513" t="str">
        <f t="shared" si="243"/>
        <v/>
      </c>
      <c r="S1042" s="513" t="str">
        <f>IF(AND(AD1042=1,R1042&lt;&gt;".")=TRUE,R1042/VLOOKUP(G1042,'Exchange rates'!B:C,2,0),IF(R1042=".",".",""))</f>
        <v/>
      </c>
      <c r="T1042" s="513" t="str">
        <f>IF(AD1042=1,IF(AF1042="Value is not given at all",".",IF(AF1042="Value is given by the source",S1042,IF(AF1042="Value is calculated with prices",(IF(SUMIFS(Q:Q,A:A,A1042)&gt;0,SUMIFS(Q:Q,A:A,A1042),"."))/VLOOKUP("USD",'Exchange rates'!B:C,2,0),"Error with coding"))),"")</f>
        <v/>
      </c>
      <c r="U1042" s="39" t="s">
        <v>233</v>
      </c>
      <c r="V1042" s="826" t="s">
        <v>2702</v>
      </c>
      <c r="W1042" s="376" t="s">
        <v>232</v>
      </c>
      <c r="X1042" s="376" t="s">
        <v>232</v>
      </c>
      <c r="Y1042" s="376" t="s">
        <v>232</v>
      </c>
      <c r="Z1042" s="552">
        <v>0</v>
      </c>
      <c r="AA1042" s="552">
        <v>0</v>
      </c>
      <c r="AB1042" s="41" t="s">
        <v>232</v>
      </c>
      <c r="AC1042" s="519" t="str">
        <f>""</f>
        <v/>
      </c>
      <c r="AD1042" s="522">
        <v>0</v>
      </c>
      <c r="AE1042" s="522" t="s">
        <v>2590</v>
      </c>
      <c r="AF1042" s="522" t="s">
        <v>237</v>
      </c>
      <c r="AG1042" s="522">
        <v>1</v>
      </c>
      <c r="AH1042" s="522">
        <v>9</v>
      </c>
      <c r="AI1042" s="522">
        <v>0</v>
      </c>
      <c r="AJ1042" s="520">
        <f>VLOOKUP($I1042,'Price List, Weapons &amp; Items'!A:E,5,0)</f>
        <v>0</v>
      </c>
      <c r="AK1042" s="520">
        <f t="shared" si="236"/>
        <v>0</v>
      </c>
      <c r="AL1042" s="520">
        <f t="shared" si="237"/>
        <v>0</v>
      </c>
      <c r="AM1042" s="520">
        <f t="shared" si="238"/>
        <v>0</v>
      </c>
      <c r="AN1042" s="521" t="str">
        <f>VLOOKUP($I1042,'Price List, Weapons &amp; Items'!A:K,COLUMN('Price List, Weapons &amp; Items'!$I$1),0)</f>
        <v>Miscellaneous</v>
      </c>
      <c r="AO1042" s="521" t="str">
        <f>IF(I1042=".",".",VLOOKUP($I1042,'Price List, Weapons &amp; Items'!A:I,3,0))</f>
        <v>.</v>
      </c>
      <c r="AP1042" s="517" t="str">
        <f t="shared" ca="1" si="232"/>
        <v/>
      </c>
      <c r="AQ1042" s="521" t="str">
        <f>VLOOKUP($I1042,'Price List, Weapons &amp; Items'!A:K,COLUMN('Price List, Weapons &amp; Items'!$K$1),0)</f>
        <v>no price, 0 count</v>
      </c>
      <c r="AS1042" s="521">
        <f t="shared" si="239"/>
        <v>1</v>
      </c>
      <c r="AT1042" s="521">
        <f t="shared" si="240"/>
        <v>1</v>
      </c>
      <c r="AU1042" s="521">
        <f t="shared" si="241"/>
        <v>1</v>
      </c>
      <c r="AV1042" s="521" t="str">
        <f t="shared" si="242"/>
        <v>.</v>
      </c>
    </row>
    <row r="1043" spans="1:48" ht="15" customHeight="1">
      <c r="A1043" s="18" t="s">
        <v>2627</v>
      </c>
      <c r="B1043" s="46" t="s">
        <v>2548</v>
      </c>
      <c r="C1043" s="550">
        <v>44812</v>
      </c>
      <c r="D1043" s="46" t="s">
        <v>252</v>
      </c>
      <c r="E1043" s="18" t="s">
        <v>1157</v>
      </c>
      <c r="F1043" s="46" t="s">
        <v>2701</v>
      </c>
      <c r="G1043" s="39" t="s">
        <v>314</v>
      </c>
      <c r="H1043" s="563">
        <v>675000000</v>
      </c>
      <c r="I1043" s="46" t="s">
        <v>2703</v>
      </c>
      <c r="J1043" s="276" t="str">
        <f>VLOOKUP($I1043,'Price List, Weapons &amp; Items'!A:B,2,0)</f>
        <v>Heavy weapon</v>
      </c>
      <c r="K1043" s="276" t="str">
        <f>IF(I1043=".",I1043,VLOOKUP($I1043,'Price List, Weapons &amp; Items'!A:C,3,0))</f>
        <v>Armoured Utility Vehicle (AUV)</v>
      </c>
      <c r="L1043" s="514">
        <f>VLOOKUP(I1043,'Price List, Weapons &amp; Items'!A:D,4,0)</f>
        <v>0</v>
      </c>
      <c r="M1043" s="46">
        <v>100</v>
      </c>
      <c r="N1043" s="46" t="s">
        <v>232</v>
      </c>
      <c r="O1043" s="516">
        <f>VLOOKUP($I1043,'Price List, Weapons &amp; Items'!A:F,6,0)</f>
        <v>254717</v>
      </c>
      <c r="P1043" s="513">
        <f t="shared" si="234"/>
        <v>25471700</v>
      </c>
      <c r="Q1043" s="513" t="str">
        <f t="shared" si="235"/>
        <v>.</v>
      </c>
      <c r="R1043" s="513" t="str">
        <f t="shared" si="243"/>
        <v/>
      </c>
      <c r="S1043" s="513" t="str">
        <f>IF(AND(AD1043=1,R1043&lt;&gt;".")=TRUE,R1043/VLOOKUP(G1043,'Exchange rates'!B:C,2,0),IF(R1043=".",".",""))</f>
        <v/>
      </c>
      <c r="T1043" s="513" t="str">
        <f>IF(AD1043=1,IF(AF1043="Value is not given at all",".",IF(AF1043="Value is given by the source",S1043,IF(AF1043="Value is calculated with prices",(IF(SUMIFS(Q:Q,A:A,A1043)&gt;0,SUMIFS(Q:Q,A:A,A1043),"."))/VLOOKUP("USD",'Exchange rates'!B:C,2,0),"Error with coding"))),"")</f>
        <v/>
      </c>
      <c r="U1043" s="39" t="s">
        <v>233</v>
      </c>
      <c r="V1043" s="826" t="s">
        <v>2702</v>
      </c>
      <c r="W1043" s="376" t="s">
        <v>232</v>
      </c>
      <c r="X1043" s="376" t="s">
        <v>232</v>
      </c>
      <c r="Y1043" s="376" t="s">
        <v>232</v>
      </c>
      <c r="Z1043" s="552">
        <v>0</v>
      </c>
      <c r="AA1043" s="552">
        <v>0</v>
      </c>
      <c r="AB1043" s="41" t="s">
        <v>232</v>
      </c>
      <c r="AC1043" s="519" t="str">
        <f>""</f>
        <v/>
      </c>
      <c r="AD1043" s="522">
        <v>0</v>
      </c>
      <c r="AE1043" s="522" t="s">
        <v>2590</v>
      </c>
      <c r="AF1043" s="522" t="s">
        <v>237</v>
      </c>
      <c r="AG1043" s="522">
        <v>1</v>
      </c>
      <c r="AH1043" s="522">
        <v>9</v>
      </c>
      <c r="AI1043" s="522">
        <v>0</v>
      </c>
      <c r="AJ1043" s="520">
        <f>VLOOKUP($I1043,'Price List, Weapons &amp; Items'!A:E,5,0)</f>
        <v>1</v>
      </c>
      <c r="AK1043" s="520">
        <f t="shared" si="236"/>
        <v>0</v>
      </c>
      <c r="AL1043" s="520">
        <f t="shared" si="237"/>
        <v>0</v>
      </c>
      <c r="AM1043" s="520">
        <f t="shared" si="238"/>
        <v>0</v>
      </c>
      <c r="AN1043" s="521" t="str">
        <f>VLOOKUP($I1043,'Price List, Weapons &amp; Items'!A:K,COLUMN('Price List, Weapons &amp; Items'!$I$1),0)</f>
        <v>Military media (incl. websites)</v>
      </c>
      <c r="AO1043" s="521" t="str">
        <f>IF(I1043=".",".",VLOOKUP($I1043,'Price List, Weapons &amp; Items'!A:I,3,0))</f>
        <v>Armoured Utility Vehicle (AUV)</v>
      </c>
      <c r="AP1043" s="517" t="str">
        <f t="shared" ca="1" si="232"/>
        <v/>
      </c>
      <c r="AQ1043" s="521">
        <f>VLOOKUP($I1043,'Price List, Weapons &amp; Items'!A:K,COLUMN('Price List, Weapons &amp; Items'!$K$1),0)</f>
        <v>2</v>
      </c>
      <c r="AS1043" s="521">
        <f t="shared" si="239"/>
        <v>1</v>
      </c>
      <c r="AT1043" s="521">
        <f t="shared" si="240"/>
        <v>1</v>
      </c>
      <c r="AU1043" s="521">
        <f t="shared" si="241"/>
        <v>1</v>
      </c>
      <c r="AV1043" s="521" t="str">
        <f t="shared" si="242"/>
        <v>.</v>
      </c>
    </row>
    <row r="1044" spans="1:48" ht="15" customHeight="1">
      <c r="A1044" s="18" t="s">
        <v>2627</v>
      </c>
      <c r="B1044" s="46" t="s">
        <v>2548</v>
      </c>
      <c r="C1044" s="550">
        <v>44812</v>
      </c>
      <c r="D1044" s="46" t="s">
        <v>252</v>
      </c>
      <c r="E1044" s="18" t="s">
        <v>1157</v>
      </c>
      <c r="F1044" s="46" t="s">
        <v>2701</v>
      </c>
      <c r="G1044" s="39" t="s">
        <v>314</v>
      </c>
      <c r="H1044" s="563">
        <v>675000000</v>
      </c>
      <c r="I1044" s="46" t="s">
        <v>2704</v>
      </c>
      <c r="J1044" s="276" t="str">
        <f>VLOOKUP($I1044,'Price List, Weapons &amp; Items'!A:B,2,0)</f>
        <v>Ammunition for light infantry</v>
      </c>
      <c r="K1044" s="276" t="str">
        <f>IF(I1044=".",I1044,VLOOKUP($I1044,'Price List, Weapons &amp; Items'!A:C,3,0))</f>
        <v>Small Arms and Light Weapons (SALW) ammunition</v>
      </c>
      <c r="L1044" s="514">
        <f>VLOOKUP(I1044,'Price List, Weapons &amp; Items'!A:D,4,0)</f>
        <v>0</v>
      </c>
      <c r="M1044" s="46">
        <v>15000000</v>
      </c>
      <c r="N1044" s="46" t="s">
        <v>232</v>
      </c>
      <c r="O1044" s="516" t="str">
        <f>VLOOKUP($I1044,'Price List, Weapons &amp; Items'!A:F,6,0)</f>
        <v>.</v>
      </c>
      <c r="P1044" s="513" t="str">
        <f t="shared" si="234"/>
        <v>No price</v>
      </c>
      <c r="Q1044" s="513" t="str">
        <f t="shared" si="235"/>
        <v>.</v>
      </c>
      <c r="R1044" s="513" t="str">
        <f t="shared" si="243"/>
        <v/>
      </c>
      <c r="S1044" s="513" t="str">
        <f>IF(AND(AD1044=1,R1044&lt;&gt;".")=TRUE,R1044/VLOOKUP(G1044,'Exchange rates'!B:C,2,0),IF(R1044=".",".",""))</f>
        <v/>
      </c>
      <c r="T1044" s="513" t="str">
        <f>IF(AD1044=1,IF(AF1044="Value is not given at all",".",IF(AF1044="Value is given by the source",S1044,IF(AF1044="Value is calculated with prices",(IF(SUMIFS(Q:Q,A:A,A1044)&gt;0,SUMIFS(Q:Q,A:A,A1044),"."))/VLOOKUP("USD",'Exchange rates'!B:C,2,0),"Error with coding"))),"")</f>
        <v/>
      </c>
      <c r="U1044" s="39" t="s">
        <v>233</v>
      </c>
      <c r="V1044" s="826" t="s">
        <v>2702</v>
      </c>
      <c r="W1044" s="376" t="s">
        <v>232</v>
      </c>
      <c r="X1044" s="376" t="s">
        <v>232</v>
      </c>
      <c r="Y1044" s="376" t="s">
        <v>232</v>
      </c>
      <c r="Z1044" s="552">
        <v>0</v>
      </c>
      <c r="AA1044" s="552">
        <v>0</v>
      </c>
      <c r="AB1044" s="41" t="s">
        <v>232</v>
      </c>
      <c r="AC1044" s="519" t="str">
        <f>""</f>
        <v/>
      </c>
      <c r="AD1044" s="522">
        <v>0</v>
      </c>
      <c r="AE1044" s="522" t="s">
        <v>2590</v>
      </c>
      <c r="AF1044" s="522" t="s">
        <v>237</v>
      </c>
      <c r="AG1044" s="522">
        <v>1</v>
      </c>
      <c r="AH1044" s="522">
        <v>9</v>
      </c>
      <c r="AI1044" s="522">
        <v>0</v>
      </c>
      <c r="AJ1044" s="520">
        <f>VLOOKUP($I1044,'Price List, Weapons &amp; Items'!A:E,5,0)</f>
        <v>0</v>
      </c>
      <c r="AK1044" s="520">
        <f t="shared" si="236"/>
        <v>0</v>
      </c>
      <c r="AL1044" s="520">
        <f t="shared" si="237"/>
        <v>0</v>
      </c>
      <c r="AM1044" s="520">
        <f t="shared" si="238"/>
        <v>1</v>
      </c>
      <c r="AN1044" s="521" t="str">
        <f>VLOOKUP($I1044,'Price List, Weapons &amp; Items'!A:K,COLUMN('Price List, Weapons &amp; Items'!$I$1),0)</f>
        <v>.</v>
      </c>
      <c r="AO1044" s="521" t="str">
        <f>IF(I1044=".",".",VLOOKUP($I1044,'Price List, Weapons &amp; Items'!A:I,3,0))</f>
        <v>Small Arms and Light Weapons (SALW) ammunition</v>
      </c>
      <c r="AP1044" s="517" t="str">
        <f t="shared" ca="1" si="232"/>
        <v/>
      </c>
      <c r="AQ1044" s="521">
        <f>VLOOKUP($I1044,'Price List, Weapons &amp; Items'!A:K,COLUMN('Price List, Weapons &amp; Items'!$K$1),0)</f>
        <v>0</v>
      </c>
      <c r="AS1044" s="521">
        <f t="shared" si="239"/>
        <v>1</v>
      </c>
      <c r="AT1044" s="521">
        <f t="shared" si="240"/>
        <v>1</v>
      </c>
      <c r="AU1044" s="521">
        <f t="shared" si="241"/>
        <v>1</v>
      </c>
      <c r="AV1044" s="521" t="str">
        <f t="shared" si="242"/>
        <v>.</v>
      </c>
    </row>
    <row r="1045" spans="1:48" ht="15" customHeight="1">
      <c r="A1045" s="18" t="s">
        <v>2627</v>
      </c>
      <c r="B1045" s="46" t="s">
        <v>2548</v>
      </c>
      <c r="C1045" s="550">
        <v>44812</v>
      </c>
      <c r="D1045" s="46" t="s">
        <v>252</v>
      </c>
      <c r="E1045" s="18" t="s">
        <v>1157</v>
      </c>
      <c r="F1045" s="46" t="s">
        <v>2701</v>
      </c>
      <c r="G1045" s="39" t="s">
        <v>314</v>
      </c>
      <c r="H1045" s="563">
        <v>675000000</v>
      </c>
      <c r="I1045" s="46" t="s">
        <v>2611</v>
      </c>
      <c r="J1045" s="276" t="str">
        <f>VLOOKUP($I1045,'Price List, Weapons &amp; Items'!A:B,2,0)</f>
        <v>Portable defence system</v>
      </c>
      <c r="K1045" s="276" t="str">
        <f>IF(I1045=".",I1045,VLOOKUP($I1045,'Price List, Weapons &amp; Items'!A:C,3,0))</f>
        <v>Light Anti-armor Weapon (LAW)</v>
      </c>
      <c r="L1045" s="514">
        <f>VLOOKUP(I1045,'Price List, Weapons &amp; Items'!A:D,4,0)</f>
        <v>0</v>
      </c>
      <c r="M1045" s="46">
        <v>5000</v>
      </c>
      <c r="N1045" s="46" t="s">
        <v>232</v>
      </c>
      <c r="O1045" s="516">
        <f>VLOOKUP($I1045,'Price List, Weapons &amp; Items'!A:F,6,0)</f>
        <v>78000</v>
      </c>
      <c r="P1045" s="513">
        <f t="shared" si="234"/>
        <v>390000000</v>
      </c>
      <c r="Q1045" s="513" t="str">
        <f t="shared" si="235"/>
        <v>.</v>
      </c>
      <c r="R1045" s="513" t="str">
        <f t="shared" si="243"/>
        <v/>
      </c>
      <c r="S1045" s="513" t="str">
        <f>IF(AND(AD1045=1,R1045&lt;&gt;".")=TRUE,R1045/VLOOKUP(G1045,'Exchange rates'!B:C,2,0),IF(R1045=".",".",""))</f>
        <v/>
      </c>
      <c r="T1045" s="513" t="str">
        <f>IF(AD1045=1,IF(AF1045="Value is not given at all",".",IF(AF1045="Value is given by the source",S1045,IF(AF1045="Value is calculated with prices",(IF(SUMIFS(Q:Q,A:A,A1045)&gt;0,SUMIFS(Q:Q,A:A,A1045),"."))/VLOOKUP("USD",'Exchange rates'!B:C,2,0),"Error with coding"))),"")</f>
        <v/>
      </c>
      <c r="U1045" s="39" t="s">
        <v>233</v>
      </c>
      <c r="V1045" s="826" t="s">
        <v>2702</v>
      </c>
      <c r="W1045" s="376" t="s">
        <v>232</v>
      </c>
      <c r="X1045" s="376" t="s">
        <v>232</v>
      </c>
      <c r="Y1045" s="376" t="s">
        <v>232</v>
      </c>
      <c r="Z1045" s="552">
        <v>0</v>
      </c>
      <c r="AA1045" s="552">
        <v>0</v>
      </c>
      <c r="AB1045" s="41" t="s">
        <v>232</v>
      </c>
      <c r="AC1045" s="519" t="str">
        <f>""</f>
        <v/>
      </c>
      <c r="AD1045" s="522">
        <v>0</v>
      </c>
      <c r="AE1045" s="522" t="s">
        <v>2590</v>
      </c>
      <c r="AF1045" s="522" t="s">
        <v>237</v>
      </c>
      <c r="AG1045" s="522">
        <v>1</v>
      </c>
      <c r="AH1045" s="522">
        <v>9</v>
      </c>
      <c r="AI1045" s="522">
        <v>0</v>
      </c>
      <c r="AJ1045" s="520">
        <f>VLOOKUP($I1045,'Price List, Weapons &amp; Items'!A:E,5,0)</f>
        <v>0</v>
      </c>
      <c r="AK1045" s="520">
        <f t="shared" si="236"/>
        <v>0</v>
      </c>
      <c r="AL1045" s="520">
        <f t="shared" si="237"/>
        <v>0</v>
      </c>
      <c r="AM1045" s="520">
        <f t="shared" si="238"/>
        <v>0</v>
      </c>
      <c r="AN1045" s="521" t="str">
        <f>VLOOKUP($I1045,'Price List, Weapons &amp; Items'!A:K,COLUMN('Price List, Weapons &amp; Items'!$I$1),0)</f>
        <v>Military media (incl. websites)</v>
      </c>
      <c r="AO1045" s="521" t="str">
        <f>IF(I1045=".",".",VLOOKUP($I1045,'Price List, Weapons &amp; Items'!A:I,3,0))</f>
        <v>Light Anti-armor Weapon (LAW)</v>
      </c>
      <c r="AP1045" s="517" t="str">
        <f t="shared" ca="1" si="232"/>
        <v/>
      </c>
      <c r="AQ1045" s="521">
        <f>VLOOKUP($I1045,'Price List, Weapons &amp; Items'!A:K,COLUMN('Price List, Weapons &amp; Items'!$K$1),0)</f>
        <v>2</v>
      </c>
      <c r="AS1045" s="521">
        <f t="shared" si="239"/>
        <v>1</v>
      </c>
      <c r="AT1045" s="521">
        <f t="shared" si="240"/>
        <v>1</v>
      </c>
      <c r="AU1045" s="521">
        <f t="shared" si="241"/>
        <v>1</v>
      </c>
      <c r="AV1045" s="521" t="str">
        <f t="shared" si="242"/>
        <v>.</v>
      </c>
    </row>
    <row r="1046" spans="1:48" ht="15" customHeight="1">
      <c r="A1046" s="18" t="s">
        <v>2627</v>
      </c>
      <c r="B1046" s="46" t="s">
        <v>2548</v>
      </c>
      <c r="C1046" s="550">
        <v>44812</v>
      </c>
      <c r="D1046" s="46" t="s">
        <v>252</v>
      </c>
      <c r="E1046" s="18" t="s">
        <v>1157</v>
      </c>
      <c r="F1046" s="46" t="s">
        <v>2701</v>
      </c>
      <c r="G1046" s="39" t="s">
        <v>314</v>
      </c>
      <c r="H1046" s="563">
        <v>675000000</v>
      </c>
      <c r="I1046" s="46" t="s">
        <v>2705</v>
      </c>
      <c r="J1046" s="276" t="str">
        <f>VLOOKUP($I1046,'Price List, Weapons &amp; Items'!A:B,2,0)</f>
        <v>Ammunition for heavy weapon</v>
      </c>
      <c r="K1046" s="276" t="str">
        <f>IF(I1046=".",I1046,VLOOKUP($I1046,'Price List, Weapons &amp; Items'!A:C,3,0))</f>
        <v>155mm howitzer ammunition</v>
      </c>
      <c r="L1046" s="514">
        <f>VLOOKUP(I1046,'Price List, Weapons &amp; Items'!A:D,4,0)</f>
        <v>0</v>
      </c>
      <c r="M1046" s="46">
        <v>1000</v>
      </c>
      <c r="N1046" s="46" t="s">
        <v>232</v>
      </c>
      <c r="O1046" s="516" t="str">
        <f>VLOOKUP($I1046,'Price List, Weapons &amp; Items'!A:F,6,0)</f>
        <v>.</v>
      </c>
      <c r="P1046" s="513" t="str">
        <f t="shared" si="234"/>
        <v>No price</v>
      </c>
      <c r="Q1046" s="513" t="str">
        <f t="shared" si="235"/>
        <v>.</v>
      </c>
      <c r="R1046" s="513" t="str">
        <f t="shared" si="243"/>
        <v/>
      </c>
      <c r="S1046" s="513" t="str">
        <f>IF(AND(AD1046=1,R1046&lt;&gt;".")=TRUE,R1046/VLOOKUP(G1046,'Exchange rates'!B:C,2,0),IF(R1046=".",".",""))</f>
        <v/>
      </c>
      <c r="T1046" s="513" t="str">
        <f>IF(AD1046=1,IF(AF1046="Value is not given at all",".",IF(AF1046="Value is given by the source",S1046,IF(AF1046="Value is calculated with prices",(IF(SUMIFS(Q:Q,A:A,A1046)&gt;0,SUMIFS(Q:Q,A:A,A1046),"."))/VLOOKUP("USD",'Exchange rates'!B:C,2,0),"Error with coding"))),"")</f>
        <v/>
      </c>
      <c r="U1046" s="39" t="s">
        <v>233</v>
      </c>
      <c r="V1046" s="826" t="s">
        <v>2702</v>
      </c>
      <c r="W1046" s="376" t="s">
        <v>232</v>
      </c>
      <c r="X1046" s="376" t="s">
        <v>232</v>
      </c>
      <c r="Y1046" s="376" t="s">
        <v>232</v>
      </c>
      <c r="Z1046" s="552">
        <v>0</v>
      </c>
      <c r="AA1046" s="552">
        <v>0</v>
      </c>
      <c r="AB1046" s="41" t="s">
        <v>232</v>
      </c>
      <c r="AC1046" s="519" t="str">
        <f>""</f>
        <v/>
      </c>
      <c r="AD1046" s="522">
        <v>0</v>
      </c>
      <c r="AE1046" s="522" t="s">
        <v>2590</v>
      </c>
      <c r="AF1046" s="522" t="s">
        <v>237</v>
      </c>
      <c r="AG1046" s="522">
        <v>1</v>
      </c>
      <c r="AH1046" s="522">
        <v>9</v>
      </c>
      <c r="AI1046" s="522">
        <v>0</v>
      </c>
      <c r="AJ1046" s="520">
        <f>VLOOKUP($I1046,'Price List, Weapons &amp; Items'!A:E,5,0)</f>
        <v>1</v>
      </c>
      <c r="AK1046" s="520">
        <f t="shared" si="236"/>
        <v>0</v>
      </c>
      <c r="AL1046" s="520">
        <f t="shared" si="237"/>
        <v>0</v>
      </c>
      <c r="AM1046" s="520">
        <f t="shared" si="238"/>
        <v>0</v>
      </c>
      <c r="AN1046" s="521" t="str">
        <f>VLOOKUP($I1046,'Price List, Weapons &amp; Items'!A:K,COLUMN('Price List, Weapons &amp; Items'!$I$1),0)</f>
        <v>.</v>
      </c>
      <c r="AO1046" s="521" t="str">
        <f>IF(I1046=".",".",VLOOKUP($I1046,'Price List, Weapons &amp; Items'!A:I,3,0))</f>
        <v>155mm howitzer ammunition</v>
      </c>
      <c r="AP1046" s="517" t="str">
        <f t="shared" ca="1" si="232"/>
        <v/>
      </c>
      <c r="AQ1046" s="521">
        <f>VLOOKUP($I1046,'Price List, Weapons &amp; Items'!A:K,COLUMN('Price List, Weapons &amp; Items'!$K$1),0)</f>
        <v>0</v>
      </c>
      <c r="AS1046" s="521">
        <f t="shared" si="239"/>
        <v>1</v>
      </c>
      <c r="AT1046" s="521">
        <f t="shared" si="240"/>
        <v>1</v>
      </c>
      <c r="AU1046" s="521">
        <f t="shared" si="241"/>
        <v>1</v>
      </c>
      <c r="AV1046" s="521" t="str">
        <f t="shared" si="242"/>
        <v>.</v>
      </c>
    </row>
    <row r="1047" spans="1:48" ht="15" customHeight="1">
      <c r="A1047" s="18" t="s">
        <v>2627</v>
      </c>
      <c r="B1047" s="46" t="s">
        <v>2548</v>
      </c>
      <c r="C1047" s="550">
        <v>44812</v>
      </c>
      <c r="D1047" s="46" t="s">
        <v>252</v>
      </c>
      <c r="E1047" s="18" t="s">
        <v>1157</v>
      </c>
      <c r="F1047" s="46" t="s">
        <v>2701</v>
      </c>
      <c r="G1047" s="39" t="s">
        <v>314</v>
      </c>
      <c r="H1047" s="563">
        <v>675000000</v>
      </c>
      <c r="I1047" s="46" t="s">
        <v>2706</v>
      </c>
      <c r="J1047" s="276" t="str">
        <f>VLOOKUP($I1047,'Price List, Weapons &amp; Items'!A:B,2,0)</f>
        <v>Light armaments &amp; infantry</v>
      </c>
      <c r="K1047" s="276" t="str">
        <f>IF(I1047=".",I1047,VLOOKUP($I1047,'Price List, Weapons &amp; Items'!A:C,3,0))</f>
        <v>Light Anti-armor Weapon (LAW)</v>
      </c>
      <c r="L1047" s="514">
        <f>VLOOKUP(I1047,'Price List, Weapons &amp; Items'!A:D,4,0)</f>
        <v>0</v>
      </c>
      <c r="M1047" s="46" t="s">
        <v>264</v>
      </c>
      <c r="N1047" s="46" t="s">
        <v>232</v>
      </c>
      <c r="O1047" s="516">
        <f>VLOOKUP($I1047,'Price List, Weapons &amp; Items'!A:F,6,0)</f>
        <v>2099</v>
      </c>
      <c r="P1047" s="513" t="str">
        <f t="shared" si="234"/>
        <v>.</v>
      </c>
      <c r="Q1047" s="513" t="str">
        <f t="shared" si="235"/>
        <v>.</v>
      </c>
      <c r="R1047" s="513" t="str">
        <f t="shared" si="243"/>
        <v/>
      </c>
      <c r="S1047" s="513" t="str">
        <f>IF(AND(AD1047=1,R1047&lt;&gt;".")=TRUE,R1047/VLOOKUP(G1047,'Exchange rates'!B:C,2,0),IF(R1047=".",".",""))</f>
        <v/>
      </c>
      <c r="T1047" s="513" t="str">
        <f>IF(AD1047=1,IF(AF1047="Value is not given at all",".",IF(AF1047="Value is given by the source",S1047,IF(AF1047="Value is calculated with prices",(IF(SUMIFS(Q:Q,A:A,A1047)&gt;0,SUMIFS(Q:Q,A:A,A1047),"."))/VLOOKUP("USD",'Exchange rates'!B:C,2,0),"Error with coding"))),"")</f>
        <v/>
      </c>
      <c r="U1047" s="39" t="s">
        <v>233</v>
      </c>
      <c r="V1047" s="826" t="s">
        <v>2702</v>
      </c>
      <c r="W1047" s="376" t="s">
        <v>232</v>
      </c>
      <c r="X1047" s="376" t="s">
        <v>232</v>
      </c>
      <c r="Y1047" s="376" t="s">
        <v>232</v>
      </c>
      <c r="Z1047" s="552">
        <v>0</v>
      </c>
      <c r="AA1047" s="552">
        <v>0</v>
      </c>
      <c r="AB1047" s="41" t="s">
        <v>232</v>
      </c>
      <c r="AC1047" s="519" t="str">
        <f>""</f>
        <v/>
      </c>
      <c r="AD1047" s="522">
        <v>0</v>
      </c>
      <c r="AE1047" s="522" t="s">
        <v>2590</v>
      </c>
      <c r="AF1047" s="522" t="s">
        <v>237</v>
      </c>
      <c r="AG1047" s="522">
        <v>1</v>
      </c>
      <c r="AH1047" s="522">
        <v>9</v>
      </c>
      <c r="AI1047" s="522">
        <v>0</v>
      </c>
      <c r="AJ1047" s="520">
        <f>VLOOKUP($I1047,'Price List, Weapons &amp; Items'!A:E,5,0)</f>
        <v>0</v>
      </c>
      <c r="AK1047" s="520">
        <f t="shared" si="236"/>
        <v>0</v>
      </c>
      <c r="AL1047" s="520">
        <f t="shared" si="237"/>
        <v>0</v>
      </c>
      <c r="AM1047" s="520">
        <f t="shared" si="238"/>
        <v>0</v>
      </c>
      <c r="AN1047" s="521" t="str">
        <f>VLOOKUP($I1047,'Price List, Weapons &amp; Items'!A:K,COLUMN('Price List, Weapons &amp; Items'!$I$1),0)</f>
        <v>Media reports (incl. social media)</v>
      </c>
      <c r="AO1047" s="521" t="str">
        <f>IF(I1047=".",".",VLOOKUP($I1047,'Price List, Weapons &amp; Items'!A:I,3,0))</f>
        <v>Light Anti-armor Weapon (LAW)</v>
      </c>
      <c r="AP1047" s="517" t="str">
        <f t="shared" ca="1" si="232"/>
        <v/>
      </c>
      <c r="AQ1047" s="521" t="str">
        <f>VLOOKUP($I1047,'Price List, Weapons &amp; Items'!A:K,COLUMN('Price List, Weapons &amp; Items'!$K$1),0)</f>
        <v>no price, 0 count</v>
      </c>
      <c r="AS1047" s="521">
        <f t="shared" si="239"/>
        <v>1</v>
      </c>
      <c r="AT1047" s="521">
        <f t="shared" si="240"/>
        <v>1</v>
      </c>
      <c r="AU1047" s="521">
        <f t="shared" si="241"/>
        <v>1</v>
      </c>
      <c r="AV1047" s="521" t="str">
        <f t="shared" si="242"/>
        <v>.</v>
      </c>
    </row>
    <row r="1048" spans="1:48" ht="15" customHeight="1">
      <c r="A1048" s="18" t="s">
        <v>2627</v>
      </c>
      <c r="B1048" s="46" t="s">
        <v>2548</v>
      </c>
      <c r="C1048" s="550">
        <v>44812</v>
      </c>
      <c r="D1048" s="46" t="s">
        <v>252</v>
      </c>
      <c r="E1048" s="18" t="s">
        <v>1157</v>
      </c>
      <c r="F1048" s="46" t="s">
        <v>2701</v>
      </c>
      <c r="G1048" s="39" t="s">
        <v>314</v>
      </c>
      <c r="H1048" s="563">
        <v>675000000</v>
      </c>
      <c r="I1048" s="46" t="s">
        <v>2682</v>
      </c>
      <c r="J1048" s="276" t="str">
        <f>VLOOKUP($I1048,'Price List, Weapons &amp; Items'!A:B,2,0)</f>
        <v>Military equipment</v>
      </c>
      <c r="K1048" s="276" t="str">
        <f>IF(I1048=".",I1048,VLOOKUP($I1048,'Price List, Weapons &amp; Items'!A:C,3,0))</f>
        <v>.</v>
      </c>
      <c r="L1048" s="514">
        <f>VLOOKUP(I1048,'Price List, Weapons &amp; Items'!A:D,4,0)</f>
        <v>0</v>
      </c>
      <c r="M1048" s="46">
        <v>50</v>
      </c>
      <c r="N1048" s="46" t="s">
        <v>232</v>
      </c>
      <c r="O1048" s="516" t="str">
        <f>VLOOKUP($I1048,'Price List, Weapons &amp; Items'!A:F,6,0)</f>
        <v>.</v>
      </c>
      <c r="P1048" s="513" t="str">
        <f t="shared" si="234"/>
        <v>No price</v>
      </c>
      <c r="Q1048" s="513" t="str">
        <f t="shared" si="235"/>
        <v>.</v>
      </c>
      <c r="R1048" s="513" t="str">
        <f t="shared" si="243"/>
        <v/>
      </c>
      <c r="S1048" s="513" t="str">
        <f>IF(AND(AD1048=1,R1048&lt;&gt;".")=TRUE,R1048/VLOOKUP(G1048,'Exchange rates'!B:C,2,0),IF(R1048=".",".",""))</f>
        <v/>
      </c>
      <c r="T1048" s="513" t="str">
        <f>IF(AD1048=1,IF(AF1048="Value is not given at all",".",IF(AF1048="Value is given by the source",S1048,IF(AF1048="Value is calculated with prices",(IF(SUMIFS(Q:Q,A:A,A1048)&gt;0,SUMIFS(Q:Q,A:A,A1048),"."))/VLOOKUP("USD",'Exchange rates'!B:C,2,0),"Error with coding"))),"")</f>
        <v/>
      </c>
      <c r="U1048" s="39" t="s">
        <v>233</v>
      </c>
      <c r="V1048" s="826" t="s">
        <v>2702</v>
      </c>
      <c r="W1048" s="376" t="s">
        <v>232</v>
      </c>
      <c r="X1048" s="376" t="s">
        <v>232</v>
      </c>
      <c r="Y1048" s="376" t="s">
        <v>232</v>
      </c>
      <c r="Z1048" s="552">
        <v>0</v>
      </c>
      <c r="AA1048" s="552">
        <v>0</v>
      </c>
      <c r="AB1048" s="41" t="s">
        <v>232</v>
      </c>
      <c r="AC1048" s="519" t="str">
        <f>""</f>
        <v/>
      </c>
      <c r="AD1048" s="522">
        <v>0</v>
      </c>
      <c r="AE1048" s="522" t="s">
        <v>2590</v>
      </c>
      <c r="AF1048" s="522" t="s">
        <v>237</v>
      </c>
      <c r="AG1048" s="522">
        <v>1</v>
      </c>
      <c r="AH1048" s="522">
        <v>9</v>
      </c>
      <c r="AI1048" s="522">
        <v>0</v>
      </c>
      <c r="AJ1048" s="520">
        <f>VLOOKUP($I1048,'Price List, Weapons &amp; Items'!A:E,5,0)</f>
        <v>0</v>
      </c>
      <c r="AK1048" s="520">
        <f t="shared" si="236"/>
        <v>0</v>
      </c>
      <c r="AL1048" s="520">
        <f t="shared" si="237"/>
        <v>0</v>
      </c>
      <c r="AM1048" s="520">
        <f t="shared" si="238"/>
        <v>0</v>
      </c>
      <c r="AN1048" s="521" t="str">
        <f>VLOOKUP($I1048,'Price List, Weapons &amp; Items'!A:K,COLUMN('Price List, Weapons &amp; Items'!$I$1),0)</f>
        <v>.</v>
      </c>
      <c r="AO1048" s="521" t="str">
        <f>IF(I1048=".",".",VLOOKUP($I1048,'Price List, Weapons &amp; Items'!A:I,3,0))</f>
        <v>.</v>
      </c>
      <c r="AP1048" s="517" t="str">
        <f t="shared" ca="1" si="232"/>
        <v/>
      </c>
      <c r="AQ1048" s="521">
        <f>VLOOKUP($I1048,'Price List, Weapons &amp; Items'!A:K,COLUMN('Price List, Weapons &amp; Items'!$K$1),0)</f>
        <v>0</v>
      </c>
      <c r="AS1048" s="521">
        <f t="shared" si="239"/>
        <v>1</v>
      </c>
      <c r="AT1048" s="521">
        <f t="shared" si="240"/>
        <v>1</v>
      </c>
      <c r="AU1048" s="521">
        <f t="shared" si="241"/>
        <v>1</v>
      </c>
      <c r="AV1048" s="521" t="str">
        <f t="shared" si="242"/>
        <v>.</v>
      </c>
    </row>
    <row r="1049" spans="1:48" ht="15" customHeight="1">
      <c r="A1049" s="18" t="s">
        <v>2627</v>
      </c>
      <c r="B1049" s="46" t="s">
        <v>2548</v>
      </c>
      <c r="C1049" s="550">
        <v>44812</v>
      </c>
      <c r="D1049" s="46" t="s">
        <v>252</v>
      </c>
      <c r="E1049" s="18" t="s">
        <v>1157</v>
      </c>
      <c r="F1049" s="46" t="s">
        <v>2701</v>
      </c>
      <c r="G1049" s="39" t="s">
        <v>314</v>
      </c>
      <c r="H1049" s="563">
        <v>675000000</v>
      </c>
      <c r="I1049" s="46" t="s">
        <v>1858</v>
      </c>
      <c r="J1049" s="276" t="str">
        <f>VLOOKUP($I1049,'Price List, Weapons &amp; Items'!A:B,2,0)</f>
        <v>Military equipment</v>
      </c>
      <c r="K1049" s="276" t="str">
        <f>IF(I1049=".",I1049,VLOOKUP($I1049,'Price List, Weapons &amp; Items'!A:C,3,0))</f>
        <v>.</v>
      </c>
      <c r="L1049" s="514">
        <f>VLOOKUP(I1049,'Price List, Weapons &amp; Items'!A:D,4,0)</f>
        <v>0</v>
      </c>
      <c r="M1049" s="46" t="s">
        <v>264</v>
      </c>
      <c r="N1049" s="46" t="s">
        <v>232</v>
      </c>
      <c r="O1049" s="516">
        <f>VLOOKUP($I1049,'Price List, Weapons &amp; Items'!A:F,6,0)</f>
        <v>2320</v>
      </c>
      <c r="P1049" s="513" t="str">
        <f t="shared" si="234"/>
        <v>.</v>
      </c>
      <c r="Q1049" s="513" t="str">
        <f t="shared" si="235"/>
        <v>.</v>
      </c>
      <c r="R1049" s="513" t="str">
        <f t="shared" si="243"/>
        <v/>
      </c>
      <c r="S1049" s="513" t="str">
        <f>IF(AND(AD1049=1,R1049&lt;&gt;".")=TRUE,R1049/VLOOKUP(G1049,'Exchange rates'!B:C,2,0),IF(R1049=".",".",""))</f>
        <v/>
      </c>
      <c r="T1049" s="513" t="str">
        <f>IF(AD1049=1,IF(AF1049="Value is not given at all",".",IF(AF1049="Value is given by the source",S1049,IF(AF1049="Value is calculated with prices",(IF(SUMIFS(Q:Q,A:A,A1049)&gt;0,SUMIFS(Q:Q,A:A,A1049),"."))/VLOOKUP("USD",'Exchange rates'!B:C,2,0),"Error with coding"))),"")</f>
        <v/>
      </c>
      <c r="U1049" s="39" t="s">
        <v>233</v>
      </c>
      <c r="V1049" s="826" t="s">
        <v>2702</v>
      </c>
      <c r="W1049" s="376" t="s">
        <v>232</v>
      </c>
      <c r="X1049" s="376" t="s">
        <v>232</v>
      </c>
      <c r="Y1049" s="376" t="s">
        <v>232</v>
      </c>
      <c r="Z1049" s="552">
        <v>0</v>
      </c>
      <c r="AA1049" s="552">
        <v>0</v>
      </c>
      <c r="AB1049" s="41" t="s">
        <v>232</v>
      </c>
      <c r="AC1049" s="519" t="str">
        <f>""</f>
        <v/>
      </c>
      <c r="AD1049" s="522">
        <v>0</v>
      </c>
      <c r="AE1049" s="522" t="s">
        <v>2590</v>
      </c>
      <c r="AF1049" s="522" t="s">
        <v>237</v>
      </c>
      <c r="AG1049" s="522">
        <v>1</v>
      </c>
      <c r="AH1049" s="522">
        <v>9</v>
      </c>
      <c r="AI1049" s="522">
        <v>0</v>
      </c>
      <c r="AJ1049" s="520">
        <f>VLOOKUP($I1049,'Price List, Weapons &amp; Items'!A:E,5,0)</f>
        <v>0</v>
      </c>
      <c r="AK1049" s="520">
        <f t="shared" si="236"/>
        <v>0</v>
      </c>
      <c r="AL1049" s="520">
        <f t="shared" si="237"/>
        <v>0</v>
      </c>
      <c r="AM1049" s="520">
        <f t="shared" si="238"/>
        <v>0</v>
      </c>
      <c r="AN1049" s="521" t="str">
        <f>VLOOKUP($I1049,'Price List, Weapons &amp; Items'!A:K,COLUMN('Price List, Weapons &amp; Items'!$I$1),0)</f>
        <v>Media reports (incl. social media)</v>
      </c>
      <c r="AO1049" s="521" t="str">
        <f>IF(I1049=".",".",VLOOKUP($I1049,'Price List, Weapons &amp; Items'!A:I,3,0))</f>
        <v>.</v>
      </c>
      <c r="AP1049" s="517" t="str">
        <f t="shared" ca="1" si="232"/>
        <v/>
      </c>
      <c r="AQ1049" s="521">
        <f>VLOOKUP($I1049,'Price List, Weapons &amp; Items'!A:K,COLUMN('Price List, Weapons &amp; Items'!$K$1),0)</f>
        <v>2</v>
      </c>
      <c r="AS1049" s="521">
        <f t="shared" si="239"/>
        <v>1</v>
      </c>
      <c r="AT1049" s="521">
        <f t="shared" si="240"/>
        <v>1</v>
      </c>
      <c r="AU1049" s="521">
        <f t="shared" si="241"/>
        <v>1</v>
      </c>
      <c r="AV1049" s="521" t="str">
        <f t="shared" si="242"/>
        <v>.</v>
      </c>
    </row>
    <row r="1050" spans="1:48" ht="15" customHeight="1">
      <c r="A1050" s="18" t="s">
        <v>2627</v>
      </c>
      <c r="B1050" s="46" t="s">
        <v>2548</v>
      </c>
      <c r="C1050" s="550">
        <v>44812</v>
      </c>
      <c r="D1050" s="46" t="s">
        <v>252</v>
      </c>
      <c r="E1050" s="18" t="s">
        <v>1157</v>
      </c>
      <c r="F1050" s="46" t="s">
        <v>2701</v>
      </c>
      <c r="G1050" s="39" t="s">
        <v>314</v>
      </c>
      <c r="H1050" s="563">
        <v>675000000</v>
      </c>
      <c r="I1050" s="46" t="s">
        <v>2707</v>
      </c>
      <c r="J1050" s="276" t="str">
        <f>VLOOKUP($I1050,'Price List, Weapons &amp; Items'!A:B,2,0)</f>
        <v>Military equipment</v>
      </c>
      <c r="K1050" s="276" t="str">
        <f>IF(I1050=".",I1050,VLOOKUP($I1050,'Price List, Weapons &amp; Items'!A:C,3,0))</f>
        <v>.</v>
      </c>
      <c r="L1050" s="514">
        <f>VLOOKUP(I1050,'Price List, Weapons &amp; Items'!A:D,4,0)</f>
        <v>0</v>
      </c>
      <c r="M1050" s="46" t="s">
        <v>232</v>
      </c>
      <c r="N1050" s="46" t="s">
        <v>232</v>
      </c>
      <c r="O1050" s="516" t="str">
        <f>VLOOKUP($I1050,'Price List, Weapons &amp; Items'!A:F,6,0)</f>
        <v>.</v>
      </c>
      <c r="P1050" s="513" t="str">
        <f t="shared" si="234"/>
        <v>.</v>
      </c>
      <c r="Q1050" s="513" t="str">
        <f t="shared" si="235"/>
        <v>.</v>
      </c>
      <c r="R1050" s="513" t="str">
        <f t="shared" si="243"/>
        <v/>
      </c>
      <c r="S1050" s="513" t="str">
        <f>IF(AND(AD1050=1,R1050&lt;&gt;".")=TRUE,R1050/VLOOKUP(G1050,'Exchange rates'!B:C,2,0),IF(R1050=".",".",""))</f>
        <v/>
      </c>
      <c r="T1050" s="513" t="str">
        <f>IF(AD1050=1,IF(AF1050="Value is not given at all",".",IF(AF1050="Value is given by the source",S1050,IF(AF1050="Value is calculated with prices",(IF(SUMIFS(Q:Q,A:A,A1050)&gt;0,SUMIFS(Q:Q,A:A,A1050),"."))/VLOOKUP("USD",'Exchange rates'!B:C,2,0),"Error with coding"))),"")</f>
        <v/>
      </c>
      <c r="U1050" s="39" t="s">
        <v>233</v>
      </c>
      <c r="V1050" s="826" t="s">
        <v>2702</v>
      </c>
      <c r="W1050" s="376" t="s">
        <v>232</v>
      </c>
      <c r="X1050" s="376" t="s">
        <v>232</v>
      </c>
      <c r="Y1050" s="376" t="s">
        <v>232</v>
      </c>
      <c r="Z1050" s="552">
        <v>0</v>
      </c>
      <c r="AA1050" s="552">
        <v>0</v>
      </c>
      <c r="AB1050" s="41" t="s">
        <v>232</v>
      </c>
      <c r="AC1050" s="519" t="str">
        <f>""</f>
        <v/>
      </c>
      <c r="AD1050" s="522">
        <v>0</v>
      </c>
      <c r="AE1050" s="522" t="s">
        <v>2590</v>
      </c>
      <c r="AF1050" s="522" t="s">
        <v>237</v>
      </c>
      <c r="AG1050" s="522">
        <v>1</v>
      </c>
      <c r="AH1050" s="522">
        <v>9</v>
      </c>
      <c r="AI1050" s="522">
        <v>0</v>
      </c>
      <c r="AJ1050" s="520">
        <f>VLOOKUP($I1050,'Price List, Weapons &amp; Items'!A:E,5,0)</f>
        <v>0</v>
      </c>
      <c r="AK1050" s="520">
        <f t="shared" si="236"/>
        <v>0</v>
      </c>
      <c r="AL1050" s="520">
        <f t="shared" si="237"/>
        <v>0</v>
      </c>
      <c r="AM1050" s="520">
        <f t="shared" si="238"/>
        <v>0</v>
      </c>
      <c r="AN1050" s="521" t="str">
        <f>VLOOKUP($I1050,'Price List, Weapons &amp; Items'!A:K,COLUMN('Price List, Weapons &amp; Items'!$I$1),0)</f>
        <v>.</v>
      </c>
      <c r="AO1050" s="521" t="str">
        <f>IF(I1050=".",".",VLOOKUP($I1050,'Price List, Weapons &amp; Items'!A:I,3,0))</f>
        <v>.</v>
      </c>
      <c r="AP1050" s="517" t="str">
        <f t="shared" ca="1" si="232"/>
        <v/>
      </c>
      <c r="AQ1050" s="521" t="str">
        <f>VLOOKUP($I1050,'Price List, Weapons &amp; Items'!A:K,COLUMN('Price List, Weapons &amp; Items'!$K$1),0)</f>
        <v>no price, 0 count</v>
      </c>
      <c r="AS1050" s="521">
        <f t="shared" si="239"/>
        <v>1</v>
      </c>
      <c r="AT1050" s="521">
        <f t="shared" si="240"/>
        <v>1</v>
      </c>
      <c r="AU1050" s="521">
        <f t="shared" si="241"/>
        <v>1</v>
      </c>
      <c r="AV1050" s="521" t="str">
        <f t="shared" si="242"/>
        <v>.</v>
      </c>
    </row>
    <row r="1051" spans="1:48" ht="15" customHeight="1">
      <c r="A1051" s="18" t="s">
        <v>2627</v>
      </c>
      <c r="B1051" s="46" t="s">
        <v>2548</v>
      </c>
      <c r="C1051" s="550">
        <v>44819</v>
      </c>
      <c r="D1051" s="46" t="s">
        <v>252</v>
      </c>
      <c r="E1051" s="18" t="s">
        <v>1157</v>
      </c>
      <c r="F1051" s="46" t="s">
        <v>2708</v>
      </c>
      <c r="G1051" s="39" t="s">
        <v>314</v>
      </c>
      <c r="H1051" s="563">
        <v>600000000</v>
      </c>
      <c r="I1051" s="46" t="s">
        <v>2655</v>
      </c>
      <c r="J1051" s="276" t="str">
        <f>VLOOKUP($I1051,'Price List, Weapons &amp; Items'!A:B,2,0)</f>
        <v>Ammunition for heavy weapon</v>
      </c>
      <c r="K1051" s="276" t="str">
        <f>IF(I1051=".",I1051,VLOOKUP($I1051,'Price List, Weapons &amp; Items'!A:C,3,0))</f>
        <v>227mm MLRS ammunition</v>
      </c>
      <c r="L1051" s="514">
        <f>VLOOKUP(I1051,'Price List, Weapons &amp; Items'!A:D,4,0)</f>
        <v>0</v>
      </c>
      <c r="M1051" s="46" t="s">
        <v>264</v>
      </c>
      <c r="N1051" s="46" t="s">
        <v>232</v>
      </c>
      <c r="O1051" s="516">
        <f>VLOOKUP($I1051,'Price List, Weapons &amp; Items'!A:F,6,0)</f>
        <v>150000</v>
      </c>
      <c r="P1051" s="513" t="str">
        <f t="shared" si="234"/>
        <v>.</v>
      </c>
      <c r="Q1051" s="513" t="str">
        <f t="shared" si="235"/>
        <v>.</v>
      </c>
      <c r="R1051" s="513" t="str">
        <f t="shared" si="243"/>
        <v/>
      </c>
      <c r="S1051" s="513" t="str">
        <f>IF(AND(AD1051=1,R1051&lt;&gt;".")=TRUE,R1051/VLOOKUP(G1051,'Exchange rates'!B:C,2,0),IF(R1051=".",".",""))</f>
        <v/>
      </c>
      <c r="T1051" s="513" t="str">
        <f>IF(AD1051=1,IF(AF1051="Value is not given at all",".",IF(AF1051="Value is given by the source",S1051,IF(AF1051="Value is calculated with prices",(IF(SUMIFS(Q:Q,A:A,A1051)&gt;0,SUMIFS(Q:Q,A:A,A1051),"."))/VLOOKUP("USD",'Exchange rates'!B:C,2,0),"Error with coding"))),"")</f>
        <v/>
      </c>
      <c r="U1051" s="39" t="s">
        <v>233</v>
      </c>
      <c r="V1051" s="826" t="s">
        <v>2709</v>
      </c>
      <c r="W1051" s="376" t="s">
        <v>232</v>
      </c>
      <c r="X1051" s="376" t="s">
        <v>232</v>
      </c>
      <c r="Y1051" s="376" t="s">
        <v>232</v>
      </c>
      <c r="Z1051" s="552">
        <v>0</v>
      </c>
      <c r="AA1051" s="552">
        <v>0</v>
      </c>
      <c r="AB1051" s="41" t="s">
        <v>232</v>
      </c>
      <c r="AC1051" s="519" t="str">
        <f>""</f>
        <v/>
      </c>
      <c r="AD1051" s="522">
        <v>0</v>
      </c>
      <c r="AE1051" s="522" t="s">
        <v>2590</v>
      </c>
      <c r="AF1051" s="522" t="s">
        <v>237</v>
      </c>
      <c r="AG1051" s="522">
        <v>1</v>
      </c>
      <c r="AH1051" s="522">
        <v>9</v>
      </c>
      <c r="AI1051" s="522">
        <v>0</v>
      </c>
      <c r="AJ1051" s="520">
        <f>VLOOKUP($I1051,'Price List, Weapons &amp; Items'!A:E,5,0)</f>
        <v>1</v>
      </c>
      <c r="AK1051" s="520">
        <f t="shared" si="236"/>
        <v>1</v>
      </c>
      <c r="AL1051" s="520">
        <f t="shared" si="237"/>
        <v>0</v>
      </c>
      <c r="AM1051" s="520">
        <f t="shared" si="238"/>
        <v>1</v>
      </c>
      <c r="AN1051" s="521" t="str">
        <f>VLOOKUP($I1051,'Price List, Weapons &amp; Items'!A:K,COLUMN('Price List, Weapons &amp; Items'!$I$1),0)</f>
        <v>Media reports (incl. social media)</v>
      </c>
      <c r="AO1051" s="521" t="str">
        <f>IF(I1051=".",".",VLOOKUP($I1051,'Price List, Weapons &amp; Items'!A:I,3,0))</f>
        <v>227mm MLRS ammunition</v>
      </c>
      <c r="AP1051" s="517" t="str">
        <f t="shared" ca="1" si="232"/>
        <v/>
      </c>
      <c r="AQ1051" s="521" t="str">
        <f>VLOOKUP($I1051,'Price List, Weapons &amp; Items'!A:K,COLUMN('Price List, Weapons &amp; Items'!$K$1),0)</f>
        <v>no price, 0 count</v>
      </c>
      <c r="AS1051" s="521">
        <f t="shared" si="239"/>
        <v>1</v>
      </c>
      <c r="AT1051" s="521">
        <f t="shared" si="240"/>
        <v>1</v>
      </c>
      <c r="AU1051" s="521">
        <f t="shared" si="241"/>
        <v>1</v>
      </c>
      <c r="AV1051" s="521" t="str">
        <f t="shared" si="242"/>
        <v>.</v>
      </c>
    </row>
    <row r="1052" spans="1:48" ht="15" customHeight="1">
      <c r="A1052" s="18" t="s">
        <v>2627</v>
      </c>
      <c r="B1052" s="46" t="s">
        <v>2548</v>
      </c>
      <c r="C1052" s="550">
        <v>44819</v>
      </c>
      <c r="D1052" s="46" t="s">
        <v>252</v>
      </c>
      <c r="E1052" s="18" t="s">
        <v>1157</v>
      </c>
      <c r="F1052" s="46" t="s">
        <v>2708</v>
      </c>
      <c r="G1052" s="39" t="s">
        <v>314</v>
      </c>
      <c r="H1052" s="563">
        <v>600000000</v>
      </c>
      <c r="I1052" s="46" t="s">
        <v>2688</v>
      </c>
      <c r="J1052" s="276" t="str">
        <f>VLOOKUP($I1052,'Price List, Weapons &amp; Items'!A:B,2,0)</f>
        <v>Ammunition for heavy weapon</v>
      </c>
      <c r="K1052" s="276" t="str">
        <f>IF(I1052=".",I1052,VLOOKUP($I1052,'Price List, Weapons &amp; Items'!A:C,3,0))</f>
        <v>105mm</v>
      </c>
      <c r="L1052" s="514">
        <f>VLOOKUP(I1052,'Price List, Weapons &amp; Items'!A:D,4,0)</f>
        <v>0</v>
      </c>
      <c r="M1052" s="46">
        <v>36000</v>
      </c>
      <c r="N1052" s="46" t="s">
        <v>232</v>
      </c>
      <c r="O1052" s="516">
        <f>VLOOKUP($I1052,'Price List, Weapons &amp; Items'!A:F,6,0)</f>
        <v>400</v>
      </c>
      <c r="P1052" s="513">
        <f t="shared" si="234"/>
        <v>14400000</v>
      </c>
      <c r="Q1052" s="513" t="str">
        <f t="shared" si="235"/>
        <v>.</v>
      </c>
      <c r="R1052" s="513" t="str">
        <f t="shared" si="243"/>
        <v/>
      </c>
      <c r="S1052" s="513" t="str">
        <f>IF(AND(AD1052=1,R1052&lt;&gt;".")=TRUE,R1052/VLOOKUP(G1052,'Exchange rates'!B:C,2,0),IF(R1052=".",".",""))</f>
        <v/>
      </c>
      <c r="T1052" s="513" t="str">
        <f>IF(AD1052=1,IF(AF1052="Value is not given at all",".",IF(AF1052="Value is given by the source",S1052,IF(AF1052="Value is calculated with prices",(IF(SUMIFS(Q:Q,A:A,A1052)&gt;0,SUMIFS(Q:Q,A:A,A1052),"."))/VLOOKUP("USD",'Exchange rates'!B:C,2,0),"Error with coding"))),"")</f>
        <v/>
      </c>
      <c r="U1052" s="39" t="s">
        <v>233</v>
      </c>
      <c r="V1052" s="826" t="s">
        <v>2709</v>
      </c>
      <c r="W1052" s="376" t="s">
        <v>232</v>
      </c>
      <c r="X1052" s="376" t="s">
        <v>232</v>
      </c>
      <c r="Y1052" s="376" t="s">
        <v>232</v>
      </c>
      <c r="Z1052" s="552">
        <v>0</v>
      </c>
      <c r="AA1052" s="552">
        <v>0</v>
      </c>
      <c r="AB1052" s="41" t="s">
        <v>232</v>
      </c>
      <c r="AC1052" s="519" t="str">
        <f>""</f>
        <v/>
      </c>
      <c r="AD1052" s="522">
        <v>0</v>
      </c>
      <c r="AE1052" s="522" t="s">
        <v>2590</v>
      </c>
      <c r="AF1052" s="522" t="s">
        <v>237</v>
      </c>
      <c r="AG1052" s="522">
        <v>1</v>
      </c>
      <c r="AH1052" s="522">
        <v>9</v>
      </c>
      <c r="AI1052" s="522">
        <v>0</v>
      </c>
      <c r="AJ1052" s="520">
        <f>VLOOKUP($I1052,'Price List, Weapons &amp; Items'!A:E,5,0)</f>
        <v>0</v>
      </c>
      <c r="AK1052" s="520">
        <f t="shared" si="236"/>
        <v>0</v>
      </c>
      <c r="AL1052" s="520">
        <f t="shared" si="237"/>
        <v>0</v>
      </c>
      <c r="AM1052" s="520">
        <f t="shared" si="238"/>
        <v>0</v>
      </c>
      <c r="AN1052" s="521" t="str">
        <f>VLOOKUP($I1052,'Price List, Weapons &amp; Items'!A:K,COLUMN('Price List, Weapons &amp; Items'!$I$1),0)</f>
        <v>Military media (incl. websites)</v>
      </c>
      <c r="AO1052" s="521" t="str">
        <f>IF(I1052=".",".",VLOOKUP($I1052,'Price List, Weapons &amp; Items'!A:I,3,0))</f>
        <v>105mm</v>
      </c>
      <c r="AP1052" s="517" t="str">
        <f t="shared" ca="1" si="232"/>
        <v/>
      </c>
      <c r="AQ1052" s="521">
        <f>VLOOKUP($I1052,'Price List, Weapons &amp; Items'!A:K,COLUMN('Price List, Weapons &amp; Items'!$K$1),0)</f>
        <v>2</v>
      </c>
      <c r="AS1052" s="521">
        <f t="shared" si="239"/>
        <v>1</v>
      </c>
      <c r="AT1052" s="521">
        <f t="shared" si="240"/>
        <v>1</v>
      </c>
      <c r="AU1052" s="521">
        <f t="shared" si="241"/>
        <v>1</v>
      </c>
      <c r="AV1052" s="521" t="str">
        <f t="shared" si="242"/>
        <v>.</v>
      </c>
    </row>
    <row r="1053" spans="1:48" ht="15" customHeight="1">
      <c r="A1053" s="18" t="s">
        <v>2627</v>
      </c>
      <c r="B1053" s="46" t="s">
        <v>2548</v>
      </c>
      <c r="C1053" s="550">
        <v>44819</v>
      </c>
      <c r="D1053" s="46" t="s">
        <v>252</v>
      </c>
      <c r="E1053" s="18" t="s">
        <v>1157</v>
      </c>
      <c r="F1053" s="46" t="s">
        <v>2708</v>
      </c>
      <c r="G1053" s="39" t="s">
        <v>314</v>
      </c>
      <c r="H1053" s="563">
        <v>600000000</v>
      </c>
      <c r="I1053" s="46" t="s">
        <v>2710</v>
      </c>
      <c r="J1053" s="276" t="str">
        <f>VLOOKUP($I1053,'Price List, Weapons &amp; Items'!A:B,2,0)</f>
        <v>Ammunition</v>
      </c>
      <c r="K1053" s="276" t="str">
        <f>IF(I1053=".",I1053,VLOOKUP($I1053,'Price List, Weapons &amp; Items'!A:C,3,0))</f>
        <v>.</v>
      </c>
      <c r="L1053" s="514">
        <f>VLOOKUP(I1053,'Price List, Weapons &amp; Items'!A:D,4,0)</f>
        <v>0</v>
      </c>
      <c r="M1053" s="46">
        <v>1000</v>
      </c>
      <c r="N1053" s="46" t="s">
        <v>232</v>
      </c>
      <c r="O1053" s="516" t="str">
        <f>VLOOKUP($I1053,'Price List, Weapons &amp; Items'!A:F,6,0)</f>
        <v>.</v>
      </c>
      <c r="P1053" s="513" t="str">
        <f t="shared" si="234"/>
        <v>No price</v>
      </c>
      <c r="Q1053" s="513" t="str">
        <f t="shared" si="235"/>
        <v>.</v>
      </c>
      <c r="R1053" s="513" t="str">
        <f t="shared" si="243"/>
        <v/>
      </c>
      <c r="S1053" s="513" t="str">
        <f>IF(AND(AD1053=1,R1053&lt;&gt;".")=TRUE,R1053/VLOOKUP(G1053,'Exchange rates'!B:C,2,0),IF(R1053=".",".",""))</f>
        <v/>
      </c>
      <c r="T1053" s="513" t="str">
        <f>IF(AD1053=1,IF(AF1053="Value is not given at all",".",IF(AF1053="Value is given by the source",S1053,IF(AF1053="Value is calculated with prices",(IF(SUMIFS(Q:Q,A:A,A1053)&gt;0,SUMIFS(Q:Q,A:A,A1053),"."))/VLOOKUP("USD",'Exchange rates'!B:C,2,0),"Error with coding"))),"")</f>
        <v/>
      </c>
      <c r="U1053" s="39" t="s">
        <v>233</v>
      </c>
      <c r="V1053" s="826" t="s">
        <v>2709</v>
      </c>
      <c r="W1053" s="376" t="s">
        <v>232</v>
      </c>
      <c r="X1053" s="376" t="s">
        <v>232</v>
      </c>
      <c r="Y1053" s="376" t="s">
        <v>232</v>
      </c>
      <c r="Z1053" s="552">
        <v>0</v>
      </c>
      <c r="AA1053" s="552">
        <v>0</v>
      </c>
      <c r="AB1053" s="41" t="s">
        <v>232</v>
      </c>
      <c r="AC1053" s="519" t="str">
        <f>""</f>
        <v/>
      </c>
      <c r="AD1053" s="522">
        <v>0</v>
      </c>
      <c r="AE1053" s="522" t="s">
        <v>2590</v>
      </c>
      <c r="AF1053" s="522" t="s">
        <v>237</v>
      </c>
      <c r="AG1053" s="522">
        <v>1</v>
      </c>
      <c r="AH1053" s="522">
        <v>9</v>
      </c>
      <c r="AI1053" s="522">
        <v>0</v>
      </c>
      <c r="AJ1053" s="520">
        <f>VLOOKUP($I1053,'Price List, Weapons &amp; Items'!A:E,5,0)</f>
        <v>0</v>
      </c>
      <c r="AK1053" s="520">
        <f t="shared" si="236"/>
        <v>0</v>
      </c>
      <c r="AL1053" s="520">
        <f t="shared" si="237"/>
        <v>0</v>
      </c>
      <c r="AM1053" s="520">
        <f t="shared" si="238"/>
        <v>0</v>
      </c>
      <c r="AN1053" s="521" t="str">
        <f>VLOOKUP($I1053,'Price List, Weapons &amp; Items'!A:K,COLUMN('Price List, Weapons &amp; Items'!$I$1),0)</f>
        <v>.</v>
      </c>
      <c r="AO1053" s="521" t="str">
        <f>IF(I1053=".",".",VLOOKUP($I1053,'Price List, Weapons &amp; Items'!A:I,3,0))</f>
        <v>.</v>
      </c>
      <c r="AP1053" s="517" t="str">
        <f t="shared" ca="1" si="232"/>
        <v/>
      </c>
      <c r="AQ1053" s="521">
        <f>VLOOKUP($I1053,'Price List, Weapons &amp; Items'!A:K,COLUMN('Price List, Weapons &amp; Items'!$K$1),0)</f>
        <v>0</v>
      </c>
      <c r="AS1053" s="521">
        <f t="shared" si="239"/>
        <v>1</v>
      </c>
      <c r="AT1053" s="521">
        <f t="shared" si="240"/>
        <v>1</v>
      </c>
      <c r="AU1053" s="521">
        <f t="shared" si="241"/>
        <v>1</v>
      </c>
      <c r="AV1053" s="521" t="str">
        <f t="shared" si="242"/>
        <v>.</v>
      </c>
    </row>
    <row r="1054" spans="1:48" ht="15" customHeight="1">
      <c r="A1054" s="18" t="s">
        <v>2627</v>
      </c>
      <c r="B1054" s="46" t="s">
        <v>2548</v>
      </c>
      <c r="C1054" s="550">
        <v>44819</v>
      </c>
      <c r="D1054" s="46" t="s">
        <v>252</v>
      </c>
      <c r="E1054" s="18" t="s">
        <v>1157</v>
      </c>
      <c r="F1054" s="46" t="s">
        <v>2708</v>
      </c>
      <c r="G1054" s="39" t="s">
        <v>314</v>
      </c>
      <c r="H1054" s="563">
        <v>600000000</v>
      </c>
      <c r="I1054" s="46" t="s">
        <v>2711</v>
      </c>
      <c r="J1054" s="276" t="str">
        <f>VLOOKUP($I1054,'Price List, Weapons &amp; Items'!A:B,2,0)</f>
        <v>Military equipment</v>
      </c>
      <c r="K1054" s="276" t="str">
        <f>IF(I1054=".",I1054,VLOOKUP($I1054,'Price List, Weapons &amp; Items'!A:C,3,0))</f>
        <v>.</v>
      </c>
      <c r="L1054" s="514">
        <f>VLOOKUP(I1054,'Price List, Weapons &amp; Items'!A:D,4,0)</f>
        <v>0</v>
      </c>
      <c r="M1054" s="46">
        <v>4</v>
      </c>
      <c r="N1054" s="46" t="s">
        <v>232</v>
      </c>
      <c r="O1054" s="516">
        <f>VLOOKUP($I1054,'Price List, Weapons &amp; Items'!A:F,6,0)</f>
        <v>50175000</v>
      </c>
      <c r="P1054" s="513">
        <f t="shared" si="234"/>
        <v>200700000</v>
      </c>
      <c r="Q1054" s="513" t="str">
        <f t="shared" si="235"/>
        <v>.</v>
      </c>
      <c r="R1054" s="513" t="str">
        <f t="shared" si="243"/>
        <v/>
      </c>
      <c r="S1054" s="513" t="str">
        <f>IF(AND(AD1054=1,R1054&lt;&gt;".")=TRUE,R1054/VLOOKUP(G1054,'Exchange rates'!B:C,2,0),IF(R1054=".",".",""))</f>
        <v/>
      </c>
      <c r="T1054" s="513" t="str">
        <f>IF(AD1054=1,IF(AF1054="Value is not given at all",".",IF(AF1054="Value is given by the source",S1054,IF(AF1054="Value is calculated with prices",(IF(SUMIFS(Q:Q,A:A,A1054)&gt;0,SUMIFS(Q:Q,A:A,A1054),"."))/VLOOKUP("USD",'Exchange rates'!B:C,2,0),"Error with coding"))),"")</f>
        <v/>
      </c>
      <c r="U1054" s="39" t="s">
        <v>233</v>
      </c>
      <c r="V1054" s="826" t="s">
        <v>2709</v>
      </c>
      <c r="W1054" s="376" t="s">
        <v>232</v>
      </c>
      <c r="X1054" s="376" t="s">
        <v>232</v>
      </c>
      <c r="Y1054" s="376" t="s">
        <v>232</v>
      </c>
      <c r="Z1054" s="552">
        <v>0</v>
      </c>
      <c r="AA1054" s="552">
        <v>0</v>
      </c>
      <c r="AB1054" s="41" t="s">
        <v>232</v>
      </c>
      <c r="AC1054" s="519" t="str">
        <f>""</f>
        <v/>
      </c>
      <c r="AD1054" s="522">
        <v>0</v>
      </c>
      <c r="AE1054" s="522" t="s">
        <v>2590</v>
      </c>
      <c r="AF1054" s="522" t="s">
        <v>237</v>
      </c>
      <c r="AG1054" s="522">
        <v>1</v>
      </c>
      <c r="AH1054" s="522">
        <v>9</v>
      </c>
      <c r="AI1054" s="522">
        <v>0</v>
      </c>
      <c r="AJ1054" s="520">
        <f>VLOOKUP($I1054,'Price List, Weapons &amp; Items'!A:E,5,0)</f>
        <v>0</v>
      </c>
      <c r="AK1054" s="520">
        <f t="shared" si="236"/>
        <v>0</v>
      </c>
      <c r="AL1054" s="520">
        <f t="shared" si="237"/>
        <v>0</v>
      </c>
      <c r="AM1054" s="520">
        <f t="shared" si="238"/>
        <v>0</v>
      </c>
      <c r="AN1054" s="521" t="str">
        <f>VLOOKUP($I1054,'Price List, Weapons &amp; Items'!A:K,COLUMN('Price List, Weapons &amp; Items'!$I$1),0)</f>
        <v>Military media (incl. websites)</v>
      </c>
      <c r="AO1054" s="521" t="str">
        <f>IF(I1054=".",".",VLOOKUP($I1054,'Price List, Weapons &amp; Items'!A:I,3,0))</f>
        <v>.</v>
      </c>
      <c r="AP1054" s="517" t="str">
        <f t="shared" ca="1" si="232"/>
        <v/>
      </c>
      <c r="AQ1054" s="521">
        <f>VLOOKUP($I1054,'Price List, Weapons &amp; Items'!A:K,COLUMN('Price List, Weapons &amp; Items'!$K$1),0)</f>
        <v>2</v>
      </c>
      <c r="AS1054" s="521">
        <f t="shared" si="239"/>
        <v>1</v>
      </c>
      <c r="AT1054" s="521">
        <f t="shared" si="240"/>
        <v>1</v>
      </c>
      <c r="AU1054" s="521">
        <f t="shared" si="241"/>
        <v>1</v>
      </c>
      <c r="AV1054" s="521" t="str">
        <f t="shared" si="242"/>
        <v>.</v>
      </c>
    </row>
    <row r="1055" spans="1:48" ht="15" customHeight="1">
      <c r="A1055" s="18" t="s">
        <v>2627</v>
      </c>
      <c r="B1055" s="46" t="s">
        <v>2548</v>
      </c>
      <c r="C1055" s="550">
        <v>44819</v>
      </c>
      <c r="D1055" s="46" t="s">
        <v>252</v>
      </c>
      <c r="E1055" s="18" t="s">
        <v>1157</v>
      </c>
      <c r="F1055" s="46" t="s">
        <v>2708</v>
      </c>
      <c r="G1055" s="39" t="s">
        <v>314</v>
      </c>
      <c r="H1055" s="563">
        <v>600000000</v>
      </c>
      <c r="I1055" s="46" t="s">
        <v>1035</v>
      </c>
      <c r="J1055" s="276" t="str">
        <f>VLOOKUP($I1055,'Price List, Weapons &amp; Items'!A:B,2,0)</f>
        <v>Military equipment</v>
      </c>
      <c r="K1055" s="276" t="str">
        <f>IF(I1055=".",I1055,VLOOKUP($I1055,'Price List, Weapons &amp; Items'!A:C,3,0))</f>
        <v>.</v>
      </c>
      <c r="L1055" s="514">
        <f>VLOOKUP(I1055,'Price List, Weapons &amp; Items'!A:D,4,0)</f>
        <v>0</v>
      </c>
      <c r="M1055" s="46">
        <v>4</v>
      </c>
      <c r="N1055" s="46" t="s">
        <v>232</v>
      </c>
      <c r="O1055" s="516">
        <f>VLOOKUP($I1055,'Price List, Weapons &amp; Items'!A:F,6,0)</f>
        <v>350000</v>
      </c>
      <c r="P1055" s="513">
        <f t="shared" si="234"/>
        <v>1400000</v>
      </c>
      <c r="Q1055" s="513" t="str">
        <f t="shared" si="235"/>
        <v>.</v>
      </c>
      <c r="R1055" s="513" t="str">
        <f t="shared" si="243"/>
        <v/>
      </c>
      <c r="S1055" s="513" t="str">
        <f>IF(AND(AD1055=1,R1055&lt;&gt;".")=TRUE,R1055/VLOOKUP(G1055,'Exchange rates'!B:C,2,0),IF(R1055=".",".",""))</f>
        <v/>
      </c>
      <c r="T1055" s="513" t="str">
        <f>IF(AD1055=1,IF(AF1055="Value is not given at all",".",IF(AF1055="Value is given by the source",S1055,IF(AF1055="Value is calculated with prices",(IF(SUMIFS(Q:Q,A:A,A1055)&gt;0,SUMIFS(Q:Q,A:A,A1055),"."))/VLOOKUP("USD",'Exchange rates'!B:C,2,0),"Error with coding"))),"")</f>
        <v/>
      </c>
      <c r="U1055" s="39" t="s">
        <v>233</v>
      </c>
      <c r="V1055" s="826" t="s">
        <v>2709</v>
      </c>
      <c r="W1055" s="376" t="s">
        <v>232</v>
      </c>
      <c r="X1055" s="376" t="s">
        <v>232</v>
      </c>
      <c r="Y1055" s="376" t="s">
        <v>232</v>
      </c>
      <c r="Z1055" s="552">
        <v>0</v>
      </c>
      <c r="AA1055" s="552">
        <v>0</v>
      </c>
      <c r="AB1055" s="41" t="s">
        <v>232</v>
      </c>
      <c r="AC1055" s="519" t="str">
        <f>""</f>
        <v/>
      </c>
      <c r="AD1055" s="522">
        <v>0</v>
      </c>
      <c r="AE1055" s="522" t="s">
        <v>2590</v>
      </c>
      <c r="AF1055" s="522" t="s">
        <v>237</v>
      </c>
      <c r="AG1055" s="522">
        <v>1</v>
      </c>
      <c r="AH1055" s="522">
        <v>9</v>
      </c>
      <c r="AI1055" s="522">
        <v>0</v>
      </c>
      <c r="AJ1055" s="520">
        <f>VLOOKUP($I1055,'Price List, Weapons &amp; Items'!A:E,5,0)</f>
        <v>0</v>
      </c>
      <c r="AK1055" s="520">
        <f t="shared" si="236"/>
        <v>0</v>
      </c>
      <c r="AL1055" s="520">
        <f t="shared" si="237"/>
        <v>0</v>
      </c>
      <c r="AM1055" s="520">
        <f t="shared" si="238"/>
        <v>0</v>
      </c>
      <c r="AN1055" s="521" t="str">
        <f>VLOOKUP($I1055,'Price List, Weapons &amp; Items'!A:K,COLUMN('Price List, Weapons &amp; Items'!$I$1),0)</f>
        <v>Media reports (incl. social media)</v>
      </c>
      <c r="AO1055" s="521" t="str">
        <f>IF(I1055=".",".",VLOOKUP($I1055,'Price List, Weapons &amp; Items'!A:I,3,0))</f>
        <v>.</v>
      </c>
      <c r="AP1055" s="517" t="str">
        <f t="shared" ca="1" si="232"/>
        <v/>
      </c>
      <c r="AQ1055" s="521">
        <f>VLOOKUP($I1055,'Price List, Weapons &amp; Items'!A:K,COLUMN('Price List, Weapons &amp; Items'!$K$1),0)</f>
        <v>2</v>
      </c>
      <c r="AS1055" s="521">
        <f t="shared" si="239"/>
        <v>1</v>
      </c>
      <c r="AT1055" s="521">
        <f t="shared" si="240"/>
        <v>1</v>
      </c>
      <c r="AU1055" s="521">
        <f t="shared" si="241"/>
        <v>1</v>
      </c>
      <c r="AV1055" s="521" t="str">
        <f t="shared" si="242"/>
        <v>.</v>
      </c>
    </row>
    <row r="1056" spans="1:48" ht="15" customHeight="1">
      <c r="A1056" s="18" t="s">
        <v>2627</v>
      </c>
      <c r="B1056" s="46" t="s">
        <v>2548</v>
      </c>
      <c r="C1056" s="550">
        <v>44819</v>
      </c>
      <c r="D1056" s="46" t="s">
        <v>252</v>
      </c>
      <c r="E1056" s="18" t="s">
        <v>1157</v>
      </c>
      <c r="F1056" s="46" t="s">
        <v>2708</v>
      </c>
      <c r="G1056" s="39" t="s">
        <v>314</v>
      </c>
      <c r="H1056" s="563">
        <v>600000000</v>
      </c>
      <c r="I1056" s="46" t="s">
        <v>1269</v>
      </c>
      <c r="J1056" s="276" t="str">
        <f>VLOOKUP($I1056,'Price List, Weapons &amp; Items'!A:B,2,0)</f>
        <v>Military equipment</v>
      </c>
      <c r="K1056" s="276" t="str">
        <f>IF(I1056=".",I1056,VLOOKUP($I1056,'Price List, Weapons &amp; Items'!A:C,3,0))</f>
        <v>.</v>
      </c>
      <c r="L1056" s="514">
        <f>VLOOKUP(I1056,'Price List, Weapons &amp; Items'!A:D,4,0)</f>
        <v>0</v>
      </c>
      <c r="M1056" s="46">
        <v>8</v>
      </c>
      <c r="N1056" s="46" t="s">
        <v>232</v>
      </c>
      <c r="O1056" s="516" t="str">
        <f>VLOOKUP($I1056,'Price List, Weapons &amp; Items'!A:F,6,0)</f>
        <v>.</v>
      </c>
      <c r="P1056" s="513" t="str">
        <f t="shared" si="234"/>
        <v>No price</v>
      </c>
      <c r="Q1056" s="513" t="str">
        <f t="shared" si="235"/>
        <v>.</v>
      </c>
      <c r="R1056" s="513" t="str">
        <f t="shared" si="243"/>
        <v/>
      </c>
      <c r="S1056" s="513" t="str">
        <f>IF(AND(AD1056=1,R1056&lt;&gt;".")=TRUE,R1056/VLOOKUP(G1056,'Exchange rates'!B:C,2,0),IF(R1056=".",".",""))</f>
        <v/>
      </c>
      <c r="T1056" s="513" t="str">
        <f>IF(AD1056=1,IF(AF1056="Value is not given at all",".",IF(AF1056="Value is given by the source",S1056,IF(AF1056="Value is calculated with prices",(IF(SUMIFS(Q:Q,A:A,A1056)&gt;0,SUMIFS(Q:Q,A:A,A1056),"."))/VLOOKUP("USD",'Exchange rates'!B:C,2,0),"Error with coding"))),"")</f>
        <v/>
      </c>
      <c r="U1056" s="39" t="s">
        <v>233</v>
      </c>
      <c r="V1056" s="826" t="s">
        <v>2709</v>
      </c>
      <c r="W1056" s="376" t="s">
        <v>232</v>
      </c>
      <c r="X1056" s="376" t="s">
        <v>232</v>
      </c>
      <c r="Y1056" s="376" t="s">
        <v>232</v>
      </c>
      <c r="Z1056" s="552">
        <v>0</v>
      </c>
      <c r="AA1056" s="552">
        <v>0</v>
      </c>
      <c r="AB1056" s="41" t="s">
        <v>232</v>
      </c>
      <c r="AC1056" s="519" t="str">
        <f>""</f>
        <v/>
      </c>
      <c r="AD1056" s="522">
        <v>0</v>
      </c>
      <c r="AE1056" s="522" t="s">
        <v>2590</v>
      </c>
      <c r="AF1056" s="522" t="s">
        <v>237</v>
      </c>
      <c r="AG1056" s="522">
        <v>1</v>
      </c>
      <c r="AH1056" s="522">
        <v>9</v>
      </c>
      <c r="AI1056" s="522">
        <v>0</v>
      </c>
      <c r="AJ1056" s="520">
        <f>VLOOKUP($I1056,'Price List, Weapons &amp; Items'!A:E,5,0)</f>
        <v>0</v>
      </c>
      <c r="AK1056" s="520">
        <f t="shared" si="236"/>
        <v>0</v>
      </c>
      <c r="AL1056" s="520">
        <f t="shared" si="237"/>
        <v>0</v>
      </c>
      <c r="AM1056" s="520">
        <f t="shared" si="238"/>
        <v>0</v>
      </c>
      <c r="AN1056" s="521" t="str">
        <f>VLOOKUP($I1056,'Price List, Weapons &amp; Items'!A:K,COLUMN('Price List, Weapons &amp; Items'!$I$1),0)</f>
        <v>.</v>
      </c>
      <c r="AO1056" s="521" t="str">
        <f>IF(I1056=".",".",VLOOKUP($I1056,'Price List, Weapons &amp; Items'!A:I,3,0))</f>
        <v>.</v>
      </c>
      <c r="AP1056" s="517" t="str">
        <f t="shared" ca="1" si="232"/>
        <v/>
      </c>
      <c r="AQ1056" s="521">
        <f>VLOOKUP($I1056,'Price List, Weapons &amp; Items'!A:K,COLUMN('Price List, Weapons &amp; Items'!$K$1),0)</f>
        <v>0</v>
      </c>
      <c r="AS1056" s="521">
        <f t="shared" si="239"/>
        <v>1</v>
      </c>
      <c r="AT1056" s="521">
        <f t="shared" si="240"/>
        <v>1</v>
      </c>
      <c r="AU1056" s="521">
        <f t="shared" si="241"/>
        <v>1</v>
      </c>
      <c r="AV1056" s="521" t="str">
        <f t="shared" si="242"/>
        <v>.</v>
      </c>
    </row>
    <row r="1057" spans="1:48" ht="15" customHeight="1">
      <c r="A1057" s="18" t="s">
        <v>2627</v>
      </c>
      <c r="B1057" s="46" t="s">
        <v>2548</v>
      </c>
      <c r="C1057" s="550">
        <v>44819</v>
      </c>
      <c r="D1057" s="46" t="s">
        <v>252</v>
      </c>
      <c r="E1057" s="18" t="s">
        <v>1157</v>
      </c>
      <c r="F1057" s="46" t="s">
        <v>2708</v>
      </c>
      <c r="G1057" s="39" t="s">
        <v>314</v>
      </c>
      <c r="H1057" s="563">
        <v>600000000</v>
      </c>
      <c r="I1057" s="46" t="s">
        <v>2712</v>
      </c>
      <c r="J1057" s="276" t="str">
        <f>VLOOKUP($I1057,'Price List, Weapons &amp; Items'!A:B,2,0)</f>
        <v>Aviation and drones</v>
      </c>
      <c r="K1057" s="276" t="str">
        <f>IF(I1057=".",I1057,VLOOKUP($I1057,'Price List, Weapons &amp; Items'!A:C,3,0))</f>
        <v>Unknown drone</v>
      </c>
      <c r="L1057" s="514">
        <f>VLOOKUP(I1057,'Price List, Weapons &amp; Items'!A:D,4,0)</f>
        <v>0</v>
      </c>
      <c r="M1057" s="46" t="s">
        <v>264</v>
      </c>
      <c r="N1057" s="46" t="s">
        <v>232</v>
      </c>
      <c r="O1057" s="516">
        <f>VLOOKUP($I1057,'Price List, Weapons &amp; Items'!A:F,6,0)</f>
        <v>15000000</v>
      </c>
      <c r="P1057" s="513" t="str">
        <f t="shared" si="234"/>
        <v>.</v>
      </c>
      <c r="Q1057" s="513" t="str">
        <f t="shared" si="235"/>
        <v>.</v>
      </c>
      <c r="R1057" s="513" t="str">
        <f t="shared" si="243"/>
        <v/>
      </c>
      <c r="S1057" s="513" t="str">
        <f>IF(AND(AD1057=1,R1057&lt;&gt;".")=TRUE,R1057/VLOOKUP(G1057,'Exchange rates'!B:C,2,0),IF(R1057=".",".",""))</f>
        <v/>
      </c>
      <c r="T1057" s="513" t="str">
        <f>IF(AD1057=1,IF(AF1057="Value is not given at all",".",IF(AF1057="Value is given by the source",S1057,IF(AF1057="Value is calculated with prices",(IF(SUMIFS(Q:Q,A:A,A1057)&gt;0,SUMIFS(Q:Q,A:A,A1057),"."))/VLOOKUP("USD",'Exchange rates'!B:C,2,0),"Error with coding"))),"")</f>
        <v/>
      </c>
      <c r="U1057" s="39" t="s">
        <v>233</v>
      </c>
      <c r="V1057" s="826" t="s">
        <v>2709</v>
      </c>
      <c r="W1057" s="376" t="s">
        <v>232</v>
      </c>
      <c r="X1057" s="376" t="s">
        <v>232</v>
      </c>
      <c r="Y1057" s="376" t="s">
        <v>232</v>
      </c>
      <c r="Z1057" s="552">
        <v>0</v>
      </c>
      <c r="AA1057" s="552">
        <v>0</v>
      </c>
      <c r="AB1057" s="41" t="s">
        <v>232</v>
      </c>
      <c r="AC1057" s="519" t="str">
        <f>""</f>
        <v/>
      </c>
      <c r="AD1057" s="522">
        <v>0</v>
      </c>
      <c r="AE1057" s="522" t="s">
        <v>2590</v>
      </c>
      <c r="AF1057" s="522" t="s">
        <v>237</v>
      </c>
      <c r="AG1057" s="522">
        <v>1</v>
      </c>
      <c r="AH1057" s="522">
        <v>9</v>
      </c>
      <c r="AI1057" s="522">
        <v>0</v>
      </c>
      <c r="AJ1057" s="520">
        <f>VLOOKUP($I1057,'Price List, Weapons &amp; Items'!A:E,5,0)</f>
        <v>0</v>
      </c>
      <c r="AK1057" s="520">
        <f t="shared" si="236"/>
        <v>0</v>
      </c>
      <c r="AL1057" s="520">
        <f t="shared" si="237"/>
        <v>0</v>
      </c>
      <c r="AM1057" s="520">
        <f t="shared" si="238"/>
        <v>0</v>
      </c>
      <c r="AN1057" s="521" t="str">
        <f>VLOOKUP($I1057,'Price List, Weapons &amp; Items'!A:K,COLUMN('Price List, Weapons &amp; Items'!$I$1),0)</f>
        <v>Miscellaneous</v>
      </c>
      <c r="AO1057" s="521" t="str">
        <f>IF(I1057=".",".",VLOOKUP($I1057,'Price List, Weapons &amp; Items'!A:I,3,0))</f>
        <v>Unknown drone</v>
      </c>
      <c r="AP1057" s="517" t="str">
        <f t="shared" ca="1" si="232"/>
        <v/>
      </c>
      <c r="AQ1057" s="521" t="str">
        <f>VLOOKUP($I1057,'Price List, Weapons &amp; Items'!A:K,COLUMN('Price List, Weapons &amp; Items'!$K$1),0)</f>
        <v>no price, 0 count</v>
      </c>
      <c r="AS1057" s="521">
        <f t="shared" si="239"/>
        <v>1</v>
      </c>
      <c r="AT1057" s="521">
        <f t="shared" si="240"/>
        <v>1</v>
      </c>
      <c r="AU1057" s="521">
        <f t="shared" si="241"/>
        <v>1</v>
      </c>
      <c r="AV1057" s="521" t="str">
        <f t="shared" si="242"/>
        <v>.</v>
      </c>
    </row>
    <row r="1058" spans="1:48" ht="15" customHeight="1">
      <c r="A1058" s="18" t="s">
        <v>2627</v>
      </c>
      <c r="B1058" s="46" t="s">
        <v>2548</v>
      </c>
      <c r="C1058" s="550">
        <v>44819</v>
      </c>
      <c r="D1058" s="46" t="s">
        <v>252</v>
      </c>
      <c r="E1058" s="18" t="s">
        <v>1157</v>
      </c>
      <c r="F1058" s="46" t="s">
        <v>2708</v>
      </c>
      <c r="G1058" s="39" t="s">
        <v>314</v>
      </c>
      <c r="H1058" s="563">
        <v>600000000</v>
      </c>
      <c r="I1058" s="46" t="s">
        <v>2696</v>
      </c>
      <c r="J1058" s="276" t="str">
        <f>VLOOKUP($I1058,'Price List, Weapons &amp; Items'!A:B,2,0)</f>
        <v>Military equipment</v>
      </c>
      <c r="K1058" s="276" t="str">
        <f>IF(I1058=".",I1058,VLOOKUP($I1058,'Price List, Weapons &amp; Items'!A:C,3,0))</f>
        <v>.</v>
      </c>
      <c r="L1058" s="514">
        <f>VLOOKUP(I1058,'Price List, Weapons &amp; Items'!A:D,4,0)</f>
        <v>0</v>
      </c>
      <c r="M1058" s="46" t="s">
        <v>232</v>
      </c>
      <c r="N1058" s="46" t="s">
        <v>232</v>
      </c>
      <c r="O1058" s="516" t="str">
        <f>VLOOKUP($I1058,'Price List, Weapons &amp; Items'!A:F,6,0)</f>
        <v>.</v>
      </c>
      <c r="P1058" s="513" t="str">
        <f t="shared" si="234"/>
        <v>.</v>
      </c>
      <c r="Q1058" s="513" t="str">
        <f t="shared" si="235"/>
        <v>.</v>
      </c>
      <c r="R1058" s="513" t="str">
        <f t="shared" si="243"/>
        <v/>
      </c>
      <c r="S1058" s="513" t="str">
        <f>IF(AND(AD1058=1,R1058&lt;&gt;".")=TRUE,R1058/VLOOKUP(G1058,'Exchange rates'!B:C,2,0),IF(R1058=".",".",""))</f>
        <v/>
      </c>
      <c r="T1058" s="513" t="str">
        <f>IF(AD1058=1,IF(AF1058="Value is not given at all",".",IF(AF1058="Value is given by the source",S1058,IF(AF1058="Value is calculated with prices",(IF(SUMIFS(Q:Q,A:A,A1058)&gt;0,SUMIFS(Q:Q,A:A,A1058),"."))/VLOOKUP("USD",'Exchange rates'!B:C,2,0),"Error with coding"))),"")</f>
        <v/>
      </c>
      <c r="U1058" s="39" t="s">
        <v>233</v>
      </c>
      <c r="V1058" s="826" t="s">
        <v>2709</v>
      </c>
      <c r="W1058" s="376" t="s">
        <v>232</v>
      </c>
      <c r="X1058" s="376" t="s">
        <v>232</v>
      </c>
      <c r="Y1058" s="376" t="s">
        <v>232</v>
      </c>
      <c r="Z1058" s="552">
        <v>0</v>
      </c>
      <c r="AA1058" s="552">
        <v>0</v>
      </c>
      <c r="AB1058" s="41" t="s">
        <v>232</v>
      </c>
      <c r="AC1058" s="519" t="str">
        <f>""</f>
        <v/>
      </c>
      <c r="AD1058" s="522">
        <v>0</v>
      </c>
      <c r="AE1058" s="522" t="s">
        <v>2590</v>
      </c>
      <c r="AF1058" s="522" t="s">
        <v>237</v>
      </c>
      <c r="AG1058" s="522">
        <v>1</v>
      </c>
      <c r="AH1058" s="522">
        <v>9</v>
      </c>
      <c r="AI1058" s="522">
        <v>0</v>
      </c>
      <c r="AJ1058" s="520">
        <f>VLOOKUP($I1058,'Price List, Weapons &amp; Items'!A:E,5,0)</f>
        <v>0</v>
      </c>
      <c r="AK1058" s="520">
        <f t="shared" si="236"/>
        <v>0</v>
      </c>
      <c r="AL1058" s="520">
        <f t="shared" si="237"/>
        <v>0</v>
      </c>
      <c r="AM1058" s="520">
        <f t="shared" si="238"/>
        <v>0</v>
      </c>
      <c r="AN1058" s="521" t="str">
        <f>VLOOKUP($I1058,'Price List, Weapons &amp; Items'!A:K,COLUMN('Price List, Weapons &amp; Items'!$I$1),0)</f>
        <v>.</v>
      </c>
      <c r="AO1058" s="521" t="str">
        <f>IF(I1058=".",".",VLOOKUP($I1058,'Price List, Weapons &amp; Items'!A:I,3,0))</f>
        <v>.</v>
      </c>
      <c r="AP1058" s="517" t="str">
        <f t="shared" ca="1" si="232"/>
        <v/>
      </c>
      <c r="AQ1058" s="521" t="str">
        <f>VLOOKUP($I1058,'Price List, Weapons &amp; Items'!A:K,COLUMN('Price List, Weapons &amp; Items'!$K$1),0)</f>
        <v>no price, 0 count</v>
      </c>
      <c r="AS1058" s="521">
        <f t="shared" si="239"/>
        <v>1</v>
      </c>
      <c r="AT1058" s="521">
        <f t="shared" si="240"/>
        <v>1</v>
      </c>
      <c r="AU1058" s="521">
        <f t="shared" si="241"/>
        <v>1</v>
      </c>
      <c r="AV1058" s="521" t="str">
        <f t="shared" si="242"/>
        <v>.</v>
      </c>
    </row>
    <row r="1059" spans="1:48" ht="15" customHeight="1">
      <c r="A1059" s="18" t="s">
        <v>2627</v>
      </c>
      <c r="B1059" s="46" t="s">
        <v>2548</v>
      </c>
      <c r="C1059" s="550">
        <v>44819</v>
      </c>
      <c r="D1059" s="46" t="s">
        <v>252</v>
      </c>
      <c r="E1059" s="18" t="s">
        <v>1157</v>
      </c>
      <c r="F1059" s="46" t="s">
        <v>2708</v>
      </c>
      <c r="G1059" s="39" t="s">
        <v>314</v>
      </c>
      <c r="H1059" s="563">
        <v>600000000</v>
      </c>
      <c r="I1059" s="46" t="s">
        <v>2617</v>
      </c>
      <c r="J1059" s="276" t="str">
        <f>VLOOKUP($I1059,'Price List, Weapons &amp; Items'!A:B,2,0)</f>
        <v>Light armaments &amp; infantry</v>
      </c>
      <c r="K1059" s="276" t="str">
        <f>IF(I1059=".",I1059,VLOOKUP($I1059,'Price List, Weapons &amp; Items'!A:C,3,0))</f>
        <v>Explosive</v>
      </c>
      <c r="L1059" s="514">
        <f>VLOOKUP(I1059,'Price List, Weapons &amp; Items'!A:D,4,0)</f>
        <v>0</v>
      </c>
      <c r="M1059" s="46" t="s">
        <v>264</v>
      </c>
      <c r="N1059" s="46" t="s">
        <v>232</v>
      </c>
      <c r="O1059" s="516">
        <f>VLOOKUP($I1059,'Price List, Weapons &amp; Items'!A:F,6,0)</f>
        <v>223.15</v>
      </c>
      <c r="P1059" s="513" t="str">
        <f t="shared" si="234"/>
        <v>.</v>
      </c>
      <c r="Q1059" s="513" t="str">
        <f t="shared" si="235"/>
        <v>.</v>
      </c>
      <c r="R1059" s="513" t="str">
        <f t="shared" si="243"/>
        <v/>
      </c>
      <c r="S1059" s="513" t="str">
        <f>IF(AND(AD1059=1,R1059&lt;&gt;".")=TRUE,R1059/VLOOKUP(G1059,'Exchange rates'!B:C,2,0),IF(R1059=".",".",""))</f>
        <v/>
      </c>
      <c r="T1059" s="513" t="str">
        <f>IF(AD1059=1,IF(AF1059="Value is not given at all",".",IF(AF1059="Value is given by the source",S1059,IF(AF1059="Value is calculated with prices",(IF(SUMIFS(Q:Q,A:A,A1059)&gt;0,SUMIFS(Q:Q,A:A,A1059),"."))/VLOOKUP("USD",'Exchange rates'!B:C,2,0),"Error with coding"))),"")</f>
        <v/>
      </c>
      <c r="U1059" s="39" t="s">
        <v>233</v>
      </c>
      <c r="V1059" s="826" t="s">
        <v>2709</v>
      </c>
      <c r="W1059" s="376" t="s">
        <v>232</v>
      </c>
      <c r="X1059" s="376" t="s">
        <v>232</v>
      </c>
      <c r="Y1059" s="376" t="s">
        <v>232</v>
      </c>
      <c r="Z1059" s="552">
        <v>0</v>
      </c>
      <c r="AA1059" s="552">
        <v>0</v>
      </c>
      <c r="AB1059" s="41" t="s">
        <v>232</v>
      </c>
      <c r="AC1059" s="519" t="str">
        <f>""</f>
        <v/>
      </c>
      <c r="AD1059" s="522">
        <v>0</v>
      </c>
      <c r="AE1059" s="522" t="s">
        <v>2590</v>
      </c>
      <c r="AF1059" s="522" t="s">
        <v>237</v>
      </c>
      <c r="AG1059" s="522">
        <v>1</v>
      </c>
      <c r="AH1059" s="522">
        <v>9</v>
      </c>
      <c r="AI1059" s="522">
        <v>0</v>
      </c>
      <c r="AJ1059" s="520">
        <f>VLOOKUP($I1059,'Price List, Weapons &amp; Items'!A:E,5,0)</f>
        <v>0</v>
      </c>
      <c r="AK1059" s="520">
        <f t="shared" si="236"/>
        <v>0</v>
      </c>
      <c r="AL1059" s="520">
        <f t="shared" si="237"/>
        <v>0</v>
      </c>
      <c r="AM1059" s="520">
        <f t="shared" si="238"/>
        <v>0</v>
      </c>
      <c r="AN1059" s="521" t="str">
        <f>VLOOKUP($I1059,'Price List, Weapons &amp; Items'!A:K,COLUMN('Price List, Weapons &amp; Items'!$I$1),0)</f>
        <v>Miscellaneous</v>
      </c>
      <c r="AO1059" s="521" t="str">
        <f>IF(I1059=".",".",VLOOKUP($I1059,'Price List, Weapons &amp; Items'!A:I,3,0))</f>
        <v>Explosive</v>
      </c>
      <c r="AP1059" s="517" t="str">
        <f t="shared" ca="1" si="232"/>
        <v/>
      </c>
      <c r="AQ1059" s="521" t="str">
        <f>VLOOKUP($I1059,'Price List, Weapons &amp; Items'!A:K,COLUMN('Price List, Weapons &amp; Items'!$K$1),0)</f>
        <v>no price, 0 count</v>
      </c>
      <c r="AS1059" s="521">
        <f t="shared" si="239"/>
        <v>1</v>
      </c>
      <c r="AT1059" s="521">
        <f t="shared" si="240"/>
        <v>1</v>
      </c>
      <c r="AU1059" s="521">
        <f t="shared" si="241"/>
        <v>1</v>
      </c>
      <c r="AV1059" s="521" t="str">
        <f t="shared" si="242"/>
        <v>.</v>
      </c>
    </row>
    <row r="1060" spans="1:48" ht="15" customHeight="1">
      <c r="A1060" s="18" t="s">
        <v>2627</v>
      </c>
      <c r="B1060" s="46" t="s">
        <v>2548</v>
      </c>
      <c r="C1060" s="550">
        <v>44819</v>
      </c>
      <c r="D1060" s="46" t="s">
        <v>252</v>
      </c>
      <c r="E1060" s="18" t="s">
        <v>1157</v>
      </c>
      <c r="F1060" s="46" t="s">
        <v>2708</v>
      </c>
      <c r="G1060" s="39" t="s">
        <v>314</v>
      </c>
      <c r="H1060" s="563">
        <v>600000000</v>
      </c>
      <c r="I1060" s="46" t="s">
        <v>2697</v>
      </c>
      <c r="J1060" s="276" t="str">
        <f>VLOOKUP($I1060,'Price List, Weapons &amp; Items'!A:B,2,0)</f>
        <v>Military equipment</v>
      </c>
      <c r="K1060" s="276" t="str">
        <f>IF(I1060=".",I1060,VLOOKUP($I1060,'Price List, Weapons &amp; Items'!A:C,3,0))</f>
        <v>.</v>
      </c>
      <c r="L1060" s="514">
        <f>VLOOKUP(I1060,'Price List, Weapons &amp; Items'!A:D,4,0)</f>
        <v>0</v>
      </c>
      <c r="M1060" s="46" t="s">
        <v>264</v>
      </c>
      <c r="N1060" s="46" t="s">
        <v>232</v>
      </c>
      <c r="O1060" s="516">
        <f>VLOOKUP($I1060,'Price List, Weapons &amp; Items'!A:F,6,0)</f>
        <v>90</v>
      </c>
      <c r="P1060" s="513" t="str">
        <f t="shared" si="234"/>
        <v>.</v>
      </c>
      <c r="Q1060" s="513" t="str">
        <f t="shared" si="235"/>
        <v>.</v>
      </c>
      <c r="R1060" s="513" t="str">
        <f t="shared" si="243"/>
        <v/>
      </c>
      <c r="S1060" s="513" t="str">
        <f>IF(AND(AD1060=1,R1060&lt;&gt;".")=TRUE,R1060/VLOOKUP(G1060,'Exchange rates'!B:C,2,0),IF(R1060=".",".",""))</f>
        <v/>
      </c>
      <c r="T1060" s="513" t="str">
        <f>IF(AD1060=1,IF(AF1060="Value is not given at all",".",IF(AF1060="Value is given by the source",S1060,IF(AF1060="Value is calculated with prices",(IF(SUMIFS(Q:Q,A:A,A1060)&gt;0,SUMIFS(Q:Q,A:A,A1060),"."))/VLOOKUP("USD",'Exchange rates'!B:C,2,0),"Error with coding"))),"")</f>
        <v/>
      </c>
      <c r="U1060" s="39" t="s">
        <v>233</v>
      </c>
      <c r="V1060" s="826" t="s">
        <v>2709</v>
      </c>
      <c r="W1060" s="376" t="s">
        <v>232</v>
      </c>
      <c r="X1060" s="376" t="s">
        <v>232</v>
      </c>
      <c r="Y1060" s="376" t="s">
        <v>232</v>
      </c>
      <c r="Z1060" s="552">
        <v>0</v>
      </c>
      <c r="AA1060" s="552">
        <v>0</v>
      </c>
      <c r="AB1060" s="41" t="s">
        <v>232</v>
      </c>
      <c r="AC1060" s="519" t="str">
        <f>""</f>
        <v/>
      </c>
      <c r="AD1060" s="522">
        <v>0</v>
      </c>
      <c r="AE1060" s="522" t="s">
        <v>2590</v>
      </c>
      <c r="AF1060" s="522" t="s">
        <v>237</v>
      </c>
      <c r="AG1060" s="522">
        <v>1</v>
      </c>
      <c r="AH1060" s="522">
        <v>9</v>
      </c>
      <c r="AI1060" s="522">
        <v>0</v>
      </c>
      <c r="AJ1060" s="520">
        <f>VLOOKUP($I1060,'Price List, Weapons &amp; Items'!A:E,5,0)</f>
        <v>0</v>
      </c>
      <c r="AK1060" s="520">
        <f t="shared" si="236"/>
        <v>0</v>
      </c>
      <c r="AL1060" s="520">
        <f t="shared" si="237"/>
        <v>0</v>
      </c>
      <c r="AM1060" s="520">
        <f t="shared" si="238"/>
        <v>0</v>
      </c>
      <c r="AN1060" s="521" t="str">
        <f>VLOOKUP($I1060,'Price List, Weapons &amp; Items'!A:K,COLUMN('Price List, Weapons &amp; Items'!$I$1),0)</f>
        <v>Media reports (incl. social media)</v>
      </c>
      <c r="AO1060" s="521" t="str">
        <f>IF(I1060=".",".",VLOOKUP($I1060,'Price List, Weapons &amp; Items'!A:I,3,0))</f>
        <v>.</v>
      </c>
      <c r="AP1060" s="517" t="str">
        <f t="shared" ref="AP1060:AP1123" ca="1" si="244">IF(AD1060=1,_xlfn.ARRAYTOTEXT(OFFSET(I1060,0,0,COUNTIF(A:A,A1060),1)),"")</f>
        <v/>
      </c>
      <c r="AQ1060" s="521" t="str">
        <f>VLOOKUP($I1060,'Price List, Weapons &amp; Items'!A:K,COLUMN('Price List, Weapons &amp; Items'!$K$1),0)</f>
        <v>no price, 0 count</v>
      </c>
      <c r="AS1060" s="521">
        <f t="shared" si="239"/>
        <v>1</v>
      </c>
      <c r="AT1060" s="521">
        <f t="shared" si="240"/>
        <v>1</v>
      </c>
      <c r="AU1060" s="521">
        <f t="shared" si="241"/>
        <v>1</v>
      </c>
      <c r="AV1060" s="521" t="str">
        <f t="shared" si="242"/>
        <v>.</v>
      </c>
    </row>
    <row r="1061" spans="1:48" ht="15" customHeight="1">
      <c r="A1061" s="18" t="s">
        <v>2627</v>
      </c>
      <c r="B1061" s="46" t="s">
        <v>2548</v>
      </c>
      <c r="C1061" s="550">
        <v>44819</v>
      </c>
      <c r="D1061" s="46" t="s">
        <v>252</v>
      </c>
      <c r="E1061" s="18" t="s">
        <v>1157</v>
      </c>
      <c r="F1061" s="46" t="s">
        <v>2708</v>
      </c>
      <c r="G1061" s="39" t="s">
        <v>314</v>
      </c>
      <c r="H1061" s="563">
        <v>600000000</v>
      </c>
      <c r="I1061" s="46" t="s">
        <v>2713</v>
      </c>
      <c r="J1061" s="276" t="str">
        <f>VLOOKUP($I1061,'Price List, Weapons &amp; Items'!A:B,2,0)</f>
        <v>Ammunition for light infantry</v>
      </c>
      <c r="K1061" s="276" t="str">
        <f>IF(I1061=".",I1061,VLOOKUP($I1061,'Price List, Weapons &amp; Items'!A:C,3,0))</f>
        <v>Small Arms and Light Weapons (SALW) ammunition</v>
      </c>
      <c r="L1061" s="514">
        <f>VLOOKUP(I1061,'Price List, Weapons &amp; Items'!A:D,4,0)</f>
        <v>0</v>
      </c>
      <c r="M1061" s="46">
        <v>24000000</v>
      </c>
      <c r="N1061" s="46" t="s">
        <v>232</v>
      </c>
      <c r="O1061" s="516" t="str">
        <f>VLOOKUP($I1061,'Price List, Weapons &amp; Items'!A:F,6,0)</f>
        <v>.</v>
      </c>
      <c r="P1061" s="513" t="str">
        <f t="shared" si="234"/>
        <v>No price</v>
      </c>
      <c r="Q1061" s="513" t="str">
        <f t="shared" si="235"/>
        <v>.</v>
      </c>
      <c r="R1061" s="513" t="str">
        <f t="shared" si="243"/>
        <v/>
      </c>
      <c r="S1061" s="513" t="str">
        <f>IF(AND(AD1061=1,R1061&lt;&gt;".")=TRUE,R1061/VLOOKUP(G1061,'Exchange rates'!B:C,2,0),IF(R1061=".",".",""))</f>
        <v/>
      </c>
      <c r="T1061" s="513" t="str">
        <f>IF(AD1061=1,IF(AF1061="Value is not given at all",".",IF(AF1061="Value is given by the source",S1061,IF(AF1061="Value is calculated with prices",(IF(SUMIFS(Q:Q,A:A,A1061)&gt;0,SUMIFS(Q:Q,A:A,A1061),"."))/VLOOKUP("USD",'Exchange rates'!B:C,2,0),"Error with coding"))),"")</f>
        <v/>
      </c>
      <c r="U1061" s="39" t="s">
        <v>233</v>
      </c>
      <c r="V1061" s="826" t="s">
        <v>2709</v>
      </c>
      <c r="W1061" s="376" t="s">
        <v>232</v>
      </c>
      <c r="X1061" s="376" t="s">
        <v>232</v>
      </c>
      <c r="Y1061" s="376" t="s">
        <v>232</v>
      </c>
      <c r="Z1061" s="552">
        <v>0</v>
      </c>
      <c r="AA1061" s="552">
        <v>0</v>
      </c>
      <c r="AB1061" s="41" t="s">
        <v>232</v>
      </c>
      <c r="AC1061" s="519" t="str">
        <f>""</f>
        <v/>
      </c>
      <c r="AD1061" s="522">
        <v>0</v>
      </c>
      <c r="AE1061" s="522" t="s">
        <v>2590</v>
      </c>
      <c r="AF1061" s="522" t="s">
        <v>237</v>
      </c>
      <c r="AG1061" s="522">
        <v>1</v>
      </c>
      <c r="AH1061" s="522">
        <v>9</v>
      </c>
      <c r="AI1061" s="522">
        <v>0</v>
      </c>
      <c r="AJ1061" s="520">
        <f>VLOOKUP($I1061,'Price List, Weapons &amp; Items'!A:E,5,0)</f>
        <v>0</v>
      </c>
      <c r="AK1061" s="520">
        <f t="shared" si="236"/>
        <v>0</v>
      </c>
      <c r="AL1061" s="520">
        <f t="shared" si="237"/>
        <v>0</v>
      </c>
      <c r="AM1061" s="520">
        <f t="shared" si="238"/>
        <v>1</v>
      </c>
      <c r="AN1061" s="521" t="str">
        <f>VLOOKUP($I1061,'Price List, Weapons &amp; Items'!A:K,COLUMN('Price List, Weapons &amp; Items'!$I$1),0)</f>
        <v>.</v>
      </c>
      <c r="AO1061" s="521" t="str">
        <f>IF(I1061=".",".",VLOOKUP($I1061,'Price List, Weapons &amp; Items'!A:I,3,0))</f>
        <v>Small Arms and Light Weapons (SALW) ammunition</v>
      </c>
      <c r="AP1061" s="517" t="str">
        <f t="shared" ca="1" si="244"/>
        <v/>
      </c>
      <c r="AQ1061" s="521">
        <f>VLOOKUP($I1061,'Price List, Weapons &amp; Items'!A:K,COLUMN('Price List, Weapons &amp; Items'!$K$1),0)</f>
        <v>0</v>
      </c>
      <c r="AS1061" s="521">
        <f t="shared" si="239"/>
        <v>1</v>
      </c>
      <c r="AT1061" s="521">
        <f t="shared" si="240"/>
        <v>1</v>
      </c>
      <c r="AU1061" s="521">
        <f t="shared" si="241"/>
        <v>1</v>
      </c>
      <c r="AV1061" s="521" t="str">
        <f t="shared" si="242"/>
        <v>.</v>
      </c>
    </row>
    <row r="1062" spans="1:48" ht="15" customHeight="1">
      <c r="A1062" s="18" t="s">
        <v>2627</v>
      </c>
      <c r="B1062" s="46" t="s">
        <v>2548</v>
      </c>
      <c r="C1062" s="550">
        <v>44819</v>
      </c>
      <c r="D1062" s="46" t="s">
        <v>252</v>
      </c>
      <c r="E1062" s="18" t="s">
        <v>1157</v>
      </c>
      <c r="F1062" s="46" t="s">
        <v>2708</v>
      </c>
      <c r="G1062" s="39" t="s">
        <v>314</v>
      </c>
      <c r="H1062" s="563">
        <v>600000000</v>
      </c>
      <c r="I1062" s="46" t="s">
        <v>1858</v>
      </c>
      <c r="J1062" s="276" t="str">
        <f>VLOOKUP($I1062,'Price List, Weapons &amp; Items'!A:B,2,0)</f>
        <v>Military equipment</v>
      </c>
      <c r="K1062" s="276" t="str">
        <f>IF(I1062=".",I1062,VLOOKUP($I1062,'Price List, Weapons &amp; Items'!A:C,3,0))</f>
        <v>.</v>
      </c>
      <c r="L1062" s="514">
        <f>VLOOKUP(I1062,'Price List, Weapons &amp; Items'!A:D,4,0)</f>
        <v>0</v>
      </c>
      <c r="M1062" s="46" t="s">
        <v>264</v>
      </c>
      <c r="N1062" s="46" t="s">
        <v>232</v>
      </c>
      <c r="O1062" s="516">
        <f>VLOOKUP($I1062,'Price List, Weapons &amp; Items'!A:F,6,0)</f>
        <v>2320</v>
      </c>
      <c r="P1062" s="513" t="str">
        <f t="shared" si="234"/>
        <v>.</v>
      </c>
      <c r="Q1062" s="513" t="str">
        <f t="shared" si="235"/>
        <v>.</v>
      </c>
      <c r="R1062" s="513" t="str">
        <f t="shared" si="243"/>
        <v/>
      </c>
      <c r="S1062" s="513" t="str">
        <f>IF(AND(AD1062=1,R1062&lt;&gt;".")=TRUE,R1062/VLOOKUP(G1062,'Exchange rates'!B:C,2,0),IF(R1062=".",".",""))</f>
        <v/>
      </c>
      <c r="T1062" s="513" t="str">
        <f>IF(AD1062=1,IF(AF1062="Value is not given at all",".",IF(AF1062="Value is given by the source",S1062,IF(AF1062="Value is calculated with prices",(IF(SUMIFS(Q:Q,A:A,A1062)&gt;0,SUMIFS(Q:Q,A:A,A1062),"."))/VLOOKUP("USD",'Exchange rates'!B:C,2,0),"Error with coding"))),"")</f>
        <v/>
      </c>
      <c r="U1062" s="39" t="s">
        <v>233</v>
      </c>
      <c r="V1062" s="826" t="s">
        <v>2709</v>
      </c>
      <c r="W1062" s="376" t="s">
        <v>232</v>
      </c>
      <c r="X1062" s="376" t="s">
        <v>232</v>
      </c>
      <c r="Y1062" s="376" t="s">
        <v>232</v>
      </c>
      <c r="Z1062" s="552">
        <v>0</v>
      </c>
      <c r="AA1062" s="552">
        <v>0</v>
      </c>
      <c r="AB1062" s="41" t="s">
        <v>232</v>
      </c>
      <c r="AC1062" s="519" t="str">
        <f>""</f>
        <v/>
      </c>
      <c r="AD1062" s="522">
        <v>0</v>
      </c>
      <c r="AE1062" s="522" t="s">
        <v>2590</v>
      </c>
      <c r="AF1062" s="522" t="s">
        <v>237</v>
      </c>
      <c r="AG1062" s="522">
        <v>1</v>
      </c>
      <c r="AH1062" s="522">
        <v>9</v>
      </c>
      <c r="AI1062" s="522">
        <v>0</v>
      </c>
      <c r="AJ1062" s="520">
        <f>VLOOKUP($I1062,'Price List, Weapons &amp; Items'!A:E,5,0)</f>
        <v>0</v>
      </c>
      <c r="AK1062" s="520">
        <f t="shared" si="236"/>
        <v>0</v>
      </c>
      <c r="AL1062" s="520">
        <f t="shared" si="237"/>
        <v>0</v>
      </c>
      <c r="AM1062" s="520">
        <f t="shared" si="238"/>
        <v>0</v>
      </c>
      <c r="AN1062" s="521" t="str">
        <f>VLOOKUP($I1062,'Price List, Weapons &amp; Items'!A:K,COLUMN('Price List, Weapons &amp; Items'!$I$1),0)</f>
        <v>Media reports (incl. social media)</v>
      </c>
      <c r="AO1062" s="521" t="str">
        <f>IF(I1062=".",".",VLOOKUP($I1062,'Price List, Weapons &amp; Items'!A:I,3,0))</f>
        <v>.</v>
      </c>
      <c r="AP1062" s="517" t="str">
        <f t="shared" ca="1" si="244"/>
        <v/>
      </c>
      <c r="AQ1062" s="521">
        <f>VLOOKUP($I1062,'Price List, Weapons &amp; Items'!A:K,COLUMN('Price List, Weapons &amp; Items'!$K$1),0)</f>
        <v>2</v>
      </c>
      <c r="AS1062" s="521">
        <f t="shared" si="239"/>
        <v>1</v>
      </c>
      <c r="AT1062" s="521">
        <f t="shared" si="240"/>
        <v>1</v>
      </c>
      <c r="AU1062" s="521">
        <f t="shared" si="241"/>
        <v>1</v>
      </c>
      <c r="AV1062" s="521" t="str">
        <f t="shared" si="242"/>
        <v>.</v>
      </c>
    </row>
    <row r="1063" spans="1:48" ht="15" customHeight="1">
      <c r="A1063" s="18" t="s">
        <v>2627</v>
      </c>
      <c r="B1063" s="46" t="s">
        <v>2548</v>
      </c>
      <c r="C1063" s="550">
        <v>44819</v>
      </c>
      <c r="D1063" s="46" t="s">
        <v>252</v>
      </c>
      <c r="E1063" s="18" t="s">
        <v>1157</v>
      </c>
      <c r="F1063" s="46" t="s">
        <v>2708</v>
      </c>
      <c r="G1063" s="39" t="s">
        <v>314</v>
      </c>
      <c r="H1063" s="563">
        <v>600000000</v>
      </c>
      <c r="I1063" s="46" t="s">
        <v>2714</v>
      </c>
      <c r="J1063" s="276" t="str">
        <f>VLOOKUP($I1063,'Price List, Weapons &amp; Items'!A:B,2,0)</f>
        <v>Military equipment</v>
      </c>
      <c r="K1063" s="276" t="str">
        <f>IF(I1063=".",I1063,VLOOKUP($I1063,'Price List, Weapons &amp; Items'!A:C,3,0))</f>
        <v>.</v>
      </c>
      <c r="L1063" s="514">
        <f>VLOOKUP(I1063,'Price List, Weapons &amp; Items'!A:D,4,0)</f>
        <v>0</v>
      </c>
      <c r="M1063" s="46" t="s">
        <v>264</v>
      </c>
      <c r="N1063" s="46" t="s">
        <v>232</v>
      </c>
      <c r="O1063" s="516" t="str">
        <f>VLOOKUP($I1063,'Price List, Weapons &amp; Items'!A:F,6,0)</f>
        <v>.</v>
      </c>
      <c r="P1063" s="513" t="str">
        <f t="shared" si="234"/>
        <v>.</v>
      </c>
      <c r="Q1063" s="513" t="str">
        <f t="shared" si="235"/>
        <v>.</v>
      </c>
      <c r="R1063" s="513" t="str">
        <f t="shared" si="243"/>
        <v/>
      </c>
      <c r="S1063" s="513" t="str">
        <f>IF(AND(AD1063=1,R1063&lt;&gt;".")=TRUE,R1063/VLOOKUP(G1063,'Exchange rates'!B:C,2,0),IF(R1063=".",".",""))</f>
        <v/>
      </c>
      <c r="T1063" s="513" t="str">
        <f>IF(AD1063=1,IF(AF1063="Value is not given at all",".",IF(AF1063="Value is given by the source",S1063,IF(AF1063="Value is calculated with prices",(IF(SUMIFS(Q:Q,A:A,A1063)&gt;0,SUMIFS(Q:Q,A:A,A1063),"."))/VLOOKUP("USD",'Exchange rates'!B:C,2,0),"Error with coding"))),"")</f>
        <v/>
      </c>
      <c r="U1063" s="39" t="s">
        <v>233</v>
      </c>
      <c r="V1063" s="826" t="s">
        <v>2709</v>
      </c>
      <c r="W1063" s="376" t="s">
        <v>232</v>
      </c>
      <c r="X1063" s="376" t="s">
        <v>232</v>
      </c>
      <c r="Y1063" s="376" t="s">
        <v>232</v>
      </c>
      <c r="Z1063" s="552">
        <v>0</v>
      </c>
      <c r="AA1063" s="552">
        <v>0</v>
      </c>
      <c r="AB1063" s="41" t="s">
        <v>232</v>
      </c>
      <c r="AC1063" s="519" t="str">
        <f>""</f>
        <v/>
      </c>
      <c r="AD1063" s="522">
        <v>0</v>
      </c>
      <c r="AE1063" s="522" t="s">
        <v>2590</v>
      </c>
      <c r="AF1063" s="522" t="s">
        <v>237</v>
      </c>
      <c r="AG1063" s="522">
        <v>1</v>
      </c>
      <c r="AH1063" s="522">
        <v>9</v>
      </c>
      <c r="AI1063" s="522">
        <v>0</v>
      </c>
      <c r="AJ1063" s="520">
        <f>VLOOKUP($I1063,'Price List, Weapons &amp; Items'!A:E,5,0)</f>
        <v>0</v>
      </c>
      <c r="AK1063" s="520">
        <f t="shared" si="236"/>
        <v>0</v>
      </c>
      <c r="AL1063" s="520">
        <f t="shared" si="237"/>
        <v>0</v>
      </c>
      <c r="AM1063" s="520">
        <f t="shared" si="238"/>
        <v>0</v>
      </c>
      <c r="AN1063" s="521" t="str">
        <f>VLOOKUP($I1063,'Price List, Weapons &amp; Items'!A:K,COLUMN('Price List, Weapons &amp; Items'!$I$1),0)</f>
        <v>.</v>
      </c>
      <c r="AO1063" s="521" t="str">
        <f>IF(I1063=".",".",VLOOKUP($I1063,'Price List, Weapons &amp; Items'!A:I,3,0))</f>
        <v>.</v>
      </c>
      <c r="AP1063" s="517" t="str">
        <f t="shared" ca="1" si="244"/>
        <v/>
      </c>
      <c r="AQ1063" s="521" t="str">
        <f>VLOOKUP($I1063,'Price List, Weapons &amp; Items'!A:K,COLUMN('Price List, Weapons &amp; Items'!$K$1),0)</f>
        <v>no price, 0 count</v>
      </c>
      <c r="AS1063" s="521">
        <f t="shared" si="239"/>
        <v>1</v>
      </c>
      <c r="AT1063" s="521">
        <f t="shared" si="240"/>
        <v>1</v>
      </c>
      <c r="AU1063" s="521">
        <f t="shared" si="241"/>
        <v>1</v>
      </c>
      <c r="AV1063" s="521" t="str">
        <f t="shared" si="242"/>
        <v>.</v>
      </c>
    </row>
    <row r="1064" spans="1:48" ht="15" customHeight="1">
      <c r="A1064" s="18" t="s">
        <v>2627</v>
      </c>
      <c r="B1064" s="46" t="s">
        <v>2548</v>
      </c>
      <c r="C1064" s="550">
        <v>44819</v>
      </c>
      <c r="D1064" s="46" t="s">
        <v>252</v>
      </c>
      <c r="E1064" s="18" t="s">
        <v>1157</v>
      </c>
      <c r="F1064" s="46" t="s">
        <v>2708</v>
      </c>
      <c r="G1064" s="39" t="s">
        <v>314</v>
      </c>
      <c r="H1064" s="563">
        <v>600000000</v>
      </c>
      <c r="I1064" s="46" t="s">
        <v>2707</v>
      </c>
      <c r="J1064" s="276" t="str">
        <f>VLOOKUP($I1064,'Price List, Weapons &amp; Items'!A:B,2,0)</f>
        <v>Military equipment</v>
      </c>
      <c r="K1064" s="276" t="str">
        <f>IF(I1064=".",I1064,VLOOKUP($I1064,'Price List, Weapons &amp; Items'!A:C,3,0))</f>
        <v>.</v>
      </c>
      <c r="L1064" s="514">
        <f>VLOOKUP(I1064,'Price List, Weapons &amp; Items'!A:D,4,0)</f>
        <v>0</v>
      </c>
      <c r="M1064" s="46" t="s">
        <v>232</v>
      </c>
      <c r="N1064" s="46" t="s">
        <v>232</v>
      </c>
      <c r="O1064" s="516" t="str">
        <f>VLOOKUP($I1064,'Price List, Weapons &amp; Items'!A:F,6,0)</f>
        <v>.</v>
      </c>
      <c r="P1064" s="513" t="str">
        <f t="shared" si="234"/>
        <v>.</v>
      </c>
      <c r="Q1064" s="513" t="str">
        <f t="shared" si="235"/>
        <v>.</v>
      </c>
      <c r="R1064" s="513" t="str">
        <f t="shared" si="243"/>
        <v/>
      </c>
      <c r="S1064" s="513" t="str">
        <f>IF(AND(AD1064=1,R1064&lt;&gt;".")=TRUE,R1064/VLOOKUP(G1064,'Exchange rates'!B:C,2,0),IF(R1064=".",".",""))</f>
        <v/>
      </c>
      <c r="T1064" s="513" t="str">
        <f>IF(AD1064=1,IF(AF1064="Value is not given at all",".",IF(AF1064="Value is given by the source",S1064,IF(AF1064="Value is calculated with prices",(IF(SUMIFS(Q:Q,A:A,A1064)&gt;0,SUMIFS(Q:Q,A:A,A1064),"."))/VLOOKUP("USD",'Exchange rates'!B:C,2,0),"Error with coding"))),"")</f>
        <v/>
      </c>
      <c r="U1064" s="39" t="s">
        <v>233</v>
      </c>
      <c r="V1064" s="826" t="s">
        <v>2709</v>
      </c>
      <c r="W1064" s="376" t="s">
        <v>232</v>
      </c>
      <c r="X1064" s="376" t="s">
        <v>232</v>
      </c>
      <c r="Y1064" s="376" t="s">
        <v>232</v>
      </c>
      <c r="Z1064" s="552">
        <v>0</v>
      </c>
      <c r="AA1064" s="552">
        <v>0</v>
      </c>
      <c r="AB1064" s="41" t="s">
        <v>232</v>
      </c>
      <c r="AC1064" s="519" t="str">
        <f>""</f>
        <v/>
      </c>
      <c r="AD1064" s="522">
        <v>0</v>
      </c>
      <c r="AE1064" s="522" t="s">
        <v>2590</v>
      </c>
      <c r="AF1064" s="522" t="s">
        <v>237</v>
      </c>
      <c r="AG1064" s="522">
        <v>1</v>
      </c>
      <c r="AH1064" s="522">
        <v>9</v>
      </c>
      <c r="AI1064" s="522">
        <v>0</v>
      </c>
      <c r="AJ1064" s="520">
        <f>VLOOKUP($I1064,'Price List, Weapons &amp; Items'!A:E,5,0)</f>
        <v>0</v>
      </c>
      <c r="AK1064" s="520">
        <f t="shared" si="236"/>
        <v>0</v>
      </c>
      <c r="AL1064" s="520">
        <f t="shared" si="237"/>
        <v>0</v>
      </c>
      <c r="AM1064" s="520">
        <f t="shared" si="238"/>
        <v>0</v>
      </c>
      <c r="AN1064" s="521" t="str">
        <f>VLOOKUP($I1064,'Price List, Weapons &amp; Items'!A:K,COLUMN('Price List, Weapons &amp; Items'!$I$1),0)</f>
        <v>.</v>
      </c>
      <c r="AO1064" s="521" t="str">
        <f>IF(I1064=".",".",VLOOKUP($I1064,'Price List, Weapons &amp; Items'!A:I,3,0))</f>
        <v>.</v>
      </c>
      <c r="AP1064" s="517" t="str">
        <f t="shared" ca="1" si="244"/>
        <v/>
      </c>
      <c r="AQ1064" s="521" t="str">
        <f>VLOOKUP($I1064,'Price List, Weapons &amp; Items'!A:K,COLUMN('Price List, Weapons &amp; Items'!$K$1),0)</f>
        <v>no price, 0 count</v>
      </c>
      <c r="AS1064" s="521">
        <f t="shared" si="239"/>
        <v>1</v>
      </c>
      <c r="AT1064" s="521">
        <f t="shared" si="240"/>
        <v>1</v>
      </c>
      <c r="AU1064" s="521">
        <f t="shared" si="241"/>
        <v>1</v>
      </c>
      <c r="AV1064" s="521" t="str">
        <f t="shared" si="242"/>
        <v>.</v>
      </c>
    </row>
    <row r="1065" spans="1:48" ht="15" customHeight="1">
      <c r="A1065" s="18" t="s">
        <v>2715</v>
      </c>
      <c r="B1065" s="18" t="s">
        <v>2548</v>
      </c>
      <c r="C1065" s="511">
        <v>44676</v>
      </c>
      <c r="D1065" s="18" t="s">
        <v>252</v>
      </c>
      <c r="E1065" s="46" t="s">
        <v>253</v>
      </c>
      <c r="F1065" s="512" t="s">
        <v>2716</v>
      </c>
      <c r="G1065" s="39" t="s">
        <v>314</v>
      </c>
      <c r="H1065" s="513">
        <v>322000000</v>
      </c>
      <c r="I1065" s="524" t="s">
        <v>2717</v>
      </c>
      <c r="J1065" s="276" t="str">
        <f>VLOOKUP($I1065,'Price List, Weapons &amp; Items'!A:B,2,0)</f>
        <v>Ammunition for heavy weapon</v>
      </c>
      <c r="K1065" s="276" t="str">
        <f>IF(I1065=".",I1065,VLOOKUP($I1065,'Price List, Weapons &amp; Items'!A:C,3,0))</f>
        <v>152mm howitzer ammunition</v>
      </c>
      <c r="L1065" s="514">
        <f>VLOOKUP(I1065,'Price List, Weapons &amp; Items'!A:D,4,0)</f>
        <v>0</v>
      </c>
      <c r="M1065" s="515" t="s">
        <v>264</v>
      </c>
      <c r="N1065" s="515" t="s">
        <v>232</v>
      </c>
      <c r="O1065" s="516">
        <f>VLOOKUP($I1065,'Price List, Weapons &amp; Items'!A:F,6,0)</f>
        <v>3800</v>
      </c>
      <c r="P1065" s="513" t="str">
        <f t="shared" si="234"/>
        <v>.</v>
      </c>
      <c r="Q1065" s="513" t="str">
        <f t="shared" si="235"/>
        <v>.</v>
      </c>
      <c r="R1065" s="513">
        <f t="shared" si="243"/>
        <v>322000000</v>
      </c>
      <c r="S1065" s="513">
        <f>IF(AND(AD1065=1,R1065&lt;&gt;".")=TRUE,R1065/VLOOKUP(G1065,'Exchange rates'!B:C,2,0),IF(R1065=".",".",""))</f>
        <v>320876930.7424016</v>
      </c>
      <c r="T1065" s="513" t="str">
        <f>IF(AD1065=1,IF(AF1065="Value is not given at all",".",IF(AF1065="Value is given by the source",S1065,IF(AF1065="Value is calculated with prices",(IF(SUMIFS(Q:Q,A:A,A1065)&gt;0,SUMIFS(Q:Q,A:A,A1065),"."))/VLOOKUP("USD",'Exchange rates'!B:C,2,0),"Error with coding"))),"")</f>
        <v>.</v>
      </c>
      <c r="U1065" s="39" t="s">
        <v>233</v>
      </c>
      <c r="V1065" s="376" t="s">
        <v>2559</v>
      </c>
      <c r="W1065" s="376" t="s">
        <v>2718</v>
      </c>
      <c r="X1065" s="827" t="s">
        <v>2603</v>
      </c>
      <c r="Y1065" s="512" t="s">
        <v>232</v>
      </c>
      <c r="Z1065" s="39">
        <v>0</v>
      </c>
      <c r="AA1065" s="39">
        <v>0</v>
      </c>
      <c r="AB1065" s="41" t="s">
        <v>232</v>
      </c>
      <c r="AC1065" s="519" t="str">
        <f>""</f>
        <v/>
      </c>
      <c r="AD1065" s="522">
        <v>1</v>
      </c>
      <c r="AE1065" s="522" t="s">
        <v>236</v>
      </c>
      <c r="AF1065" s="522" t="s">
        <v>237</v>
      </c>
      <c r="AG1065" s="522">
        <v>1</v>
      </c>
      <c r="AH1065" s="522">
        <v>4</v>
      </c>
      <c r="AI1065" s="522">
        <v>0</v>
      </c>
      <c r="AJ1065" s="520">
        <f>VLOOKUP($I1065,'Price List, Weapons &amp; Items'!A:E,5,0)</f>
        <v>1</v>
      </c>
      <c r="AK1065" s="520">
        <f t="shared" si="236"/>
        <v>1</v>
      </c>
      <c r="AL1065" s="520">
        <f t="shared" si="237"/>
        <v>0</v>
      </c>
      <c r="AM1065" s="520">
        <f t="shared" si="238"/>
        <v>0</v>
      </c>
      <c r="AN1065" s="521" t="str">
        <f>VLOOKUP($I1065,'Price List, Weapons &amp; Items'!A:K,COLUMN('Price List, Weapons &amp; Items'!$I$1),0)</f>
        <v>Contracts</v>
      </c>
      <c r="AO1065" s="521" t="str">
        <f>IF(I1065=".",".",VLOOKUP($I1065,'Price List, Weapons &amp; Items'!A:I,3,0))</f>
        <v>152mm howitzer ammunition</v>
      </c>
      <c r="AP1065" s="517" t="str">
        <f t="shared" ca="1" si="244"/>
        <v>152 mm round for 2A36 Giatsint; 152 mm round for D-20 cannon; VOG-17 automatic grenade launcher AGS-17; 122 mm mortar round (non-NATO); 122 mm round for 2S1 Gvozdika; BM-21 GRAD Rocket; 300 mm round/rocket for MLRS "Smerch"; VOG-25 grenade for under barrel grenade launcher GP-25; 82 mm mortar round; 125 mm HE ammunition for T-72; 152 mm round for 2A65 Msta</v>
      </c>
      <c r="AQ1065" s="521" t="str">
        <f>VLOOKUP($I1065,'Price List, Weapons &amp; Items'!A:K,COLUMN('Price List, Weapons &amp; Items'!$K$1),0)</f>
        <v>no price, 0 count</v>
      </c>
      <c r="AS1065" s="521">
        <f t="shared" si="239"/>
        <v>1</v>
      </c>
      <c r="AT1065" s="521">
        <f t="shared" si="240"/>
        <v>1</v>
      </c>
      <c r="AU1065" s="521">
        <f t="shared" si="241"/>
        <v>1</v>
      </c>
      <c r="AV1065" s="521" t="str">
        <f t="shared" si="242"/>
        <v>.</v>
      </c>
    </row>
    <row r="1066" spans="1:48" ht="15" customHeight="1">
      <c r="A1066" s="18" t="s">
        <v>2715</v>
      </c>
      <c r="B1066" s="18" t="s">
        <v>2548</v>
      </c>
      <c r="C1066" s="511">
        <v>44676</v>
      </c>
      <c r="D1066" s="18" t="s">
        <v>252</v>
      </c>
      <c r="E1066" s="46" t="s">
        <v>253</v>
      </c>
      <c r="F1066" s="512" t="s">
        <v>2716</v>
      </c>
      <c r="G1066" s="39" t="s">
        <v>314</v>
      </c>
      <c r="H1066" s="513">
        <v>322000000</v>
      </c>
      <c r="I1066" s="524" t="s">
        <v>2719</v>
      </c>
      <c r="J1066" s="276" t="str">
        <f>VLOOKUP($I1066,'Price List, Weapons &amp; Items'!A:B,2,0)</f>
        <v>Ammunition for heavy weapon</v>
      </c>
      <c r="K1066" s="276" t="str">
        <f>IF(I1066=".",I1066,VLOOKUP($I1066,'Price List, Weapons &amp; Items'!A:C,3,0))</f>
        <v>152mm howitzer ammunition</v>
      </c>
      <c r="L1066" s="514">
        <f>VLOOKUP(I1066,'Price List, Weapons &amp; Items'!A:D,4,0)</f>
        <v>1</v>
      </c>
      <c r="M1066" s="515" t="s">
        <v>264</v>
      </c>
      <c r="N1066" s="515" t="s">
        <v>232</v>
      </c>
      <c r="O1066" s="516">
        <f>VLOOKUP($I1066,'Price List, Weapons &amp; Items'!A:F,6,0)</f>
        <v>3800</v>
      </c>
      <c r="P1066" s="513" t="str">
        <f t="shared" si="234"/>
        <v>.</v>
      </c>
      <c r="Q1066" s="513" t="str">
        <f t="shared" si="235"/>
        <v>.</v>
      </c>
      <c r="R1066" s="513" t="str">
        <f t="shared" si="243"/>
        <v/>
      </c>
      <c r="S1066" s="513" t="str">
        <f>IF(AND(AD1066=1,R1066&lt;&gt;".")=TRUE,R1066/VLOOKUP(G1066,'Exchange rates'!B:C,2,0),IF(R1066=".",".",""))</f>
        <v/>
      </c>
      <c r="T1066" s="513" t="str">
        <f>IF(AD1066=1,IF(AF1066="Value is not given at all",".",IF(AF1066="Value is given by the source",S1066,IF(AF1066="Value is calculated with prices",(IF(SUMIFS(Q:Q,A:A,A1066)&gt;0,SUMIFS(Q:Q,A:A,A1066),"."))/VLOOKUP("USD",'Exchange rates'!B:C,2,0),"Error with coding"))),"")</f>
        <v/>
      </c>
      <c r="U1066" s="39" t="s">
        <v>233</v>
      </c>
      <c r="V1066" s="376" t="s">
        <v>2559</v>
      </c>
      <c r="W1066" s="376" t="s">
        <v>2718</v>
      </c>
      <c r="X1066" s="827" t="s">
        <v>2720</v>
      </c>
      <c r="Y1066" s="517" t="s">
        <v>232</v>
      </c>
      <c r="Z1066" s="39">
        <v>0</v>
      </c>
      <c r="AA1066" s="39">
        <v>0</v>
      </c>
      <c r="AB1066" s="41" t="s">
        <v>232</v>
      </c>
      <c r="AC1066" s="519" t="str">
        <f>""</f>
        <v/>
      </c>
      <c r="AD1066" s="522">
        <v>0</v>
      </c>
      <c r="AE1066" s="522" t="s">
        <v>236</v>
      </c>
      <c r="AF1066" s="522" t="s">
        <v>237</v>
      </c>
      <c r="AG1066" s="522">
        <v>1</v>
      </c>
      <c r="AH1066" s="522">
        <v>4</v>
      </c>
      <c r="AI1066" s="522">
        <v>0</v>
      </c>
      <c r="AJ1066" s="520">
        <f>VLOOKUP($I1066,'Price List, Weapons &amp; Items'!A:E,5,0)</f>
        <v>1</v>
      </c>
      <c r="AK1066" s="520">
        <f t="shared" si="236"/>
        <v>1</v>
      </c>
      <c r="AL1066" s="520">
        <f t="shared" si="237"/>
        <v>0</v>
      </c>
      <c r="AM1066" s="520">
        <f t="shared" si="238"/>
        <v>0</v>
      </c>
      <c r="AN1066" s="521" t="str">
        <f>VLOOKUP($I1066,'Price List, Weapons &amp; Items'!A:K,COLUMN('Price List, Weapons &amp; Items'!$I$1),0)</f>
        <v>Contracts</v>
      </c>
      <c r="AO1066" s="521" t="str">
        <f>IF(I1066=".",".",VLOOKUP($I1066,'Price List, Weapons &amp; Items'!A:I,3,0))</f>
        <v>152mm howitzer ammunition</v>
      </c>
      <c r="AP1066" s="517" t="str">
        <f t="shared" ca="1" si="244"/>
        <v/>
      </c>
      <c r="AQ1066" s="521" t="str">
        <f>VLOOKUP($I1066,'Price List, Weapons &amp; Items'!A:K,COLUMN('Price List, Weapons &amp; Items'!$K$1),0)</f>
        <v>no price, 0 count</v>
      </c>
      <c r="AS1066" s="521">
        <f t="shared" si="239"/>
        <v>1</v>
      </c>
      <c r="AT1066" s="521">
        <f t="shared" si="240"/>
        <v>1</v>
      </c>
      <c r="AU1066" s="521">
        <f t="shared" si="241"/>
        <v>1</v>
      </c>
      <c r="AV1066" s="521" t="str">
        <f t="shared" si="242"/>
        <v>.</v>
      </c>
    </row>
    <row r="1067" spans="1:48" ht="15" customHeight="1">
      <c r="A1067" s="18" t="s">
        <v>2715</v>
      </c>
      <c r="B1067" s="18" t="s">
        <v>2548</v>
      </c>
      <c r="C1067" s="511">
        <v>44676</v>
      </c>
      <c r="D1067" s="18" t="s">
        <v>252</v>
      </c>
      <c r="E1067" s="46" t="s">
        <v>253</v>
      </c>
      <c r="F1067" s="512" t="s">
        <v>2716</v>
      </c>
      <c r="G1067" s="39" t="s">
        <v>314</v>
      </c>
      <c r="H1067" s="513">
        <v>322000000</v>
      </c>
      <c r="I1067" s="524" t="s">
        <v>2721</v>
      </c>
      <c r="J1067" s="276" t="str">
        <f>VLOOKUP($I1067,'Price List, Weapons &amp; Items'!A:B,2,0)</f>
        <v>Portable defence system</v>
      </c>
      <c r="K1067" s="276" t="str">
        <f>IF(I1067=".",I1067,VLOOKUP($I1067,'Price List, Weapons &amp; Items'!A:C,3,0))</f>
        <v>Light Anti-armor Weapon (LAW)</v>
      </c>
      <c r="L1067" s="514">
        <f>VLOOKUP(I1067,'Price List, Weapons &amp; Items'!A:D,4,0)</f>
        <v>0</v>
      </c>
      <c r="M1067" s="515" t="s">
        <v>264</v>
      </c>
      <c r="N1067" s="515" t="s">
        <v>232</v>
      </c>
      <c r="O1067" s="516">
        <f>VLOOKUP($I1067,'Price List, Weapons &amp; Items'!A:F,6,0)</f>
        <v>1100</v>
      </c>
      <c r="P1067" s="513" t="str">
        <f t="shared" si="234"/>
        <v>.</v>
      </c>
      <c r="Q1067" s="513" t="str">
        <f t="shared" si="235"/>
        <v>.</v>
      </c>
      <c r="R1067" s="513" t="str">
        <f t="shared" si="243"/>
        <v/>
      </c>
      <c r="S1067" s="513" t="str">
        <f>IF(AND(AD1067=1,R1067&lt;&gt;".")=TRUE,R1067/VLOOKUP(G1067,'Exchange rates'!B:C,2,0),IF(R1067=".",".",""))</f>
        <v/>
      </c>
      <c r="T1067" s="513" t="str">
        <f>IF(AD1067=1,IF(AF1067="Value is not given at all",".",IF(AF1067="Value is given by the source",S1067,IF(AF1067="Value is calculated with prices",(IF(SUMIFS(Q:Q,A:A,A1067)&gt;0,SUMIFS(Q:Q,A:A,A1067),"."))/VLOOKUP("USD",'Exchange rates'!B:C,2,0),"Error with coding"))),"")</f>
        <v/>
      </c>
      <c r="U1067" s="39" t="s">
        <v>233</v>
      </c>
      <c r="V1067" s="376" t="s">
        <v>2559</v>
      </c>
      <c r="W1067" s="376" t="s">
        <v>2718</v>
      </c>
      <c r="X1067" s="827" t="s">
        <v>2722</v>
      </c>
      <c r="Y1067" s="517" t="s">
        <v>232</v>
      </c>
      <c r="Z1067" s="39">
        <v>0</v>
      </c>
      <c r="AA1067" s="39">
        <v>0</v>
      </c>
      <c r="AB1067" s="41" t="s">
        <v>232</v>
      </c>
      <c r="AC1067" s="519" t="str">
        <f>""</f>
        <v/>
      </c>
      <c r="AD1067" s="522">
        <v>0</v>
      </c>
      <c r="AE1067" s="522" t="s">
        <v>236</v>
      </c>
      <c r="AF1067" s="522" t="s">
        <v>237</v>
      </c>
      <c r="AG1067" s="522">
        <v>1</v>
      </c>
      <c r="AH1067" s="522">
        <v>4</v>
      </c>
      <c r="AI1067" s="522">
        <v>0</v>
      </c>
      <c r="AJ1067" s="520">
        <f>VLOOKUP($I1067,'Price List, Weapons &amp; Items'!A:E,5,0)</f>
        <v>0</v>
      </c>
      <c r="AK1067" s="520">
        <f t="shared" si="236"/>
        <v>0</v>
      </c>
      <c r="AL1067" s="520">
        <f t="shared" si="237"/>
        <v>0</v>
      </c>
      <c r="AM1067" s="520">
        <f t="shared" si="238"/>
        <v>0</v>
      </c>
      <c r="AN1067" s="521" t="str">
        <f>VLOOKUP($I1067,'Price List, Weapons &amp; Items'!A:K,COLUMN('Price List, Weapons &amp; Items'!$I$1),0)</f>
        <v>Media reports (incl. social media)</v>
      </c>
      <c r="AO1067" s="521" t="str">
        <f>IF(I1067=".",".",VLOOKUP($I1067,'Price List, Weapons &amp; Items'!A:I,3,0))</f>
        <v>Light Anti-armor Weapon (LAW)</v>
      </c>
      <c r="AP1067" s="517" t="str">
        <f t="shared" ca="1" si="244"/>
        <v/>
      </c>
      <c r="AQ1067" s="521" t="str">
        <f>VLOOKUP($I1067,'Price List, Weapons &amp; Items'!A:K,COLUMN('Price List, Weapons &amp; Items'!$K$1),0)</f>
        <v>no price, 0 count</v>
      </c>
      <c r="AS1067" s="521">
        <f t="shared" si="239"/>
        <v>1</v>
      </c>
      <c r="AT1067" s="521">
        <f t="shared" si="240"/>
        <v>1</v>
      </c>
      <c r="AU1067" s="521">
        <f t="shared" si="241"/>
        <v>1</v>
      </c>
      <c r="AV1067" s="521" t="str">
        <f t="shared" si="242"/>
        <v>.</v>
      </c>
    </row>
    <row r="1068" spans="1:48" ht="15" customHeight="1">
      <c r="A1068" s="18" t="s">
        <v>2715</v>
      </c>
      <c r="B1068" s="18" t="s">
        <v>2548</v>
      </c>
      <c r="C1068" s="511">
        <v>44676</v>
      </c>
      <c r="D1068" s="18" t="s">
        <v>252</v>
      </c>
      <c r="E1068" s="46" t="s">
        <v>253</v>
      </c>
      <c r="F1068" s="512" t="s">
        <v>2716</v>
      </c>
      <c r="G1068" s="39" t="s">
        <v>314</v>
      </c>
      <c r="H1068" s="513">
        <v>322000000</v>
      </c>
      <c r="I1068" s="524" t="s">
        <v>2723</v>
      </c>
      <c r="J1068" s="276" t="str">
        <f>VLOOKUP($I1068,'Price List, Weapons &amp; Items'!A:B,2,0)</f>
        <v>Ammunition for heavy weapon</v>
      </c>
      <c r="K1068" s="276" t="str">
        <f>IF(I1068=".",I1068,VLOOKUP($I1068,'Price List, Weapons &amp; Items'!A:C,3,0))</f>
        <v>122mm howitzer ammunition</v>
      </c>
      <c r="L1068" s="514">
        <f>VLOOKUP(I1068,'Price List, Weapons &amp; Items'!A:D,4,0)</f>
        <v>0</v>
      </c>
      <c r="M1068" s="515" t="s">
        <v>264</v>
      </c>
      <c r="N1068" s="515" t="s">
        <v>232</v>
      </c>
      <c r="O1068" s="516">
        <f>VLOOKUP($I1068,'Price List, Weapons &amp; Items'!A:F,6,0)</f>
        <v>2000</v>
      </c>
      <c r="P1068" s="513" t="str">
        <f t="shared" si="234"/>
        <v>.</v>
      </c>
      <c r="Q1068" s="513" t="str">
        <f t="shared" si="235"/>
        <v>.</v>
      </c>
      <c r="R1068" s="513" t="str">
        <f t="shared" ref="R1068:R1090" si="245">IF(AD1068=1,IF(H1068&lt;&gt;"Not given",H1068,IF(TYPE(H1068)=2,IF(SUMIFS(P:P,A:A,A1068)&gt;0,SUMIFS(P:P,A:A,A1068),"."),"Format error")),"")</f>
        <v/>
      </c>
      <c r="S1068" s="513" t="str">
        <f>IF(AND(AD1068=1,R1068&lt;&gt;".")=TRUE,R1068/VLOOKUP(G1068,'Exchange rates'!B:C,2,0),IF(R1068=".",".",""))</f>
        <v/>
      </c>
      <c r="T1068" s="513" t="str">
        <f>IF(AD1068=1,IF(AF1068="Value is not given at all",".",IF(AF1068="Value is given by the source",S1068,IF(AF1068="Value is calculated with prices",(IF(SUMIFS(Q:Q,A:A,A1068)&gt;0,SUMIFS(Q:Q,A:A,A1068),"."))/VLOOKUP("USD",'Exchange rates'!B:C,2,0),"Error with coding"))),"")</f>
        <v/>
      </c>
      <c r="U1068" s="39" t="s">
        <v>233</v>
      </c>
      <c r="V1068" s="376" t="s">
        <v>2559</v>
      </c>
      <c r="W1068" s="376" t="s">
        <v>2718</v>
      </c>
      <c r="X1068" s="827" t="s">
        <v>2724</v>
      </c>
      <c r="Y1068" s="517" t="s">
        <v>232</v>
      </c>
      <c r="Z1068" s="39">
        <v>0</v>
      </c>
      <c r="AA1068" s="39">
        <v>0</v>
      </c>
      <c r="AB1068" s="41" t="s">
        <v>232</v>
      </c>
      <c r="AC1068" s="519" t="str">
        <f>""</f>
        <v/>
      </c>
      <c r="AD1068" s="522">
        <v>0</v>
      </c>
      <c r="AE1068" s="522" t="s">
        <v>236</v>
      </c>
      <c r="AF1068" s="522" t="s">
        <v>237</v>
      </c>
      <c r="AG1068" s="522">
        <v>1</v>
      </c>
      <c r="AH1068" s="522">
        <v>4</v>
      </c>
      <c r="AI1068" s="522">
        <v>0</v>
      </c>
      <c r="AJ1068" s="520">
        <f>VLOOKUP($I1068,'Price List, Weapons &amp; Items'!A:E,5,0)</f>
        <v>0</v>
      </c>
      <c r="AK1068" s="520">
        <f t="shared" si="236"/>
        <v>0</v>
      </c>
      <c r="AL1068" s="520">
        <f t="shared" si="237"/>
        <v>0</v>
      </c>
      <c r="AM1068" s="520">
        <f t="shared" si="238"/>
        <v>0</v>
      </c>
      <c r="AN1068" s="521" t="str">
        <f>VLOOKUP($I1068,'Price List, Weapons &amp; Items'!A:K,COLUMN('Price List, Weapons &amp; Items'!$I$1),0)</f>
        <v>Media reports (incl. social media)</v>
      </c>
      <c r="AO1068" s="521" t="str">
        <f>IF(I1068=".",".",VLOOKUP($I1068,'Price List, Weapons &amp; Items'!A:I,3,0))</f>
        <v>122mm howitzer ammunition</v>
      </c>
      <c r="AP1068" s="517" t="str">
        <f t="shared" ca="1" si="244"/>
        <v/>
      </c>
      <c r="AQ1068" s="521" t="str">
        <f>VLOOKUP($I1068,'Price List, Weapons &amp; Items'!A:K,COLUMN('Price List, Weapons &amp; Items'!$K$1),0)</f>
        <v>no price, 0 count</v>
      </c>
      <c r="AS1068" s="521">
        <f t="shared" si="239"/>
        <v>1</v>
      </c>
      <c r="AT1068" s="521">
        <f t="shared" si="240"/>
        <v>1</v>
      </c>
      <c r="AU1068" s="521">
        <f t="shared" si="241"/>
        <v>1</v>
      </c>
      <c r="AV1068" s="521" t="str">
        <f t="shared" si="242"/>
        <v>.</v>
      </c>
    </row>
    <row r="1069" spans="1:48" ht="15" customHeight="1">
      <c r="A1069" s="18" t="s">
        <v>2715</v>
      </c>
      <c r="B1069" s="18" t="s">
        <v>2548</v>
      </c>
      <c r="C1069" s="511">
        <v>44676</v>
      </c>
      <c r="D1069" s="18" t="s">
        <v>252</v>
      </c>
      <c r="E1069" s="46" t="s">
        <v>253</v>
      </c>
      <c r="F1069" s="512" t="s">
        <v>2716</v>
      </c>
      <c r="G1069" s="39" t="s">
        <v>314</v>
      </c>
      <c r="H1069" s="513">
        <v>322000000</v>
      </c>
      <c r="I1069" s="524" t="s">
        <v>2725</v>
      </c>
      <c r="J1069" s="276" t="str">
        <f>VLOOKUP($I1069,'Price List, Weapons &amp; Items'!A:B,2,0)</f>
        <v>Ammunition for heavy weapon</v>
      </c>
      <c r="K1069" s="276" t="str">
        <f>IF(I1069=".",I1069,VLOOKUP($I1069,'Price List, Weapons &amp; Items'!A:C,3,0))</f>
        <v>122mm howitzer ammunition</v>
      </c>
      <c r="L1069" s="514">
        <f>VLOOKUP(I1069,'Price List, Weapons &amp; Items'!A:D,4,0)</f>
        <v>1</v>
      </c>
      <c r="M1069" s="515" t="s">
        <v>264</v>
      </c>
      <c r="N1069" s="515" t="s">
        <v>232</v>
      </c>
      <c r="O1069" s="516">
        <f>VLOOKUP($I1069,'Price List, Weapons &amp; Items'!A:F,6,0)</f>
        <v>2000</v>
      </c>
      <c r="P1069" s="513" t="str">
        <f t="shared" si="234"/>
        <v>.</v>
      </c>
      <c r="Q1069" s="513" t="str">
        <f t="shared" si="235"/>
        <v>.</v>
      </c>
      <c r="R1069" s="513" t="str">
        <f t="shared" si="245"/>
        <v/>
      </c>
      <c r="S1069" s="513" t="str">
        <f>IF(AND(AD1069=1,R1069&lt;&gt;".")=TRUE,R1069/VLOOKUP(G1069,'Exchange rates'!B:C,2,0),IF(R1069=".",".",""))</f>
        <v/>
      </c>
      <c r="T1069" s="513" t="str">
        <f>IF(AD1069=1,IF(AF1069="Value is not given at all",".",IF(AF1069="Value is given by the source",S1069,IF(AF1069="Value is calculated with prices",(IF(SUMIFS(Q:Q,A:A,A1069)&gt;0,SUMIFS(Q:Q,A:A,A1069),"."))/VLOOKUP("USD",'Exchange rates'!B:C,2,0),"Error with coding"))),"")</f>
        <v/>
      </c>
      <c r="U1069" s="39" t="s">
        <v>233</v>
      </c>
      <c r="V1069" s="376" t="s">
        <v>2559</v>
      </c>
      <c r="W1069" s="376" t="s">
        <v>2718</v>
      </c>
      <c r="X1069" s="827" t="s">
        <v>2726</v>
      </c>
      <c r="Y1069" s="517" t="s">
        <v>232</v>
      </c>
      <c r="Z1069" s="39">
        <v>0</v>
      </c>
      <c r="AA1069" s="39">
        <v>0</v>
      </c>
      <c r="AB1069" s="41" t="s">
        <v>232</v>
      </c>
      <c r="AC1069" s="519" t="str">
        <f>""</f>
        <v/>
      </c>
      <c r="AD1069" s="522">
        <v>0</v>
      </c>
      <c r="AE1069" s="522" t="s">
        <v>236</v>
      </c>
      <c r="AF1069" s="522" t="s">
        <v>237</v>
      </c>
      <c r="AG1069" s="522">
        <v>1</v>
      </c>
      <c r="AH1069" s="522">
        <v>4</v>
      </c>
      <c r="AI1069" s="522">
        <v>0</v>
      </c>
      <c r="AJ1069" s="520">
        <f>VLOOKUP($I1069,'Price List, Weapons &amp; Items'!A:E,5,0)</f>
        <v>0</v>
      </c>
      <c r="AK1069" s="520">
        <f t="shared" si="236"/>
        <v>0</v>
      </c>
      <c r="AL1069" s="520">
        <f t="shared" si="237"/>
        <v>0</v>
      </c>
      <c r="AM1069" s="520">
        <f t="shared" si="238"/>
        <v>0</v>
      </c>
      <c r="AN1069" s="521" t="str">
        <f>VLOOKUP($I1069,'Price List, Weapons &amp; Items'!A:K,COLUMN('Price List, Weapons &amp; Items'!$I$1),0)</f>
        <v>Media reports (incl. social media)</v>
      </c>
      <c r="AO1069" s="521" t="str">
        <f>IF(I1069=".",".",VLOOKUP($I1069,'Price List, Weapons &amp; Items'!A:I,3,0))</f>
        <v>122mm howitzer ammunition</v>
      </c>
      <c r="AP1069" s="517" t="str">
        <f t="shared" ca="1" si="244"/>
        <v/>
      </c>
      <c r="AQ1069" s="521" t="str">
        <f>VLOOKUP($I1069,'Price List, Weapons &amp; Items'!A:K,COLUMN('Price List, Weapons &amp; Items'!$K$1),0)</f>
        <v>no price, 0 count</v>
      </c>
      <c r="AS1069" s="521">
        <f t="shared" si="239"/>
        <v>1</v>
      </c>
      <c r="AT1069" s="521">
        <f t="shared" si="240"/>
        <v>1</v>
      </c>
      <c r="AU1069" s="521">
        <f t="shared" si="241"/>
        <v>1</v>
      </c>
      <c r="AV1069" s="521" t="str">
        <f t="shared" si="242"/>
        <v>.</v>
      </c>
    </row>
    <row r="1070" spans="1:48" ht="15" customHeight="1">
      <c r="A1070" s="18" t="s">
        <v>2715</v>
      </c>
      <c r="B1070" s="18" t="s">
        <v>2548</v>
      </c>
      <c r="C1070" s="511">
        <v>44676</v>
      </c>
      <c r="D1070" s="18" t="s">
        <v>252</v>
      </c>
      <c r="E1070" s="46" t="s">
        <v>253</v>
      </c>
      <c r="F1070" s="512" t="s">
        <v>2716</v>
      </c>
      <c r="G1070" s="39" t="s">
        <v>314</v>
      </c>
      <c r="H1070" s="513">
        <v>322000000</v>
      </c>
      <c r="I1070" s="524" t="s">
        <v>2727</v>
      </c>
      <c r="J1070" s="276" t="str">
        <f>VLOOKUP($I1070,'Price List, Weapons &amp; Items'!A:B,2,0)</f>
        <v>Ammunition for heavy weapon</v>
      </c>
      <c r="K1070" s="276" t="str">
        <f>IF(I1070=".",I1070,VLOOKUP($I1070,'Price List, Weapons &amp; Items'!A:C,3,0))</f>
        <v>122mm MLRS ammunition</v>
      </c>
      <c r="L1070" s="514">
        <f>VLOOKUP(I1070,'Price List, Weapons &amp; Items'!A:D,4,0)</f>
        <v>1</v>
      </c>
      <c r="M1070" s="515" t="s">
        <v>264</v>
      </c>
      <c r="N1070" s="515" t="s">
        <v>232</v>
      </c>
      <c r="O1070" s="516">
        <f>VLOOKUP($I1070,'Price List, Weapons &amp; Items'!A:F,6,0)</f>
        <v>1000</v>
      </c>
      <c r="P1070" s="513" t="str">
        <f t="shared" si="234"/>
        <v>.</v>
      </c>
      <c r="Q1070" s="513" t="str">
        <f t="shared" si="235"/>
        <v>.</v>
      </c>
      <c r="R1070" s="513" t="str">
        <f t="shared" si="245"/>
        <v/>
      </c>
      <c r="S1070" s="513" t="str">
        <f>IF(AND(AD1070=1,R1070&lt;&gt;".")=TRUE,R1070/VLOOKUP(G1070,'Exchange rates'!B:C,2,0),IF(R1070=".",".",""))</f>
        <v/>
      </c>
      <c r="T1070" s="513" t="str">
        <f>IF(AD1070=1,IF(AF1070="Value is not given at all",".",IF(AF1070="Value is given by the source",S1070,IF(AF1070="Value is calculated with prices",(IF(SUMIFS(Q:Q,A:A,A1070)&gt;0,SUMIFS(Q:Q,A:A,A1070),"."))/VLOOKUP("USD",'Exchange rates'!B:C,2,0),"Error with coding"))),"")</f>
        <v/>
      </c>
      <c r="U1070" s="39" t="s">
        <v>233</v>
      </c>
      <c r="V1070" s="376" t="s">
        <v>2559</v>
      </c>
      <c r="W1070" s="376" t="s">
        <v>2718</v>
      </c>
      <c r="X1070" s="827" t="s">
        <v>2728</v>
      </c>
      <c r="Y1070" s="517" t="s">
        <v>232</v>
      </c>
      <c r="Z1070" s="39">
        <v>0</v>
      </c>
      <c r="AA1070" s="39">
        <v>0</v>
      </c>
      <c r="AB1070" s="41" t="s">
        <v>232</v>
      </c>
      <c r="AC1070" s="519" t="str">
        <f>""</f>
        <v/>
      </c>
      <c r="AD1070" s="522">
        <v>0</v>
      </c>
      <c r="AE1070" s="522" t="s">
        <v>236</v>
      </c>
      <c r="AF1070" s="522" t="s">
        <v>237</v>
      </c>
      <c r="AG1070" s="522">
        <v>1</v>
      </c>
      <c r="AH1070" s="522">
        <v>4</v>
      </c>
      <c r="AI1070" s="522">
        <v>0</v>
      </c>
      <c r="AJ1070" s="520">
        <f>VLOOKUP($I1070,'Price List, Weapons &amp; Items'!A:E,5,0)</f>
        <v>1</v>
      </c>
      <c r="AK1070" s="520">
        <f t="shared" si="236"/>
        <v>1</v>
      </c>
      <c r="AL1070" s="520">
        <f t="shared" si="237"/>
        <v>0</v>
      </c>
      <c r="AM1070" s="520">
        <f t="shared" si="238"/>
        <v>0</v>
      </c>
      <c r="AN1070" s="521" t="str">
        <f>VLOOKUP($I1070,'Price List, Weapons &amp; Items'!A:K,COLUMN('Price List, Weapons &amp; Items'!$I$1),0)</f>
        <v>Media reports (incl. social media)</v>
      </c>
      <c r="AO1070" s="521" t="str">
        <f>IF(I1070=".",".",VLOOKUP($I1070,'Price List, Weapons &amp; Items'!A:I,3,0))</f>
        <v>122mm MLRS ammunition</v>
      </c>
      <c r="AP1070" s="517" t="str">
        <f t="shared" ca="1" si="244"/>
        <v/>
      </c>
      <c r="AQ1070" s="521" t="str">
        <f>VLOOKUP($I1070,'Price List, Weapons &amp; Items'!A:K,COLUMN('Price List, Weapons &amp; Items'!$K$1),0)</f>
        <v>no price, 0 count</v>
      </c>
      <c r="AS1070" s="521">
        <f t="shared" si="239"/>
        <v>1</v>
      </c>
      <c r="AT1070" s="521">
        <f t="shared" si="240"/>
        <v>1</v>
      </c>
      <c r="AU1070" s="521">
        <f t="shared" si="241"/>
        <v>1</v>
      </c>
      <c r="AV1070" s="521" t="str">
        <f t="shared" si="242"/>
        <v>.</v>
      </c>
    </row>
    <row r="1071" spans="1:48" ht="15" customHeight="1">
      <c r="A1071" s="18" t="s">
        <v>2715</v>
      </c>
      <c r="B1071" s="18" t="s">
        <v>2548</v>
      </c>
      <c r="C1071" s="511">
        <v>44676</v>
      </c>
      <c r="D1071" s="18" t="s">
        <v>252</v>
      </c>
      <c r="E1071" s="46" t="s">
        <v>253</v>
      </c>
      <c r="F1071" s="512" t="s">
        <v>2716</v>
      </c>
      <c r="G1071" s="39" t="s">
        <v>314</v>
      </c>
      <c r="H1071" s="513">
        <v>322000000</v>
      </c>
      <c r="I1071" s="524" t="s">
        <v>2729</v>
      </c>
      <c r="J1071" s="276" t="str">
        <f>VLOOKUP($I1071,'Price List, Weapons &amp; Items'!A:B,2,0)</f>
        <v>Ammunition for heavy weapon</v>
      </c>
      <c r="K1071" s="276" t="str">
        <f>IF(I1071=".",I1071,VLOOKUP($I1071,'Price List, Weapons &amp; Items'!A:C,3,0))</f>
        <v>300mm MLRS ammunition</v>
      </c>
      <c r="L1071" s="514">
        <f>VLOOKUP(I1071,'Price List, Weapons &amp; Items'!A:D,4,0)</f>
        <v>0</v>
      </c>
      <c r="M1071" s="515" t="s">
        <v>264</v>
      </c>
      <c r="N1071" s="515" t="s">
        <v>232</v>
      </c>
      <c r="O1071" s="516">
        <f>VLOOKUP($I1071,'Price List, Weapons &amp; Items'!A:F,6,0)</f>
        <v>625000</v>
      </c>
      <c r="P1071" s="513" t="str">
        <f t="shared" si="234"/>
        <v>.</v>
      </c>
      <c r="Q1071" s="513" t="str">
        <f t="shared" si="235"/>
        <v>.</v>
      </c>
      <c r="R1071" s="513" t="str">
        <f t="shared" si="245"/>
        <v/>
      </c>
      <c r="S1071" s="513" t="str">
        <f>IF(AND(AD1071=1,R1071&lt;&gt;".")=TRUE,R1071/VLOOKUP(G1071,'Exchange rates'!B:C,2,0),IF(R1071=".",".",""))</f>
        <v/>
      </c>
      <c r="T1071" s="513" t="str">
        <f>IF(AD1071=1,IF(AF1071="Value is not given at all",".",IF(AF1071="Value is given by the source",S1071,IF(AF1071="Value is calculated with prices",(IF(SUMIFS(Q:Q,A:A,A1071)&gt;0,SUMIFS(Q:Q,A:A,A1071),"."))/VLOOKUP("USD",'Exchange rates'!B:C,2,0),"Error with coding"))),"")</f>
        <v/>
      </c>
      <c r="U1071" s="39" t="s">
        <v>233</v>
      </c>
      <c r="V1071" s="376" t="s">
        <v>2559</v>
      </c>
      <c r="W1071" s="376" t="s">
        <v>2718</v>
      </c>
      <c r="X1071" s="827" t="s">
        <v>2730</v>
      </c>
      <c r="Y1071" s="517" t="s">
        <v>232</v>
      </c>
      <c r="Z1071" s="39">
        <v>0</v>
      </c>
      <c r="AA1071" s="39">
        <v>0</v>
      </c>
      <c r="AB1071" s="41" t="s">
        <v>232</v>
      </c>
      <c r="AC1071" s="519" t="str">
        <f>""</f>
        <v/>
      </c>
      <c r="AD1071" s="522">
        <v>0</v>
      </c>
      <c r="AE1071" s="522" t="s">
        <v>236</v>
      </c>
      <c r="AF1071" s="522" t="s">
        <v>237</v>
      </c>
      <c r="AG1071" s="522">
        <v>1</v>
      </c>
      <c r="AH1071" s="522">
        <v>4</v>
      </c>
      <c r="AI1071" s="522">
        <v>0</v>
      </c>
      <c r="AJ1071" s="520">
        <f>VLOOKUP($I1071,'Price List, Weapons &amp; Items'!A:E,5,0)</f>
        <v>1</v>
      </c>
      <c r="AK1071" s="520">
        <f t="shared" si="236"/>
        <v>1</v>
      </c>
      <c r="AL1071" s="520">
        <f t="shared" si="237"/>
        <v>0</v>
      </c>
      <c r="AM1071" s="520">
        <f t="shared" si="238"/>
        <v>0</v>
      </c>
      <c r="AN1071" s="521" t="str">
        <f>VLOOKUP($I1071,'Price List, Weapons &amp; Items'!A:K,COLUMN('Price List, Weapons &amp; Items'!$I$1),0)</f>
        <v>Government information</v>
      </c>
      <c r="AO1071" s="521" t="str">
        <f>IF(I1071=".",".",VLOOKUP($I1071,'Price List, Weapons &amp; Items'!A:I,3,0))</f>
        <v>300mm MLRS ammunition</v>
      </c>
      <c r="AP1071" s="517" t="str">
        <f t="shared" ca="1" si="244"/>
        <v/>
      </c>
      <c r="AQ1071" s="521" t="str">
        <f>VLOOKUP($I1071,'Price List, Weapons &amp; Items'!A:K,COLUMN('Price List, Weapons &amp; Items'!$K$1),0)</f>
        <v>no price, 0 count</v>
      </c>
      <c r="AS1071" s="521">
        <f t="shared" si="239"/>
        <v>1</v>
      </c>
      <c r="AT1071" s="521">
        <f t="shared" si="240"/>
        <v>1</v>
      </c>
      <c r="AU1071" s="521">
        <f t="shared" si="241"/>
        <v>1</v>
      </c>
      <c r="AV1071" s="521" t="str">
        <f t="shared" si="242"/>
        <v>.</v>
      </c>
    </row>
    <row r="1072" spans="1:48" ht="15" customHeight="1">
      <c r="A1072" s="18" t="s">
        <v>2715</v>
      </c>
      <c r="B1072" s="18" t="s">
        <v>2548</v>
      </c>
      <c r="C1072" s="511">
        <v>44676</v>
      </c>
      <c r="D1072" s="18" t="s">
        <v>252</v>
      </c>
      <c r="E1072" s="46" t="s">
        <v>253</v>
      </c>
      <c r="F1072" s="512" t="s">
        <v>2716</v>
      </c>
      <c r="G1072" s="39" t="s">
        <v>314</v>
      </c>
      <c r="H1072" s="513">
        <v>322000000</v>
      </c>
      <c r="I1072" s="524" t="s">
        <v>2731</v>
      </c>
      <c r="J1072" s="276" t="str">
        <f>VLOOKUP($I1072,'Price List, Weapons &amp; Items'!A:B,2,0)</f>
        <v>Ammunition for portable defence system</v>
      </c>
      <c r="K1072" s="276" t="str">
        <f>IF(I1072=".",I1072,VLOOKUP($I1072,'Price List, Weapons &amp; Items'!A:C,3,0))</f>
        <v>Light Anti-armor Weapon (LAW) ammunition</v>
      </c>
      <c r="L1072" s="514">
        <f>VLOOKUP(I1072,'Price List, Weapons &amp; Items'!A:D,4,0)</f>
        <v>0</v>
      </c>
      <c r="M1072" s="515" t="s">
        <v>264</v>
      </c>
      <c r="N1072" s="515" t="s">
        <v>232</v>
      </c>
      <c r="O1072" s="516">
        <f>VLOOKUP($I1072,'Price List, Weapons &amp; Items'!A:F,6,0)</f>
        <v>1082</v>
      </c>
      <c r="P1072" s="513" t="str">
        <f t="shared" si="234"/>
        <v>.</v>
      </c>
      <c r="Q1072" s="513" t="str">
        <f t="shared" si="235"/>
        <v>.</v>
      </c>
      <c r="R1072" s="513" t="str">
        <f t="shared" si="245"/>
        <v/>
      </c>
      <c r="S1072" s="513" t="str">
        <f>IF(AND(AD1072=1,R1072&lt;&gt;".")=TRUE,R1072/VLOOKUP(G1072,'Exchange rates'!B:C,2,0),IF(R1072=".",".",""))</f>
        <v/>
      </c>
      <c r="T1072" s="513" t="str">
        <f>IF(AD1072=1,IF(AF1072="Value is not given at all",".",IF(AF1072="Value is given by the source",S1072,IF(AF1072="Value is calculated with prices",(IF(SUMIFS(Q:Q,A:A,A1072)&gt;0,SUMIFS(Q:Q,A:A,A1072),"."))/VLOOKUP("USD",'Exchange rates'!B:C,2,0),"Error with coding"))),"")</f>
        <v/>
      </c>
      <c r="U1072" s="39" t="s">
        <v>233</v>
      </c>
      <c r="V1072" s="376" t="s">
        <v>2559</v>
      </c>
      <c r="W1072" s="376" t="s">
        <v>2718</v>
      </c>
      <c r="X1072" s="827" t="s">
        <v>2732</v>
      </c>
      <c r="Y1072" s="517" t="s">
        <v>232</v>
      </c>
      <c r="Z1072" s="39">
        <v>0</v>
      </c>
      <c r="AA1072" s="39">
        <v>0</v>
      </c>
      <c r="AB1072" s="41" t="s">
        <v>232</v>
      </c>
      <c r="AC1072" s="519" t="str">
        <f>""</f>
        <v/>
      </c>
      <c r="AD1072" s="522">
        <v>0</v>
      </c>
      <c r="AE1072" s="522" t="s">
        <v>236</v>
      </c>
      <c r="AF1072" s="522" t="s">
        <v>237</v>
      </c>
      <c r="AG1072" s="522">
        <v>1</v>
      </c>
      <c r="AH1072" s="522">
        <v>4</v>
      </c>
      <c r="AI1072" s="522">
        <v>0</v>
      </c>
      <c r="AJ1072" s="520">
        <f>VLOOKUP($I1072,'Price List, Weapons &amp; Items'!A:E,5,0)</f>
        <v>0</v>
      </c>
      <c r="AK1072" s="520">
        <f t="shared" si="236"/>
        <v>0</v>
      </c>
      <c r="AL1072" s="520">
        <f t="shared" si="237"/>
        <v>0</v>
      </c>
      <c r="AM1072" s="520">
        <f t="shared" si="238"/>
        <v>0</v>
      </c>
      <c r="AN1072" s="521" t="str">
        <f>VLOOKUP($I1072,'Price List, Weapons &amp; Items'!A:K,COLUMN('Price List, Weapons &amp; Items'!$I$1),0)</f>
        <v>Miscellaneous</v>
      </c>
      <c r="AO1072" s="521" t="str">
        <f>IF(I1072=".",".",VLOOKUP($I1072,'Price List, Weapons &amp; Items'!A:I,3,0))</f>
        <v>Light Anti-armor Weapon (LAW) ammunition</v>
      </c>
      <c r="AP1072" s="517" t="str">
        <f t="shared" ca="1" si="244"/>
        <v/>
      </c>
      <c r="AQ1072" s="521" t="str">
        <f>VLOOKUP($I1072,'Price List, Weapons &amp; Items'!A:K,COLUMN('Price List, Weapons &amp; Items'!$K$1),0)</f>
        <v>no price, 0 count</v>
      </c>
      <c r="AS1072" s="521">
        <f t="shared" si="239"/>
        <v>1</v>
      </c>
      <c r="AT1072" s="521">
        <f t="shared" si="240"/>
        <v>1</v>
      </c>
      <c r="AU1072" s="521">
        <f t="shared" si="241"/>
        <v>1</v>
      </c>
      <c r="AV1072" s="521" t="str">
        <f t="shared" si="242"/>
        <v>.</v>
      </c>
    </row>
    <row r="1073" spans="1:48" ht="15" customHeight="1">
      <c r="A1073" s="18" t="s">
        <v>2715</v>
      </c>
      <c r="B1073" s="18" t="s">
        <v>2548</v>
      </c>
      <c r="C1073" s="511">
        <v>44676</v>
      </c>
      <c r="D1073" s="18" t="s">
        <v>252</v>
      </c>
      <c r="E1073" s="46" t="s">
        <v>253</v>
      </c>
      <c r="F1073" s="512" t="s">
        <v>2716</v>
      </c>
      <c r="G1073" s="39" t="s">
        <v>314</v>
      </c>
      <c r="H1073" s="513">
        <v>322000000</v>
      </c>
      <c r="I1073" s="524" t="s">
        <v>2733</v>
      </c>
      <c r="J1073" s="276" t="str">
        <f>VLOOKUP($I1073,'Price List, Weapons &amp; Items'!A:B,2,0)</f>
        <v>Ammunition for light infantry</v>
      </c>
      <c r="K1073" s="276" t="str">
        <f>IF(I1073=".",I1073,VLOOKUP($I1073,'Price List, Weapons &amp; Items'!A:C,3,0))</f>
        <v>Mortar ammunition</v>
      </c>
      <c r="L1073" s="514">
        <f>VLOOKUP(I1073,'Price List, Weapons &amp; Items'!A:D,4,0)</f>
        <v>0</v>
      </c>
      <c r="M1073" s="515" t="s">
        <v>264</v>
      </c>
      <c r="N1073" s="515" t="s">
        <v>232</v>
      </c>
      <c r="O1073" s="516" t="str">
        <f>VLOOKUP($I1073,'Price List, Weapons &amp; Items'!A:F,6,0)</f>
        <v>.</v>
      </c>
      <c r="P1073" s="513" t="str">
        <f t="shared" si="234"/>
        <v>.</v>
      </c>
      <c r="Q1073" s="513" t="str">
        <f t="shared" si="235"/>
        <v>.</v>
      </c>
      <c r="R1073" s="513" t="str">
        <f t="shared" si="245"/>
        <v/>
      </c>
      <c r="S1073" s="513" t="str">
        <f>IF(AND(AD1073=1,R1073&lt;&gt;".")=TRUE,R1073/VLOOKUP(G1073,'Exchange rates'!B:C,2,0),IF(R1073=".",".",""))</f>
        <v/>
      </c>
      <c r="T1073" s="513" t="str">
        <f>IF(AD1073=1,IF(AF1073="Value is not given at all",".",IF(AF1073="Value is given by the source",S1073,IF(AF1073="Value is calculated with prices",(IF(SUMIFS(Q:Q,A:A,A1073)&gt;0,SUMIFS(Q:Q,A:A,A1073),"."))/VLOOKUP("USD",'Exchange rates'!B:C,2,0),"Error with coding"))),"")</f>
        <v/>
      </c>
      <c r="U1073" s="39" t="s">
        <v>233</v>
      </c>
      <c r="V1073" s="376" t="s">
        <v>2559</v>
      </c>
      <c r="W1073" s="376" t="s">
        <v>2718</v>
      </c>
      <c r="X1073" s="827" t="s">
        <v>2734</v>
      </c>
      <c r="Y1073" s="517" t="s">
        <v>232</v>
      </c>
      <c r="Z1073" s="39">
        <v>0</v>
      </c>
      <c r="AA1073" s="39">
        <v>0</v>
      </c>
      <c r="AB1073" s="41" t="s">
        <v>232</v>
      </c>
      <c r="AC1073" s="519" t="str">
        <f>""</f>
        <v/>
      </c>
      <c r="AD1073" s="522">
        <v>0</v>
      </c>
      <c r="AE1073" s="522" t="s">
        <v>236</v>
      </c>
      <c r="AF1073" s="522" t="s">
        <v>237</v>
      </c>
      <c r="AG1073" s="522">
        <v>1</v>
      </c>
      <c r="AH1073" s="522">
        <v>4</v>
      </c>
      <c r="AI1073" s="522">
        <v>0</v>
      </c>
      <c r="AJ1073" s="520">
        <f>VLOOKUP($I1073,'Price List, Weapons &amp; Items'!A:E,5,0)</f>
        <v>0</v>
      </c>
      <c r="AK1073" s="520">
        <f t="shared" si="236"/>
        <v>0</v>
      </c>
      <c r="AL1073" s="520">
        <f t="shared" si="237"/>
        <v>0</v>
      </c>
      <c r="AM1073" s="520">
        <f t="shared" si="238"/>
        <v>0</v>
      </c>
      <c r="AN1073" s="521" t="str">
        <f>VLOOKUP($I1073,'Price List, Weapons &amp; Items'!A:K,COLUMN('Price List, Weapons &amp; Items'!$I$1),0)</f>
        <v>.</v>
      </c>
      <c r="AO1073" s="521" t="str">
        <f>IF(I1073=".",".",VLOOKUP($I1073,'Price List, Weapons &amp; Items'!A:I,3,0))</f>
        <v>Mortar ammunition</v>
      </c>
      <c r="AP1073" s="517" t="str">
        <f t="shared" ca="1" si="244"/>
        <v/>
      </c>
      <c r="AQ1073" s="521" t="str">
        <f>VLOOKUP($I1073,'Price List, Weapons &amp; Items'!A:K,COLUMN('Price List, Weapons &amp; Items'!$K$1),0)</f>
        <v>no price, 0 count</v>
      </c>
      <c r="AS1073" s="521">
        <f t="shared" si="239"/>
        <v>1</v>
      </c>
      <c r="AT1073" s="521">
        <f t="shared" si="240"/>
        <v>1</v>
      </c>
      <c r="AU1073" s="521">
        <f t="shared" si="241"/>
        <v>1</v>
      </c>
      <c r="AV1073" s="521" t="str">
        <f t="shared" si="242"/>
        <v>.</v>
      </c>
    </row>
    <row r="1074" spans="1:48" ht="15" customHeight="1">
      <c r="A1074" s="18" t="s">
        <v>2715</v>
      </c>
      <c r="B1074" s="18" t="s">
        <v>2548</v>
      </c>
      <c r="C1074" s="511">
        <v>44676</v>
      </c>
      <c r="D1074" s="18" t="s">
        <v>252</v>
      </c>
      <c r="E1074" s="46" t="s">
        <v>253</v>
      </c>
      <c r="F1074" s="512" t="s">
        <v>2716</v>
      </c>
      <c r="G1074" s="39" t="s">
        <v>314</v>
      </c>
      <c r="H1074" s="513">
        <v>322000000</v>
      </c>
      <c r="I1074" s="524" t="s">
        <v>2735</v>
      </c>
      <c r="J1074" s="276" t="str">
        <f>VLOOKUP($I1074,'Price List, Weapons &amp; Items'!A:B,2,0)</f>
        <v>Ammunition for heavy weapon</v>
      </c>
      <c r="K1074" s="276" t="str">
        <f>IF(I1074=".",I1074,VLOOKUP($I1074,'Price List, Weapons &amp; Items'!A:C,3,0))</f>
        <v>122mm howitzer ammunition</v>
      </c>
      <c r="L1074" s="514">
        <f>VLOOKUP(I1074,'Price List, Weapons &amp; Items'!A:D,4,0)</f>
        <v>1</v>
      </c>
      <c r="M1074" s="515" t="s">
        <v>264</v>
      </c>
      <c r="N1074" s="515" t="s">
        <v>232</v>
      </c>
      <c r="O1074" s="516">
        <f>VLOOKUP($I1074,'Price List, Weapons &amp; Items'!A:F,6,0)</f>
        <v>71120.78</v>
      </c>
      <c r="P1074" s="513" t="str">
        <f t="shared" si="234"/>
        <v>.</v>
      </c>
      <c r="Q1074" s="513" t="str">
        <f t="shared" si="235"/>
        <v>.</v>
      </c>
      <c r="R1074" s="513" t="str">
        <f t="shared" si="245"/>
        <v/>
      </c>
      <c r="S1074" s="513" t="str">
        <f>IF(AND(AD1074=1,R1074&lt;&gt;".")=TRUE,R1074/VLOOKUP(G1074,'Exchange rates'!B:C,2,0),IF(R1074=".",".",""))</f>
        <v/>
      </c>
      <c r="T1074" s="513" t="str">
        <f>IF(AD1074=1,IF(AF1074="Value is not given at all",".",IF(AF1074="Value is given by the source",S1074,IF(AF1074="Value is calculated with prices",(IF(SUMIFS(Q:Q,A:A,A1074)&gt;0,SUMIFS(Q:Q,A:A,A1074),"."))/VLOOKUP("USD",'Exchange rates'!B:C,2,0),"Error with coding"))),"")</f>
        <v/>
      </c>
      <c r="U1074" s="39" t="s">
        <v>233</v>
      </c>
      <c r="V1074" s="376" t="s">
        <v>2559</v>
      </c>
      <c r="W1074" s="376" t="s">
        <v>2718</v>
      </c>
      <c r="X1074" s="827" t="s">
        <v>2736</v>
      </c>
      <c r="Y1074" s="517" t="s">
        <v>232</v>
      </c>
      <c r="Z1074" s="39">
        <v>0</v>
      </c>
      <c r="AA1074" s="39">
        <v>0</v>
      </c>
      <c r="AB1074" s="41" t="s">
        <v>232</v>
      </c>
      <c r="AC1074" s="519" t="str">
        <f>""</f>
        <v/>
      </c>
      <c r="AD1074" s="522">
        <v>0</v>
      </c>
      <c r="AE1074" s="522" t="s">
        <v>236</v>
      </c>
      <c r="AF1074" s="522" t="s">
        <v>237</v>
      </c>
      <c r="AG1074" s="522">
        <v>1</v>
      </c>
      <c r="AH1074" s="522">
        <v>4</v>
      </c>
      <c r="AI1074" s="522">
        <v>0</v>
      </c>
      <c r="AJ1074" s="520">
        <f>VLOOKUP($I1074,'Price List, Weapons &amp; Items'!A:E,5,0)</f>
        <v>0</v>
      </c>
      <c r="AK1074" s="520">
        <f t="shared" si="236"/>
        <v>0</v>
      </c>
      <c r="AL1074" s="520">
        <f t="shared" si="237"/>
        <v>0</v>
      </c>
      <c r="AM1074" s="520">
        <f t="shared" si="238"/>
        <v>1</v>
      </c>
      <c r="AN1074" s="521" t="str">
        <f>VLOOKUP($I1074,'Price List, Weapons &amp; Items'!A:K,COLUMN('Price List, Weapons &amp; Items'!$I$1),0)</f>
        <v>Miscellaneous</v>
      </c>
      <c r="AO1074" s="521" t="str">
        <f>IF(I1074=".",".",VLOOKUP($I1074,'Price List, Weapons &amp; Items'!A:I,3,0))</f>
        <v>122mm howitzer ammunition</v>
      </c>
      <c r="AP1074" s="517" t="str">
        <f t="shared" ca="1" si="244"/>
        <v/>
      </c>
      <c r="AQ1074" s="521" t="str">
        <f>VLOOKUP($I1074,'Price List, Weapons &amp; Items'!A:K,COLUMN('Price List, Weapons &amp; Items'!$K$1),0)</f>
        <v>no price, 0 count</v>
      </c>
      <c r="AS1074" s="521">
        <f t="shared" si="239"/>
        <v>1</v>
      </c>
      <c r="AT1074" s="521">
        <f t="shared" si="240"/>
        <v>1</v>
      </c>
      <c r="AU1074" s="521">
        <f t="shared" si="241"/>
        <v>1</v>
      </c>
      <c r="AV1074" s="521" t="str">
        <f t="shared" si="242"/>
        <v>.</v>
      </c>
    </row>
    <row r="1075" spans="1:48" ht="15" customHeight="1">
      <c r="A1075" s="18" t="s">
        <v>2715</v>
      </c>
      <c r="B1075" s="18" t="s">
        <v>2548</v>
      </c>
      <c r="C1075" s="511">
        <v>44676</v>
      </c>
      <c r="D1075" s="18" t="s">
        <v>252</v>
      </c>
      <c r="E1075" s="46" t="s">
        <v>253</v>
      </c>
      <c r="F1075" s="512" t="s">
        <v>2716</v>
      </c>
      <c r="G1075" s="39" t="s">
        <v>314</v>
      </c>
      <c r="H1075" s="513">
        <v>322000000</v>
      </c>
      <c r="I1075" s="524" t="s">
        <v>2737</v>
      </c>
      <c r="J1075" s="276" t="str">
        <f>VLOOKUP($I1075,'Price List, Weapons &amp; Items'!A:B,2,0)</f>
        <v>Ammunition for heavy weapon</v>
      </c>
      <c r="K1075" s="276" t="str">
        <f>IF(I1075=".",I1075,VLOOKUP($I1075,'Price List, Weapons &amp; Items'!A:C,3,0))</f>
        <v>152mm howitzer ammunition</v>
      </c>
      <c r="L1075" s="514">
        <f>VLOOKUP(I1075,'Price List, Weapons &amp; Items'!A:D,4,0)</f>
        <v>0</v>
      </c>
      <c r="M1075" s="515" t="s">
        <v>264</v>
      </c>
      <c r="N1075" s="515" t="s">
        <v>232</v>
      </c>
      <c r="O1075" s="516">
        <f>VLOOKUP($I1075,'Price List, Weapons &amp; Items'!A:F,6,0)</f>
        <v>3800</v>
      </c>
      <c r="P1075" s="513" t="str">
        <f t="shared" si="234"/>
        <v>.</v>
      </c>
      <c r="Q1075" s="513" t="str">
        <f t="shared" si="235"/>
        <v>.</v>
      </c>
      <c r="R1075" s="513" t="str">
        <f t="shared" si="245"/>
        <v/>
      </c>
      <c r="S1075" s="513" t="str">
        <f>IF(AND(AD1075=1,R1075&lt;&gt;".")=TRUE,R1075/VLOOKUP(G1075,'Exchange rates'!B:C,2,0),IF(R1075=".",".",""))</f>
        <v/>
      </c>
      <c r="T1075" s="513" t="str">
        <f>IF(AD1075=1,IF(AF1075="Value is not given at all",".",IF(AF1075="Value is given by the source",S1075,IF(AF1075="Value is calculated with prices",(IF(SUMIFS(Q:Q,A:A,A1075)&gt;0,SUMIFS(Q:Q,A:A,A1075),"."))/VLOOKUP("USD",'Exchange rates'!B:C,2,0),"Error with coding"))),"")</f>
        <v/>
      </c>
      <c r="U1075" s="39" t="s">
        <v>233</v>
      </c>
      <c r="V1075" s="376" t="s">
        <v>2559</v>
      </c>
      <c r="W1075" s="376" t="s">
        <v>2718</v>
      </c>
      <c r="X1075" s="827" t="s">
        <v>2738</v>
      </c>
      <c r="Y1075" s="517" t="s">
        <v>232</v>
      </c>
      <c r="Z1075" s="39">
        <v>0</v>
      </c>
      <c r="AA1075" s="39">
        <v>0</v>
      </c>
      <c r="AB1075" s="41" t="s">
        <v>232</v>
      </c>
      <c r="AC1075" s="519" t="str">
        <f>""</f>
        <v/>
      </c>
      <c r="AD1075" s="522">
        <v>0</v>
      </c>
      <c r="AE1075" s="522" t="s">
        <v>236</v>
      </c>
      <c r="AF1075" s="522" t="s">
        <v>237</v>
      </c>
      <c r="AG1075" s="522">
        <v>1</v>
      </c>
      <c r="AH1075" s="522">
        <v>4</v>
      </c>
      <c r="AI1075" s="522">
        <v>0</v>
      </c>
      <c r="AJ1075" s="520">
        <f>VLOOKUP($I1075,'Price List, Weapons &amp; Items'!A:E,5,0)</f>
        <v>1</v>
      </c>
      <c r="AK1075" s="520">
        <f t="shared" si="236"/>
        <v>1</v>
      </c>
      <c r="AL1075" s="520">
        <f t="shared" si="237"/>
        <v>0</v>
      </c>
      <c r="AM1075" s="520">
        <f t="shared" si="238"/>
        <v>0</v>
      </c>
      <c r="AN1075" s="521" t="str">
        <f>VLOOKUP($I1075,'Price List, Weapons &amp; Items'!A:K,COLUMN('Price List, Weapons &amp; Items'!$I$1),0)</f>
        <v>Contracts</v>
      </c>
      <c r="AO1075" s="521" t="str">
        <f>IF(I1075=".",".",VLOOKUP($I1075,'Price List, Weapons &amp; Items'!A:I,3,0))</f>
        <v>152mm howitzer ammunition</v>
      </c>
      <c r="AP1075" s="517" t="str">
        <f t="shared" ca="1" si="244"/>
        <v/>
      </c>
      <c r="AQ1075" s="521" t="str">
        <f>VLOOKUP($I1075,'Price List, Weapons &amp; Items'!A:K,COLUMN('Price List, Weapons &amp; Items'!$K$1),0)</f>
        <v>no price, 0 count</v>
      </c>
      <c r="AS1075" s="521">
        <f t="shared" si="239"/>
        <v>1</v>
      </c>
      <c r="AT1075" s="521">
        <f t="shared" si="240"/>
        <v>1</v>
      </c>
      <c r="AU1075" s="521">
        <f t="shared" si="241"/>
        <v>1</v>
      </c>
      <c r="AV1075" s="521" t="str">
        <f t="shared" si="242"/>
        <v>.</v>
      </c>
    </row>
    <row r="1076" spans="1:48" s="44" customFormat="1" ht="15" customHeight="1">
      <c r="A1076" s="593" t="s">
        <v>2739</v>
      </c>
      <c r="B1076" s="593" t="s">
        <v>2548</v>
      </c>
      <c r="C1076" s="594">
        <v>44652</v>
      </c>
      <c r="D1076" s="593" t="s">
        <v>252</v>
      </c>
      <c r="E1076" s="593" t="s">
        <v>253</v>
      </c>
      <c r="F1076" s="595" t="s">
        <v>2740</v>
      </c>
      <c r="G1076" s="596" t="s">
        <v>314</v>
      </c>
      <c r="H1076" s="597">
        <v>300000000</v>
      </c>
      <c r="I1076" s="537" t="s">
        <v>2741</v>
      </c>
      <c r="J1076" s="276" t="str">
        <f>VLOOKUP($I1076,'Price List, Weapons &amp; Items'!A:B,2,0)</f>
        <v>Portable defence system</v>
      </c>
      <c r="K1076" s="276" t="str">
        <f>IF(I1076=".",I1076,VLOOKUP($I1076,'Price List, Weapons &amp; Items'!A:C,3,0))</f>
        <v>Light Anti-armor Weapon (LAW)</v>
      </c>
      <c r="L1076" s="514">
        <f>VLOOKUP(I1076,'Price List, Weapons &amp; Items'!A:D,4,0)</f>
        <v>0</v>
      </c>
      <c r="M1076" s="598" t="s">
        <v>264</v>
      </c>
      <c r="N1076" s="597" t="s">
        <v>232</v>
      </c>
      <c r="O1076" s="516">
        <f>VLOOKUP($I1076,'Price List, Weapons &amp; Items'!A:F,6,0)</f>
        <v>22000</v>
      </c>
      <c r="P1076" s="513" t="str">
        <f t="shared" si="234"/>
        <v>.</v>
      </c>
      <c r="Q1076" s="513" t="str">
        <f t="shared" si="235"/>
        <v>.</v>
      </c>
      <c r="R1076" s="513">
        <f t="shared" si="245"/>
        <v>300000000</v>
      </c>
      <c r="S1076" s="513">
        <f>IF(AND(AD1076=1,R1076&lt;&gt;".")=TRUE,R1076/VLOOKUP(G1076,'Exchange rates'!B:C,2,0),IF(R1076=".",".",""))</f>
        <v>298953662.18236172</v>
      </c>
      <c r="T1076" s="513">
        <f>IF(AD1076=1,IF(AF1076="Value is not given at all",".",IF(AF1076="Value is given by the source",S1076,IF(AF1076="Value is calculated with prices",(IF(SUMIFS(Q:Q,A:A,A1076)&gt;0,SUMIFS(Q:Q,A:A,A1076),"."))/VLOOKUP("USD",'Exchange rates'!B:C,2,0),"Error with coding"))),"")</f>
        <v>3587443.9461883404</v>
      </c>
      <c r="U1076" s="596" t="s">
        <v>233</v>
      </c>
      <c r="V1076" s="384" t="s">
        <v>2742</v>
      </c>
      <c r="W1076" s="385" t="s">
        <v>2743</v>
      </c>
      <c r="X1076" s="386" t="s">
        <v>2606</v>
      </c>
      <c r="Y1076" s="599" t="s">
        <v>232</v>
      </c>
      <c r="Z1076" s="596">
        <v>0</v>
      </c>
      <c r="AA1076" s="600">
        <v>0</v>
      </c>
      <c r="AB1076" s="601" t="s">
        <v>232</v>
      </c>
      <c r="AC1076" s="519" t="str">
        <f>""</f>
        <v/>
      </c>
      <c r="AD1076" s="602">
        <v>1</v>
      </c>
      <c r="AE1076" s="602" t="s">
        <v>236</v>
      </c>
      <c r="AF1076" s="602" t="s">
        <v>300</v>
      </c>
      <c r="AG1076" s="602">
        <v>1</v>
      </c>
      <c r="AH1076" s="602">
        <v>4</v>
      </c>
      <c r="AI1076" s="602">
        <v>0</v>
      </c>
      <c r="AJ1076" s="520">
        <f>VLOOKUP($I1076,'Price List, Weapons &amp; Items'!A:E,5,0)</f>
        <v>0</v>
      </c>
      <c r="AK1076" s="520">
        <f t="shared" si="236"/>
        <v>0</v>
      </c>
      <c r="AL1076" s="520">
        <f t="shared" si="237"/>
        <v>0</v>
      </c>
      <c r="AM1076" s="520">
        <f t="shared" si="238"/>
        <v>0</v>
      </c>
      <c r="AN1076" s="521" t="str">
        <f>VLOOKUP($I1076,'Price List, Weapons &amp; Items'!A:K,COLUMN('Price List, Weapons &amp; Items'!$I$1),0)</f>
        <v>Contracts</v>
      </c>
      <c r="AO1076" s="521" t="str">
        <f>IF(I1076=".",".",VLOOKUP($I1076,'Price List, Weapons &amp; Items'!A:I,3,0))</f>
        <v>Light Anti-armor Weapon (LAW)</v>
      </c>
      <c r="AP1076" s="517" t="str">
        <f t="shared" ca="1" si="244"/>
        <v>laser-guided rocket system; Switchblade Tactical Unmanned Aerial System; Puma unmanned aerial system; counter-unmanned aerial system; armored high mobility multipurpose wheeled vehicle; small-to-large caliber nonstandard ammunition; night vision device; thermal imagery system; optics; Tactical secure communications system; non-standard machine gun; commercial satellite imagery service; medical equipment; field equipment; spare parts</v>
      </c>
      <c r="AQ1076" s="521" t="str">
        <f>VLOOKUP($I1076,'Price List, Weapons &amp; Items'!A:K,COLUMN('Price List, Weapons &amp; Items'!$K$1),0)</f>
        <v>no price, 0 count</v>
      </c>
      <c r="AS1076" s="521">
        <f t="shared" si="239"/>
        <v>1</v>
      </c>
      <c r="AT1076" s="521">
        <f t="shared" si="240"/>
        <v>1</v>
      </c>
      <c r="AU1076" s="521">
        <f t="shared" si="241"/>
        <v>1</v>
      </c>
      <c r="AV1076" s="521" t="e">
        <f>IF(AND(A1076=#REF!,C1076=#REF!)=TRUE,IF(F1076=#REF!,".","1"),".")</f>
        <v>#REF!</v>
      </c>
    </row>
    <row r="1077" spans="1:48" s="44" customFormat="1" ht="15" customHeight="1">
      <c r="A1077" s="603" t="s">
        <v>2739</v>
      </c>
      <c r="B1077" s="603" t="s">
        <v>2548</v>
      </c>
      <c r="C1077" s="604">
        <v>44652</v>
      </c>
      <c r="D1077" s="603" t="s">
        <v>252</v>
      </c>
      <c r="E1077" s="603" t="s">
        <v>253</v>
      </c>
      <c r="F1077" s="605" t="s">
        <v>2740</v>
      </c>
      <c r="G1077" s="606" t="s">
        <v>314</v>
      </c>
      <c r="H1077" s="607">
        <v>300000000</v>
      </c>
      <c r="I1077" s="537" t="s">
        <v>2744</v>
      </c>
      <c r="J1077" s="276" t="str">
        <f>VLOOKUP($I1077,'Price List, Weapons &amp; Items'!A:B,2,0)</f>
        <v>Aviation and drones</v>
      </c>
      <c r="K1077" s="276" t="str">
        <f>IF(I1077=".",I1077,VLOOKUP($I1077,'Price List, Weapons &amp; Items'!A:C,3,0))</f>
        <v>Loitering munition (suicide drone)</v>
      </c>
      <c r="L1077" s="514">
        <f>VLOOKUP(I1077,'Price List, Weapons &amp; Items'!A:D,4,0)</f>
        <v>0</v>
      </c>
      <c r="M1077" s="598">
        <v>600</v>
      </c>
      <c r="N1077" s="607">
        <v>600</v>
      </c>
      <c r="O1077" s="516">
        <f>VLOOKUP($I1077,'Price List, Weapons &amp; Items'!A:F,6,0)</f>
        <v>6000</v>
      </c>
      <c r="P1077" s="513">
        <f t="shared" si="234"/>
        <v>3600000</v>
      </c>
      <c r="Q1077" s="513">
        <f t="shared" si="235"/>
        <v>3600000</v>
      </c>
      <c r="R1077" s="513" t="str">
        <f t="shared" si="245"/>
        <v/>
      </c>
      <c r="S1077" s="513" t="str">
        <f>IF(AND(AD1077=1,R1077&lt;&gt;".")=TRUE,R1077/VLOOKUP(G1077,'Exchange rates'!B:C,2,0),IF(R1077=".",".",""))</f>
        <v/>
      </c>
      <c r="T1077" s="513" t="str">
        <f>IF(AD1077=1,IF(AF1077="Value is not given at all",".",IF(AF1077="Value is given by the source",S1077,IF(AF1077="Value is calculated with prices",(IF(SUMIFS(Q:Q,A:A,A1077)&gt;0,SUMIFS(Q:Q,A:A,A1077),"."))/VLOOKUP("USD",'Exchange rates'!B:C,2,0),"Error with coding"))),"")</f>
        <v/>
      </c>
      <c r="U1077" s="606" t="s">
        <v>233</v>
      </c>
      <c r="V1077" s="387" t="s">
        <v>2742</v>
      </c>
      <c r="W1077" s="388" t="s">
        <v>2743</v>
      </c>
      <c r="X1077" s="389" t="s">
        <v>2606</v>
      </c>
      <c r="Y1077" s="608" t="s">
        <v>232</v>
      </c>
      <c r="Z1077" s="606">
        <v>0</v>
      </c>
      <c r="AA1077" s="600">
        <v>0</v>
      </c>
      <c r="AB1077" s="601" t="s">
        <v>232</v>
      </c>
      <c r="AC1077" s="519" t="str">
        <f>""</f>
        <v/>
      </c>
      <c r="AD1077" s="609">
        <v>0</v>
      </c>
      <c r="AE1077" s="609" t="s">
        <v>236</v>
      </c>
      <c r="AF1077" s="609" t="s">
        <v>300</v>
      </c>
      <c r="AG1077" s="609">
        <v>1</v>
      </c>
      <c r="AH1077" s="609">
        <v>4</v>
      </c>
      <c r="AI1077" s="609">
        <v>0</v>
      </c>
      <c r="AJ1077" s="520">
        <f>VLOOKUP($I1077,'Price List, Weapons &amp; Items'!A:E,5,0)</f>
        <v>0</v>
      </c>
      <c r="AK1077" s="520">
        <f t="shared" si="236"/>
        <v>0</v>
      </c>
      <c r="AL1077" s="520">
        <f t="shared" si="237"/>
        <v>0</v>
      </c>
      <c r="AM1077" s="520">
        <f t="shared" si="238"/>
        <v>0</v>
      </c>
      <c r="AN1077" s="521" t="str">
        <f>VLOOKUP($I1077,'Price List, Weapons &amp; Items'!A:K,COLUMN('Price List, Weapons &amp; Items'!$I$1),0)</f>
        <v>Miscellaneous</v>
      </c>
      <c r="AO1077" s="521" t="str">
        <f>IF(I1077=".",".",VLOOKUP($I1077,'Price List, Weapons &amp; Items'!A:I,3,0))</f>
        <v>Loitering munition (suicide drone)</v>
      </c>
      <c r="AP1077" s="517" t="str">
        <f t="shared" ca="1" si="244"/>
        <v/>
      </c>
      <c r="AQ1077" s="521">
        <f>VLOOKUP($I1077,'Price List, Weapons &amp; Items'!A:K,COLUMN('Price List, Weapons &amp; Items'!$K$1),0)</f>
        <v>2</v>
      </c>
      <c r="AS1077" s="521">
        <f t="shared" si="239"/>
        <v>1</v>
      </c>
      <c r="AT1077" s="521">
        <f t="shared" si="240"/>
        <v>1</v>
      </c>
      <c r="AU1077" s="521">
        <f t="shared" si="241"/>
        <v>1</v>
      </c>
      <c r="AV1077" s="521" t="str">
        <f t="shared" si="242"/>
        <v>.</v>
      </c>
    </row>
    <row r="1078" spans="1:48" s="44" customFormat="1" ht="15" customHeight="1">
      <c r="A1078" s="603" t="s">
        <v>2739</v>
      </c>
      <c r="B1078" s="603" t="s">
        <v>2548</v>
      </c>
      <c r="C1078" s="604">
        <v>44652</v>
      </c>
      <c r="D1078" s="603" t="s">
        <v>252</v>
      </c>
      <c r="E1078" s="603" t="s">
        <v>253</v>
      </c>
      <c r="F1078" s="605" t="s">
        <v>2740</v>
      </c>
      <c r="G1078" s="606" t="s">
        <v>314</v>
      </c>
      <c r="H1078" s="607">
        <v>300000000</v>
      </c>
      <c r="I1078" s="537" t="s">
        <v>2745</v>
      </c>
      <c r="J1078" s="276" t="str">
        <f>VLOOKUP($I1078,'Price List, Weapons &amp; Items'!A:B,2,0)</f>
        <v>Aviation and drones</v>
      </c>
      <c r="K1078" s="276" t="str">
        <f>IF(I1078=".",I1078,VLOOKUP($I1078,'Price List, Weapons &amp; Items'!A:C,3,0))</f>
        <v>Reconnaissance drone</v>
      </c>
      <c r="L1078" s="514">
        <f>VLOOKUP(I1078,'Price List, Weapons &amp; Items'!A:D,4,0)</f>
        <v>0</v>
      </c>
      <c r="M1078" s="598" t="s">
        <v>264</v>
      </c>
      <c r="N1078" s="607" t="s">
        <v>264</v>
      </c>
      <c r="O1078" s="516">
        <f>VLOOKUP($I1078,'Price List, Weapons &amp; Items'!A:F,6,0)</f>
        <v>250000</v>
      </c>
      <c r="P1078" s="513" t="str">
        <f t="shared" si="234"/>
        <v>.</v>
      </c>
      <c r="Q1078" s="513" t="str">
        <f t="shared" si="235"/>
        <v>.</v>
      </c>
      <c r="R1078" s="513" t="str">
        <f t="shared" si="245"/>
        <v/>
      </c>
      <c r="S1078" s="513" t="str">
        <f>IF(AND(AD1078=1,R1078&lt;&gt;".")=TRUE,R1078/VLOOKUP(G1078,'Exchange rates'!B:C,2,0),IF(R1078=".",".",""))</f>
        <v/>
      </c>
      <c r="T1078" s="513" t="str">
        <f>IF(AD1078=1,IF(AF1078="Value is not given at all",".",IF(AF1078="Value is given by the source",S1078,IF(AF1078="Value is calculated with prices",(IF(SUMIFS(Q:Q,A:A,A1078)&gt;0,SUMIFS(Q:Q,A:A,A1078),"."))/VLOOKUP("USD",'Exchange rates'!B:C,2,0),"Error with coding"))),"")</f>
        <v/>
      </c>
      <c r="U1078" s="606" t="s">
        <v>233</v>
      </c>
      <c r="V1078" s="387" t="s">
        <v>2742</v>
      </c>
      <c r="W1078" s="388" t="s">
        <v>2743</v>
      </c>
      <c r="X1078" s="389" t="s">
        <v>2606</v>
      </c>
      <c r="Y1078" s="608" t="s">
        <v>232</v>
      </c>
      <c r="Z1078" s="606">
        <v>0</v>
      </c>
      <c r="AA1078" s="600">
        <v>0</v>
      </c>
      <c r="AB1078" s="601" t="s">
        <v>232</v>
      </c>
      <c r="AC1078" s="519" t="str">
        <f>""</f>
        <v/>
      </c>
      <c r="AD1078" s="609">
        <v>0</v>
      </c>
      <c r="AE1078" s="609" t="s">
        <v>236</v>
      </c>
      <c r="AF1078" s="609" t="s">
        <v>300</v>
      </c>
      <c r="AG1078" s="609">
        <v>1</v>
      </c>
      <c r="AH1078" s="609">
        <v>4</v>
      </c>
      <c r="AI1078" s="609">
        <v>0</v>
      </c>
      <c r="AJ1078" s="520">
        <f>VLOOKUP($I1078,'Price List, Weapons &amp; Items'!A:E,5,0)</f>
        <v>0</v>
      </c>
      <c r="AK1078" s="520">
        <f t="shared" si="236"/>
        <v>0</v>
      </c>
      <c r="AL1078" s="520">
        <f t="shared" si="237"/>
        <v>0</v>
      </c>
      <c r="AM1078" s="520">
        <f t="shared" si="238"/>
        <v>0</v>
      </c>
      <c r="AN1078" s="521" t="str">
        <f>VLOOKUP($I1078,'Price List, Weapons &amp; Items'!A:K,COLUMN('Price List, Weapons &amp; Items'!$I$1),0)</f>
        <v>Media reports (incl. social media)</v>
      </c>
      <c r="AO1078" s="521" t="str">
        <f>IF(I1078=".",".",VLOOKUP($I1078,'Price List, Weapons &amp; Items'!A:I,3,0))</f>
        <v>Reconnaissance drone</v>
      </c>
      <c r="AP1078" s="517" t="str">
        <f t="shared" ca="1" si="244"/>
        <v/>
      </c>
      <c r="AQ1078" s="521" t="str">
        <f>VLOOKUP($I1078,'Price List, Weapons &amp; Items'!A:K,COLUMN('Price List, Weapons &amp; Items'!$K$1),0)</f>
        <v>no price, 0 count</v>
      </c>
      <c r="AS1078" s="521">
        <f t="shared" si="239"/>
        <v>1</v>
      </c>
      <c r="AT1078" s="521">
        <f t="shared" si="240"/>
        <v>1</v>
      </c>
      <c r="AU1078" s="521">
        <f t="shared" si="241"/>
        <v>1</v>
      </c>
      <c r="AV1078" s="521" t="str">
        <f t="shared" si="242"/>
        <v>.</v>
      </c>
    </row>
    <row r="1079" spans="1:48" s="44" customFormat="1" ht="15" customHeight="1">
      <c r="A1079" s="603" t="s">
        <v>2739</v>
      </c>
      <c r="B1079" s="603" t="s">
        <v>2548</v>
      </c>
      <c r="C1079" s="604">
        <v>44652</v>
      </c>
      <c r="D1079" s="603" t="s">
        <v>252</v>
      </c>
      <c r="E1079" s="603" t="s">
        <v>253</v>
      </c>
      <c r="F1079" s="605" t="s">
        <v>2740</v>
      </c>
      <c r="G1079" s="606" t="s">
        <v>314</v>
      </c>
      <c r="H1079" s="607">
        <v>300000000</v>
      </c>
      <c r="I1079" s="537" t="s">
        <v>2746</v>
      </c>
      <c r="J1079" s="276" t="str">
        <f>VLOOKUP($I1079,'Price List, Weapons &amp; Items'!A:B,2,0)</f>
        <v>Aviation and drones</v>
      </c>
      <c r="K1079" s="276" t="str">
        <f>IF(I1079=".",I1079,VLOOKUP($I1079,'Price List, Weapons &amp; Items'!A:C,3,0))</f>
        <v>Unknown drone</v>
      </c>
      <c r="L1079" s="514">
        <f>VLOOKUP(I1079,'Price List, Weapons &amp; Items'!A:D,4,0)</f>
        <v>0</v>
      </c>
      <c r="M1079" s="598" t="s">
        <v>264</v>
      </c>
      <c r="N1079" s="607" t="s">
        <v>264</v>
      </c>
      <c r="O1079" s="516">
        <f>VLOOKUP($I1079,'Price List, Weapons &amp; Items'!A:F,6,0)</f>
        <v>15000000</v>
      </c>
      <c r="P1079" s="513" t="str">
        <f t="shared" si="234"/>
        <v>.</v>
      </c>
      <c r="Q1079" s="513" t="str">
        <f t="shared" si="235"/>
        <v>.</v>
      </c>
      <c r="R1079" s="513" t="str">
        <f t="shared" si="245"/>
        <v/>
      </c>
      <c r="S1079" s="513" t="str">
        <f>IF(AND(AD1079=1,R1079&lt;&gt;".")=TRUE,R1079/VLOOKUP(G1079,'Exchange rates'!B:C,2,0),IF(R1079=".",".",""))</f>
        <v/>
      </c>
      <c r="T1079" s="513" t="str">
        <f>IF(AD1079=1,IF(AF1079="Value is not given at all",".",IF(AF1079="Value is given by the source",S1079,IF(AF1079="Value is calculated with prices",(IF(SUMIFS(Q:Q,A:A,A1079)&gt;0,SUMIFS(Q:Q,A:A,A1079),"."))/VLOOKUP("USD",'Exchange rates'!B:C,2,0),"Error with coding"))),"")</f>
        <v/>
      </c>
      <c r="U1079" s="606" t="s">
        <v>233</v>
      </c>
      <c r="V1079" s="387" t="s">
        <v>2742</v>
      </c>
      <c r="W1079" s="388" t="s">
        <v>2743</v>
      </c>
      <c r="X1079" s="389" t="s">
        <v>2606</v>
      </c>
      <c r="Y1079" s="608" t="s">
        <v>232</v>
      </c>
      <c r="Z1079" s="606">
        <v>0</v>
      </c>
      <c r="AA1079" s="600">
        <v>0</v>
      </c>
      <c r="AB1079" s="601" t="s">
        <v>232</v>
      </c>
      <c r="AC1079" s="519" t="str">
        <f>""</f>
        <v/>
      </c>
      <c r="AD1079" s="609">
        <v>0</v>
      </c>
      <c r="AE1079" s="609" t="s">
        <v>236</v>
      </c>
      <c r="AF1079" s="609" t="s">
        <v>300</v>
      </c>
      <c r="AG1079" s="609">
        <v>1</v>
      </c>
      <c r="AH1079" s="609">
        <v>4</v>
      </c>
      <c r="AI1079" s="609">
        <v>0</v>
      </c>
      <c r="AJ1079" s="520">
        <f>VLOOKUP($I1079,'Price List, Weapons &amp; Items'!A:E,5,0)</f>
        <v>0</v>
      </c>
      <c r="AK1079" s="520">
        <f t="shared" si="236"/>
        <v>0</v>
      </c>
      <c r="AL1079" s="520">
        <f t="shared" si="237"/>
        <v>0</v>
      </c>
      <c r="AM1079" s="520">
        <f t="shared" si="238"/>
        <v>0</v>
      </c>
      <c r="AN1079" s="521" t="str">
        <f>VLOOKUP($I1079,'Price List, Weapons &amp; Items'!A:K,COLUMN('Price List, Weapons &amp; Items'!$I$1),0)</f>
        <v>Miscellaneous</v>
      </c>
      <c r="AO1079" s="521" t="str">
        <f>IF(I1079=".",".",VLOOKUP($I1079,'Price List, Weapons &amp; Items'!A:I,3,0))</f>
        <v>Unknown drone</v>
      </c>
      <c r="AP1079" s="517" t="str">
        <f t="shared" ca="1" si="244"/>
        <v/>
      </c>
      <c r="AQ1079" s="521" t="str">
        <f>VLOOKUP($I1079,'Price List, Weapons &amp; Items'!A:K,COLUMN('Price List, Weapons &amp; Items'!$K$1),0)</f>
        <v>no price, 0 count</v>
      </c>
      <c r="AS1079" s="521">
        <f t="shared" si="239"/>
        <v>1</v>
      </c>
      <c r="AT1079" s="521">
        <f t="shared" si="240"/>
        <v>1</v>
      </c>
      <c r="AU1079" s="521">
        <f t="shared" si="241"/>
        <v>1</v>
      </c>
      <c r="AV1079" s="521" t="str">
        <f t="shared" si="242"/>
        <v>.</v>
      </c>
    </row>
    <row r="1080" spans="1:48" s="44" customFormat="1" ht="15" customHeight="1">
      <c r="A1080" s="603" t="s">
        <v>2739</v>
      </c>
      <c r="B1080" s="603" t="s">
        <v>2548</v>
      </c>
      <c r="C1080" s="604">
        <v>44652</v>
      </c>
      <c r="D1080" s="603" t="s">
        <v>252</v>
      </c>
      <c r="E1080" s="603" t="s">
        <v>253</v>
      </c>
      <c r="F1080" s="605" t="s">
        <v>2740</v>
      </c>
      <c r="G1080" s="606" t="s">
        <v>314</v>
      </c>
      <c r="H1080" s="607">
        <v>300000000</v>
      </c>
      <c r="I1080" s="537" t="s">
        <v>2612</v>
      </c>
      <c r="J1080" s="276" t="str">
        <f>VLOOKUP($I1080,'Price List, Weapons &amp; Items'!A:B,2,0)</f>
        <v>Heavy weapon</v>
      </c>
      <c r="K1080" s="276" t="str">
        <f>IF(I1080=".",I1080,VLOOKUP($I1080,'Price List, Weapons &amp; Items'!A:C,3,0))</f>
        <v>Armoured Utility Vehicle (AUV)</v>
      </c>
      <c r="L1080" s="514">
        <f>VLOOKUP(I1080,'Price List, Weapons &amp; Items'!A:D,4,0)</f>
        <v>0</v>
      </c>
      <c r="M1080" s="598" t="s">
        <v>264</v>
      </c>
      <c r="N1080" s="607" t="s">
        <v>232</v>
      </c>
      <c r="O1080" s="516">
        <f>VLOOKUP($I1080,'Price List, Weapons &amp; Items'!A:F,6,0)</f>
        <v>254717</v>
      </c>
      <c r="P1080" s="513" t="str">
        <f t="shared" si="234"/>
        <v>.</v>
      </c>
      <c r="Q1080" s="513" t="str">
        <f t="shared" si="235"/>
        <v>.</v>
      </c>
      <c r="R1080" s="513" t="str">
        <f t="shared" si="245"/>
        <v/>
      </c>
      <c r="S1080" s="513" t="str">
        <f>IF(AND(AD1080=1,R1080&lt;&gt;".")=TRUE,R1080/VLOOKUP(G1080,'Exchange rates'!B:C,2,0),IF(R1080=".",".",""))</f>
        <v/>
      </c>
      <c r="T1080" s="513" t="str">
        <f>IF(AD1080=1,IF(AF1080="Value is not given at all",".",IF(AF1080="Value is given by the source",S1080,IF(AF1080="Value is calculated with prices",(IF(SUMIFS(Q:Q,A:A,A1080)&gt;0,SUMIFS(Q:Q,A:A,A1080),"."))/VLOOKUP("USD",'Exchange rates'!B:C,2,0),"Error with coding"))),"")</f>
        <v/>
      </c>
      <c r="U1080" s="606" t="s">
        <v>233</v>
      </c>
      <c r="V1080" s="376" t="s">
        <v>2742</v>
      </c>
      <c r="W1080" s="388" t="s">
        <v>2743</v>
      </c>
      <c r="X1080" s="389" t="s">
        <v>2606</v>
      </c>
      <c r="Y1080" s="608" t="s">
        <v>232</v>
      </c>
      <c r="Z1080" s="606">
        <v>0</v>
      </c>
      <c r="AA1080" s="600">
        <v>0</v>
      </c>
      <c r="AB1080" s="601" t="s">
        <v>232</v>
      </c>
      <c r="AC1080" s="519" t="str">
        <f>""</f>
        <v/>
      </c>
      <c r="AD1080" s="609">
        <v>0</v>
      </c>
      <c r="AE1080" s="609" t="s">
        <v>236</v>
      </c>
      <c r="AF1080" s="609" t="s">
        <v>300</v>
      </c>
      <c r="AG1080" s="609">
        <v>1</v>
      </c>
      <c r="AH1080" s="609">
        <v>4</v>
      </c>
      <c r="AI1080" s="609">
        <v>0</v>
      </c>
      <c r="AJ1080" s="520">
        <f>VLOOKUP($I1080,'Price List, Weapons &amp; Items'!A:E,5,0)</f>
        <v>1</v>
      </c>
      <c r="AK1080" s="520">
        <f t="shared" si="236"/>
        <v>1</v>
      </c>
      <c r="AL1080" s="520">
        <f t="shared" si="237"/>
        <v>0</v>
      </c>
      <c r="AM1080" s="520">
        <f t="shared" si="238"/>
        <v>0</v>
      </c>
      <c r="AN1080" s="521" t="str">
        <f>VLOOKUP($I1080,'Price List, Weapons &amp; Items'!A:K,COLUMN('Price List, Weapons &amp; Items'!$I$1),0)</f>
        <v>Military media (incl. websites)</v>
      </c>
      <c r="AO1080" s="521" t="str">
        <f>IF(I1080=".",".",VLOOKUP($I1080,'Price List, Weapons &amp; Items'!A:I,3,0))</f>
        <v>Armoured Utility Vehicle (AUV)</v>
      </c>
      <c r="AP1080" s="517" t="str">
        <f t="shared" ca="1" si="244"/>
        <v/>
      </c>
      <c r="AQ1080" s="521">
        <f>VLOOKUP($I1080,'Price List, Weapons &amp; Items'!A:K,COLUMN('Price List, Weapons &amp; Items'!$K$1),0)</f>
        <v>2</v>
      </c>
      <c r="AS1080" s="521">
        <f t="shared" si="239"/>
        <v>1</v>
      </c>
      <c r="AT1080" s="521">
        <f t="shared" si="240"/>
        <v>1</v>
      </c>
      <c r="AU1080" s="521">
        <f t="shared" si="241"/>
        <v>1</v>
      </c>
      <c r="AV1080" s="521" t="str">
        <f t="shared" si="242"/>
        <v>.</v>
      </c>
    </row>
    <row r="1081" spans="1:48" s="44" customFormat="1" ht="15" customHeight="1">
      <c r="A1081" s="603" t="s">
        <v>2739</v>
      </c>
      <c r="B1081" s="603" t="s">
        <v>2548</v>
      </c>
      <c r="C1081" s="604">
        <v>44652</v>
      </c>
      <c r="D1081" s="603" t="s">
        <v>252</v>
      </c>
      <c r="E1081" s="603" t="s">
        <v>253</v>
      </c>
      <c r="F1081" s="605" t="s">
        <v>2740</v>
      </c>
      <c r="G1081" s="606" t="s">
        <v>314</v>
      </c>
      <c r="H1081" s="607">
        <v>300000000</v>
      </c>
      <c r="I1081" s="537" t="s">
        <v>2747</v>
      </c>
      <c r="J1081" s="276" t="str">
        <f>VLOOKUP($I1081,'Price List, Weapons &amp; Items'!A:B,2,0)</f>
        <v>Ammunition for light infantry</v>
      </c>
      <c r="K1081" s="276" t="str">
        <f>IF(I1081=".",I1081,VLOOKUP($I1081,'Price List, Weapons &amp; Items'!A:C,3,0))</f>
        <v>Small Arms and Light Weapons (SALW) ammunition</v>
      </c>
      <c r="L1081" s="514">
        <f>VLOOKUP(I1081,'Price List, Weapons &amp; Items'!A:D,4,0)</f>
        <v>0</v>
      </c>
      <c r="M1081" s="598" t="s">
        <v>264</v>
      </c>
      <c r="N1081" s="607" t="s">
        <v>232</v>
      </c>
      <c r="O1081" s="516" t="str">
        <f>VLOOKUP($I1081,'Price List, Weapons &amp; Items'!A:F,6,0)</f>
        <v>.</v>
      </c>
      <c r="P1081" s="513" t="str">
        <f t="shared" si="234"/>
        <v>.</v>
      </c>
      <c r="Q1081" s="513" t="str">
        <f t="shared" si="235"/>
        <v>.</v>
      </c>
      <c r="R1081" s="513" t="str">
        <f t="shared" si="245"/>
        <v/>
      </c>
      <c r="S1081" s="513" t="str">
        <f>IF(AND(AD1081=1,R1081&lt;&gt;".")=TRUE,R1081/VLOOKUP(G1081,'Exchange rates'!B:C,2,0),IF(R1081=".",".",""))</f>
        <v/>
      </c>
      <c r="T1081" s="513" t="str">
        <f>IF(AD1081=1,IF(AF1081="Value is not given at all",".",IF(AF1081="Value is given by the source",S1081,IF(AF1081="Value is calculated with prices",(IF(SUMIFS(Q:Q,A:A,A1081)&gt;0,SUMIFS(Q:Q,A:A,A1081),"."))/VLOOKUP("USD",'Exchange rates'!B:C,2,0),"Error with coding"))),"")</f>
        <v/>
      </c>
      <c r="U1081" s="606" t="s">
        <v>233</v>
      </c>
      <c r="V1081" s="387" t="s">
        <v>2742</v>
      </c>
      <c r="W1081" s="388" t="s">
        <v>2743</v>
      </c>
      <c r="X1081" s="389" t="s">
        <v>2606</v>
      </c>
      <c r="Y1081" s="608" t="s">
        <v>232</v>
      </c>
      <c r="Z1081" s="606">
        <v>0</v>
      </c>
      <c r="AA1081" s="600">
        <v>0</v>
      </c>
      <c r="AB1081" s="601" t="s">
        <v>232</v>
      </c>
      <c r="AC1081" s="519" t="str">
        <f>""</f>
        <v/>
      </c>
      <c r="AD1081" s="609">
        <v>0</v>
      </c>
      <c r="AE1081" s="609" t="s">
        <v>236</v>
      </c>
      <c r="AF1081" s="609" t="s">
        <v>300</v>
      </c>
      <c r="AG1081" s="609">
        <v>1</v>
      </c>
      <c r="AH1081" s="609">
        <v>4</v>
      </c>
      <c r="AI1081" s="609">
        <v>0</v>
      </c>
      <c r="AJ1081" s="520">
        <f>VLOOKUP($I1081,'Price List, Weapons &amp; Items'!A:E,5,0)</f>
        <v>0</v>
      </c>
      <c r="AK1081" s="520">
        <f t="shared" si="236"/>
        <v>0</v>
      </c>
      <c r="AL1081" s="520">
        <f t="shared" si="237"/>
        <v>0</v>
      </c>
      <c r="AM1081" s="520">
        <f t="shared" si="238"/>
        <v>1</v>
      </c>
      <c r="AN1081" s="521" t="str">
        <f>VLOOKUP($I1081,'Price List, Weapons &amp; Items'!A:K,COLUMN('Price List, Weapons &amp; Items'!$I$1),0)</f>
        <v>.</v>
      </c>
      <c r="AO1081" s="521" t="str">
        <f>IF(I1081=".",".",VLOOKUP($I1081,'Price List, Weapons &amp; Items'!A:I,3,0))</f>
        <v>Small Arms and Light Weapons (SALW) ammunition</v>
      </c>
      <c r="AP1081" s="517" t="str">
        <f t="shared" ca="1" si="244"/>
        <v/>
      </c>
      <c r="AQ1081" s="521" t="str">
        <f>VLOOKUP($I1081,'Price List, Weapons &amp; Items'!A:K,COLUMN('Price List, Weapons &amp; Items'!$K$1),0)</f>
        <v>no price, 0 count</v>
      </c>
      <c r="AS1081" s="521">
        <f t="shared" si="239"/>
        <v>1</v>
      </c>
      <c r="AT1081" s="521">
        <f t="shared" si="240"/>
        <v>1</v>
      </c>
      <c r="AU1081" s="521">
        <f t="shared" si="241"/>
        <v>1</v>
      </c>
      <c r="AV1081" s="521" t="str">
        <f t="shared" si="242"/>
        <v>.</v>
      </c>
    </row>
    <row r="1082" spans="1:48" s="44" customFormat="1" ht="15" customHeight="1">
      <c r="A1082" s="603" t="s">
        <v>2739</v>
      </c>
      <c r="B1082" s="603" t="s">
        <v>2548</v>
      </c>
      <c r="C1082" s="604">
        <v>44652</v>
      </c>
      <c r="D1082" s="603" t="s">
        <v>252</v>
      </c>
      <c r="E1082" s="603" t="s">
        <v>253</v>
      </c>
      <c r="F1082" s="605" t="s">
        <v>2740</v>
      </c>
      <c r="G1082" s="606" t="s">
        <v>314</v>
      </c>
      <c r="H1082" s="607">
        <v>300000000</v>
      </c>
      <c r="I1082" s="537" t="s">
        <v>529</v>
      </c>
      <c r="J1082" s="276" t="str">
        <f>VLOOKUP($I1082,'Price List, Weapons &amp; Items'!A:B,2,0)</f>
        <v>Military equipment</v>
      </c>
      <c r="K1082" s="276" t="str">
        <f>IF(I1082=".",I1082,VLOOKUP($I1082,'Price List, Weapons &amp; Items'!A:C,3,0))</f>
        <v>.</v>
      </c>
      <c r="L1082" s="514">
        <f>VLOOKUP(I1082,'Price List, Weapons &amp; Items'!A:D,4,0)</f>
        <v>0</v>
      </c>
      <c r="M1082" s="598" t="s">
        <v>264</v>
      </c>
      <c r="N1082" s="607" t="s">
        <v>232</v>
      </c>
      <c r="O1082" s="516">
        <f>VLOOKUP($I1082,'Price List, Weapons &amp; Items'!A:F,6,0)</f>
        <v>2320</v>
      </c>
      <c r="P1082" s="513" t="str">
        <f t="shared" si="234"/>
        <v>.</v>
      </c>
      <c r="Q1082" s="513" t="str">
        <f t="shared" si="235"/>
        <v>.</v>
      </c>
      <c r="R1082" s="513" t="str">
        <f t="shared" si="245"/>
        <v/>
      </c>
      <c r="S1082" s="513" t="str">
        <f>IF(AND(AD1082=1,R1082&lt;&gt;".")=TRUE,R1082/VLOOKUP(G1082,'Exchange rates'!B:C,2,0),IF(R1082=".",".",""))</f>
        <v/>
      </c>
      <c r="T1082" s="513" t="str">
        <f>IF(AD1082=1,IF(AF1082="Value is not given at all",".",IF(AF1082="Value is given by the source",S1082,IF(AF1082="Value is calculated with prices",(IF(SUMIFS(Q:Q,A:A,A1082)&gt;0,SUMIFS(Q:Q,A:A,A1082),"."))/VLOOKUP("USD",'Exchange rates'!B:C,2,0),"Error with coding"))),"")</f>
        <v/>
      </c>
      <c r="U1082" s="606" t="s">
        <v>233</v>
      </c>
      <c r="V1082" s="387" t="s">
        <v>2742</v>
      </c>
      <c r="W1082" s="388" t="s">
        <v>2743</v>
      </c>
      <c r="X1082" s="389" t="s">
        <v>2606</v>
      </c>
      <c r="Y1082" s="608" t="s">
        <v>232</v>
      </c>
      <c r="Z1082" s="606">
        <v>0</v>
      </c>
      <c r="AA1082" s="600">
        <v>0</v>
      </c>
      <c r="AB1082" s="601" t="s">
        <v>232</v>
      </c>
      <c r="AC1082" s="519" t="str">
        <f>""</f>
        <v/>
      </c>
      <c r="AD1082" s="609">
        <v>0</v>
      </c>
      <c r="AE1082" s="609" t="s">
        <v>236</v>
      </c>
      <c r="AF1082" s="609" t="s">
        <v>300</v>
      </c>
      <c r="AG1082" s="609">
        <v>1</v>
      </c>
      <c r="AH1082" s="609">
        <v>4</v>
      </c>
      <c r="AI1082" s="609">
        <v>0</v>
      </c>
      <c r="AJ1082" s="520">
        <f>VLOOKUP($I1082,'Price List, Weapons &amp; Items'!A:E,5,0)</f>
        <v>0</v>
      </c>
      <c r="AK1082" s="520">
        <f t="shared" si="236"/>
        <v>0</v>
      </c>
      <c r="AL1082" s="520">
        <f t="shared" si="237"/>
        <v>0</v>
      </c>
      <c r="AM1082" s="520">
        <f t="shared" si="238"/>
        <v>0</v>
      </c>
      <c r="AN1082" s="521" t="str">
        <f>VLOOKUP($I1082,'Price List, Weapons &amp; Items'!A:K,COLUMN('Price List, Weapons &amp; Items'!$I$1),0)</f>
        <v>Media reports (incl. social media)</v>
      </c>
      <c r="AO1082" s="521" t="str">
        <f>IF(I1082=".",".",VLOOKUP($I1082,'Price List, Weapons &amp; Items'!A:I,3,0))</f>
        <v>.</v>
      </c>
      <c r="AP1082" s="517" t="str">
        <f t="shared" ca="1" si="244"/>
        <v/>
      </c>
      <c r="AQ1082" s="521">
        <f>VLOOKUP($I1082,'Price List, Weapons &amp; Items'!A:K,COLUMN('Price List, Weapons &amp; Items'!$K$1),0)</f>
        <v>2</v>
      </c>
      <c r="AS1082" s="521">
        <f t="shared" si="239"/>
        <v>1</v>
      </c>
      <c r="AT1082" s="521">
        <f t="shared" si="240"/>
        <v>1</v>
      </c>
      <c r="AU1082" s="521">
        <f t="shared" si="241"/>
        <v>1</v>
      </c>
      <c r="AV1082" s="521" t="str">
        <f t="shared" si="242"/>
        <v>.</v>
      </c>
    </row>
    <row r="1083" spans="1:48" s="44" customFormat="1" ht="15" customHeight="1">
      <c r="A1083" s="603" t="s">
        <v>2739</v>
      </c>
      <c r="B1083" s="603" t="s">
        <v>2548</v>
      </c>
      <c r="C1083" s="604">
        <v>44652</v>
      </c>
      <c r="D1083" s="603" t="s">
        <v>252</v>
      </c>
      <c r="E1083" s="603" t="s">
        <v>253</v>
      </c>
      <c r="F1083" s="605" t="s">
        <v>2740</v>
      </c>
      <c r="G1083" s="606" t="s">
        <v>314</v>
      </c>
      <c r="H1083" s="607">
        <v>300000000</v>
      </c>
      <c r="I1083" s="537" t="s">
        <v>860</v>
      </c>
      <c r="J1083" s="276" t="str">
        <f>VLOOKUP($I1083,'Price List, Weapons &amp; Items'!A:B,2,0)</f>
        <v>Military equipment</v>
      </c>
      <c r="K1083" s="276" t="str">
        <f>IF(I1083=".",I1083,VLOOKUP($I1083,'Price List, Weapons &amp; Items'!A:C,3,0))</f>
        <v>radar and imagery systems</v>
      </c>
      <c r="L1083" s="514">
        <f>VLOOKUP(I1083,'Price List, Weapons &amp; Items'!A:D,4,0)</f>
        <v>0</v>
      </c>
      <c r="M1083" s="598" t="s">
        <v>264</v>
      </c>
      <c r="N1083" s="607" t="s">
        <v>232</v>
      </c>
      <c r="O1083" s="516">
        <f>VLOOKUP($I1083,'Price List, Weapons &amp; Items'!A:F,6,0)</f>
        <v>5000</v>
      </c>
      <c r="P1083" s="513" t="str">
        <f t="shared" ref="P1083:P1185" si="246">IF(TYPE(M1083)=1,IF(TYPE(O1083)=1,M1083*O1083,"No price"),".")</f>
        <v>.</v>
      </c>
      <c r="Q1083" s="513" t="str">
        <f t="shared" ref="Q1083:Q1185" si="247">IF(TYPE(N1083)=1,IF(TYPE(O1083)=1,N1083*O1083,"No price"),".")</f>
        <v>.</v>
      </c>
      <c r="R1083" s="513" t="str">
        <f t="shared" si="245"/>
        <v/>
      </c>
      <c r="S1083" s="513" t="str">
        <f>IF(AND(AD1083=1,R1083&lt;&gt;".")=TRUE,R1083/VLOOKUP(G1083,'Exchange rates'!B:C,2,0),IF(R1083=".",".",""))</f>
        <v/>
      </c>
      <c r="T1083" s="513" t="str">
        <f>IF(AD1083=1,IF(AF1083="Value is not given at all",".",IF(AF1083="Value is given by the source",S1083,IF(AF1083="Value is calculated with prices",(IF(SUMIFS(Q:Q,A:A,A1083)&gt;0,SUMIFS(Q:Q,A:A,A1083),"."))/VLOOKUP("USD",'Exchange rates'!B:C,2,0),"Error with coding"))),"")</f>
        <v/>
      </c>
      <c r="U1083" s="606" t="s">
        <v>233</v>
      </c>
      <c r="V1083" s="387" t="s">
        <v>2742</v>
      </c>
      <c r="W1083" s="388" t="s">
        <v>2743</v>
      </c>
      <c r="X1083" s="389" t="s">
        <v>2606</v>
      </c>
      <c r="Y1083" s="608" t="s">
        <v>232</v>
      </c>
      <c r="Z1083" s="606">
        <v>0</v>
      </c>
      <c r="AA1083" s="600">
        <v>0</v>
      </c>
      <c r="AB1083" s="601" t="s">
        <v>232</v>
      </c>
      <c r="AC1083" s="519" t="str">
        <f>""</f>
        <v/>
      </c>
      <c r="AD1083" s="609">
        <v>0</v>
      </c>
      <c r="AE1083" s="609" t="s">
        <v>236</v>
      </c>
      <c r="AF1083" s="609" t="s">
        <v>300</v>
      </c>
      <c r="AG1083" s="609">
        <v>1</v>
      </c>
      <c r="AH1083" s="609">
        <v>4</v>
      </c>
      <c r="AI1083" s="609">
        <v>0</v>
      </c>
      <c r="AJ1083" s="520">
        <f>VLOOKUP($I1083,'Price List, Weapons &amp; Items'!A:E,5,0)</f>
        <v>0</v>
      </c>
      <c r="AK1083" s="520">
        <f t="shared" si="236"/>
        <v>0</v>
      </c>
      <c r="AL1083" s="520">
        <f t="shared" si="237"/>
        <v>0</v>
      </c>
      <c r="AM1083" s="520">
        <f t="shared" si="238"/>
        <v>0</v>
      </c>
      <c r="AN1083" s="521" t="str">
        <f>VLOOKUP($I1083,'Price List, Weapons &amp; Items'!A:K,COLUMN('Price List, Weapons &amp; Items'!$I$1),0)</f>
        <v>Miscellaneous</v>
      </c>
      <c r="AO1083" s="521" t="str">
        <f>IF(I1083=".",".",VLOOKUP($I1083,'Price List, Weapons &amp; Items'!A:I,3,0))</f>
        <v>radar and imagery systems</v>
      </c>
      <c r="AP1083" s="517" t="str">
        <f t="shared" ca="1" si="244"/>
        <v/>
      </c>
      <c r="AQ1083" s="521" t="str">
        <f>VLOOKUP($I1083,'Price List, Weapons &amp; Items'!A:K,COLUMN('Price List, Weapons &amp; Items'!$K$1),0)</f>
        <v>no price, 0 count</v>
      </c>
      <c r="AS1083" s="521">
        <f t="shared" si="239"/>
        <v>1</v>
      </c>
      <c r="AT1083" s="521">
        <f t="shared" si="240"/>
        <v>1</v>
      </c>
      <c r="AU1083" s="521">
        <f t="shared" si="241"/>
        <v>1</v>
      </c>
      <c r="AV1083" s="521" t="str">
        <f t="shared" si="242"/>
        <v>.</v>
      </c>
    </row>
    <row r="1084" spans="1:48" s="44" customFormat="1" ht="15" customHeight="1">
      <c r="A1084" s="603" t="s">
        <v>2739</v>
      </c>
      <c r="B1084" s="603" t="s">
        <v>2548</v>
      </c>
      <c r="C1084" s="604">
        <v>44652</v>
      </c>
      <c r="D1084" s="603" t="s">
        <v>252</v>
      </c>
      <c r="E1084" s="603" t="s">
        <v>253</v>
      </c>
      <c r="F1084" s="605" t="s">
        <v>2740</v>
      </c>
      <c r="G1084" s="606" t="s">
        <v>314</v>
      </c>
      <c r="H1084" s="607">
        <v>300000000</v>
      </c>
      <c r="I1084" s="537" t="s">
        <v>2615</v>
      </c>
      <c r="J1084" s="276" t="str">
        <f>VLOOKUP($I1084,'Price List, Weapons &amp; Items'!A:B,2,0)</f>
        <v>Military equipment</v>
      </c>
      <c r="K1084" s="276" t="str">
        <f>IF(I1084=".",I1084,VLOOKUP($I1084,'Price List, Weapons &amp; Items'!A:C,3,0))</f>
        <v>.</v>
      </c>
      <c r="L1084" s="514">
        <f>VLOOKUP(I1084,'Price List, Weapons &amp; Items'!A:D,4,0)</f>
        <v>0</v>
      </c>
      <c r="M1084" s="598" t="s">
        <v>264</v>
      </c>
      <c r="N1084" s="607" t="s">
        <v>232</v>
      </c>
      <c r="O1084" s="516">
        <f>VLOOKUP($I1084,'Price List, Weapons &amp; Items'!A:F,6,0)</f>
        <v>45</v>
      </c>
      <c r="P1084" s="513" t="str">
        <f t="shared" si="246"/>
        <v>.</v>
      </c>
      <c r="Q1084" s="513" t="str">
        <f t="shared" si="247"/>
        <v>.</v>
      </c>
      <c r="R1084" s="513" t="str">
        <f t="shared" si="245"/>
        <v/>
      </c>
      <c r="S1084" s="513" t="str">
        <f>IF(AND(AD1084=1,R1084&lt;&gt;".")=TRUE,R1084/VLOOKUP(G1084,'Exchange rates'!B:C,2,0),IF(R1084=".",".",""))</f>
        <v/>
      </c>
      <c r="T1084" s="513" t="str">
        <f>IF(AD1084=1,IF(AF1084="Value is not given at all",".",IF(AF1084="Value is given by the source",S1084,IF(AF1084="Value is calculated with prices",(IF(SUMIFS(Q:Q,A:A,A1084)&gt;0,SUMIFS(Q:Q,A:A,A1084),"."))/VLOOKUP("USD",'Exchange rates'!B:C,2,0),"Error with coding"))),"")</f>
        <v/>
      </c>
      <c r="U1084" s="606" t="s">
        <v>233</v>
      </c>
      <c r="V1084" s="387" t="s">
        <v>2742</v>
      </c>
      <c r="W1084" s="388" t="s">
        <v>2743</v>
      </c>
      <c r="X1084" s="389" t="s">
        <v>2606</v>
      </c>
      <c r="Y1084" s="608" t="s">
        <v>232</v>
      </c>
      <c r="Z1084" s="606">
        <v>0</v>
      </c>
      <c r="AA1084" s="600">
        <v>0</v>
      </c>
      <c r="AB1084" s="601" t="s">
        <v>232</v>
      </c>
      <c r="AC1084" s="519" t="str">
        <f>""</f>
        <v/>
      </c>
      <c r="AD1084" s="609">
        <v>0</v>
      </c>
      <c r="AE1084" s="609" t="s">
        <v>236</v>
      </c>
      <c r="AF1084" s="609" t="s">
        <v>300</v>
      </c>
      <c r="AG1084" s="609">
        <v>1</v>
      </c>
      <c r="AH1084" s="609">
        <v>4</v>
      </c>
      <c r="AI1084" s="609">
        <v>0</v>
      </c>
      <c r="AJ1084" s="520">
        <f>VLOOKUP($I1084,'Price List, Weapons &amp; Items'!A:E,5,0)</f>
        <v>0</v>
      </c>
      <c r="AK1084" s="520">
        <f t="shared" si="236"/>
        <v>0</v>
      </c>
      <c r="AL1084" s="520">
        <f t="shared" si="237"/>
        <v>0</v>
      </c>
      <c r="AM1084" s="520">
        <f t="shared" si="238"/>
        <v>0</v>
      </c>
      <c r="AN1084" s="521" t="str">
        <f>VLOOKUP($I1084,'Price List, Weapons &amp; Items'!A:K,COLUMN('Price List, Weapons &amp; Items'!$I$1),0)</f>
        <v>Online marketplaces and stores</v>
      </c>
      <c r="AO1084" s="521" t="str">
        <f>IF(I1084=".",".",VLOOKUP($I1084,'Price List, Weapons &amp; Items'!A:I,3,0))</f>
        <v>.</v>
      </c>
      <c r="AP1084" s="517" t="str">
        <f t="shared" ca="1" si="244"/>
        <v/>
      </c>
      <c r="AQ1084" s="521">
        <f>VLOOKUP($I1084,'Price List, Weapons &amp; Items'!A:K,COLUMN('Price List, Weapons &amp; Items'!$K$1),0)</f>
        <v>1</v>
      </c>
      <c r="AS1084" s="521">
        <f t="shared" si="239"/>
        <v>1</v>
      </c>
      <c r="AT1084" s="521">
        <f t="shared" si="240"/>
        <v>1</v>
      </c>
      <c r="AU1084" s="521">
        <f t="shared" si="241"/>
        <v>1</v>
      </c>
      <c r="AV1084" s="521" t="str">
        <f t="shared" si="242"/>
        <v>.</v>
      </c>
    </row>
    <row r="1085" spans="1:48" s="44" customFormat="1" ht="15" customHeight="1">
      <c r="A1085" s="603" t="s">
        <v>2739</v>
      </c>
      <c r="B1085" s="603" t="s">
        <v>2548</v>
      </c>
      <c r="C1085" s="604">
        <v>44652</v>
      </c>
      <c r="D1085" s="603" t="s">
        <v>252</v>
      </c>
      <c r="E1085" s="603" t="s">
        <v>253</v>
      </c>
      <c r="F1085" s="605" t="s">
        <v>2740</v>
      </c>
      <c r="G1085" s="606" t="s">
        <v>314</v>
      </c>
      <c r="H1085" s="607">
        <v>300000000</v>
      </c>
      <c r="I1085" s="537" t="s">
        <v>2698</v>
      </c>
      <c r="J1085" s="276" t="str">
        <f>VLOOKUP($I1085,'Price List, Weapons &amp; Items'!A:B,2,0)</f>
        <v>Military equipment</v>
      </c>
      <c r="K1085" s="276" t="str">
        <f>IF(I1085=".",I1085,VLOOKUP($I1085,'Price List, Weapons &amp; Items'!A:C,3,0))</f>
        <v>.</v>
      </c>
      <c r="L1085" s="514">
        <f>VLOOKUP(I1085,'Price List, Weapons &amp; Items'!A:D,4,0)</f>
        <v>0</v>
      </c>
      <c r="M1085" s="598" t="s">
        <v>264</v>
      </c>
      <c r="N1085" s="607" t="s">
        <v>232</v>
      </c>
      <c r="O1085" s="516" t="str">
        <f>VLOOKUP($I1085,'Price List, Weapons &amp; Items'!A:F,6,0)</f>
        <v>.</v>
      </c>
      <c r="P1085" s="513" t="str">
        <f t="shared" si="246"/>
        <v>.</v>
      </c>
      <c r="Q1085" s="513" t="str">
        <f t="shared" si="247"/>
        <v>.</v>
      </c>
      <c r="R1085" s="513" t="str">
        <f t="shared" si="245"/>
        <v/>
      </c>
      <c r="S1085" s="513" t="str">
        <f>IF(AND(AD1085=1,R1085&lt;&gt;".")=TRUE,R1085/VLOOKUP(G1085,'Exchange rates'!B:C,2,0),IF(R1085=".",".",""))</f>
        <v/>
      </c>
      <c r="T1085" s="513" t="str">
        <f>IF(AD1085=1,IF(AF1085="Value is not given at all",".",IF(AF1085="Value is given by the source",S1085,IF(AF1085="Value is calculated with prices",(IF(SUMIFS(Q:Q,A:A,A1085)&gt;0,SUMIFS(Q:Q,A:A,A1085),"."))/VLOOKUP("USD",'Exchange rates'!B:C,2,0),"Error with coding"))),"")</f>
        <v/>
      </c>
      <c r="U1085" s="606" t="s">
        <v>233</v>
      </c>
      <c r="V1085" s="387" t="s">
        <v>2742</v>
      </c>
      <c r="W1085" s="388" t="s">
        <v>2743</v>
      </c>
      <c r="X1085" s="389" t="s">
        <v>2606</v>
      </c>
      <c r="Y1085" s="608" t="s">
        <v>232</v>
      </c>
      <c r="Z1085" s="606">
        <v>0</v>
      </c>
      <c r="AA1085" s="600">
        <v>0</v>
      </c>
      <c r="AB1085" s="601" t="s">
        <v>232</v>
      </c>
      <c r="AC1085" s="519" t="str">
        <f>""</f>
        <v/>
      </c>
      <c r="AD1085" s="609">
        <v>0</v>
      </c>
      <c r="AE1085" s="609" t="s">
        <v>236</v>
      </c>
      <c r="AF1085" s="609" t="s">
        <v>300</v>
      </c>
      <c r="AG1085" s="609">
        <v>1</v>
      </c>
      <c r="AH1085" s="609">
        <v>4</v>
      </c>
      <c r="AI1085" s="609">
        <v>0</v>
      </c>
      <c r="AJ1085" s="520">
        <f>VLOOKUP($I1085,'Price List, Weapons &amp; Items'!A:E,5,0)</f>
        <v>0</v>
      </c>
      <c r="AK1085" s="520">
        <f t="shared" si="236"/>
        <v>0</v>
      </c>
      <c r="AL1085" s="520">
        <f t="shared" si="237"/>
        <v>0</v>
      </c>
      <c r="AM1085" s="520">
        <f t="shared" si="238"/>
        <v>0</v>
      </c>
      <c r="AN1085" s="521" t="str">
        <f>VLOOKUP($I1085,'Price List, Weapons &amp; Items'!A:K,COLUMN('Price List, Weapons &amp; Items'!$I$1),0)</f>
        <v>.</v>
      </c>
      <c r="AO1085" s="521" t="str">
        <f>IF(I1085=".",".",VLOOKUP($I1085,'Price List, Weapons &amp; Items'!A:I,3,0))</f>
        <v>.</v>
      </c>
      <c r="AP1085" s="517" t="str">
        <f t="shared" ca="1" si="244"/>
        <v/>
      </c>
      <c r="AQ1085" s="521" t="str">
        <f>VLOOKUP($I1085,'Price List, Weapons &amp; Items'!A:K,COLUMN('Price List, Weapons &amp; Items'!$K$1),0)</f>
        <v>no price, 0 count</v>
      </c>
      <c r="AS1085" s="521">
        <f t="shared" si="239"/>
        <v>1</v>
      </c>
      <c r="AT1085" s="521">
        <f t="shared" si="240"/>
        <v>1</v>
      </c>
      <c r="AU1085" s="521">
        <f t="shared" si="241"/>
        <v>1</v>
      </c>
      <c r="AV1085" s="521" t="str">
        <f t="shared" si="242"/>
        <v>.</v>
      </c>
    </row>
    <row r="1086" spans="1:48" s="44" customFormat="1" ht="15" customHeight="1">
      <c r="A1086" s="603" t="s">
        <v>2739</v>
      </c>
      <c r="B1086" s="603" t="s">
        <v>2548</v>
      </c>
      <c r="C1086" s="604">
        <v>44652</v>
      </c>
      <c r="D1086" s="603" t="s">
        <v>252</v>
      </c>
      <c r="E1086" s="603" t="s">
        <v>253</v>
      </c>
      <c r="F1086" s="605" t="s">
        <v>2740</v>
      </c>
      <c r="G1086" s="606" t="s">
        <v>314</v>
      </c>
      <c r="H1086" s="607">
        <v>300000000</v>
      </c>
      <c r="I1086" s="537" t="s">
        <v>2748</v>
      </c>
      <c r="J1086" s="276" t="str">
        <f>VLOOKUP($I1086,'Price List, Weapons &amp; Items'!A:B,2,0)</f>
        <v>Light armaments &amp; infantry</v>
      </c>
      <c r="K1086" s="276" t="str">
        <f>IF(I1086=".",I1086,VLOOKUP($I1086,'Price List, Weapons &amp; Items'!A:C,3,0))</f>
        <v>Small Arms and Light Weapons (SALW)</v>
      </c>
      <c r="L1086" s="514">
        <f>VLOOKUP(I1086,'Price List, Weapons &amp; Items'!A:D,4,0)</f>
        <v>0</v>
      </c>
      <c r="M1086" s="598" t="s">
        <v>264</v>
      </c>
      <c r="N1086" s="607" t="s">
        <v>232</v>
      </c>
      <c r="O1086" s="516">
        <f>VLOOKUP($I1086,'Price List, Weapons &amp; Items'!A:F,6,0)</f>
        <v>5300</v>
      </c>
      <c r="P1086" s="513" t="str">
        <f t="shared" si="246"/>
        <v>.</v>
      </c>
      <c r="Q1086" s="513" t="str">
        <f t="shared" si="247"/>
        <v>.</v>
      </c>
      <c r="R1086" s="513" t="str">
        <f t="shared" si="245"/>
        <v/>
      </c>
      <c r="S1086" s="513" t="str">
        <f>IF(AND(AD1086=1,R1086&lt;&gt;".")=TRUE,R1086/VLOOKUP(G1086,'Exchange rates'!B:C,2,0),IF(R1086=".",".",""))</f>
        <v/>
      </c>
      <c r="T1086" s="513" t="str">
        <f>IF(AD1086=1,IF(AF1086="Value is not given at all",".",IF(AF1086="Value is given by the source",S1086,IF(AF1086="Value is calculated with prices",(IF(SUMIFS(Q:Q,A:A,A1086)&gt;0,SUMIFS(Q:Q,A:A,A1086),"."))/VLOOKUP("USD",'Exchange rates'!B:C,2,0),"Error with coding"))),"")</f>
        <v/>
      </c>
      <c r="U1086" s="606" t="s">
        <v>233</v>
      </c>
      <c r="V1086" s="387" t="s">
        <v>2742</v>
      </c>
      <c r="W1086" s="388" t="s">
        <v>2743</v>
      </c>
      <c r="X1086" s="389" t="s">
        <v>2606</v>
      </c>
      <c r="Y1086" s="608" t="s">
        <v>232</v>
      </c>
      <c r="Z1086" s="606">
        <v>0</v>
      </c>
      <c r="AA1086" s="600">
        <v>0</v>
      </c>
      <c r="AB1086" s="601" t="s">
        <v>232</v>
      </c>
      <c r="AC1086" s="519" t="str">
        <f>""</f>
        <v/>
      </c>
      <c r="AD1086" s="609">
        <v>0</v>
      </c>
      <c r="AE1086" s="609" t="s">
        <v>236</v>
      </c>
      <c r="AF1086" s="609" t="s">
        <v>300</v>
      </c>
      <c r="AG1086" s="609">
        <v>1</v>
      </c>
      <c r="AH1086" s="609">
        <v>4</v>
      </c>
      <c r="AI1086" s="609">
        <v>0</v>
      </c>
      <c r="AJ1086" s="520">
        <f>VLOOKUP($I1086,'Price List, Weapons &amp; Items'!A:E,5,0)</f>
        <v>0</v>
      </c>
      <c r="AK1086" s="520">
        <f t="shared" si="236"/>
        <v>0</v>
      </c>
      <c r="AL1086" s="520">
        <f t="shared" si="237"/>
        <v>0</v>
      </c>
      <c r="AM1086" s="520">
        <f t="shared" si="238"/>
        <v>0</v>
      </c>
      <c r="AN1086" s="521" t="str">
        <f>VLOOKUP($I1086,'Price List, Weapons &amp; Items'!A:K,COLUMN('Price List, Weapons &amp; Items'!$I$1),0)</f>
        <v>Miscellaneous</v>
      </c>
      <c r="AO1086" s="521" t="str">
        <f>IF(I1086=".",".",VLOOKUP($I1086,'Price List, Weapons &amp; Items'!A:I,3,0))</f>
        <v>Small Arms and Light Weapons (SALW)</v>
      </c>
      <c r="AP1086" s="517" t="str">
        <f t="shared" ca="1" si="244"/>
        <v/>
      </c>
      <c r="AQ1086" s="521" t="str">
        <f>VLOOKUP($I1086,'Price List, Weapons &amp; Items'!A:K,COLUMN('Price List, Weapons &amp; Items'!$K$1),0)</f>
        <v>no price, 0 count</v>
      </c>
      <c r="AS1086" s="521">
        <f t="shared" si="239"/>
        <v>1</v>
      </c>
      <c r="AT1086" s="521">
        <f t="shared" si="240"/>
        <v>1</v>
      </c>
      <c r="AU1086" s="521">
        <f t="shared" si="241"/>
        <v>1</v>
      </c>
      <c r="AV1086" s="521" t="str">
        <f t="shared" si="242"/>
        <v>.</v>
      </c>
    </row>
    <row r="1087" spans="1:48" s="44" customFormat="1" ht="15" customHeight="1">
      <c r="A1087" s="603" t="s">
        <v>2739</v>
      </c>
      <c r="B1087" s="603" t="s">
        <v>2548</v>
      </c>
      <c r="C1087" s="604">
        <v>44652</v>
      </c>
      <c r="D1087" s="603" t="s">
        <v>252</v>
      </c>
      <c r="E1087" s="603" t="s">
        <v>253</v>
      </c>
      <c r="F1087" s="605" t="s">
        <v>2740</v>
      </c>
      <c r="G1087" s="606" t="s">
        <v>314</v>
      </c>
      <c r="H1087" s="607">
        <v>300000000</v>
      </c>
      <c r="I1087" s="537" t="s">
        <v>2749</v>
      </c>
      <c r="J1087" s="276" t="str">
        <f>VLOOKUP($I1087,'Price List, Weapons &amp; Items'!A:B,2,0)</f>
        <v>Military equipment</v>
      </c>
      <c r="K1087" s="276" t="str">
        <f>IF(I1087=".",I1087,VLOOKUP($I1087,'Price List, Weapons &amp; Items'!A:C,3,0))</f>
        <v>.</v>
      </c>
      <c r="L1087" s="514">
        <f>VLOOKUP(I1087,'Price List, Weapons &amp; Items'!A:D,4,0)</f>
        <v>0</v>
      </c>
      <c r="M1087" s="598" t="s">
        <v>232</v>
      </c>
      <c r="N1087" s="607" t="s">
        <v>232</v>
      </c>
      <c r="O1087" s="516" t="str">
        <f>VLOOKUP($I1087,'Price List, Weapons &amp; Items'!A:F,6,0)</f>
        <v>.</v>
      </c>
      <c r="P1087" s="513" t="str">
        <f t="shared" si="246"/>
        <v>.</v>
      </c>
      <c r="Q1087" s="513" t="str">
        <f t="shared" si="247"/>
        <v>.</v>
      </c>
      <c r="R1087" s="513" t="str">
        <f t="shared" si="245"/>
        <v/>
      </c>
      <c r="S1087" s="513" t="str">
        <f>IF(AND(AD1087=1,R1087&lt;&gt;".")=TRUE,R1087/VLOOKUP(G1087,'Exchange rates'!B:C,2,0),IF(R1087=".",".",""))</f>
        <v/>
      </c>
      <c r="T1087" s="513" t="str">
        <f>IF(AD1087=1,IF(AF1087="Value is not given at all",".",IF(AF1087="Value is given by the source",S1087,IF(AF1087="Value is calculated with prices",(IF(SUMIFS(Q:Q,A:A,A1087)&gt;0,SUMIFS(Q:Q,A:A,A1087),"."))/VLOOKUP("USD",'Exchange rates'!B:C,2,0),"Error with coding"))),"")</f>
        <v/>
      </c>
      <c r="U1087" s="606" t="s">
        <v>233</v>
      </c>
      <c r="V1087" s="387" t="s">
        <v>2742</v>
      </c>
      <c r="W1087" s="388" t="s">
        <v>2743</v>
      </c>
      <c r="X1087" s="389" t="s">
        <v>2606</v>
      </c>
      <c r="Y1087" s="608" t="s">
        <v>232</v>
      </c>
      <c r="Z1087" s="606">
        <v>0</v>
      </c>
      <c r="AA1087" s="600">
        <v>0</v>
      </c>
      <c r="AB1087" s="601" t="s">
        <v>232</v>
      </c>
      <c r="AC1087" s="519" t="str">
        <f>""</f>
        <v/>
      </c>
      <c r="AD1087" s="609">
        <v>0</v>
      </c>
      <c r="AE1087" s="609" t="s">
        <v>236</v>
      </c>
      <c r="AF1087" s="609" t="s">
        <v>300</v>
      </c>
      <c r="AG1087" s="609">
        <v>1</v>
      </c>
      <c r="AH1087" s="609">
        <v>4</v>
      </c>
      <c r="AI1087" s="609">
        <v>0</v>
      </c>
      <c r="AJ1087" s="520">
        <f>VLOOKUP($I1087,'Price List, Weapons &amp; Items'!A:E,5,0)</f>
        <v>0</v>
      </c>
      <c r="AK1087" s="520">
        <f t="shared" si="236"/>
        <v>0</v>
      </c>
      <c r="AL1087" s="520">
        <f t="shared" si="237"/>
        <v>0</v>
      </c>
      <c r="AM1087" s="520">
        <f t="shared" si="238"/>
        <v>0</v>
      </c>
      <c r="AN1087" s="521" t="str">
        <f>VLOOKUP($I1087,'Price List, Weapons &amp; Items'!A:K,COLUMN('Price List, Weapons &amp; Items'!$I$1),0)</f>
        <v>.</v>
      </c>
      <c r="AO1087" s="521" t="str">
        <f>IF(I1087=".",".",VLOOKUP($I1087,'Price List, Weapons &amp; Items'!A:I,3,0))</f>
        <v>.</v>
      </c>
      <c r="AP1087" s="517" t="str">
        <f t="shared" ca="1" si="244"/>
        <v/>
      </c>
      <c r="AQ1087" s="521" t="str">
        <f>VLOOKUP($I1087,'Price List, Weapons &amp; Items'!A:K,COLUMN('Price List, Weapons &amp; Items'!$K$1),0)</f>
        <v>no price, 0 count</v>
      </c>
      <c r="AS1087" s="521">
        <f t="shared" si="239"/>
        <v>1</v>
      </c>
      <c r="AT1087" s="521">
        <f t="shared" si="240"/>
        <v>1</v>
      </c>
      <c r="AU1087" s="521">
        <f t="shared" si="241"/>
        <v>1</v>
      </c>
      <c r="AV1087" s="521" t="str">
        <f t="shared" si="242"/>
        <v>.</v>
      </c>
    </row>
    <row r="1088" spans="1:48" s="44" customFormat="1" ht="15" customHeight="1">
      <c r="A1088" s="603" t="s">
        <v>2739</v>
      </c>
      <c r="B1088" s="603" t="s">
        <v>2548</v>
      </c>
      <c r="C1088" s="604">
        <v>44652</v>
      </c>
      <c r="D1088" s="603" t="s">
        <v>252</v>
      </c>
      <c r="E1088" s="603" t="s">
        <v>253</v>
      </c>
      <c r="F1088" s="605" t="s">
        <v>2740</v>
      </c>
      <c r="G1088" s="606" t="s">
        <v>314</v>
      </c>
      <c r="H1088" s="607">
        <v>300000000</v>
      </c>
      <c r="I1088" s="537" t="s">
        <v>2027</v>
      </c>
      <c r="J1088" s="276" t="str">
        <f>VLOOKUP($I1088,'Price List, Weapons &amp; Items'!A:B,2,0)</f>
        <v>Military equipment</v>
      </c>
      <c r="K1088" s="276" t="str">
        <f>IF(I1088=".",I1088,VLOOKUP($I1088,'Price List, Weapons &amp; Items'!A:C,3,0))</f>
        <v>.</v>
      </c>
      <c r="L1088" s="514">
        <f>VLOOKUP(I1088,'Price List, Weapons &amp; Items'!A:D,4,0)</f>
        <v>0</v>
      </c>
      <c r="M1088" s="598" t="s">
        <v>232</v>
      </c>
      <c r="N1088" s="607" t="s">
        <v>232</v>
      </c>
      <c r="O1088" s="516" t="str">
        <f>VLOOKUP($I1088,'Price List, Weapons &amp; Items'!A:F,6,0)</f>
        <v>.</v>
      </c>
      <c r="P1088" s="513" t="str">
        <f t="shared" si="246"/>
        <v>.</v>
      </c>
      <c r="Q1088" s="513" t="str">
        <f t="shared" si="247"/>
        <v>.</v>
      </c>
      <c r="R1088" s="513" t="str">
        <f t="shared" si="245"/>
        <v/>
      </c>
      <c r="S1088" s="513" t="str">
        <f>IF(AND(AD1088=1,R1088&lt;&gt;".")=TRUE,R1088/VLOOKUP(G1088,'Exchange rates'!B:C,2,0),IF(R1088=".",".",""))</f>
        <v/>
      </c>
      <c r="T1088" s="513" t="str">
        <f>IF(AD1088=1,IF(AF1088="Value is not given at all",".",IF(AF1088="Value is given by the source",S1088,IF(AF1088="Value is calculated with prices",(IF(SUMIFS(Q:Q,A:A,A1088)&gt;0,SUMIFS(Q:Q,A:A,A1088),"."))/VLOOKUP("USD",'Exchange rates'!B:C,2,0),"Error with coding"))),"")</f>
        <v/>
      </c>
      <c r="U1088" s="606" t="s">
        <v>233</v>
      </c>
      <c r="V1088" s="387" t="s">
        <v>2742</v>
      </c>
      <c r="W1088" s="388" t="s">
        <v>2743</v>
      </c>
      <c r="X1088" s="389" t="s">
        <v>2606</v>
      </c>
      <c r="Y1088" s="608" t="s">
        <v>232</v>
      </c>
      <c r="Z1088" s="606">
        <v>0</v>
      </c>
      <c r="AA1088" s="600">
        <v>0</v>
      </c>
      <c r="AB1088" s="601" t="s">
        <v>232</v>
      </c>
      <c r="AC1088" s="519" t="str">
        <f>""</f>
        <v/>
      </c>
      <c r="AD1088" s="609">
        <v>0</v>
      </c>
      <c r="AE1088" s="609" t="s">
        <v>236</v>
      </c>
      <c r="AF1088" s="609" t="s">
        <v>300</v>
      </c>
      <c r="AG1088" s="609">
        <v>1</v>
      </c>
      <c r="AH1088" s="609">
        <v>4</v>
      </c>
      <c r="AI1088" s="609">
        <v>0</v>
      </c>
      <c r="AJ1088" s="520">
        <f>VLOOKUP($I1088,'Price List, Weapons &amp; Items'!A:E,5,0)</f>
        <v>0</v>
      </c>
      <c r="AK1088" s="520">
        <f t="shared" si="236"/>
        <v>0</v>
      </c>
      <c r="AL1088" s="520">
        <f t="shared" si="237"/>
        <v>0</v>
      </c>
      <c r="AM1088" s="520">
        <f t="shared" si="238"/>
        <v>0</v>
      </c>
      <c r="AN1088" s="521" t="str">
        <f>VLOOKUP($I1088,'Price List, Weapons &amp; Items'!A:K,COLUMN('Price List, Weapons &amp; Items'!$I$1),0)</f>
        <v>.</v>
      </c>
      <c r="AO1088" s="521" t="str">
        <f>IF(I1088=".",".",VLOOKUP($I1088,'Price List, Weapons &amp; Items'!A:I,3,0))</f>
        <v>.</v>
      </c>
      <c r="AP1088" s="517" t="str">
        <f t="shared" ca="1" si="244"/>
        <v/>
      </c>
      <c r="AQ1088" s="521" t="str">
        <f>VLOOKUP($I1088,'Price List, Weapons &amp; Items'!A:K,COLUMN('Price List, Weapons &amp; Items'!$K$1),0)</f>
        <v>no price, 0 count</v>
      </c>
      <c r="AS1088" s="521">
        <f t="shared" si="239"/>
        <v>1</v>
      </c>
      <c r="AT1088" s="521">
        <f t="shared" si="240"/>
        <v>1</v>
      </c>
      <c r="AU1088" s="521">
        <f t="shared" si="241"/>
        <v>1</v>
      </c>
      <c r="AV1088" s="521" t="str">
        <f t="shared" si="242"/>
        <v>.</v>
      </c>
    </row>
    <row r="1089" spans="1:48" s="44" customFormat="1" ht="15" customHeight="1">
      <c r="A1089" s="603" t="s">
        <v>2739</v>
      </c>
      <c r="B1089" s="603" t="s">
        <v>2548</v>
      </c>
      <c r="C1089" s="604">
        <v>44652</v>
      </c>
      <c r="D1089" s="603" t="s">
        <v>252</v>
      </c>
      <c r="E1089" s="603" t="s">
        <v>253</v>
      </c>
      <c r="F1089" s="605" t="s">
        <v>2740</v>
      </c>
      <c r="G1089" s="606" t="s">
        <v>314</v>
      </c>
      <c r="H1089" s="607">
        <v>300000000</v>
      </c>
      <c r="I1089" s="537" t="s">
        <v>2626</v>
      </c>
      <c r="J1089" s="276" t="str">
        <f>VLOOKUP($I1089,'Price List, Weapons &amp; Items'!A:B,2,0)</f>
        <v>Military equipment</v>
      </c>
      <c r="K1089" s="276" t="str">
        <f>IF(I1089=".",I1089,VLOOKUP($I1089,'Price List, Weapons &amp; Items'!A:C,3,0))</f>
        <v>.</v>
      </c>
      <c r="L1089" s="514">
        <f>VLOOKUP(I1089,'Price List, Weapons &amp; Items'!A:D,4,0)</f>
        <v>0</v>
      </c>
      <c r="M1089" s="598" t="s">
        <v>232</v>
      </c>
      <c r="N1089" s="607" t="s">
        <v>232</v>
      </c>
      <c r="O1089" s="516" t="str">
        <f>VLOOKUP($I1089,'Price List, Weapons &amp; Items'!A:F,6,0)</f>
        <v>.</v>
      </c>
      <c r="P1089" s="513" t="str">
        <f t="shared" si="246"/>
        <v>.</v>
      </c>
      <c r="Q1089" s="513" t="str">
        <f t="shared" si="247"/>
        <v>.</v>
      </c>
      <c r="R1089" s="513" t="str">
        <f t="shared" si="245"/>
        <v/>
      </c>
      <c r="S1089" s="513" t="str">
        <f>IF(AND(AD1089=1,R1089&lt;&gt;".")=TRUE,R1089/VLOOKUP(G1089,'Exchange rates'!B:C,2,0),IF(R1089=".",".",""))</f>
        <v/>
      </c>
      <c r="T1089" s="513" t="str">
        <f>IF(AD1089=1,IF(AF1089="Value is not given at all",".",IF(AF1089="Value is given by the source",S1089,IF(AF1089="Value is calculated with prices",(IF(SUMIFS(Q:Q,A:A,A1089)&gt;0,SUMIFS(Q:Q,A:A,A1089),"."))/VLOOKUP("USD",'Exchange rates'!B:C,2,0),"Error with coding"))),"")</f>
        <v/>
      </c>
      <c r="U1089" s="606" t="s">
        <v>233</v>
      </c>
      <c r="V1089" s="387" t="s">
        <v>2742</v>
      </c>
      <c r="W1089" s="388" t="s">
        <v>2743</v>
      </c>
      <c r="X1089" s="389" t="s">
        <v>2606</v>
      </c>
      <c r="Y1089" s="608" t="s">
        <v>232</v>
      </c>
      <c r="Z1089" s="606">
        <v>0</v>
      </c>
      <c r="AA1089" s="600">
        <v>0</v>
      </c>
      <c r="AB1089" s="601" t="s">
        <v>232</v>
      </c>
      <c r="AC1089" s="519" t="str">
        <f>""</f>
        <v/>
      </c>
      <c r="AD1089" s="609">
        <v>0</v>
      </c>
      <c r="AE1089" s="609" t="s">
        <v>236</v>
      </c>
      <c r="AF1089" s="609" t="s">
        <v>300</v>
      </c>
      <c r="AG1089" s="609">
        <v>1</v>
      </c>
      <c r="AH1089" s="609">
        <v>4</v>
      </c>
      <c r="AI1089" s="609">
        <v>0</v>
      </c>
      <c r="AJ1089" s="520">
        <f>VLOOKUP($I1089,'Price List, Weapons &amp; Items'!A:E,5,0)</f>
        <v>0</v>
      </c>
      <c r="AK1089" s="520">
        <f t="shared" si="236"/>
        <v>0</v>
      </c>
      <c r="AL1089" s="520">
        <f t="shared" si="237"/>
        <v>0</v>
      </c>
      <c r="AM1089" s="520">
        <f t="shared" si="238"/>
        <v>0</v>
      </c>
      <c r="AN1089" s="521" t="str">
        <f>VLOOKUP($I1089,'Price List, Weapons &amp; Items'!A:K,COLUMN('Price List, Weapons &amp; Items'!$I$1),0)</f>
        <v>.</v>
      </c>
      <c r="AO1089" s="521" t="str">
        <f>IF(I1089=".",".",VLOOKUP($I1089,'Price List, Weapons &amp; Items'!A:I,3,0))</f>
        <v>.</v>
      </c>
      <c r="AP1089" s="517" t="str">
        <f t="shared" ca="1" si="244"/>
        <v/>
      </c>
      <c r="AQ1089" s="521" t="str">
        <f>VLOOKUP($I1089,'Price List, Weapons &amp; Items'!A:K,COLUMN('Price List, Weapons &amp; Items'!$K$1),0)</f>
        <v>no price, 0 count</v>
      </c>
      <c r="AS1089" s="521">
        <f t="shared" si="239"/>
        <v>1</v>
      </c>
      <c r="AT1089" s="521">
        <f t="shared" si="240"/>
        <v>1</v>
      </c>
      <c r="AU1089" s="521">
        <f t="shared" si="241"/>
        <v>1</v>
      </c>
      <c r="AV1089" s="521" t="str">
        <f t="shared" si="242"/>
        <v>.</v>
      </c>
    </row>
    <row r="1090" spans="1:48" s="44" customFormat="1" ht="15" customHeight="1">
      <c r="A1090" s="610" t="s">
        <v>2739</v>
      </c>
      <c r="B1090" s="610" t="s">
        <v>2548</v>
      </c>
      <c r="C1090" s="611">
        <v>44652</v>
      </c>
      <c r="D1090" s="610" t="s">
        <v>252</v>
      </c>
      <c r="E1090" s="610" t="s">
        <v>253</v>
      </c>
      <c r="F1090" s="612" t="s">
        <v>2740</v>
      </c>
      <c r="G1090" s="613" t="s">
        <v>314</v>
      </c>
      <c r="H1090" s="614">
        <v>300000000</v>
      </c>
      <c r="I1090" s="537" t="s">
        <v>2633</v>
      </c>
      <c r="J1090" s="276" t="str">
        <f>VLOOKUP($I1090,'Price List, Weapons &amp; Items'!A:B,2,0)</f>
        <v>Military equipment</v>
      </c>
      <c r="K1090" s="276" t="str">
        <f>IF(I1090=".",I1090,VLOOKUP($I1090,'Price List, Weapons &amp; Items'!A:C,3,0))</f>
        <v>spare parts</v>
      </c>
      <c r="L1090" s="514">
        <f>VLOOKUP(I1090,'Price List, Weapons &amp; Items'!A:D,4,0)</f>
        <v>0</v>
      </c>
      <c r="M1090" s="598" t="s">
        <v>232</v>
      </c>
      <c r="N1090" s="607" t="s">
        <v>232</v>
      </c>
      <c r="O1090" s="516" t="str">
        <f>VLOOKUP($I1090,'Price List, Weapons &amp; Items'!A:F,6,0)</f>
        <v>.</v>
      </c>
      <c r="P1090" s="513" t="str">
        <f t="shared" si="246"/>
        <v>.</v>
      </c>
      <c r="Q1090" s="513" t="str">
        <f t="shared" si="247"/>
        <v>.</v>
      </c>
      <c r="R1090" s="513" t="str">
        <f t="shared" si="245"/>
        <v/>
      </c>
      <c r="S1090" s="513" t="str">
        <f>IF(AND(AD1090=1,R1090&lt;&gt;".")=TRUE,R1090/VLOOKUP(G1090,'Exchange rates'!B:C,2,0),IF(R1090=".",".",""))</f>
        <v/>
      </c>
      <c r="T1090" s="513" t="str">
        <f>IF(AD1090=1,IF(AF1090="Value is not given at all",".",IF(AF1090="Value is given by the source",S1090,IF(AF1090="Value is calculated with prices",(IF(SUMIFS(Q:Q,A:A,A1090)&gt;0,SUMIFS(Q:Q,A:A,A1090),"."))/VLOOKUP("USD",'Exchange rates'!B:C,2,0),"Error with coding"))),"")</f>
        <v/>
      </c>
      <c r="U1090" s="615" t="s">
        <v>233</v>
      </c>
      <c r="V1090" s="390" t="s">
        <v>2742</v>
      </c>
      <c r="W1090" s="391" t="s">
        <v>2743</v>
      </c>
      <c r="X1090" s="392" t="s">
        <v>2606</v>
      </c>
      <c r="Y1090" s="608" t="s">
        <v>232</v>
      </c>
      <c r="Z1090" s="613">
        <v>0</v>
      </c>
      <c r="AA1090" s="600">
        <v>0</v>
      </c>
      <c r="AB1090" s="601" t="s">
        <v>232</v>
      </c>
      <c r="AC1090" s="519" t="str">
        <f>""</f>
        <v/>
      </c>
      <c r="AD1090" s="616">
        <v>0</v>
      </c>
      <c r="AE1090" s="616" t="s">
        <v>236</v>
      </c>
      <c r="AF1090" s="616" t="s">
        <v>300</v>
      </c>
      <c r="AG1090" s="616">
        <v>1</v>
      </c>
      <c r="AH1090" s="616">
        <v>4</v>
      </c>
      <c r="AI1090" s="616">
        <v>0</v>
      </c>
      <c r="AJ1090" s="520">
        <f>VLOOKUP($I1090,'Price List, Weapons &amp; Items'!A:E,5,0)</f>
        <v>0</v>
      </c>
      <c r="AK1090" s="520">
        <f t="shared" si="236"/>
        <v>0</v>
      </c>
      <c r="AL1090" s="520">
        <f t="shared" si="237"/>
        <v>0</v>
      </c>
      <c r="AM1090" s="520">
        <f t="shared" si="238"/>
        <v>0</v>
      </c>
      <c r="AN1090" s="521" t="str">
        <f>VLOOKUP($I1090,'Price List, Weapons &amp; Items'!A:K,COLUMN('Price List, Weapons &amp; Items'!$I$1),0)</f>
        <v>.</v>
      </c>
      <c r="AO1090" s="521" t="str">
        <f>IF(I1090=".",".",VLOOKUP($I1090,'Price List, Weapons &amp; Items'!A:I,3,0))</f>
        <v>spare parts</v>
      </c>
      <c r="AP1090" s="517" t="str">
        <f t="shared" ca="1" si="244"/>
        <v/>
      </c>
      <c r="AQ1090" s="521" t="str">
        <f>VLOOKUP($I1090,'Price List, Weapons &amp; Items'!A:K,COLUMN('Price List, Weapons &amp; Items'!$K$1),0)</f>
        <v>no price, 0 count</v>
      </c>
      <c r="AS1090" s="521">
        <f t="shared" si="239"/>
        <v>1</v>
      </c>
      <c r="AT1090" s="521">
        <f t="shared" si="240"/>
        <v>1</v>
      </c>
      <c r="AU1090" s="521">
        <f t="shared" si="241"/>
        <v>1</v>
      </c>
      <c r="AV1090" s="521" t="str">
        <f t="shared" si="242"/>
        <v>.</v>
      </c>
    </row>
    <row r="1091" spans="1:48" ht="15" customHeight="1">
      <c r="A1091" s="18" t="s">
        <v>2750</v>
      </c>
      <c r="B1091" s="18" t="s">
        <v>2548</v>
      </c>
      <c r="C1091" s="511">
        <v>44691</v>
      </c>
      <c r="D1091" s="18" t="s">
        <v>252</v>
      </c>
      <c r="E1091" s="18" t="s">
        <v>1157</v>
      </c>
      <c r="F1091" s="512" t="s">
        <v>2751</v>
      </c>
      <c r="G1091" s="39" t="s">
        <v>314</v>
      </c>
      <c r="H1091" s="513">
        <v>650000000</v>
      </c>
      <c r="I1091" s="524" t="s">
        <v>814</v>
      </c>
      <c r="J1091" s="276" t="str">
        <f>VLOOKUP($I1091,'Price List, Weapons &amp; Items'!A:B,2,0)</f>
        <v>Heavy weapon</v>
      </c>
      <c r="K1091" s="276" t="str">
        <f>IF(I1091=".",I1091,VLOOKUP($I1091,'Price List, Weapons &amp; Items'!A:C,3,0))</f>
        <v>Anti-ship missle system</v>
      </c>
      <c r="L1091" s="514">
        <f>VLOOKUP(I1091,'Price List, Weapons &amp; Items'!A:D,4,0)</f>
        <v>0</v>
      </c>
      <c r="M1091" s="515">
        <v>2</v>
      </c>
      <c r="N1091" s="515" t="s">
        <v>232</v>
      </c>
      <c r="O1091" s="516">
        <f>VLOOKUP($I1091,'Price List, Weapons &amp; Items'!A:F,6,0)</f>
        <v>35411360.630000003</v>
      </c>
      <c r="P1091" s="513">
        <f t="shared" si="246"/>
        <v>70822721.260000005</v>
      </c>
      <c r="Q1091" s="513" t="str">
        <f t="shared" si="247"/>
        <v>.</v>
      </c>
      <c r="R1091" s="513">
        <v>5595000000</v>
      </c>
      <c r="S1091" s="513">
        <f>IF(AND(AD1091=1,R1091&lt;&gt;".")=TRUE,R1091/VLOOKUP(G1091,'Exchange rates'!B:C,2,0),IF(R1091=".",".",""))</f>
        <v>5575485799.701046</v>
      </c>
      <c r="T1091" s="513" t="str">
        <f>IF(AD1091=1,IF(AF1091="Value is not given at all",".",IF(AF1091="Value is given by the source",S1091,IF(AF1091="Value is calculated with prices",(IF(SUMIFS(Q:Q,A:A,A1091)&gt;0,SUMIFS(Q:Q,A:A,A1091),"."))/VLOOKUP("USD",'Exchange rates'!B:C,2,0),"Error with coding"))),"")</f>
        <v>.</v>
      </c>
      <c r="U1091" s="39" t="s">
        <v>233</v>
      </c>
      <c r="V1091" s="376" t="s">
        <v>2581</v>
      </c>
      <c r="W1091" s="376" t="s">
        <v>2651</v>
      </c>
      <c r="X1091" s="376" t="s">
        <v>2652</v>
      </c>
      <c r="Y1091" s="835" t="s">
        <v>2603</v>
      </c>
      <c r="Z1091" s="39">
        <v>0</v>
      </c>
      <c r="AA1091" s="39">
        <v>0</v>
      </c>
      <c r="AB1091" s="41" t="s">
        <v>232</v>
      </c>
      <c r="AC1091" s="519" t="str">
        <f>""</f>
        <v/>
      </c>
      <c r="AD1091" s="522">
        <v>1</v>
      </c>
      <c r="AE1091" s="522" t="s">
        <v>2590</v>
      </c>
      <c r="AF1091" s="522" t="s">
        <v>237</v>
      </c>
      <c r="AG1091" s="522">
        <v>1</v>
      </c>
      <c r="AH1091" s="522">
        <v>5</v>
      </c>
      <c r="AI1091" s="522">
        <v>0</v>
      </c>
      <c r="AJ1091" s="520">
        <f>VLOOKUP($I1091,'Price List, Weapons &amp; Items'!A:E,5,0)</f>
        <v>0</v>
      </c>
      <c r="AK1091" s="520">
        <f t="shared" si="236"/>
        <v>0</v>
      </c>
      <c r="AL1091" s="520">
        <f t="shared" si="237"/>
        <v>0</v>
      </c>
      <c r="AM1091" s="520">
        <f t="shared" si="238"/>
        <v>0</v>
      </c>
      <c r="AN1091" s="521" t="str">
        <f>VLOOKUP($I1091,'Price List, Weapons &amp; Items'!A:K,COLUMN('Price List, Weapons &amp; Items'!$I$1),0)</f>
        <v>Government information</v>
      </c>
      <c r="AO1091" s="521" t="str">
        <f>IF(I1091=".",".",VLOOKUP($I1091,'Price List, Weapons &amp; Items'!A:I,3,0))</f>
        <v>Anti-ship missle system</v>
      </c>
      <c r="AP1091" s="517" t="str">
        <f t="shared" ca="1" si="244"/>
        <v>Harpoon coastal defense missile system; radio transmitter; thermal imagery system; night vision device; National Advanced Surface-to-Air Missile System (NASAMS); 155mm artillery round; Hughes AN/TPQ-36 Firefinder weapon locating system; Phoenix Ghost tactical unmanned aerial system; National Advanced Surface-to-Air Missile System (NASAMS); munitions for NASAMS; 155mm artillery round; 120mm mortar ammunition; counter artillery radar; Puma Unmanned Aerial System; support equipment for Scan Eagle UAS systems; VAMPIRE Counter-Unmanned Aerial System; Laser-guided rocket system; HIMARS 142 multiple rocket launcher; ammunition for HIMARS; Armored High Mobility Multipurpose Wheeled Vehicle; Tactical Vehicle; truck; trailer; radars for Unmanned Aerial System; multi-mission radar; Counter-Unmanned Aerial System; Tactical secure communications systems, surveillance systems, and optics; Explosive ordnance disposal equipment; Body armor; Other field equipment</v>
      </c>
      <c r="AQ1091" s="521">
        <f>VLOOKUP($I1091,'Price List, Weapons &amp; Items'!A:K,COLUMN('Price List, Weapons &amp; Items'!$K$1),0)</f>
        <v>2</v>
      </c>
      <c r="AS1091" s="521">
        <f t="shared" si="239"/>
        <v>1</v>
      </c>
      <c r="AT1091" s="521">
        <f t="shared" si="240"/>
        <v>1</v>
      </c>
      <c r="AU1091" s="521">
        <f t="shared" si="241"/>
        <v>1</v>
      </c>
      <c r="AV1091" s="521" t="str">
        <f t="shared" si="242"/>
        <v>.</v>
      </c>
    </row>
    <row r="1092" spans="1:48" ht="15" customHeight="1">
      <c r="A1092" s="18" t="s">
        <v>2750</v>
      </c>
      <c r="B1092" s="18" t="s">
        <v>2548</v>
      </c>
      <c r="C1092" s="511">
        <v>44729</v>
      </c>
      <c r="D1092" s="18" t="s">
        <v>252</v>
      </c>
      <c r="E1092" s="18" t="s">
        <v>1157</v>
      </c>
      <c r="F1092" s="512" t="s">
        <v>2751</v>
      </c>
      <c r="G1092" s="39" t="s">
        <v>314</v>
      </c>
      <c r="H1092" s="513">
        <v>650000000</v>
      </c>
      <c r="I1092" s="524" t="s">
        <v>858</v>
      </c>
      <c r="J1092" s="276" t="str">
        <f>VLOOKUP($I1092,'Price List, Weapons &amp; Items'!A:B,2,0)</f>
        <v>Military equipment</v>
      </c>
      <c r="K1092" s="276">
        <f>IF(I1092=".",I1092,VLOOKUP($I1092,'Price List, Weapons &amp; Items'!A:C,3,0))</f>
        <v>0</v>
      </c>
      <c r="L1092" s="514">
        <f>VLOOKUP(I1092,'Price List, Weapons &amp; Items'!A:D,4,0)</f>
        <v>0</v>
      </c>
      <c r="M1092" s="515">
        <v>2000</v>
      </c>
      <c r="N1092" s="515" t="s">
        <v>232</v>
      </c>
      <c r="O1092" s="516" t="str">
        <f>VLOOKUP($I1092,'Price List, Weapons &amp; Items'!A:F,6,0)</f>
        <v>.</v>
      </c>
      <c r="P1092" s="513" t="str">
        <f t="shared" si="246"/>
        <v>No price</v>
      </c>
      <c r="Q1092" s="513" t="str">
        <f t="shared" si="247"/>
        <v>.</v>
      </c>
      <c r="R1092" s="513" t="str">
        <f t="shared" ref="R1092:R1120" si="248">IF(AD1092=1,IF(H1092&lt;&gt;"Not given",H1092,IF(TYPE(H1092)=2,IF(SUMIFS(P:P,A:A,A1092)&gt;0,SUMIFS(P:P,A:A,A1092),"."),"Format error")),"")</f>
        <v/>
      </c>
      <c r="S1092" s="513" t="str">
        <f>IF(AND(AD1092=1,R1092&lt;&gt;".")=TRUE,R1092/VLOOKUP(G1092,'Exchange rates'!B:C,2,0),IF(R1092=".",".",""))</f>
        <v/>
      </c>
      <c r="T1092" s="513" t="str">
        <f>IF(AD1092=1,IF(AF1092="Value is not given at all",".",IF(AF1092="Value is given by the source",S1092,IF(AF1092="Value is calculated with prices",(IF(SUMIFS(Q:Q,A:A,A1092)&gt;0,SUMIFS(Q:Q,A:A,A1092),"."))/VLOOKUP("USD",'Exchange rates'!B:C,2,0),"Error with coding"))),"")</f>
        <v/>
      </c>
      <c r="U1092" s="39" t="s">
        <v>233</v>
      </c>
      <c r="V1092" s="376" t="s">
        <v>2581</v>
      </c>
      <c r="W1092" s="376" t="s">
        <v>2651</v>
      </c>
      <c r="X1092" s="376" t="s">
        <v>2652</v>
      </c>
      <c r="Y1092" s="835" t="s">
        <v>2720</v>
      </c>
      <c r="Z1092" s="39">
        <v>0</v>
      </c>
      <c r="AA1092" s="39">
        <v>0</v>
      </c>
      <c r="AB1092" s="41" t="s">
        <v>232</v>
      </c>
      <c r="AC1092" s="519" t="str">
        <f>""</f>
        <v/>
      </c>
      <c r="AD1092" s="522">
        <v>0</v>
      </c>
      <c r="AE1092" s="522" t="s">
        <v>2590</v>
      </c>
      <c r="AF1092" s="522" t="s">
        <v>237</v>
      </c>
      <c r="AG1092" s="522">
        <v>1</v>
      </c>
      <c r="AH1092" s="522">
        <v>6</v>
      </c>
      <c r="AI1092" s="522">
        <v>0</v>
      </c>
      <c r="AJ1092" s="520">
        <f>VLOOKUP($I1092,'Price List, Weapons &amp; Items'!A:E,5,0)</f>
        <v>0</v>
      </c>
      <c r="AK1092" s="520">
        <f t="shared" si="236"/>
        <v>0</v>
      </c>
      <c r="AL1092" s="520">
        <f t="shared" si="237"/>
        <v>0</v>
      </c>
      <c r="AM1092" s="520">
        <f t="shared" si="238"/>
        <v>0</v>
      </c>
      <c r="AN1092" s="521" t="str">
        <f>VLOOKUP($I1092,'Price List, Weapons &amp; Items'!A:K,COLUMN('Price List, Weapons &amp; Items'!$I$1),0)</f>
        <v>.</v>
      </c>
      <c r="AO1092" s="521">
        <f>IF(I1092=".",".",VLOOKUP($I1092,'Price List, Weapons &amp; Items'!A:I,3,0))</f>
        <v>0</v>
      </c>
      <c r="AP1092" s="517" t="str">
        <f t="shared" ca="1" si="244"/>
        <v/>
      </c>
      <c r="AQ1092" s="521">
        <f>VLOOKUP($I1092,'Price List, Weapons &amp; Items'!A:K,COLUMN('Price List, Weapons &amp; Items'!$K$1),0)</f>
        <v>0</v>
      </c>
      <c r="AS1092" s="521">
        <f t="shared" si="239"/>
        <v>1</v>
      </c>
      <c r="AT1092" s="521">
        <f t="shared" si="240"/>
        <v>1</v>
      </c>
      <c r="AU1092" s="521">
        <f t="shared" si="241"/>
        <v>1</v>
      </c>
      <c r="AV1092" s="521" t="str">
        <f t="shared" si="242"/>
        <v>.</v>
      </c>
    </row>
    <row r="1093" spans="1:48" ht="15" customHeight="1">
      <c r="A1093" s="18" t="s">
        <v>2750</v>
      </c>
      <c r="B1093" s="18" t="s">
        <v>2548</v>
      </c>
      <c r="C1093" s="511">
        <v>44729</v>
      </c>
      <c r="D1093" s="18" t="s">
        <v>252</v>
      </c>
      <c r="E1093" s="18" t="s">
        <v>1157</v>
      </c>
      <c r="F1093" s="512" t="s">
        <v>2751</v>
      </c>
      <c r="G1093" s="39" t="s">
        <v>314</v>
      </c>
      <c r="H1093" s="513">
        <v>650000000</v>
      </c>
      <c r="I1093" s="524" t="s">
        <v>860</v>
      </c>
      <c r="J1093" s="276" t="str">
        <f>VLOOKUP($I1093,'Price List, Weapons &amp; Items'!A:B,2,0)</f>
        <v>Military equipment</v>
      </c>
      <c r="K1093" s="276" t="str">
        <f>IF(I1093=".",I1093,VLOOKUP($I1093,'Price List, Weapons &amp; Items'!A:C,3,0))</f>
        <v>radar and imagery systems</v>
      </c>
      <c r="L1093" s="514">
        <f>VLOOKUP(I1093,'Price List, Weapons &amp; Items'!A:D,4,0)</f>
        <v>0</v>
      </c>
      <c r="M1093" s="515" t="s">
        <v>264</v>
      </c>
      <c r="N1093" s="515" t="s">
        <v>232</v>
      </c>
      <c r="O1093" s="516">
        <f>VLOOKUP($I1093,'Price List, Weapons &amp; Items'!A:F,6,0)</f>
        <v>5000</v>
      </c>
      <c r="P1093" s="513" t="str">
        <f t="shared" si="246"/>
        <v>.</v>
      </c>
      <c r="Q1093" s="513" t="str">
        <f t="shared" si="247"/>
        <v>.</v>
      </c>
      <c r="R1093" s="513" t="str">
        <f t="shared" si="248"/>
        <v/>
      </c>
      <c r="S1093" s="513" t="str">
        <f>IF(AND(AD1093=1,R1093&lt;&gt;".")=TRUE,R1093/VLOOKUP(G1093,'Exchange rates'!B:C,2,0),IF(R1093=".",".",""))</f>
        <v/>
      </c>
      <c r="T1093" s="513" t="str">
        <f>IF(AD1093=1,IF(AF1093="Value is not given at all",".",IF(AF1093="Value is given by the source",S1093,IF(AF1093="Value is calculated with prices",(IF(SUMIFS(Q:Q,A:A,A1093)&gt;0,SUMIFS(Q:Q,A:A,A1093),"."))/VLOOKUP("USD",'Exchange rates'!B:C,2,0),"Error with coding"))),"")</f>
        <v/>
      </c>
      <c r="U1093" s="39" t="s">
        <v>233</v>
      </c>
      <c r="V1093" s="376" t="s">
        <v>2581</v>
      </c>
      <c r="W1093" s="376" t="s">
        <v>2651</v>
      </c>
      <c r="X1093" s="376" t="s">
        <v>2652</v>
      </c>
      <c r="Y1093" s="835" t="s">
        <v>2722</v>
      </c>
      <c r="Z1093" s="39">
        <v>0</v>
      </c>
      <c r="AA1093" s="39">
        <v>0</v>
      </c>
      <c r="AB1093" s="41" t="s">
        <v>232</v>
      </c>
      <c r="AC1093" s="519" t="str">
        <f>""</f>
        <v/>
      </c>
      <c r="AD1093" s="522">
        <v>0</v>
      </c>
      <c r="AE1093" s="522" t="s">
        <v>2590</v>
      </c>
      <c r="AF1093" s="522" t="s">
        <v>237</v>
      </c>
      <c r="AG1093" s="522">
        <v>1</v>
      </c>
      <c r="AH1093" s="522">
        <v>6</v>
      </c>
      <c r="AI1093" s="522">
        <v>0</v>
      </c>
      <c r="AJ1093" s="520">
        <f>VLOOKUP($I1093,'Price List, Weapons &amp; Items'!A:E,5,0)</f>
        <v>0</v>
      </c>
      <c r="AK1093" s="520">
        <f t="shared" si="236"/>
        <v>0</v>
      </c>
      <c r="AL1093" s="520">
        <f t="shared" si="237"/>
        <v>0</v>
      </c>
      <c r="AM1093" s="520">
        <f t="shared" si="238"/>
        <v>0</v>
      </c>
      <c r="AN1093" s="521" t="str">
        <f>VLOOKUP($I1093,'Price List, Weapons &amp; Items'!A:K,COLUMN('Price List, Weapons &amp; Items'!$I$1),0)</f>
        <v>Miscellaneous</v>
      </c>
      <c r="AO1093" s="521" t="str">
        <f>IF(I1093=".",".",VLOOKUP($I1093,'Price List, Weapons &amp; Items'!A:I,3,0))</f>
        <v>radar and imagery systems</v>
      </c>
      <c r="AP1093" s="517" t="str">
        <f t="shared" ca="1" si="244"/>
        <v/>
      </c>
      <c r="AQ1093" s="521" t="str">
        <f>VLOOKUP($I1093,'Price List, Weapons &amp; Items'!A:K,COLUMN('Price List, Weapons &amp; Items'!$K$1),0)</f>
        <v>no price, 0 count</v>
      </c>
      <c r="AS1093" s="521">
        <f t="shared" si="239"/>
        <v>1</v>
      </c>
      <c r="AT1093" s="521">
        <f t="shared" si="240"/>
        <v>1</v>
      </c>
      <c r="AU1093" s="521">
        <f t="shared" si="241"/>
        <v>1</v>
      </c>
      <c r="AV1093" s="521" t="str">
        <f t="shared" si="242"/>
        <v>.</v>
      </c>
    </row>
    <row r="1094" spans="1:48" ht="15" customHeight="1">
      <c r="A1094" s="18" t="s">
        <v>2750</v>
      </c>
      <c r="B1094" s="18" t="s">
        <v>2548</v>
      </c>
      <c r="C1094" s="511">
        <v>44729</v>
      </c>
      <c r="D1094" s="18" t="s">
        <v>252</v>
      </c>
      <c r="E1094" s="18" t="s">
        <v>1157</v>
      </c>
      <c r="F1094" s="512" t="s">
        <v>2751</v>
      </c>
      <c r="G1094" s="39" t="s">
        <v>314</v>
      </c>
      <c r="H1094" s="513">
        <v>650000000</v>
      </c>
      <c r="I1094" s="564" t="s">
        <v>529</v>
      </c>
      <c r="J1094" s="276" t="str">
        <f>VLOOKUP($I1094,'Price List, Weapons &amp; Items'!A:B,2,0)</f>
        <v>Military equipment</v>
      </c>
      <c r="K1094" s="276" t="str">
        <f>IF(I1094=".",I1094,VLOOKUP($I1094,'Price List, Weapons &amp; Items'!A:C,3,0))</f>
        <v>.</v>
      </c>
      <c r="L1094" s="514">
        <f>VLOOKUP(I1094,'Price List, Weapons &amp; Items'!A:D,4,0)</f>
        <v>0</v>
      </c>
      <c r="M1094" s="515" t="s">
        <v>264</v>
      </c>
      <c r="N1094" s="515" t="s">
        <v>232</v>
      </c>
      <c r="O1094" s="516">
        <f>VLOOKUP($I1094,'Price List, Weapons &amp; Items'!A:F,6,0)</f>
        <v>2320</v>
      </c>
      <c r="P1094" s="513" t="str">
        <f t="shared" si="246"/>
        <v>.</v>
      </c>
      <c r="Q1094" s="513" t="str">
        <f t="shared" si="247"/>
        <v>.</v>
      </c>
      <c r="R1094" s="513" t="str">
        <f t="shared" si="248"/>
        <v/>
      </c>
      <c r="S1094" s="513" t="str">
        <f>IF(AND(AD1094=1,R1094&lt;&gt;".")=TRUE,R1094/VLOOKUP(G1094,'Exchange rates'!B:C,2,0),IF(R1094=".",".",""))</f>
        <v/>
      </c>
      <c r="T1094" s="513" t="str">
        <f>IF(AD1094=1,IF(AF1094="Value is not given at all",".",IF(AF1094="Value is given by the source",S1094,IF(AF1094="Value is calculated with prices",(IF(SUMIFS(Q:Q,A:A,A1094)&gt;0,SUMIFS(Q:Q,A:A,A1094),"."))/VLOOKUP("USD",'Exchange rates'!B:C,2,0),"Error with coding"))),"")</f>
        <v/>
      </c>
      <c r="U1094" s="39" t="s">
        <v>233</v>
      </c>
      <c r="V1094" s="376" t="s">
        <v>2581</v>
      </c>
      <c r="W1094" s="376" t="s">
        <v>2651</v>
      </c>
      <c r="X1094" s="376" t="s">
        <v>2652</v>
      </c>
      <c r="Y1094" s="835" t="s">
        <v>2724</v>
      </c>
      <c r="Z1094" s="39">
        <v>0</v>
      </c>
      <c r="AA1094" s="39">
        <v>0</v>
      </c>
      <c r="AB1094" s="41" t="s">
        <v>232</v>
      </c>
      <c r="AC1094" s="519" t="str">
        <f>""</f>
        <v/>
      </c>
      <c r="AD1094" s="522">
        <v>0</v>
      </c>
      <c r="AE1094" s="522" t="s">
        <v>2590</v>
      </c>
      <c r="AF1094" s="522" t="s">
        <v>237</v>
      </c>
      <c r="AG1094" s="522">
        <v>1</v>
      </c>
      <c r="AH1094" s="522">
        <v>6</v>
      </c>
      <c r="AI1094" s="522">
        <v>0</v>
      </c>
      <c r="AJ1094" s="520">
        <f>VLOOKUP($I1094,'Price List, Weapons &amp; Items'!A:E,5,0)</f>
        <v>0</v>
      </c>
      <c r="AK1094" s="520">
        <f t="shared" si="236"/>
        <v>0</v>
      </c>
      <c r="AL1094" s="520">
        <f t="shared" si="237"/>
        <v>0</v>
      </c>
      <c r="AM1094" s="520">
        <f t="shared" si="238"/>
        <v>0</v>
      </c>
      <c r="AN1094" s="521" t="str">
        <f>VLOOKUP($I1094,'Price List, Weapons &amp; Items'!A:K,COLUMN('Price List, Weapons &amp; Items'!$I$1),0)</f>
        <v>Media reports (incl. social media)</v>
      </c>
      <c r="AO1094" s="521" t="str">
        <f>IF(I1094=".",".",VLOOKUP($I1094,'Price List, Weapons &amp; Items'!A:I,3,0))</f>
        <v>.</v>
      </c>
      <c r="AP1094" s="517" t="str">
        <f t="shared" ca="1" si="244"/>
        <v/>
      </c>
      <c r="AQ1094" s="521">
        <f>VLOOKUP($I1094,'Price List, Weapons &amp; Items'!A:K,COLUMN('Price List, Weapons &amp; Items'!$K$1),0)</f>
        <v>2</v>
      </c>
      <c r="AS1094" s="521">
        <f t="shared" si="239"/>
        <v>1</v>
      </c>
      <c r="AT1094" s="521">
        <f t="shared" si="240"/>
        <v>1</v>
      </c>
      <c r="AU1094" s="521">
        <f t="shared" si="241"/>
        <v>1</v>
      </c>
      <c r="AV1094" s="521" t="str">
        <f t="shared" si="242"/>
        <v>.</v>
      </c>
    </row>
    <row r="1095" spans="1:48" ht="15" customHeight="1">
      <c r="A1095" s="18" t="s">
        <v>2750</v>
      </c>
      <c r="B1095" s="18" t="s">
        <v>2548</v>
      </c>
      <c r="C1095" s="511">
        <v>44743</v>
      </c>
      <c r="D1095" s="18" t="s">
        <v>252</v>
      </c>
      <c r="E1095" s="18" t="s">
        <v>1157</v>
      </c>
      <c r="F1095" s="512" t="s">
        <v>2752</v>
      </c>
      <c r="G1095" s="39" t="s">
        <v>314</v>
      </c>
      <c r="H1095" s="513">
        <v>770000000</v>
      </c>
      <c r="I1095" s="564" t="s">
        <v>2753</v>
      </c>
      <c r="J1095" s="276" t="str">
        <f>VLOOKUP($I1095,'Price List, Weapons &amp; Items'!A:B,2,0)</f>
        <v>Heavy weapon</v>
      </c>
      <c r="K1095" s="276" t="str">
        <f>IF(I1095=".",I1095,VLOOKUP($I1095,'Price List, Weapons &amp; Items'!A:C,3,0))</f>
        <v>Anti-aircraft surface-to-air missile (SAM) system (short-range)</v>
      </c>
      <c r="L1095" s="514">
        <f>VLOOKUP(I1095,'Price List, Weapons &amp; Items'!A:D,4,0)</f>
        <v>0</v>
      </c>
      <c r="M1095" s="515">
        <v>2</v>
      </c>
      <c r="N1095" s="515">
        <v>2</v>
      </c>
      <c r="O1095" s="516">
        <f>VLOOKUP($I1095,'Price List, Weapons &amp; Items'!A:F,6,0)</f>
        <v>50000000</v>
      </c>
      <c r="P1095" s="513">
        <f t="shared" si="246"/>
        <v>100000000</v>
      </c>
      <c r="Q1095" s="513">
        <f t="shared" si="247"/>
        <v>100000000</v>
      </c>
      <c r="R1095" s="513" t="str">
        <f t="shared" si="248"/>
        <v/>
      </c>
      <c r="S1095" s="513" t="str">
        <f>IF(AND(AD1095=1,R1095&lt;&gt;".")=TRUE,R1095/VLOOKUP(G1095,'Exchange rates'!B:C,2,0),IF(R1095=".",".",""))</f>
        <v/>
      </c>
      <c r="T1095" s="513" t="str">
        <f>IF(AD1095=1,IF(AF1095="Value is not given at all",".",IF(AF1095="Value is given by the source",S1095,IF(AF1095="Value is calculated with prices",(IF(SUMIFS(Q:Q,A:A,A1095)&gt;0,SUMIFS(Q:Q,A:A,A1095),"."))/VLOOKUP("USD",'Exchange rates'!B:C,2,0),"Error with coding"))),"")</f>
        <v/>
      </c>
      <c r="U1095" s="39" t="s">
        <v>233</v>
      </c>
      <c r="V1095" s="376" t="s">
        <v>2662</v>
      </c>
      <c r="W1095" s="376" t="s">
        <v>232</v>
      </c>
      <c r="X1095" s="376" t="s">
        <v>232</v>
      </c>
      <c r="Y1095" s="528" t="s">
        <v>232</v>
      </c>
      <c r="Z1095" s="39">
        <v>0</v>
      </c>
      <c r="AA1095" s="39">
        <v>1</v>
      </c>
      <c r="AB1095" s="830" t="s">
        <v>2754</v>
      </c>
      <c r="AC1095" s="519" t="str">
        <f>""</f>
        <v/>
      </c>
      <c r="AD1095" s="522">
        <v>0</v>
      </c>
      <c r="AE1095" s="522" t="s">
        <v>2590</v>
      </c>
      <c r="AF1095" s="522" t="s">
        <v>237</v>
      </c>
      <c r="AG1095" s="522">
        <v>1</v>
      </c>
      <c r="AH1095" s="522">
        <v>7</v>
      </c>
      <c r="AI1095" s="522">
        <v>0</v>
      </c>
      <c r="AJ1095" s="520">
        <f>VLOOKUP($I1095,'Price List, Weapons &amp; Items'!A:E,5,0)</f>
        <v>0</v>
      </c>
      <c r="AK1095" s="520">
        <f t="shared" ref="AK1095:AK1156" si="249">IF(AND(AJ1095=1,M1095="undisclosed")=TRUE,1,0)</f>
        <v>0</v>
      </c>
      <c r="AL1095" s="520">
        <f t="shared" ref="AL1095:AL1156" si="250">IF(AND(AJ1095=1,N1095="undisclosed")=TRUE,1,0)</f>
        <v>0</v>
      </c>
      <c r="AM1095" s="520">
        <f t="shared" ref="AM1095:AM1156" si="251">IFERROR(IF(SEARCH("ammuni",I1095,1)&gt;0,1,0),0)</f>
        <v>0</v>
      </c>
      <c r="AN1095" s="521" t="str">
        <f>VLOOKUP($I1095,'Price List, Weapons &amp; Items'!A:K,COLUMN('Price List, Weapons &amp; Items'!$I$1),0)</f>
        <v>Military media (incl. websites)</v>
      </c>
      <c r="AO1095" s="521" t="str">
        <f>IF(I1095=".",".",VLOOKUP($I1095,'Price List, Weapons &amp; Items'!A:I,3,0))</f>
        <v>Anti-aircraft surface-to-air missile (SAM) system (short-range)</v>
      </c>
      <c r="AP1095" s="517" t="str">
        <f t="shared" ca="1" si="244"/>
        <v/>
      </c>
      <c r="AQ1095" s="521">
        <f>VLOOKUP($I1095,'Price List, Weapons &amp; Items'!A:K,COLUMN('Price List, Weapons &amp; Items'!$K$1),0)</f>
        <v>2</v>
      </c>
      <c r="AS1095" s="521">
        <f t="shared" ref="AS1095:AS1156" si="252">IF(U1095="Yes",1,0)</f>
        <v>1</v>
      </c>
      <c r="AT1095" s="521">
        <f t="shared" ref="AT1095:AT1156" si="253">IF(OR((E1095="Weapons"),(E1095="Weapons and equipment"),(E1095="Weapons and training"),(E1095="Weapons and Assistance"),(E1095="Military Equipment"))=FALSE,0,1)</f>
        <v>1</v>
      </c>
      <c r="AU1095" s="521">
        <f t="shared" ref="AU1095:AU1156" si="254">IFERROR(IF(VALUE(TEXT(C1095,"mm"))=AH1095,".",1),"Value is not in date format")</f>
        <v>1</v>
      </c>
      <c r="AV1095" s="521" t="str">
        <f t="shared" si="242"/>
        <v>.</v>
      </c>
    </row>
    <row r="1096" spans="1:48" ht="15" customHeight="1">
      <c r="A1096" s="18" t="s">
        <v>2750</v>
      </c>
      <c r="B1096" s="18" t="s">
        <v>2548</v>
      </c>
      <c r="C1096" s="511">
        <v>44743</v>
      </c>
      <c r="D1096" s="18" t="s">
        <v>252</v>
      </c>
      <c r="E1096" s="18" t="s">
        <v>1157</v>
      </c>
      <c r="F1096" s="512" t="s">
        <v>2752</v>
      </c>
      <c r="G1096" s="39" t="s">
        <v>314</v>
      </c>
      <c r="H1096" s="513">
        <v>770000000</v>
      </c>
      <c r="I1096" s="564" t="s">
        <v>574</v>
      </c>
      <c r="J1096" s="276" t="str">
        <f>VLOOKUP($I1096,'Price List, Weapons &amp; Items'!A:B,2,0)</f>
        <v>Ammunition for heavy weapon</v>
      </c>
      <c r="K1096" s="276" t="str">
        <f>IF(I1096=".",I1096,VLOOKUP($I1096,'Price List, Weapons &amp; Items'!A:C,3,0))</f>
        <v>155mm howitzer ammunition</v>
      </c>
      <c r="L1096" s="514">
        <f>VLOOKUP(I1096,'Price List, Weapons &amp; Items'!A:D,4,0)</f>
        <v>0</v>
      </c>
      <c r="M1096" s="515">
        <v>150000</v>
      </c>
      <c r="N1096" s="515" t="s">
        <v>232</v>
      </c>
      <c r="O1096" s="516">
        <f>VLOOKUP($I1096,'Price List, Weapons &amp; Items'!A:F,6,0)</f>
        <v>3800</v>
      </c>
      <c r="P1096" s="513">
        <f t="shared" si="246"/>
        <v>570000000</v>
      </c>
      <c r="Q1096" s="513" t="str">
        <f t="shared" si="247"/>
        <v>.</v>
      </c>
      <c r="R1096" s="513" t="str">
        <f t="shared" si="248"/>
        <v/>
      </c>
      <c r="S1096" s="513" t="str">
        <f>IF(AND(AD1096=1,R1096&lt;&gt;".")=TRUE,R1096/VLOOKUP(G1096,'Exchange rates'!B:C,2,0),IF(R1096=".",".",""))</f>
        <v/>
      </c>
      <c r="T1096" s="513" t="str">
        <f>IF(AD1096=1,IF(AF1096="Value is not given at all",".",IF(AF1096="Value is given by the source",S1096,IF(AF1096="Value is calculated with prices",(IF(SUMIFS(Q:Q,A:A,A1096)&gt;0,SUMIFS(Q:Q,A:A,A1096),"."))/VLOOKUP("USD",'Exchange rates'!B:C,2,0),"Error with coding"))),"")</f>
        <v/>
      </c>
      <c r="U1096" s="39" t="s">
        <v>233</v>
      </c>
      <c r="V1096" s="376" t="s">
        <v>2662</v>
      </c>
      <c r="W1096" s="376" t="s">
        <v>232</v>
      </c>
      <c r="X1096" s="376" t="s">
        <v>232</v>
      </c>
      <c r="Y1096" s="528" t="s">
        <v>232</v>
      </c>
      <c r="Z1096" s="39">
        <v>0</v>
      </c>
      <c r="AA1096" s="39">
        <v>0</v>
      </c>
      <c r="AB1096" s="41" t="s">
        <v>232</v>
      </c>
      <c r="AC1096" s="519" t="str">
        <f>""</f>
        <v/>
      </c>
      <c r="AD1096" s="522">
        <v>0</v>
      </c>
      <c r="AE1096" s="522" t="s">
        <v>2590</v>
      </c>
      <c r="AF1096" s="522" t="s">
        <v>237</v>
      </c>
      <c r="AG1096" s="522">
        <v>1</v>
      </c>
      <c r="AH1096" s="522">
        <v>7</v>
      </c>
      <c r="AI1096" s="522">
        <v>0</v>
      </c>
      <c r="AJ1096" s="520">
        <f>VLOOKUP($I1096,'Price List, Weapons &amp; Items'!A:E,5,0)</f>
        <v>1</v>
      </c>
      <c r="AK1096" s="520">
        <f t="shared" si="249"/>
        <v>0</v>
      </c>
      <c r="AL1096" s="520">
        <f t="shared" si="250"/>
        <v>0</v>
      </c>
      <c r="AM1096" s="520">
        <f t="shared" si="251"/>
        <v>0</v>
      </c>
      <c r="AN1096" s="521" t="str">
        <f>VLOOKUP($I1096,'Price List, Weapons &amp; Items'!A:K,COLUMN('Price List, Weapons &amp; Items'!$I$1),0)</f>
        <v>Government information</v>
      </c>
      <c r="AO1096" s="521" t="str">
        <f>IF(I1096=".",".",VLOOKUP($I1096,'Price List, Weapons &amp; Items'!A:I,3,0))</f>
        <v>155mm howitzer ammunition</v>
      </c>
      <c r="AP1096" s="517" t="str">
        <f t="shared" ca="1" si="244"/>
        <v/>
      </c>
      <c r="AQ1096" s="521">
        <f>VLOOKUP($I1096,'Price List, Weapons &amp; Items'!A:K,COLUMN('Price List, Weapons &amp; Items'!$K$1),0)</f>
        <v>2</v>
      </c>
      <c r="AS1096" s="521">
        <f t="shared" si="252"/>
        <v>1</v>
      </c>
      <c r="AT1096" s="521">
        <f t="shared" si="253"/>
        <v>1</v>
      </c>
      <c r="AU1096" s="521">
        <f t="shared" si="254"/>
        <v>1</v>
      </c>
      <c r="AV1096" s="521" t="str">
        <f t="shared" ref="AV1096:AV1157" si="255">IF(AND(A1096=A1095,C1096=C1095)=TRUE,IF(F1096=F1095,".","1"),".")</f>
        <v>.</v>
      </c>
    </row>
    <row r="1097" spans="1:48" ht="15" customHeight="1">
      <c r="A1097" s="18" t="s">
        <v>2750</v>
      </c>
      <c r="B1097" s="18" t="s">
        <v>2548</v>
      </c>
      <c r="C1097" s="511">
        <v>44743</v>
      </c>
      <c r="D1097" s="18" t="s">
        <v>252</v>
      </c>
      <c r="E1097" s="18" t="s">
        <v>1157</v>
      </c>
      <c r="F1097" s="512" t="s">
        <v>2752</v>
      </c>
      <c r="G1097" s="39" t="s">
        <v>314</v>
      </c>
      <c r="H1097" s="513">
        <v>770000000</v>
      </c>
      <c r="I1097" s="41" t="s">
        <v>1696</v>
      </c>
      <c r="J1097" s="276" t="str">
        <f>VLOOKUP($I1097,'Price List, Weapons &amp; Items'!A:B,2,0)</f>
        <v>Military equipment</v>
      </c>
      <c r="K1097" s="276" t="str">
        <f>IF(I1097=".",I1097,VLOOKUP($I1097,'Price List, Weapons &amp; Items'!A:C,3,0))</f>
        <v>Radar or imagery systems</v>
      </c>
      <c r="L1097" s="514">
        <f>VLOOKUP(I1097,'Price List, Weapons &amp; Items'!A:D,4,0)</f>
        <v>0</v>
      </c>
      <c r="M1097" s="515">
        <v>4</v>
      </c>
      <c r="N1097" s="515" t="s">
        <v>232</v>
      </c>
      <c r="O1097" s="516">
        <f>VLOOKUP($I1097,'Price List, Weapons &amp; Items'!A:F,6,0)</f>
        <v>8888888</v>
      </c>
      <c r="P1097" s="513">
        <f t="shared" si="246"/>
        <v>35555552</v>
      </c>
      <c r="Q1097" s="513" t="str">
        <f t="shared" si="247"/>
        <v>.</v>
      </c>
      <c r="R1097" s="513" t="str">
        <f t="shared" si="248"/>
        <v/>
      </c>
      <c r="S1097" s="513" t="str">
        <f>IF(AND(AD1097=1,R1097&lt;&gt;".")=TRUE,R1097/VLOOKUP(G1097,'Exchange rates'!B:C,2,0),IF(R1097=".",".",""))</f>
        <v/>
      </c>
      <c r="T1097" s="513" t="str">
        <f>IF(AD1097=1,IF(AF1097="Value is not given at all",".",IF(AF1097="Value is given by the source",S1097,IF(AF1097="Value is calculated with prices",(IF(SUMIFS(Q:Q,A:A,A1097)&gt;0,SUMIFS(Q:Q,A:A,A1097),"."))/VLOOKUP("USD",'Exchange rates'!B:C,2,0),"Error with coding"))),"")</f>
        <v/>
      </c>
      <c r="U1097" s="39" t="s">
        <v>233</v>
      </c>
      <c r="V1097" s="376" t="s">
        <v>2662</v>
      </c>
      <c r="W1097" s="376" t="s">
        <v>232</v>
      </c>
      <c r="X1097" s="376" t="s">
        <v>232</v>
      </c>
      <c r="Y1097" s="528" t="s">
        <v>232</v>
      </c>
      <c r="Z1097" s="39">
        <v>0</v>
      </c>
      <c r="AA1097" s="39">
        <v>0</v>
      </c>
      <c r="AB1097" s="41" t="s">
        <v>232</v>
      </c>
      <c r="AC1097" s="519" t="str">
        <f>""</f>
        <v/>
      </c>
      <c r="AD1097" s="522">
        <v>0</v>
      </c>
      <c r="AE1097" s="522" t="s">
        <v>2590</v>
      </c>
      <c r="AF1097" s="522" t="s">
        <v>237</v>
      </c>
      <c r="AG1097" s="522">
        <v>1</v>
      </c>
      <c r="AH1097" s="522">
        <v>7</v>
      </c>
      <c r="AI1097" s="522">
        <v>0</v>
      </c>
      <c r="AJ1097" s="520">
        <f>VLOOKUP($I1097,'Price List, Weapons &amp; Items'!A:E,5,0)</f>
        <v>0</v>
      </c>
      <c r="AK1097" s="520">
        <f t="shared" si="249"/>
        <v>0</v>
      </c>
      <c r="AL1097" s="520">
        <f t="shared" si="250"/>
        <v>0</v>
      </c>
      <c r="AM1097" s="520">
        <f t="shared" si="251"/>
        <v>0</v>
      </c>
      <c r="AN1097" s="521" t="str">
        <f>VLOOKUP($I1097,'Price List, Weapons &amp; Items'!A:K,COLUMN('Price List, Weapons &amp; Items'!$I$1),0)</f>
        <v>Military media (incl. websites)</v>
      </c>
      <c r="AO1097" s="521" t="str">
        <f>IF(I1097=".",".",VLOOKUP($I1097,'Price List, Weapons &amp; Items'!A:I,3,0))</f>
        <v>Radar or imagery systems</v>
      </c>
      <c r="AP1097" s="517" t="str">
        <f t="shared" ca="1" si="244"/>
        <v/>
      </c>
      <c r="AQ1097" s="521">
        <f>VLOOKUP($I1097,'Price List, Weapons &amp; Items'!A:K,COLUMN('Price List, Weapons &amp; Items'!$K$1),0)</f>
        <v>2</v>
      </c>
      <c r="AS1097" s="521">
        <f t="shared" si="252"/>
        <v>1</v>
      </c>
      <c r="AT1097" s="521">
        <f t="shared" si="253"/>
        <v>1</v>
      </c>
      <c r="AU1097" s="521">
        <f t="shared" si="254"/>
        <v>1</v>
      </c>
      <c r="AV1097" s="521" t="str">
        <f t="shared" si="255"/>
        <v>.</v>
      </c>
    </row>
    <row r="1098" spans="1:48" ht="15" customHeight="1">
      <c r="A1098" s="18" t="s">
        <v>2750</v>
      </c>
      <c r="B1098" s="18" t="s">
        <v>2548</v>
      </c>
      <c r="C1098" s="511">
        <v>44764</v>
      </c>
      <c r="D1098" s="18" t="s">
        <v>252</v>
      </c>
      <c r="E1098" s="18" t="s">
        <v>1157</v>
      </c>
      <c r="F1098" s="512" t="s">
        <v>2755</v>
      </c>
      <c r="G1098" s="39" t="s">
        <v>314</v>
      </c>
      <c r="H1098" s="513">
        <v>95000000</v>
      </c>
      <c r="I1098" s="41" t="s">
        <v>2623</v>
      </c>
      <c r="J1098" s="276" t="str">
        <f>VLOOKUP($I1098,'Price List, Weapons &amp; Items'!A:B,2,0)</f>
        <v>Aviation and drones</v>
      </c>
      <c r="K1098" s="276" t="str">
        <f>IF(I1098=".",I1098,VLOOKUP($I1098,'Price List, Weapons &amp; Items'!A:C,3,0))</f>
        <v>Loitering munition (suicide drone)</v>
      </c>
      <c r="L1098" s="514">
        <f>VLOOKUP(I1098,'Price List, Weapons &amp; Items'!A:D,4,0)</f>
        <v>0</v>
      </c>
      <c r="M1098" s="515">
        <v>580</v>
      </c>
      <c r="N1098" s="515" t="s">
        <v>232</v>
      </c>
      <c r="O1098" s="516">
        <f>VLOOKUP($I1098,'Price List, Weapons &amp; Items'!A:F,6,0)</f>
        <v>163793</v>
      </c>
      <c r="P1098" s="513">
        <f t="shared" si="246"/>
        <v>94999940</v>
      </c>
      <c r="Q1098" s="513" t="str">
        <f t="shared" si="247"/>
        <v>.</v>
      </c>
      <c r="R1098" s="513" t="str">
        <f t="shared" si="248"/>
        <v/>
      </c>
      <c r="S1098" s="513" t="str">
        <f>IF(AND(AD1098=1,R1098&lt;&gt;".")=TRUE,R1098/VLOOKUP(G1098,'Exchange rates'!B:C,2,0),IF(R1098=".",".",""))</f>
        <v/>
      </c>
      <c r="T1098" s="513" t="str">
        <f>IF(AD1098=1,IF(AF1098="Value is not given at all",".",IF(AF1098="Value is given by the source",S1098,IF(AF1098="Value is calculated with prices",(IF(SUMIFS(Q:Q,A:A,A1098)&gt;0,SUMIFS(Q:Q,A:A,A1098),"."))/VLOOKUP("USD",'Exchange rates'!B:C,2,0),"Error with coding"))),"")</f>
        <v/>
      </c>
      <c r="U1098" s="39" t="s">
        <v>233</v>
      </c>
      <c r="V1098" s="42" t="s">
        <v>2670</v>
      </c>
      <c r="W1098" s="42" t="s">
        <v>232</v>
      </c>
      <c r="X1098" s="42" t="s">
        <v>232</v>
      </c>
      <c r="Y1098" s="512" t="s">
        <v>232</v>
      </c>
      <c r="Z1098" s="39">
        <v>0</v>
      </c>
      <c r="AA1098" s="518">
        <v>0</v>
      </c>
      <c r="AB1098" s="41" t="s">
        <v>232</v>
      </c>
      <c r="AC1098" s="519" t="str">
        <f>""</f>
        <v/>
      </c>
      <c r="AD1098" s="522">
        <v>0</v>
      </c>
      <c r="AE1098" s="522" t="s">
        <v>2590</v>
      </c>
      <c r="AF1098" s="522" t="s">
        <v>237</v>
      </c>
      <c r="AG1098" s="522">
        <v>1</v>
      </c>
      <c r="AH1098" s="520">
        <v>7</v>
      </c>
      <c r="AI1098" s="520">
        <v>0</v>
      </c>
      <c r="AJ1098" s="520">
        <f>VLOOKUP($I1098,'Price List, Weapons &amp; Items'!A:E,5,0)</f>
        <v>0</v>
      </c>
      <c r="AK1098" s="520">
        <f t="shared" si="249"/>
        <v>0</v>
      </c>
      <c r="AL1098" s="520">
        <f t="shared" si="250"/>
        <v>0</v>
      </c>
      <c r="AM1098" s="520">
        <f t="shared" si="251"/>
        <v>0</v>
      </c>
      <c r="AN1098" s="521" t="str">
        <f>VLOOKUP($I1098,'Price List, Weapons &amp; Items'!A:K,COLUMN('Price List, Weapons &amp; Items'!$I$1),0)</f>
        <v>Government information</v>
      </c>
      <c r="AO1098" s="521" t="str">
        <f>IF(I1098=".",".",VLOOKUP($I1098,'Price List, Weapons &amp; Items'!A:I,3,0))</f>
        <v>Loitering munition (suicide drone)</v>
      </c>
      <c r="AP1098" s="517" t="str">
        <f t="shared" ca="1" si="244"/>
        <v/>
      </c>
      <c r="AQ1098" s="521">
        <f>VLOOKUP($I1098,'Price List, Weapons &amp; Items'!A:K,COLUMN('Price List, Weapons &amp; Items'!$K$1),0)</f>
        <v>2</v>
      </c>
      <c r="AS1098" s="521">
        <f t="shared" si="252"/>
        <v>1</v>
      </c>
      <c r="AT1098" s="521">
        <f t="shared" si="253"/>
        <v>1</v>
      </c>
      <c r="AU1098" s="521">
        <f t="shared" si="254"/>
        <v>1</v>
      </c>
      <c r="AV1098" s="521" t="str">
        <f t="shared" si="255"/>
        <v>.</v>
      </c>
    </row>
    <row r="1099" spans="1:48" ht="15" customHeight="1">
      <c r="A1099" s="18" t="s">
        <v>2750</v>
      </c>
      <c r="B1099" s="46" t="s">
        <v>2548</v>
      </c>
      <c r="C1099" s="550">
        <v>44797</v>
      </c>
      <c r="D1099" s="46" t="s">
        <v>252</v>
      </c>
      <c r="E1099" s="46" t="s">
        <v>1157</v>
      </c>
      <c r="F1099" s="46" t="s">
        <v>2756</v>
      </c>
      <c r="G1099" s="39" t="s">
        <v>314</v>
      </c>
      <c r="H1099" s="563">
        <v>2980000000</v>
      </c>
      <c r="I1099" s="46" t="s">
        <v>2753</v>
      </c>
      <c r="J1099" s="276" t="str">
        <f>VLOOKUP($I1099,'Price List, Weapons &amp; Items'!A:B,2,0)</f>
        <v>Heavy weapon</v>
      </c>
      <c r="K1099" s="276" t="str">
        <f>IF(I1099=".",I1099,VLOOKUP($I1099,'Price List, Weapons &amp; Items'!A:C,3,0))</f>
        <v>Anti-aircraft surface-to-air missile (SAM) system (short-range)</v>
      </c>
      <c r="L1099" s="514">
        <f>VLOOKUP(I1099,'Price List, Weapons &amp; Items'!A:D,4,0)</f>
        <v>0</v>
      </c>
      <c r="M1099" s="46">
        <v>6</v>
      </c>
      <c r="N1099" s="515">
        <v>6</v>
      </c>
      <c r="O1099" s="516">
        <f>VLOOKUP($I1099,'Price List, Weapons &amp; Items'!A:F,6,0)</f>
        <v>50000000</v>
      </c>
      <c r="P1099" s="513">
        <f t="shared" si="246"/>
        <v>300000000</v>
      </c>
      <c r="Q1099" s="513">
        <f t="shared" si="247"/>
        <v>300000000</v>
      </c>
      <c r="R1099" s="513" t="str">
        <f t="shared" si="248"/>
        <v/>
      </c>
      <c r="S1099" s="513" t="str">
        <f>IF(AND(AD1099=1,R1099&lt;&gt;".")=TRUE,R1099/VLOOKUP(G1099,'Exchange rates'!B:C,2,0),IF(R1099=".",".",""))</f>
        <v/>
      </c>
      <c r="T1099" s="513" t="str">
        <f>IF(AD1099=1,IF(AF1099="Value is not given at all",".",IF(AF1099="Value is given by the source",S1099,IF(AF1099="Value is calculated with prices",(IF(SUMIFS(Q:Q,A:A,A1099)&gt;0,SUMIFS(Q:Q,A:A,A1099),"."))/VLOOKUP("USD",'Exchange rates'!B:C,2,0),"Error with coding"))),"")</f>
        <v/>
      </c>
      <c r="U1099" s="39" t="s">
        <v>233</v>
      </c>
      <c r="V1099" s="826" t="s">
        <v>2757</v>
      </c>
      <c r="W1099" s="42" t="s">
        <v>232</v>
      </c>
      <c r="X1099" s="42" t="s">
        <v>232</v>
      </c>
      <c r="Y1099" s="512" t="s">
        <v>232</v>
      </c>
      <c r="Z1099" s="39">
        <v>0</v>
      </c>
      <c r="AA1099" s="518">
        <v>1</v>
      </c>
      <c r="AB1099" s="830" t="s">
        <v>2754</v>
      </c>
      <c r="AC1099" s="519" t="str">
        <f>""</f>
        <v/>
      </c>
      <c r="AD1099" s="522">
        <v>0</v>
      </c>
      <c r="AE1099" s="522" t="s">
        <v>2590</v>
      </c>
      <c r="AF1099" s="522" t="s">
        <v>237</v>
      </c>
      <c r="AG1099" s="522">
        <v>1</v>
      </c>
      <c r="AH1099" s="520">
        <v>8</v>
      </c>
      <c r="AI1099" s="522">
        <v>0</v>
      </c>
      <c r="AJ1099" s="520">
        <f>VLOOKUP($I1099,'Price List, Weapons &amp; Items'!A:E,5,0)</f>
        <v>0</v>
      </c>
      <c r="AK1099" s="520">
        <f t="shared" si="249"/>
        <v>0</v>
      </c>
      <c r="AL1099" s="520">
        <f t="shared" si="250"/>
        <v>0</v>
      </c>
      <c r="AM1099" s="520">
        <f t="shared" si="251"/>
        <v>0</v>
      </c>
      <c r="AN1099" s="521" t="str">
        <f>VLOOKUP($I1099,'Price List, Weapons &amp; Items'!A:K,COLUMN('Price List, Weapons &amp; Items'!$I$1),0)</f>
        <v>Military media (incl. websites)</v>
      </c>
      <c r="AO1099" s="521" t="str">
        <f>IF(I1099=".",".",VLOOKUP($I1099,'Price List, Weapons &amp; Items'!A:I,3,0))</f>
        <v>Anti-aircraft surface-to-air missile (SAM) system (short-range)</v>
      </c>
      <c r="AP1099" s="517" t="str">
        <f t="shared" ca="1" si="244"/>
        <v/>
      </c>
      <c r="AQ1099" s="521">
        <f>VLOOKUP($I1099,'Price List, Weapons &amp; Items'!A:K,COLUMN('Price List, Weapons &amp; Items'!$K$1),0)</f>
        <v>2</v>
      </c>
      <c r="AS1099" s="521">
        <f t="shared" si="252"/>
        <v>1</v>
      </c>
      <c r="AT1099" s="521">
        <f t="shared" si="253"/>
        <v>1</v>
      </c>
      <c r="AU1099" s="521">
        <f t="shared" si="254"/>
        <v>1</v>
      </c>
      <c r="AV1099" s="521" t="str">
        <f t="shared" si="255"/>
        <v>.</v>
      </c>
    </row>
    <row r="1100" spans="1:48" ht="15" customHeight="1">
      <c r="A1100" s="18" t="s">
        <v>2750</v>
      </c>
      <c r="B1100" s="46" t="s">
        <v>2548</v>
      </c>
      <c r="C1100" s="550">
        <v>44797</v>
      </c>
      <c r="D1100" s="46" t="s">
        <v>252</v>
      </c>
      <c r="E1100" s="46" t="s">
        <v>1157</v>
      </c>
      <c r="F1100" s="46" t="s">
        <v>2756</v>
      </c>
      <c r="G1100" s="39" t="s">
        <v>314</v>
      </c>
      <c r="H1100" s="563">
        <v>2980000000</v>
      </c>
      <c r="I1100" s="46" t="s">
        <v>2681</v>
      </c>
      <c r="J1100" s="276" t="str">
        <f>VLOOKUP($I1100,'Price List, Weapons &amp; Items'!A:B,2,0)</f>
        <v>Ammunition for Heavy Weapon</v>
      </c>
      <c r="K1100" s="276" t="str">
        <f>IF(I1100=".",I1100,VLOOKUP($I1100,'Price List, Weapons &amp; Items'!A:C,3,0))</f>
        <v>.</v>
      </c>
      <c r="L1100" s="514">
        <f>VLOOKUP(I1100,'Price List, Weapons &amp; Items'!A:D,4,0)</f>
        <v>0</v>
      </c>
      <c r="M1100" s="46" t="s">
        <v>264</v>
      </c>
      <c r="N1100" s="515" t="s">
        <v>232</v>
      </c>
      <c r="O1100" s="516">
        <f>VLOOKUP($I1100,'Price List, Weapons &amp; Items'!A:F,6,0)</f>
        <v>1090000</v>
      </c>
      <c r="P1100" s="513" t="str">
        <f t="shared" si="246"/>
        <v>.</v>
      </c>
      <c r="Q1100" s="513" t="str">
        <f t="shared" si="247"/>
        <v>.</v>
      </c>
      <c r="R1100" s="513" t="str">
        <f t="shared" si="248"/>
        <v/>
      </c>
      <c r="S1100" s="513" t="str">
        <f>IF(AND(AD1100=1,R1100&lt;&gt;".")=TRUE,R1100/VLOOKUP(G1100,'Exchange rates'!B:C,2,0),IF(R1100=".",".",""))</f>
        <v/>
      </c>
      <c r="T1100" s="513" t="str">
        <f>IF(AD1100=1,IF(AF1100="Value is not given at all",".",IF(AF1100="Value is given by the source",S1100,IF(AF1100="Value is calculated with prices",(IF(SUMIFS(Q:Q,A:A,A1100)&gt;0,SUMIFS(Q:Q,A:A,A1100),"."))/VLOOKUP("USD",'Exchange rates'!B:C,2,0),"Error with coding"))),"")</f>
        <v/>
      </c>
      <c r="U1100" s="39" t="s">
        <v>233</v>
      </c>
      <c r="V1100" s="826" t="s">
        <v>2757</v>
      </c>
      <c r="W1100" s="42" t="s">
        <v>232</v>
      </c>
      <c r="X1100" s="42" t="s">
        <v>232</v>
      </c>
      <c r="Y1100" s="512" t="s">
        <v>232</v>
      </c>
      <c r="Z1100" s="39">
        <v>0</v>
      </c>
      <c r="AA1100" s="518">
        <v>0</v>
      </c>
      <c r="AB1100" s="41" t="s">
        <v>232</v>
      </c>
      <c r="AC1100" s="519" t="str">
        <f>""</f>
        <v/>
      </c>
      <c r="AD1100" s="522">
        <v>0</v>
      </c>
      <c r="AE1100" s="522" t="s">
        <v>2590</v>
      </c>
      <c r="AF1100" s="522" t="s">
        <v>237</v>
      </c>
      <c r="AG1100" s="522">
        <v>1</v>
      </c>
      <c r="AH1100" s="520">
        <v>8</v>
      </c>
      <c r="AI1100" s="520">
        <v>0</v>
      </c>
      <c r="AJ1100" s="520">
        <f>VLOOKUP($I1100,'Price List, Weapons &amp; Items'!A:E,5,0)</f>
        <v>0</v>
      </c>
      <c r="AK1100" s="520">
        <f t="shared" si="249"/>
        <v>0</v>
      </c>
      <c r="AL1100" s="520">
        <f t="shared" si="250"/>
        <v>0</v>
      </c>
      <c r="AM1100" s="520">
        <f t="shared" si="251"/>
        <v>0</v>
      </c>
      <c r="AN1100" s="521" t="str">
        <f>VLOOKUP($I1100,'Price List, Weapons &amp; Items'!A:K,COLUMN('Price List, Weapons &amp; Items'!$I$1),0)</f>
        <v>Miscellaneous</v>
      </c>
      <c r="AO1100" s="521" t="str">
        <f>IF(I1100=".",".",VLOOKUP($I1100,'Price List, Weapons &amp; Items'!A:I,3,0))</f>
        <v>.</v>
      </c>
      <c r="AP1100" s="517" t="str">
        <f t="shared" ca="1" si="244"/>
        <v/>
      </c>
      <c r="AQ1100" s="521" t="str">
        <f>VLOOKUP($I1100,'Price List, Weapons &amp; Items'!A:K,COLUMN('Price List, Weapons &amp; Items'!$K$1),0)</f>
        <v>no price, 0 count</v>
      </c>
      <c r="AS1100" s="521">
        <f t="shared" si="252"/>
        <v>1</v>
      </c>
      <c r="AT1100" s="521">
        <f t="shared" si="253"/>
        <v>1</v>
      </c>
      <c r="AU1100" s="521">
        <f t="shared" si="254"/>
        <v>1</v>
      </c>
      <c r="AV1100" s="521" t="str">
        <f t="shared" si="255"/>
        <v>.</v>
      </c>
    </row>
    <row r="1101" spans="1:48" ht="15" customHeight="1">
      <c r="A1101" s="18" t="s">
        <v>2750</v>
      </c>
      <c r="B1101" s="46" t="s">
        <v>2548</v>
      </c>
      <c r="C1101" s="550">
        <v>44797</v>
      </c>
      <c r="D1101" s="46" t="s">
        <v>252</v>
      </c>
      <c r="E1101" s="46" t="s">
        <v>1157</v>
      </c>
      <c r="F1101" s="46" t="s">
        <v>2756</v>
      </c>
      <c r="G1101" s="39" t="s">
        <v>314</v>
      </c>
      <c r="H1101" s="563">
        <v>2980000000</v>
      </c>
      <c r="I1101" s="46" t="s">
        <v>574</v>
      </c>
      <c r="J1101" s="276" t="str">
        <f>VLOOKUP($I1101,'Price List, Weapons &amp; Items'!A:B,2,0)</f>
        <v>Ammunition for heavy weapon</v>
      </c>
      <c r="K1101" s="276" t="str">
        <f>IF(I1101=".",I1101,VLOOKUP($I1101,'Price List, Weapons &amp; Items'!A:C,3,0))</f>
        <v>155mm howitzer ammunition</v>
      </c>
      <c r="L1101" s="514">
        <f>VLOOKUP(I1101,'Price List, Weapons &amp; Items'!A:D,4,0)</f>
        <v>0</v>
      </c>
      <c r="M1101" s="46">
        <v>245000</v>
      </c>
      <c r="N1101" s="515" t="s">
        <v>232</v>
      </c>
      <c r="O1101" s="516">
        <f>VLOOKUP($I1101,'Price List, Weapons &amp; Items'!A:F,6,0)</f>
        <v>3800</v>
      </c>
      <c r="P1101" s="513">
        <f t="shared" si="246"/>
        <v>931000000</v>
      </c>
      <c r="Q1101" s="513" t="str">
        <f t="shared" si="247"/>
        <v>.</v>
      </c>
      <c r="R1101" s="513" t="str">
        <f t="shared" si="248"/>
        <v/>
      </c>
      <c r="S1101" s="513" t="str">
        <f>IF(AND(AD1101=1,R1101&lt;&gt;".")=TRUE,R1101/VLOOKUP(G1101,'Exchange rates'!B:C,2,0),IF(R1101=".",".",""))</f>
        <v/>
      </c>
      <c r="T1101" s="513" t="str">
        <f>IF(AD1101=1,IF(AF1101="Value is not given at all",".",IF(AF1101="Value is given by the source",S1101,IF(AF1101="Value is calculated with prices",(IF(SUMIFS(Q:Q,A:A,A1101)&gt;0,SUMIFS(Q:Q,A:A,A1101),"."))/VLOOKUP("USD",'Exchange rates'!B:C,2,0),"Error with coding"))),"")</f>
        <v/>
      </c>
      <c r="U1101" s="39" t="s">
        <v>233</v>
      </c>
      <c r="V1101" s="826" t="s">
        <v>2757</v>
      </c>
      <c r="W1101" s="42" t="s">
        <v>232</v>
      </c>
      <c r="X1101" s="42" t="s">
        <v>232</v>
      </c>
      <c r="Y1101" s="512" t="s">
        <v>232</v>
      </c>
      <c r="Z1101" s="39">
        <v>0</v>
      </c>
      <c r="AA1101" s="518">
        <v>0</v>
      </c>
      <c r="AB1101" s="41" t="s">
        <v>232</v>
      </c>
      <c r="AC1101" s="519" t="str">
        <f>""</f>
        <v/>
      </c>
      <c r="AD1101" s="522">
        <v>0</v>
      </c>
      <c r="AE1101" s="522" t="s">
        <v>2590</v>
      </c>
      <c r="AF1101" s="522" t="s">
        <v>237</v>
      </c>
      <c r="AG1101" s="522">
        <v>1</v>
      </c>
      <c r="AH1101" s="520">
        <v>8</v>
      </c>
      <c r="AI1101" s="522">
        <v>0</v>
      </c>
      <c r="AJ1101" s="520">
        <f>VLOOKUP($I1101,'Price List, Weapons &amp; Items'!A:E,5,0)</f>
        <v>1</v>
      </c>
      <c r="AK1101" s="520">
        <f t="shared" si="249"/>
        <v>0</v>
      </c>
      <c r="AL1101" s="520">
        <f t="shared" si="250"/>
        <v>0</v>
      </c>
      <c r="AM1101" s="520">
        <f t="shared" si="251"/>
        <v>0</v>
      </c>
      <c r="AN1101" s="521" t="str">
        <f>VLOOKUP($I1101,'Price List, Weapons &amp; Items'!A:K,COLUMN('Price List, Weapons &amp; Items'!$I$1),0)</f>
        <v>Government information</v>
      </c>
      <c r="AO1101" s="521" t="str">
        <f>IF(I1101=".",".",VLOOKUP($I1101,'Price List, Weapons &amp; Items'!A:I,3,0))</f>
        <v>155mm howitzer ammunition</v>
      </c>
      <c r="AP1101" s="517" t="str">
        <f t="shared" ca="1" si="244"/>
        <v/>
      </c>
      <c r="AQ1101" s="521">
        <f>VLOOKUP($I1101,'Price List, Weapons &amp; Items'!A:K,COLUMN('Price List, Weapons &amp; Items'!$K$1),0)</f>
        <v>2</v>
      </c>
      <c r="AS1101" s="521">
        <f t="shared" si="252"/>
        <v>1</v>
      </c>
      <c r="AT1101" s="521">
        <f t="shared" si="253"/>
        <v>1</v>
      </c>
      <c r="AU1101" s="521">
        <f t="shared" si="254"/>
        <v>1</v>
      </c>
      <c r="AV1101" s="521" t="str">
        <f t="shared" si="255"/>
        <v>.</v>
      </c>
    </row>
    <row r="1102" spans="1:48" ht="15" customHeight="1">
      <c r="A1102" s="18" t="s">
        <v>2750</v>
      </c>
      <c r="B1102" s="46" t="s">
        <v>2548</v>
      </c>
      <c r="C1102" s="550">
        <v>44797</v>
      </c>
      <c r="D1102" s="46" t="s">
        <v>252</v>
      </c>
      <c r="E1102" s="46" t="s">
        <v>1157</v>
      </c>
      <c r="F1102" s="46" t="s">
        <v>2756</v>
      </c>
      <c r="G1102" s="39" t="s">
        <v>314</v>
      </c>
      <c r="H1102" s="563">
        <v>2980000000</v>
      </c>
      <c r="I1102" s="46" t="s">
        <v>2680</v>
      </c>
      <c r="J1102" s="276" t="str">
        <f>VLOOKUP($I1102,'Price List, Weapons &amp; Items'!A:B,2,0)</f>
        <v>Ammunition for light infantry</v>
      </c>
      <c r="K1102" s="276" t="str">
        <f>IF(I1102=".",I1102,VLOOKUP($I1102,'Price List, Weapons &amp; Items'!A:C,3,0))</f>
        <v>Mortar ammunition</v>
      </c>
      <c r="L1102" s="514">
        <f>VLOOKUP(I1102,'Price List, Weapons &amp; Items'!A:D,4,0)</f>
        <v>0</v>
      </c>
      <c r="M1102" s="46">
        <v>65000</v>
      </c>
      <c r="N1102" s="515" t="s">
        <v>232</v>
      </c>
      <c r="O1102" s="516" t="str">
        <f>VLOOKUP($I1102,'Price List, Weapons &amp; Items'!A:F,6,0)</f>
        <v>.</v>
      </c>
      <c r="P1102" s="513" t="str">
        <f t="shared" si="246"/>
        <v>No price</v>
      </c>
      <c r="Q1102" s="513" t="str">
        <f t="shared" si="247"/>
        <v>.</v>
      </c>
      <c r="R1102" s="513" t="str">
        <f t="shared" si="248"/>
        <v/>
      </c>
      <c r="S1102" s="513" t="str">
        <f>IF(AND(AD1102=1,R1102&lt;&gt;".")=TRUE,R1102/VLOOKUP(G1102,'Exchange rates'!B:C,2,0),IF(R1102=".",".",""))</f>
        <v/>
      </c>
      <c r="T1102" s="513" t="str">
        <f>IF(AD1102=1,IF(AF1102="Value is not given at all",".",IF(AF1102="Value is given by the source",S1102,IF(AF1102="Value is calculated with prices",(IF(SUMIFS(Q:Q,A:A,A1102)&gt;0,SUMIFS(Q:Q,A:A,A1102),"."))/VLOOKUP("USD",'Exchange rates'!B:C,2,0),"Error with coding"))),"")</f>
        <v/>
      </c>
      <c r="U1102" s="39" t="s">
        <v>233</v>
      </c>
      <c r="V1102" s="826" t="s">
        <v>2757</v>
      </c>
      <c r="W1102" s="42" t="s">
        <v>232</v>
      </c>
      <c r="X1102" s="42" t="s">
        <v>232</v>
      </c>
      <c r="Y1102" s="512" t="s">
        <v>232</v>
      </c>
      <c r="Z1102" s="39">
        <v>0</v>
      </c>
      <c r="AA1102" s="518">
        <v>0</v>
      </c>
      <c r="AB1102" s="41" t="s">
        <v>232</v>
      </c>
      <c r="AC1102" s="519" t="str">
        <f>""</f>
        <v/>
      </c>
      <c r="AD1102" s="522">
        <v>0</v>
      </c>
      <c r="AE1102" s="522" t="s">
        <v>2590</v>
      </c>
      <c r="AF1102" s="522" t="s">
        <v>237</v>
      </c>
      <c r="AG1102" s="522">
        <v>1</v>
      </c>
      <c r="AH1102" s="520">
        <v>8</v>
      </c>
      <c r="AI1102" s="520">
        <v>0</v>
      </c>
      <c r="AJ1102" s="520">
        <f>VLOOKUP($I1102,'Price List, Weapons &amp; Items'!A:E,5,0)</f>
        <v>0</v>
      </c>
      <c r="AK1102" s="520">
        <f t="shared" si="249"/>
        <v>0</v>
      </c>
      <c r="AL1102" s="520">
        <f t="shared" si="250"/>
        <v>0</v>
      </c>
      <c r="AM1102" s="520">
        <f t="shared" si="251"/>
        <v>1</v>
      </c>
      <c r="AN1102" s="521" t="str">
        <f>VLOOKUP($I1102,'Price List, Weapons &amp; Items'!A:K,COLUMN('Price List, Weapons &amp; Items'!$I$1),0)</f>
        <v>.</v>
      </c>
      <c r="AO1102" s="521" t="str">
        <f>IF(I1102=".",".",VLOOKUP($I1102,'Price List, Weapons &amp; Items'!A:I,3,0))</f>
        <v>Mortar ammunition</v>
      </c>
      <c r="AP1102" s="517" t="str">
        <f t="shared" ca="1" si="244"/>
        <v/>
      </c>
      <c r="AQ1102" s="521">
        <f>VLOOKUP($I1102,'Price List, Weapons &amp; Items'!A:K,COLUMN('Price List, Weapons &amp; Items'!$K$1),0)</f>
        <v>0</v>
      </c>
      <c r="AS1102" s="521">
        <f t="shared" si="252"/>
        <v>1</v>
      </c>
      <c r="AT1102" s="521">
        <f t="shared" si="253"/>
        <v>1</v>
      </c>
      <c r="AU1102" s="521">
        <f t="shared" si="254"/>
        <v>1</v>
      </c>
      <c r="AV1102" s="521" t="str">
        <f t="shared" si="255"/>
        <v>.</v>
      </c>
    </row>
    <row r="1103" spans="1:48" ht="15" customHeight="1">
      <c r="A1103" s="18" t="s">
        <v>2750</v>
      </c>
      <c r="B1103" s="46" t="s">
        <v>2548</v>
      </c>
      <c r="C1103" s="550">
        <v>44797</v>
      </c>
      <c r="D1103" s="46" t="s">
        <v>252</v>
      </c>
      <c r="E1103" s="46" t="s">
        <v>1157</v>
      </c>
      <c r="F1103" s="46" t="s">
        <v>2756</v>
      </c>
      <c r="G1103" s="39" t="s">
        <v>314</v>
      </c>
      <c r="H1103" s="563">
        <v>2980000000</v>
      </c>
      <c r="I1103" s="46" t="s">
        <v>2711</v>
      </c>
      <c r="J1103" s="276" t="str">
        <f>VLOOKUP($I1103,'Price List, Weapons &amp; Items'!A:B,2,0)</f>
        <v>Military equipment</v>
      </c>
      <c r="K1103" s="276" t="str">
        <f>IF(I1103=".",I1103,VLOOKUP($I1103,'Price List, Weapons &amp; Items'!A:C,3,0))</f>
        <v>.</v>
      </c>
      <c r="L1103" s="514">
        <f>VLOOKUP(I1103,'Price List, Weapons &amp; Items'!A:D,4,0)</f>
        <v>0</v>
      </c>
      <c r="M1103" s="46">
        <v>24</v>
      </c>
      <c r="N1103" s="515" t="s">
        <v>232</v>
      </c>
      <c r="O1103" s="516">
        <f>VLOOKUP($I1103,'Price List, Weapons &amp; Items'!A:F,6,0)</f>
        <v>50175000</v>
      </c>
      <c r="P1103" s="513">
        <f t="shared" si="246"/>
        <v>1204200000</v>
      </c>
      <c r="Q1103" s="513" t="str">
        <f t="shared" si="247"/>
        <v>.</v>
      </c>
      <c r="R1103" s="513" t="str">
        <f t="shared" si="248"/>
        <v/>
      </c>
      <c r="S1103" s="513" t="str">
        <f>IF(AND(AD1103=1,R1103&lt;&gt;".")=TRUE,R1103/VLOOKUP(G1103,'Exchange rates'!B:C,2,0),IF(R1103=".",".",""))</f>
        <v/>
      </c>
      <c r="T1103" s="513" t="str">
        <f>IF(AD1103=1,IF(AF1103="Value is not given at all",".",IF(AF1103="Value is given by the source",S1103,IF(AF1103="Value is calculated with prices",(IF(SUMIFS(Q:Q,A:A,A1103)&gt;0,SUMIFS(Q:Q,A:A,A1103),"."))/VLOOKUP("USD",'Exchange rates'!B:C,2,0),"Error with coding"))),"")</f>
        <v/>
      </c>
      <c r="U1103" s="39" t="s">
        <v>233</v>
      </c>
      <c r="V1103" s="826" t="s">
        <v>2757</v>
      </c>
      <c r="W1103" s="42" t="s">
        <v>232</v>
      </c>
      <c r="X1103" s="42" t="s">
        <v>232</v>
      </c>
      <c r="Y1103" s="512" t="s">
        <v>232</v>
      </c>
      <c r="Z1103" s="39">
        <v>0</v>
      </c>
      <c r="AA1103" s="518">
        <v>0</v>
      </c>
      <c r="AB1103" s="41" t="s">
        <v>232</v>
      </c>
      <c r="AC1103" s="519" t="str">
        <f>""</f>
        <v/>
      </c>
      <c r="AD1103" s="522">
        <v>0</v>
      </c>
      <c r="AE1103" s="522" t="s">
        <v>2590</v>
      </c>
      <c r="AF1103" s="522" t="s">
        <v>237</v>
      </c>
      <c r="AG1103" s="522">
        <v>1</v>
      </c>
      <c r="AH1103" s="520">
        <v>8</v>
      </c>
      <c r="AI1103" s="522">
        <v>0</v>
      </c>
      <c r="AJ1103" s="520">
        <f>VLOOKUP($I1103,'Price List, Weapons &amp; Items'!A:E,5,0)</f>
        <v>0</v>
      </c>
      <c r="AK1103" s="520">
        <f t="shared" si="249"/>
        <v>0</v>
      </c>
      <c r="AL1103" s="520">
        <f t="shared" si="250"/>
        <v>0</v>
      </c>
      <c r="AM1103" s="520">
        <f t="shared" si="251"/>
        <v>0</v>
      </c>
      <c r="AN1103" s="521" t="str">
        <f>VLOOKUP($I1103,'Price List, Weapons &amp; Items'!A:K,COLUMN('Price List, Weapons &amp; Items'!$I$1),0)</f>
        <v>Military media (incl. websites)</v>
      </c>
      <c r="AO1103" s="521" t="str">
        <f>IF(I1103=".",".",VLOOKUP($I1103,'Price List, Weapons &amp; Items'!A:I,3,0))</f>
        <v>.</v>
      </c>
      <c r="AP1103" s="517" t="str">
        <f t="shared" ca="1" si="244"/>
        <v/>
      </c>
      <c r="AQ1103" s="521">
        <f>VLOOKUP($I1103,'Price List, Weapons &amp; Items'!A:K,COLUMN('Price List, Weapons &amp; Items'!$K$1),0)</f>
        <v>2</v>
      </c>
      <c r="AS1103" s="521">
        <f t="shared" si="252"/>
        <v>1</v>
      </c>
      <c r="AT1103" s="521">
        <f t="shared" si="253"/>
        <v>1</v>
      </c>
      <c r="AU1103" s="521">
        <f t="shared" si="254"/>
        <v>1</v>
      </c>
      <c r="AV1103" s="521" t="str">
        <f t="shared" si="255"/>
        <v>.</v>
      </c>
    </row>
    <row r="1104" spans="1:48" ht="15" customHeight="1">
      <c r="A1104" s="18" t="s">
        <v>2750</v>
      </c>
      <c r="B1104" s="46" t="s">
        <v>2548</v>
      </c>
      <c r="C1104" s="550">
        <v>44797</v>
      </c>
      <c r="D1104" s="46" t="s">
        <v>252</v>
      </c>
      <c r="E1104" s="46" t="s">
        <v>1157</v>
      </c>
      <c r="F1104" s="46" t="s">
        <v>2756</v>
      </c>
      <c r="G1104" s="39" t="s">
        <v>314</v>
      </c>
      <c r="H1104" s="563">
        <v>2980000000</v>
      </c>
      <c r="I1104" s="46" t="s">
        <v>2758</v>
      </c>
      <c r="J1104" s="276" t="str">
        <f>VLOOKUP($I1104,'Price List, Weapons &amp; Items'!A:B,2,0)</f>
        <v>Aviation and drones</v>
      </c>
      <c r="K1104" s="276" t="str">
        <f>IF(I1104=".",I1104,VLOOKUP($I1104,'Price List, Weapons &amp; Items'!A:C,3,0))</f>
        <v>Reconnaissance drone</v>
      </c>
      <c r="L1104" s="514">
        <f>VLOOKUP(I1104,'Price List, Weapons &amp; Items'!A:D,4,0)</f>
        <v>0</v>
      </c>
      <c r="M1104" s="46" t="s">
        <v>264</v>
      </c>
      <c r="N1104" s="515" t="s">
        <v>232</v>
      </c>
      <c r="O1104" s="516">
        <f>VLOOKUP($I1104,'Price List, Weapons &amp; Items'!A:F,6,0)</f>
        <v>250000</v>
      </c>
      <c r="P1104" s="513" t="str">
        <f t="shared" si="246"/>
        <v>.</v>
      </c>
      <c r="Q1104" s="513" t="str">
        <f t="shared" si="247"/>
        <v>.</v>
      </c>
      <c r="R1104" s="513" t="str">
        <f t="shared" si="248"/>
        <v/>
      </c>
      <c r="S1104" s="513" t="str">
        <f>IF(AND(AD1104=1,R1104&lt;&gt;".")=TRUE,R1104/VLOOKUP(G1104,'Exchange rates'!B:C,2,0),IF(R1104=".",".",""))</f>
        <v/>
      </c>
      <c r="T1104" s="513" t="str">
        <f>IF(AD1104=1,IF(AF1104="Value is not given at all",".",IF(AF1104="Value is given by the source",S1104,IF(AF1104="Value is calculated with prices",(IF(SUMIFS(Q:Q,A:A,A1104)&gt;0,SUMIFS(Q:Q,A:A,A1104),"."))/VLOOKUP("USD",'Exchange rates'!B:C,2,0),"Error with coding"))),"")</f>
        <v/>
      </c>
      <c r="U1104" s="39" t="s">
        <v>233</v>
      </c>
      <c r="V1104" s="826" t="s">
        <v>2757</v>
      </c>
      <c r="W1104" s="42" t="s">
        <v>232</v>
      </c>
      <c r="X1104" s="42" t="s">
        <v>232</v>
      </c>
      <c r="Y1104" s="512" t="s">
        <v>232</v>
      </c>
      <c r="Z1104" s="39">
        <v>0</v>
      </c>
      <c r="AA1104" s="518">
        <v>0</v>
      </c>
      <c r="AB1104" s="41" t="s">
        <v>232</v>
      </c>
      <c r="AC1104" s="519" t="str">
        <f>""</f>
        <v/>
      </c>
      <c r="AD1104" s="522">
        <v>0</v>
      </c>
      <c r="AE1104" s="522" t="s">
        <v>2590</v>
      </c>
      <c r="AF1104" s="522" t="s">
        <v>237</v>
      </c>
      <c r="AG1104" s="522">
        <v>1</v>
      </c>
      <c r="AH1104" s="520">
        <v>8</v>
      </c>
      <c r="AI1104" s="520">
        <v>0</v>
      </c>
      <c r="AJ1104" s="520">
        <f>VLOOKUP($I1104,'Price List, Weapons &amp; Items'!A:E,5,0)</f>
        <v>0</v>
      </c>
      <c r="AK1104" s="520">
        <f t="shared" si="249"/>
        <v>0</v>
      </c>
      <c r="AL1104" s="520">
        <f t="shared" si="250"/>
        <v>0</v>
      </c>
      <c r="AM1104" s="520">
        <f t="shared" si="251"/>
        <v>0</v>
      </c>
      <c r="AN1104" s="521" t="str">
        <f>VLOOKUP($I1104,'Price List, Weapons &amp; Items'!A:K,COLUMN('Price List, Weapons &amp; Items'!$I$1),0)</f>
        <v>Media reports (incl. social media)</v>
      </c>
      <c r="AO1104" s="521" t="str">
        <f>IF(I1104=".",".",VLOOKUP($I1104,'Price List, Weapons &amp; Items'!A:I,3,0))</f>
        <v>Reconnaissance drone</v>
      </c>
      <c r="AP1104" s="517" t="str">
        <f t="shared" ca="1" si="244"/>
        <v/>
      </c>
      <c r="AQ1104" s="521" t="str">
        <f>VLOOKUP($I1104,'Price List, Weapons &amp; Items'!A:K,COLUMN('Price List, Weapons &amp; Items'!$K$1),0)</f>
        <v>no price, 0 count</v>
      </c>
      <c r="AS1104" s="521">
        <f t="shared" si="252"/>
        <v>1</v>
      </c>
      <c r="AT1104" s="521">
        <f t="shared" si="253"/>
        <v>1</v>
      </c>
      <c r="AU1104" s="521">
        <f t="shared" si="254"/>
        <v>1</v>
      </c>
      <c r="AV1104" s="521" t="str">
        <f t="shared" si="255"/>
        <v>.</v>
      </c>
    </row>
    <row r="1105" spans="1:48" ht="15" customHeight="1">
      <c r="A1105" s="18" t="s">
        <v>2750</v>
      </c>
      <c r="B1105" s="46" t="s">
        <v>2548</v>
      </c>
      <c r="C1105" s="550">
        <v>44797</v>
      </c>
      <c r="D1105" s="46" t="s">
        <v>252</v>
      </c>
      <c r="E1105" s="46" t="s">
        <v>1157</v>
      </c>
      <c r="F1105" s="46" t="s">
        <v>2756</v>
      </c>
      <c r="G1105" s="39" t="s">
        <v>314</v>
      </c>
      <c r="H1105" s="563">
        <v>2980000000</v>
      </c>
      <c r="I1105" s="46" t="s">
        <v>2759</v>
      </c>
      <c r="J1105" s="276" t="str">
        <f>VLOOKUP($I1105,'Price List, Weapons &amp; Items'!A:B,2,0)</f>
        <v>Military equipment</v>
      </c>
      <c r="K1105" s="276" t="str">
        <f>IF(I1105=".",I1105,VLOOKUP($I1105,'Price List, Weapons &amp; Items'!A:C,3,0))</f>
        <v>.</v>
      </c>
      <c r="L1105" s="514">
        <f>VLOOKUP(I1105,'Price List, Weapons &amp; Items'!A:D,4,0)</f>
        <v>0</v>
      </c>
      <c r="M1105" s="46" t="s">
        <v>264</v>
      </c>
      <c r="N1105" s="515" t="s">
        <v>232</v>
      </c>
      <c r="O1105" s="516" t="str">
        <f>VLOOKUP($I1105,'Price List, Weapons &amp; Items'!A:F,6,0)</f>
        <v>.</v>
      </c>
      <c r="P1105" s="513" t="str">
        <f t="shared" si="246"/>
        <v>.</v>
      </c>
      <c r="Q1105" s="513" t="str">
        <f t="shared" si="247"/>
        <v>.</v>
      </c>
      <c r="R1105" s="513" t="str">
        <f t="shared" si="248"/>
        <v/>
      </c>
      <c r="S1105" s="513" t="str">
        <f>IF(AND(AD1105=1,R1105&lt;&gt;".")=TRUE,R1105/VLOOKUP(G1105,'Exchange rates'!B:C,2,0),IF(R1105=".",".",""))</f>
        <v/>
      </c>
      <c r="T1105" s="513" t="str">
        <f>IF(AD1105=1,IF(AF1105="Value is not given at all",".",IF(AF1105="Value is given by the source",S1105,IF(AF1105="Value is calculated with prices",(IF(SUMIFS(Q:Q,A:A,A1105)&gt;0,SUMIFS(Q:Q,A:A,A1105),"."))/VLOOKUP("USD",'Exchange rates'!B:C,2,0),"Error with coding"))),"")</f>
        <v/>
      </c>
      <c r="U1105" s="39" t="s">
        <v>233</v>
      </c>
      <c r="V1105" s="826" t="s">
        <v>2757</v>
      </c>
      <c r="W1105" s="42" t="s">
        <v>232</v>
      </c>
      <c r="X1105" s="42" t="s">
        <v>232</v>
      </c>
      <c r="Y1105" s="512" t="s">
        <v>232</v>
      </c>
      <c r="Z1105" s="39">
        <v>0</v>
      </c>
      <c r="AA1105" s="518">
        <v>0</v>
      </c>
      <c r="AB1105" s="41" t="s">
        <v>232</v>
      </c>
      <c r="AC1105" s="519" t="str">
        <f>""</f>
        <v/>
      </c>
      <c r="AD1105" s="522">
        <v>0</v>
      </c>
      <c r="AE1105" s="522" t="s">
        <v>2590</v>
      </c>
      <c r="AF1105" s="522" t="s">
        <v>237</v>
      </c>
      <c r="AG1105" s="522">
        <v>1</v>
      </c>
      <c r="AH1105" s="520">
        <v>8</v>
      </c>
      <c r="AI1105" s="522">
        <v>0</v>
      </c>
      <c r="AJ1105" s="520">
        <f>VLOOKUP($I1105,'Price List, Weapons &amp; Items'!A:E,5,0)</f>
        <v>0</v>
      </c>
      <c r="AK1105" s="520">
        <f t="shared" si="249"/>
        <v>0</v>
      </c>
      <c r="AL1105" s="520">
        <f t="shared" si="250"/>
        <v>0</v>
      </c>
      <c r="AM1105" s="520">
        <f t="shared" si="251"/>
        <v>0</v>
      </c>
      <c r="AN1105" s="521" t="str">
        <f>VLOOKUP($I1105,'Price List, Weapons &amp; Items'!A:K,COLUMN('Price List, Weapons &amp; Items'!$I$1),0)</f>
        <v>.</v>
      </c>
      <c r="AO1105" s="521" t="str">
        <f>IF(I1105=".",".",VLOOKUP($I1105,'Price List, Weapons &amp; Items'!A:I,3,0))</f>
        <v>.</v>
      </c>
      <c r="AP1105" s="517" t="str">
        <f t="shared" ca="1" si="244"/>
        <v/>
      </c>
      <c r="AQ1105" s="521" t="str">
        <f>VLOOKUP($I1105,'Price List, Weapons &amp; Items'!A:K,COLUMN('Price List, Weapons &amp; Items'!$K$1),0)</f>
        <v>no price, 0 count</v>
      </c>
      <c r="AS1105" s="521">
        <f t="shared" si="252"/>
        <v>1</v>
      </c>
      <c r="AT1105" s="521">
        <f t="shared" si="253"/>
        <v>1</v>
      </c>
      <c r="AU1105" s="521">
        <f t="shared" si="254"/>
        <v>1</v>
      </c>
      <c r="AV1105" s="521" t="str">
        <f t="shared" si="255"/>
        <v>.</v>
      </c>
    </row>
    <row r="1106" spans="1:48" ht="15" customHeight="1">
      <c r="A1106" s="18" t="s">
        <v>2750</v>
      </c>
      <c r="B1106" s="46" t="s">
        <v>2548</v>
      </c>
      <c r="C1106" s="550">
        <v>44797</v>
      </c>
      <c r="D1106" s="46" t="s">
        <v>252</v>
      </c>
      <c r="E1106" s="46" t="s">
        <v>1157</v>
      </c>
      <c r="F1106" s="46" t="s">
        <v>2756</v>
      </c>
      <c r="G1106" s="39" t="s">
        <v>314</v>
      </c>
      <c r="H1106" s="563">
        <v>2980000000</v>
      </c>
      <c r="I1106" s="46" t="s">
        <v>2760</v>
      </c>
      <c r="J1106" s="276" t="str">
        <f>VLOOKUP($I1106,'Price List, Weapons &amp; Items'!A:B,2,0)</f>
        <v>Aviation and drones</v>
      </c>
      <c r="K1106" s="276" t="str">
        <f>IF(I1106=".",I1106,VLOOKUP($I1106,'Price List, Weapons &amp; Items'!A:C,3,0))</f>
        <v>.</v>
      </c>
      <c r="L1106" s="514">
        <f>VLOOKUP(I1106,'Price List, Weapons &amp; Items'!A:D,4,0)</f>
        <v>0</v>
      </c>
      <c r="M1106" s="46" t="s">
        <v>264</v>
      </c>
      <c r="N1106" s="515" t="s">
        <v>232</v>
      </c>
      <c r="O1106" s="516">
        <f>VLOOKUP($I1106,'Price List, Weapons &amp; Items'!A:F,6,0)</f>
        <v>15000000</v>
      </c>
      <c r="P1106" s="513" t="str">
        <f t="shared" si="246"/>
        <v>.</v>
      </c>
      <c r="Q1106" s="513" t="str">
        <f t="shared" si="247"/>
        <v>.</v>
      </c>
      <c r="R1106" s="513" t="str">
        <f t="shared" si="248"/>
        <v/>
      </c>
      <c r="S1106" s="513" t="str">
        <f>IF(AND(AD1106=1,R1106&lt;&gt;".")=TRUE,R1106/VLOOKUP(G1106,'Exchange rates'!B:C,2,0),IF(R1106=".",".",""))</f>
        <v/>
      </c>
      <c r="T1106" s="513" t="str">
        <f>IF(AD1106=1,IF(AF1106="Value is not given at all",".",IF(AF1106="Value is given by the source",S1106,IF(AF1106="Value is calculated with prices",(IF(SUMIFS(Q:Q,A:A,A1106)&gt;0,SUMIFS(Q:Q,A:A,A1106),"."))/VLOOKUP("USD",'Exchange rates'!B:C,2,0),"Error with coding"))),"")</f>
        <v/>
      </c>
      <c r="U1106" s="39" t="s">
        <v>233</v>
      </c>
      <c r="V1106" s="826" t="s">
        <v>2757</v>
      </c>
      <c r="W1106" s="42" t="s">
        <v>232</v>
      </c>
      <c r="X1106" s="42" t="s">
        <v>232</v>
      </c>
      <c r="Y1106" s="512" t="s">
        <v>232</v>
      </c>
      <c r="Z1106" s="39">
        <v>0</v>
      </c>
      <c r="AA1106" s="518">
        <v>0</v>
      </c>
      <c r="AB1106" s="41" t="s">
        <v>232</v>
      </c>
      <c r="AC1106" s="519" t="str">
        <f>""</f>
        <v/>
      </c>
      <c r="AD1106" s="522">
        <v>0</v>
      </c>
      <c r="AE1106" s="522" t="s">
        <v>2590</v>
      </c>
      <c r="AF1106" s="522" t="s">
        <v>237</v>
      </c>
      <c r="AG1106" s="522">
        <v>1</v>
      </c>
      <c r="AH1106" s="520">
        <v>8</v>
      </c>
      <c r="AI1106" s="520">
        <v>0</v>
      </c>
      <c r="AJ1106" s="520">
        <f>VLOOKUP($I1106,'Price List, Weapons &amp; Items'!A:E,5,0)</f>
        <v>0</v>
      </c>
      <c r="AK1106" s="520">
        <f t="shared" si="249"/>
        <v>0</v>
      </c>
      <c r="AL1106" s="520">
        <f t="shared" si="250"/>
        <v>0</v>
      </c>
      <c r="AM1106" s="520">
        <f t="shared" si="251"/>
        <v>0</v>
      </c>
      <c r="AN1106" s="521" t="str">
        <f>VLOOKUP($I1106,'Price List, Weapons &amp; Items'!A:K,COLUMN('Price List, Weapons &amp; Items'!$I$1),0)</f>
        <v>Miscellaneous</v>
      </c>
      <c r="AO1106" s="521" t="str">
        <f>IF(I1106=".",".",VLOOKUP($I1106,'Price List, Weapons &amp; Items'!A:I,3,0))</f>
        <v>.</v>
      </c>
      <c r="AP1106" s="517" t="str">
        <f t="shared" ca="1" si="244"/>
        <v/>
      </c>
      <c r="AQ1106" s="521" t="str">
        <f>VLOOKUP($I1106,'Price List, Weapons &amp; Items'!A:K,COLUMN('Price List, Weapons &amp; Items'!$K$1),0)</f>
        <v>no price, 0 count</v>
      </c>
      <c r="AS1106" s="521">
        <f t="shared" si="252"/>
        <v>1</v>
      </c>
      <c r="AT1106" s="521">
        <f t="shared" si="253"/>
        <v>1</v>
      </c>
      <c r="AU1106" s="521">
        <f t="shared" si="254"/>
        <v>1</v>
      </c>
      <c r="AV1106" s="521" t="str">
        <f t="shared" si="255"/>
        <v>.</v>
      </c>
    </row>
    <row r="1107" spans="1:48" ht="15" customHeight="1">
      <c r="A1107" s="18" t="s">
        <v>2750</v>
      </c>
      <c r="B1107" s="46" t="s">
        <v>2548</v>
      </c>
      <c r="C1107" s="550">
        <v>44797</v>
      </c>
      <c r="D1107" s="46" t="s">
        <v>252</v>
      </c>
      <c r="E1107" s="46" t="s">
        <v>1157</v>
      </c>
      <c r="F1107" s="46" t="s">
        <v>2756</v>
      </c>
      <c r="G1107" s="39" t="s">
        <v>314</v>
      </c>
      <c r="H1107" s="563">
        <v>2980000000</v>
      </c>
      <c r="I1107" s="46" t="s">
        <v>2761</v>
      </c>
      <c r="J1107" s="276" t="str">
        <f>VLOOKUP($I1107,'Price List, Weapons &amp; Items'!A:B,2,0)</f>
        <v>Portable defence system</v>
      </c>
      <c r="K1107" s="276" t="str">
        <f>IF(I1107=".",I1107,VLOOKUP($I1107,'Price List, Weapons &amp; Items'!A:C,3,0))</f>
        <v>Light Anti-armor Weapon (LAW)</v>
      </c>
      <c r="L1107" s="514">
        <f>VLOOKUP(I1107,'Price List, Weapons &amp; Items'!A:D,4,0)</f>
        <v>0</v>
      </c>
      <c r="M1107" s="46" t="s">
        <v>264</v>
      </c>
      <c r="N1107" s="515" t="s">
        <v>232</v>
      </c>
      <c r="O1107" s="516">
        <f>VLOOKUP($I1107,'Price List, Weapons &amp; Items'!A:F,6,0)</f>
        <v>22000</v>
      </c>
      <c r="P1107" s="513" t="str">
        <f t="shared" si="246"/>
        <v>.</v>
      </c>
      <c r="Q1107" s="513" t="str">
        <f t="shared" si="247"/>
        <v>.</v>
      </c>
      <c r="R1107" s="513" t="str">
        <f t="shared" si="248"/>
        <v/>
      </c>
      <c r="S1107" s="513" t="str">
        <f>IF(AND(AD1107=1,R1107&lt;&gt;".")=TRUE,R1107/VLOOKUP(G1107,'Exchange rates'!B:C,2,0),IF(R1107=".",".",""))</f>
        <v/>
      </c>
      <c r="T1107" s="513" t="str">
        <f>IF(AD1107=1,IF(AF1107="Value is not given at all",".",IF(AF1107="Value is given by the source",S1107,IF(AF1107="Value is calculated with prices",(IF(SUMIFS(Q:Q,A:A,A1107)&gt;0,SUMIFS(Q:Q,A:A,A1107),"."))/VLOOKUP("USD",'Exchange rates'!B:C,2,0),"Error with coding"))),"")</f>
        <v/>
      </c>
      <c r="U1107" s="39" t="s">
        <v>233</v>
      </c>
      <c r="V1107" s="826" t="s">
        <v>2757</v>
      </c>
      <c r="W1107" s="42" t="s">
        <v>232</v>
      </c>
      <c r="X1107" s="42" t="s">
        <v>232</v>
      </c>
      <c r="Y1107" s="512" t="s">
        <v>232</v>
      </c>
      <c r="Z1107" s="39">
        <v>0</v>
      </c>
      <c r="AA1107" s="518">
        <v>0</v>
      </c>
      <c r="AB1107" s="41" t="s">
        <v>232</v>
      </c>
      <c r="AC1107" s="519" t="str">
        <f>""</f>
        <v/>
      </c>
      <c r="AD1107" s="522">
        <v>0</v>
      </c>
      <c r="AE1107" s="522" t="s">
        <v>2590</v>
      </c>
      <c r="AF1107" s="522" t="s">
        <v>237</v>
      </c>
      <c r="AG1107" s="522">
        <v>1</v>
      </c>
      <c r="AH1107" s="520">
        <v>8</v>
      </c>
      <c r="AI1107" s="522">
        <v>0</v>
      </c>
      <c r="AJ1107" s="520">
        <f>VLOOKUP($I1107,'Price List, Weapons &amp; Items'!A:E,5,0)</f>
        <v>0</v>
      </c>
      <c r="AK1107" s="520">
        <f t="shared" si="249"/>
        <v>0</v>
      </c>
      <c r="AL1107" s="520">
        <f t="shared" si="250"/>
        <v>0</v>
      </c>
      <c r="AM1107" s="520">
        <f t="shared" si="251"/>
        <v>0</v>
      </c>
      <c r="AN1107" s="521" t="str">
        <f>VLOOKUP($I1107,'Price List, Weapons &amp; Items'!A:K,COLUMN('Price List, Weapons &amp; Items'!$I$1),0)</f>
        <v>Contracts</v>
      </c>
      <c r="AO1107" s="521" t="str">
        <f>IF(I1107=".",".",VLOOKUP($I1107,'Price List, Weapons &amp; Items'!A:I,3,0))</f>
        <v>Light Anti-armor Weapon (LAW)</v>
      </c>
      <c r="AP1107" s="517" t="str">
        <f t="shared" ca="1" si="244"/>
        <v/>
      </c>
      <c r="AQ1107" s="521" t="str">
        <f>VLOOKUP($I1107,'Price List, Weapons &amp; Items'!A:K,COLUMN('Price List, Weapons &amp; Items'!$K$1),0)</f>
        <v>no price, 0 count</v>
      </c>
      <c r="AS1107" s="521">
        <f t="shared" si="252"/>
        <v>1</v>
      </c>
      <c r="AT1107" s="521">
        <f t="shared" si="253"/>
        <v>1</v>
      </c>
      <c r="AU1107" s="521">
        <f t="shared" si="254"/>
        <v>1</v>
      </c>
      <c r="AV1107" s="521" t="str">
        <f t="shared" si="255"/>
        <v>.</v>
      </c>
    </row>
    <row r="1108" spans="1:48" ht="15" customHeight="1">
      <c r="A1108" s="18" t="s">
        <v>2750</v>
      </c>
      <c r="B1108" s="46" t="s">
        <v>2548</v>
      </c>
      <c r="C1108" s="550">
        <v>44832</v>
      </c>
      <c r="D1108" s="46" t="s">
        <v>252</v>
      </c>
      <c r="E1108" s="46" t="s">
        <v>1157</v>
      </c>
      <c r="F1108" s="46" t="s">
        <v>2762</v>
      </c>
      <c r="G1108" s="39" t="s">
        <v>314</v>
      </c>
      <c r="H1108" s="563">
        <v>1100000000</v>
      </c>
      <c r="I1108" s="46" t="s">
        <v>2638</v>
      </c>
      <c r="J1108" s="276" t="str">
        <f>VLOOKUP($I1108,'Price List, Weapons &amp; Items'!A:B,2,0)</f>
        <v>Heavy weapon</v>
      </c>
      <c r="K1108" s="276" t="str">
        <f>IF(I1108=".",I1108,VLOOKUP($I1108,'Price List, Weapons &amp; Items'!A:C,3,0))</f>
        <v>227mm MLRS</v>
      </c>
      <c r="L1108" s="514">
        <f>VLOOKUP(I1108,'Price List, Weapons &amp; Items'!A:D,4,0)</f>
        <v>0</v>
      </c>
      <c r="M1108" s="46">
        <v>18</v>
      </c>
      <c r="N1108" s="515" t="s">
        <v>232</v>
      </c>
      <c r="O1108" s="516">
        <f>VLOOKUP($I1108,'Price List, Weapons &amp; Items'!A:F,6,0)</f>
        <v>15076313.029999999</v>
      </c>
      <c r="P1108" s="513">
        <f t="shared" si="246"/>
        <v>271373634.53999996</v>
      </c>
      <c r="Q1108" s="513" t="str">
        <f t="shared" si="247"/>
        <v>.</v>
      </c>
      <c r="R1108" s="513" t="str">
        <f t="shared" si="248"/>
        <v/>
      </c>
      <c r="S1108" s="513" t="str">
        <f>IF(AND(AD1108=1,R1108&lt;&gt;".")=TRUE,R1108/VLOOKUP(G1108,'Exchange rates'!B:C,2,0),IF(R1108=".",".",""))</f>
        <v/>
      </c>
      <c r="T1108" s="513" t="str">
        <f>IF(AD1108=1,IF(AF1108="Value is not given at all",".",IF(AF1108="Value is given by the source",S1108,IF(AF1108="Value is calculated with prices",(IF(SUMIFS(Q:Q,A:A,A1108)&gt;0,SUMIFS(Q:Q,A:A,A1108),"."))/VLOOKUP("USD",'Exchange rates'!B:C,2,0),"Error with coding"))),"")</f>
        <v/>
      </c>
      <c r="U1108" s="39" t="s">
        <v>233</v>
      </c>
      <c r="V1108" s="826" t="s">
        <v>2763</v>
      </c>
      <c r="W1108" s="42" t="s">
        <v>232</v>
      </c>
      <c r="X1108" s="42" t="s">
        <v>232</v>
      </c>
      <c r="Y1108" s="512" t="s">
        <v>232</v>
      </c>
      <c r="Z1108" s="39">
        <v>0</v>
      </c>
      <c r="AA1108" s="518">
        <v>0</v>
      </c>
      <c r="AB1108" s="41" t="s">
        <v>232</v>
      </c>
      <c r="AC1108" s="519" t="str">
        <f>""</f>
        <v/>
      </c>
      <c r="AD1108" s="522">
        <v>0</v>
      </c>
      <c r="AE1108" s="522" t="s">
        <v>2590</v>
      </c>
      <c r="AF1108" s="522" t="s">
        <v>237</v>
      </c>
      <c r="AG1108" s="522">
        <v>1</v>
      </c>
      <c r="AH1108" s="520">
        <v>9</v>
      </c>
      <c r="AI1108" s="520">
        <v>0</v>
      </c>
      <c r="AJ1108" s="520">
        <f>VLOOKUP($I1108,'Price List, Weapons &amp; Items'!A:E,5,0)</f>
        <v>1</v>
      </c>
      <c r="AK1108" s="520">
        <f t="shared" si="249"/>
        <v>0</v>
      </c>
      <c r="AL1108" s="520">
        <f t="shared" si="250"/>
        <v>0</v>
      </c>
      <c r="AM1108" s="520">
        <f t="shared" si="251"/>
        <v>0</v>
      </c>
      <c r="AN1108" s="521" t="str">
        <f>VLOOKUP($I1108,'Price List, Weapons &amp; Items'!A:K,COLUMN('Price List, Weapons &amp; Items'!$I$1),0)</f>
        <v>Contracts</v>
      </c>
      <c r="AO1108" s="521" t="str">
        <f>IF(I1108=".",".",VLOOKUP($I1108,'Price List, Weapons &amp; Items'!A:I,3,0))</f>
        <v>227mm MLRS</v>
      </c>
      <c r="AP1108" s="517" t="str">
        <f t="shared" ca="1" si="244"/>
        <v/>
      </c>
      <c r="AQ1108" s="521">
        <f>VLOOKUP($I1108,'Price List, Weapons &amp; Items'!A:K,COLUMN('Price List, Weapons &amp; Items'!$K$1),0)</f>
        <v>2</v>
      </c>
      <c r="AS1108" s="521">
        <f t="shared" si="252"/>
        <v>1</v>
      </c>
      <c r="AT1108" s="521">
        <f t="shared" si="253"/>
        <v>1</v>
      </c>
      <c r="AU1108" s="521">
        <f t="shared" si="254"/>
        <v>1</v>
      </c>
      <c r="AV1108" s="521" t="str">
        <f t="shared" si="255"/>
        <v>.</v>
      </c>
    </row>
    <row r="1109" spans="1:48" ht="15" customHeight="1">
      <c r="A1109" s="18" t="s">
        <v>2750</v>
      </c>
      <c r="B1109" s="46" t="s">
        <v>2548</v>
      </c>
      <c r="C1109" s="550">
        <v>44832</v>
      </c>
      <c r="D1109" s="46" t="s">
        <v>252</v>
      </c>
      <c r="E1109" s="46" t="s">
        <v>1157</v>
      </c>
      <c r="F1109" s="46" t="s">
        <v>2762</v>
      </c>
      <c r="G1109" s="39" t="s">
        <v>314</v>
      </c>
      <c r="H1109" s="563">
        <v>1100000000</v>
      </c>
      <c r="I1109" s="46" t="s">
        <v>2655</v>
      </c>
      <c r="J1109" s="276" t="str">
        <f>VLOOKUP($I1109,'Price List, Weapons &amp; Items'!A:B,2,0)</f>
        <v>Ammunition for heavy weapon</v>
      </c>
      <c r="K1109" s="276" t="str">
        <f>IF(I1109=".",I1109,VLOOKUP($I1109,'Price List, Weapons &amp; Items'!A:C,3,0))</f>
        <v>227mm MLRS ammunition</v>
      </c>
      <c r="L1109" s="514">
        <f>VLOOKUP(I1109,'Price List, Weapons &amp; Items'!A:D,4,0)</f>
        <v>0</v>
      </c>
      <c r="M1109" s="46" t="s">
        <v>264</v>
      </c>
      <c r="N1109" s="515" t="s">
        <v>232</v>
      </c>
      <c r="O1109" s="516">
        <f>VLOOKUP($I1109,'Price List, Weapons &amp; Items'!A:F,6,0)</f>
        <v>150000</v>
      </c>
      <c r="P1109" s="513" t="str">
        <f t="shared" si="246"/>
        <v>.</v>
      </c>
      <c r="Q1109" s="513" t="str">
        <f t="shared" si="247"/>
        <v>.</v>
      </c>
      <c r="R1109" s="513" t="str">
        <f t="shared" si="248"/>
        <v/>
      </c>
      <c r="S1109" s="513" t="str">
        <f>IF(AND(AD1109=1,R1109&lt;&gt;".")=TRUE,R1109/VLOOKUP(G1109,'Exchange rates'!B:C,2,0),IF(R1109=".",".",""))</f>
        <v/>
      </c>
      <c r="T1109" s="513" t="str">
        <f>IF(AD1109=1,IF(AF1109="Value is not given at all",".",IF(AF1109="Value is given by the source",S1109,IF(AF1109="Value is calculated with prices",(IF(SUMIFS(Q:Q,A:A,A1109)&gt;0,SUMIFS(Q:Q,A:A,A1109),"."))/VLOOKUP("USD",'Exchange rates'!B:C,2,0),"Error with coding"))),"")</f>
        <v/>
      </c>
      <c r="U1109" s="39" t="s">
        <v>233</v>
      </c>
      <c r="V1109" s="826" t="s">
        <v>2763</v>
      </c>
      <c r="W1109" s="42" t="s">
        <v>232</v>
      </c>
      <c r="X1109" s="42" t="s">
        <v>232</v>
      </c>
      <c r="Y1109" s="512" t="s">
        <v>232</v>
      </c>
      <c r="Z1109" s="39">
        <v>0</v>
      </c>
      <c r="AA1109" s="518">
        <v>0</v>
      </c>
      <c r="AB1109" s="41" t="s">
        <v>232</v>
      </c>
      <c r="AC1109" s="519" t="str">
        <f>""</f>
        <v/>
      </c>
      <c r="AD1109" s="522">
        <v>0</v>
      </c>
      <c r="AE1109" s="522" t="s">
        <v>2590</v>
      </c>
      <c r="AF1109" s="522" t="s">
        <v>237</v>
      </c>
      <c r="AG1109" s="522">
        <v>1</v>
      </c>
      <c r="AH1109" s="520">
        <v>9</v>
      </c>
      <c r="AI1109" s="522">
        <v>0</v>
      </c>
      <c r="AJ1109" s="520">
        <f>VLOOKUP($I1109,'Price List, Weapons &amp; Items'!A:E,5,0)</f>
        <v>1</v>
      </c>
      <c r="AK1109" s="520">
        <f t="shared" si="249"/>
        <v>1</v>
      </c>
      <c r="AL1109" s="520">
        <f t="shared" si="250"/>
        <v>0</v>
      </c>
      <c r="AM1109" s="520">
        <f t="shared" si="251"/>
        <v>1</v>
      </c>
      <c r="AN1109" s="521" t="str">
        <f>VLOOKUP($I1109,'Price List, Weapons &amp; Items'!A:K,COLUMN('Price List, Weapons &amp; Items'!$I$1),0)</f>
        <v>Media reports (incl. social media)</v>
      </c>
      <c r="AO1109" s="521" t="str">
        <f>IF(I1109=".",".",VLOOKUP($I1109,'Price List, Weapons &amp; Items'!A:I,3,0))</f>
        <v>227mm MLRS ammunition</v>
      </c>
      <c r="AP1109" s="517" t="str">
        <f t="shared" ca="1" si="244"/>
        <v/>
      </c>
      <c r="AQ1109" s="521" t="str">
        <f>VLOOKUP($I1109,'Price List, Weapons &amp; Items'!A:K,COLUMN('Price List, Weapons &amp; Items'!$K$1),0)</f>
        <v>no price, 0 count</v>
      </c>
      <c r="AS1109" s="521">
        <f t="shared" si="252"/>
        <v>1</v>
      </c>
      <c r="AT1109" s="521">
        <f t="shared" si="253"/>
        <v>1</v>
      </c>
      <c r="AU1109" s="521">
        <f t="shared" si="254"/>
        <v>1</v>
      </c>
      <c r="AV1109" s="521" t="str">
        <f t="shared" si="255"/>
        <v>.</v>
      </c>
    </row>
    <row r="1110" spans="1:48" ht="15" customHeight="1">
      <c r="A1110" s="18" t="s">
        <v>2750</v>
      </c>
      <c r="B1110" s="46" t="s">
        <v>2548</v>
      </c>
      <c r="C1110" s="550">
        <v>44832</v>
      </c>
      <c r="D1110" s="46" t="s">
        <v>252</v>
      </c>
      <c r="E1110" s="46" t="s">
        <v>1157</v>
      </c>
      <c r="F1110" s="46" t="s">
        <v>2762</v>
      </c>
      <c r="G1110" s="39" t="s">
        <v>314</v>
      </c>
      <c r="H1110" s="563">
        <v>1100000000</v>
      </c>
      <c r="I1110" s="46" t="s">
        <v>2703</v>
      </c>
      <c r="J1110" s="276" t="str">
        <f>VLOOKUP($I1110,'Price List, Weapons &amp; Items'!A:B,2,0)</f>
        <v>Heavy weapon</v>
      </c>
      <c r="K1110" s="276" t="str">
        <f>IF(I1110=".",I1110,VLOOKUP($I1110,'Price List, Weapons &amp; Items'!A:C,3,0))</f>
        <v>Armoured Utility Vehicle (AUV)</v>
      </c>
      <c r="L1110" s="514">
        <f>VLOOKUP(I1110,'Price List, Weapons &amp; Items'!A:D,4,0)</f>
        <v>0</v>
      </c>
      <c r="M1110" s="46">
        <v>150</v>
      </c>
      <c r="N1110" s="515" t="s">
        <v>232</v>
      </c>
      <c r="O1110" s="516">
        <f>VLOOKUP($I1110,'Price List, Weapons &amp; Items'!A:F,6,0)</f>
        <v>254717</v>
      </c>
      <c r="P1110" s="513">
        <f t="shared" si="246"/>
        <v>38207550</v>
      </c>
      <c r="Q1110" s="513" t="str">
        <f t="shared" si="247"/>
        <v>.</v>
      </c>
      <c r="R1110" s="513" t="str">
        <f t="shared" si="248"/>
        <v/>
      </c>
      <c r="S1110" s="513" t="str">
        <f>IF(AND(AD1110=1,R1110&lt;&gt;".")=TRUE,R1110/VLOOKUP(G1110,'Exchange rates'!B:C,2,0),IF(R1110=".",".",""))</f>
        <v/>
      </c>
      <c r="T1110" s="513" t="str">
        <f>IF(AD1110=1,IF(AF1110="Value is not given at all",".",IF(AF1110="Value is given by the source",S1110,IF(AF1110="Value is calculated with prices",(IF(SUMIFS(Q:Q,A:A,A1110)&gt;0,SUMIFS(Q:Q,A:A,A1110),"."))/VLOOKUP("USD",'Exchange rates'!B:C,2,0),"Error with coding"))),"")</f>
        <v/>
      </c>
      <c r="U1110" s="39" t="s">
        <v>233</v>
      </c>
      <c r="V1110" s="826" t="s">
        <v>2763</v>
      </c>
      <c r="W1110" s="42" t="s">
        <v>232</v>
      </c>
      <c r="X1110" s="42" t="s">
        <v>232</v>
      </c>
      <c r="Y1110" s="512" t="s">
        <v>232</v>
      </c>
      <c r="Z1110" s="39">
        <v>0</v>
      </c>
      <c r="AA1110" s="518">
        <v>0</v>
      </c>
      <c r="AB1110" s="41" t="s">
        <v>232</v>
      </c>
      <c r="AC1110" s="519" t="str">
        <f>""</f>
        <v/>
      </c>
      <c r="AD1110" s="522">
        <v>0</v>
      </c>
      <c r="AE1110" s="522" t="s">
        <v>2590</v>
      </c>
      <c r="AF1110" s="522" t="s">
        <v>237</v>
      </c>
      <c r="AG1110" s="522">
        <v>1</v>
      </c>
      <c r="AH1110" s="520">
        <v>9</v>
      </c>
      <c r="AI1110" s="520">
        <v>0</v>
      </c>
      <c r="AJ1110" s="520">
        <f>VLOOKUP($I1110,'Price List, Weapons &amp; Items'!A:E,5,0)</f>
        <v>1</v>
      </c>
      <c r="AK1110" s="520">
        <f t="shared" si="249"/>
        <v>0</v>
      </c>
      <c r="AL1110" s="520">
        <f t="shared" si="250"/>
        <v>0</v>
      </c>
      <c r="AM1110" s="520">
        <f t="shared" si="251"/>
        <v>0</v>
      </c>
      <c r="AN1110" s="521" t="str">
        <f>VLOOKUP($I1110,'Price List, Weapons &amp; Items'!A:K,COLUMN('Price List, Weapons &amp; Items'!$I$1),0)</f>
        <v>Military media (incl. websites)</v>
      </c>
      <c r="AO1110" s="521" t="str">
        <f>IF(I1110=".",".",VLOOKUP($I1110,'Price List, Weapons &amp; Items'!A:I,3,0))</f>
        <v>Armoured Utility Vehicle (AUV)</v>
      </c>
      <c r="AP1110" s="517" t="str">
        <f t="shared" ca="1" si="244"/>
        <v/>
      </c>
      <c r="AQ1110" s="521">
        <f>VLOOKUP($I1110,'Price List, Weapons &amp; Items'!A:K,COLUMN('Price List, Weapons &amp; Items'!$K$1),0)</f>
        <v>2</v>
      </c>
      <c r="AS1110" s="521">
        <f t="shared" si="252"/>
        <v>1</v>
      </c>
      <c r="AT1110" s="521">
        <f t="shared" si="253"/>
        <v>1</v>
      </c>
      <c r="AU1110" s="521">
        <f t="shared" si="254"/>
        <v>1</v>
      </c>
      <c r="AV1110" s="521" t="str">
        <f t="shared" si="255"/>
        <v>.</v>
      </c>
    </row>
    <row r="1111" spans="1:48" ht="15" customHeight="1">
      <c r="A1111" s="18" t="s">
        <v>2750</v>
      </c>
      <c r="B1111" s="46" t="s">
        <v>2548</v>
      </c>
      <c r="C1111" s="550">
        <v>44832</v>
      </c>
      <c r="D1111" s="46" t="s">
        <v>252</v>
      </c>
      <c r="E1111" s="46" t="s">
        <v>1157</v>
      </c>
      <c r="F1111" s="46" t="s">
        <v>2762</v>
      </c>
      <c r="G1111" s="39" t="s">
        <v>314</v>
      </c>
      <c r="H1111" s="563">
        <v>1100000000</v>
      </c>
      <c r="I1111" s="46" t="s">
        <v>2764</v>
      </c>
      <c r="J1111" s="276" t="str">
        <f>VLOOKUP($I1111,'Price List, Weapons &amp; Items'!A:B,2,0)</f>
        <v>Military equipment</v>
      </c>
      <c r="K1111" s="276" t="str">
        <f>IF(I1111=".",I1111,VLOOKUP($I1111,'Price List, Weapons &amp; Items'!A:C,3,0))</f>
        <v>.</v>
      </c>
      <c r="L1111" s="514">
        <f>VLOOKUP(I1111,'Price List, Weapons &amp; Items'!A:D,4,0)</f>
        <v>0</v>
      </c>
      <c r="M1111" s="46">
        <v>150</v>
      </c>
      <c r="N1111" s="515" t="s">
        <v>232</v>
      </c>
      <c r="O1111" s="516">
        <f>VLOOKUP($I1111,'Price List, Weapons &amp; Items'!A:F,6,0)</f>
        <v>350000</v>
      </c>
      <c r="P1111" s="513">
        <f t="shared" si="246"/>
        <v>52500000</v>
      </c>
      <c r="Q1111" s="513" t="str">
        <f t="shared" si="247"/>
        <v>.</v>
      </c>
      <c r="R1111" s="513" t="str">
        <f t="shared" si="248"/>
        <v/>
      </c>
      <c r="S1111" s="513" t="str">
        <f>IF(AND(AD1111=1,R1111&lt;&gt;".")=TRUE,R1111/VLOOKUP(G1111,'Exchange rates'!B:C,2,0),IF(R1111=".",".",""))</f>
        <v/>
      </c>
      <c r="T1111" s="513" t="str">
        <f>IF(AD1111=1,IF(AF1111="Value is not given at all",".",IF(AF1111="Value is given by the source",S1111,IF(AF1111="Value is calculated with prices",(IF(SUMIFS(Q:Q,A:A,A1111)&gt;0,SUMIFS(Q:Q,A:A,A1111),"."))/VLOOKUP("USD",'Exchange rates'!B:C,2,0),"Error with coding"))),"")</f>
        <v/>
      </c>
      <c r="U1111" s="39" t="s">
        <v>233</v>
      </c>
      <c r="V1111" s="826" t="s">
        <v>2763</v>
      </c>
      <c r="W1111" s="42" t="s">
        <v>232</v>
      </c>
      <c r="X1111" s="42" t="s">
        <v>232</v>
      </c>
      <c r="Y1111" s="512" t="s">
        <v>232</v>
      </c>
      <c r="Z1111" s="39">
        <v>0</v>
      </c>
      <c r="AA1111" s="518">
        <v>0</v>
      </c>
      <c r="AB1111" s="41" t="s">
        <v>232</v>
      </c>
      <c r="AC1111" s="519" t="str">
        <f>""</f>
        <v/>
      </c>
      <c r="AD1111" s="522">
        <v>0</v>
      </c>
      <c r="AE1111" s="522" t="s">
        <v>2590</v>
      </c>
      <c r="AF1111" s="522" t="s">
        <v>237</v>
      </c>
      <c r="AG1111" s="522">
        <v>1</v>
      </c>
      <c r="AH1111" s="520">
        <v>9</v>
      </c>
      <c r="AI1111" s="522">
        <v>0</v>
      </c>
      <c r="AJ1111" s="520">
        <f>VLOOKUP($I1111,'Price List, Weapons &amp; Items'!A:E,5,0)</f>
        <v>0</v>
      </c>
      <c r="AK1111" s="520">
        <f t="shared" si="249"/>
        <v>0</v>
      </c>
      <c r="AL1111" s="520">
        <f t="shared" si="250"/>
        <v>0</v>
      </c>
      <c r="AM1111" s="520">
        <f t="shared" si="251"/>
        <v>0</v>
      </c>
      <c r="AN1111" s="521" t="str">
        <f>VLOOKUP($I1111,'Price List, Weapons &amp; Items'!A:K,COLUMN('Price List, Weapons &amp; Items'!$I$1),0)</f>
        <v>Media reports (incl. social media)</v>
      </c>
      <c r="AO1111" s="521" t="str">
        <f>IF(I1111=".",".",VLOOKUP($I1111,'Price List, Weapons &amp; Items'!A:I,3,0))</f>
        <v>.</v>
      </c>
      <c r="AP1111" s="517" t="str">
        <f t="shared" ca="1" si="244"/>
        <v/>
      </c>
      <c r="AQ1111" s="521">
        <f>VLOOKUP($I1111,'Price List, Weapons &amp; Items'!A:K,COLUMN('Price List, Weapons &amp; Items'!$K$1),0)</f>
        <v>2</v>
      </c>
      <c r="AS1111" s="521">
        <f t="shared" si="252"/>
        <v>1</v>
      </c>
      <c r="AT1111" s="521">
        <f t="shared" si="253"/>
        <v>1</v>
      </c>
      <c r="AU1111" s="521">
        <f t="shared" si="254"/>
        <v>1</v>
      </c>
      <c r="AV1111" s="521" t="str">
        <f t="shared" si="255"/>
        <v>.</v>
      </c>
    </row>
    <row r="1112" spans="1:48" ht="15" customHeight="1">
      <c r="A1112" s="18" t="s">
        <v>2750</v>
      </c>
      <c r="B1112" s="46" t="s">
        <v>2548</v>
      </c>
      <c r="C1112" s="550">
        <v>44832</v>
      </c>
      <c r="D1112" s="46" t="s">
        <v>252</v>
      </c>
      <c r="E1112" s="46" t="s">
        <v>1157</v>
      </c>
      <c r="F1112" s="46" t="s">
        <v>2762</v>
      </c>
      <c r="G1112" s="39" t="s">
        <v>314</v>
      </c>
      <c r="H1112" s="563">
        <v>1100000000</v>
      </c>
      <c r="I1112" s="46" t="s">
        <v>1035</v>
      </c>
      <c r="J1112" s="276" t="str">
        <f>VLOOKUP($I1112,'Price List, Weapons &amp; Items'!A:B,2,0)</f>
        <v>Military equipment</v>
      </c>
      <c r="K1112" s="276" t="str">
        <f>IF(I1112=".",I1112,VLOOKUP($I1112,'Price List, Weapons &amp; Items'!A:C,3,0))</f>
        <v>.</v>
      </c>
      <c r="L1112" s="514">
        <f>VLOOKUP(I1112,'Price List, Weapons &amp; Items'!A:D,4,0)</f>
        <v>0</v>
      </c>
      <c r="M1112" s="46">
        <v>40</v>
      </c>
      <c r="N1112" s="515" t="s">
        <v>232</v>
      </c>
      <c r="O1112" s="516">
        <f>VLOOKUP($I1112,'Price List, Weapons &amp; Items'!A:F,6,0)</f>
        <v>350000</v>
      </c>
      <c r="P1112" s="513">
        <f t="shared" si="246"/>
        <v>14000000</v>
      </c>
      <c r="Q1112" s="513" t="str">
        <f t="shared" si="247"/>
        <v>.</v>
      </c>
      <c r="R1112" s="513" t="str">
        <f t="shared" si="248"/>
        <v/>
      </c>
      <c r="S1112" s="513" t="str">
        <f>IF(AND(AD1112=1,R1112&lt;&gt;".")=TRUE,R1112/VLOOKUP(G1112,'Exchange rates'!B:C,2,0),IF(R1112=".",".",""))</f>
        <v/>
      </c>
      <c r="T1112" s="513" t="str">
        <f>IF(AD1112=1,IF(AF1112="Value is not given at all",".",IF(AF1112="Value is given by the source",S1112,IF(AF1112="Value is calculated with prices",(IF(SUMIFS(Q:Q,A:A,A1112)&gt;0,SUMIFS(Q:Q,A:A,A1112),"."))/VLOOKUP("USD",'Exchange rates'!B:C,2,0),"Error with coding"))),"")</f>
        <v/>
      </c>
      <c r="U1112" s="39" t="s">
        <v>233</v>
      </c>
      <c r="V1112" s="826" t="s">
        <v>2763</v>
      </c>
      <c r="W1112" s="42" t="s">
        <v>232</v>
      </c>
      <c r="X1112" s="42" t="s">
        <v>232</v>
      </c>
      <c r="Y1112" s="512" t="s">
        <v>232</v>
      </c>
      <c r="Z1112" s="39">
        <v>0</v>
      </c>
      <c r="AA1112" s="518">
        <v>0</v>
      </c>
      <c r="AB1112" s="41" t="s">
        <v>232</v>
      </c>
      <c r="AC1112" s="519" t="str">
        <f>""</f>
        <v/>
      </c>
      <c r="AD1112" s="522">
        <v>0</v>
      </c>
      <c r="AE1112" s="522" t="s">
        <v>2590</v>
      </c>
      <c r="AF1112" s="522" t="s">
        <v>237</v>
      </c>
      <c r="AG1112" s="522">
        <v>1</v>
      </c>
      <c r="AH1112" s="520">
        <v>9</v>
      </c>
      <c r="AI1112" s="520">
        <v>0</v>
      </c>
      <c r="AJ1112" s="520">
        <f>VLOOKUP($I1112,'Price List, Weapons &amp; Items'!A:E,5,0)</f>
        <v>0</v>
      </c>
      <c r="AK1112" s="520">
        <f t="shared" si="249"/>
        <v>0</v>
      </c>
      <c r="AL1112" s="520">
        <f t="shared" si="250"/>
        <v>0</v>
      </c>
      <c r="AM1112" s="520">
        <f t="shared" si="251"/>
        <v>0</v>
      </c>
      <c r="AN1112" s="521" t="str">
        <f>VLOOKUP($I1112,'Price List, Weapons &amp; Items'!A:K,COLUMN('Price List, Weapons &amp; Items'!$I$1),0)</f>
        <v>Media reports (incl. social media)</v>
      </c>
      <c r="AO1112" s="521" t="str">
        <f>IF(I1112=".",".",VLOOKUP($I1112,'Price List, Weapons &amp; Items'!A:I,3,0))</f>
        <v>.</v>
      </c>
      <c r="AP1112" s="517" t="str">
        <f t="shared" ca="1" si="244"/>
        <v/>
      </c>
      <c r="AQ1112" s="521">
        <f>VLOOKUP($I1112,'Price List, Weapons &amp; Items'!A:K,COLUMN('Price List, Weapons &amp; Items'!$K$1),0)</f>
        <v>2</v>
      </c>
      <c r="AS1112" s="521">
        <f t="shared" si="252"/>
        <v>1</v>
      </c>
      <c r="AT1112" s="521">
        <f t="shared" si="253"/>
        <v>1</v>
      </c>
      <c r="AU1112" s="521">
        <f t="shared" si="254"/>
        <v>1</v>
      </c>
      <c r="AV1112" s="521" t="str">
        <f t="shared" si="255"/>
        <v>.</v>
      </c>
    </row>
    <row r="1113" spans="1:48" ht="15" customHeight="1">
      <c r="A1113" s="18" t="s">
        <v>2750</v>
      </c>
      <c r="B1113" s="46" t="s">
        <v>2548</v>
      </c>
      <c r="C1113" s="550">
        <v>44832</v>
      </c>
      <c r="D1113" s="46" t="s">
        <v>252</v>
      </c>
      <c r="E1113" s="46" t="s">
        <v>1157</v>
      </c>
      <c r="F1113" s="46" t="s">
        <v>2762</v>
      </c>
      <c r="G1113" s="39" t="s">
        <v>314</v>
      </c>
      <c r="H1113" s="563">
        <v>1100000000</v>
      </c>
      <c r="I1113" s="46" t="s">
        <v>1269</v>
      </c>
      <c r="J1113" s="276" t="str">
        <f>VLOOKUP($I1113,'Price List, Weapons &amp; Items'!A:B,2,0)</f>
        <v>Military equipment</v>
      </c>
      <c r="K1113" s="276" t="str">
        <f>IF(I1113=".",I1113,VLOOKUP($I1113,'Price List, Weapons &amp; Items'!A:C,3,0))</f>
        <v>.</v>
      </c>
      <c r="L1113" s="514">
        <f>VLOOKUP(I1113,'Price List, Weapons &amp; Items'!A:D,4,0)</f>
        <v>0</v>
      </c>
      <c r="M1113" s="46">
        <v>80</v>
      </c>
      <c r="N1113" s="515" t="s">
        <v>232</v>
      </c>
      <c r="O1113" s="516" t="str">
        <f>VLOOKUP($I1113,'Price List, Weapons &amp; Items'!A:F,6,0)</f>
        <v>.</v>
      </c>
      <c r="P1113" s="513" t="str">
        <f t="shared" si="246"/>
        <v>No price</v>
      </c>
      <c r="Q1113" s="513" t="str">
        <f t="shared" si="247"/>
        <v>.</v>
      </c>
      <c r="R1113" s="513" t="str">
        <f t="shared" si="248"/>
        <v/>
      </c>
      <c r="S1113" s="513" t="str">
        <f>IF(AND(AD1113=1,R1113&lt;&gt;".")=TRUE,R1113/VLOOKUP(G1113,'Exchange rates'!B:C,2,0),IF(R1113=".",".",""))</f>
        <v/>
      </c>
      <c r="T1113" s="513" t="str">
        <f>IF(AD1113=1,IF(AF1113="Value is not given at all",".",IF(AF1113="Value is given by the source",S1113,IF(AF1113="Value is calculated with prices",(IF(SUMIFS(Q:Q,A:A,A1113)&gt;0,SUMIFS(Q:Q,A:A,A1113),"."))/VLOOKUP("USD",'Exchange rates'!B:C,2,0),"Error with coding"))),"")</f>
        <v/>
      </c>
      <c r="U1113" s="39" t="s">
        <v>233</v>
      </c>
      <c r="V1113" s="826" t="s">
        <v>2763</v>
      </c>
      <c r="W1113" s="42" t="s">
        <v>232</v>
      </c>
      <c r="X1113" s="42" t="s">
        <v>232</v>
      </c>
      <c r="Y1113" s="512" t="s">
        <v>232</v>
      </c>
      <c r="Z1113" s="39">
        <v>0</v>
      </c>
      <c r="AA1113" s="518">
        <v>0</v>
      </c>
      <c r="AB1113" s="41" t="s">
        <v>232</v>
      </c>
      <c r="AC1113" s="519" t="str">
        <f>""</f>
        <v/>
      </c>
      <c r="AD1113" s="522">
        <v>0</v>
      </c>
      <c r="AE1113" s="522" t="s">
        <v>2590</v>
      </c>
      <c r="AF1113" s="522" t="s">
        <v>237</v>
      </c>
      <c r="AG1113" s="522">
        <v>1</v>
      </c>
      <c r="AH1113" s="520">
        <v>9</v>
      </c>
      <c r="AI1113" s="522">
        <v>0</v>
      </c>
      <c r="AJ1113" s="520">
        <f>VLOOKUP($I1113,'Price List, Weapons &amp; Items'!A:E,5,0)</f>
        <v>0</v>
      </c>
      <c r="AK1113" s="520">
        <f t="shared" si="249"/>
        <v>0</v>
      </c>
      <c r="AL1113" s="520">
        <f t="shared" si="250"/>
        <v>0</v>
      </c>
      <c r="AM1113" s="520">
        <f t="shared" si="251"/>
        <v>0</v>
      </c>
      <c r="AN1113" s="521" t="str">
        <f>VLOOKUP($I1113,'Price List, Weapons &amp; Items'!A:K,COLUMN('Price List, Weapons &amp; Items'!$I$1),0)</f>
        <v>.</v>
      </c>
      <c r="AO1113" s="521" t="str">
        <f>IF(I1113=".",".",VLOOKUP($I1113,'Price List, Weapons &amp; Items'!A:I,3,0))</f>
        <v>.</v>
      </c>
      <c r="AP1113" s="517" t="str">
        <f t="shared" ca="1" si="244"/>
        <v/>
      </c>
      <c r="AQ1113" s="521">
        <f>VLOOKUP($I1113,'Price List, Weapons &amp; Items'!A:K,COLUMN('Price List, Weapons &amp; Items'!$K$1),0)</f>
        <v>0</v>
      </c>
      <c r="AS1113" s="521">
        <f t="shared" si="252"/>
        <v>1</v>
      </c>
      <c r="AT1113" s="521">
        <f t="shared" si="253"/>
        <v>1</v>
      </c>
      <c r="AU1113" s="521">
        <f t="shared" si="254"/>
        <v>1</v>
      </c>
      <c r="AV1113" s="521" t="str">
        <f t="shared" si="255"/>
        <v>.</v>
      </c>
    </row>
    <row r="1114" spans="1:48" ht="15" customHeight="1">
      <c r="A1114" s="18" t="s">
        <v>2750</v>
      </c>
      <c r="B1114" s="46" t="s">
        <v>2548</v>
      </c>
      <c r="C1114" s="550">
        <v>44832</v>
      </c>
      <c r="D1114" s="46" t="s">
        <v>252</v>
      </c>
      <c r="E1114" s="46" t="s">
        <v>1157</v>
      </c>
      <c r="F1114" s="46" t="s">
        <v>2762</v>
      </c>
      <c r="G1114" s="39" t="s">
        <v>314</v>
      </c>
      <c r="H1114" s="563">
        <v>1100000000</v>
      </c>
      <c r="I1114" s="46" t="s">
        <v>2765</v>
      </c>
      <c r="J1114" s="276" t="str">
        <f>VLOOKUP($I1114,'Price List, Weapons &amp; Items'!A:B,2,0)</f>
        <v>Military equipment</v>
      </c>
      <c r="K1114" s="276" t="str">
        <f>IF(I1114=".",I1114,VLOOKUP($I1114,'Price List, Weapons &amp; Items'!A:C,3,0))</f>
        <v>.</v>
      </c>
      <c r="L1114" s="514">
        <f>VLOOKUP(I1114,'Price List, Weapons &amp; Items'!A:D,4,0)</f>
        <v>0</v>
      </c>
      <c r="M1114" s="46">
        <v>2</v>
      </c>
      <c r="N1114" s="515" t="s">
        <v>232</v>
      </c>
      <c r="O1114" s="516" t="str">
        <f>VLOOKUP($I1114,'Price List, Weapons &amp; Items'!A:F,6,0)</f>
        <v>.</v>
      </c>
      <c r="P1114" s="513" t="str">
        <f t="shared" si="246"/>
        <v>No price</v>
      </c>
      <c r="Q1114" s="513" t="str">
        <f t="shared" si="247"/>
        <v>.</v>
      </c>
      <c r="R1114" s="513" t="str">
        <f t="shared" si="248"/>
        <v/>
      </c>
      <c r="S1114" s="513" t="str">
        <f>IF(AND(AD1114=1,R1114&lt;&gt;".")=TRUE,R1114/VLOOKUP(G1114,'Exchange rates'!B:C,2,0),IF(R1114=".",".",""))</f>
        <v/>
      </c>
      <c r="T1114" s="513" t="str">
        <f>IF(AD1114=1,IF(AF1114="Value is not given at all",".",IF(AF1114="Value is given by the source",S1114,IF(AF1114="Value is calculated with prices",(IF(SUMIFS(Q:Q,A:A,A1114)&gt;0,SUMIFS(Q:Q,A:A,A1114),"."))/VLOOKUP("USD",'Exchange rates'!B:C,2,0),"Error with coding"))),"")</f>
        <v/>
      </c>
      <c r="U1114" s="39" t="s">
        <v>233</v>
      </c>
      <c r="V1114" s="826" t="s">
        <v>2763</v>
      </c>
      <c r="W1114" s="42" t="s">
        <v>232</v>
      </c>
      <c r="X1114" s="42" t="s">
        <v>232</v>
      </c>
      <c r="Y1114" s="512" t="s">
        <v>232</v>
      </c>
      <c r="Z1114" s="39">
        <v>0</v>
      </c>
      <c r="AA1114" s="518">
        <v>0</v>
      </c>
      <c r="AB1114" s="41" t="s">
        <v>232</v>
      </c>
      <c r="AC1114" s="519" t="str">
        <f>""</f>
        <v/>
      </c>
      <c r="AD1114" s="522">
        <v>0</v>
      </c>
      <c r="AE1114" s="522" t="s">
        <v>2590</v>
      </c>
      <c r="AF1114" s="522" t="s">
        <v>237</v>
      </c>
      <c r="AG1114" s="522">
        <v>1</v>
      </c>
      <c r="AH1114" s="520">
        <v>9</v>
      </c>
      <c r="AI1114" s="520">
        <v>0</v>
      </c>
      <c r="AJ1114" s="520">
        <f>VLOOKUP($I1114,'Price List, Weapons &amp; Items'!A:E,5,0)</f>
        <v>0</v>
      </c>
      <c r="AK1114" s="520">
        <f t="shared" si="249"/>
        <v>0</v>
      </c>
      <c r="AL1114" s="520">
        <f t="shared" si="250"/>
        <v>0</v>
      </c>
      <c r="AM1114" s="520">
        <f t="shared" si="251"/>
        <v>0</v>
      </c>
      <c r="AN1114" s="521" t="str">
        <f>VLOOKUP($I1114,'Price List, Weapons &amp; Items'!A:K,COLUMN('Price List, Weapons &amp; Items'!$I$1),0)</f>
        <v>.</v>
      </c>
      <c r="AO1114" s="521" t="str">
        <f>IF(I1114=".",".",VLOOKUP($I1114,'Price List, Weapons &amp; Items'!A:I,3,0))</f>
        <v>.</v>
      </c>
      <c r="AP1114" s="517" t="str">
        <f t="shared" ca="1" si="244"/>
        <v/>
      </c>
      <c r="AQ1114" s="521">
        <f>VLOOKUP($I1114,'Price List, Weapons &amp; Items'!A:K,COLUMN('Price List, Weapons &amp; Items'!$K$1),0)</f>
        <v>0</v>
      </c>
      <c r="AS1114" s="521">
        <f t="shared" si="252"/>
        <v>1</v>
      </c>
      <c r="AT1114" s="521">
        <f t="shared" si="253"/>
        <v>1</v>
      </c>
      <c r="AU1114" s="521">
        <f t="shared" si="254"/>
        <v>1</v>
      </c>
      <c r="AV1114" s="521" t="str">
        <f t="shared" si="255"/>
        <v>.</v>
      </c>
    </row>
    <row r="1115" spans="1:48" ht="15" customHeight="1">
      <c r="A1115" s="18" t="s">
        <v>2750</v>
      </c>
      <c r="B1115" s="46" t="s">
        <v>2548</v>
      </c>
      <c r="C1115" s="550">
        <v>44832</v>
      </c>
      <c r="D1115" s="46" t="s">
        <v>252</v>
      </c>
      <c r="E1115" s="46" t="s">
        <v>1157</v>
      </c>
      <c r="F1115" s="46" t="s">
        <v>2762</v>
      </c>
      <c r="G1115" s="39" t="s">
        <v>314</v>
      </c>
      <c r="H1115" s="563">
        <v>1100000000</v>
      </c>
      <c r="I1115" s="46" t="s">
        <v>2766</v>
      </c>
      <c r="J1115" s="276" t="str">
        <f>VLOOKUP($I1115,'Price List, Weapons &amp; Items'!A:B,2,0)</f>
        <v>Military equipment</v>
      </c>
      <c r="K1115" s="276" t="str">
        <f>IF(I1115=".",I1115,VLOOKUP($I1115,'Price List, Weapons &amp; Items'!A:C,3,0))</f>
        <v>.</v>
      </c>
      <c r="L1115" s="514">
        <f>VLOOKUP(I1115,'Price List, Weapons &amp; Items'!A:D,4,0)</f>
        <v>0</v>
      </c>
      <c r="M1115" s="46">
        <v>20</v>
      </c>
      <c r="N1115" s="515" t="s">
        <v>232</v>
      </c>
      <c r="O1115" s="516">
        <f>VLOOKUP($I1115,'Price List, Weapons &amp; Items'!A:F,6,0)</f>
        <v>15625000</v>
      </c>
      <c r="P1115" s="513">
        <f t="shared" si="246"/>
        <v>312500000</v>
      </c>
      <c r="Q1115" s="513" t="str">
        <f t="shared" si="247"/>
        <v>.</v>
      </c>
      <c r="R1115" s="513" t="str">
        <f t="shared" si="248"/>
        <v/>
      </c>
      <c r="S1115" s="513" t="str">
        <f>IF(AND(AD1115=1,R1115&lt;&gt;".")=TRUE,R1115/VLOOKUP(G1115,'Exchange rates'!B:C,2,0),IF(R1115=".",".",""))</f>
        <v/>
      </c>
      <c r="T1115" s="513" t="str">
        <f>IF(AD1115=1,IF(AF1115="Value is not given at all",".",IF(AF1115="Value is given by the source",S1115,IF(AF1115="Value is calculated with prices",(IF(SUMIFS(Q:Q,A:A,A1115)&gt;0,SUMIFS(Q:Q,A:A,A1115),"."))/VLOOKUP("USD",'Exchange rates'!B:C,2,0),"Error with coding"))),"")</f>
        <v/>
      </c>
      <c r="U1115" s="39" t="s">
        <v>233</v>
      </c>
      <c r="V1115" s="826" t="s">
        <v>2763</v>
      </c>
      <c r="W1115" s="42" t="s">
        <v>232</v>
      </c>
      <c r="X1115" s="42" t="s">
        <v>232</v>
      </c>
      <c r="Y1115" s="512" t="s">
        <v>232</v>
      </c>
      <c r="Z1115" s="39">
        <v>0</v>
      </c>
      <c r="AA1115" s="518">
        <v>0</v>
      </c>
      <c r="AB1115" s="41" t="s">
        <v>232</v>
      </c>
      <c r="AC1115" s="519" t="str">
        <f>""</f>
        <v/>
      </c>
      <c r="AD1115" s="522">
        <v>0</v>
      </c>
      <c r="AE1115" s="522" t="s">
        <v>2590</v>
      </c>
      <c r="AF1115" s="522" t="s">
        <v>237</v>
      </c>
      <c r="AG1115" s="522">
        <v>1</v>
      </c>
      <c r="AH1115" s="520">
        <v>9</v>
      </c>
      <c r="AI1115" s="522">
        <v>0</v>
      </c>
      <c r="AJ1115" s="520">
        <f>VLOOKUP($I1115,'Price List, Weapons &amp; Items'!A:E,5,0)</f>
        <v>0</v>
      </c>
      <c r="AK1115" s="520">
        <f t="shared" si="249"/>
        <v>0</v>
      </c>
      <c r="AL1115" s="520">
        <f t="shared" si="250"/>
        <v>0</v>
      </c>
      <c r="AM1115" s="520">
        <f t="shared" si="251"/>
        <v>0</v>
      </c>
      <c r="AN1115" s="521" t="str">
        <f>VLOOKUP($I1115,'Price List, Weapons &amp; Items'!A:K,COLUMN('Price List, Weapons &amp; Items'!$I$1),0)</f>
        <v>Contract</v>
      </c>
      <c r="AO1115" s="521" t="str">
        <f>IF(I1115=".",".",VLOOKUP($I1115,'Price List, Weapons &amp; Items'!A:I,3,0))</f>
        <v>.</v>
      </c>
      <c r="AP1115" s="517" t="str">
        <f t="shared" ca="1" si="244"/>
        <v/>
      </c>
      <c r="AQ1115" s="521">
        <f>VLOOKUP($I1115,'Price List, Weapons &amp; Items'!A:K,COLUMN('Price List, Weapons &amp; Items'!$K$1),0)</f>
        <v>2</v>
      </c>
      <c r="AS1115" s="521">
        <f t="shared" si="252"/>
        <v>1</v>
      </c>
      <c r="AT1115" s="521">
        <f t="shared" si="253"/>
        <v>1</v>
      </c>
      <c r="AU1115" s="521">
        <f t="shared" si="254"/>
        <v>1</v>
      </c>
      <c r="AV1115" s="521" t="str">
        <f t="shared" si="255"/>
        <v>.</v>
      </c>
    </row>
    <row r="1116" spans="1:48" ht="15" customHeight="1">
      <c r="A1116" s="18" t="s">
        <v>2750</v>
      </c>
      <c r="B1116" s="46" t="s">
        <v>2548</v>
      </c>
      <c r="C1116" s="550">
        <v>44832</v>
      </c>
      <c r="D1116" s="46" t="s">
        <v>252</v>
      </c>
      <c r="E1116" s="46" t="s">
        <v>1157</v>
      </c>
      <c r="F1116" s="46" t="s">
        <v>2762</v>
      </c>
      <c r="G1116" s="39" t="s">
        <v>314</v>
      </c>
      <c r="H1116" s="563">
        <v>1100000000</v>
      </c>
      <c r="I1116" s="46" t="s">
        <v>2712</v>
      </c>
      <c r="J1116" s="276" t="str">
        <f>VLOOKUP($I1116,'Price List, Weapons &amp; Items'!A:B,2,0)</f>
        <v>Aviation and drones</v>
      </c>
      <c r="K1116" s="276" t="str">
        <f>IF(I1116=".",I1116,VLOOKUP($I1116,'Price List, Weapons &amp; Items'!A:C,3,0))</f>
        <v>Unknown drone</v>
      </c>
      <c r="L1116" s="514">
        <f>VLOOKUP(I1116,'Price List, Weapons &amp; Items'!A:D,4,0)</f>
        <v>0</v>
      </c>
      <c r="M1116" s="46" t="s">
        <v>264</v>
      </c>
      <c r="N1116" s="515" t="s">
        <v>232</v>
      </c>
      <c r="O1116" s="516">
        <f>VLOOKUP($I1116,'Price List, Weapons &amp; Items'!A:F,6,0)</f>
        <v>15000000</v>
      </c>
      <c r="P1116" s="513" t="str">
        <f t="shared" si="246"/>
        <v>.</v>
      </c>
      <c r="Q1116" s="513" t="str">
        <f t="shared" si="247"/>
        <v>.</v>
      </c>
      <c r="R1116" s="513" t="str">
        <f t="shared" si="248"/>
        <v/>
      </c>
      <c r="S1116" s="513" t="str">
        <f>IF(AND(AD1116=1,R1116&lt;&gt;".")=TRUE,R1116/VLOOKUP(G1116,'Exchange rates'!B:C,2,0),IF(R1116=".",".",""))</f>
        <v/>
      </c>
      <c r="T1116" s="513" t="str">
        <f>IF(AD1116=1,IF(AF1116="Value is not given at all",".",IF(AF1116="Value is given by the source",S1116,IF(AF1116="Value is calculated with prices",(IF(SUMIFS(Q:Q,A:A,A1116)&gt;0,SUMIFS(Q:Q,A:A,A1116),"."))/VLOOKUP("USD",'Exchange rates'!B:C,2,0),"Error with coding"))),"")</f>
        <v/>
      </c>
      <c r="U1116" s="39" t="s">
        <v>233</v>
      </c>
      <c r="V1116" s="826" t="s">
        <v>2763</v>
      </c>
      <c r="W1116" s="42" t="s">
        <v>232</v>
      </c>
      <c r="X1116" s="42" t="s">
        <v>232</v>
      </c>
      <c r="Y1116" s="512" t="s">
        <v>232</v>
      </c>
      <c r="Z1116" s="39">
        <v>0</v>
      </c>
      <c r="AA1116" s="518">
        <v>0</v>
      </c>
      <c r="AB1116" s="41" t="s">
        <v>232</v>
      </c>
      <c r="AC1116" s="519" t="str">
        <f>""</f>
        <v/>
      </c>
      <c r="AD1116" s="522">
        <v>0</v>
      </c>
      <c r="AE1116" s="522" t="s">
        <v>2590</v>
      </c>
      <c r="AF1116" s="522" t="s">
        <v>237</v>
      </c>
      <c r="AG1116" s="522">
        <v>1</v>
      </c>
      <c r="AH1116" s="520">
        <v>9</v>
      </c>
      <c r="AI1116" s="520">
        <v>0</v>
      </c>
      <c r="AJ1116" s="520">
        <f>VLOOKUP($I1116,'Price List, Weapons &amp; Items'!A:E,5,0)</f>
        <v>0</v>
      </c>
      <c r="AK1116" s="520">
        <f t="shared" si="249"/>
        <v>0</v>
      </c>
      <c r="AL1116" s="520">
        <f t="shared" si="250"/>
        <v>0</v>
      </c>
      <c r="AM1116" s="520">
        <f t="shared" si="251"/>
        <v>0</v>
      </c>
      <c r="AN1116" s="521" t="str">
        <f>VLOOKUP($I1116,'Price List, Weapons &amp; Items'!A:K,COLUMN('Price List, Weapons &amp; Items'!$I$1),0)</f>
        <v>Miscellaneous</v>
      </c>
      <c r="AO1116" s="521" t="str">
        <f>IF(I1116=".",".",VLOOKUP($I1116,'Price List, Weapons &amp; Items'!A:I,3,0))</f>
        <v>Unknown drone</v>
      </c>
      <c r="AP1116" s="517" t="str">
        <f t="shared" ca="1" si="244"/>
        <v/>
      </c>
      <c r="AQ1116" s="521" t="str">
        <f>VLOOKUP($I1116,'Price List, Weapons &amp; Items'!A:K,COLUMN('Price List, Weapons &amp; Items'!$K$1),0)</f>
        <v>no price, 0 count</v>
      </c>
      <c r="AS1116" s="521">
        <f t="shared" si="252"/>
        <v>1</v>
      </c>
      <c r="AT1116" s="521">
        <f t="shared" si="253"/>
        <v>1</v>
      </c>
      <c r="AU1116" s="521">
        <f t="shared" si="254"/>
        <v>1</v>
      </c>
      <c r="AV1116" s="521" t="str">
        <f t="shared" si="255"/>
        <v>.</v>
      </c>
    </row>
    <row r="1117" spans="1:48" ht="15" customHeight="1">
      <c r="A1117" s="18" t="s">
        <v>2750</v>
      </c>
      <c r="B1117" s="46" t="s">
        <v>2548</v>
      </c>
      <c r="C1117" s="550">
        <v>44832</v>
      </c>
      <c r="D1117" s="46" t="s">
        <v>252</v>
      </c>
      <c r="E1117" s="46" t="s">
        <v>1157</v>
      </c>
      <c r="F1117" s="46" t="s">
        <v>2762</v>
      </c>
      <c r="G1117" s="39" t="s">
        <v>314</v>
      </c>
      <c r="H1117" s="563">
        <v>1100000000</v>
      </c>
      <c r="I1117" s="46" t="s">
        <v>2767</v>
      </c>
      <c r="J1117" s="276" t="str">
        <f>VLOOKUP($I1117,'Price List, Weapons &amp; Items'!A:B,2,0)</f>
        <v>Military equipment</v>
      </c>
      <c r="K1117" s="276" t="str">
        <f>IF(I1117=".",I1117,VLOOKUP($I1117,'Price List, Weapons &amp; Items'!A:C,3,0))</f>
        <v>.</v>
      </c>
      <c r="L1117" s="514">
        <f>VLOOKUP(I1117,'Price List, Weapons &amp; Items'!A:D,4,0)</f>
        <v>0</v>
      </c>
      <c r="M1117" s="46" t="s">
        <v>264</v>
      </c>
      <c r="N1117" s="515" t="s">
        <v>232</v>
      </c>
      <c r="O1117" s="516" t="str">
        <f>VLOOKUP($I1117,'Price List, Weapons &amp; Items'!A:F,6,0)</f>
        <v>.</v>
      </c>
      <c r="P1117" s="513" t="str">
        <f t="shared" si="246"/>
        <v>.</v>
      </c>
      <c r="Q1117" s="513" t="str">
        <f t="shared" si="247"/>
        <v>.</v>
      </c>
      <c r="R1117" s="513" t="str">
        <f t="shared" si="248"/>
        <v/>
      </c>
      <c r="S1117" s="513" t="str">
        <f>IF(AND(AD1117=1,R1117&lt;&gt;".")=TRUE,R1117/VLOOKUP(G1117,'Exchange rates'!B:C,2,0),IF(R1117=".",".",""))</f>
        <v/>
      </c>
      <c r="T1117" s="513" t="str">
        <f>IF(AD1117=1,IF(AF1117="Value is not given at all",".",IF(AF1117="Value is given by the source",S1117,IF(AF1117="Value is calculated with prices",(IF(SUMIFS(Q:Q,A:A,A1117)&gt;0,SUMIFS(Q:Q,A:A,A1117),"."))/VLOOKUP("USD",'Exchange rates'!B:C,2,0),"Error with coding"))),"")</f>
        <v/>
      </c>
      <c r="U1117" s="39" t="s">
        <v>233</v>
      </c>
      <c r="V1117" s="826" t="s">
        <v>2763</v>
      </c>
      <c r="W1117" s="42" t="s">
        <v>232</v>
      </c>
      <c r="X1117" s="42" t="s">
        <v>232</v>
      </c>
      <c r="Y1117" s="512" t="s">
        <v>232</v>
      </c>
      <c r="Z1117" s="39">
        <v>0</v>
      </c>
      <c r="AA1117" s="518">
        <v>0</v>
      </c>
      <c r="AB1117" s="41" t="s">
        <v>232</v>
      </c>
      <c r="AC1117" s="519" t="str">
        <f>""</f>
        <v/>
      </c>
      <c r="AD1117" s="522">
        <v>0</v>
      </c>
      <c r="AE1117" s="522" t="s">
        <v>2590</v>
      </c>
      <c r="AF1117" s="522" t="s">
        <v>237</v>
      </c>
      <c r="AG1117" s="522">
        <v>1</v>
      </c>
      <c r="AH1117" s="520">
        <v>9</v>
      </c>
      <c r="AI1117" s="522">
        <v>0</v>
      </c>
      <c r="AJ1117" s="520">
        <f>VLOOKUP($I1117,'Price List, Weapons &amp; Items'!A:E,5,0)</f>
        <v>0</v>
      </c>
      <c r="AK1117" s="520">
        <f t="shared" si="249"/>
        <v>0</v>
      </c>
      <c r="AL1117" s="520">
        <f t="shared" si="250"/>
        <v>0</v>
      </c>
      <c r="AM1117" s="520">
        <f t="shared" si="251"/>
        <v>0</v>
      </c>
      <c r="AN1117" s="521" t="str">
        <f>VLOOKUP($I1117,'Price List, Weapons &amp; Items'!A:K,COLUMN('Price List, Weapons &amp; Items'!$I$1),0)</f>
        <v>.</v>
      </c>
      <c r="AO1117" s="521" t="str">
        <f>IF(I1117=".",".",VLOOKUP($I1117,'Price List, Weapons &amp; Items'!A:I,3,0))</f>
        <v>.</v>
      </c>
      <c r="AP1117" s="517" t="str">
        <f t="shared" ca="1" si="244"/>
        <v/>
      </c>
      <c r="AQ1117" s="521" t="str">
        <f>VLOOKUP($I1117,'Price List, Weapons &amp; Items'!A:K,COLUMN('Price List, Weapons &amp; Items'!$K$1),0)</f>
        <v>no price, 0 count</v>
      </c>
      <c r="AS1117" s="521">
        <f t="shared" si="252"/>
        <v>1</v>
      </c>
      <c r="AT1117" s="521">
        <f t="shared" si="253"/>
        <v>1</v>
      </c>
      <c r="AU1117" s="521">
        <f t="shared" si="254"/>
        <v>1</v>
      </c>
      <c r="AV1117" s="521" t="str">
        <f t="shared" si="255"/>
        <v>.</v>
      </c>
    </row>
    <row r="1118" spans="1:48" ht="15" customHeight="1">
      <c r="A1118" s="18" t="s">
        <v>2750</v>
      </c>
      <c r="B1118" s="46" t="s">
        <v>2548</v>
      </c>
      <c r="C1118" s="550">
        <v>44832</v>
      </c>
      <c r="D1118" s="46" t="s">
        <v>252</v>
      </c>
      <c r="E1118" s="46" t="s">
        <v>1157</v>
      </c>
      <c r="F1118" s="46" t="s">
        <v>2762</v>
      </c>
      <c r="G1118" s="39" t="s">
        <v>314</v>
      </c>
      <c r="H1118" s="563">
        <v>1100000000</v>
      </c>
      <c r="I1118" s="46" t="s">
        <v>2768</v>
      </c>
      <c r="J1118" s="276" t="str">
        <f>VLOOKUP($I1118,'Price List, Weapons &amp; Items'!A:B,2,0)</f>
        <v>Military equipment</v>
      </c>
      <c r="K1118" s="276" t="str">
        <f>IF(I1118=".",I1118,VLOOKUP($I1118,'Price List, Weapons &amp; Items'!A:C,3,0))</f>
        <v>.</v>
      </c>
      <c r="L1118" s="514">
        <f>VLOOKUP(I1118,'Price List, Weapons &amp; Items'!A:D,4,0)</f>
        <v>0</v>
      </c>
      <c r="M1118" s="46" t="s">
        <v>232</v>
      </c>
      <c r="N1118" s="515" t="s">
        <v>232</v>
      </c>
      <c r="O1118" s="516" t="str">
        <f>VLOOKUP($I1118,'Price List, Weapons &amp; Items'!A:F,6,0)</f>
        <v>.</v>
      </c>
      <c r="P1118" s="513" t="str">
        <f t="shared" si="246"/>
        <v>.</v>
      </c>
      <c r="Q1118" s="513" t="str">
        <f t="shared" si="247"/>
        <v>.</v>
      </c>
      <c r="R1118" s="513" t="str">
        <f t="shared" si="248"/>
        <v/>
      </c>
      <c r="S1118" s="513" t="str">
        <f>IF(AND(AD1118=1,R1118&lt;&gt;".")=TRUE,R1118/VLOOKUP(G1118,'Exchange rates'!B:C,2,0),IF(R1118=".",".",""))</f>
        <v/>
      </c>
      <c r="T1118" s="513" t="str">
        <f>IF(AD1118=1,IF(AF1118="Value is not given at all",".",IF(AF1118="Value is given by the source",S1118,IF(AF1118="Value is calculated with prices",(IF(SUMIFS(Q:Q,A:A,A1118)&gt;0,SUMIFS(Q:Q,A:A,A1118),"."))/VLOOKUP("USD",'Exchange rates'!B:C,2,0),"Error with coding"))),"")</f>
        <v/>
      </c>
      <c r="U1118" s="39" t="s">
        <v>233</v>
      </c>
      <c r="V1118" s="826" t="s">
        <v>2763</v>
      </c>
      <c r="W1118" s="42" t="s">
        <v>232</v>
      </c>
      <c r="X1118" s="42" t="s">
        <v>232</v>
      </c>
      <c r="Y1118" s="512" t="s">
        <v>232</v>
      </c>
      <c r="Z1118" s="39">
        <v>0</v>
      </c>
      <c r="AA1118" s="518">
        <v>0</v>
      </c>
      <c r="AB1118" s="41" t="s">
        <v>232</v>
      </c>
      <c r="AC1118" s="519" t="str">
        <f>""</f>
        <v/>
      </c>
      <c r="AD1118" s="522">
        <v>0</v>
      </c>
      <c r="AE1118" s="522" t="s">
        <v>2590</v>
      </c>
      <c r="AF1118" s="522" t="s">
        <v>237</v>
      </c>
      <c r="AG1118" s="522">
        <v>1</v>
      </c>
      <c r="AH1118" s="520">
        <v>9</v>
      </c>
      <c r="AI1118" s="520">
        <v>0</v>
      </c>
      <c r="AJ1118" s="520">
        <f>VLOOKUP($I1118,'Price List, Weapons &amp; Items'!A:E,5,0)</f>
        <v>0</v>
      </c>
      <c r="AK1118" s="520">
        <f t="shared" si="249"/>
        <v>0</v>
      </c>
      <c r="AL1118" s="520">
        <f t="shared" si="250"/>
        <v>0</v>
      </c>
      <c r="AM1118" s="520">
        <f t="shared" si="251"/>
        <v>0</v>
      </c>
      <c r="AN1118" s="521" t="str">
        <f>VLOOKUP($I1118,'Price List, Weapons &amp; Items'!A:K,COLUMN('Price List, Weapons &amp; Items'!$I$1),0)</f>
        <v>.</v>
      </c>
      <c r="AO1118" s="521" t="str">
        <f>IF(I1118=".",".",VLOOKUP($I1118,'Price List, Weapons &amp; Items'!A:I,3,0))</f>
        <v>.</v>
      </c>
      <c r="AP1118" s="517" t="str">
        <f t="shared" ca="1" si="244"/>
        <v/>
      </c>
      <c r="AQ1118" s="521" t="str">
        <f>VLOOKUP($I1118,'Price List, Weapons &amp; Items'!A:K,COLUMN('Price List, Weapons &amp; Items'!$K$1),0)</f>
        <v>no price, 0 count</v>
      </c>
      <c r="AS1118" s="521">
        <f t="shared" si="252"/>
        <v>1</v>
      </c>
      <c r="AT1118" s="521">
        <f t="shared" si="253"/>
        <v>1</v>
      </c>
      <c r="AU1118" s="521">
        <f t="shared" si="254"/>
        <v>1</v>
      </c>
      <c r="AV1118" s="521" t="str">
        <f t="shared" si="255"/>
        <v>.</v>
      </c>
    </row>
    <row r="1119" spans="1:48" ht="15" customHeight="1">
      <c r="A1119" s="18" t="s">
        <v>2750</v>
      </c>
      <c r="B1119" s="46" t="s">
        <v>2548</v>
      </c>
      <c r="C1119" s="550">
        <v>44832</v>
      </c>
      <c r="D1119" s="46" t="s">
        <v>252</v>
      </c>
      <c r="E1119" s="46" t="s">
        <v>1157</v>
      </c>
      <c r="F1119" s="46" t="s">
        <v>2762</v>
      </c>
      <c r="G1119" s="39" t="s">
        <v>314</v>
      </c>
      <c r="H1119" s="563">
        <v>1100000000</v>
      </c>
      <c r="I1119" s="46" t="s">
        <v>2769</v>
      </c>
      <c r="J1119" s="276" t="str">
        <f>VLOOKUP($I1119,'Price List, Weapons &amp; Items'!A:B,2,0)</f>
        <v>Military equipment</v>
      </c>
      <c r="K1119" s="276" t="str">
        <f>IF(I1119=".",I1119,VLOOKUP($I1119,'Price List, Weapons &amp; Items'!A:C,3,0))</f>
        <v>.</v>
      </c>
      <c r="L1119" s="514">
        <f>VLOOKUP(I1119,'Price List, Weapons &amp; Items'!A:D,4,0)</f>
        <v>0</v>
      </c>
      <c r="M1119" s="46" t="s">
        <v>264</v>
      </c>
      <c r="N1119" s="515" t="s">
        <v>232</v>
      </c>
      <c r="O1119" s="516" t="str">
        <f>VLOOKUP($I1119,'Price List, Weapons &amp; Items'!A:F,6,0)</f>
        <v>.</v>
      </c>
      <c r="P1119" s="513" t="str">
        <f t="shared" si="246"/>
        <v>.</v>
      </c>
      <c r="Q1119" s="513" t="str">
        <f t="shared" si="247"/>
        <v>.</v>
      </c>
      <c r="R1119" s="513" t="str">
        <f t="shared" si="248"/>
        <v/>
      </c>
      <c r="S1119" s="513" t="str">
        <f>IF(AND(AD1119=1,R1119&lt;&gt;".")=TRUE,R1119/VLOOKUP(G1119,'Exchange rates'!B:C,2,0),IF(R1119=".",".",""))</f>
        <v/>
      </c>
      <c r="T1119" s="513" t="str">
        <f>IF(AD1119=1,IF(AF1119="Value is not given at all",".",IF(AF1119="Value is given by the source",S1119,IF(AF1119="Value is calculated with prices",(IF(SUMIFS(Q:Q,A:A,A1119)&gt;0,SUMIFS(Q:Q,A:A,A1119),"."))/VLOOKUP("USD",'Exchange rates'!B:C,2,0),"Error with coding"))),"")</f>
        <v/>
      </c>
      <c r="U1119" s="39" t="s">
        <v>233</v>
      </c>
      <c r="V1119" s="826" t="s">
        <v>2763</v>
      </c>
      <c r="W1119" s="42" t="s">
        <v>232</v>
      </c>
      <c r="X1119" s="42" t="s">
        <v>232</v>
      </c>
      <c r="Y1119" s="512" t="s">
        <v>232</v>
      </c>
      <c r="Z1119" s="39">
        <v>0</v>
      </c>
      <c r="AA1119" s="518">
        <v>0</v>
      </c>
      <c r="AB1119" s="41" t="s">
        <v>232</v>
      </c>
      <c r="AC1119" s="519" t="str">
        <f>""</f>
        <v/>
      </c>
      <c r="AD1119" s="522">
        <v>0</v>
      </c>
      <c r="AE1119" s="522" t="s">
        <v>2590</v>
      </c>
      <c r="AF1119" s="522" t="s">
        <v>237</v>
      </c>
      <c r="AG1119" s="522">
        <v>1</v>
      </c>
      <c r="AH1119" s="520">
        <v>9</v>
      </c>
      <c r="AI1119" s="522">
        <v>0</v>
      </c>
      <c r="AJ1119" s="520">
        <f>VLOOKUP($I1119,'Price List, Weapons &amp; Items'!A:E,5,0)</f>
        <v>0</v>
      </c>
      <c r="AK1119" s="520">
        <f t="shared" si="249"/>
        <v>0</v>
      </c>
      <c r="AL1119" s="520">
        <f t="shared" si="250"/>
        <v>0</v>
      </c>
      <c r="AM1119" s="520">
        <f t="shared" si="251"/>
        <v>0</v>
      </c>
      <c r="AN1119" s="521" t="str">
        <f>VLOOKUP($I1119,'Price List, Weapons &amp; Items'!A:K,COLUMN('Price List, Weapons &amp; Items'!$I$1),0)</f>
        <v>.</v>
      </c>
      <c r="AO1119" s="521" t="str">
        <f>IF(I1119=".",".",VLOOKUP($I1119,'Price List, Weapons &amp; Items'!A:I,3,0))</f>
        <v>.</v>
      </c>
      <c r="AP1119" s="517" t="str">
        <f t="shared" ca="1" si="244"/>
        <v/>
      </c>
      <c r="AQ1119" s="521" t="str">
        <f>VLOOKUP($I1119,'Price List, Weapons &amp; Items'!A:K,COLUMN('Price List, Weapons &amp; Items'!$K$1),0)</f>
        <v>no price, 0 count</v>
      </c>
      <c r="AS1119" s="521">
        <f t="shared" si="252"/>
        <v>1</v>
      </c>
      <c r="AT1119" s="521">
        <f t="shared" si="253"/>
        <v>1</v>
      </c>
      <c r="AU1119" s="521">
        <f t="shared" si="254"/>
        <v>1</v>
      </c>
      <c r="AV1119" s="521" t="str">
        <f t="shared" si="255"/>
        <v>.</v>
      </c>
    </row>
    <row r="1120" spans="1:48" ht="15" customHeight="1">
      <c r="A1120" s="18" t="s">
        <v>2750</v>
      </c>
      <c r="B1120" s="46" t="s">
        <v>2548</v>
      </c>
      <c r="C1120" s="550">
        <v>44832</v>
      </c>
      <c r="D1120" s="46" t="s">
        <v>252</v>
      </c>
      <c r="E1120" s="46" t="s">
        <v>1157</v>
      </c>
      <c r="F1120" s="46" t="s">
        <v>2762</v>
      </c>
      <c r="G1120" s="39" t="s">
        <v>314</v>
      </c>
      <c r="H1120" s="563">
        <v>1100000000</v>
      </c>
      <c r="I1120" s="46" t="s">
        <v>2707</v>
      </c>
      <c r="J1120" s="276" t="str">
        <f>VLOOKUP($I1120,'Price List, Weapons &amp; Items'!A:B,2,0)</f>
        <v>Military equipment</v>
      </c>
      <c r="K1120" s="276" t="str">
        <f>IF(I1120=".",I1120,VLOOKUP($I1120,'Price List, Weapons &amp; Items'!A:C,3,0))</f>
        <v>.</v>
      </c>
      <c r="L1120" s="514">
        <f>VLOOKUP(I1120,'Price List, Weapons &amp; Items'!A:D,4,0)</f>
        <v>0</v>
      </c>
      <c r="M1120" s="46" t="s">
        <v>232</v>
      </c>
      <c r="N1120" s="515" t="s">
        <v>232</v>
      </c>
      <c r="O1120" s="516" t="str">
        <f>VLOOKUP($I1120,'Price List, Weapons &amp; Items'!A:F,6,0)</f>
        <v>.</v>
      </c>
      <c r="P1120" s="513" t="str">
        <f t="shared" si="246"/>
        <v>.</v>
      </c>
      <c r="Q1120" s="513" t="str">
        <f t="shared" si="247"/>
        <v>.</v>
      </c>
      <c r="R1120" s="513" t="str">
        <f t="shared" si="248"/>
        <v/>
      </c>
      <c r="S1120" s="513" t="str">
        <f>IF(AND(AD1120=1,R1120&lt;&gt;".")=TRUE,R1120/VLOOKUP(G1120,'Exchange rates'!B:C,2,0),IF(R1120=".",".",""))</f>
        <v/>
      </c>
      <c r="T1120" s="513" t="str">
        <f>IF(AD1120=1,IF(AF1120="Value is not given at all",".",IF(AF1120="Value is given by the source",S1120,IF(AF1120="Value is calculated with prices",(IF(SUMIFS(Q:Q,A:A,A1120)&gt;0,SUMIFS(Q:Q,A:A,A1120),"."))/VLOOKUP("USD",'Exchange rates'!B:C,2,0),"Error with coding"))),"")</f>
        <v/>
      </c>
      <c r="U1120" s="39" t="s">
        <v>233</v>
      </c>
      <c r="V1120" s="826" t="s">
        <v>2763</v>
      </c>
      <c r="W1120" s="42" t="s">
        <v>232</v>
      </c>
      <c r="X1120" s="42" t="s">
        <v>232</v>
      </c>
      <c r="Y1120" s="512" t="s">
        <v>232</v>
      </c>
      <c r="Z1120" s="39">
        <v>0</v>
      </c>
      <c r="AA1120" s="518">
        <v>0</v>
      </c>
      <c r="AB1120" s="41" t="s">
        <v>232</v>
      </c>
      <c r="AC1120" s="519" t="str">
        <f>""</f>
        <v/>
      </c>
      <c r="AD1120" s="522">
        <v>0</v>
      </c>
      <c r="AE1120" s="522" t="s">
        <v>2590</v>
      </c>
      <c r="AF1120" s="522" t="s">
        <v>237</v>
      </c>
      <c r="AG1120" s="522">
        <v>1</v>
      </c>
      <c r="AH1120" s="520">
        <v>9</v>
      </c>
      <c r="AI1120" s="520">
        <v>0</v>
      </c>
      <c r="AJ1120" s="520">
        <f>VLOOKUP($I1120,'Price List, Weapons &amp; Items'!A:E,5,0)</f>
        <v>0</v>
      </c>
      <c r="AK1120" s="520">
        <f t="shared" si="249"/>
        <v>0</v>
      </c>
      <c r="AL1120" s="520">
        <f t="shared" si="250"/>
        <v>0</v>
      </c>
      <c r="AM1120" s="520">
        <f t="shared" si="251"/>
        <v>0</v>
      </c>
      <c r="AN1120" s="521" t="str">
        <f>VLOOKUP($I1120,'Price List, Weapons &amp; Items'!A:K,COLUMN('Price List, Weapons &amp; Items'!$I$1),0)</f>
        <v>.</v>
      </c>
      <c r="AO1120" s="521" t="str">
        <f>IF(I1120=".",".",VLOOKUP($I1120,'Price List, Weapons &amp; Items'!A:I,3,0))</f>
        <v>.</v>
      </c>
      <c r="AP1120" s="517" t="str">
        <f t="shared" ca="1" si="244"/>
        <v/>
      </c>
      <c r="AQ1120" s="521" t="str">
        <f>VLOOKUP($I1120,'Price List, Weapons &amp; Items'!A:K,COLUMN('Price List, Weapons &amp; Items'!$K$1),0)</f>
        <v>no price, 0 count</v>
      </c>
      <c r="AS1120" s="521">
        <f t="shared" si="252"/>
        <v>1</v>
      </c>
      <c r="AT1120" s="521">
        <f t="shared" si="253"/>
        <v>1</v>
      </c>
      <c r="AU1120" s="521">
        <f t="shared" si="254"/>
        <v>1</v>
      </c>
      <c r="AV1120" s="521" t="str">
        <f t="shared" si="255"/>
        <v>.</v>
      </c>
    </row>
    <row r="1121" spans="1:48" s="41" customFormat="1" ht="15" customHeight="1">
      <c r="A1121" s="18" t="s">
        <v>2770</v>
      </c>
      <c r="B1121" s="18" t="s">
        <v>2548</v>
      </c>
      <c r="C1121" s="511">
        <v>44691</v>
      </c>
      <c r="D1121" s="18" t="s">
        <v>252</v>
      </c>
      <c r="E1121" s="46" t="s">
        <v>1157</v>
      </c>
      <c r="F1121" s="512" t="s">
        <v>2771</v>
      </c>
      <c r="G1121" s="39" t="s">
        <v>314</v>
      </c>
      <c r="H1121" s="513">
        <v>600000000</v>
      </c>
      <c r="I1121" s="524" t="s">
        <v>2772</v>
      </c>
      <c r="J1121" s="276" t="str">
        <f>VLOOKUP($I1121,'Price List, Weapons &amp; Items'!A:B,2,0)</f>
        <v>Heavy weapon</v>
      </c>
      <c r="K1121" s="276" t="str">
        <f>IF(I1121=".",I1121,VLOOKUP($I1121,'Price List, Weapons &amp; Items'!A:C,3,0))</f>
        <v>Patrol and coastal combatants</v>
      </c>
      <c r="L1121" s="514">
        <f>VLOOKUP(I1121,'Price List, Weapons &amp; Items'!A:D,4,0)</f>
        <v>0</v>
      </c>
      <c r="M1121" s="515">
        <v>16</v>
      </c>
      <c r="N1121" s="515" t="s">
        <v>232</v>
      </c>
      <c r="O1121" s="516">
        <f>VLOOKUP($I1121,'Price List, Weapons &amp; Items'!A:F,6,0)</f>
        <v>15000000</v>
      </c>
      <c r="P1121" s="513">
        <f t="shared" si="246"/>
        <v>240000000</v>
      </c>
      <c r="Q1121" s="513" t="str">
        <f t="shared" si="247"/>
        <v>.</v>
      </c>
      <c r="R1121" s="513">
        <v>1000000000</v>
      </c>
      <c r="S1121" s="513">
        <f>IF(AND(AD1121=1,R1121&lt;&gt;".")=TRUE,R1121/VLOOKUP(G1121,'Exchange rates'!B:C,2,0),IF(R1121=".",".",""))</f>
        <v>996512207.27453911</v>
      </c>
      <c r="T1121" s="513" t="str">
        <f>IF(AD1121=1,IF(AF1121="Value is not given at all",".",IF(AF1121="Value is given by the source",S1121,IF(AF1121="Value is calculated with prices",(IF(SUMIFS(Q:Q,A:A,A1121)&gt;0,SUMIFS(Q:Q,A:A,A1121),"."))/VLOOKUP("USD",'Exchange rates'!B:C,2,0),"Error with coding"))),"")</f>
        <v>.</v>
      </c>
      <c r="U1121" s="39" t="s">
        <v>233</v>
      </c>
      <c r="V1121" s="376" t="s">
        <v>2581</v>
      </c>
      <c r="W1121" s="376" t="s">
        <v>2773</v>
      </c>
      <c r="X1121" s="835" t="s">
        <v>2774</v>
      </c>
      <c r="Y1121" s="835" t="s">
        <v>2603</v>
      </c>
      <c r="Z1121" s="39">
        <v>0</v>
      </c>
      <c r="AA1121" s="39">
        <v>0</v>
      </c>
      <c r="AB1121" s="41" t="s">
        <v>232</v>
      </c>
      <c r="AC1121" s="519" t="str">
        <f>""</f>
        <v/>
      </c>
      <c r="AD1121" s="522">
        <v>1</v>
      </c>
      <c r="AE1121" s="522" t="s">
        <v>2590</v>
      </c>
      <c r="AF1121" s="522" t="s">
        <v>237</v>
      </c>
      <c r="AG1121" s="522">
        <v>1</v>
      </c>
      <c r="AH1121" s="522">
        <v>5</v>
      </c>
      <c r="AI1121" s="522">
        <v>0</v>
      </c>
      <c r="AJ1121" s="520">
        <f>VLOOKUP($I1121,'Price List, Weapons &amp; Items'!A:E,5,0)</f>
        <v>0</v>
      </c>
      <c r="AK1121" s="520">
        <f t="shared" si="249"/>
        <v>0</v>
      </c>
      <c r="AL1121" s="520">
        <f t="shared" si="250"/>
        <v>0</v>
      </c>
      <c r="AM1121" s="520">
        <f t="shared" si="251"/>
        <v>0</v>
      </c>
      <c r="AN1121" s="521" t="str">
        <f>VLOOKUP($I1121,'Price List, Weapons &amp; Items'!A:K,COLUMN('Price List, Weapons &amp; Items'!$I$1),0)</f>
        <v>Military media (incl. websites)</v>
      </c>
      <c r="AO1121" s="521" t="str">
        <f>IF(I1121=".",".",VLOOKUP($I1121,'Price List, Weapons &amp; Items'!A:I,3,0))</f>
        <v>Patrol and coastal combatants</v>
      </c>
      <c r="AP1121" s="517" t="str">
        <f t="shared" ca="1" si="244"/>
        <v>Mark VI Patrol boat; MSI Seahawk A2 gun system; Electro-Optics-Infrared Radar (FLIR); Long Range Acoustic Device (LRAD) 5km loudspeaker system; Identification Friend and Foe system; MK44 cannon</v>
      </c>
      <c r="AQ1121" s="521">
        <f>VLOOKUP($I1121,'Price List, Weapons &amp; Items'!A:K,COLUMN('Price List, Weapons &amp; Items'!$K$1),0)</f>
        <v>2</v>
      </c>
      <c r="AS1121" s="521">
        <f t="shared" si="252"/>
        <v>1</v>
      </c>
      <c r="AT1121" s="521">
        <f t="shared" si="253"/>
        <v>1</v>
      </c>
      <c r="AU1121" s="521">
        <f t="shared" si="254"/>
        <v>1</v>
      </c>
      <c r="AV1121" s="521" t="str">
        <f t="shared" si="255"/>
        <v>.</v>
      </c>
    </row>
    <row r="1122" spans="1:48" s="41" customFormat="1" ht="15" customHeight="1">
      <c r="A1122" s="18" t="s">
        <v>2770</v>
      </c>
      <c r="B1122" s="18" t="s">
        <v>2548</v>
      </c>
      <c r="C1122" s="511">
        <v>44729</v>
      </c>
      <c r="D1122" s="18" t="s">
        <v>252</v>
      </c>
      <c r="E1122" s="46" t="s">
        <v>1157</v>
      </c>
      <c r="F1122" s="512" t="s">
        <v>2771</v>
      </c>
      <c r="G1122" s="39" t="s">
        <v>314</v>
      </c>
      <c r="H1122" s="513">
        <v>600000000</v>
      </c>
      <c r="I1122" s="524" t="s">
        <v>2775</v>
      </c>
      <c r="J1122" s="276" t="str">
        <f>VLOOKUP($I1122,'Price List, Weapons &amp; Items'!A:B,2,0)</f>
        <v>Light armaments &amp; infantry</v>
      </c>
      <c r="K1122" s="276" t="str">
        <f>IF(I1122=".",I1122,VLOOKUP($I1122,'Price List, Weapons &amp; Items'!A:C,3,0))</f>
        <v>.</v>
      </c>
      <c r="L1122" s="514">
        <f>VLOOKUP(I1122,'Price List, Weapons &amp; Items'!A:D,4,0)</f>
        <v>0</v>
      </c>
      <c r="M1122" s="515">
        <v>32</v>
      </c>
      <c r="N1122" s="515" t="s">
        <v>232</v>
      </c>
      <c r="O1122" s="516">
        <f>VLOOKUP($I1122,'Price List, Weapons &amp; Items'!A:F,6,0)</f>
        <v>390000</v>
      </c>
      <c r="P1122" s="513">
        <f t="shared" si="246"/>
        <v>12480000</v>
      </c>
      <c r="Q1122" s="513" t="str">
        <f t="shared" si="247"/>
        <v>.</v>
      </c>
      <c r="R1122" s="513" t="str">
        <f t="shared" ref="R1122:R1163" si="256">IF(AD1122=1,IF(H1122&lt;&gt;"Not given",H1122,IF(TYPE(H1122)=2,IF(SUMIFS(P:P,A:A,A1122)&gt;0,SUMIFS(P:P,A:A,A1122),"."),"Format error")),"")</f>
        <v/>
      </c>
      <c r="S1122" s="513" t="str">
        <f>IF(AND(AD1122=1,R1122&lt;&gt;".")=TRUE,R1122/VLOOKUP(G1122,'Exchange rates'!B:C,2,0),IF(R1122=".",".",""))</f>
        <v/>
      </c>
      <c r="T1122" s="513" t="str">
        <f>IF(AD1122=1,IF(AF1122="Value is not given at all",".",IF(AF1122="Value is given by the source",S1122,IF(AF1122="Value is calculated with prices",(IF(SUMIFS(Q:Q,A:A,A1122)&gt;0,SUMIFS(Q:Q,A:A,A1122),"."))/VLOOKUP("USD",'Exchange rates'!B:C,2,0),"Error with coding"))),"")</f>
        <v/>
      </c>
      <c r="U1122" s="39" t="s">
        <v>233</v>
      </c>
      <c r="V1122" s="376" t="s">
        <v>2581</v>
      </c>
      <c r="W1122" s="376" t="s">
        <v>2773</v>
      </c>
      <c r="X1122" s="835" t="s">
        <v>2774</v>
      </c>
      <c r="Y1122" s="835" t="s">
        <v>2720</v>
      </c>
      <c r="Z1122" s="39">
        <v>0</v>
      </c>
      <c r="AA1122" s="39">
        <v>0</v>
      </c>
      <c r="AB1122" s="41" t="s">
        <v>232</v>
      </c>
      <c r="AC1122" s="519" t="str">
        <f>""</f>
        <v/>
      </c>
      <c r="AD1122" s="522">
        <v>0</v>
      </c>
      <c r="AE1122" s="522" t="s">
        <v>2590</v>
      </c>
      <c r="AF1122" s="522" t="s">
        <v>237</v>
      </c>
      <c r="AG1122" s="522">
        <v>1</v>
      </c>
      <c r="AH1122" s="522">
        <v>6</v>
      </c>
      <c r="AI1122" s="522">
        <v>0</v>
      </c>
      <c r="AJ1122" s="520">
        <f>VLOOKUP($I1122,'Price List, Weapons &amp; Items'!A:E,5,0)</f>
        <v>0</v>
      </c>
      <c r="AK1122" s="520">
        <f t="shared" si="249"/>
        <v>0</v>
      </c>
      <c r="AL1122" s="520">
        <f t="shared" si="250"/>
        <v>0</v>
      </c>
      <c r="AM1122" s="520">
        <f t="shared" si="251"/>
        <v>0</v>
      </c>
      <c r="AN1122" s="521" t="str">
        <f>VLOOKUP($I1122,'Price List, Weapons &amp; Items'!A:K,COLUMN('Price List, Weapons &amp; Items'!$I$1),0)</f>
        <v>Military media (incl. websites)</v>
      </c>
      <c r="AO1122" s="521" t="str">
        <f>IF(I1122=".",".",VLOOKUP($I1122,'Price List, Weapons &amp; Items'!A:I,3,0))</f>
        <v>.</v>
      </c>
      <c r="AP1122" s="517" t="str">
        <f t="shared" ca="1" si="244"/>
        <v/>
      </c>
      <c r="AQ1122" s="521">
        <f>VLOOKUP($I1122,'Price List, Weapons &amp; Items'!A:K,COLUMN('Price List, Weapons &amp; Items'!$K$1),0)</f>
        <v>2</v>
      </c>
      <c r="AS1122" s="521">
        <f t="shared" si="252"/>
        <v>1</v>
      </c>
      <c r="AT1122" s="521">
        <f t="shared" si="253"/>
        <v>1</v>
      </c>
      <c r="AU1122" s="521">
        <f t="shared" si="254"/>
        <v>1</v>
      </c>
      <c r="AV1122" s="521" t="str">
        <f t="shared" si="255"/>
        <v>.</v>
      </c>
    </row>
    <row r="1123" spans="1:48" s="41" customFormat="1" ht="15" customHeight="1">
      <c r="A1123" s="18" t="s">
        <v>2770</v>
      </c>
      <c r="B1123" s="18" t="s">
        <v>2548</v>
      </c>
      <c r="C1123" s="511">
        <v>44729</v>
      </c>
      <c r="D1123" s="18" t="s">
        <v>252</v>
      </c>
      <c r="E1123" s="46" t="s">
        <v>1157</v>
      </c>
      <c r="F1123" s="512" t="s">
        <v>2771</v>
      </c>
      <c r="G1123" s="39" t="s">
        <v>314</v>
      </c>
      <c r="H1123" s="513">
        <v>600000000</v>
      </c>
      <c r="I1123" s="524" t="s">
        <v>2776</v>
      </c>
      <c r="J1123" s="276" t="str">
        <f>VLOOKUP($I1123,'Price List, Weapons &amp; Items'!A:B,2,0)</f>
        <v>Military equipment</v>
      </c>
      <c r="K1123" s="276" t="str">
        <f>IF(I1123=".",I1123,VLOOKUP($I1123,'Price List, Weapons &amp; Items'!A:C,3,0))</f>
        <v>Radar or imagery systems</v>
      </c>
      <c r="L1123" s="514">
        <f>VLOOKUP(I1123,'Price List, Weapons &amp; Items'!A:D,4,0)</f>
        <v>0</v>
      </c>
      <c r="M1123" s="515">
        <v>20</v>
      </c>
      <c r="N1123" s="515" t="s">
        <v>232</v>
      </c>
      <c r="O1123" s="516" t="str">
        <f>VLOOKUP($I1123,'Price List, Weapons &amp; Items'!A:F,6,0)</f>
        <v>.</v>
      </c>
      <c r="P1123" s="513" t="str">
        <f t="shared" si="246"/>
        <v>No price</v>
      </c>
      <c r="Q1123" s="513" t="str">
        <f t="shared" si="247"/>
        <v>.</v>
      </c>
      <c r="R1123" s="513" t="str">
        <f t="shared" si="256"/>
        <v/>
      </c>
      <c r="S1123" s="513" t="str">
        <f>IF(AND(AD1123=1,R1123&lt;&gt;".")=TRUE,R1123/VLOOKUP(G1123,'Exchange rates'!B:C,2,0),IF(R1123=".",".",""))</f>
        <v/>
      </c>
      <c r="T1123" s="513" t="str">
        <f>IF(AD1123=1,IF(AF1123="Value is not given at all",".",IF(AF1123="Value is given by the source",S1123,IF(AF1123="Value is calculated with prices",(IF(SUMIFS(Q:Q,A:A,A1123)&gt;0,SUMIFS(Q:Q,A:A,A1123),"."))/VLOOKUP("USD",'Exchange rates'!B:C,2,0),"Error with coding"))),"")</f>
        <v/>
      </c>
      <c r="U1123" s="39" t="s">
        <v>233</v>
      </c>
      <c r="V1123" s="376" t="s">
        <v>2581</v>
      </c>
      <c r="W1123" s="376" t="s">
        <v>2773</v>
      </c>
      <c r="X1123" s="835" t="s">
        <v>2774</v>
      </c>
      <c r="Y1123" s="835" t="s">
        <v>2722</v>
      </c>
      <c r="Z1123" s="39">
        <v>0</v>
      </c>
      <c r="AA1123" s="39">
        <v>0</v>
      </c>
      <c r="AB1123" s="41" t="s">
        <v>232</v>
      </c>
      <c r="AC1123" s="519" t="str">
        <f>""</f>
        <v/>
      </c>
      <c r="AD1123" s="522">
        <v>0</v>
      </c>
      <c r="AE1123" s="522" t="s">
        <v>2590</v>
      </c>
      <c r="AF1123" s="522" t="s">
        <v>237</v>
      </c>
      <c r="AG1123" s="522">
        <v>1</v>
      </c>
      <c r="AH1123" s="522">
        <v>6</v>
      </c>
      <c r="AI1123" s="522">
        <v>0</v>
      </c>
      <c r="AJ1123" s="520">
        <f>VLOOKUP($I1123,'Price List, Weapons &amp; Items'!A:E,5,0)</f>
        <v>0</v>
      </c>
      <c r="AK1123" s="520">
        <f t="shared" si="249"/>
        <v>0</v>
      </c>
      <c r="AL1123" s="520">
        <f t="shared" si="250"/>
        <v>0</v>
      </c>
      <c r="AM1123" s="520">
        <f t="shared" si="251"/>
        <v>0</v>
      </c>
      <c r="AN1123" s="521" t="str">
        <f>VLOOKUP($I1123,'Price List, Weapons &amp; Items'!A:K,COLUMN('Price List, Weapons &amp; Items'!$I$1),0)</f>
        <v>.</v>
      </c>
      <c r="AO1123" s="521" t="str">
        <f>IF(I1123=".",".",VLOOKUP($I1123,'Price List, Weapons &amp; Items'!A:I,3,0))</f>
        <v>Radar or imagery systems</v>
      </c>
      <c r="AP1123" s="517" t="str">
        <f t="shared" ca="1" si="244"/>
        <v/>
      </c>
      <c r="AQ1123" s="521">
        <f>VLOOKUP($I1123,'Price List, Weapons &amp; Items'!A:K,COLUMN('Price List, Weapons &amp; Items'!$K$1),0)</f>
        <v>0</v>
      </c>
      <c r="AS1123" s="521">
        <f t="shared" si="252"/>
        <v>1</v>
      </c>
      <c r="AT1123" s="521">
        <f t="shared" si="253"/>
        <v>1</v>
      </c>
      <c r="AU1123" s="521">
        <f t="shared" si="254"/>
        <v>1</v>
      </c>
      <c r="AV1123" s="521" t="str">
        <f t="shared" si="255"/>
        <v>.</v>
      </c>
    </row>
    <row r="1124" spans="1:48" s="41" customFormat="1" ht="15" customHeight="1">
      <c r="A1124" s="18" t="s">
        <v>2770</v>
      </c>
      <c r="B1124" s="18" t="s">
        <v>2548</v>
      </c>
      <c r="C1124" s="511">
        <v>44729</v>
      </c>
      <c r="D1124" s="18" t="s">
        <v>252</v>
      </c>
      <c r="E1124" s="46" t="s">
        <v>1157</v>
      </c>
      <c r="F1124" s="512" t="s">
        <v>2771</v>
      </c>
      <c r="G1124" s="39" t="s">
        <v>314</v>
      </c>
      <c r="H1124" s="513">
        <v>600000000</v>
      </c>
      <c r="I1124" s="524" t="s">
        <v>2777</v>
      </c>
      <c r="J1124" s="276" t="str">
        <f>VLOOKUP($I1124,'Price List, Weapons &amp; Items'!A:B,2,0)</f>
        <v>Military equipment</v>
      </c>
      <c r="K1124" s="276" t="str">
        <f>IF(I1124=".",I1124,VLOOKUP($I1124,'Price List, Weapons &amp; Items'!A:C,3,0))</f>
        <v>.</v>
      </c>
      <c r="L1124" s="514">
        <f>VLOOKUP(I1124,'Price List, Weapons &amp; Items'!A:D,4,0)</f>
        <v>0</v>
      </c>
      <c r="M1124" s="515">
        <v>16</v>
      </c>
      <c r="N1124" s="515" t="s">
        <v>232</v>
      </c>
      <c r="O1124" s="516">
        <f>VLOOKUP($I1124,'Price List, Weapons &amp; Items'!A:F,6,0)</f>
        <v>97500</v>
      </c>
      <c r="P1124" s="513">
        <f t="shared" si="246"/>
        <v>1560000</v>
      </c>
      <c r="Q1124" s="513" t="str">
        <f t="shared" si="247"/>
        <v>.</v>
      </c>
      <c r="R1124" s="513" t="str">
        <f t="shared" si="256"/>
        <v/>
      </c>
      <c r="S1124" s="513" t="str">
        <f>IF(AND(AD1124=1,R1124&lt;&gt;".")=TRUE,R1124/VLOOKUP(G1124,'Exchange rates'!B:C,2,0),IF(R1124=".",".",""))</f>
        <v/>
      </c>
      <c r="T1124" s="513" t="str">
        <f>IF(AD1124=1,IF(AF1124="Value is not given at all",".",IF(AF1124="Value is given by the source",S1124,IF(AF1124="Value is calculated with prices",(IF(SUMIFS(Q:Q,A:A,A1124)&gt;0,SUMIFS(Q:Q,A:A,A1124),"."))/VLOOKUP("USD",'Exchange rates'!B:C,2,0),"Error with coding"))),"")</f>
        <v/>
      </c>
      <c r="U1124" s="39" t="s">
        <v>233</v>
      </c>
      <c r="V1124" s="376" t="s">
        <v>2581</v>
      </c>
      <c r="W1124" s="376" t="s">
        <v>2773</v>
      </c>
      <c r="X1124" s="835" t="s">
        <v>2774</v>
      </c>
      <c r="Y1124" s="835" t="s">
        <v>2724</v>
      </c>
      <c r="Z1124" s="39">
        <v>0</v>
      </c>
      <c r="AA1124" s="39">
        <v>0</v>
      </c>
      <c r="AB1124" s="41" t="s">
        <v>232</v>
      </c>
      <c r="AC1124" s="519" t="str">
        <f>""</f>
        <v/>
      </c>
      <c r="AD1124" s="522">
        <v>0</v>
      </c>
      <c r="AE1124" s="522" t="s">
        <v>2590</v>
      </c>
      <c r="AF1124" s="522" t="s">
        <v>237</v>
      </c>
      <c r="AG1124" s="522">
        <v>1</v>
      </c>
      <c r="AH1124" s="522">
        <v>6</v>
      </c>
      <c r="AI1124" s="522">
        <v>0</v>
      </c>
      <c r="AJ1124" s="520">
        <f>VLOOKUP($I1124,'Price List, Weapons &amp; Items'!A:E,5,0)</f>
        <v>0</v>
      </c>
      <c r="AK1124" s="520">
        <f t="shared" si="249"/>
        <v>0</v>
      </c>
      <c r="AL1124" s="520">
        <f t="shared" si="250"/>
        <v>0</v>
      </c>
      <c r="AM1124" s="520">
        <f t="shared" si="251"/>
        <v>0</v>
      </c>
      <c r="AN1124" s="521" t="str">
        <f>VLOOKUP($I1124,'Price List, Weapons &amp; Items'!A:K,COLUMN('Price List, Weapons &amp; Items'!$I$1),0)</f>
        <v>Media reports (incl. social media)</v>
      </c>
      <c r="AO1124" s="521" t="str">
        <f>IF(I1124=".",".",VLOOKUP($I1124,'Price List, Weapons &amp; Items'!A:I,3,0))</f>
        <v>.</v>
      </c>
      <c r="AP1124" s="517" t="str">
        <f t="shared" ref="AP1124:AP1163" ca="1" si="257">IF(AD1124=1,_xlfn.ARRAYTOTEXT(OFFSET(I1124,0,0,COUNTIF(A:A,A1124),1)),"")</f>
        <v/>
      </c>
      <c r="AQ1124" s="521">
        <f>VLOOKUP($I1124,'Price List, Weapons &amp; Items'!A:K,COLUMN('Price List, Weapons &amp; Items'!$K$1),0)</f>
        <v>2</v>
      </c>
      <c r="AS1124" s="521">
        <f t="shared" si="252"/>
        <v>1</v>
      </c>
      <c r="AT1124" s="521">
        <f t="shared" si="253"/>
        <v>1</v>
      </c>
      <c r="AU1124" s="521">
        <f t="shared" si="254"/>
        <v>1</v>
      </c>
      <c r="AV1124" s="521" t="str">
        <f t="shared" si="255"/>
        <v>.</v>
      </c>
    </row>
    <row r="1125" spans="1:48" s="41" customFormat="1" ht="15" customHeight="1">
      <c r="A1125" s="18" t="s">
        <v>2770</v>
      </c>
      <c r="B1125" s="18" t="s">
        <v>2548</v>
      </c>
      <c r="C1125" s="511">
        <v>44729</v>
      </c>
      <c r="D1125" s="18" t="s">
        <v>252</v>
      </c>
      <c r="E1125" s="46" t="s">
        <v>1157</v>
      </c>
      <c r="F1125" s="512" t="s">
        <v>2771</v>
      </c>
      <c r="G1125" s="39" t="s">
        <v>314</v>
      </c>
      <c r="H1125" s="513">
        <v>600000000</v>
      </c>
      <c r="I1125" s="524" t="s">
        <v>2778</v>
      </c>
      <c r="J1125" s="276" t="str">
        <f>VLOOKUP($I1125,'Price List, Weapons &amp; Items'!A:B,2,0)</f>
        <v>Military equipment</v>
      </c>
      <c r="K1125" s="276" t="str">
        <f>IF(I1125=".",I1125,VLOOKUP($I1125,'Price List, Weapons &amp; Items'!A:C,3,0))</f>
        <v>Radar or imagery systems</v>
      </c>
      <c r="L1125" s="514">
        <f>VLOOKUP(I1125,'Price List, Weapons &amp; Items'!A:D,4,0)</f>
        <v>0</v>
      </c>
      <c r="M1125" s="515">
        <v>16</v>
      </c>
      <c r="N1125" s="515" t="s">
        <v>232</v>
      </c>
      <c r="O1125" s="516" t="str">
        <f>VLOOKUP($I1125,'Price List, Weapons &amp; Items'!A:F,6,0)</f>
        <v>.</v>
      </c>
      <c r="P1125" s="513" t="str">
        <f t="shared" si="246"/>
        <v>No price</v>
      </c>
      <c r="Q1125" s="513" t="str">
        <f t="shared" si="247"/>
        <v>.</v>
      </c>
      <c r="R1125" s="513" t="str">
        <f t="shared" si="256"/>
        <v/>
      </c>
      <c r="S1125" s="513" t="str">
        <f>IF(AND(AD1125=1,R1125&lt;&gt;".")=TRUE,R1125/VLOOKUP(G1125,'Exchange rates'!B:C,2,0),IF(R1125=".",".",""))</f>
        <v/>
      </c>
      <c r="T1125" s="513" t="str">
        <f>IF(AD1125=1,IF(AF1125="Value is not given at all",".",IF(AF1125="Value is given by the source",S1125,IF(AF1125="Value is calculated with prices",(IF(SUMIFS(Q:Q,A:A,A1125)&gt;0,SUMIFS(Q:Q,A:A,A1125),"."))/VLOOKUP("USD",'Exchange rates'!B:C,2,0),"Error with coding"))),"")</f>
        <v/>
      </c>
      <c r="U1125" s="39" t="s">
        <v>233</v>
      </c>
      <c r="V1125" s="376" t="s">
        <v>2581</v>
      </c>
      <c r="W1125" s="376" t="s">
        <v>2773</v>
      </c>
      <c r="X1125" s="835" t="s">
        <v>2774</v>
      </c>
      <c r="Y1125" s="835" t="s">
        <v>2726</v>
      </c>
      <c r="Z1125" s="39">
        <v>0</v>
      </c>
      <c r="AA1125" s="39">
        <v>0</v>
      </c>
      <c r="AB1125" s="41" t="s">
        <v>232</v>
      </c>
      <c r="AC1125" s="519" t="str">
        <f>""</f>
        <v/>
      </c>
      <c r="AD1125" s="522">
        <v>0</v>
      </c>
      <c r="AE1125" s="522" t="s">
        <v>2590</v>
      </c>
      <c r="AF1125" s="522" t="s">
        <v>237</v>
      </c>
      <c r="AG1125" s="522">
        <v>1</v>
      </c>
      <c r="AH1125" s="522">
        <v>6</v>
      </c>
      <c r="AI1125" s="522">
        <v>0</v>
      </c>
      <c r="AJ1125" s="520">
        <f>VLOOKUP($I1125,'Price List, Weapons &amp; Items'!A:E,5,0)</f>
        <v>0</v>
      </c>
      <c r="AK1125" s="520">
        <f t="shared" si="249"/>
        <v>0</v>
      </c>
      <c r="AL1125" s="520">
        <f t="shared" si="250"/>
        <v>0</v>
      </c>
      <c r="AM1125" s="520">
        <f t="shared" si="251"/>
        <v>0</v>
      </c>
      <c r="AN1125" s="521" t="str">
        <f>VLOOKUP($I1125,'Price List, Weapons &amp; Items'!A:K,COLUMN('Price List, Weapons &amp; Items'!$I$1),0)</f>
        <v>.</v>
      </c>
      <c r="AO1125" s="521" t="str">
        <f>IF(I1125=".",".",VLOOKUP($I1125,'Price List, Weapons &amp; Items'!A:I,3,0))</f>
        <v>Radar or imagery systems</v>
      </c>
      <c r="AP1125" s="517" t="str">
        <f t="shared" ca="1" si="257"/>
        <v/>
      </c>
      <c r="AQ1125" s="521">
        <f>VLOOKUP($I1125,'Price List, Weapons &amp; Items'!A:K,COLUMN('Price List, Weapons &amp; Items'!$K$1),0)</f>
        <v>0</v>
      </c>
      <c r="AS1125" s="521">
        <f t="shared" si="252"/>
        <v>1</v>
      </c>
      <c r="AT1125" s="521">
        <f t="shared" si="253"/>
        <v>1</v>
      </c>
      <c r="AU1125" s="521">
        <f t="shared" si="254"/>
        <v>1</v>
      </c>
      <c r="AV1125" s="521" t="str">
        <f t="shared" si="255"/>
        <v>.</v>
      </c>
    </row>
    <row r="1126" spans="1:48" s="41" customFormat="1" ht="15" customHeight="1">
      <c r="A1126" s="18" t="s">
        <v>2770</v>
      </c>
      <c r="B1126" s="18" t="s">
        <v>2548</v>
      </c>
      <c r="C1126" s="511">
        <v>44729</v>
      </c>
      <c r="D1126" s="18" t="s">
        <v>252</v>
      </c>
      <c r="E1126" s="46" t="s">
        <v>1157</v>
      </c>
      <c r="F1126" s="512" t="s">
        <v>2771</v>
      </c>
      <c r="G1126" s="39" t="s">
        <v>314</v>
      </c>
      <c r="H1126" s="513">
        <v>600000000</v>
      </c>
      <c r="I1126" s="524" t="s">
        <v>2779</v>
      </c>
      <c r="J1126" s="276" t="str">
        <f>VLOOKUP($I1126,'Price List, Weapons &amp; Items'!A:B,2,0)</f>
        <v>Light armaments &amp; infantry</v>
      </c>
      <c r="K1126" s="276" t="str">
        <f>IF(I1126=".",I1126,VLOOKUP($I1126,'Price List, Weapons &amp; Items'!A:C,3,0))</f>
        <v>.</v>
      </c>
      <c r="L1126" s="514">
        <f>VLOOKUP(I1126,'Price List, Weapons &amp; Items'!A:D,4,0)</f>
        <v>0</v>
      </c>
      <c r="M1126" s="515">
        <v>40</v>
      </c>
      <c r="N1126" s="515" t="s">
        <v>232</v>
      </c>
      <c r="O1126" s="516">
        <f>VLOOKUP($I1126,'Price List, Weapons &amp; Items'!A:F,6,0)</f>
        <v>390000</v>
      </c>
      <c r="P1126" s="513">
        <f t="shared" si="246"/>
        <v>15600000</v>
      </c>
      <c r="Q1126" s="513" t="str">
        <f t="shared" si="247"/>
        <v>.</v>
      </c>
      <c r="R1126" s="513" t="str">
        <f t="shared" si="256"/>
        <v/>
      </c>
      <c r="S1126" s="513" t="str">
        <f>IF(AND(AD1126=1,R1126&lt;&gt;".")=TRUE,R1126/VLOOKUP(G1126,'Exchange rates'!B:C,2,0),IF(R1126=".",".",""))</f>
        <v/>
      </c>
      <c r="T1126" s="513" t="str">
        <f>IF(AD1126=1,IF(AF1126="Value is not given at all",".",IF(AF1126="Value is given by the source",S1126,IF(AF1126="Value is calculated with prices",(IF(SUMIFS(Q:Q,A:A,A1126)&gt;0,SUMIFS(Q:Q,A:A,A1126),"."))/VLOOKUP("USD",'Exchange rates'!B:C,2,0),"Error with coding"))),"")</f>
        <v/>
      </c>
      <c r="U1126" s="39" t="s">
        <v>233</v>
      </c>
      <c r="V1126" s="376" t="s">
        <v>2581</v>
      </c>
      <c r="W1126" s="376" t="s">
        <v>2773</v>
      </c>
      <c r="X1126" s="835" t="s">
        <v>2774</v>
      </c>
      <c r="Y1126" s="835" t="s">
        <v>2728</v>
      </c>
      <c r="Z1126" s="39">
        <v>0</v>
      </c>
      <c r="AA1126" s="39">
        <v>0</v>
      </c>
      <c r="AB1126" s="41" t="s">
        <v>232</v>
      </c>
      <c r="AC1126" s="519" t="str">
        <f>""</f>
        <v/>
      </c>
      <c r="AD1126" s="522">
        <v>0</v>
      </c>
      <c r="AE1126" s="522" t="s">
        <v>2590</v>
      </c>
      <c r="AF1126" s="522" t="s">
        <v>237</v>
      </c>
      <c r="AG1126" s="522">
        <v>1</v>
      </c>
      <c r="AH1126" s="522">
        <v>6</v>
      </c>
      <c r="AI1126" s="522">
        <v>0</v>
      </c>
      <c r="AJ1126" s="520">
        <f>VLOOKUP($I1126,'Price List, Weapons &amp; Items'!A:E,5,0)</f>
        <v>0</v>
      </c>
      <c r="AK1126" s="520">
        <f t="shared" si="249"/>
        <v>0</v>
      </c>
      <c r="AL1126" s="520">
        <f t="shared" si="250"/>
        <v>0</v>
      </c>
      <c r="AM1126" s="520">
        <f t="shared" si="251"/>
        <v>0</v>
      </c>
      <c r="AN1126" s="521" t="str">
        <f>VLOOKUP($I1126,'Price List, Weapons &amp; Items'!A:K,COLUMN('Price List, Weapons &amp; Items'!$I$1),0)</f>
        <v>Military media (incl. websites)</v>
      </c>
      <c r="AO1126" s="521" t="str">
        <f>IF(I1126=".",".",VLOOKUP($I1126,'Price List, Weapons &amp; Items'!A:I,3,0))</f>
        <v>.</v>
      </c>
      <c r="AP1126" s="517" t="str">
        <f t="shared" ca="1" si="257"/>
        <v/>
      </c>
      <c r="AQ1126" s="521">
        <f>VLOOKUP($I1126,'Price List, Weapons &amp; Items'!A:K,COLUMN('Price List, Weapons &amp; Items'!$K$1),0)</f>
        <v>2</v>
      </c>
      <c r="AS1126" s="521">
        <f t="shared" si="252"/>
        <v>1</v>
      </c>
      <c r="AT1126" s="521">
        <f t="shared" si="253"/>
        <v>1</v>
      </c>
      <c r="AU1126" s="521">
        <f t="shared" si="254"/>
        <v>1</v>
      </c>
      <c r="AV1126" s="521" t="str">
        <f t="shared" si="255"/>
        <v>.</v>
      </c>
    </row>
    <row r="1127" spans="1:48" ht="15" customHeight="1">
      <c r="A1127" s="46" t="s">
        <v>2780</v>
      </c>
      <c r="B1127" s="46" t="s">
        <v>2548</v>
      </c>
      <c r="C1127" s="550">
        <v>44834</v>
      </c>
      <c r="D1127" s="46" t="s">
        <v>252</v>
      </c>
      <c r="E1127" s="46" t="s">
        <v>253</v>
      </c>
      <c r="F1127" s="816" t="s">
        <v>2781</v>
      </c>
      <c r="G1127" s="39" t="s">
        <v>314</v>
      </c>
      <c r="H1127" s="563">
        <v>3700000000</v>
      </c>
      <c r="I1127" s="41" t="s">
        <v>232</v>
      </c>
      <c r="J1127" s="276" t="str">
        <f>VLOOKUP($I1127,'Price List, Weapons &amp; Items'!A:B,2,0)</f>
        <v>.</v>
      </c>
      <c r="K1127" s="276" t="str">
        <f>IF(I1127=".",I1127,VLOOKUP($I1127,'Price List, Weapons &amp; Items'!A:C,3,0))</f>
        <v>.</v>
      </c>
      <c r="L1127" s="514">
        <f>VLOOKUP(I1127,'Price List, Weapons &amp; Items'!A:D,4,0)</f>
        <v>0</v>
      </c>
      <c r="M1127" s="515" t="s">
        <v>232</v>
      </c>
      <c r="N1127" s="515" t="s">
        <v>232</v>
      </c>
      <c r="O1127" s="516" t="str">
        <f>VLOOKUP($I1127,'Price List, Weapons &amp; Items'!A:F,6,0)</f>
        <v>.</v>
      </c>
      <c r="P1127" s="513" t="str">
        <f t="shared" si="246"/>
        <v>.</v>
      </c>
      <c r="Q1127" s="513" t="str">
        <f t="shared" si="247"/>
        <v>.</v>
      </c>
      <c r="R1127" s="513">
        <f t="shared" si="256"/>
        <v>3700000000</v>
      </c>
      <c r="S1127" s="513">
        <f>IF(AND(AD1127=1,R1127&lt;&gt;".")=TRUE,R1127/VLOOKUP(G1127,'Exchange rates'!B:C,2,0),IF(R1127=".",".",""))</f>
        <v>3687095166.9157944</v>
      </c>
      <c r="T1127" s="513" t="str">
        <f>IF(AD1127=1,IF(AF1127="Value is not given at all",".",IF(AF1127="Value is given by the source",S1127,IF(AF1127="Value is calculated with prices",(IF(SUMIFS(Q:Q,A:A,A1127)&gt;0,SUMIFS(Q:Q,A:A,A1127),"."))/VLOOKUP("USD",'Exchange rates'!B:C,2,0),"Error with coding"))),"")</f>
        <v>.</v>
      </c>
      <c r="U1127" s="39" t="s">
        <v>233</v>
      </c>
      <c r="V1127" s="826" t="s">
        <v>2782</v>
      </c>
      <c r="W1127" s="517" t="s">
        <v>232</v>
      </c>
      <c r="X1127" s="517" t="s">
        <v>232</v>
      </c>
      <c r="Y1127" s="517" t="s">
        <v>232</v>
      </c>
      <c r="Z1127" s="39">
        <v>0</v>
      </c>
      <c r="AA1127" s="518">
        <v>0</v>
      </c>
      <c r="AB1127" s="521" t="s">
        <v>232</v>
      </c>
      <c r="AC1127" s="519" t="str">
        <f>""</f>
        <v/>
      </c>
      <c r="AD1127" s="520">
        <v>1</v>
      </c>
      <c r="AE1127" s="520" t="s">
        <v>236</v>
      </c>
      <c r="AF1127" s="520" t="s">
        <v>237</v>
      </c>
      <c r="AG1127" s="520">
        <v>1</v>
      </c>
      <c r="AH1127" s="520">
        <v>9</v>
      </c>
      <c r="AI1127" s="520">
        <v>0</v>
      </c>
      <c r="AJ1127" s="520">
        <f>VLOOKUP($I1127,'Price List, Weapons &amp; Items'!A:E,5,0)</f>
        <v>0</v>
      </c>
      <c r="AK1127" s="520">
        <f t="shared" si="249"/>
        <v>0</v>
      </c>
      <c r="AL1127" s="520">
        <f t="shared" si="250"/>
        <v>0</v>
      </c>
      <c r="AM1127" s="520">
        <f t="shared" si="251"/>
        <v>0</v>
      </c>
      <c r="AN1127" s="521" t="str">
        <f>VLOOKUP($I1127,'Price List, Weapons &amp; Items'!A:K,COLUMN('Price List, Weapons &amp; Items'!$I$1),0)</f>
        <v>.</v>
      </c>
      <c r="AO1127" s="521" t="str">
        <f>IF(I1127=".",".",VLOOKUP($I1127,'Price List, Weapons &amp; Items'!A:I,3,0))</f>
        <v>.</v>
      </c>
      <c r="AP1127" s="517" t="str">
        <f t="shared" ca="1" si="257"/>
        <v>.; HIMARS 142 multiple rocket launcher; Howitzer; MaxxPro Mine Resistant Ambush Protected Vehicles; artillery round; 120mm mortar ammunition; ammunition for HIMARS; 155mm artillery round; precision-guided 155mm artillery round; rounds of Remote Anti-Armor Mine (RAAM) Systems; anti-tank weapon; High-speed Anti-radiation missiles; Armored High Mobility Multipurpose Wheeled Vehicle; Small arms and ammunition; Medical supplies and other equipment; ammunition for HIMARS; precision-guided 155mm artillery round; rounds of Remote Anti-Armor Mine (RAAM) Systems; anti-armor system; armored high mobility multipurpose wheeled vehicle; Small arms and ammunition; satellite communications antenna; missiles for HAWK air defense system; Avenger air defense system; Stinger missile; ammunition for HIMARS; 155mm artillery round; precision-guided 155mm artillery round; 120mm mortar ammunition; Armored High Mobility Multipurpose Wheeled Vehicle; grenade launcher (M320 or M203); Small arms and ammunition; optics; C-4 explosives and demolition equipment for obstacle clearing; Cold weather gear</v>
      </c>
      <c r="AQ1127" s="521" t="str">
        <f>VLOOKUP($I1127,'Price List, Weapons &amp; Items'!A:K,COLUMN('Price List, Weapons &amp; Items'!$K$1),0)</f>
        <v>no price, 0 count</v>
      </c>
      <c r="AS1127" s="521">
        <f t="shared" si="252"/>
        <v>1</v>
      </c>
      <c r="AT1127" s="521">
        <f t="shared" si="253"/>
        <v>1</v>
      </c>
      <c r="AU1127" s="521">
        <f t="shared" si="254"/>
        <v>1</v>
      </c>
      <c r="AV1127" s="521" t="e">
        <f>IF(AND(A1127=#REF!,C1127=#REF!)=TRUE,IF(F1127=#REF!,".","1"),".")</f>
        <v>#REF!</v>
      </c>
    </row>
    <row r="1128" spans="1:48" ht="15" customHeight="1">
      <c r="A1128" s="46" t="s">
        <v>2780</v>
      </c>
      <c r="B1128" s="46" t="s">
        <v>2548</v>
      </c>
      <c r="C1128" s="550">
        <v>44838</v>
      </c>
      <c r="D1128" s="46" t="s">
        <v>252</v>
      </c>
      <c r="E1128" s="46" t="s">
        <v>253</v>
      </c>
      <c r="F1128" s="816" t="s">
        <v>2783</v>
      </c>
      <c r="G1128" s="39" t="s">
        <v>314</v>
      </c>
      <c r="H1128" s="563">
        <v>625000000</v>
      </c>
      <c r="I1128" s="41" t="s">
        <v>2638</v>
      </c>
      <c r="J1128" s="276" t="str">
        <f>VLOOKUP($I1128,'Price List, Weapons &amp; Items'!A:B,2,0)</f>
        <v>Heavy weapon</v>
      </c>
      <c r="K1128" s="276" t="str">
        <f>IF(I1128=".",I1128,VLOOKUP($I1128,'Price List, Weapons &amp; Items'!A:C,3,0))</f>
        <v>227mm MLRS</v>
      </c>
      <c r="L1128" s="514">
        <f>VLOOKUP(I1128,'Price List, Weapons &amp; Items'!A:D,4,0)</f>
        <v>0</v>
      </c>
      <c r="M1128" s="515">
        <v>4</v>
      </c>
      <c r="N1128" s="515" t="s">
        <v>232</v>
      </c>
      <c r="O1128" s="516">
        <f>VLOOKUP($I1128,'Price List, Weapons &amp; Items'!A:F,6,0)</f>
        <v>15076313.029999999</v>
      </c>
      <c r="P1128" s="513">
        <f t="shared" si="246"/>
        <v>60305252.119999997</v>
      </c>
      <c r="Q1128" s="513" t="str">
        <f t="shared" si="247"/>
        <v>.</v>
      </c>
      <c r="R1128" s="513" t="str">
        <f t="shared" si="256"/>
        <v/>
      </c>
      <c r="S1128" s="513" t="str">
        <f>IF(AND(AD1128=1,R1128&lt;&gt;".")=TRUE,R1128/VLOOKUP(G1128,'Exchange rates'!B:C,2,0),IF(R1128=".",".",""))</f>
        <v/>
      </c>
      <c r="T1128" s="513" t="str">
        <f>IF(AD1128=1,IF(AF1128="Value is not given at all",".",IF(AF1128="Value is given by the source",S1128,IF(AF1128="Value is calculated with prices",(IF(SUMIFS(Q:Q,A:A,A1128)&gt;0,SUMIFS(Q:Q,A:A,A1128),"."))/VLOOKUP("USD",'Exchange rates'!B:C,2,0),"Error with coding"))),"")</f>
        <v/>
      </c>
      <c r="U1128" s="39" t="s">
        <v>233</v>
      </c>
      <c r="V1128" s="827" t="s">
        <v>2784</v>
      </c>
      <c r="W1128" s="827" t="s">
        <v>2785</v>
      </c>
      <c r="X1128" s="42" t="s">
        <v>232</v>
      </c>
      <c r="Y1128" s="825" t="s">
        <v>232</v>
      </c>
      <c r="Z1128" s="39">
        <v>0</v>
      </c>
      <c r="AA1128" s="518">
        <v>1</v>
      </c>
      <c r="AB1128" s="395" t="s">
        <v>232</v>
      </c>
      <c r="AC1128" s="519" t="str">
        <f>""</f>
        <v/>
      </c>
      <c r="AD1128" s="520">
        <v>0</v>
      </c>
      <c r="AE1128" s="520" t="s">
        <v>236</v>
      </c>
      <c r="AF1128" s="520" t="s">
        <v>237</v>
      </c>
      <c r="AG1128" s="520">
        <v>1</v>
      </c>
      <c r="AH1128" s="520">
        <v>10</v>
      </c>
      <c r="AI1128" s="520">
        <v>0</v>
      </c>
      <c r="AJ1128" s="520">
        <f>VLOOKUP($I1128,'Price List, Weapons &amp; Items'!A:E,5,0)</f>
        <v>1</v>
      </c>
      <c r="AK1128" s="520">
        <f t="shared" si="249"/>
        <v>0</v>
      </c>
      <c r="AL1128" s="520">
        <f t="shared" si="250"/>
        <v>0</v>
      </c>
      <c r="AM1128" s="520">
        <f t="shared" si="251"/>
        <v>0</v>
      </c>
      <c r="AN1128" s="521" t="str">
        <f>VLOOKUP($I1128,'Price List, Weapons &amp; Items'!A:K,COLUMN('Price List, Weapons &amp; Items'!$I$1),0)</f>
        <v>Contracts</v>
      </c>
      <c r="AO1128" s="521" t="str">
        <f>IF(I1128=".",".",VLOOKUP($I1128,'Price List, Weapons &amp; Items'!A:I,3,0))</f>
        <v>227mm MLRS</v>
      </c>
      <c r="AP1128" s="517" t="str">
        <f t="shared" ca="1" si="257"/>
        <v/>
      </c>
      <c r="AQ1128" s="521">
        <f>VLOOKUP($I1128,'Price List, Weapons &amp; Items'!A:K,COLUMN('Price List, Weapons &amp; Items'!$K$1),0)</f>
        <v>2</v>
      </c>
      <c r="AS1128" s="521">
        <f t="shared" si="252"/>
        <v>1</v>
      </c>
      <c r="AT1128" s="521">
        <f t="shared" si="253"/>
        <v>1</v>
      </c>
      <c r="AU1128" s="521">
        <f t="shared" si="254"/>
        <v>1</v>
      </c>
      <c r="AV1128" s="521" t="str">
        <f t="shared" si="255"/>
        <v>.</v>
      </c>
    </row>
    <row r="1129" spans="1:48" ht="15" customHeight="1">
      <c r="A1129" s="46" t="s">
        <v>2780</v>
      </c>
      <c r="B1129" s="46" t="s">
        <v>2548</v>
      </c>
      <c r="C1129" s="550">
        <v>44838</v>
      </c>
      <c r="D1129" s="46" t="s">
        <v>252</v>
      </c>
      <c r="E1129" s="46" t="s">
        <v>253</v>
      </c>
      <c r="F1129" s="816" t="s">
        <v>2783</v>
      </c>
      <c r="G1129" s="39" t="s">
        <v>314</v>
      </c>
      <c r="H1129" s="563">
        <v>625000000</v>
      </c>
      <c r="I1129" s="41" t="s">
        <v>2234</v>
      </c>
      <c r="J1129" s="276" t="str">
        <f>VLOOKUP($I1129,'Price List, Weapons &amp; Items'!A:B,2,0)</f>
        <v>Heavy weapon</v>
      </c>
      <c r="K1129" s="276" t="str">
        <f>IF(I1129=".",I1129,VLOOKUP($I1129,'Price List, Weapons &amp; Items'!A:C,3,0))</f>
        <v>unknown howitzer</v>
      </c>
      <c r="L1129" s="514">
        <f>VLOOKUP(I1129,'Price List, Weapons &amp; Items'!A:D,4,0)</f>
        <v>0</v>
      </c>
      <c r="M1129" s="515">
        <v>32</v>
      </c>
      <c r="N1129" s="515" t="s">
        <v>232</v>
      </c>
      <c r="O1129" s="516" t="str">
        <f>VLOOKUP($I1129,'Price List, Weapons &amp; Items'!A:F,6,0)</f>
        <v>.</v>
      </c>
      <c r="P1129" s="513" t="str">
        <f t="shared" si="246"/>
        <v>No price</v>
      </c>
      <c r="Q1129" s="513" t="str">
        <f t="shared" si="247"/>
        <v>.</v>
      </c>
      <c r="R1129" s="513" t="str">
        <f t="shared" si="256"/>
        <v/>
      </c>
      <c r="S1129" s="513" t="str">
        <f>IF(AND(AD1129=1,R1129&lt;&gt;".")=TRUE,R1129/VLOOKUP(G1129,'Exchange rates'!B:C,2,0),IF(R1129=".",".",""))</f>
        <v/>
      </c>
      <c r="T1129" s="513" t="str">
        <f>IF(AD1129=1,IF(AF1129="Value is not given at all",".",IF(AF1129="Value is given by the source",S1129,IF(AF1129="Value is calculated with prices",(IF(SUMIFS(Q:Q,A:A,A1129)&gt;0,SUMIFS(Q:Q,A:A,A1129),"."))/VLOOKUP("USD",'Exchange rates'!B:C,2,0),"Error with coding"))),"")</f>
        <v/>
      </c>
      <c r="U1129" s="39" t="s">
        <v>233</v>
      </c>
      <c r="V1129" s="827" t="s">
        <v>2784</v>
      </c>
      <c r="W1129" s="827" t="s">
        <v>2785</v>
      </c>
      <c r="X1129" s="42" t="s">
        <v>232</v>
      </c>
      <c r="Y1129" s="825" t="s">
        <v>232</v>
      </c>
      <c r="Z1129" s="39">
        <v>0</v>
      </c>
      <c r="AA1129" s="518">
        <v>1</v>
      </c>
      <c r="AB1129" s="395" t="s">
        <v>232</v>
      </c>
      <c r="AC1129" s="519" t="str">
        <f>""</f>
        <v/>
      </c>
      <c r="AD1129" s="520">
        <v>0</v>
      </c>
      <c r="AE1129" s="520" t="s">
        <v>236</v>
      </c>
      <c r="AF1129" s="520" t="s">
        <v>237</v>
      </c>
      <c r="AG1129" s="520">
        <v>1</v>
      </c>
      <c r="AH1129" s="520">
        <v>10</v>
      </c>
      <c r="AI1129" s="520">
        <v>0</v>
      </c>
      <c r="AJ1129" s="520">
        <f>VLOOKUP($I1129,'Price List, Weapons &amp; Items'!A:E,5,0)</f>
        <v>0</v>
      </c>
      <c r="AK1129" s="520">
        <f t="shared" si="249"/>
        <v>0</v>
      </c>
      <c r="AL1129" s="520">
        <f t="shared" si="250"/>
        <v>0</v>
      </c>
      <c r="AM1129" s="520">
        <f t="shared" si="251"/>
        <v>0</v>
      </c>
      <c r="AN1129" s="521" t="str">
        <f>VLOOKUP($I1129,'Price List, Weapons &amp; Items'!A:K,COLUMN('Price List, Weapons &amp; Items'!$I$1),0)</f>
        <v>.</v>
      </c>
      <c r="AO1129" s="521" t="str">
        <f>IF(I1129=".",".",VLOOKUP($I1129,'Price List, Weapons &amp; Items'!A:I,3,0))</f>
        <v>unknown howitzer</v>
      </c>
      <c r="AP1129" s="517" t="str">
        <f t="shared" ca="1" si="257"/>
        <v/>
      </c>
      <c r="AQ1129" s="521">
        <f>VLOOKUP($I1129,'Price List, Weapons &amp; Items'!A:K,COLUMN('Price List, Weapons &amp; Items'!$K$1),0)</f>
        <v>0</v>
      </c>
      <c r="AS1129" s="521">
        <f t="shared" si="252"/>
        <v>1</v>
      </c>
      <c r="AT1129" s="521">
        <f t="shared" si="253"/>
        <v>1</v>
      </c>
      <c r="AU1129" s="521">
        <f t="shared" si="254"/>
        <v>1</v>
      </c>
      <c r="AV1129" s="521" t="str">
        <f t="shared" si="255"/>
        <v>.</v>
      </c>
    </row>
    <row r="1130" spans="1:48" ht="15" customHeight="1">
      <c r="A1130" s="46" t="s">
        <v>2780</v>
      </c>
      <c r="B1130" s="46" t="s">
        <v>2548</v>
      </c>
      <c r="C1130" s="550">
        <v>44838</v>
      </c>
      <c r="D1130" s="46" t="s">
        <v>252</v>
      </c>
      <c r="E1130" s="46" t="s">
        <v>253</v>
      </c>
      <c r="F1130" s="816" t="s">
        <v>2783</v>
      </c>
      <c r="G1130" s="39" t="s">
        <v>314</v>
      </c>
      <c r="H1130" s="563">
        <v>625000000</v>
      </c>
      <c r="I1130" s="46" t="s">
        <v>2690</v>
      </c>
      <c r="J1130" s="276" t="str">
        <f>VLOOKUP($I1130,'Price List, Weapons &amp; Items'!A:B,2,0)</f>
        <v>Heavy Weapon</v>
      </c>
      <c r="K1130" s="276" t="str">
        <f>IF(I1130=".",I1130,VLOOKUP($I1130,'Price List, Weapons &amp; Items'!A:C,3,0))</f>
        <v>.</v>
      </c>
      <c r="L1130" s="514">
        <f>VLOOKUP(I1130,'Price List, Weapons &amp; Items'!A:D,4,0)</f>
        <v>0</v>
      </c>
      <c r="M1130" s="515">
        <v>200</v>
      </c>
      <c r="N1130" s="515" t="s">
        <v>232</v>
      </c>
      <c r="O1130" s="516">
        <f>VLOOKUP($I1130,'Price List, Weapons &amp; Items'!A:F,6,0)</f>
        <v>405530</v>
      </c>
      <c r="P1130" s="513">
        <f t="shared" si="246"/>
        <v>81106000</v>
      </c>
      <c r="Q1130" s="513" t="str">
        <f t="shared" si="247"/>
        <v>.</v>
      </c>
      <c r="R1130" s="513" t="str">
        <f t="shared" si="256"/>
        <v/>
      </c>
      <c r="S1130" s="513" t="str">
        <f>IF(AND(AD1130=1,R1130&lt;&gt;".")=TRUE,R1130/VLOOKUP(G1130,'Exchange rates'!B:C,2,0),IF(R1130=".",".",""))</f>
        <v/>
      </c>
      <c r="T1130" s="513" t="str">
        <f>IF(AD1130=1,IF(AF1130="Value is not given at all",".",IF(AF1130="Value is given by the source",S1130,IF(AF1130="Value is calculated with prices",(IF(SUMIFS(Q:Q,A:A,A1130)&gt;0,SUMIFS(Q:Q,A:A,A1130),"."))/VLOOKUP("USD",'Exchange rates'!B:C,2,0),"Error with coding"))),"")</f>
        <v/>
      </c>
      <c r="U1130" s="39" t="s">
        <v>233</v>
      </c>
      <c r="V1130" s="827" t="s">
        <v>2784</v>
      </c>
      <c r="W1130" s="827" t="s">
        <v>2785</v>
      </c>
      <c r="X1130" s="42" t="s">
        <v>232</v>
      </c>
      <c r="Y1130" s="825" t="s">
        <v>232</v>
      </c>
      <c r="Z1130" s="39">
        <v>0</v>
      </c>
      <c r="AA1130" s="518">
        <v>1</v>
      </c>
      <c r="AB1130" s="395" t="s">
        <v>232</v>
      </c>
      <c r="AC1130" s="519" t="str">
        <f>""</f>
        <v/>
      </c>
      <c r="AD1130" s="520">
        <v>0</v>
      </c>
      <c r="AE1130" s="520" t="s">
        <v>236</v>
      </c>
      <c r="AF1130" s="520" t="s">
        <v>237</v>
      </c>
      <c r="AG1130" s="520">
        <v>1</v>
      </c>
      <c r="AH1130" s="520">
        <v>10</v>
      </c>
      <c r="AI1130" s="520">
        <v>0</v>
      </c>
      <c r="AJ1130" s="520">
        <f>VLOOKUP($I1130,'Price List, Weapons &amp; Items'!A:E,5,0)</f>
        <v>0</v>
      </c>
      <c r="AK1130" s="520">
        <f t="shared" si="249"/>
        <v>0</v>
      </c>
      <c r="AL1130" s="520">
        <f t="shared" si="250"/>
        <v>0</v>
      </c>
      <c r="AM1130" s="520">
        <f t="shared" si="251"/>
        <v>0</v>
      </c>
      <c r="AN1130" s="521" t="str">
        <f>VLOOKUP($I1130,'Price List, Weapons &amp; Items'!A:K,COLUMN('Price List, Weapons &amp; Items'!$I$1),0)</f>
        <v>Contract</v>
      </c>
      <c r="AO1130" s="521" t="str">
        <f>IF(I1130=".",".",VLOOKUP($I1130,'Price List, Weapons &amp; Items'!A:I,3,0))</f>
        <v>.</v>
      </c>
      <c r="AP1130" s="517" t="str">
        <f t="shared" ca="1" si="257"/>
        <v/>
      </c>
      <c r="AQ1130" s="521">
        <f>VLOOKUP($I1130,'Price List, Weapons &amp; Items'!A:K,COLUMN('Price List, Weapons &amp; Items'!$K$1),0)</f>
        <v>2</v>
      </c>
      <c r="AS1130" s="521">
        <f t="shared" si="252"/>
        <v>1</v>
      </c>
      <c r="AT1130" s="521">
        <f t="shared" si="253"/>
        <v>1</v>
      </c>
      <c r="AU1130" s="521">
        <f t="shared" si="254"/>
        <v>1</v>
      </c>
      <c r="AV1130" s="521" t="str">
        <f t="shared" si="255"/>
        <v>.</v>
      </c>
    </row>
    <row r="1131" spans="1:48" ht="15" customHeight="1">
      <c r="A1131" s="46" t="s">
        <v>2780</v>
      </c>
      <c r="B1131" s="46" t="s">
        <v>2548</v>
      </c>
      <c r="C1131" s="550">
        <v>44838</v>
      </c>
      <c r="D1131" s="46" t="s">
        <v>252</v>
      </c>
      <c r="E1131" s="46" t="s">
        <v>253</v>
      </c>
      <c r="F1131" s="816" t="s">
        <v>2783</v>
      </c>
      <c r="G1131" s="39" t="s">
        <v>314</v>
      </c>
      <c r="H1131" s="563">
        <v>625000000</v>
      </c>
      <c r="I1131" s="41" t="s">
        <v>2476</v>
      </c>
      <c r="J1131" s="276" t="str">
        <f>VLOOKUP($I1131,'Price List, Weapons &amp; Items'!A:B,2,0)</f>
        <v>Ammunition for heavy weapon</v>
      </c>
      <c r="K1131" s="276" t="str">
        <f>IF(I1131=".",I1131,VLOOKUP($I1131,'Price List, Weapons &amp; Items'!A:C,3,0))</f>
        <v>howitzer ammunition</v>
      </c>
      <c r="L1131" s="514">
        <f>VLOOKUP(I1131,'Price List, Weapons &amp; Items'!A:D,4,0)</f>
        <v>0</v>
      </c>
      <c r="M1131" s="515" t="s">
        <v>264</v>
      </c>
      <c r="N1131" s="515" t="s">
        <v>232</v>
      </c>
      <c r="O1131" s="516">
        <f>VLOOKUP($I1131,'Price List, Weapons &amp; Items'!A:F,6,0)</f>
        <v>2000</v>
      </c>
      <c r="P1131" s="513" t="str">
        <f t="shared" si="246"/>
        <v>.</v>
      </c>
      <c r="Q1131" s="513" t="str">
        <f t="shared" si="247"/>
        <v>.</v>
      </c>
      <c r="R1131" s="513" t="str">
        <f t="shared" si="256"/>
        <v/>
      </c>
      <c r="S1131" s="513" t="str">
        <f>IF(AND(AD1131=1,R1131&lt;&gt;".")=TRUE,R1131/VLOOKUP(G1131,'Exchange rates'!B:C,2,0),IF(R1131=".",".",""))</f>
        <v/>
      </c>
      <c r="T1131" s="513" t="str">
        <f>IF(AD1131=1,IF(AF1131="Value is not given at all",".",IF(AF1131="Value is given by the source",S1131,IF(AF1131="Value is calculated with prices",(IF(SUMIFS(Q:Q,A:A,A1131)&gt;0,SUMIFS(Q:Q,A:A,A1131),"."))/VLOOKUP("USD",'Exchange rates'!B:C,2,0),"Error with coding"))),"")</f>
        <v/>
      </c>
      <c r="U1131" s="39" t="s">
        <v>233</v>
      </c>
      <c r="V1131" s="827" t="s">
        <v>2784</v>
      </c>
      <c r="W1131" s="827" t="s">
        <v>2785</v>
      </c>
      <c r="X1131" s="42" t="s">
        <v>232</v>
      </c>
      <c r="Y1131" s="825" t="s">
        <v>232</v>
      </c>
      <c r="Z1131" s="39">
        <v>0</v>
      </c>
      <c r="AA1131" s="518">
        <v>1</v>
      </c>
      <c r="AB1131" s="395" t="s">
        <v>232</v>
      </c>
      <c r="AC1131" s="519" t="str">
        <f>""</f>
        <v/>
      </c>
      <c r="AD1131" s="520">
        <v>0</v>
      </c>
      <c r="AE1131" s="520" t="s">
        <v>236</v>
      </c>
      <c r="AF1131" s="520" t="s">
        <v>237</v>
      </c>
      <c r="AG1131" s="520">
        <v>1</v>
      </c>
      <c r="AH1131" s="520">
        <v>10</v>
      </c>
      <c r="AI1131" s="520">
        <v>0</v>
      </c>
      <c r="AJ1131" s="520">
        <f>VLOOKUP($I1131,'Price List, Weapons &amp; Items'!A:E,5,0)</f>
        <v>0</v>
      </c>
      <c r="AK1131" s="520">
        <f t="shared" si="249"/>
        <v>0</v>
      </c>
      <c r="AL1131" s="520">
        <f t="shared" si="250"/>
        <v>0</v>
      </c>
      <c r="AM1131" s="520">
        <f t="shared" si="251"/>
        <v>0</v>
      </c>
      <c r="AN1131" s="521" t="str">
        <f>VLOOKUP($I1131,'Price List, Weapons &amp; Items'!A:K,COLUMN('Price List, Weapons &amp; Items'!$I$1),0)</f>
        <v>Media reports (incl. social media)</v>
      </c>
      <c r="AO1131" s="521" t="str">
        <f>IF(I1131=".",".",VLOOKUP($I1131,'Price List, Weapons &amp; Items'!A:I,3,0))</f>
        <v>howitzer ammunition</v>
      </c>
      <c r="AP1131" s="517" t="str">
        <f t="shared" ca="1" si="257"/>
        <v/>
      </c>
      <c r="AQ1131" s="521">
        <f>VLOOKUP($I1131,'Price List, Weapons &amp; Items'!A:K,COLUMN('Price List, Weapons &amp; Items'!$K$1),0)</f>
        <v>2</v>
      </c>
      <c r="AS1131" s="521">
        <f t="shared" si="252"/>
        <v>1</v>
      </c>
      <c r="AT1131" s="521">
        <f t="shared" si="253"/>
        <v>1</v>
      </c>
      <c r="AU1131" s="521">
        <f t="shared" si="254"/>
        <v>1</v>
      </c>
      <c r="AV1131" s="521" t="str">
        <f t="shared" si="255"/>
        <v>.</v>
      </c>
    </row>
    <row r="1132" spans="1:48" ht="15" customHeight="1">
      <c r="A1132" s="46" t="s">
        <v>2780</v>
      </c>
      <c r="B1132" s="46" t="s">
        <v>2548</v>
      </c>
      <c r="C1132" s="550">
        <v>44838</v>
      </c>
      <c r="D1132" s="46" t="s">
        <v>252</v>
      </c>
      <c r="E1132" s="46" t="s">
        <v>253</v>
      </c>
      <c r="F1132" s="816" t="s">
        <v>2783</v>
      </c>
      <c r="G1132" s="39" t="s">
        <v>314</v>
      </c>
      <c r="H1132" s="563">
        <v>625000000</v>
      </c>
      <c r="I1132" s="41" t="s">
        <v>2680</v>
      </c>
      <c r="J1132" s="276" t="str">
        <f>VLOOKUP($I1132,'Price List, Weapons &amp; Items'!A:B,2,0)</f>
        <v>Ammunition for light infantry</v>
      </c>
      <c r="K1132" s="276" t="str">
        <f>IF(I1132=".",I1132,VLOOKUP($I1132,'Price List, Weapons &amp; Items'!A:C,3,0))</f>
        <v>Mortar ammunition</v>
      </c>
      <c r="L1132" s="514">
        <f>VLOOKUP(I1132,'Price List, Weapons &amp; Items'!A:D,4,0)</f>
        <v>0</v>
      </c>
      <c r="M1132" s="515" t="s">
        <v>264</v>
      </c>
      <c r="N1132" s="515" t="s">
        <v>232</v>
      </c>
      <c r="O1132" s="516" t="str">
        <f>VLOOKUP($I1132,'Price List, Weapons &amp; Items'!A:F,6,0)</f>
        <v>.</v>
      </c>
      <c r="P1132" s="513" t="str">
        <f t="shared" si="246"/>
        <v>.</v>
      </c>
      <c r="Q1132" s="513" t="str">
        <f t="shared" si="247"/>
        <v>.</v>
      </c>
      <c r="R1132" s="513" t="str">
        <f t="shared" si="256"/>
        <v/>
      </c>
      <c r="S1132" s="513" t="str">
        <f>IF(AND(AD1132=1,R1132&lt;&gt;".")=TRUE,R1132/VLOOKUP(G1132,'Exchange rates'!B:C,2,0),IF(R1132=".",".",""))</f>
        <v/>
      </c>
      <c r="T1132" s="513" t="str">
        <f>IF(AD1132=1,IF(AF1132="Value is not given at all",".",IF(AF1132="Value is given by the source",S1132,IF(AF1132="Value is calculated with prices",(IF(SUMIFS(Q:Q,A:A,A1132)&gt;0,SUMIFS(Q:Q,A:A,A1132),"."))/VLOOKUP("USD",'Exchange rates'!B:C,2,0),"Error with coding"))),"")</f>
        <v/>
      </c>
      <c r="U1132" s="39" t="s">
        <v>233</v>
      </c>
      <c r="V1132" s="827" t="s">
        <v>2784</v>
      </c>
      <c r="W1132" s="827" t="s">
        <v>2785</v>
      </c>
      <c r="X1132" s="42" t="s">
        <v>232</v>
      </c>
      <c r="Y1132" s="825" t="s">
        <v>232</v>
      </c>
      <c r="Z1132" s="39">
        <v>0</v>
      </c>
      <c r="AA1132" s="518">
        <v>1</v>
      </c>
      <c r="AB1132" s="395" t="s">
        <v>232</v>
      </c>
      <c r="AC1132" s="519" t="str">
        <f>""</f>
        <v/>
      </c>
      <c r="AD1132" s="520">
        <v>0</v>
      </c>
      <c r="AE1132" s="520" t="s">
        <v>236</v>
      </c>
      <c r="AF1132" s="520" t="s">
        <v>237</v>
      </c>
      <c r="AG1132" s="520">
        <v>1</v>
      </c>
      <c r="AH1132" s="520">
        <v>10</v>
      </c>
      <c r="AI1132" s="520">
        <v>0</v>
      </c>
      <c r="AJ1132" s="520">
        <f>VLOOKUP($I1132,'Price List, Weapons &amp; Items'!A:E,5,0)</f>
        <v>0</v>
      </c>
      <c r="AK1132" s="520">
        <f t="shared" si="249"/>
        <v>0</v>
      </c>
      <c r="AL1132" s="520">
        <f t="shared" si="250"/>
        <v>0</v>
      </c>
      <c r="AM1132" s="520">
        <f t="shared" si="251"/>
        <v>1</v>
      </c>
      <c r="AN1132" s="521" t="str">
        <f>VLOOKUP($I1132,'Price List, Weapons &amp; Items'!A:K,COLUMN('Price List, Weapons &amp; Items'!$I$1),0)</f>
        <v>.</v>
      </c>
      <c r="AO1132" s="521" t="str">
        <f>IF(I1132=".",".",VLOOKUP($I1132,'Price List, Weapons &amp; Items'!A:I,3,0))</f>
        <v>Mortar ammunition</v>
      </c>
      <c r="AP1132" s="517" t="str">
        <f t="shared" ca="1" si="257"/>
        <v/>
      </c>
      <c r="AQ1132" s="521">
        <f>VLOOKUP($I1132,'Price List, Weapons &amp; Items'!A:K,COLUMN('Price List, Weapons &amp; Items'!$K$1),0)</f>
        <v>0</v>
      </c>
      <c r="AS1132" s="521">
        <f t="shared" si="252"/>
        <v>1</v>
      </c>
      <c r="AT1132" s="521">
        <f t="shared" si="253"/>
        <v>1</v>
      </c>
      <c r="AU1132" s="521">
        <f t="shared" si="254"/>
        <v>1</v>
      </c>
      <c r="AV1132" s="521" t="str">
        <f t="shared" si="255"/>
        <v>.</v>
      </c>
    </row>
    <row r="1133" spans="1:48" ht="15" customHeight="1">
      <c r="A1133" s="46" t="s">
        <v>2780</v>
      </c>
      <c r="B1133" s="46" t="s">
        <v>2548</v>
      </c>
      <c r="C1133" s="550">
        <v>44848</v>
      </c>
      <c r="D1133" s="46" t="s">
        <v>252</v>
      </c>
      <c r="E1133" s="46" t="s">
        <v>253</v>
      </c>
      <c r="F1133" s="816" t="s">
        <v>2786</v>
      </c>
      <c r="G1133" s="39" t="s">
        <v>314</v>
      </c>
      <c r="H1133" s="563">
        <v>725000000</v>
      </c>
      <c r="I1133" s="41" t="s">
        <v>2655</v>
      </c>
      <c r="J1133" s="276" t="str">
        <f>VLOOKUP($I1133,'Price List, Weapons &amp; Items'!A:B,2,0)</f>
        <v>Ammunition for heavy weapon</v>
      </c>
      <c r="K1133" s="276" t="str">
        <f>IF(I1133=".",I1133,VLOOKUP($I1133,'Price List, Weapons &amp; Items'!A:C,3,0))</f>
        <v>227mm MLRS ammunition</v>
      </c>
      <c r="L1133" s="514">
        <f>VLOOKUP(I1133,'Price List, Weapons &amp; Items'!A:D,4,0)</f>
        <v>0</v>
      </c>
      <c r="M1133" s="515" t="s">
        <v>264</v>
      </c>
      <c r="N1133" s="515" t="s">
        <v>232</v>
      </c>
      <c r="O1133" s="516">
        <f>VLOOKUP($I1133,'Price List, Weapons &amp; Items'!A:F,6,0)</f>
        <v>150000</v>
      </c>
      <c r="P1133" s="513" t="str">
        <f t="shared" si="246"/>
        <v>.</v>
      </c>
      <c r="Q1133" s="513" t="str">
        <f t="shared" si="247"/>
        <v>.</v>
      </c>
      <c r="R1133" s="513" t="str">
        <f t="shared" si="256"/>
        <v/>
      </c>
      <c r="S1133" s="513" t="str">
        <f>IF(AND(AD1133=1,R1133&lt;&gt;".")=TRUE,R1133/VLOOKUP(G1133,'Exchange rates'!B:C,2,0),IF(R1133=".",".",""))</f>
        <v/>
      </c>
      <c r="T1133" s="513" t="str">
        <f>IF(AD1133=1,IF(AF1133="Value is not given at all",".",IF(AF1133="Value is given by the source",S1133,IF(AF1133="Value is calculated with prices",(IF(SUMIFS(Q:Q,A:A,A1133)&gt;0,SUMIFS(Q:Q,A:A,A1133),"."))/VLOOKUP("USD",'Exchange rates'!B:C,2,0),"Error with coding"))),"")</f>
        <v/>
      </c>
      <c r="U1133" s="39" t="s">
        <v>233</v>
      </c>
      <c r="V1133" s="826" t="s">
        <v>2787</v>
      </c>
      <c r="W1133" s="42" t="s">
        <v>232</v>
      </c>
      <c r="X1133" s="42" t="s">
        <v>232</v>
      </c>
      <c r="Y1133" s="825" t="s">
        <v>232</v>
      </c>
      <c r="Z1133" s="39">
        <v>0</v>
      </c>
      <c r="AA1133" s="518">
        <v>1</v>
      </c>
      <c r="AB1133" s="395" t="s">
        <v>232</v>
      </c>
      <c r="AC1133" s="519" t="str">
        <f>""</f>
        <v/>
      </c>
      <c r="AD1133" s="520">
        <v>0</v>
      </c>
      <c r="AE1133" s="520" t="s">
        <v>236</v>
      </c>
      <c r="AF1133" s="520" t="s">
        <v>237</v>
      </c>
      <c r="AG1133" s="520">
        <v>1</v>
      </c>
      <c r="AH1133" s="520">
        <v>10</v>
      </c>
      <c r="AI1133" s="520">
        <v>0</v>
      </c>
      <c r="AJ1133" s="520">
        <f>VLOOKUP($I1133,'Price List, Weapons &amp; Items'!A:E,5,0)</f>
        <v>1</v>
      </c>
      <c r="AK1133" s="520">
        <f t="shared" si="249"/>
        <v>1</v>
      </c>
      <c r="AL1133" s="520">
        <f t="shared" si="250"/>
        <v>0</v>
      </c>
      <c r="AM1133" s="520">
        <f t="shared" si="251"/>
        <v>1</v>
      </c>
      <c r="AN1133" s="521" t="str">
        <f>VLOOKUP($I1133,'Price List, Weapons &amp; Items'!A:K,COLUMN('Price List, Weapons &amp; Items'!$I$1),0)</f>
        <v>Media reports (incl. social media)</v>
      </c>
      <c r="AO1133" s="521" t="str">
        <f>IF(I1133=".",".",VLOOKUP($I1133,'Price List, Weapons &amp; Items'!A:I,3,0))</f>
        <v>227mm MLRS ammunition</v>
      </c>
      <c r="AP1133" s="517" t="str">
        <f t="shared" ca="1" si="257"/>
        <v/>
      </c>
      <c r="AQ1133" s="521" t="str">
        <f>VLOOKUP($I1133,'Price List, Weapons &amp; Items'!A:K,COLUMN('Price List, Weapons &amp; Items'!$K$1),0)</f>
        <v>no price, 0 count</v>
      </c>
      <c r="AS1133" s="521">
        <f t="shared" si="252"/>
        <v>1</v>
      </c>
      <c r="AT1133" s="521">
        <f t="shared" si="253"/>
        <v>1</v>
      </c>
      <c r="AU1133" s="521">
        <f t="shared" si="254"/>
        <v>1</v>
      </c>
      <c r="AV1133" s="521" t="str">
        <f t="shared" si="255"/>
        <v>.</v>
      </c>
    </row>
    <row r="1134" spans="1:48" ht="15" customHeight="1">
      <c r="A1134" s="46" t="s">
        <v>2780</v>
      </c>
      <c r="B1134" s="46" t="s">
        <v>2548</v>
      </c>
      <c r="C1134" s="550">
        <v>44848</v>
      </c>
      <c r="D1134" s="46" t="s">
        <v>252</v>
      </c>
      <c r="E1134" s="46" t="s">
        <v>253</v>
      </c>
      <c r="F1134" s="816" t="s">
        <v>2786</v>
      </c>
      <c r="G1134" s="39" t="s">
        <v>314</v>
      </c>
      <c r="H1134" s="563">
        <v>725000000</v>
      </c>
      <c r="I1134" s="41" t="s">
        <v>574</v>
      </c>
      <c r="J1134" s="276" t="str">
        <f>VLOOKUP($I1134,'Price List, Weapons &amp; Items'!A:B,2,0)</f>
        <v>Ammunition for heavy weapon</v>
      </c>
      <c r="K1134" s="276" t="str">
        <f>IF(I1134=".",I1134,VLOOKUP($I1134,'Price List, Weapons &amp; Items'!A:C,3,0))</f>
        <v>155mm howitzer ammunition</v>
      </c>
      <c r="L1134" s="514">
        <f>VLOOKUP(I1134,'Price List, Weapons &amp; Items'!A:D,4,0)</f>
        <v>0</v>
      </c>
      <c r="M1134" s="515">
        <v>23000</v>
      </c>
      <c r="N1134" s="515" t="s">
        <v>232</v>
      </c>
      <c r="O1134" s="516">
        <f>VLOOKUP($I1134,'Price List, Weapons &amp; Items'!A:F,6,0)</f>
        <v>3800</v>
      </c>
      <c r="P1134" s="513">
        <f t="shared" si="246"/>
        <v>87400000</v>
      </c>
      <c r="Q1134" s="513" t="str">
        <f t="shared" si="247"/>
        <v>.</v>
      </c>
      <c r="R1134" s="513" t="str">
        <f t="shared" si="256"/>
        <v/>
      </c>
      <c r="S1134" s="513" t="str">
        <f>IF(AND(AD1134=1,R1134&lt;&gt;".")=TRUE,R1134/VLOOKUP(G1134,'Exchange rates'!B:C,2,0),IF(R1134=".",".",""))</f>
        <v/>
      </c>
      <c r="T1134" s="513" t="str">
        <f>IF(AD1134=1,IF(AF1134="Value is not given at all",".",IF(AF1134="Value is given by the source",S1134,IF(AF1134="Value is calculated with prices",(IF(SUMIFS(Q:Q,A:A,A1134)&gt;0,SUMIFS(Q:Q,A:A,A1134),"."))/VLOOKUP("USD",'Exchange rates'!B:C,2,0),"Error with coding"))),"")</f>
        <v/>
      </c>
      <c r="U1134" s="39" t="s">
        <v>233</v>
      </c>
      <c r="V1134" s="826" t="s">
        <v>2787</v>
      </c>
      <c r="W1134" s="42" t="s">
        <v>232</v>
      </c>
      <c r="X1134" s="42" t="s">
        <v>232</v>
      </c>
      <c r="Y1134" s="825" t="s">
        <v>232</v>
      </c>
      <c r="Z1134" s="39">
        <v>0</v>
      </c>
      <c r="AA1134" s="518">
        <v>1</v>
      </c>
      <c r="AB1134" s="395" t="s">
        <v>232</v>
      </c>
      <c r="AC1134" s="519" t="str">
        <f>""</f>
        <v/>
      </c>
      <c r="AD1134" s="520">
        <v>0</v>
      </c>
      <c r="AE1134" s="520" t="s">
        <v>236</v>
      </c>
      <c r="AF1134" s="520" t="s">
        <v>237</v>
      </c>
      <c r="AG1134" s="520">
        <v>1</v>
      </c>
      <c r="AH1134" s="520">
        <v>10</v>
      </c>
      <c r="AI1134" s="520">
        <v>0</v>
      </c>
      <c r="AJ1134" s="520">
        <f>VLOOKUP($I1134,'Price List, Weapons &amp; Items'!A:E,5,0)</f>
        <v>1</v>
      </c>
      <c r="AK1134" s="520">
        <f t="shared" si="249"/>
        <v>0</v>
      </c>
      <c r="AL1134" s="520">
        <f t="shared" si="250"/>
        <v>0</v>
      </c>
      <c r="AM1134" s="520">
        <f t="shared" si="251"/>
        <v>0</v>
      </c>
      <c r="AN1134" s="521" t="str">
        <f>VLOOKUP($I1134,'Price List, Weapons &amp; Items'!A:K,COLUMN('Price List, Weapons &amp; Items'!$I$1),0)</f>
        <v>Government information</v>
      </c>
      <c r="AO1134" s="521" t="str">
        <f>IF(I1134=".",".",VLOOKUP($I1134,'Price List, Weapons &amp; Items'!A:I,3,0))</f>
        <v>155mm howitzer ammunition</v>
      </c>
      <c r="AP1134" s="517" t="str">
        <f t="shared" ca="1" si="257"/>
        <v/>
      </c>
      <c r="AQ1134" s="521">
        <f>VLOOKUP($I1134,'Price List, Weapons &amp; Items'!A:K,COLUMN('Price List, Weapons &amp; Items'!$K$1),0)</f>
        <v>2</v>
      </c>
      <c r="AS1134" s="521">
        <f t="shared" si="252"/>
        <v>1</v>
      </c>
      <c r="AT1134" s="521">
        <f t="shared" si="253"/>
        <v>1</v>
      </c>
      <c r="AU1134" s="521">
        <f t="shared" si="254"/>
        <v>1</v>
      </c>
      <c r="AV1134" s="521" t="str">
        <f t="shared" si="255"/>
        <v>.</v>
      </c>
    </row>
    <row r="1135" spans="1:48" ht="15" customHeight="1">
      <c r="A1135" s="46" t="s">
        <v>2780</v>
      </c>
      <c r="B1135" s="46" t="s">
        <v>2548</v>
      </c>
      <c r="C1135" s="550">
        <v>44848</v>
      </c>
      <c r="D1135" s="46" t="s">
        <v>252</v>
      </c>
      <c r="E1135" s="46" t="s">
        <v>253</v>
      </c>
      <c r="F1135" s="816" t="s">
        <v>2786</v>
      </c>
      <c r="G1135" s="39" t="s">
        <v>314</v>
      </c>
      <c r="H1135" s="563">
        <v>725000000</v>
      </c>
      <c r="I1135" s="41" t="s">
        <v>2788</v>
      </c>
      <c r="J1135" s="276" t="str">
        <f>VLOOKUP($I1135,'Price List, Weapons &amp; Items'!A:B,2,0)</f>
        <v>Ammunition for heavy weapon</v>
      </c>
      <c r="K1135" s="276" t="str">
        <f>IF(I1135=".",I1135,VLOOKUP($I1135,'Price List, Weapons &amp; Items'!A:C,3,0))</f>
        <v>.</v>
      </c>
      <c r="L1135" s="514">
        <f>VLOOKUP(I1135,'Price List, Weapons &amp; Items'!A:D,4,0)</f>
        <v>0</v>
      </c>
      <c r="M1135" s="515">
        <v>500</v>
      </c>
      <c r="N1135" s="515" t="s">
        <v>232</v>
      </c>
      <c r="O1135" s="516">
        <f>VLOOKUP($I1135,'Price List, Weapons &amp; Items'!A:F,6,0)</f>
        <v>112800</v>
      </c>
      <c r="P1135" s="513">
        <f t="shared" si="246"/>
        <v>56400000</v>
      </c>
      <c r="Q1135" s="513" t="str">
        <f t="shared" si="247"/>
        <v>.</v>
      </c>
      <c r="R1135" s="513" t="str">
        <f t="shared" si="256"/>
        <v/>
      </c>
      <c r="S1135" s="513" t="str">
        <f>IF(AND(AD1135=1,R1135&lt;&gt;".")=TRUE,R1135/VLOOKUP(G1135,'Exchange rates'!B:C,2,0),IF(R1135=".",".",""))</f>
        <v/>
      </c>
      <c r="T1135" s="513" t="str">
        <f>IF(AD1135=1,IF(AF1135="Value is not given at all",".",IF(AF1135="Value is given by the source",S1135,IF(AF1135="Value is calculated with prices",(IF(SUMIFS(Q:Q,A:A,A1135)&gt;0,SUMIFS(Q:Q,A:A,A1135),"."))/VLOOKUP("USD",'Exchange rates'!B:C,2,0),"Error with coding"))),"")</f>
        <v/>
      </c>
      <c r="U1135" s="39" t="s">
        <v>233</v>
      </c>
      <c r="V1135" s="826" t="s">
        <v>2787</v>
      </c>
      <c r="W1135" s="42" t="s">
        <v>232</v>
      </c>
      <c r="X1135" s="42" t="s">
        <v>232</v>
      </c>
      <c r="Y1135" s="825" t="s">
        <v>232</v>
      </c>
      <c r="Z1135" s="39">
        <v>0</v>
      </c>
      <c r="AA1135" s="518">
        <v>1</v>
      </c>
      <c r="AB1135" s="395" t="s">
        <v>232</v>
      </c>
      <c r="AC1135" s="519" t="str">
        <f>""</f>
        <v/>
      </c>
      <c r="AD1135" s="520">
        <v>0</v>
      </c>
      <c r="AE1135" s="520" t="s">
        <v>236</v>
      </c>
      <c r="AF1135" s="520" t="s">
        <v>237</v>
      </c>
      <c r="AG1135" s="520">
        <v>1</v>
      </c>
      <c r="AH1135" s="520">
        <v>10</v>
      </c>
      <c r="AI1135" s="520">
        <v>0</v>
      </c>
      <c r="AJ1135" s="520">
        <f>VLOOKUP($I1135,'Price List, Weapons &amp; Items'!A:E,5,0)</f>
        <v>0</v>
      </c>
      <c r="AK1135" s="520">
        <f t="shared" si="249"/>
        <v>0</v>
      </c>
      <c r="AL1135" s="520">
        <f t="shared" si="250"/>
        <v>0</v>
      </c>
      <c r="AM1135" s="520">
        <f t="shared" si="251"/>
        <v>0</v>
      </c>
      <c r="AN1135" s="521" t="str">
        <f>VLOOKUP($I1135,'Price List, Weapons &amp; Items'!A:K,COLUMN('Price List, Weapons &amp; Items'!$I$1),0)</f>
        <v>Miscellaneous</v>
      </c>
      <c r="AO1135" s="521" t="str">
        <f>IF(I1135=".",".",VLOOKUP($I1135,'Price List, Weapons &amp; Items'!A:I,3,0))</f>
        <v>.</v>
      </c>
      <c r="AP1135" s="517" t="str">
        <f t="shared" ca="1" si="257"/>
        <v/>
      </c>
      <c r="AQ1135" s="521">
        <f>VLOOKUP($I1135,'Price List, Weapons &amp; Items'!A:K,COLUMN('Price List, Weapons &amp; Items'!$K$1),0)</f>
        <v>2</v>
      </c>
      <c r="AS1135" s="521">
        <f t="shared" si="252"/>
        <v>1</v>
      </c>
      <c r="AT1135" s="521">
        <f t="shared" si="253"/>
        <v>1</v>
      </c>
      <c r="AU1135" s="521">
        <f t="shared" si="254"/>
        <v>1</v>
      </c>
      <c r="AV1135" s="521" t="str">
        <f t="shared" si="255"/>
        <v>.</v>
      </c>
    </row>
    <row r="1136" spans="1:48" ht="15" customHeight="1">
      <c r="A1136" s="46" t="s">
        <v>2780</v>
      </c>
      <c r="B1136" s="46" t="s">
        <v>2548</v>
      </c>
      <c r="C1136" s="550">
        <v>44848</v>
      </c>
      <c r="D1136" s="46" t="s">
        <v>252</v>
      </c>
      <c r="E1136" s="46" t="s">
        <v>253</v>
      </c>
      <c r="F1136" s="816" t="s">
        <v>2786</v>
      </c>
      <c r="G1136" s="39" t="s">
        <v>314</v>
      </c>
      <c r="H1136" s="563">
        <v>725000000</v>
      </c>
      <c r="I1136" s="41" t="s">
        <v>2789</v>
      </c>
      <c r="J1136" s="276" t="str">
        <f>VLOOKUP($I1136,'Price List, Weapons &amp; Items'!A:B,2,0)</f>
        <v>Ammunition for heavy weapon</v>
      </c>
      <c r="K1136" s="276" t="str">
        <f>IF(I1136=".",I1136,VLOOKUP($I1136,'Price List, Weapons &amp; Items'!A:C,3,0))</f>
        <v>155mm howitzer ammunition</v>
      </c>
      <c r="L1136" s="514">
        <f>VLOOKUP(I1136,'Price List, Weapons &amp; Items'!A:D,4,0)</f>
        <v>0</v>
      </c>
      <c r="M1136" s="515">
        <v>5000</v>
      </c>
      <c r="N1136" s="515" t="s">
        <v>232</v>
      </c>
      <c r="O1136" s="516">
        <f>VLOOKUP($I1136,'Price List, Weapons &amp; Items'!A:F,6,0)</f>
        <v>98000</v>
      </c>
      <c r="P1136" s="513">
        <f t="shared" si="246"/>
        <v>490000000</v>
      </c>
      <c r="Q1136" s="513" t="str">
        <f t="shared" si="247"/>
        <v>.</v>
      </c>
      <c r="R1136" s="513" t="str">
        <f t="shared" si="256"/>
        <v/>
      </c>
      <c r="S1136" s="513" t="str">
        <f>IF(AND(AD1136=1,R1136&lt;&gt;".")=TRUE,R1136/VLOOKUP(G1136,'Exchange rates'!B:C,2,0),IF(R1136=".",".",""))</f>
        <v/>
      </c>
      <c r="T1136" s="513" t="str">
        <f>IF(AD1136=1,IF(AF1136="Value is not given at all",".",IF(AF1136="Value is given by the source",S1136,IF(AF1136="Value is calculated with prices",(IF(SUMIFS(Q:Q,A:A,A1136)&gt;0,SUMIFS(Q:Q,A:A,A1136),"."))/VLOOKUP("USD",'Exchange rates'!B:C,2,0),"Error with coding"))),"")</f>
        <v/>
      </c>
      <c r="U1136" s="39" t="s">
        <v>233</v>
      </c>
      <c r="V1136" s="826" t="s">
        <v>2787</v>
      </c>
      <c r="W1136" s="42" t="s">
        <v>232</v>
      </c>
      <c r="X1136" s="42" t="s">
        <v>232</v>
      </c>
      <c r="Y1136" s="825" t="s">
        <v>232</v>
      </c>
      <c r="Z1136" s="39">
        <v>0</v>
      </c>
      <c r="AA1136" s="518">
        <v>1</v>
      </c>
      <c r="AB1136" s="395" t="s">
        <v>232</v>
      </c>
      <c r="AC1136" s="519" t="str">
        <f>""</f>
        <v/>
      </c>
      <c r="AD1136" s="520">
        <v>0</v>
      </c>
      <c r="AE1136" s="520" t="s">
        <v>236</v>
      </c>
      <c r="AF1136" s="520" t="s">
        <v>237</v>
      </c>
      <c r="AG1136" s="520">
        <v>1</v>
      </c>
      <c r="AH1136" s="520">
        <v>10</v>
      </c>
      <c r="AI1136" s="520">
        <v>0</v>
      </c>
      <c r="AJ1136" s="520">
        <f>VLOOKUP($I1136,'Price List, Weapons &amp; Items'!A:E,5,0)</f>
        <v>1</v>
      </c>
      <c r="AK1136" s="520">
        <f t="shared" si="249"/>
        <v>0</v>
      </c>
      <c r="AL1136" s="520">
        <f t="shared" si="250"/>
        <v>0</v>
      </c>
      <c r="AM1136" s="520">
        <f t="shared" si="251"/>
        <v>0</v>
      </c>
      <c r="AN1136" s="521" t="str">
        <f>VLOOKUP($I1136,'Price List, Weapons &amp; Items'!A:K,COLUMN('Price List, Weapons &amp; Items'!$I$1),0)</f>
        <v>Government information</v>
      </c>
      <c r="AO1136" s="521" t="str">
        <f>IF(I1136=".",".",VLOOKUP($I1136,'Price List, Weapons &amp; Items'!A:I,3,0))</f>
        <v>155mm howitzer ammunition</v>
      </c>
      <c r="AP1136" s="517" t="str">
        <f t="shared" ca="1" si="257"/>
        <v/>
      </c>
      <c r="AQ1136" s="521">
        <f>VLOOKUP($I1136,'Price List, Weapons &amp; Items'!A:K,COLUMN('Price List, Weapons &amp; Items'!$K$1),0)</f>
        <v>2</v>
      </c>
      <c r="AS1136" s="521">
        <f t="shared" si="252"/>
        <v>1</v>
      </c>
      <c r="AT1136" s="521">
        <f t="shared" si="253"/>
        <v>1</v>
      </c>
      <c r="AU1136" s="521">
        <f t="shared" si="254"/>
        <v>1</v>
      </c>
      <c r="AV1136" s="521" t="str">
        <f t="shared" si="255"/>
        <v>.</v>
      </c>
    </row>
    <row r="1137" spans="1:48" ht="15" customHeight="1">
      <c r="A1137" s="46" t="s">
        <v>2780</v>
      </c>
      <c r="B1137" s="46" t="s">
        <v>2548</v>
      </c>
      <c r="C1137" s="550">
        <v>44848</v>
      </c>
      <c r="D1137" s="46" t="s">
        <v>252</v>
      </c>
      <c r="E1137" s="46" t="s">
        <v>253</v>
      </c>
      <c r="F1137" s="816" t="s">
        <v>2786</v>
      </c>
      <c r="G1137" s="39" t="s">
        <v>314</v>
      </c>
      <c r="H1137" s="563">
        <v>725000000</v>
      </c>
      <c r="I1137" s="41" t="s">
        <v>886</v>
      </c>
      <c r="J1137" s="276" t="str">
        <f>VLOOKUP($I1137,'Price List, Weapons &amp; Items'!A:B,2,0)</f>
        <v>Portable defence system</v>
      </c>
      <c r="K1137" s="276" t="str">
        <f>IF(I1137=".",I1137,VLOOKUP($I1137,'Price List, Weapons &amp; Items'!A:C,3,0))</f>
        <v>Light Anti-armor Weapon (LAW)</v>
      </c>
      <c r="L1137" s="514">
        <f>VLOOKUP(I1137,'Price List, Weapons &amp; Items'!A:D,4,0)</f>
        <v>0</v>
      </c>
      <c r="M1137" s="515">
        <v>5000</v>
      </c>
      <c r="N1137" s="515" t="s">
        <v>232</v>
      </c>
      <c r="O1137" s="516">
        <f>VLOOKUP($I1137,'Price List, Weapons &amp; Items'!A:F,6,0)</f>
        <v>40000</v>
      </c>
      <c r="P1137" s="513">
        <f t="shared" si="246"/>
        <v>200000000</v>
      </c>
      <c r="Q1137" s="513" t="str">
        <f t="shared" si="247"/>
        <v>.</v>
      </c>
      <c r="R1137" s="513" t="str">
        <f t="shared" si="256"/>
        <v/>
      </c>
      <c r="S1137" s="513" t="str">
        <f>IF(AND(AD1137=1,R1137&lt;&gt;".")=TRUE,R1137/VLOOKUP(G1137,'Exchange rates'!B:C,2,0),IF(R1137=".",".",""))</f>
        <v/>
      </c>
      <c r="T1137" s="513" t="str">
        <f>IF(AD1137=1,IF(AF1137="Value is not given at all",".",IF(AF1137="Value is given by the source",S1137,IF(AF1137="Value is calculated with prices",(IF(SUMIFS(Q:Q,A:A,A1137)&gt;0,SUMIFS(Q:Q,A:A,A1137),"."))/VLOOKUP("USD",'Exchange rates'!B:C,2,0),"Error with coding"))),"")</f>
        <v/>
      </c>
      <c r="U1137" s="39" t="s">
        <v>233</v>
      </c>
      <c r="V1137" s="826" t="s">
        <v>2787</v>
      </c>
      <c r="W1137" s="42" t="s">
        <v>232</v>
      </c>
      <c r="X1137" s="42" t="s">
        <v>232</v>
      </c>
      <c r="Y1137" s="825" t="s">
        <v>232</v>
      </c>
      <c r="Z1137" s="39">
        <v>0</v>
      </c>
      <c r="AA1137" s="518">
        <v>1</v>
      </c>
      <c r="AB1137" s="395" t="s">
        <v>232</v>
      </c>
      <c r="AC1137" s="519" t="str">
        <f>""</f>
        <v/>
      </c>
      <c r="AD1137" s="520">
        <v>0</v>
      </c>
      <c r="AE1137" s="520" t="s">
        <v>236</v>
      </c>
      <c r="AF1137" s="520" t="s">
        <v>237</v>
      </c>
      <c r="AG1137" s="520">
        <v>1</v>
      </c>
      <c r="AH1137" s="520">
        <v>10</v>
      </c>
      <c r="AI1137" s="520">
        <v>0</v>
      </c>
      <c r="AJ1137" s="520">
        <f>VLOOKUP($I1137,'Price List, Weapons &amp; Items'!A:E,5,0)</f>
        <v>0</v>
      </c>
      <c r="AK1137" s="520">
        <f t="shared" si="249"/>
        <v>0</v>
      </c>
      <c r="AL1137" s="520">
        <f t="shared" si="250"/>
        <v>0</v>
      </c>
      <c r="AM1137" s="520">
        <f t="shared" si="251"/>
        <v>0</v>
      </c>
      <c r="AN1137" s="521" t="str">
        <f>VLOOKUP($I1137,'Price List, Weapons &amp; Items'!A:K,COLUMN('Price List, Weapons &amp; Items'!$I$1),0)</f>
        <v>Media reports (incl. social media)</v>
      </c>
      <c r="AO1137" s="521" t="str">
        <f>IF(I1137=".",".",VLOOKUP($I1137,'Price List, Weapons &amp; Items'!A:I,3,0))</f>
        <v>Light Anti-armor Weapon (LAW)</v>
      </c>
      <c r="AP1137" s="517" t="str">
        <f t="shared" ca="1" si="257"/>
        <v/>
      </c>
      <c r="AQ1137" s="521">
        <f>VLOOKUP($I1137,'Price List, Weapons &amp; Items'!A:K,COLUMN('Price List, Weapons &amp; Items'!$K$1),0)</f>
        <v>2</v>
      </c>
      <c r="AS1137" s="521">
        <f t="shared" si="252"/>
        <v>1</v>
      </c>
      <c r="AT1137" s="521">
        <f t="shared" si="253"/>
        <v>1</v>
      </c>
      <c r="AU1137" s="521">
        <f t="shared" si="254"/>
        <v>1</v>
      </c>
      <c r="AV1137" s="521" t="str">
        <f t="shared" si="255"/>
        <v>.</v>
      </c>
    </row>
    <row r="1138" spans="1:48" ht="15" customHeight="1">
      <c r="A1138" s="46" t="s">
        <v>2780</v>
      </c>
      <c r="B1138" s="46" t="s">
        <v>2548</v>
      </c>
      <c r="C1138" s="550">
        <v>44848</v>
      </c>
      <c r="D1138" s="46" t="s">
        <v>252</v>
      </c>
      <c r="E1138" s="46" t="s">
        <v>253</v>
      </c>
      <c r="F1138" s="816" t="s">
        <v>2786</v>
      </c>
      <c r="G1138" s="39" t="s">
        <v>314</v>
      </c>
      <c r="H1138" s="563">
        <v>725000000</v>
      </c>
      <c r="I1138" s="41" t="s">
        <v>2691</v>
      </c>
      <c r="J1138" s="276" t="str">
        <f>VLOOKUP($I1138,'Price List, Weapons &amp; Items'!A:B,2,0)</f>
        <v>Ammunition for heavy weapon</v>
      </c>
      <c r="K1138" s="276" t="str">
        <f>IF(I1138=".",I1138,VLOOKUP($I1138,'Price List, Weapons &amp; Items'!A:C,3,0))</f>
        <v>.</v>
      </c>
      <c r="L1138" s="514">
        <f>VLOOKUP(I1138,'Price List, Weapons &amp; Items'!A:D,4,0)</f>
        <v>0</v>
      </c>
      <c r="M1138" s="515" t="s">
        <v>264</v>
      </c>
      <c r="N1138" s="515" t="s">
        <v>232</v>
      </c>
      <c r="O1138" s="516">
        <f>VLOOKUP($I1138,'Price List, Weapons &amp; Items'!A:F,6,0)</f>
        <v>557000</v>
      </c>
      <c r="P1138" s="513" t="str">
        <f t="shared" si="246"/>
        <v>.</v>
      </c>
      <c r="Q1138" s="513" t="str">
        <f t="shared" si="247"/>
        <v>.</v>
      </c>
      <c r="R1138" s="513" t="str">
        <f t="shared" si="256"/>
        <v/>
      </c>
      <c r="S1138" s="513" t="str">
        <f>IF(AND(AD1138=1,R1138&lt;&gt;".")=TRUE,R1138/VLOOKUP(G1138,'Exchange rates'!B:C,2,0),IF(R1138=".",".",""))</f>
        <v/>
      </c>
      <c r="T1138" s="513" t="str">
        <f>IF(AD1138=1,IF(AF1138="Value is not given at all",".",IF(AF1138="Value is given by the source",S1138,IF(AF1138="Value is calculated with prices",(IF(SUMIFS(Q:Q,A:A,A1138)&gt;0,SUMIFS(Q:Q,A:A,A1138),"."))/VLOOKUP("USD",'Exchange rates'!B:C,2,0),"Error with coding"))),"")</f>
        <v/>
      </c>
      <c r="U1138" s="39" t="s">
        <v>233</v>
      </c>
      <c r="V1138" s="826" t="s">
        <v>2787</v>
      </c>
      <c r="W1138" s="42" t="s">
        <v>232</v>
      </c>
      <c r="X1138" s="42" t="s">
        <v>232</v>
      </c>
      <c r="Y1138" s="825" t="s">
        <v>232</v>
      </c>
      <c r="Z1138" s="39">
        <v>0</v>
      </c>
      <c r="AA1138" s="518">
        <v>1</v>
      </c>
      <c r="AB1138" s="395" t="s">
        <v>232</v>
      </c>
      <c r="AC1138" s="519" t="str">
        <f>""</f>
        <v/>
      </c>
      <c r="AD1138" s="520">
        <v>0</v>
      </c>
      <c r="AE1138" s="520" t="s">
        <v>236</v>
      </c>
      <c r="AF1138" s="520" t="s">
        <v>237</v>
      </c>
      <c r="AG1138" s="520">
        <v>1</v>
      </c>
      <c r="AH1138" s="520">
        <v>10</v>
      </c>
      <c r="AI1138" s="520">
        <v>0</v>
      </c>
      <c r="AJ1138" s="520">
        <f>VLOOKUP($I1138,'Price List, Weapons &amp; Items'!A:E,5,0)</f>
        <v>0</v>
      </c>
      <c r="AK1138" s="520">
        <f t="shared" si="249"/>
        <v>0</v>
      </c>
      <c r="AL1138" s="520">
        <f t="shared" si="250"/>
        <v>0</v>
      </c>
      <c r="AM1138" s="520">
        <f t="shared" si="251"/>
        <v>0</v>
      </c>
      <c r="AN1138" s="521" t="str">
        <f>VLOOKUP($I1138,'Price List, Weapons &amp; Items'!A:K,COLUMN('Price List, Weapons &amp; Items'!$I$1),0)</f>
        <v>Miscellaneous</v>
      </c>
      <c r="AO1138" s="521" t="str">
        <f>IF(I1138=".",".",VLOOKUP($I1138,'Price List, Weapons &amp; Items'!A:I,3,0))</f>
        <v>.</v>
      </c>
      <c r="AP1138" s="517" t="str">
        <f t="shared" ca="1" si="257"/>
        <v/>
      </c>
      <c r="AQ1138" s="521" t="str">
        <f>VLOOKUP($I1138,'Price List, Weapons &amp; Items'!A:K,COLUMN('Price List, Weapons &amp; Items'!$K$1),0)</f>
        <v>no price, 0 count</v>
      </c>
      <c r="AS1138" s="521">
        <f t="shared" si="252"/>
        <v>1</v>
      </c>
      <c r="AT1138" s="521">
        <f t="shared" si="253"/>
        <v>1</v>
      </c>
      <c r="AU1138" s="521">
        <f t="shared" si="254"/>
        <v>1</v>
      </c>
      <c r="AV1138" s="521" t="str">
        <f t="shared" si="255"/>
        <v>.</v>
      </c>
    </row>
    <row r="1139" spans="1:48" ht="15" customHeight="1">
      <c r="A1139" s="46" t="s">
        <v>2780</v>
      </c>
      <c r="B1139" s="46" t="s">
        <v>2548</v>
      </c>
      <c r="C1139" s="550">
        <v>44848</v>
      </c>
      <c r="D1139" s="46" t="s">
        <v>252</v>
      </c>
      <c r="E1139" s="46" t="s">
        <v>253</v>
      </c>
      <c r="F1139" s="816" t="s">
        <v>2786</v>
      </c>
      <c r="G1139" s="39" t="s">
        <v>314</v>
      </c>
      <c r="H1139" s="563">
        <v>725000000</v>
      </c>
      <c r="I1139" s="46" t="s">
        <v>2703</v>
      </c>
      <c r="J1139" s="276" t="str">
        <f>VLOOKUP($I1139,'Price List, Weapons &amp; Items'!A:B,2,0)</f>
        <v>Heavy weapon</v>
      </c>
      <c r="K1139" s="276" t="str">
        <f>IF(I1139=".",I1139,VLOOKUP($I1139,'Price List, Weapons &amp; Items'!A:C,3,0))</f>
        <v>Armoured Utility Vehicle (AUV)</v>
      </c>
      <c r="L1139" s="514">
        <f>VLOOKUP(I1139,'Price List, Weapons &amp; Items'!A:D,4,0)</f>
        <v>0</v>
      </c>
      <c r="M1139" s="515">
        <v>200</v>
      </c>
      <c r="N1139" s="515" t="s">
        <v>232</v>
      </c>
      <c r="O1139" s="516">
        <f>VLOOKUP($I1139,'Price List, Weapons &amp; Items'!A:F,6,0)</f>
        <v>254717</v>
      </c>
      <c r="P1139" s="513">
        <f t="shared" si="246"/>
        <v>50943400</v>
      </c>
      <c r="Q1139" s="513" t="str">
        <f t="shared" si="247"/>
        <v>.</v>
      </c>
      <c r="R1139" s="513" t="str">
        <f t="shared" si="256"/>
        <v/>
      </c>
      <c r="S1139" s="513" t="str">
        <f>IF(AND(AD1139=1,R1139&lt;&gt;".")=TRUE,R1139/VLOOKUP(G1139,'Exchange rates'!B:C,2,0),IF(R1139=".",".",""))</f>
        <v/>
      </c>
      <c r="T1139" s="513" t="str">
        <f>IF(AD1139=1,IF(AF1139="Value is not given at all",".",IF(AF1139="Value is given by the source",S1139,IF(AF1139="Value is calculated with prices",(IF(SUMIFS(Q:Q,A:A,A1139)&gt;0,SUMIFS(Q:Q,A:A,A1139),"."))/VLOOKUP("USD",'Exchange rates'!B:C,2,0),"Error with coding"))),"")</f>
        <v/>
      </c>
      <c r="U1139" s="39" t="s">
        <v>233</v>
      </c>
      <c r="V1139" s="826" t="s">
        <v>2787</v>
      </c>
      <c r="W1139" s="42" t="s">
        <v>232</v>
      </c>
      <c r="X1139" s="42" t="s">
        <v>232</v>
      </c>
      <c r="Y1139" s="825" t="s">
        <v>232</v>
      </c>
      <c r="Z1139" s="39">
        <v>0</v>
      </c>
      <c r="AA1139" s="518">
        <v>1</v>
      </c>
      <c r="AB1139" s="395" t="s">
        <v>232</v>
      </c>
      <c r="AC1139" s="519" t="str">
        <f>""</f>
        <v/>
      </c>
      <c r="AD1139" s="520">
        <v>0</v>
      </c>
      <c r="AE1139" s="520" t="s">
        <v>236</v>
      </c>
      <c r="AF1139" s="520" t="s">
        <v>237</v>
      </c>
      <c r="AG1139" s="520">
        <v>1</v>
      </c>
      <c r="AH1139" s="520">
        <v>10</v>
      </c>
      <c r="AI1139" s="520">
        <v>0</v>
      </c>
      <c r="AJ1139" s="520">
        <f>VLOOKUP($I1139,'Price List, Weapons &amp; Items'!A:E,5,0)</f>
        <v>1</v>
      </c>
      <c r="AK1139" s="520">
        <f t="shared" si="249"/>
        <v>0</v>
      </c>
      <c r="AL1139" s="520">
        <f t="shared" si="250"/>
        <v>0</v>
      </c>
      <c r="AM1139" s="520">
        <f t="shared" si="251"/>
        <v>0</v>
      </c>
      <c r="AN1139" s="521" t="str">
        <f>VLOOKUP($I1139,'Price List, Weapons &amp; Items'!A:K,COLUMN('Price List, Weapons &amp; Items'!$I$1),0)</f>
        <v>Military media (incl. websites)</v>
      </c>
      <c r="AO1139" s="521" t="str">
        <f>IF(I1139=".",".",VLOOKUP($I1139,'Price List, Weapons &amp; Items'!A:I,3,0))</f>
        <v>Armoured Utility Vehicle (AUV)</v>
      </c>
      <c r="AP1139" s="517" t="str">
        <f t="shared" ca="1" si="257"/>
        <v/>
      </c>
      <c r="AQ1139" s="521">
        <f>VLOOKUP($I1139,'Price List, Weapons &amp; Items'!A:K,COLUMN('Price List, Weapons &amp; Items'!$K$1),0)</f>
        <v>2</v>
      </c>
      <c r="AS1139" s="521">
        <f t="shared" si="252"/>
        <v>1</v>
      </c>
      <c r="AT1139" s="521">
        <f t="shared" si="253"/>
        <v>1</v>
      </c>
      <c r="AU1139" s="521">
        <f t="shared" si="254"/>
        <v>1</v>
      </c>
      <c r="AV1139" s="521" t="str">
        <f t="shared" si="255"/>
        <v>.</v>
      </c>
    </row>
    <row r="1140" spans="1:48" ht="15" customHeight="1">
      <c r="A1140" s="46" t="s">
        <v>2780</v>
      </c>
      <c r="B1140" s="46" t="s">
        <v>2548</v>
      </c>
      <c r="C1140" s="550">
        <v>44848</v>
      </c>
      <c r="D1140" s="46" t="s">
        <v>252</v>
      </c>
      <c r="E1140" s="46" t="s">
        <v>253</v>
      </c>
      <c r="F1140" s="816" t="s">
        <v>2786</v>
      </c>
      <c r="G1140" s="39" t="s">
        <v>314</v>
      </c>
      <c r="H1140" s="563">
        <v>725000000</v>
      </c>
      <c r="I1140" s="41" t="s">
        <v>2713</v>
      </c>
      <c r="J1140" s="276" t="str">
        <f>VLOOKUP($I1140,'Price List, Weapons &amp; Items'!A:B,2,0)</f>
        <v>Ammunition for light infantry</v>
      </c>
      <c r="K1140" s="276" t="str">
        <f>IF(I1140=".",I1140,VLOOKUP($I1140,'Price List, Weapons &amp; Items'!A:C,3,0))</f>
        <v>Small Arms and Light Weapons (SALW) ammunition</v>
      </c>
      <c r="L1140" s="514">
        <f>VLOOKUP(I1140,'Price List, Weapons &amp; Items'!A:D,4,0)</f>
        <v>0</v>
      </c>
      <c r="M1140" s="515">
        <v>2000000</v>
      </c>
      <c r="N1140" s="515" t="s">
        <v>232</v>
      </c>
      <c r="O1140" s="516" t="str">
        <f>VLOOKUP($I1140,'Price List, Weapons &amp; Items'!A:F,6,0)</f>
        <v>.</v>
      </c>
      <c r="P1140" s="513" t="str">
        <f t="shared" si="246"/>
        <v>No price</v>
      </c>
      <c r="Q1140" s="513" t="str">
        <f t="shared" si="247"/>
        <v>.</v>
      </c>
      <c r="R1140" s="513" t="str">
        <f t="shared" si="256"/>
        <v/>
      </c>
      <c r="S1140" s="513" t="str">
        <f>IF(AND(AD1140=1,R1140&lt;&gt;".")=TRUE,R1140/VLOOKUP(G1140,'Exchange rates'!B:C,2,0),IF(R1140=".",".",""))</f>
        <v/>
      </c>
      <c r="T1140" s="513" t="str">
        <f>IF(AD1140=1,IF(AF1140="Value is not given at all",".",IF(AF1140="Value is given by the source",S1140,IF(AF1140="Value is calculated with prices",(IF(SUMIFS(Q:Q,A:A,A1140)&gt;0,SUMIFS(Q:Q,A:A,A1140),"."))/VLOOKUP("USD",'Exchange rates'!B:C,2,0),"Error with coding"))),"")</f>
        <v/>
      </c>
      <c r="U1140" s="39" t="s">
        <v>233</v>
      </c>
      <c r="V1140" s="826" t="s">
        <v>2787</v>
      </c>
      <c r="W1140" s="42" t="s">
        <v>232</v>
      </c>
      <c r="X1140" s="42" t="s">
        <v>232</v>
      </c>
      <c r="Y1140" s="825" t="s">
        <v>232</v>
      </c>
      <c r="Z1140" s="39">
        <v>0</v>
      </c>
      <c r="AA1140" s="518">
        <v>1</v>
      </c>
      <c r="AB1140" s="395" t="s">
        <v>232</v>
      </c>
      <c r="AC1140" s="519" t="str">
        <f>""</f>
        <v/>
      </c>
      <c r="AD1140" s="520">
        <v>0</v>
      </c>
      <c r="AE1140" s="520" t="s">
        <v>236</v>
      </c>
      <c r="AF1140" s="520" t="s">
        <v>237</v>
      </c>
      <c r="AG1140" s="520">
        <v>1</v>
      </c>
      <c r="AH1140" s="520">
        <v>10</v>
      </c>
      <c r="AI1140" s="520">
        <v>0</v>
      </c>
      <c r="AJ1140" s="520">
        <f>VLOOKUP($I1140,'Price List, Weapons &amp; Items'!A:E,5,0)</f>
        <v>0</v>
      </c>
      <c r="AK1140" s="520">
        <f t="shared" si="249"/>
        <v>0</v>
      </c>
      <c r="AL1140" s="520">
        <f t="shared" si="250"/>
        <v>0</v>
      </c>
      <c r="AM1140" s="520">
        <f t="shared" si="251"/>
        <v>1</v>
      </c>
      <c r="AN1140" s="521" t="str">
        <f>VLOOKUP($I1140,'Price List, Weapons &amp; Items'!A:K,COLUMN('Price List, Weapons &amp; Items'!$I$1),0)</f>
        <v>.</v>
      </c>
      <c r="AO1140" s="521" t="str">
        <f>IF(I1140=".",".",VLOOKUP($I1140,'Price List, Weapons &amp; Items'!A:I,3,0))</f>
        <v>Small Arms and Light Weapons (SALW) ammunition</v>
      </c>
      <c r="AP1140" s="517" t="str">
        <f t="shared" ca="1" si="257"/>
        <v/>
      </c>
      <c r="AQ1140" s="521">
        <f>VLOOKUP($I1140,'Price List, Weapons &amp; Items'!A:K,COLUMN('Price List, Weapons &amp; Items'!$K$1),0)</f>
        <v>0</v>
      </c>
      <c r="AS1140" s="521">
        <f t="shared" si="252"/>
        <v>1</v>
      </c>
      <c r="AT1140" s="521">
        <f t="shared" si="253"/>
        <v>1</v>
      </c>
      <c r="AU1140" s="521">
        <f t="shared" si="254"/>
        <v>1</v>
      </c>
      <c r="AV1140" s="521" t="str">
        <f t="shared" si="255"/>
        <v>.</v>
      </c>
    </row>
    <row r="1141" spans="1:48" ht="15" customHeight="1">
      <c r="A1141" s="46" t="s">
        <v>2780</v>
      </c>
      <c r="B1141" s="46" t="s">
        <v>2548</v>
      </c>
      <c r="C1141" s="550">
        <v>44848</v>
      </c>
      <c r="D1141" s="46" t="s">
        <v>252</v>
      </c>
      <c r="E1141" s="46" t="s">
        <v>253</v>
      </c>
      <c r="F1141" s="816" t="s">
        <v>2786</v>
      </c>
      <c r="G1141" s="39" t="s">
        <v>314</v>
      </c>
      <c r="H1141" s="563">
        <v>725000000</v>
      </c>
      <c r="I1141" s="41" t="s">
        <v>2684</v>
      </c>
      <c r="J1141" s="276" t="str">
        <f>VLOOKUP($I1141,'Price List, Weapons &amp; Items'!A:B,2,0)</f>
        <v>Military equipment</v>
      </c>
      <c r="K1141" s="276" t="str">
        <f>IF(I1141=".",I1141,VLOOKUP($I1141,'Price List, Weapons &amp; Items'!A:C,3,0))</f>
        <v>.</v>
      </c>
      <c r="L1141" s="514">
        <f>VLOOKUP(I1141,'Price List, Weapons &amp; Items'!A:D,4,0)</f>
        <v>0</v>
      </c>
      <c r="M1141" s="515" t="s">
        <v>264</v>
      </c>
      <c r="N1141" s="515" t="s">
        <v>232</v>
      </c>
      <c r="O1141" s="516" t="str">
        <f>VLOOKUP($I1141,'Price List, Weapons &amp; Items'!A:F,6,0)</f>
        <v>.</v>
      </c>
      <c r="P1141" s="513" t="str">
        <f t="shared" si="246"/>
        <v>.</v>
      </c>
      <c r="Q1141" s="513" t="str">
        <f t="shared" si="247"/>
        <v>.</v>
      </c>
      <c r="R1141" s="513" t="str">
        <f t="shared" si="256"/>
        <v/>
      </c>
      <c r="S1141" s="513" t="str">
        <f>IF(AND(AD1141=1,R1141&lt;&gt;".")=TRUE,R1141/VLOOKUP(G1141,'Exchange rates'!B:C,2,0),IF(R1141=".",".",""))</f>
        <v/>
      </c>
      <c r="T1141" s="513" t="str">
        <f>IF(AD1141=1,IF(AF1141="Value is not given at all",".",IF(AF1141="Value is given by the source",S1141,IF(AF1141="Value is calculated with prices",(IF(SUMIFS(Q:Q,A:A,A1141)&gt;0,SUMIFS(Q:Q,A:A,A1141),"."))/VLOOKUP("USD",'Exchange rates'!B:C,2,0),"Error with coding"))),"")</f>
        <v/>
      </c>
      <c r="U1141" s="39" t="s">
        <v>233</v>
      </c>
      <c r="V1141" s="826" t="s">
        <v>2787</v>
      </c>
      <c r="W1141" s="42" t="s">
        <v>232</v>
      </c>
      <c r="X1141" s="42" t="s">
        <v>232</v>
      </c>
      <c r="Y1141" s="825" t="s">
        <v>232</v>
      </c>
      <c r="Z1141" s="39">
        <v>0</v>
      </c>
      <c r="AA1141" s="518">
        <v>1</v>
      </c>
      <c r="AB1141" s="395" t="s">
        <v>232</v>
      </c>
      <c r="AC1141" s="519" t="str">
        <f>""</f>
        <v/>
      </c>
      <c r="AD1141" s="520">
        <v>0</v>
      </c>
      <c r="AE1141" s="520" t="s">
        <v>236</v>
      </c>
      <c r="AF1141" s="520" t="s">
        <v>237</v>
      </c>
      <c r="AG1141" s="520">
        <v>1</v>
      </c>
      <c r="AH1141" s="520">
        <v>10</v>
      </c>
      <c r="AI1141" s="520">
        <v>0</v>
      </c>
      <c r="AJ1141" s="520">
        <f>VLOOKUP($I1141,'Price List, Weapons &amp; Items'!A:E,5,0)</f>
        <v>0</v>
      </c>
      <c r="AK1141" s="520">
        <f t="shared" si="249"/>
        <v>0</v>
      </c>
      <c r="AL1141" s="520">
        <f t="shared" si="250"/>
        <v>0</v>
      </c>
      <c r="AM1141" s="520">
        <f t="shared" si="251"/>
        <v>0</v>
      </c>
      <c r="AN1141" s="521" t="str">
        <f>VLOOKUP($I1141,'Price List, Weapons &amp; Items'!A:K,COLUMN('Price List, Weapons &amp; Items'!$I$1),0)</f>
        <v>.</v>
      </c>
      <c r="AO1141" s="521" t="str">
        <f>IF(I1141=".",".",VLOOKUP($I1141,'Price List, Weapons &amp; Items'!A:I,3,0))</f>
        <v>.</v>
      </c>
      <c r="AP1141" s="517" t="str">
        <f t="shared" ca="1" si="257"/>
        <v/>
      </c>
      <c r="AQ1141" s="521" t="str">
        <f>VLOOKUP($I1141,'Price List, Weapons &amp; Items'!A:K,COLUMN('Price List, Weapons &amp; Items'!$K$1),0)</f>
        <v>no price, 0 count</v>
      </c>
      <c r="AS1141" s="521">
        <f t="shared" si="252"/>
        <v>1</v>
      </c>
      <c r="AT1141" s="521">
        <f t="shared" si="253"/>
        <v>1</v>
      </c>
      <c r="AU1141" s="521">
        <f t="shared" si="254"/>
        <v>1</v>
      </c>
      <c r="AV1141" s="521" t="str">
        <f t="shared" si="255"/>
        <v>.</v>
      </c>
    </row>
    <row r="1142" spans="1:48" ht="15" customHeight="1">
      <c r="A1142" s="46" t="s">
        <v>2780</v>
      </c>
      <c r="B1142" s="46" t="s">
        <v>2548</v>
      </c>
      <c r="C1142" s="550">
        <v>44862</v>
      </c>
      <c r="D1142" s="46" t="s">
        <v>252</v>
      </c>
      <c r="E1142" s="46" t="s">
        <v>253</v>
      </c>
      <c r="F1142" s="816" t="s">
        <v>2790</v>
      </c>
      <c r="G1142" s="39" t="s">
        <v>314</v>
      </c>
      <c r="H1142" s="563">
        <v>275000000</v>
      </c>
      <c r="I1142" s="41" t="s">
        <v>2655</v>
      </c>
      <c r="J1142" s="276" t="str">
        <f>VLOOKUP($I1142,'Price List, Weapons &amp; Items'!A:B,2,0)</f>
        <v>Ammunition for heavy weapon</v>
      </c>
      <c r="K1142" s="276" t="str">
        <f>IF(I1142=".",I1142,VLOOKUP($I1142,'Price List, Weapons &amp; Items'!A:C,3,0))</f>
        <v>227mm MLRS ammunition</v>
      </c>
      <c r="L1142" s="514">
        <f>VLOOKUP(I1142,'Price List, Weapons &amp; Items'!A:D,4,0)</f>
        <v>0</v>
      </c>
      <c r="M1142" s="515" t="s">
        <v>264</v>
      </c>
      <c r="N1142" s="515" t="s">
        <v>232</v>
      </c>
      <c r="O1142" s="516">
        <f>VLOOKUP($I1142,'Price List, Weapons &amp; Items'!A:F,6,0)</f>
        <v>150000</v>
      </c>
      <c r="P1142" s="513" t="str">
        <f>IF(TYPE(M1142)=1,IF(TYPE(O1142)=1,M1142*O1142,"No price"),".")</f>
        <v>.</v>
      </c>
      <c r="Q1142" s="513" t="str">
        <f>IF(TYPE(N1142)=1,IF(TYPE(O1142)=1,N1142*O1142,"No price"),".")</f>
        <v>.</v>
      </c>
      <c r="R1142" s="513" t="str">
        <f t="shared" si="256"/>
        <v/>
      </c>
      <c r="S1142" s="513" t="str">
        <f>IF(AND(AD1142=1,R1142&lt;&gt;".")=TRUE,R1142/VLOOKUP(G1142,'Exchange rates'!B:C,2,0),IF(R1142=".",".",""))</f>
        <v/>
      </c>
      <c r="T1142" s="513" t="str">
        <f>IF(AD1142=1,IF(AF1142="Value is not given at all",".",IF(AF1142="Value is given by the source",S1142,IF(AF1142="Value is calculated with prices",(IF(SUMIFS(Q:Q,A:A,A1142)&gt;0,SUMIFS(Q:Q,A:A,A1142),"."))/VLOOKUP("USD",'Exchange rates'!B:C,2,0),"Error with coding"))),"")</f>
        <v/>
      </c>
      <c r="U1142" s="39" t="s">
        <v>233</v>
      </c>
      <c r="V1142" s="826" t="s">
        <v>2791</v>
      </c>
      <c r="W1142" s="42" t="s">
        <v>232</v>
      </c>
      <c r="X1142" s="42" t="s">
        <v>232</v>
      </c>
      <c r="Y1142" s="825" t="s">
        <v>232</v>
      </c>
      <c r="Z1142" s="39">
        <v>0</v>
      </c>
      <c r="AA1142" s="518">
        <v>1</v>
      </c>
      <c r="AB1142" s="395" t="s">
        <v>232</v>
      </c>
      <c r="AC1142" s="519" t="str">
        <f>""</f>
        <v/>
      </c>
      <c r="AD1142" s="520">
        <v>0</v>
      </c>
      <c r="AE1142" s="520" t="s">
        <v>236</v>
      </c>
      <c r="AF1142" s="520" t="s">
        <v>237</v>
      </c>
      <c r="AG1142" s="520">
        <v>1</v>
      </c>
      <c r="AH1142" s="520">
        <v>10</v>
      </c>
      <c r="AI1142" s="520">
        <v>0</v>
      </c>
      <c r="AJ1142" s="520">
        <f>VLOOKUP($I1142,'Price List, Weapons &amp; Items'!A:E,5,0)</f>
        <v>1</v>
      </c>
      <c r="AK1142" s="520">
        <f t="shared" si="249"/>
        <v>1</v>
      </c>
      <c r="AL1142" s="520">
        <f t="shared" si="250"/>
        <v>0</v>
      </c>
      <c r="AM1142" s="520">
        <f t="shared" si="251"/>
        <v>1</v>
      </c>
      <c r="AN1142" s="521" t="str">
        <f>VLOOKUP($I1142,'Price List, Weapons &amp; Items'!A:K,COLUMN('Price List, Weapons &amp; Items'!$I$1),0)</f>
        <v>Media reports (incl. social media)</v>
      </c>
      <c r="AO1142" s="521" t="str">
        <f>IF(I1142=".",".",VLOOKUP($I1142,'Price List, Weapons &amp; Items'!A:I,3,0))</f>
        <v>227mm MLRS ammunition</v>
      </c>
      <c r="AP1142" s="517" t="str">
        <f t="shared" ca="1" si="257"/>
        <v/>
      </c>
      <c r="AQ1142" s="521" t="str">
        <f>VLOOKUP($I1142,'Price List, Weapons &amp; Items'!A:K,COLUMN('Price List, Weapons &amp; Items'!$K$1),0)</f>
        <v>no price, 0 count</v>
      </c>
      <c r="AS1142" s="521">
        <f t="shared" si="252"/>
        <v>1</v>
      </c>
      <c r="AT1142" s="521">
        <f t="shared" si="253"/>
        <v>1</v>
      </c>
      <c r="AU1142" s="521">
        <f t="shared" si="254"/>
        <v>1</v>
      </c>
      <c r="AV1142" s="521" t="str">
        <f t="shared" si="255"/>
        <v>.</v>
      </c>
    </row>
    <row r="1143" spans="1:48" ht="15" customHeight="1">
      <c r="A1143" s="46" t="s">
        <v>2780</v>
      </c>
      <c r="B1143" s="46" t="s">
        <v>2548</v>
      </c>
      <c r="C1143" s="550">
        <v>44862</v>
      </c>
      <c r="D1143" s="46" t="s">
        <v>252</v>
      </c>
      <c r="E1143" s="46" t="s">
        <v>253</v>
      </c>
      <c r="F1143" s="816" t="s">
        <v>2790</v>
      </c>
      <c r="G1143" s="39" t="s">
        <v>314</v>
      </c>
      <c r="H1143" s="563">
        <v>275000000</v>
      </c>
      <c r="I1143" s="41" t="s">
        <v>2788</v>
      </c>
      <c r="J1143" s="276" t="str">
        <f>VLOOKUP($I1143,'Price List, Weapons &amp; Items'!A:B,2,0)</f>
        <v>Ammunition for heavy weapon</v>
      </c>
      <c r="K1143" s="276" t="str">
        <f>IF(I1143=".",I1143,VLOOKUP($I1143,'Price List, Weapons &amp; Items'!A:C,3,0))</f>
        <v>.</v>
      </c>
      <c r="L1143" s="514">
        <f>VLOOKUP(I1143,'Price List, Weapons &amp; Items'!A:D,4,0)</f>
        <v>0</v>
      </c>
      <c r="M1143" s="515">
        <v>500</v>
      </c>
      <c r="N1143" s="515" t="s">
        <v>232</v>
      </c>
      <c r="O1143" s="516">
        <f>VLOOKUP($I1143,'Price List, Weapons &amp; Items'!A:F,6,0)</f>
        <v>112800</v>
      </c>
      <c r="P1143" s="513">
        <f t="shared" ref="P1143:P1161" si="258">IF(TYPE(M1143)=1,IF(TYPE(O1143)=1,M1143*O1143,"No price"),".")</f>
        <v>56400000</v>
      </c>
      <c r="Q1143" s="513" t="str">
        <f t="shared" ref="Q1143:Q1148" si="259">IF(TYPE(N1143)=1,IF(TYPE(O1143)=1,N1143*O1143,"No price"),".")</f>
        <v>.</v>
      </c>
      <c r="R1143" s="513" t="str">
        <f t="shared" si="256"/>
        <v/>
      </c>
      <c r="S1143" s="513" t="str">
        <f>IF(AND(AD1143=1,R1143&lt;&gt;".")=TRUE,R1143/VLOOKUP(G1143,'Exchange rates'!B:C,2,0),IF(R1143=".",".",""))</f>
        <v/>
      </c>
      <c r="T1143" s="513" t="str">
        <f>IF(AD1143=1,IF(AF1143="Value is not given at all",".",IF(AF1143="Value is given by the source",S1143,IF(AF1143="Value is calculated with prices",(IF(SUMIFS(Q:Q,A:A,A1143)&gt;0,SUMIFS(Q:Q,A:A,A1143),"."))/VLOOKUP("USD",'Exchange rates'!B:C,2,0),"Error with coding"))),"")</f>
        <v/>
      </c>
      <c r="U1143" s="39" t="s">
        <v>233</v>
      </c>
      <c r="V1143" s="826" t="s">
        <v>2791</v>
      </c>
      <c r="W1143" s="42" t="s">
        <v>232</v>
      </c>
      <c r="X1143" s="42" t="s">
        <v>232</v>
      </c>
      <c r="Y1143" s="825" t="s">
        <v>232</v>
      </c>
      <c r="Z1143" s="39">
        <v>0</v>
      </c>
      <c r="AA1143" s="518">
        <v>1</v>
      </c>
      <c r="AB1143" s="395" t="s">
        <v>232</v>
      </c>
      <c r="AC1143" s="519" t="str">
        <f>""</f>
        <v/>
      </c>
      <c r="AD1143" s="520">
        <v>0</v>
      </c>
      <c r="AE1143" s="520" t="s">
        <v>236</v>
      </c>
      <c r="AF1143" s="520" t="s">
        <v>237</v>
      </c>
      <c r="AG1143" s="520">
        <v>1</v>
      </c>
      <c r="AH1143" s="520">
        <v>10</v>
      </c>
      <c r="AI1143" s="520">
        <v>0</v>
      </c>
      <c r="AJ1143" s="520">
        <f>VLOOKUP($I1143,'Price List, Weapons &amp; Items'!A:E,5,0)</f>
        <v>0</v>
      </c>
      <c r="AK1143" s="520">
        <f t="shared" si="249"/>
        <v>0</v>
      </c>
      <c r="AL1143" s="520">
        <f t="shared" si="250"/>
        <v>0</v>
      </c>
      <c r="AM1143" s="520">
        <f t="shared" si="251"/>
        <v>0</v>
      </c>
      <c r="AN1143" s="521" t="str">
        <f>VLOOKUP($I1143,'Price List, Weapons &amp; Items'!A:K,COLUMN('Price List, Weapons &amp; Items'!$I$1),0)</f>
        <v>Miscellaneous</v>
      </c>
      <c r="AO1143" s="521" t="str">
        <f>IF(I1143=".",".",VLOOKUP($I1143,'Price List, Weapons &amp; Items'!A:I,3,0))</f>
        <v>.</v>
      </c>
      <c r="AP1143" s="517" t="str">
        <f t="shared" ca="1" si="257"/>
        <v/>
      </c>
      <c r="AQ1143" s="521">
        <f>VLOOKUP($I1143,'Price List, Weapons &amp; Items'!A:K,COLUMN('Price List, Weapons &amp; Items'!$K$1),0)</f>
        <v>2</v>
      </c>
      <c r="AS1143" s="521">
        <f t="shared" si="252"/>
        <v>1</v>
      </c>
      <c r="AT1143" s="521">
        <f t="shared" si="253"/>
        <v>1</v>
      </c>
      <c r="AU1143" s="521">
        <f t="shared" si="254"/>
        <v>1</v>
      </c>
      <c r="AV1143" s="521" t="str">
        <f t="shared" si="255"/>
        <v>.</v>
      </c>
    </row>
    <row r="1144" spans="1:48" ht="15" customHeight="1">
      <c r="A1144" s="46" t="s">
        <v>2780</v>
      </c>
      <c r="B1144" s="46" t="s">
        <v>2548</v>
      </c>
      <c r="C1144" s="550">
        <v>44862</v>
      </c>
      <c r="D1144" s="46" t="s">
        <v>252</v>
      </c>
      <c r="E1144" s="46" t="s">
        <v>253</v>
      </c>
      <c r="F1144" s="816" t="s">
        <v>2790</v>
      </c>
      <c r="G1144" s="39" t="s">
        <v>314</v>
      </c>
      <c r="H1144" s="563">
        <v>275000000</v>
      </c>
      <c r="I1144" s="41" t="s">
        <v>2789</v>
      </c>
      <c r="J1144" s="276" t="str">
        <f>VLOOKUP($I1144,'Price List, Weapons &amp; Items'!A:B,2,0)</f>
        <v>Ammunition for heavy weapon</v>
      </c>
      <c r="K1144" s="276" t="str">
        <f>IF(I1144=".",I1144,VLOOKUP($I1144,'Price List, Weapons &amp; Items'!A:C,3,0))</f>
        <v>155mm howitzer ammunition</v>
      </c>
      <c r="L1144" s="514">
        <f>VLOOKUP(I1144,'Price List, Weapons &amp; Items'!A:D,4,0)</f>
        <v>0</v>
      </c>
      <c r="M1144" s="515">
        <v>2000</v>
      </c>
      <c r="N1144" s="515" t="s">
        <v>232</v>
      </c>
      <c r="O1144" s="516">
        <f>VLOOKUP($I1144,'Price List, Weapons &amp; Items'!A:F,6,0)</f>
        <v>98000</v>
      </c>
      <c r="P1144" s="513">
        <f t="shared" si="258"/>
        <v>196000000</v>
      </c>
      <c r="Q1144" s="513" t="str">
        <f t="shared" si="259"/>
        <v>.</v>
      </c>
      <c r="R1144" s="513" t="str">
        <f t="shared" si="256"/>
        <v/>
      </c>
      <c r="S1144" s="513" t="str">
        <f>IF(AND(AD1144=1,R1144&lt;&gt;".")=TRUE,R1144/VLOOKUP(G1144,'Exchange rates'!B:C,2,0),IF(R1144=".",".",""))</f>
        <v/>
      </c>
      <c r="T1144" s="513" t="str">
        <f>IF(AD1144=1,IF(AF1144="Value is not given at all",".",IF(AF1144="Value is given by the source",S1144,IF(AF1144="Value is calculated with prices",(IF(SUMIFS(Q:Q,A:A,A1144)&gt;0,SUMIFS(Q:Q,A:A,A1144),"."))/VLOOKUP("USD",'Exchange rates'!B:C,2,0),"Error with coding"))),"")</f>
        <v/>
      </c>
      <c r="U1144" s="39" t="s">
        <v>233</v>
      </c>
      <c r="V1144" s="826" t="s">
        <v>2791</v>
      </c>
      <c r="W1144" s="42" t="s">
        <v>232</v>
      </c>
      <c r="X1144" s="42" t="s">
        <v>232</v>
      </c>
      <c r="Y1144" s="825" t="s">
        <v>232</v>
      </c>
      <c r="Z1144" s="39">
        <v>0</v>
      </c>
      <c r="AA1144" s="518">
        <v>1</v>
      </c>
      <c r="AB1144" s="395" t="s">
        <v>232</v>
      </c>
      <c r="AC1144" s="519" t="str">
        <f>""</f>
        <v/>
      </c>
      <c r="AD1144" s="520">
        <v>0</v>
      </c>
      <c r="AE1144" s="520" t="s">
        <v>236</v>
      </c>
      <c r="AF1144" s="520" t="s">
        <v>237</v>
      </c>
      <c r="AG1144" s="520">
        <v>1</v>
      </c>
      <c r="AH1144" s="520">
        <v>10</v>
      </c>
      <c r="AI1144" s="520">
        <v>0</v>
      </c>
      <c r="AJ1144" s="520">
        <f>VLOOKUP($I1144,'Price List, Weapons &amp; Items'!A:E,5,0)</f>
        <v>1</v>
      </c>
      <c r="AK1144" s="520">
        <f t="shared" si="249"/>
        <v>0</v>
      </c>
      <c r="AL1144" s="520">
        <f t="shared" si="250"/>
        <v>0</v>
      </c>
      <c r="AM1144" s="520">
        <f t="shared" si="251"/>
        <v>0</v>
      </c>
      <c r="AN1144" s="521" t="str">
        <f>VLOOKUP($I1144,'Price List, Weapons &amp; Items'!A:K,COLUMN('Price List, Weapons &amp; Items'!$I$1),0)</f>
        <v>Government information</v>
      </c>
      <c r="AO1144" s="521" t="str">
        <f>IF(I1144=".",".",VLOOKUP($I1144,'Price List, Weapons &amp; Items'!A:I,3,0))</f>
        <v>155mm howitzer ammunition</v>
      </c>
      <c r="AP1144" s="517" t="str">
        <f t="shared" ca="1" si="257"/>
        <v/>
      </c>
      <c r="AQ1144" s="521">
        <f>VLOOKUP($I1144,'Price List, Weapons &amp; Items'!A:K,COLUMN('Price List, Weapons &amp; Items'!$K$1),0)</f>
        <v>2</v>
      </c>
      <c r="AS1144" s="521">
        <f t="shared" si="252"/>
        <v>1</v>
      </c>
      <c r="AT1144" s="521">
        <f t="shared" si="253"/>
        <v>1</v>
      </c>
      <c r="AU1144" s="521">
        <f t="shared" si="254"/>
        <v>1</v>
      </c>
      <c r="AV1144" s="521" t="str">
        <f t="shared" si="255"/>
        <v>.</v>
      </c>
    </row>
    <row r="1145" spans="1:48" ht="15" customHeight="1">
      <c r="A1145" s="46" t="s">
        <v>2780</v>
      </c>
      <c r="B1145" s="46" t="s">
        <v>2548</v>
      </c>
      <c r="C1145" s="550">
        <v>44862</v>
      </c>
      <c r="D1145" s="46" t="s">
        <v>252</v>
      </c>
      <c r="E1145" s="46" t="s">
        <v>253</v>
      </c>
      <c r="F1145" s="816" t="s">
        <v>2790</v>
      </c>
      <c r="G1145" s="39" t="s">
        <v>314</v>
      </c>
      <c r="H1145" s="563">
        <v>275000000</v>
      </c>
      <c r="I1145" s="41" t="s">
        <v>2611</v>
      </c>
      <c r="J1145" s="276" t="str">
        <f>VLOOKUP($I1145,'Price List, Weapons &amp; Items'!A:B,2,0)</f>
        <v>Portable defence system</v>
      </c>
      <c r="K1145" s="276" t="str">
        <f>IF(I1145=".",I1145,VLOOKUP($I1145,'Price List, Weapons &amp; Items'!A:C,3,0))</f>
        <v>Light Anti-armor Weapon (LAW)</v>
      </c>
      <c r="L1145" s="514">
        <f>VLOOKUP(I1145,'Price List, Weapons &amp; Items'!A:D,4,0)</f>
        <v>0</v>
      </c>
      <c r="M1145" s="515">
        <v>1300</v>
      </c>
      <c r="N1145" s="515" t="s">
        <v>232</v>
      </c>
      <c r="O1145" s="516">
        <f>VLOOKUP($I1145,'Price List, Weapons &amp; Items'!A:F,6,0)</f>
        <v>78000</v>
      </c>
      <c r="P1145" s="513">
        <f t="shared" si="258"/>
        <v>101400000</v>
      </c>
      <c r="Q1145" s="513" t="str">
        <f t="shared" si="259"/>
        <v>.</v>
      </c>
      <c r="R1145" s="513" t="str">
        <f t="shared" si="256"/>
        <v/>
      </c>
      <c r="S1145" s="513" t="str">
        <f>IF(AND(AD1145=1,R1145&lt;&gt;".")=TRUE,R1145/VLOOKUP(G1145,'Exchange rates'!B:C,2,0),IF(R1145=".",".",""))</f>
        <v/>
      </c>
      <c r="T1145" s="513" t="str">
        <f>IF(AD1145=1,IF(AF1145="Value is not given at all",".",IF(AF1145="Value is given by the source",S1145,IF(AF1145="Value is calculated with prices",(IF(SUMIFS(Q:Q,A:A,A1145)&gt;0,SUMIFS(Q:Q,A:A,A1145),"."))/VLOOKUP("USD",'Exchange rates'!B:C,2,0),"Error with coding"))),"")</f>
        <v/>
      </c>
      <c r="U1145" s="39" t="s">
        <v>233</v>
      </c>
      <c r="V1145" s="826" t="s">
        <v>2791</v>
      </c>
      <c r="W1145" s="42" t="s">
        <v>232</v>
      </c>
      <c r="X1145" s="42" t="s">
        <v>232</v>
      </c>
      <c r="Y1145" s="825" t="s">
        <v>232</v>
      </c>
      <c r="Z1145" s="39">
        <v>0</v>
      </c>
      <c r="AA1145" s="518">
        <v>1</v>
      </c>
      <c r="AB1145" s="395" t="s">
        <v>232</v>
      </c>
      <c r="AC1145" s="519" t="str">
        <f>""</f>
        <v/>
      </c>
      <c r="AD1145" s="520">
        <v>0</v>
      </c>
      <c r="AE1145" s="520" t="s">
        <v>236</v>
      </c>
      <c r="AF1145" s="520" t="s">
        <v>237</v>
      </c>
      <c r="AG1145" s="520">
        <v>1</v>
      </c>
      <c r="AH1145" s="520">
        <v>10</v>
      </c>
      <c r="AI1145" s="520">
        <v>0</v>
      </c>
      <c r="AJ1145" s="520">
        <f>VLOOKUP($I1145,'Price List, Weapons &amp; Items'!A:E,5,0)</f>
        <v>0</v>
      </c>
      <c r="AK1145" s="520">
        <f t="shared" si="249"/>
        <v>0</v>
      </c>
      <c r="AL1145" s="520">
        <f t="shared" si="250"/>
        <v>0</v>
      </c>
      <c r="AM1145" s="520">
        <f t="shared" si="251"/>
        <v>0</v>
      </c>
      <c r="AN1145" s="521" t="str">
        <f>VLOOKUP($I1145,'Price List, Weapons &amp; Items'!A:K,COLUMN('Price List, Weapons &amp; Items'!$I$1),0)</f>
        <v>Military media (incl. websites)</v>
      </c>
      <c r="AO1145" s="521" t="str">
        <f>IF(I1145=".",".",VLOOKUP($I1145,'Price List, Weapons &amp; Items'!A:I,3,0))</f>
        <v>Light Anti-armor Weapon (LAW)</v>
      </c>
      <c r="AP1145" s="517" t="str">
        <f t="shared" ca="1" si="257"/>
        <v/>
      </c>
      <c r="AQ1145" s="521">
        <f>VLOOKUP($I1145,'Price List, Weapons &amp; Items'!A:K,COLUMN('Price List, Weapons &amp; Items'!$K$1),0)</f>
        <v>2</v>
      </c>
      <c r="AS1145" s="521">
        <f t="shared" si="252"/>
        <v>1</v>
      </c>
      <c r="AT1145" s="521">
        <f t="shared" si="253"/>
        <v>1</v>
      </c>
      <c r="AU1145" s="521">
        <f t="shared" si="254"/>
        <v>1</v>
      </c>
      <c r="AV1145" s="521" t="str">
        <f t="shared" si="255"/>
        <v>.</v>
      </c>
    </row>
    <row r="1146" spans="1:48" ht="15" customHeight="1">
      <c r="A1146" s="46" t="s">
        <v>2780</v>
      </c>
      <c r="B1146" s="46" t="s">
        <v>2548</v>
      </c>
      <c r="C1146" s="550">
        <v>44862</v>
      </c>
      <c r="D1146" s="46" t="s">
        <v>252</v>
      </c>
      <c r="E1146" s="46" t="s">
        <v>253</v>
      </c>
      <c r="F1146" s="816" t="s">
        <v>2790</v>
      </c>
      <c r="G1146" s="39" t="s">
        <v>314</v>
      </c>
      <c r="H1146" s="563">
        <v>275000000</v>
      </c>
      <c r="I1146" s="41" t="s">
        <v>2612</v>
      </c>
      <c r="J1146" s="276" t="str">
        <f>VLOOKUP($I1146,'Price List, Weapons &amp; Items'!A:B,2,0)</f>
        <v>Heavy weapon</v>
      </c>
      <c r="K1146" s="276" t="str">
        <f>IF(I1146=".",I1146,VLOOKUP($I1146,'Price List, Weapons &amp; Items'!A:C,3,0))</f>
        <v>Armoured Utility Vehicle (AUV)</v>
      </c>
      <c r="L1146" s="514">
        <f>VLOOKUP(I1146,'Price List, Weapons &amp; Items'!A:D,4,0)</f>
        <v>0</v>
      </c>
      <c r="M1146" s="515">
        <v>125</v>
      </c>
      <c r="N1146" s="515" t="s">
        <v>232</v>
      </c>
      <c r="O1146" s="516">
        <f>VLOOKUP($I1146,'Price List, Weapons &amp; Items'!A:F,6,0)</f>
        <v>254717</v>
      </c>
      <c r="P1146" s="513">
        <f t="shared" si="258"/>
        <v>31839625</v>
      </c>
      <c r="Q1146" s="513" t="str">
        <f t="shared" si="259"/>
        <v>.</v>
      </c>
      <c r="R1146" s="513" t="str">
        <f t="shared" si="256"/>
        <v/>
      </c>
      <c r="S1146" s="513" t="str">
        <f>IF(AND(AD1146=1,R1146&lt;&gt;".")=TRUE,R1146/VLOOKUP(G1146,'Exchange rates'!B:C,2,0),IF(R1146=".",".",""))</f>
        <v/>
      </c>
      <c r="T1146" s="513" t="str">
        <f>IF(AD1146=1,IF(AF1146="Value is not given at all",".",IF(AF1146="Value is given by the source",S1146,IF(AF1146="Value is calculated with prices",(IF(SUMIFS(Q:Q,A:A,A1146)&gt;0,SUMIFS(Q:Q,A:A,A1146),"."))/VLOOKUP("USD",'Exchange rates'!B:C,2,0),"Error with coding"))),"")</f>
        <v/>
      </c>
      <c r="U1146" s="39" t="s">
        <v>233</v>
      </c>
      <c r="V1146" s="826" t="s">
        <v>2791</v>
      </c>
      <c r="W1146" s="42" t="s">
        <v>232</v>
      </c>
      <c r="X1146" s="42" t="s">
        <v>232</v>
      </c>
      <c r="Y1146" s="825" t="s">
        <v>232</v>
      </c>
      <c r="Z1146" s="39">
        <v>0</v>
      </c>
      <c r="AA1146" s="518">
        <v>1</v>
      </c>
      <c r="AB1146" s="395" t="s">
        <v>232</v>
      </c>
      <c r="AC1146" s="519" t="str">
        <f>""</f>
        <v/>
      </c>
      <c r="AD1146" s="520">
        <v>0</v>
      </c>
      <c r="AE1146" s="520" t="s">
        <v>236</v>
      </c>
      <c r="AF1146" s="520" t="s">
        <v>237</v>
      </c>
      <c r="AG1146" s="520">
        <v>1</v>
      </c>
      <c r="AH1146" s="520">
        <v>10</v>
      </c>
      <c r="AI1146" s="520">
        <v>0</v>
      </c>
      <c r="AJ1146" s="520">
        <f>VLOOKUP($I1146,'Price List, Weapons &amp; Items'!A:E,5,0)</f>
        <v>1</v>
      </c>
      <c r="AK1146" s="520">
        <f t="shared" si="249"/>
        <v>0</v>
      </c>
      <c r="AL1146" s="520">
        <f t="shared" si="250"/>
        <v>0</v>
      </c>
      <c r="AM1146" s="520">
        <f t="shared" si="251"/>
        <v>0</v>
      </c>
      <c r="AN1146" s="521" t="str">
        <f>VLOOKUP($I1146,'Price List, Weapons &amp; Items'!A:K,COLUMN('Price List, Weapons &amp; Items'!$I$1),0)</f>
        <v>Military media (incl. websites)</v>
      </c>
      <c r="AO1146" s="521" t="str">
        <f>IF(I1146=".",".",VLOOKUP($I1146,'Price List, Weapons &amp; Items'!A:I,3,0))</f>
        <v>Armoured Utility Vehicle (AUV)</v>
      </c>
      <c r="AP1146" s="517" t="str">
        <f t="shared" ca="1" si="257"/>
        <v/>
      </c>
      <c r="AQ1146" s="521">
        <f>VLOOKUP($I1146,'Price List, Weapons &amp; Items'!A:K,COLUMN('Price List, Weapons &amp; Items'!$K$1),0)</f>
        <v>2</v>
      </c>
      <c r="AS1146" s="521">
        <f t="shared" si="252"/>
        <v>1</v>
      </c>
      <c r="AT1146" s="521">
        <f t="shared" si="253"/>
        <v>1</v>
      </c>
      <c r="AU1146" s="521">
        <f t="shared" si="254"/>
        <v>1</v>
      </c>
      <c r="AV1146" s="521" t="str">
        <f t="shared" si="255"/>
        <v>.</v>
      </c>
    </row>
    <row r="1147" spans="1:48" ht="15" customHeight="1">
      <c r="A1147" s="46" t="s">
        <v>2780</v>
      </c>
      <c r="B1147" s="46" t="s">
        <v>2548</v>
      </c>
      <c r="C1147" s="550">
        <v>44862</v>
      </c>
      <c r="D1147" s="46" t="s">
        <v>252</v>
      </c>
      <c r="E1147" s="46" t="s">
        <v>253</v>
      </c>
      <c r="F1147" s="816" t="s">
        <v>2790</v>
      </c>
      <c r="G1147" s="39" t="s">
        <v>314</v>
      </c>
      <c r="H1147" s="563">
        <v>275000000</v>
      </c>
      <c r="I1147" s="41" t="s">
        <v>2713</v>
      </c>
      <c r="J1147" s="276" t="str">
        <f>VLOOKUP($I1147,'Price List, Weapons &amp; Items'!A:B,2,0)</f>
        <v>Ammunition for light infantry</v>
      </c>
      <c r="K1147" s="276" t="str">
        <f>IF(I1147=".",I1147,VLOOKUP($I1147,'Price List, Weapons &amp; Items'!A:C,3,0))</f>
        <v>Small Arms and Light Weapons (SALW) ammunition</v>
      </c>
      <c r="L1147" s="514">
        <f>VLOOKUP(I1147,'Price List, Weapons &amp; Items'!A:D,4,0)</f>
        <v>0</v>
      </c>
      <c r="M1147" s="515">
        <v>2750000</v>
      </c>
      <c r="N1147" s="515" t="s">
        <v>232</v>
      </c>
      <c r="O1147" s="516" t="str">
        <f>VLOOKUP($I1147,'Price List, Weapons &amp; Items'!A:F,6,0)</f>
        <v>.</v>
      </c>
      <c r="P1147" s="513" t="str">
        <f t="shared" si="258"/>
        <v>No price</v>
      </c>
      <c r="Q1147" s="513" t="str">
        <f t="shared" si="259"/>
        <v>.</v>
      </c>
      <c r="R1147" s="513" t="str">
        <f t="shared" si="256"/>
        <v/>
      </c>
      <c r="S1147" s="513" t="str">
        <f>IF(AND(AD1147=1,R1147&lt;&gt;".")=TRUE,R1147/VLOOKUP(G1147,'Exchange rates'!B:C,2,0),IF(R1147=".",".",""))</f>
        <v/>
      </c>
      <c r="T1147" s="513" t="str">
        <f>IF(AD1147=1,IF(AF1147="Value is not given at all",".",IF(AF1147="Value is given by the source",S1147,IF(AF1147="Value is calculated with prices",(IF(SUMIFS(Q:Q,A:A,A1147)&gt;0,SUMIFS(Q:Q,A:A,A1147),"."))/VLOOKUP("USD",'Exchange rates'!B:C,2,0),"Error with coding"))),"")</f>
        <v/>
      </c>
      <c r="U1147" s="39" t="s">
        <v>233</v>
      </c>
      <c r="V1147" s="826" t="s">
        <v>2791</v>
      </c>
      <c r="W1147" s="42" t="s">
        <v>232</v>
      </c>
      <c r="X1147" s="42" t="s">
        <v>232</v>
      </c>
      <c r="Y1147" s="825" t="s">
        <v>232</v>
      </c>
      <c r="Z1147" s="39">
        <v>0</v>
      </c>
      <c r="AA1147" s="518">
        <v>1</v>
      </c>
      <c r="AB1147" s="395" t="s">
        <v>232</v>
      </c>
      <c r="AC1147" s="519" t="str">
        <f>""</f>
        <v/>
      </c>
      <c r="AD1147" s="520">
        <v>0</v>
      </c>
      <c r="AE1147" s="520" t="s">
        <v>236</v>
      </c>
      <c r="AF1147" s="520" t="s">
        <v>237</v>
      </c>
      <c r="AG1147" s="520">
        <v>1</v>
      </c>
      <c r="AH1147" s="520">
        <v>10</v>
      </c>
      <c r="AI1147" s="520">
        <v>0</v>
      </c>
      <c r="AJ1147" s="520">
        <f>VLOOKUP($I1147,'Price List, Weapons &amp; Items'!A:E,5,0)</f>
        <v>0</v>
      </c>
      <c r="AK1147" s="520">
        <f t="shared" si="249"/>
        <v>0</v>
      </c>
      <c r="AL1147" s="520">
        <f t="shared" si="250"/>
        <v>0</v>
      </c>
      <c r="AM1147" s="520">
        <f t="shared" si="251"/>
        <v>1</v>
      </c>
      <c r="AN1147" s="521" t="str">
        <f>VLOOKUP($I1147,'Price List, Weapons &amp; Items'!A:K,COLUMN('Price List, Weapons &amp; Items'!$I$1),0)</f>
        <v>.</v>
      </c>
      <c r="AO1147" s="521" t="str">
        <f>IF(I1147=".",".",VLOOKUP($I1147,'Price List, Weapons &amp; Items'!A:I,3,0))</f>
        <v>Small Arms and Light Weapons (SALW) ammunition</v>
      </c>
      <c r="AP1147" s="517" t="str">
        <f t="shared" ca="1" si="257"/>
        <v/>
      </c>
      <c r="AQ1147" s="521">
        <f>VLOOKUP($I1147,'Price List, Weapons &amp; Items'!A:K,COLUMN('Price List, Weapons &amp; Items'!$K$1),0)</f>
        <v>0</v>
      </c>
      <c r="AS1147" s="521">
        <f t="shared" si="252"/>
        <v>1</v>
      </c>
      <c r="AT1147" s="521">
        <f t="shared" si="253"/>
        <v>1</v>
      </c>
      <c r="AU1147" s="521">
        <f t="shared" si="254"/>
        <v>1</v>
      </c>
      <c r="AV1147" s="521" t="str">
        <f t="shared" si="255"/>
        <v>.</v>
      </c>
    </row>
    <row r="1148" spans="1:48" ht="15" customHeight="1">
      <c r="A1148" s="46" t="s">
        <v>2780</v>
      </c>
      <c r="B1148" s="46" t="s">
        <v>2548</v>
      </c>
      <c r="C1148" s="550">
        <v>44862</v>
      </c>
      <c r="D1148" s="46" t="s">
        <v>252</v>
      </c>
      <c r="E1148" s="46" t="s">
        <v>253</v>
      </c>
      <c r="F1148" s="816" t="s">
        <v>2790</v>
      </c>
      <c r="G1148" s="39" t="s">
        <v>314</v>
      </c>
      <c r="H1148" s="563">
        <v>275000000</v>
      </c>
      <c r="I1148" s="41" t="s">
        <v>2792</v>
      </c>
      <c r="J1148" s="276" t="str">
        <f>VLOOKUP($I1148,'Price List, Weapons &amp; Items'!A:B,2,0)</f>
        <v>Military equipment</v>
      </c>
      <c r="K1148" s="276" t="str">
        <f>IF(I1148=".",I1148,VLOOKUP($I1148,'Price List, Weapons &amp; Items'!A:C,3,0))</f>
        <v>radar or imagery systems</v>
      </c>
      <c r="L1148" s="514">
        <f>VLOOKUP(I1148,'Price List, Weapons &amp; Items'!A:D,4,0)</f>
        <v>0</v>
      </c>
      <c r="M1148" s="515">
        <v>4</v>
      </c>
      <c r="N1148" s="515" t="s">
        <v>232</v>
      </c>
      <c r="O1148" s="516" t="str">
        <f>VLOOKUP($I1148,'Price List, Weapons &amp; Items'!A:F,6,0)</f>
        <v>.</v>
      </c>
      <c r="P1148" s="513" t="str">
        <f t="shared" si="258"/>
        <v>No price</v>
      </c>
      <c r="Q1148" s="513" t="str">
        <f t="shared" si="259"/>
        <v>.</v>
      </c>
      <c r="R1148" s="513" t="str">
        <f t="shared" si="256"/>
        <v/>
      </c>
      <c r="S1148" s="513" t="str">
        <f>IF(AND(AD1148=1,R1148&lt;&gt;".")=TRUE,R1148/VLOOKUP(G1148,'Exchange rates'!B:C,2,0),IF(R1148=".",".",""))</f>
        <v/>
      </c>
      <c r="T1148" s="513" t="str">
        <f>IF(AD1148=1,IF(AF1148="Value is not given at all",".",IF(AF1148="Value is given by the source",S1148,IF(AF1148="Value is calculated with prices",(IF(SUMIFS(Q:Q,A:A,A1148)&gt;0,SUMIFS(Q:Q,A:A,A1148),"."))/VLOOKUP("USD",'Exchange rates'!B:C,2,0),"Error with coding"))),"")</f>
        <v/>
      </c>
      <c r="U1148" s="39" t="s">
        <v>233</v>
      </c>
      <c r="V1148" s="826" t="s">
        <v>2791</v>
      </c>
      <c r="W1148" s="42" t="s">
        <v>232</v>
      </c>
      <c r="X1148" s="42" t="s">
        <v>232</v>
      </c>
      <c r="Y1148" s="825" t="s">
        <v>232</v>
      </c>
      <c r="Z1148" s="39">
        <v>0</v>
      </c>
      <c r="AA1148" s="518">
        <v>1</v>
      </c>
      <c r="AB1148" s="395" t="s">
        <v>232</v>
      </c>
      <c r="AC1148" s="519" t="str">
        <f>""</f>
        <v/>
      </c>
      <c r="AD1148" s="520">
        <v>0</v>
      </c>
      <c r="AE1148" s="520" t="s">
        <v>236</v>
      </c>
      <c r="AF1148" s="520" t="s">
        <v>237</v>
      </c>
      <c r="AG1148" s="520">
        <v>1</v>
      </c>
      <c r="AH1148" s="520">
        <v>10</v>
      </c>
      <c r="AI1148" s="520">
        <v>0</v>
      </c>
      <c r="AJ1148" s="520">
        <f>VLOOKUP($I1148,'Price List, Weapons &amp; Items'!A:E,5,0)</f>
        <v>0</v>
      </c>
      <c r="AK1148" s="520">
        <f t="shared" si="249"/>
        <v>0</v>
      </c>
      <c r="AL1148" s="520">
        <f t="shared" si="250"/>
        <v>0</v>
      </c>
      <c r="AM1148" s="520">
        <f t="shared" si="251"/>
        <v>0</v>
      </c>
      <c r="AN1148" s="521" t="str">
        <f>VLOOKUP($I1148,'Price List, Weapons &amp; Items'!A:K,COLUMN('Price List, Weapons &amp; Items'!$I$1),0)</f>
        <v>.</v>
      </c>
      <c r="AO1148" s="521" t="str">
        <f>IF(I1148=".",".",VLOOKUP($I1148,'Price List, Weapons &amp; Items'!A:I,3,0))</f>
        <v>radar or imagery systems</v>
      </c>
      <c r="AP1148" s="517" t="str">
        <f t="shared" ca="1" si="257"/>
        <v/>
      </c>
      <c r="AQ1148" s="521">
        <f>VLOOKUP($I1148,'Price List, Weapons &amp; Items'!A:K,COLUMN('Price List, Weapons &amp; Items'!$K$1),0)</f>
        <v>0</v>
      </c>
      <c r="AS1148" s="521">
        <f t="shared" si="252"/>
        <v>1</v>
      </c>
      <c r="AT1148" s="521">
        <f t="shared" si="253"/>
        <v>1</v>
      </c>
      <c r="AU1148" s="521">
        <f t="shared" si="254"/>
        <v>1</v>
      </c>
      <c r="AV1148" s="521" t="str">
        <f t="shared" si="255"/>
        <v>.</v>
      </c>
    </row>
    <row r="1149" spans="1:48" ht="15" customHeight="1">
      <c r="A1149" s="46" t="s">
        <v>2780</v>
      </c>
      <c r="B1149" s="46" t="s">
        <v>2548</v>
      </c>
      <c r="C1149" s="550">
        <v>44875</v>
      </c>
      <c r="D1149" s="46" t="s">
        <v>252</v>
      </c>
      <c r="E1149" s="46" t="s">
        <v>253</v>
      </c>
      <c r="F1149" s="816" t="s">
        <v>2793</v>
      </c>
      <c r="G1149" s="39" t="s">
        <v>314</v>
      </c>
      <c r="H1149" s="563">
        <v>400000000</v>
      </c>
      <c r="I1149" s="41" t="s">
        <v>2794</v>
      </c>
      <c r="J1149" s="276" t="str">
        <f>VLOOKUP($I1149,'Price List, Weapons &amp; Items'!A:B,2,0)</f>
        <v>Ammunition for heavy weapon</v>
      </c>
      <c r="K1149" s="276" t="str">
        <f>IF(I1149=".",I1149,VLOOKUP($I1149,'Price List, Weapons &amp; Items'!A:C,3,0))</f>
        <v>Surface-to-air missile (SAM)</v>
      </c>
      <c r="L1149" s="514">
        <f>VLOOKUP(I1149,'Price List, Weapons &amp; Items'!A:D,4,0)</f>
        <v>0</v>
      </c>
      <c r="M1149" s="515" t="s">
        <v>264</v>
      </c>
      <c r="N1149" s="515" t="s">
        <v>232</v>
      </c>
      <c r="O1149" s="516">
        <f>VLOOKUP($I1149,'Price List, Weapons &amp; Items'!A:F,6,0)</f>
        <v>97800</v>
      </c>
      <c r="P1149" s="513" t="str">
        <f t="shared" si="258"/>
        <v>.</v>
      </c>
      <c r="Q1149" s="513" t="str">
        <f t="shared" si="247"/>
        <v>.</v>
      </c>
      <c r="R1149" s="513" t="str">
        <f t="shared" si="256"/>
        <v/>
      </c>
      <c r="S1149" s="513" t="str">
        <f>IF(AND(AD1149=1,R1149&lt;&gt;".")=TRUE,R1149/VLOOKUP(G1149,'Exchange rates'!B:C,2,0),IF(R1149=".",".",""))</f>
        <v/>
      </c>
      <c r="T1149" s="513" t="str">
        <f>IF(AD1149=1,IF(AF1149="Value is not given at all",".",IF(AF1149="Value is given by the source",S1149,IF(AF1149="Value is calculated with prices",(IF(SUMIFS(Q:Q,A:A,A1149)&gt;0,SUMIFS(Q:Q,A:A,A1149),"."))/VLOOKUP("USD",'Exchange rates'!B:C,2,0),"Error with coding"))),"")</f>
        <v/>
      </c>
      <c r="U1149" s="39" t="s">
        <v>233</v>
      </c>
      <c r="V1149" s="826" t="s">
        <v>2795</v>
      </c>
      <c r="W1149" s="42" t="s">
        <v>232</v>
      </c>
      <c r="X1149" s="42" t="s">
        <v>232</v>
      </c>
      <c r="Y1149" s="825" t="s">
        <v>232</v>
      </c>
      <c r="Z1149" s="39">
        <v>0</v>
      </c>
      <c r="AA1149" s="518">
        <v>1</v>
      </c>
      <c r="AB1149" s="395" t="s">
        <v>232</v>
      </c>
      <c r="AC1149" s="519" t="str">
        <f>""</f>
        <v/>
      </c>
      <c r="AD1149" s="520">
        <v>0</v>
      </c>
      <c r="AE1149" s="520" t="s">
        <v>236</v>
      </c>
      <c r="AF1149" s="520" t="s">
        <v>237</v>
      </c>
      <c r="AG1149" s="520">
        <v>1</v>
      </c>
      <c r="AH1149" s="520">
        <v>11</v>
      </c>
      <c r="AI1149" s="520">
        <v>0</v>
      </c>
      <c r="AJ1149" s="520">
        <f>VLOOKUP($I1149,'Price List, Weapons &amp; Items'!A:E,5,0)</f>
        <v>0</v>
      </c>
      <c r="AK1149" s="520">
        <f t="shared" si="249"/>
        <v>0</v>
      </c>
      <c r="AL1149" s="520">
        <f t="shared" si="250"/>
        <v>0</v>
      </c>
      <c r="AM1149" s="520">
        <f t="shared" si="251"/>
        <v>0</v>
      </c>
      <c r="AN1149" s="521" t="str">
        <f>VLOOKUP($I1149,'Price List, Weapons &amp; Items'!A:K,COLUMN('Price List, Weapons &amp; Items'!$I$1),0)</f>
        <v>Government information</v>
      </c>
      <c r="AO1149" s="521" t="str">
        <f>IF(I1149=".",".",VLOOKUP($I1149,'Price List, Weapons &amp; Items'!A:I,3,0))</f>
        <v>Surface-to-air missile (SAM)</v>
      </c>
      <c r="AP1149" s="517" t="str">
        <f t="shared" ca="1" si="257"/>
        <v/>
      </c>
      <c r="AQ1149" s="521" t="str">
        <f>VLOOKUP($I1149,'Price List, Weapons &amp; Items'!A:K,COLUMN('Price List, Weapons &amp; Items'!$K$1),0)</f>
        <v>no price, 0 count</v>
      </c>
      <c r="AS1149" s="521">
        <f t="shared" si="252"/>
        <v>1</v>
      </c>
      <c r="AT1149" s="521">
        <f t="shared" si="253"/>
        <v>1</v>
      </c>
      <c r="AU1149" s="521">
        <f t="shared" si="254"/>
        <v>1</v>
      </c>
      <c r="AV1149" s="521" t="str">
        <f t="shared" si="255"/>
        <v>.</v>
      </c>
    </row>
    <row r="1150" spans="1:48" ht="15" customHeight="1">
      <c r="A1150" s="46" t="s">
        <v>2780</v>
      </c>
      <c r="B1150" s="46" t="s">
        <v>2548</v>
      </c>
      <c r="C1150" s="550">
        <v>44875</v>
      </c>
      <c r="D1150" s="46" t="s">
        <v>252</v>
      </c>
      <c r="E1150" s="46" t="s">
        <v>253</v>
      </c>
      <c r="F1150" s="816" t="s">
        <v>2793</v>
      </c>
      <c r="G1150" s="39" t="s">
        <v>314</v>
      </c>
      <c r="H1150" s="563">
        <v>400000000</v>
      </c>
      <c r="I1150" s="41" t="s">
        <v>2796</v>
      </c>
      <c r="J1150" s="276" t="str">
        <f>VLOOKUP($I1150,'Price List, Weapons &amp; Items'!A:B,2,0)</f>
        <v>Heavy weapon</v>
      </c>
      <c r="K1150" s="276" t="str">
        <f>IF(I1150=".",I1150,VLOOKUP($I1150,'Price List, Weapons &amp; Items'!A:C,3,0))</f>
        <v>Anti-aircraft surface-to-air missile (SAM) system (point-defense)</v>
      </c>
      <c r="L1150" s="514">
        <f>VLOOKUP(I1150,'Price List, Weapons &amp; Items'!A:D,4,0)</f>
        <v>0</v>
      </c>
      <c r="M1150" s="515">
        <v>4</v>
      </c>
      <c r="N1150" s="515" t="s">
        <v>232</v>
      </c>
      <c r="O1150" s="516">
        <f>VLOOKUP($I1150,'Price List, Weapons &amp; Items'!A:F,6,0)</f>
        <v>1866185.221792896</v>
      </c>
      <c r="P1150" s="513">
        <f t="shared" si="258"/>
        <v>7464740.8871715842</v>
      </c>
      <c r="Q1150" s="513" t="str">
        <f t="shared" si="247"/>
        <v>.</v>
      </c>
      <c r="R1150" s="513" t="str">
        <f t="shared" si="256"/>
        <v/>
      </c>
      <c r="S1150" s="513" t="str">
        <f>IF(AND(AD1150=1,R1150&lt;&gt;".")=TRUE,R1150/VLOOKUP(G1150,'Exchange rates'!B:C,2,0),IF(R1150=".",".",""))</f>
        <v/>
      </c>
      <c r="T1150" s="513" t="str">
        <f>IF(AD1150=1,IF(AF1150="Value is not given at all",".",IF(AF1150="Value is given by the source",S1150,IF(AF1150="Value is calculated with prices",(IF(SUMIFS(Q:Q,A:A,A1150)&gt;0,SUMIFS(Q:Q,A:A,A1150),"."))/VLOOKUP("USD",'Exchange rates'!B:C,2,0),"Error with coding"))),"")</f>
        <v/>
      </c>
      <c r="U1150" s="39" t="s">
        <v>233</v>
      </c>
      <c r="V1150" s="826" t="s">
        <v>2795</v>
      </c>
      <c r="W1150" s="42" t="s">
        <v>232</v>
      </c>
      <c r="X1150" s="42" t="s">
        <v>232</v>
      </c>
      <c r="Y1150" s="825" t="s">
        <v>232</v>
      </c>
      <c r="Z1150" s="39">
        <v>0</v>
      </c>
      <c r="AA1150" s="518">
        <v>1</v>
      </c>
      <c r="AB1150" s="395" t="s">
        <v>232</v>
      </c>
      <c r="AC1150" s="519" t="str">
        <f>""</f>
        <v/>
      </c>
      <c r="AD1150" s="520">
        <v>0</v>
      </c>
      <c r="AE1150" s="520" t="s">
        <v>236</v>
      </c>
      <c r="AF1150" s="520" t="s">
        <v>237</v>
      </c>
      <c r="AG1150" s="520">
        <v>1</v>
      </c>
      <c r="AH1150" s="520">
        <v>11</v>
      </c>
      <c r="AI1150" s="520">
        <v>0</v>
      </c>
      <c r="AJ1150" s="520">
        <f>VLOOKUP($I1150,'Price List, Weapons &amp; Items'!A:E,5,0)</f>
        <v>0</v>
      </c>
      <c r="AK1150" s="520">
        <f t="shared" si="249"/>
        <v>0</v>
      </c>
      <c r="AL1150" s="520">
        <f t="shared" si="250"/>
        <v>0</v>
      </c>
      <c r="AM1150" s="520">
        <f t="shared" si="251"/>
        <v>0</v>
      </c>
      <c r="AN1150" s="521" t="str">
        <f>VLOOKUP($I1150,'Price List, Weapons &amp; Items'!A:K,COLUMN('Price List, Weapons &amp; Items'!$I$1),0)</f>
        <v>Contracts</v>
      </c>
      <c r="AO1150" s="521" t="str">
        <f>IF(I1150=".",".",VLOOKUP($I1150,'Price List, Weapons &amp; Items'!A:I,3,0))</f>
        <v>Anti-aircraft surface-to-air missile (SAM) system (point-defense)</v>
      </c>
      <c r="AP1150" s="517" t="str">
        <f t="shared" ca="1" si="257"/>
        <v/>
      </c>
      <c r="AQ1150" s="521">
        <f>VLOOKUP($I1150,'Price List, Weapons &amp; Items'!A:K,COLUMN('Price List, Weapons &amp; Items'!$K$1),0)</f>
        <v>2</v>
      </c>
      <c r="AS1150" s="521">
        <f t="shared" si="252"/>
        <v>1</v>
      </c>
      <c r="AT1150" s="521">
        <f t="shared" si="253"/>
        <v>1</v>
      </c>
      <c r="AU1150" s="521">
        <f t="shared" si="254"/>
        <v>1</v>
      </c>
      <c r="AV1150" s="521" t="str">
        <f t="shared" si="255"/>
        <v>.</v>
      </c>
    </row>
    <row r="1151" spans="1:48" ht="15" customHeight="1">
      <c r="A1151" s="46" t="s">
        <v>2780</v>
      </c>
      <c r="B1151" s="46" t="s">
        <v>2548</v>
      </c>
      <c r="C1151" s="550">
        <v>44875</v>
      </c>
      <c r="D1151" s="46" t="s">
        <v>252</v>
      </c>
      <c r="E1151" s="46" t="s">
        <v>253</v>
      </c>
      <c r="F1151" s="816" t="s">
        <v>2793</v>
      </c>
      <c r="G1151" s="39" t="s">
        <v>314</v>
      </c>
      <c r="H1151" s="563">
        <v>400000000</v>
      </c>
      <c r="I1151" s="41" t="s">
        <v>1327</v>
      </c>
      <c r="J1151" s="276" t="str">
        <f>VLOOKUP($I1151,'Price List, Weapons &amp; Items'!A:B,2,0)</f>
        <v>Ammunition for portable defence system</v>
      </c>
      <c r="K1151" s="276" t="str">
        <f>IF(I1151=".",I1151,VLOOKUP($I1151,'Price List, Weapons &amp; Items'!A:C,3,0))</f>
        <v>MANPADS ammunition</v>
      </c>
      <c r="L1151" s="514">
        <f>VLOOKUP(I1151,'Price List, Weapons &amp; Items'!A:D,4,0)</f>
        <v>0</v>
      </c>
      <c r="M1151" s="515" t="s">
        <v>264</v>
      </c>
      <c r="N1151" s="515" t="s">
        <v>232</v>
      </c>
      <c r="O1151" s="516">
        <f>VLOOKUP($I1151,'Price List, Weapons &amp; Items'!A:F,6,0)</f>
        <v>480000</v>
      </c>
      <c r="P1151" s="513" t="str">
        <f t="shared" si="258"/>
        <v>.</v>
      </c>
      <c r="Q1151" s="513" t="str">
        <f t="shared" si="247"/>
        <v>.</v>
      </c>
      <c r="R1151" s="513" t="str">
        <f t="shared" si="256"/>
        <v/>
      </c>
      <c r="S1151" s="513" t="str">
        <f>IF(AND(AD1151=1,R1151&lt;&gt;".")=TRUE,R1151/VLOOKUP(G1151,'Exchange rates'!B:C,2,0),IF(R1151=".",".",""))</f>
        <v/>
      </c>
      <c r="T1151" s="513" t="str">
        <f>IF(AD1151=1,IF(AF1151="Value is not given at all",".",IF(AF1151="Value is given by the source",S1151,IF(AF1151="Value is calculated with prices",(IF(SUMIFS(Q:Q,A:A,A1151)&gt;0,SUMIFS(Q:Q,A:A,A1151),"."))/VLOOKUP("USD",'Exchange rates'!B:C,2,0),"Error with coding"))),"")</f>
        <v/>
      </c>
      <c r="U1151" s="39" t="s">
        <v>233</v>
      </c>
      <c r="V1151" s="826" t="s">
        <v>2795</v>
      </c>
      <c r="W1151" s="42" t="s">
        <v>232</v>
      </c>
      <c r="X1151" s="42" t="s">
        <v>232</v>
      </c>
      <c r="Y1151" s="825" t="s">
        <v>232</v>
      </c>
      <c r="Z1151" s="39">
        <v>0</v>
      </c>
      <c r="AA1151" s="518">
        <v>1</v>
      </c>
      <c r="AB1151" s="395" t="s">
        <v>232</v>
      </c>
      <c r="AC1151" s="519" t="str">
        <f>""</f>
        <v/>
      </c>
      <c r="AD1151" s="520">
        <v>0</v>
      </c>
      <c r="AE1151" s="520" t="s">
        <v>236</v>
      </c>
      <c r="AF1151" s="520" t="s">
        <v>237</v>
      </c>
      <c r="AG1151" s="520">
        <v>1</v>
      </c>
      <c r="AH1151" s="520">
        <v>11</v>
      </c>
      <c r="AI1151" s="520">
        <v>0</v>
      </c>
      <c r="AJ1151" s="520">
        <f>VLOOKUP($I1151,'Price List, Weapons &amp; Items'!A:E,5,0)</f>
        <v>0</v>
      </c>
      <c r="AK1151" s="520">
        <f t="shared" si="249"/>
        <v>0</v>
      </c>
      <c r="AL1151" s="520">
        <f t="shared" si="250"/>
        <v>0</v>
      </c>
      <c r="AM1151" s="520">
        <f t="shared" si="251"/>
        <v>0</v>
      </c>
      <c r="AN1151" s="521" t="str">
        <f>VLOOKUP($I1151,'Price List, Weapons &amp; Items'!A:K,COLUMN('Price List, Weapons &amp; Items'!$I$1),0)</f>
        <v>Media reports (incl. social media)</v>
      </c>
      <c r="AO1151" s="521" t="str">
        <f>IF(I1151=".",".",VLOOKUP($I1151,'Price List, Weapons &amp; Items'!A:I,3,0))</f>
        <v>MANPADS ammunition</v>
      </c>
      <c r="AP1151" s="517" t="str">
        <f t="shared" ca="1" si="257"/>
        <v/>
      </c>
      <c r="AQ1151" s="521">
        <f>VLOOKUP($I1151,'Price List, Weapons &amp; Items'!A:K,COLUMN('Price List, Weapons &amp; Items'!$K$1),0)</f>
        <v>2</v>
      </c>
      <c r="AS1151" s="521">
        <f t="shared" si="252"/>
        <v>1</v>
      </c>
      <c r="AT1151" s="521">
        <f t="shared" si="253"/>
        <v>1</v>
      </c>
      <c r="AU1151" s="521">
        <f t="shared" si="254"/>
        <v>1</v>
      </c>
      <c r="AV1151" s="521" t="str">
        <f t="shared" si="255"/>
        <v>.</v>
      </c>
    </row>
    <row r="1152" spans="1:48" ht="15" customHeight="1">
      <c r="A1152" s="46" t="s">
        <v>2780</v>
      </c>
      <c r="B1152" s="46" t="s">
        <v>2548</v>
      </c>
      <c r="C1152" s="550">
        <v>44875</v>
      </c>
      <c r="D1152" s="46" t="s">
        <v>252</v>
      </c>
      <c r="E1152" s="46" t="s">
        <v>253</v>
      </c>
      <c r="F1152" s="816" t="s">
        <v>2793</v>
      </c>
      <c r="G1152" s="39" t="s">
        <v>314</v>
      </c>
      <c r="H1152" s="563">
        <v>400000000</v>
      </c>
      <c r="I1152" s="41" t="s">
        <v>2655</v>
      </c>
      <c r="J1152" s="276" t="str">
        <f>VLOOKUP($I1152,'Price List, Weapons &amp; Items'!A:B,2,0)</f>
        <v>Ammunition for heavy weapon</v>
      </c>
      <c r="K1152" s="276" t="str">
        <f>IF(I1152=".",I1152,VLOOKUP($I1152,'Price List, Weapons &amp; Items'!A:C,3,0))</f>
        <v>227mm MLRS ammunition</v>
      </c>
      <c r="L1152" s="514">
        <f>VLOOKUP(I1152,'Price List, Weapons &amp; Items'!A:D,4,0)</f>
        <v>0</v>
      </c>
      <c r="M1152" s="515" t="s">
        <v>264</v>
      </c>
      <c r="N1152" s="515" t="s">
        <v>232</v>
      </c>
      <c r="O1152" s="516">
        <f>VLOOKUP($I1152,'Price List, Weapons &amp; Items'!A:F,6,0)</f>
        <v>150000</v>
      </c>
      <c r="P1152" s="513" t="str">
        <f t="shared" si="258"/>
        <v>.</v>
      </c>
      <c r="Q1152" s="513" t="str">
        <f t="shared" si="247"/>
        <v>.</v>
      </c>
      <c r="R1152" s="513" t="str">
        <f t="shared" si="256"/>
        <v/>
      </c>
      <c r="S1152" s="513" t="str">
        <f>IF(AND(AD1152=1,R1152&lt;&gt;".")=TRUE,R1152/VLOOKUP(G1152,'Exchange rates'!B:C,2,0),IF(R1152=".",".",""))</f>
        <v/>
      </c>
      <c r="T1152" s="513" t="str">
        <f>IF(AD1152=1,IF(AF1152="Value is not given at all",".",IF(AF1152="Value is given by the source",S1152,IF(AF1152="Value is calculated with prices",(IF(SUMIFS(Q:Q,A:A,A1152)&gt;0,SUMIFS(Q:Q,A:A,A1152),"."))/VLOOKUP("USD",'Exchange rates'!B:C,2,0),"Error with coding"))),"")</f>
        <v/>
      </c>
      <c r="U1152" s="39" t="s">
        <v>233</v>
      </c>
      <c r="V1152" s="826" t="s">
        <v>2795</v>
      </c>
      <c r="W1152" s="42" t="s">
        <v>232</v>
      </c>
      <c r="X1152" s="42" t="s">
        <v>232</v>
      </c>
      <c r="Y1152" s="825" t="s">
        <v>232</v>
      </c>
      <c r="Z1152" s="39">
        <v>0</v>
      </c>
      <c r="AA1152" s="518">
        <v>1</v>
      </c>
      <c r="AB1152" s="395" t="s">
        <v>232</v>
      </c>
      <c r="AC1152" s="519" t="str">
        <f>""</f>
        <v/>
      </c>
      <c r="AD1152" s="520">
        <v>0</v>
      </c>
      <c r="AE1152" s="520" t="s">
        <v>236</v>
      </c>
      <c r="AF1152" s="520" t="s">
        <v>237</v>
      </c>
      <c r="AG1152" s="520">
        <v>1</v>
      </c>
      <c r="AH1152" s="520">
        <v>11</v>
      </c>
      <c r="AI1152" s="520">
        <v>0</v>
      </c>
      <c r="AJ1152" s="520">
        <f>VLOOKUP($I1152,'Price List, Weapons &amp; Items'!A:E,5,0)</f>
        <v>1</v>
      </c>
      <c r="AK1152" s="520">
        <f t="shared" si="249"/>
        <v>1</v>
      </c>
      <c r="AL1152" s="520">
        <f t="shared" si="250"/>
        <v>0</v>
      </c>
      <c r="AM1152" s="520">
        <f t="shared" si="251"/>
        <v>1</v>
      </c>
      <c r="AN1152" s="521" t="str">
        <f>VLOOKUP($I1152,'Price List, Weapons &amp; Items'!A:K,COLUMN('Price List, Weapons &amp; Items'!$I$1),0)</f>
        <v>Media reports (incl. social media)</v>
      </c>
      <c r="AO1152" s="521" t="str">
        <f>IF(I1152=".",".",VLOOKUP($I1152,'Price List, Weapons &amp; Items'!A:I,3,0))</f>
        <v>227mm MLRS ammunition</v>
      </c>
      <c r="AP1152" s="517" t="str">
        <f t="shared" ca="1" si="257"/>
        <v/>
      </c>
      <c r="AQ1152" s="521" t="str">
        <f>VLOOKUP($I1152,'Price List, Weapons &amp; Items'!A:K,COLUMN('Price List, Weapons &amp; Items'!$K$1),0)</f>
        <v>no price, 0 count</v>
      </c>
      <c r="AS1152" s="521">
        <f t="shared" si="252"/>
        <v>1</v>
      </c>
      <c r="AT1152" s="521">
        <f t="shared" si="253"/>
        <v>1</v>
      </c>
      <c r="AU1152" s="521">
        <f t="shared" si="254"/>
        <v>1</v>
      </c>
      <c r="AV1152" s="521" t="str">
        <f t="shared" si="255"/>
        <v>.</v>
      </c>
    </row>
    <row r="1153" spans="1:48" ht="15" customHeight="1">
      <c r="A1153" s="46" t="s">
        <v>2780</v>
      </c>
      <c r="B1153" s="46" t="s">
        <v>2548</v>
      </c>
      <c r="C1153" s="550">
        <v>44875</v>
      </c>
      <c r="D1153" s="46" t="s">
        <v>252</v>
      </c>
      <c r="E1153" s="46" t="s">
        <v>253</v>
      </c>
      <c r="F1153" s="816" t="s">
        <v>2793</v>
      </c>
      <c r="G1153" s="39" t="s">
        <v>314</v>
      </c>
      <c r="H1153" s="563">
        <v>400000000</v>
      </c>
      <c r="I1153" s="41" t="s">
        <v>574</v>
      </c>
      <c r="J1153" s="276" t="str">
        <f>VLOOKUP($I1153,'Price List, Weapons &amp; Items'!A:B,2,0)</f>
        <v>Ammunition for heavy weapon</v>
      </c>
      <c r="K1153" s="276" t="str">
        <f>IF(I1153=".",I1153,VLOOKUP($I1153,'Price List, Weapons &amp; Items'!A:C,3,0))</f>
        <v>155mm howitzer ammunition</v>
      </c>
      <c r="L1153" s="514">
        <f>VLOOKUP(I1153,'Price List, Weapons &amp; Items'!A:D,4,0)</f>
        <v>0</v>
      </c>
      <c r="M1153" s="515">
        <v>21000</v>
      </c>
      <c r="N1153" s="515" t="s">
        <v>232</v>
      </c>
      <c r="O1153" s="516">
        <f>VLOOKUP($I1153,'Price List, Weapons &amp; Items'!A:F,6,0)</f>
        <v>3800</v>
      </c>
      <c r="P1153" s="513">
        <f t="shared" si="258"/>
        <v>79800000</v>
      </c>
      <c r="Q1153" s="513" t="str">
        <f t="shared" si="247"/>
        <v>.</v>
      </c>
      <c r="R1153" s="513" t="str">
        <f t="shared" si="256"/>
        <v/>
      </c>
      <c r="S1153" s="513" t="str">
        <f>IF(AND(AD1153=1,R1153&lt;&gt;".")=TRUE,R1153/VLOOKUP(G1153,'Exchange rates'!B:C,2,0),IF(R1153=".",".",""))</f>
        <v/>
      </c>
      <c r="T1153" s="513" t="str">
        <f>IF(AD1153=1,IF(AF1153="Value is not given at all",".",IF(AF1153="Value is given by the source",S1153,IF(AF1153="Value is calculated with prices",(IF(SUMIFS(Q:Q,A:A,A1153)&gt;0,SUMIFS(Q:Q,A:A,A1153),"."))/VLOOKUP("USD",'Exchange rates'!B:C,2,0),"Error with coding"))),"")</f>
        <v/>
      </c>
      <c r="U1153" s="39" t="s">
        <v>233</v>
      </c>
      <c r="V1153" s="826" t="s">
        <v>2795</v>
      </c>
      <c r="W1153" s="42" t="s">
        <v>232</v>
      </c>
      <c r="X1153" s="42" t="s">
        <v>232</v>
      </c>
      <c r="Y1153" s="825" t="s">
        <v>232</v>
      </c>
      <c r="Z1153" s="39">
        <v>0</v>
      </c>
      <c r="AA1153" s="518">
        <v>1</v>
      </c>
      <c r="AB1153" s="395" t="s">
        <v>232</v>
      </c>
      <c r="AC1153" s="519" t="str">
        <f>""</f>
        <v/>
      </c>
      <c r="AD1153" s="520">
        <v>0</v>
      </c>
      <c r="AE1153" s="520" t="s">
        <v>236</v>
      </c>
      <c r="AF1153" s="520" t="s">
        <v>237</v>
      </c>
      <c r="AG1153" s="520">
        <v>1</v>
      </c>
      <c r="AH1153" s="520">
        <v>11</v>
      </c>
      <c r="AI1153" s="520">
        <v>0</v>
      </c>
      <c r="AJ1153" s="520">
        <f>VLOOKUP($I1153,'Price List, Weapons &amp; Items'!A:E,5,0)</f>
        <v>1</v>
      </c>
      <c r="AK1153" s="520">
        <f t="shared" si="249"/>
        <v>0</v>
      </c>
      <c r="AL1153" s="520">
        <f t="shared" si="250"/>
        <v>0</v>
      </c>
      <c r="AM1153" s="520">
        <f t="shared" si="251"/>
        <v>0</v>
      </c>
      <c r="AN1153" s="521" t="str">
        <f>VLOOKUP($I1153,'Price List, Weapons &amp; Items'!A:K,COLUMN('Price List, Weapons &amp; Items'!$I$1),0)</f>
        <v>Government information</v>
      </c>
      <c r="AO1153" s="521" t="str">
        <f>IF(I1153=".",".",VLOOKUP($I1153,'Price List, Weapons &amp; Items'!A:I,3,0))</f>
        <v>155mm howitzer ammunition</v>
      </c>
      <c r="AP1153" s="517" t="str">
        <f t="shared" ca="1" si="257"/>
        <v/>
      </c>
      <c r="AQ1153" s="521">
        <f>VLOOKUP($I1153,'Price List, Weapons &amp; Items'!A:K,COLUMN('Price List, Weapons &amp; Items'!$K$1),0)</f>
        <v>2</v>
      </c>
      <c r="AS1153" s="521">
        <f t="shared" si="252"/>
        <v>1</v>
      </c>
      <c r="AT1153" s="521">
        <f t="shared" si="253"/>
        <v>1</v>
      </c>
      <c r="AU1153" s="521">
        <f t="shared" si="254"/>
        <v>1</v>
      </c>
      <c r="AV1153" s="521" t="str">
        <f t="shared" si="255"/>
        <v>.</v>
      </c>
    </row>
    <row r="1154" spans="1:48" ht="15" customHeight="1">
      <c r="A1154" s="46" t="s">
        <v>2780</v>
      </c>
      <c r="B1154" s="46" t="s">
        <v>2548</v>
      </c>
      <c r="C1154" s="550">
        <v>44875</v>
      </c>
      <c r="D1154" s="46" t="s">
        <v>252</v>
      </c>
      <c r="E1154" s="46" t="s">
        <v>253</v>
      </c>
      <c r="F1154" s="816" t="s">
        <v>2793</v>
      </c>
      <c r="G1154" s="39" t="s">
        <v>314</v>
      </c>
      <c r="H1154" s="563">
        <v>400000000</v>
      </c>
      <c r="I1154" s="41" t="s">
        <v>2788</v>
      </c>
      <c r="J1154" s="276" t="str">
        <f>VLOOKUP($I1154,'Price List, Weapons &amp; Items'!A:B,2,0)</f>
        <v>Ammunition for heavy weapon</v>
      </c>
      <c r="K1154" s="276" t="str">
        <f>IF(I1154=".",I1154,VLOOKUP($I1154,'Price List, Weapons &amp; Items'!A:C,3,0))</f>
        <v>.</v>
      </c>
      <c r="L1154" s="514">
        <f>VLOOKUP(I1154,'Price List, Weapons &amp; Items'!A:D,4,0)</f>
        <v>0</v>
      </c>
      <c r="M1154" s="515">
        <v>500</v>
      </c>
      <c r="N1154" s="515" t="s">
        <v>232</v>
      </c>
      <c r="O1154" s="516">
        <f>VLOOKUP($I1154,'Price List, Weapons &amp; Items'!A:F,6,0)</f>
        <v>112800</v>
      </c>
      <c r="P1154" s="513">
        <f t="shared" si="258"/>
        <v>56400000</v>
      </c>
      <c r="Q1154" s="513" t="str">
        <f t="shared" si="247"/>
        <v>.</v>
      </c>
      <c r="R1154" s="513" t="str">
        <f t="shared" si="256"/>
        <v/>
      </c>
      <c r="S1154" s="513" t="str">
        <f>IF(AND(AD1154=1,R1154&lt;&gt;".")=TRUE,R1154/VLOOKUP(G1154,'Exchange rates'!B:C,2,0),IF(R1154=".",".",""))</f>
        <v/>
      </c>
      <c r="T1154" s="513" t="str">
        <f>IF(AD1154=1,IF(AF1154="Value is not given at all",".",IF(AF1154="Value is given by the source",S1154,IF(AF1154="Value is calculated with prices",(IF(SUMIFS(Q:Q,A:A,A1154)&gt;0,SUMIFS(Q:Q,A:A,A1154),"."))/VLOOKUP("USD",'Exchange rates'!B:C,2,0),"Error with coding"))),"")</f>
        <v/>
      </c>
      <c r="U1154" s="39" t="s">
        <v>233</v>
      </c>
      <c r="V1154" s="826" t="s">
        <v>2795</v>
      </c>
      <c r="W1154" s="42" t="s">
        <v>232</v>
      </c>
      <c r="X1154" s="42" t="s">
        <v>232</v>
      </c>
      <c r="Y1154" s="825" t="s">
        <v>232</v>
      </c>
      <c r="Z1154" s="39">
        <v>0</v>
      </c>
      <c r="AA1154" s="518">
        <v>1</v>
      </c>
      <c r="AB1154" s="395" t="s">
        <v>232</v>
      </c>
      <c r="AC1154" s="519" t="str">
        <f>""</f>
        <v/>
      </c>
      <c r="AD1154" s="520">
        <v>0</v>
      </c>
      <c r="AE1154" s="520" t="s">
        <v>236</v>
      </c>
      <c r="AF1154" s="520" t="s">
        <v>237</v>
      </c>
      <c r="AG1154" s="520">
        <v>1</v>
      </c>
      <c r="AH1154" s="520">
        <v>11</v>
      </c>
      <c r="AI1154" s="520">
        <v>0</v>
      </c>
      <c r="AJ1154" s="520">
        <f>VLOOKUP($I1154,'Price List, Weapons &amp; Items'!A:E,5,0)</f>
        <v>0</v>
      </c>
      <c r="AK1154" s="520">
        <f t="shared" si="249"/>
        <v>0</v>
      </c>
      <c r="AL1154" s="520">
        <f t="shared" si="250"/>
        <v>0</v>
      </c>
      <c r="AM1154" s="520">
        <f t="shared" si="251"/>
        <v>0</v>
      </c>
      <c r="AN1154" s="521" t="str">
        <f>VLOOKUP($I1154,'Price List, Weapons &amp; Items'!A:K,COLUMN('Price List, Weapons &amp; Items'!$I$1),0)</f>
        <v>Miscellaneous</v>
      </c>
      <c r="AO1154" s="521" t="str">
        <f>IF(I1154=".",".",VLOOKUP($I1154,'Price List, Weapons &amp; Items'!A:I,3,0))</f>
        <v>.</v>
      </c>
      <c r="AP1154" s="517" t="str">
        <f t="shared" ca="1" si="257"/>
        <v/>
      </c>
      <c r="AQ1154" s="521">
        <f>VLOOKUP($I1154,'Price List, Weapons &amp; Items'!A:K,COLUMN('Price List, Weapons &amp; Items'!$K$1),0)</f>
        <v>2</v>
      </c>
      <c r="AS1154" s="521">
        <f t="shared" si="252"/>
        <v>1</v>
      </c>
      <c r="AT1154" s="521">
        <f t="shared" si="253"/>
        <v>1</v>
      </c>
      <c r="AU1154" s="521">
        <f t="shared" si="254"/>
        <v>1</v>
      </c>
      <c r="AV1154" s="521" t="str">
        <f t="shared" si="255"/>
        <v>.</v>
      </c>
    </row>
    <row r="1155" spans="1:48" ht="15" customHeight="1">
      <c r="A1155" s="46" t="s">
        <v>2780</v>
      </c>
      <c r="B1155" s="46" t="s">
        <v>2548</v>
      </c>
      <c r="C1155" s="550">
        <v>44875</v>
      </c>
      <c r="D1155" s="46" t="s">
        <v>252</v>
      </c>
      <c r="E1155" s="46" t="s">
        <v>253</v>
      </c>
      <c r="F1155" s="816" t="s">
        <v>2793</v>
      </c>
      <c r="G1155" s="39" t="s">
        <v>314</v>
      </c>
      <c r="H1155" s="563">
        <v>400000000</v>
      </c>
      <c r="I1155" s="41" t="s">
        <v>2680</v>
      </c>
      <c r="J1155" s="276" t="str">
        <f>VLOOKUP($I1155,'Price List, Weapons &amp; Items'!A:B,2,0)</f>
        <v>Ammunition for light infantry</v>
      </c>
      <c r="K1155" s="276" t="str">
        <f>IF(I1155=".",I1155,VLOOKUP($I1155,'Price List, Weapons &amp; Items'!A:C,3,0))</f>
        <v>Mortar ammunition</v>
      </c>
      <c r="L1155" s="514">
        <f>VLOOKUP(I1155,'Price List, Weapons &amp; Items'!A:D,4,0)</f>
        <v>0</v>
      </c>
      <c r="M1155" s="515">
        <v>10000</v>
      </c>
      <c r="N1155" s="515" t="s">
        <v>232</v>
      </c>
      <c r="O1155" s="516" t="str">
        <f>VLOOKUP($I1155,'Price List, Weapons &amp; Items'!A:F,6,0)</f>
        <v>.</v>
      </c>
      <c r="P1155" s="513" t="str">
        <f t="shared" si="258"/>
        <v>No price</v>
      </c>
      <c r="Q1155" s="513" t="str">
        <f t="shared" si="247"/>
        <v>.</v>
      </c>
      <c r="R1155" s="513" t="str">
        <f t="shared" si="256"/>
        <v/>
      </c>
      <c r="S1155" s="513" t="str">
        <f>IF(AND(AD1155=1,R1155&lt;&gt;".")=TRUE,R1155/VLOOKUP(G1155,'Exchange rates'!B:C,2,0),IF(R1155=".",".",""))</f>
        <v/>
      </c>
      <c r="T1155" s="513" t="str">
        <f>IF(AD1155=1,IF(AF1155="Value is not given at all",".",IF(AF1155="Value is given by the source",S1155,IF(AF1155="Value is calculated with prices",(IF(SUMIFS(Q:Q,A:A,A1155)&gt;0,SUMIFS(Q:Q,A:A,A1155),"."))/VLOOKUP("USD",'Exchange rates'!B:C,2,0),"Error with coding"))),"")</f>
        <v/>
      </c>
      <c r="U1155" s="39" t="s">
        <v>233</v>
      </c>
      <c r="V1155" s="826" t="s">
        <v>2795</v>
      </c>
      <c r="W1155" s="42" t="s">
        <v>232</v>
      </c>
      <c r="X1155" s="42" t="s">
        <v>232</v>
      </c>
      <c r="Y1155" s="825" t="s">
        <v>232</v>
      </c>
      <c r="Z1155" s="39">
        <v>0</v>
      </c>
      <c r="AA1155" s="518">
        <v>1</v>
      </c>
      <c r="AB1155" s="395" t="s">
        <v>232</v>
      </c>
      <c r="AC1155" s="519" t="str">
        <f>""</f>
        <v/>
      </c>
      <c r="AD1155" s="520">
        <v>0</v>
      </c>
      <c r="AE1155" s="520" t="s">
        <v>236</v>
      </c>
      <c r="AF1155" s="520" t="s">
        <v>237</v>
      </c>
      <c r="AG1155" s="520">
        <v>1</v>
      </c>
      <c r="AH1155" s="520">
        <v>11</v>
      </c>
      <c r="AI1155" s="520">
        <v>0</v>
      </c>
      <c r="AJ1155" s="520">
        <f>VLOOKUP($I1155,'Price List, Weapons &amp; Items'!A:E,5,0)</f>
        <v>0</v>
      </c>
      <c r="AK1155" s="520">
        <f t="shared" si="249"/>
        <v>0</v>
      </c>
      <c r="AL1155" s="520">
        <f t="shared" si="250"/>
        <v>0</v>
      </c>
      <c r="AM1155" s="520">
        <f t="shared" si="251"/>
        <v>1</v>
      </c>
      <c r="AN1155" s="521" t="str">
        <f>VLOOKUP($I1155,'Price List, Weapons &amp; Items'!A:K,COLUMN('Price List, Weapons &amp; Items'!$I$1),0)</f>
        <v>.</v>
      </c>
      <c r="AO1155" s="521" t="str">
        <f>IF(I1155=".",".",VLOOKUP($I1155,'Price List, Weapons &amp; Items'!A:I,3,0))</f>
        <v>Mortar ammunition</v>
      </c>
      <c r="AP1155" s="517" t="str">
        <f t="shared" ca="1" si="257"/>
        <v/>
      </c>
      <c r="AQ1155" s="521">
        <f>VLOOKUP($I1155,'Price List, Weapons &amp; Items'!A:K,COLUMN('Price List, Weapons &amp; Items'!$K$1),0)</f>
        <v>0</v>
      </c>
      <c r="AS1155" s="521">
        <f t="shared" si="252"/>
        <v>1</v>
      </c>
      <c r="AT1155" s="521">
        <f t="shared" si="253"/>
        <v>1</v>
      </c>
      <c r="AU1155" s="521">
        <f t="shared" si="254"/>
        <v>1</v>
      </c>
      <c r="AV1155" s="521" t="str">
        <f t="shared" si="255"/>
        <v>.</v>
      </c>
    </row>
    <row r="1156" spans="1:48" ht="15" customHeight="1">
      <c r="A1156" s="46" t="s">
        <v>2780</v>
      </c>
      <c r="B1156" s="46" t="s">
        <v>2548</v>
      </c>
      <c r="C1156" s="550">
        <v>44875</v>
      </c>
      <c r="D1156" s="46" t="s">
        <v>252</v>
      </c>
      <c r="E1156" s="46" t="s">
        <v>253</v>
      </c>
      <c r="F1156" s="816" t="s">
        <v>2793</v>
      </c>
      <c r="G1156" s="39" t="s">
        <v>314</v>
      </c>
      <c r="H1156" s="563">
        <v>400000000</v>
      </c>
      <c r="I1156" s="41" t="s">
        <v>2703</v>
      </c>
      <c r="J1156" s="276" t="str">
        <f>VLOOKUP($I1156,'Price List, Weapons &amp; Items'!A:B,2,0)</f>
        <v>Heavy weapon</v>
      </c>
      <c r="K1156" s="276" t="str">
        <f>IF(I1156=".",I1156,VLOOKUP($I1156,'Price List, Weapons &amp; Items'!A:C,3,0))</f>
        <v>Armoured Utility Vehicle (AUV)</v>
      </c>
      <c r="L1156" s="514">
        <f>VLOOKUP(I1156,'Price List, Weapons &amp; Items'!A:D,4,0)</f>
        <v>0</v>
      </c>
      <c r="M1156" s="515">
        <v>100</v>
      </c>
      <c r="N1156" s="515" t="s">
        <v>232</v>
      </c>
      <c r="O1156" s="516">
        <f>VLOOKUP($I1156,'Price List, Weapons &amp; Items'!A:F,6,0)</f>
        <v>254717</v>
      </c>
      <c r="P1156" s="513">
        <f t="shared" si="258"/>
        <v>25471700</v>
      </c>
      <c r="Q1156" s="513" t="str">
        <f t="shared" si="247"/>
        <v>.</v>
      </c>
      <c r="R1156" s="513" t="str">
        <f t="shared" si="256"/>
        <v/>
      </c>
      <c r="S1156" s="513" t="str">
        <f>IF(AND(AD1156=1,R1156&lt;&gt;".")=TRUE,R1156/VLOOKUP(G1156,'Exchange rates'!B:C,2,0),IF(R1156=".",".",""))</f>
        <v/>
      </c>
      <c r="T1156" s="513" t="str">
        <f>IF(AD1156=1,IF(AF1156="Value is not given at all",".",IF(AF1156="Value is given by the source",S1156,IF(AF1156="Value is calculated with prices",(IF(SUMIFS(Q:Q,A:A,A1156)&gt;0,SUMIFS(Q:Q,A:A,A1156),"."))/VLOOKUP("USD",'Exchange rates'!B:C,2,0),"Error with coding"))),"")</f>
        <v/>
      </c>
      <c r="U1156" s="39" t="s">
        <v>233</v>
      </c>
      <c r="V1156" s="826" t="s">
        <v>2795</v>
      </c>
      <c r="W1156" s="42" t="s">
        <v>232</v>
      </c>
      <c r="X1156" s="42" t="s">
        <v>232</v>
      </c>
      <c r="Y1156" s="825" t="s">
        <v>232</v>
      </c>
      <c r="Z1156" s="39">
        <v>0</v>
      </c>
      <c r="AA1156" s="518">
        <v>1</v>
      </c>
      <c r="AB1156" s="395" t="s">
        <v>232</v>
      </c>
      <c r="AC1156" s="519" t="str">
        <f>""</f>
        <v/>
      </c>
      <c r="AD1156" s="520">
        <v>0</v>
      </c>
      <c r="AE1156" s="520" t="s">
        <v>236</v>
      </c>
      <c r="AF1156" s="520" t="s">
        <v>237</v>
      </c>
      <c r="AG1156" s="520">
        <v>1</v>
      </c>
      <c r="AH1156" s="520">
        <v>11</v>
      </c>
      <c r="AI1156" s="520">
        <v>0</v>
      </c>
      <c r="AJ1156" s="520">
        <f>VLOOKUP($I1156,'Price List, Weapons &amp; Items'!A:E,5,0)</f>
        <v>1</v>
      </c>
      <c r="AK1156" s="520">
        <f t="shared" si="249"/>
        <v>0</v>
      </c>
      <c r="AL1156" s="520">
        <f t="shared" si="250"/>
        <v>0</v>
      </c>
      <c r="AM1156" s="520">
        <f t="shared" si="251"/>
        <v>0</v>
      </c>
      <c r="AN1156" s="521" t="str">
        <f>VLOOKUP($I1156,'Price List, Weapons &amp; Items'!A:K,COLUMN('Price List, Weapons &amp; Items'!$I$1),0)</f>
        <v>Military media (incl. websites)</v>
      </c>
      <c r="AO1156" s="521" t="str">
        <f>IF(I1156=".",".",VLOOKUP($I1156,'Price List, Weapons &amp; Items'!A:I,3,0))</f>
        <v>Armoured Utility Vehicle (AUV)</v>
      </c>
      <c r="AP1156" s="517" t="str">
        <f t="shared" ca="1" si="257"/>
        <v/>
      </c>
      <c r="AQ1156" s="521">
        <f>VLOOKUP($I1156,'Price List, Weapons &amp; Items'!A:K,COLUMN('Price List, Weapons &amp; Items'!$K$1),0)</f>
        <v>2</v>
      </c>
      <c r="AS1156" s="521">
        <f t="shared" si="252"/>
        <v>1</v>
      </c>
      <c r="AT1156" s="521">
        <f t="shared" si="253"/>
        <v>1</v>
      </c>
      <c r="AU1156" s="521">
        <f t="shared" si="254"/>
        <v>1</v>
      </c>
      <c r="AV1156" s="521" t="str">
        <f t="shared" si="255"/>
        <v>.</v>
      </c>
    </row>
    <row r="1157" spans="1:48" ht="15" customHeight="1">
      <c r="A1157" s="46" t="s">
        <v>2780</v>
      </c>
      <c r="B1157" s="46" t="s">
        <v>2548</v>
      </c>
      <c r="C1157" s="550">
        <v>44875</v>
      </c>
      <c r="D1157" s="46" t="s">
        <v>252</v>
      </c>
      <c r="E1157" s="46" t="s">
        <v>253</v>
      </c>
      <c r="F1157" s="816" t="s">
        <v>2793</v>
      </c>
      <c r="G1157" s="39" t="s">
        <v>314</v>
      </c>
      <c r="H1157" s="563">
        <v>400000000</v>
      </c>
      <c r="I1157" s="41" t="s">
        <v>2596</v>
      </c>
      <c r="J1157" s="276" t="str">
        <f>VLOOKUP($I1157,'Price List, Weapons &amp; Items'!A:B,2,0)</f>
        <v>Portable defence system</v>
      </c>
      <c r="K1157" s="276" t="str">
        <f>IF(I1157=".",I1157,VLOOKUP($I1157,'Price List, Weapons &amp; Items'!A:C,3,0))</f>
        <v>Under-barrel grenade launcher</v>
      </c>
      <c r="L1157" s="514">
        <f>VLOOKUP(I1157,'Price List, Weapons &amp; Items'!A:D,4,0)</f>
        <v>0</v>
      </c>
      <c r="M1157" s="515">
        <v>400</v>
      </c>
      <c r="N1157" s="515" t="s">
        <v>232</v>
      </c>
      <c r="O1157" s="516">
        <f>VLOOKUP($I1157,'Price List, Weapons &amp; Items'!A:F,6,0)</f>
        <v>2291</v>
      </c>
      <c r="P1157" s="513">
        <f t="shared" si="258"/>
        <v>916400</v>
      </c>
      <c r="Q1157" s="513" t="str">
        <f t="shared" si="247"/>
        <v>.</v>
      </c>
      <c r="R1157" s="513" t="str">
        <f t="shared" si="256"/>
        <v/>
      </c>
      <c r="S1157" s="513" t="str">
        <f>IF(AND(AD1157=1,R1157&lt;&gt;".")=TRUE,R1157/VLOOKUP(G1157,'Exchange rates'!B:C,2,0),IF(R1157=".",".",""))</f>
        <v/>
      </c>
      <c r="T1157" s="513" t="str">
        <f>IF(AD1157=1,IF(AF1157="Value is not given at all",".",IF(AF1157="Value is given by the source",S1157,IF(AF1157="Value is calculated with prices",(IF(SUMIFS(Q:Q,A:A,A1157)&gt;0,SUMIFS(Q:Q,A:A,A1157),"."))/VLOOKUP("USD",'Exchange rates'!B:C,2,0),"Error with coding"))),"")</f>
        <v/>
      </c>
      <c r="U1157" s="39" t="s">
        <v>233</v>
      </c>
      <c r="V1157" s="826" t="s">
        <v>2795</v>
      </c>
      <c r="W1157" s="42" t="s">
        <v>232</v>
      </c>
      <c r="X1157" s="42" t="s">
        <v>232</v>
      </c>
      <c r="Y1157" s="825" t="s">
        <v>232</v>
      </c>
      <c r="Z1157" s="39">
        <v>0</v>
      </c>
      <c r="AA1157" s="518">
        <v>1</v>
      </c>
      <c r="AB1157" s="395" t="s">
        <v>232</v>
      </c>
      <c r="AC1157" s="519" t="str">
        <f>""</f>
        <v/>
      </c>
      <c r="AD1157" s="520">
        <v>0</v>
      </c>
      <c r="AE1157" s="520" t="s">
        <v>236</v>
      </c>
      <c r="AF1157" s="520" t="s">
        <v>237</v>
      </c>
      <c r="AG1157" s="520">
        <v>1</v>
      </c>
      <c r="AH1157" s="520">
        <v>11</v>
      </c>
      <c r="AI1157" s="520">
        <v>0</v>
      </c>
      <c r="AJ1157" s="520">
        <f>VLOOKUP($I1157,'Price List, Weapons &amp; Items'!A:E,5,0)</f>
        <v>0</v>
      </c>
      <c r="AK1157" s="520">
        <f t="shared" ref="AK1157:AK1191" si="260">IF(AND(AJ1157=1,M1157="undisclosed")=TRUE,1,0)</f>
        <v>0</v>
      </c>
      <c r="AL1157" s="520">
        <f t="shared" ref="AL1157:AL1191" si="261">IF(AND(AJ1157=1,N1157="undisclosed")=TRUE,1,0)</f>
        <v>0</v>
      </c>
      <c r="AM1157" s="520">
        <f t="shared" ref="AM1157:AM1191" si="262">IFERROR(IF(SEARCH("ammuni",I1157,1)&gt;0,1,0),0)</f>
        <v>0</v>
      </c>
      <c r="AN1157" s="521" t="str">
        <f>VLOOKUP($I1157,'Price List, Weapons &amp; Items'!A:K,COLUMN('Price List, Weapons &amp; Items'!$I$1),0)</f>
        <v>Miscellaneous</v>
      </c>
      <c r="AO1157" s="521" t="str">
        <f>IF(I1157=".",".",VLOOKUP($I1157,'Price List, Weapons &amp; Items'!A:I,3,0))</f>
        <v>Under-barrel grenade launcher</v>
      </c>
      <c r="AP1157" s="517" t="str">
        <f t="shared" ca="1" si="257"/>
        <v/>
      </c>
      <c r="AQ1157" s="521">
        <f>VLOOKUP($I1157,'Price List, Weapons &amp; Items'!A:K,COLUMN('Price List, Weapons &amp; Items'!$K$1),0)</f>
        <v>2</v>
      </c>
      <c r="AS1157" s="521">
        <f t="shared" ref="AS1157:AS1191" si="263">IF(U1157="Yes",1,0)</f>
        <v>1</v>
      </c>
      <c r="AT1157" s="521">
        <f t="shared" ref="AT1157:AT1191" si="264">IF(OR((E1157="Weapons"),(E1157="Weapons and equipment"),(E1157="Weapons and training"),(E1157="Weapons and Assistance"),(E1157="Military Equipment"))=FALSE,0,1)</f>
        <v>1</v>
      </c>
      <c r="AU1157" s="521">
        <f t="shared" ref="AU1157:AU1191" si="265">IFERROR(IF(VALUE(TEXT(C1157,"mm"))=AH1157,".",1),"Value is not in date format")</f>
        <v>1</v>
      </c>
      <c r="AV1157" s="521" t="str">
        <f t="shared" si="255"/>
        <v>.</v>
      </c>
    </row>
    <row r="1158" spans="1:48" ht="15" customHeight="1">
      <c r="A1158" s="46" t="s">
        <v>2780</v>
      </c>
      <c r="B1158" s="46" t="s">
        <v>2548</v>
      </c>
      <c r="C1158" s="550">
        <v>44875</v>
      </c>
      <c r="D1158" s="46" t="s">
        <v>252</v>
      </c>
      <c r="E1158" s="46" t="s">
        <v>253</v>
      </c>
      <c r="F1158" s="816" t="s">
        <v>2793</v>
      </c>
      <c r="G1158" s="39" t="s">
        <v>314</v>
      </c>
      <c r="H1158" s="563">
        <v>400000000</v>
      </c>
      <c r="I1158" s="41" t="s">
        <v>2713</v>
      </c>
      <c r="J1158" s="276" t="str">
        <f>VLOOKUP($I1158,'Price List, Weapons &amp; Items'!A:B,2,0)</f>
        <v>Ammunition for light infantry</v>
      </c>
      <c r="K1158" s="276" t="str">
        <f>IF(I1158=".",I1158,VLOOKUP($I1158,'Price List, Weapons &amp; Items'!A:C,3,0))</f>
        <v>Small Arms and Light Weapons (SALW) ammunition</v>
      </c>
      <c r="L1158" s="514">
        <f>VLOOKUP(I1158,'Price List, Weapons &amp; Items'!A:D,4,0)</f>
        <v>0</v>
      </c>
      <c r="M1158" s="515">
        <v>2000000</v>
      </c>
      <c r="N1158" s="515" t="s">
        <v>232</v>
      </c>
      <c r="O1158" s="516" t="str">
        <f>VLOOKUP($I1158,'Price List, Weapons &amp; Items'!A:F,6,0)</f>
        <v>.</v>
      </c>
      <c r="P1158" s="513" t="str">
        <f t="shared" si="258"/>
        <v>No price</v>
      </c>
      <c r="Q1158" s="513" t="str">
        <f t="shared" si="247"/>
        <v>.</v>
      </c>
      <c r="R1158" s="513" t="str">
        <f t="shared" si="256"/>
        <v/>
      </c>
      <c r="S1158" s="513" t="str">
        <f>IF(AND(AD1158=1,R1158&lt;&gt;".")=TRUE,R1158/VLOOKUP(G1158,'Exchange rates'!B:C,2,0),IF(R1158=".",".",""))</f>
        <v/>
      </c>
      <c r="T1158" s="513" t="str">
        <f>IF(AD1158=1,IF(AF1158="Value is not given at all",".",IF(AF1158="Value is given by the source",S1158,IF(AF1158="Value is calculated with prices",(IF(SUMIFS(Q:Q,A:A,A1158)&gt;0,SUMIFS(Q:Q,A:A,A1158),"."))/VLOOKUP("USD",'Exchange rates'!B:C,2,0),"Error with coding"))),"")</f>
        <v/>
      </c>
      <c r="U1158" s="39" t="s">
        <v>233</v>
      </c>
      <c r="V1158" s="826" t="s">
        <v>2795</v>
      </c>
      <c r="W1158" s="42" t="s">
        <v>232</v>
      </c>
      <c r="X1158" s="42" t="s">
        <v>232</v>
      </c>
      <c r="Y1158" s="825" t="s">
        <v>232</v>
      </c>
      <c r="Z1158" s="39">
        <v>0</v>
      </c>
      <c r="AA1158" s="518">
        <v>1</v>
      </c>
      <c r="AB1158" s="395" t="s">
        <v>232</v>
      </c>
      <c r="AC1158" s="519" t="str">
        <f>""</f>
        <v/>
      </c>
      <c r="AD1158" s="520">
        <v>0</v>
      </c>
      <c r="AE1158" s="520" t="s">
        <v>236</v>
      </c>
      <c r="AF1158" s="520" t="s">
        <v>237</v>
      </c>
      <c r="AG1158" s="520">
        <v>1</v>
      </c>
      <c r="AH1158" s="520">
        <v>11</v>
      </c>
      <c r="AI1158" s="520">
        <v>0</v>
      </c>
      <c r="AJ1158" s="520">
        <f>VLOOKUP($I1158,'Price List, Weapons &amp; Items'!A:E,5,0)</f>
        <v>0</v>
      </c>
      <c r="AK1158" s="520">
        <f t="shared" si="260"/>
        <v>0</v>
      </c>
      <c r="AL1158" s="520">
        <f t="shared" si="261"/>
        <v>0</v>
      </c>
      <c r="AM1158" s="520">
        <f t="shared" si="262"/>
        <v>1</v>
      </c>
      <c r="AN1158" s="521" t="str">
        <f>VLOOKUP($I1158,'Price List, Weapons &amp; Items'!A:K,COLUMN('Price List, Weapons &amp; Items'!$I$1),0)</f>
        <v>.</v>
      </c>
      <c r="AO1158" s="521" t="str">
        <f>IF(I1158=".",".",VLOOKUP($I1158,'Price List, Weapons &amp; Items'!A:I,3,0))</f>
        <v>Small Arms and Light Weapons (SALW) ammunition</v>
      </c>
      <c r="AP1158" s="517" t="str">
        <f t="shared" ca="1" si="257"/>
        <v/>
      </c>
      <c r="AQ1158" s="521">
        <f>VLOOKUP($I1158,'Price List, Weapons &amp; Items'!A:K,COLUMN('Price List, Weapons &amp; Items'!$K$1),0)</f>
        <v>0</v>
      </c>
      <c r="AS1158" s="521">
        <f t="shared" si="263"/>
        <v>1</v>
      </c>
      <c r="AT1158" s="521">
        <f t="shared" si="264"/>
        <v>1</v>
      </c>
      <c r="AU1158" s="521">
        <f t="shared" si="265"/>
        <v>1</v>
      </c>
      <c r="AV1158" s="521" t="str">
        <f t="shared" ref="AV1158:AV1191" si="266">IF(AND(A1158=A1157,C1158=C1157)=TRUE,IF(F1158=F1157,".","1"),".")</f>
        <v>.</v>
      </c>
    </row>
    <row r="1159" spans="1:48" ht="15" customHeight="1">
      <c r="A1159" s="46" t="s">
        <v>2780</v>
      </c>
      <c r="B1159" s="46" t="s">
        <v>2548</v>
      </c>
      <c r="C1159" s="550">
        <v>44875</v>
      </c>
      <c r="D1159" s="46" t="s">
        <v>252</v>
      </c>
      <c r="E1159" s="46" t="s">
        <v>253</v>
      </c>
      <c r="F1159" s="816" t="s">
        <v>2793</v>
      </c>
      <c r="G1159" s="39" t="s">
        <v>314</v>
      </c>
      <c r="H1159" s="563">
        <v>400000000</v>
      </c>
      <c r="I1159" s="41" t="s">
        <v>2615</v>
      </c>
      <c r="J1159" s="276" t="str">
        <f>VLOOKUP($I1159,'Price List, Weapons &amp; Items'!A:B,2,0)</f>
        <v>Military equipment</v>
      </c>
      <c r="K1159" s="276" t="str">
        <f>IF(I1159=".",I1159,VLOOKUP($I1159,'Price List, Weapons &amp; Items'!A:C,3,0))</f>
        <v>.</v>
      </c>
      <c r="L1159" s="514">
        <f>VLOOKUP(I1159,'Price List, Weapons &amp; Items'!A:D,4,0)</f>
        <v>0</v>
      </c>
      <c r="M1159" s="515" t="s">
        <v>264</v>
      </c>
      <c r="N1159" s="515" t="s">
        <v>232</v>
      </c>
      <c r="O1159" s="516">
        <f>VLOOKUP($I1159,'Price List, Weapons &amp; Items'!A:F,6,0)</f>
        <v>45</v>
      </c>
      <c r="P1159" s="513" t="str">
        <f t="shared" si="258"/>
        <v>.</v>
      </c>
      <c r="Q1159" s="513" t="str">
        <f t="shared" si="247"/>
        <v>.</v>
      </c>
      <c r="R1159" s="513" t="str">
        <f t="shared" si="256"/>
        <v/>
      </c>
      <c r="S1159" s="513" t="str">
        <f>IF(AND(AD1159=1,R1159&lt;&gt;".")=TRUE,R1159/VLOOKUP(G1159,'Exchange rates'!B:C,2,0),IF(R1159=".",".",""))</f>
        <v/>
      </c>
      <c r="T1159" s="513" t="str">
        <f>IF(AD1159=1,IF(AF1159="Value is not given at all",".",IF(AF1159="Value is given by the source",S1159,IF(AF1159="Value is calculated with prices",(IF(SUMIFS(Q:Q,A:A,A1159)&gt;0,SUMIFS(Q:Q,A:A,A1159),"."))/VLOOKUP("USD",'Exchange rates'!B:C,2,0),"Error with coding"))),"")</f>
        <v/>
      </c>
      <c r="U1159" s="39" t="s">
        <v>233</v>
      </c>
      <c r="V1159" s="826" t="s">
        <v>2795</v>
      </c>
      <c r="W1159" s="42" t="s">
        <v>232</v>
      </c>
      <c r="X1159" s="42" t="s">
        <v>232</v>
      </c>
      <c r="Y1159" s="825" t="s">
        <v>232</v>
      </c>
      <c r="Z1159" s="39">
        <v>0</v>
      </c>
      <c r="AA1159" s="518">
        <v>1</v>
      </c>
      <c r="AB1159" s="395" t="s">
        <v>232</v>
      </c>
      <c r="AC1159" s="519" t="str">
        <f>""</f>
        <v/>
      </c>
      <c r="AD1159" s="520">
        <v>0</v>
      </c>
      <c r="AE1159" s="520" t="s">
        <v>236</v>
      </c>
      <c r="AF1159" s="520" t="s">
        <v>237</v>
      </c>
      <c r="AG1159" s="520">
        <v>1</v>
      </c>
      <c r="AH1159" s="520">
        <v>11</v>
      </c>
      <c r="AI1159" s="520">
        <v>0</v>
      </c>
      <c r="AJ1159" s="520">
        <f>VLOOKUP($I1159,'Price List, Weapons &amp; Items'!A:E,5,0)</f>
        <v>0</v>
      </c>
      <c r="AK1159" s="520">
        <f t="shared" si="260"/>
        <v>0</v>
      </c>
      <c r="AL1159" s="520">
        <f t="shared" si="261"/>
        <v>0</v>
      </c>
      <c r="AM1159" s="520">
        <f t="shared" si="262"/>
        <v>0</v>
      </c>
      <c r="AN1159" s="521" t="str">
        <f>VLOOKUP($I1159,'Price List, Weapons &amp; Items'!A:K,COLUMN('Price List, Weapons &amp; Items'!$I$1),0)</f>
        <v>Online marketplaces and stores</v>
      </c>
      <c r="AO1159" s="521" t="str">
        <f>IF(I1159=".",".",VLOOKUP($I1159,'Price List, Weapons &amp; Items'!A:I,3,0))</f>
        <v>.</v>
      </c>
      <c r="AP1159" s="517" t="str">
        <f t="shared" ca="1" si="257"/>
        <v/>
      </c>
      <c r="AQ1159" s="521">
        <f>VLOOKUP($I1159,'Price List, Weapons &amp; Items'!A:K,COLUMN('Price List, Weapons &amp; Items'!$K$1),0)</f>
        <v>1</v>
      </c>
      <c r="AS1159" s="521">
        <f t="shared" si="263"/>
        <v>1</v>
      </c>
      <c r="AT1159" s="521">
        <f t="shared" si="264"/>
        <v>1</v>
      </c>
      <c r="AU1159" s="521">
        <f t="shared" si="265"/>
        <v>1</v>
      </c>
      <c r="AV1159" s="521" t="str">
        <f t="shared" si="266"/>
        <v>.</v>
      </c>
    </row>
    <row r="1160" spans="1:48" ht="15" customHeight="1">
      <c r="A1160" s="46" t="s">
        <v>2780</v>
      </c>
      <c r="B1160" s="46" t="s">
        <v>2548</v>
      </c>
      <c r="C1160" s="550">
        <v>44875</v>
      </c>
      <c r="D1160" s="46" t="s">
        <v>252</v>
      </c>
      <c r="E1160" s="46" t="s">
        <v>253</v>
      </c>
      <c r="F1160" s="816" t="s">
        <v>2793</v>
      </c>
      <c r="G1160" s="39" t="s">
        <v>314</v>
      </c>
      <c r="H1160" s="563">
        <v>400000000</v>
      </c>
      <c r="I1160" s="41" t="s">
        <v>2616</v>
      </c>
      <c r="J1160" s="276" t="str">
        <f>VLOOKUP($I1160,'Price List, Weapons &amp; Items'!A:B,2,0)</f>
        <v>Military equipment</v>
      </c>
      <c r="K1160" s="276" t="str">
        <f>IF(I1160=".",I1160,VLOOKUP($I1160,'Price List, Weapons &amp; Items'!A:C,3,0))</f>
        <v>.</v>
      </c>
      <c r="L1160" s="514">
        <f>VLOOKUP(I1160,'Price List, Weapons &amp; Items'!A:D,4,0)</f>
        <v>0</v>
      </c>
      <c r="M1160" s="515" t="s">
        <v>264</v>
      </c>
      <c r="N1160" s="515" t="s">
        <v>232</v>
      </c>
      <c r="O1160" s="516">
        <f>VLOOKUP($I1160,'Price List, Weapons &amp; Items'!A:F,6,0)</f>
        <v>90</v>
      </c>
      <c r="P1160" s="513" t="str">
        <f t="shared" si="258"/>
        <v>.</v>
      </c>
      <c r="Q1160" s="513" t="str">
        <f t="shared" si="247"/>
        <v>.</v>
      </c>
      <c r="R1160" s="513" t="str">
        <f t="shared" si="256"/>
        <v/>
      </c>
      <c r="S1160" s="513" t="str">
        <f>IF(AND(AD1160=1,R1160&lt;&gt;".")=TRUE,R1160/VLOOKUP(G1160,'Exchange rates'!B:C,2,0),IF(R1160=".",".",""))</f>
        <v/>
      </c>
      <c r="T1160" s="513" t="str">
        <f>IF(AD1160=1,IF(AF1160="Value is not given at all",".",IF(AF1160="Value is given by the source",S1160,IF(AF1160="Value is calculated with prices",(IF(SUMIFS(Q:Q,A:A,A1160)&gt;0,SUMIFS(Q:Q,A:A,A1160),"."))/VLOOKUP("USD",'Exchange rates'!B:C,2,0),"Error with coding"))),"")</f>
        <v/>
      </c>
      <c r="U1160" s="39" t="s">
        <v>233</v>
      </c>
      <c r="V1160" s="826" t="s">
        <v>2795</v>
      </c>
      <c r="W1160" s="42" t="s">
        <v>232</v>
      </c>
      <c r="X1160" s="42" t="s">
        <v>232</v>
      </c>
      <c r="Y1160" s="825" t="s">
        <v>232</v>
      </c>
      <c r="Z1160" s="39">
        <v>0</v>
      </c>
      <c r="AA1160" s="518">
        <v>1</v>
      </c>
      <c r="AB1160" s="395" t="s">
        <v>232</v>
      </c>
      <c r="AC1160" s="519" t="str">
        <f>""</f>
        <v/>
      </c>
      <c r="AD1160" s="520">
        <v>0</v>
      </c>
      <c r="AE1160" s="520" t="s">
        <v>236</v>
      </c>
      <c r="AF1160" s="520" t="s">
        <v>237</v>
      </c>
      <c r="AG1160" s="520">
        <v>1</v>
      </c>
      <c r="AH1160" s="520">
        <v>11</v>
      </c>
      <c r="AI1160" s="520">
        <v>0</v>
      </c>
      <c r="AJ1160" s="520">
        <f>VLOOKUP($I1160,'Price List, Weapons &amp; Items'!A:E,5,0)</f>
        <v>0</v>
      </c>
      <c r="AK1160" s="520">
        <f t="shared" si="260"/>
        <v>0</v>
      </c>
      <c r="AL1160" s="520">
        <f t="shared" si="261"/>
        <v>0</v>
      </c>
      <c r="AM1160" s="520">
        <f t="shared" si="262"/>
        <v>0</v>
      </c>
      <c r="AN1160" s="521" t="str">
        <f>VLOOKUP($I1160,'Price List, Weapons &amp; Items'!A:K,COLUMN('Price List, Weapons &amp; Items'!$I$1),0)</f>
        <v>Media reports (incl. social media)</v>
      </c>
      <c r="AO1160" s="521" t="str">
        <f>IF(I1160=".",".",VLOOKUP($I1160,'Price List, Weapons &amp; Items'!A:I,3,0))</f>
        <v>.</v>
      </c>
      <c r="AP1160" s="517" t="str">
        <f t="shared" ca="1" si="257"/>
        <v/>
      </c>
      <c r="AQ1160" s="521" t="str">
        <f>VLOOKUP($I1160,'Price List, Weapons &amp; Items'!A:K,COLUMN('Price List, Weapons &amp; Items'!$K$1),0)</f>
        <v>no price, 0 count</v>
      </c>
      <c r="AS1160" s="521">
        <f t="shared" si="263"/>
        <v>1</v>
      </c>
      <c r="AT1160" s="521">
        <f t="shared" si="264"/>
        <v>1</v>
      </c>
      <c r="AU1160" s="521">
        <f t="shared" si="265"/>
        <v>1</v>
      </c>
      <c r="AV1160" s="521" t="str">
        <f t="shared" si="266"/>
        <v>.</v>
      </c>
    </row>
    <row r="1161" spans="1:48" ht="15" customHeight="1">
      <c r="A1161" s="46" t="s">
        <v>2780</v>
      </c>
      <c r="B1161" s="46" t="s">
        <v>2548</v>
      </c>
      <c r="C1161" s="550">
        <v>44875</v>
      </c>
      <c r="D1161" s="46" t="s">
        <v>252</v>
      </c>
      <c r="E1161" s="46" t="s">
        <v>253</v>
      </c>
      <c r="F1161" s="816" t="s">
        <v>2793</v>
      </c>
      <c r="G1161" s="39" t="s">
        <v>314</v>
      </c>
      <c r="H1161" s="563">
        <v>400000000</v>
      </c>
      <c r="I1161" s="41" t="s">
        <v>2714</v>
      </c>
      <c r="J1161" s="276" t="str">
        <f>VLOOKUP($I1161,'Price List, Weapons &amp; Items'!A:B,2,0)</f>
        <v>Military equipment</v>
      </c>
      <c r="K1161" s="276" t="str">
        <f>IF(I1161=".",I1161,VLOOKUP($I1161,'Price List, Weapons &amp; Items'!A:C,3,0))</f>
        <v>.</v>
      </c>
      <c r="L1161" s="514">
        <f>VLOOKUP(I1161,'Price List, Weapons &amp; Items'!A:D,4,0)</f>
        <v>0</v>
      </c>
      <c r="M1161" s="515" t="s">
        <v>264</v>
      </c>
      <c r="N1161" s="515" t="s">
        <v>232</v>
      </c>
      <c r="O1161" s="516" t="str">
        <f>VLOOKUP($I1161,'Price List, Weapons &amp; Items'!A:F,6,0)</f>
        <v>.</v>
      </c>
      <c r="P1161" s="513" t="str">
        <f t="shared" si="258"/>
        <v>.</v>
      </c>
      <c r="Q1161" s="513" t="str">
        <f t="shared" si="247"/>
        <v>.</v>
      </c>
      <c r="R1161" s="513" t="str">
        <f t="shared" si="256"/>
        <v/>
      </c>
      <c r="S1161" s="513" t="str">
        <f>IF(AND(AD1161=1,R1161&lt;&gt;".")=TRUE,R1161/VLOOKUP(G1161,'Exchange rates'!B:C,2,0),IF(R1161=".",".",""))</f>
        <v/>
      </c>
      <c r="T1161" s="513" t="str">
        <f>IF(AD1161=1,IF(AF1161="Value is not given at all",".",IF(AF1161="Value is given by the source",S1161,IF(AF1161="Value is calculated with prices",(IF(SUMIFS(Q:Q,A:A,A1161)&gt;0,SUMIFS(Q:Q,A:A,A1161),"."))/VLOOKUP("USD",'Exchange rates'!B:C,2,0),"Error with coding"))),"")</f>
        <v/>
      </c>
      <c r="U1161" s="39" t="s">
        <v>233</v>
      </c>
      <c r="V1161" s="826" t="s">
        <v>2795</v>
      </c>
      <c r="W1161" s="42" t="s">
        <v>232</v>
      </c>
      <c r="X1161" s="42" t="s">
        <v>232</v>
      </c>
      <c r="Y1161" s="825" t="s">
        <v>232</v>
      </c>
      <c r="Z1161" s="39">
        <v>0</v>
      </c>
      <c r="AA1161" s="518">
        <v>1</v>
      </c>
      <c r="AB1161" s="395" t="s">
        <v>232</v>
      </c>
      <c r="AC1161" s="519" t="str">
        <f>""</f>
        <v/>
      </c>
      <c r="AD1161" s="520">
        <v>0</v>
      </c>
      <c r="AE1161" s="520" t="s">
        <v>236</v>
      </c>
      <c r="AF1161" s="520" t="s">
        <v>237</v>
      </c>
      <c r="AG1161" s="520">
        <v>1</v>
      </c>
      <c r="AH1161" s="520">
        <v>11</v>
      </c>
      <c r="AI1161" s="520">
        <v>0</v>
      </c>
      <c r="AJ1161" s="520">
        <f>VLOOKUP($I1161,'Price List, Weapons &amp; Items'!A:E,5,0)</f>
        <v>0</v>
      </c>
      <c r="AK1161" s="520">
        <f t="shared" si="260"/>
        <v>0</v>
      </c>
      <c r="AL1161" s="520">
        <f t="shared" si="261"/>
        <v>0</v>
      </c>
      <c r="AM1161" s="520">
        <f t="shared" si="262"/>
        <v>0</v>
      </c>
      <c r="AN1161" s="521" t="str">
        <f>VLOOKUP($I1161,'Price List, Weapons &amp; Items'!A:K,COLUMN('Price List, Weapons &amp; Items'!$I$1),0)</f>
        <v>.</v>
      </c>
      <c r="AO1161" s="521" t="str">
        <f>IF(I1161=".",".",VLOOKUP($I1161,'Price List, Weapons &amp; Items'!A:I,3,0))</f>
        <v>.</v>
      </c>
      <c r="AP1161" s="517" t="str">
        <f t="shared" ca="1" si="257"/>
        <v/>
      </c>
      <c r="AQ1161" s="521" t="str">
        <f>VLOOKUP($I1161,'Price List, Weapons &amp; Items'!A:K,COLUMN('Price List, Weapons &amp; Items'!$K$1),0)</f>
        <v>no price, 0 count</v>
      </c>
      <c r="AS1161" s="521">
        <f t="shared" si="263"/>
        <v>1</v>
      </c>
      <c r="AT1161" s="521">
        <f t="shared" si="264"/>
        <v>1</v>
      </c>
      <c r="AU1161" s="521">
        <f t="shared" si="265"/>
        <v>1</v>
      </c>
      <c r="AV1161" s="521" t="str">
        <f t="shared" si="266"/>
        <v>.</v>
      </c>
    </row>
    <row r="1162" spans="1:48" ht="15" customHeight="1">
      <c r="A1162" s="46" t="s">
        <v>2797</v>
      </c>
      <c r="B1162" s="46" t="s">
        <v>2548</v>
      </c>
      <c r="C1162" s="550">
        <v>44834</v>
      </c>
      <c r="D1162" s="46" t="s">
        <v>252</v>
      </c>
      <c r="E1162" s="46" t="s">
        <v>253</v>
      </c>
      <c r="F1162" s="46" t="s">
        <v>2798</v>
      </c>
      <c r="G1162" s="39" t="s">
        <v>314</v>
      </c>
      <c r="H1162" s="563">
        <v>3000000000</v>
      </c>
      <c r="I1162" s="41" t="s">
        <v>232</v>
      </c>
      <c r="J1162" s="276" t="str">
        <f>VLOOKUP($I1162,'Price List, Weapons &amp; Items'!A:B,2,0)</f>
        <v>.</v>
      </c>
      <c r="K1162" s="276" t="str">
        <f>IF(I1162=".",I1162,VLOOKUP($I1162,'Price List, Weapons &amp; Items'!A:C,3,0))</f>
        <v>.</v>
      </c>
      <c r="L1162" s="514">
        <f>VLOOKUP(I1162,'Price List, Weapons &amp; Items'!A:D,4,0)</f>
        <v>0</v>
      </c>
      <c r="M1162" s="515" t="s">
        <v>232</v>
      </c>
      <c r="N1162" s="515" t="s">
        <v>232</v>
      </c>
      <c r="O1162" s="516" t="str">
        <f>VLOOKUP($I1162,'Price List, Weapons &amp; Items'!A:F,6,0)</f>
        <v>.</v>
      </c>
      <c r="P1162" s="513" t="str">
        <f t="shared" si="246"/>
        <v>.</v>
      </c>
      <c r="Q1162" s="513" t="str">
        <f t="shared" si="247"/>
        <v>.</v>
      </c>
      <c r="R1162" s="513">
        <f t="shared" si="256"/>
        <v>3000000000</v>
      </c>
      <c r="S1162" s="513">
        <f>IF(AND(AD1162=1,R1162&lt;&gt;".")=TRUE,R1162/VLOOKUP(G1162,'Exchange rates'!B:C,2,0),IF(R1162=".",".",""))</f>
        <v>2989536621.823617</v>
      </c>
      <c r="T1162" s="513" t="str">
        <f>IF(AD1162=1,IF(AF1162="Value is not given at all",".",IF(AF1162="Value is given by the source",S1162,IF(AF1162="Value is calculated with prices",(IF(SUMIFS(Q:Q,A:A,A1162)&gt;0,SUMIFS(Q:Q,A:A,A1162),"."))/VLOOKUP("USD",'Exchange rates'!B:C,2,0),"Error with coding"))),"")</f>
        <v>.</v>
      </c>
      <c r="U1162" s="39" t="s">
        <v>233</v>
      </c>
      <c r="V1162" s="826" t="s">
        <v>2782</v>
      </c>
      <c r="W1162" s="825" t="s">
        <v>2603</v>
      </c>
      <c r="X1162" s="517" t="s">
        <v>232</v>
      </c>
      <c r="Y1162" s="517" t="s">
        <v>232</v>
      </c>
      <c r="Z1162" s="39">
        <v>0</v>
      </c>
      <c r="AA1162" s="518">
        <v>1</v>
      </c>
      <c r="AB1162" s="521" t="s">
        <v>232</v>
      </c>
      <c r="AC1162" s="519" t="str">
        <f>""</f>
        <v/>
      </c>
      <c r="AD1162" s="520">
        <v>1</v>
      </c>
      <c r="AE1162" s="520" t="s">
        <v>236</v>
      </c>
      <c r="AF1162" s="520" t="s">
        <v>237</v>
      </c>
      <c r="AG1162" s="520">
        <v>1</v>
      </c>
      <c r="AH1162" s="520">
        <v>9</v>
      </c>
      <c r="AI1162" s="520">
        <v>0</v>
      </c>
      <c r="AJ1162" s="520">
        <f>VLOOKUP($I1162,'Price List, Weapons &amp; Items'!A:E,5,0)</f>
        <v>0</v>
      </c>
      <c r="AK1162" s="520">
        <f t="shared" si="260"/>
        <v>0</v>
      </c>
      <c r="AL1162" s="520">
        <f t="shared" si="261"/>
        <v>0</v>
      </c>
      <c r="AM1162" s="520">
        <f t="shared" si="262"/>
        <v>0</v>
      </c>
      <c r="AN1162" s="521" t="str">
        <f>VLOOKUP($I1162,'Price List, Weapons &amp; Items'!A:K,COLUMN('Price List, Weapons &amp; Items'!$I$1),0)</f>
        <v>.</v>
      </c>
      <c r="AO1162" s="521" t="str">
        <f>IF(I1162=".",".",VLOOKUP($I1162,'Price List, Weapons &amp; Items'!A:I,3,0))</f>
        <v>.</v>
      </c>
      <c r="AP1162" s="517" t="str">
        <f t="shared" ca="1" si="257"/>
        <v>.; unrefurbished T-72 (US, NL, CZ); Phoenix Ghost tactical unmanned aerial system; Coastal and riverine patrol boat; Tactical secure communications systems, surveillance systems, and optics</v>
      </c>
      <c r="AQ1162" s="521" t="str">
        <f>VLOOKUP($I1162,'Price List, Weapons &amp; Items'!A:K,COLUMN('Price List, Weapons &amp; Items'!$K$1),0)</f>
        <v>no price, 0 count</v>
      </c>
      <c r="AS1162" s="521">
        <f t="shared" si="263"/>
        <v>1</v>
      </c>
      <c r="AT1162" s="521">
        <f t="shared" si="264"/>
        <v>1</v>
      </c>
      <c r="AU1162" s="521">
        <f t="shared" si="265"/>
        <v>1</v>
      </c>
      <c r="AV1162" s="521" t="str">
        <f t="shared" si="266"/>
        <v>.</v>
      </c>
    </row>
    <row r="1163" spans="1:48" ht="15" customHeight="1">
      <c r="A1163" s="46" t="s">
        <v>2797</v>
      </c>
      <c r="B1163" s="46" t="s">
        <v>2548</v>
      </c>
      <c r="C1163" s="550">
        <v>44869</v>
      </c>
      <c r="D1163" s="46" t="s">
        <v>252</v>
      </c>
      <c r="E1163" s="46" t="s">
        <v>253</v>
      </c>
      <c r="F1163" s="46" t="s">
        <v>2799</v>
      </c>
      <c r="G1163" s="39" t="s">
        <v>314</v>
      </c>
      <c r="H1163" s="563">
        <v>400000000</v>
      </c>
      <c r="I1163" s="41" t="s">
        <v>733</v>
      </c>
      <c r="J1163" s="276" t="str">
        <f>VLOOKUP($I1163,'Price List, Weapons &amp; Items'!A:B,2,0)</f>
        <v>Heavy weapon</v>
      </c>
      <c r="K1163" s="276" t="str">
        <f>IF(I1163=".",I1163,VLOOKUP($I1163,'Price List, Weapons &amp; Items'!A:C,3,0))</f>
        <v>Main Battle Tank (MBT)</v>
      </c>
      <c r="L1163" s="514">
        <f>VLOOKUP(I1163,'Price List, Weapons &amp; Items'!A:D,4,0)</f>
        <v>1</v>
      </c>
      <c r="M1163" s="515">
        <v>45</v>
      </c>
      <c r="N1163" s="515" t="s">
        <v>232</v>
      </c>
      <c r="O1163" s="516">
        <f>VLOOKUP($I1163,'Price List, Weapons &amp; Items'!A:F,6,0)</f>
        <v>500000</v>
      </c>
      <c r="P1163" s="513">
        <f t="shared" ref="P1163:P1166" si="267">IF(TYPE(M1163)=1,IF(TYPE(O1163)=1,M1163*O1163,"No price"),".")</f>
        <v>22500000</v>
      </c>
      <c r="Q1163" s="513" t="str">
        <f t="shared" ref="Q1163:Q1166" si="268">IF(TYPE(N1163)=1,IF(TYPE(O1163)=1,N1163*O1163,"No price"),".")</f>
        <v>.</v>
      </c>
      <c r="R1163" s="513" t="str">
        <f t="shared" si="256"/>
        <v/>
      </c>
      <c r="S1163" s="513" t="str">
        <f>IF(AND(AD1163=1,R1163&lt;&gt;".")=TRUE,R1163/VLOOKUP(G1163,'Exchange rates'!B:C,2,0),IF(R1163=".",".",""))</f>
        <v/>
      </c>
      <c r="T1163" s="513" t="str">
        <f>IF(AD1163=1,IF(AF1163="Value is not given at all",".",IF(AF1163="Value is given by the source",S1163,IF(AF1163="Value is calculated with prices",(IF(SUMIFS(Q:Q,A:A,A1163)&gt;0,SUMIFS(Q:Q,A:A,A1163),"."))/VLOOKUP("USD",'Exchange rates'!B:C,2,0),"Error with coding"))),"")</f>
        <v/>
      </c>
      <c r="U1163" s="39" t="s">
        <v>233</v>
      </c>
      <c r="V1163" s="182" t="s">
        <v>2800</v>
      </c>
      <c r="W1163" s="825"/>
      <c r="X1163" s="517" t="s">
        <v>232</v>
      </c>
      <c r="Y1163" s="517" t="s">
        <v>232</v>
      </c>
      <c r="Z1163" s="39">
        <v>0</v>
      </c>
      <c r="AA1163" s="518">
        <v>1</v>
      </c>
      <c r="AB1163" s="521" t="s">
        <v>232</v>
      </c>
      <c r="AC1163" s="519" t="str">
        <f>""</f>
        <v/>
      </c>
      <c r="AD1163" s="520">
        <v>0</v>
      </c>
      <c r="AE1163" s="520" t="s">
        <v>236</v>
      </c>
      <c r="AF1163" s="520" t="s">
        <v>237</v>
      </c>
      <c r="AG1163" s="520">
        <v>1</v>
      </c>
      <c r="AH1163" s="520">
        <v>11</v>
      </c>
      <c r="AI1163" s="520">
        <v>0</v>
      </c>
      <c r="AJ1163" s="520">
        <f>VLOOKUP($I1163,'Price List, Weapons &amp; Items'!A:E,5,0)</f>
        <v>1</v>
      </c>
      <c r="AK1163" s="520">
        <f t="shared" ref="AK1163" si="269">IF(AND(AJ1163=1,M1163="undisclosed")=TRUE,1,0)</f>
        <v>0</v>
      </c>
      <c r="AL1163" s="520">
        <f t="shared" ref="AL1163" si="270">IF(AND(AJ1163=1,N1163="undisclosed")=TRUE,1,0)</f>
        <v>0</v>
      </c>
      <c r="AM1163" s="520">
        <f t="shared" ref="AM1163" si="271">IFERROR(IF(SEARCH("ammuni",I1163,1)&gt;0,1,0),0)</f>
        <v>0</v>
      </c>
      <c r="AN1163" s="521" t="str">
        <f>VLOOKUP($I1163,'Price List, Weapons &amp; Items'!A:K,COLUMN('Price List, Weapons &amp; Items'!$I$1),0)</f>
        <v>.</v>
      </c>
      <c r="AO1163" s="521" t="str">
        <f>IF(I1163=".",".",VLOOKUP($I1163,'Price List, Weapons &amp; Items'!A:I,3,0))</f>
        <v>Main Battle Tank (MBT)</v>
      </c>
      <c r="AP1163" s="517" t="str">
        <f t="shared" ca="1" si="257"/>
        <v/>
      </c>
      <c r="AQ1163" s="521">
        <f>VLOOKUP($I1163,'Price List, Weapons &amp; Items'!A:K,COLUMN('Price List, Weapons &amp; Items'!$K$1),0)</f>
        <v>2</v>
      </c>
      <c r="AS1163" s="521">
        <f t="shared" ref="AS1163" si="272">IF(U1163="Yes",1,0)</f>
        <v>1</v>
      </c>
      <c r="AT1163" s="521">
        <f t="shared" ref="AT1163" si="273">IF(OR((E1163="Weapons"),(E1163="Weapons and equipment"),(E1163="Weapons and training"),(E1163="Weapons and Assistance"),(E1163="Military Equipment"))=FALSE,0,1)</f>
        <v>1</v>
      </c>
      <c r="AU1163" s="521">
        <f t="shared" ref="AU1163" si="274">IFERROR(IF(VALUE(TEXT(C1163,"mm"))=AH1163,".",1),"Value is not in date format")</f>
        <v>1</v>
      </c>
      <c r="AV1163" s="521" t="str">
        <f t="shared" ref="AV1163" si="275">IF(AND(A1163=A1162,C1163=C1162)=TRUE,IF(F1163=F1162,".","1"),".")</f>
        <v>.</v>
      </c>
    </row>
    <row r="1164" spans="1:48" ht="15" customHeight="1">
      <c r="A1164" s="46" t="s">
        <v>2797</v>
      </c>
      <c r="B1164" s="46" t="s">
        <v>2548</v>
      </c>
      <c r="C1164" s="550">
        <v>44869</v>
      </c>
      <c r="D1164" s="46" t="s">
        <v>252</v>
      </c>
      <c r="E1164" s="46" t="s">
        <v>253</v>
      </c>
      <c r="F1164" s="46" t="s">
        <v>2799</v>
      </c>
      <c r="G1164" s="39" t="s">
        <v>314</v>
      </c>
      <c r="H1164" s="563">
        <v>400000000</v>
      </c>
      <c r="I1164" s="427" t="s">
        <v>2623</v>
      </c>
      <c r="J1164" s="276" t="str">
        <f>VLOOKUP($I1164,'Price List, Weapons &amp; Items'!A:B,2,0)</f>
        <v>Aviation and drones</v>
      </c>
      <c r="K1164" s="276" t="str">
        <f>IF(I1164=".",I1164,VLOOKUP($I1164,'Price List, Weapons &amp; Items'!A:C,3,0))</f>
        <v>Loitering munition (suicide drone)</v>
      </c>
      <c r="L1164" s="514">
        <f>VLOOKUP(I1164,'Price List, Weapons &amp; Items'!A:D,4,0)</f>
        <v>0</v>
      </c>
      <c r="M1164" s="515">
        <v>1100</v>
      </c>
      <c r="N1164" s="515" t="s">
        <v>232</v>
      </c>
      <c r="O1164" s="516">
        <f>VLOOKUP($I1164,'Price List, Weapons &amp; Items'!A:F,6,0)</f>
        <v>163793</v>
      </c>
      <c r="P1164" s="513">
        <f t="shared" si="267"/>
        <v>180172300</v>
      </c>
      <c r="Q1164" s="513" t="str">
        <f t="shared" si="268"/>
        <v>.</v>
      </c>
      <c r="U1164" s="39" t="s">
        <v>233</v>
      </c>
      <c r="V1164" s="182" t="s">
        <v>2800</v>
      </c>
      <c r="W1164" s="825"/>
      <c r="Z1164" s="39">
        <v>0</v>
      </c>
      <c r="AA1164" s="518">
        <v>1</v>
      </c>
      <c r="AB1164" s="521"/>
      <c r="AD1164" s="520">
        <v>0</v>
      </c>
      <c r="AE1164" s="520" t="s">
        <v>236</v>
      </c>
      <c r="AF1164" s="520" t="s">
        <v>237</v>
      </c>
      <c r="AG1164" s="520">
        <v>1</v>
      </c>
      <c r="AH1164" s="520">
        <v>11</v>
      </c>
      <c r="AI1164" s="520"/>
      <c r="AJ1164" s="520"/>
      <c r="AK1164" s="520"/>
      <c r="AL1164" s="520"/>
      <c r="AM1164" s="520"/>
    </row>
    <row r="1165" spans="1:48" ht="15" customHeight="1">
      <c r="A1165" s="46" t="s">
        <v>2797</v>
      </c>
      <c r="B1165" s="46" t="s">
        <v>2548</v>
      </c>
      <c r="C1165" s="550">
        <v>44869</v>
      </c>
      <c r="D1165" s="46" t="s">
        <v>252</v>
      </c>
      <c r="E1165" s="46" t="s">
        <v>253</v>
      </c>
      <c r="F1165" s="46" t="s">
        <v>2799</v>
      </c>
      <c r="G1165" s="39" t="s">
        <v>314</v>
      </c>
      <c r="H1165" s="563">
        <v>400000000</v>
      </c>
      <c r="I1165" s="427" t="s">
        <v>2801</v>
      </c>
      <c r="J1165" s="276" t="str">
        <f>VLOOKUP($I1165,'Price List, Weapons &amp; Items'!A:B,2,0)</f>
        <v>Heavy weapon</v>
      </c>
      <c r="K1165" s="276" t="str">
        <f>IF(I1165=".",I1165,VLOOKUP($I1165,'Price List, Weapons &amp; Items'!A:C,3,0))</f>
        <v>Patrol and coastal combatants</v>
      </c>
      <c r="L1165" s="514">
        <f>VLOOKUP(I1165,'Price List, Weapons &amp; Items'!A:D,4,0)</f>
        <v>0</v>
      </c>
      <c r="M1165" s="515">
        <v>40</v>
      </c>
      <c r="N1165" s="515" t="s">
        <v>232</v>
      </c>
      <c r="O1165" s="516">
        <f>VLOOKUP($I1165,'Price List, Weapons &amp; Items'!A:F,6,0)</f>
        <v>39916727.899999999</v>
      </c>
      <c r="P1165" s="513">
        <f t="shared" si="267"/>
        <v>1596669116</v>
      </c>
      <c r="Q1165" s="513" t="str">
        <f t="shared" si="268"/>
        <v>.</v>
      </c>
      <c r="U1165" s="39" t="s">
        <v>233</v>
      </c>
      <c r="V1165" s="182" t="s">
        <v>2800</v>
      </c>
      <c r="W1165" s="825"/>
      <c r="Z1165" s="39">
        <v>0</v>
      </c>
      <c r="AA1165" s="518">
        <v>1</v>
      </c>
      <c r="AB1165" s="521"/>
      <c r="AD1165" s="520">
        <v>0</v>
      </c>
      <c r="AE1165" s="520" t="s">
        <v>236</v>
      </c>
      <c r="AF1165" s="520" t="s">
        <v>237</v>
      </c>
      <c r="AG1165" s="520">
        <v>1</v>
      </c>
      <c r="AH1165" s="520">
        <v>11</v>
      </c>
      <c r="AI1165" s="520"/>
      <c r="AJ1165" s="520"/>
      <c r="AK1165" s="520"/>
      <c r="AL1165" s="520"/>
      <c r="AM1165" s="520"/>
    </row>
    <row r="1166" spans="1:48" ht="15" customHeight="1">
      <c r="A1166" s="46" t="s">
        <v>2797</v>
      </c>
      <c r="B1166" s="46" t="s">
        <v>2548</v>
      </c>
      <c r="C1166" s="550">
        <v>44869</v>
      </c>
      <c r="D1166" s="46" t="s">
        <v>252</v>
      </c>
      <c r="E1166" s="46" t="s">
        <v>253</v>
      </c>
      <c r="F1166" s="46" t="s">
        <v>2799</v>
      </c>
      <c r="G1166" s="39" t="s">
        <v>314</v>
      </c>
      <c r="H1166" s="563">
        <v>400000000</v>
      </c>
      <c r="I1166" s="426" t="s">
        <v>2767</v>
      </c>
      <c r="J1166" s="276" t="str">
        <f>VLOOKUP($I1166,'Price List, Weapons &amp; Items'!A:B,2,0)</f>
        <v>Military equipment</v>
      </c>
      <c r="K1166" s="276" t="str">
        <f>IF(I1166=".",I1166,VLOOKUP($I1166,'Price List, Weapons &amp; Items'!A:C,3,0))</f>
        <v>.</v>
      </c>
      <c r="L1166" s="514">
        <f>VLOOKUP(I1166,'Price List, Weapons &amp; Items'!A:D,4,0)</f>
        <v>0</v>
      </c>
      <c r="M1166" s="515" t="s">
        <v>264</v>
      </c>
      <c r="N1166" s="515" t="s">
        <v>232</v>
      </c>
      <c r="O1166" s="516" t="str">
        <f>VLOOKUP($I1166,'Price List, Weapons &amp; Items'!A:F,6,0)</f>
        <v>.</v>
      </c>
      <c r="P1166" s="513" t="str">
        <f t="shared" si="267"/>
        <v>.</v>
      </c>
      <c r="Q1166" s="513" t="str">
        <f t="shared" si="268"/>
        <v>.</v>
      </c>
      <c r="U1166" s="39" t="s">
        <v>233</v>
      </c>
      <c r="V1166" s="182" t="s">
        <v>2800</v>
      </c>
      <c r="W1166" s="825"/>
      <c r="Z1166" s="39">
        <v>0</v>
      </c>
      <c r="AA1166" s="518">
        <v>1</v>
      </c>
      <c r="AB1166" s="521"/>
      <c r="AD1166" s="520">
        <v>0</v>
      </c>
      <c r="AE1166" s="520" t="s">
        <v>236</v>
      </c>
      <c r="AF1166" s="520" t="s">
        <v>237</v>
      </c>
      <c r="AG1166" s="520">
        <v>1</v>
      </c>
      <c r="AH1166" s="520">
        <v>11</v>
      </c>
      <c r="AI1166" s="520"/>
      <c r="AJ1166" s="520"/>
      <c r="AK1166" s="520"/>
      <c r="AL1166" s="520"/>
      <c r="AM1166" s="520"/>
    </row>
    <row r="1167" spans="1:48" ht="15" customHeight="1">
      <c r="A1167" s="41" t="s">
        <v>2802</v>
      </c>
      <c r="B1167" s="41" t="s">
        <v>2548</v>
      </c>
      <c r="C1167" s="511">
        <v>44606</v>
      </c>
      <c r="D1167" s="18" t="s">
        <v>366</v>
      </c>
      <c r="E1167" s="18" t="s">
        <v>344</v>
      </c>
      <c r="F1167" s="512" t="s">
        <v>2803</v>
      </c>
      <c r="G1167" s="39" t="s">
        <v>314</v>
      </c>
      <c r="H1167" s="513">
        <v>1000000000</v>
      </c>
      <c r="I1167" s="41" t="s">
        <v>232</v>
      </c>
      <c r="J1167" s="276" t="str">
        <f>VLOOKUP($I1167,'Price List, Weapons &amp; Items'!A:B,2,0)</f>
        <v>.</v>
      </c>
      <c r="K1167" s="276" t="str">
        <f>IF(I1167=".",I1167,VLOOKUP($I1167,'Price List, Weapons &amp; Items'!A:C,3,0))</f>
        <v>.</v>
      </c>
      <c r="L1167" s="514">
        <f>VLOOKUP(I1167,'Price List, Weapons &amp; Items'!A:D,4,0)</f>
        <v>0</v>
      </c>
      <c r="M1167" s="515" t="s">
        <v>232</v>
      </c>
      <c r="N1167" s="515" t="s">
        <v>232</v>
      </c>
      <c r="O1167" s="516" t="str">
        <f>VLOOKUP($I1167,'Price List, Weapons &amp; Items'!A:F,6,0)</f>
        <v>.</v>
      </c>
      <c r="P1167" s="513" t="str">
        <f t="shared" si="246"/>
        <v>.</v>
      </c>
      <c r="Q1167" s="513" t="str">
        <f t="shared" si="247"/>
        <v>.</v>
      </c>
      <c r="R1167" s="513">
        <f t="shared" ref="R1167:R1191" si="276">IF(AD1167=1,IF(H1167&lt;&gt;"Not given",H1167,IF(TYPE(H1167)=2,IF(SUMIFS(P:P,A:A,A1167)&gt;0,SUMIFS(P:P,A:A,A1167),"."),"Format error")),"")</f>
        <v>1000000000</v>
      </c>
      <c r="S1167" s="513">
        <f>IF(AND(AD1167=1,R1167&lt;&gt;".")=TRUE,R1167/VLOOKUP(G1167,'Exchange rates'!B:C,2,0),IF(R1167=".",".",""))</f>
        <v>996512207.27453911</v>
      </c>
      <c r="T1167" s="513" t="str">
        <f>IF(AD1167=1,IF(AF1167="Value is not given at all",".",IF(AF1167="Value is given by the source",S1167,IF(AF1167="Value is calculated with prices",(IF(SUMIFS(Q:Q,A:A,A1167)&gt;0,SUMIFS(Q:Q,A:A,A1167),"."))/VLOOKUP("USD",'Exchange rates'!B:C,2,0),"Error with coding"))),"")</f>
        <v>.</v>
      </c>
      <c r="U1167" s="39" t="s">
        <v>233</v>
      </c>
      <c r="V1167" s="42" t="s">
        <v>2804</v>
      </c>
      <c r="W1167" s="512" t="s">
        <v>232</v>
      </c>
      <c r="X1167" s="512" t="s">
        <v>232</v>
      </c>
      <c r="Y1167" s="512" t="s">
        <v>232</v>
      </c>
      <c r="Z1167" s="39">
        <v>1</v>
      </c>
      <c r="AA1167" s="518">
        <v>0</v>
      </c>
      <c r="AB1167" s="38" t="s">
        <v>232</v>
      </c>
      <c r="AC1167" s="519" t="str">
        <f>""</f>
        <v/>
      </c>
      <c r="AD1167" s="520">
        <v>1</v>
      </c>
      <c r="AE1167" s="520" t="s">
        <v>236</v>
      </c>
      <c r="AF1167" s="520" t="s">
        <v>237</v>
      </c>
      <c r="AG1167" s="520">
        <v>1</v>
      </c>
      <c r="AH1167" s="520">
        <v>2</v>
      </c>
      <c r="AI1167" s="520">
        <v>1</v>
      </c>
      <c r="AJ1167" s="520">
        <f>VLOOKUP($I1167,'Price List, Weapons &amp; Items'!A:E,5,0)</f>
        <v>0</v>
      </c>
      <c r="AK1167" s="520">
        <f t="shared" si="260"/>
        <v>0</v>
      </c>
      <c r="AL1167" s="520">
        <f t="shared" si="261"/>
        <v>0</v>
      </c>
      <c r="AM1167" s="520">
        <f t="shared" si="262"/>
        <v>0</v>
      </c>
      <c r="AN1167" s="521" t="str">
        <f>VLOOKUP($I1167,'Price List, Weapons &amp; Items'!A:K,COLUMN('Price List, Weapons &amp; Items'!$I$1),0)</f>
        <v>.</v>
      </c>
      <c r="AO1167" s="521" t="str">
        <f>IF(I1167=".",".",VLOOKUP($I1167,'Price List, Weapons &amp; Items'!A:I,3,0))</f>
        <v>.</v>
      </c>
      <c r="AP1167" s="517" t="str">
        <f t="shared" ref="AP1167:AP1191" ca="1" si="277">IF(AD1167=1,_xlfn.ARRAYTOTEXT(OFFSET(I1167,0,0,COUNTIF(A:A,A1167),1)),"")</f>
        <v>.</v>
      </c>
      <c r="AQ1167" s="521" t="str">
        <f>VLOOKUP($I1167,'Price List, Weapons &amp; Items'!A:K,COLUMN('Price List, Weapons &amp; Items'!$K$1),0)</f>
        <v>no price, 0 count</v>
      </c>
      <c r="AS1167" s="521">
        <f t="shared" si="263"/>
        <v>1</v>
      </c>
      <c r="AT1167" s="521">
        <f t="shared" si="264"/>
        <v>0</v>
      </c>
      <c r="AU1167" s="521">
        <f t="shared" si="265"/>
        <v>1</v>
      </c>
      <c r="AV1167" s="521" t="str">
        <f>IF(AND(A1167=A1162,C1167=C1162)=TRUE,IF(F1167=F1162,".","1"),".")</f>
        <v>.</v>
      </c>
    </row>
    <row r="1168" spans="1:48" ht="15" customHeight="1">
      <c r="A1168" s="41" t="s">
        <v>2805</v>
      </c>
      <c r="B1168" s="41" t="s">
        <v>2548</v>
      </c>
      <c r="C1168" s="511">
        <v>44650</v>
      </c>
      <c r="D1168" s="18" t="s">
        <v>366</v>
      </c>
      <c r="E1168" s="18" t="s">
        <v>330</v>
      </c>
      <c r="F1168" s="512" t="s">
        <v>2806</v>
      </c>
      <c r="G1168" s="39" t="s">
        <v>314</v>
      </c>
      <c r="H1168" s="513">
        <v>500000000</v>
      </c>
      <c r="I1168" s="41" t="s">
        <v>232</v>
      </c>
      <c r="J1168" s="276" t="str">
        <f>VLOOKUP($I1168,'Price List, Weapons &amp; Items'!A:B,2,0)</f>
        <v>.</v>
      </c>
      <c r="K1168" s="276" t="str">
        <f>IF(I1168=".",I1168,VLOOKUP($I1168,'Price List, Weapons &amp; Items'!A:C,3,0))</f>
        <v>.</v>
      </c>
      <c r="L1168" s="514">
        <f>VLOOKUP(I1168,'Price List, Weapons &amp; Items'!A:D,4,0)</f>
        <v>0</v>
      </c>
      <c r="M1168" s="515" t="s">
        <v>232</v>
      </c>
      <c r="N1168" s="515" t="s">
        <v>232</v>
      </c>
      <c r="O1168" s="516" t="str">
        <f>VLOOKUP($I1168,'Price List, Weapons &amp; Items'!A:F,6,0)</f>
        <v>.</v>
      </c>
      <c r="P1168" s="513" t="str">
        <f t="shared" si="246"/>
        <v>.</v>
      </c>
      <c r="Q1168" s="513" t="str">
        <f t="shared" si="247"/>
        <v>.</v>
      </c>
      <c r="R1168" s="513">
        <f t="shared" si="276"/>
        <v>500000000</v>
      </c>
      <c r="S1168" s="513">
        <f>IF(AND(AD1168=1,R1168&lt;&gt;".")=TRUE,R1168/VLOOKUP(G1168,'Exchange rates'!B:C,2,0),IF(R1168=".",".",""))</f>
        <v>498256103.63726956</v>
      </c>
      <c r="T1168" s="513" t="str">
        <f>IF(AD1168=1,IF(AF1168="Value is not given at all",".",IF(AF1168="Value is given by the source",S1168,IF(AF1168="Value is calculated with prices",(IF(SUMIFS(Q:Q,A:A,A1168)&gt;0,SUMIFS(Q:Q,A:A,A1168),"."))/VLOOKUP("USD",'Exchange rates'!B:C,2,0),"Error with coding"))),"")</f>
        <v>.</v>
      </c>
      <c r="U1168" s="39" t="s">
        <v>233</v>
      </c>
      <c r="V1168" s="42" t="s">
        <v>2807</v>
      </c>
      <c r="W1168" s="42" t="s">
        <v>2808</v>
      </c>
      <c r="X1168" s="42" t="s">
        <v>2809</v>
      </c>
      <c r="Y1168" s="512" t="s">
        <v>232</v>
      </c>
      <c r="Z1168" s="39">
        <v>1</v>
      </c>
      <c r="AA1168" s="518">
        <v>0</v>
      </c>
      <c r="AB1168" s="38" t="s">
        <v>232</v>
      </c>
      <c r="AC1168" s="519" t="str">
        <f>""</f>
        <v/>
      </c>
      <c r="AD1168" s="520">
        <v>1</v>
      </c>
      <c r="AE1168" s="520" t="s">
        <v>236</v>
      </c>
      <c r="AF1168" s="520" t="s">
        <v>237</v>
      </c>
      <c r="AG1168" s="520">
        <v>1</v>
      </c>
      <c r="AH1168" s="520">
        <v>3</v>
      </c>
      <c r="AI1168" s="520">
        <v>0</v>
      </c>
      <c r="AJ1168" s="520">
        <f>VLOOKUP($I1168,'Price List, Weapons &amp; Items'!A:E,5,0)</f>
        <v>0</v>
      </c>
      <c r="AK1168" s="520">
        <f t="shared" si="260"/>
        <v>0</v>
      </c>
      <c r="AL1168" s="520">
        <f t="shared" si="261"/>
        <v>0</v>
      </c>
      <c r="AM1168" s="520">
        <f t="shared" si="262"/>
        <v>0</v>
      </c>
      <c r="AN1168" s="521" t="str">
        <f>VLOOKUP($I1168,'Price List, Weapons &amp; Items'!A:K,COLUMN('Price List, Weapons &amp; Items'!$I$1),0)</f>
        <v>.</v>
      </c>
      <c r="AO1168" s="521" t="str">
        <f>IF(I1168=".",".",VLOOKUP($I1168,'Price List, Weapons &amp; Items'!A:I,3,0))</f>
        <v>.</v>
      </c>
      <c r="AP1168" s="517" t="str">
        <f t="shared" ca="1" si="277"/>
        <v>.</v>
      </c>
      <c r="AQ1168" s="521" t="str">
        <f>VLOOKUP($I1168,'Price List, Weapons &amp; Items'!A:K,COLUMN('Price List, Weapons &amp; Items'!$K$1),0)</f>
        <v>no price, 0 count</v>
      </c>
      <c r="AS1168" s="521">
        <f t="shared" si="263"/>
        <v>1</v>
      </c>
      <c r="AT1168" s="521">
        <f t="shared" si="264"/>
        <v>0</v>
      </c>
      <c r="AU1168" s="521">
        <f t="shared" si="265"/>
        <v>1</v>
      </c>
      <c r="AV1168" s="521" t="str">
        <f t="shared" si="266"/>
        <v>.</v>
      </c>
    </row>
    <row r="1169" spans="1:48" ht="15" customHeight="1">
      <c r="A1169" s="41" t="s">
        <v>2810</v>
      </c>
      <c r="B1169" s="41" t="s">
        <v>2548</v>
      </c>
      <c r="C1169" s="511">
        <v>44672</v>
      </c>
      <c r="D1169" s="18" t="s">
        <v>366</v>
      </c>
      <c r="E1169" s="18" t="s">
        <v>453</v>
      </c>
      <c r="F1169" s="512" t="s">
        <v>2811</v>
      </c>
      <c r="G1169" s="39" t="s">
        <v>314</v>
      </c>
      <c r="H1169" s="513">
        <v>500000000</v>
      </c>
      <c r="I1169" s="41" t="s">
        <v>232</v>
      </c>
      <c r="J1169" s="276" t="str">
        <f>VLOOKUP($I1169,'Price List, Weapons &amp; Items'!A:B,2,0)</f>
        <v>.</v>
      </c>
      <c r="K1169" s="276" t="str">
        <f>IF(I1169=".",I1169,VLOOKUP($I1169,'Price List, Weapons &amp; Items'!A:C,3,0))</f>
        <v>.</v>
      </c>
      <c r="L1169" s="514">
        <f>VLOOKUP(I1169,'Price List, Weapons &amp; Items'!A:D,4,0)</f>
        <v>0</v>
      </c>
      <c r="M1169" s="515" t="s">
        <v>232</v>
      </c>
      <c r="N1169" s="515" t="s">
        <v>232</v>
      </c>
      <c r="O1169" s="516" t="str">
        <f>VLOOKUP($I1169,'Price List, Weapons &amp; Items'!A:F,6,0)</f>
        <v>.</v>
      </c>
      <c r="P1169" s="513" t="str">
        <f t="shared" si="246"/>
        <v>.</v>
      </c>
      <c r="Q1169" s="513" t="str">
        <f t="shared" si="247"/>
        <v>.</v>
      </c>
      <c r="R1169" s="513">
        <f t="shared" si="276"/>
        <v>500000000</v>
      </c>
      <c r="S1169" s="513">
        <f>IF(AND(AD1169=1,R1169&lt;&gt;".")=TRUE,R1169/VLOOKUP(G1169,'Exchange rates'!B:C,2,0),IF(R1169=".",".",""))</f>
        <v>498256103.63726956</v>
      </c>
      <c r="T1169" s="513" t="str">
        <f>IF(AD1169=1,IF(AF1169="Value is not given at all",".",IF(AF1169="Value is given by the source",S1169,IF(AF1169="Value is calculated with prices",(IF(SUMIFS(Q:Q,A:A,A1169)&gt;0,SUMIFS(Q:Q,A:A,A1169),"."))/VLOOKUP("USD",'Exchange rates'!B:C,2,0),"Error with coding"))),"")</f>
        <v>.</v>
      </c>
      <c r="U1169" s="39" t="s">
        <v>233</v>
      </c>
      <c r="V1169" s="42" t="s">
        <v>2812</v>
      </c>
      <c r="W1169" s="42" t="s">
        <v>2813</v>
      </c>
      <c r="X1169" s="517" t="s">
        <v>232</v>
      </c>
      <c r="Y1169" s="517" t="s">
        <v>232</v>
      </c>
      <c r="Z1169" s="39">
        <v>0</v>
      </c>
      <c r="AA1169" s="518">
        <v>0</v>
      </c>
      <c r="AB1169" s="521" t="s">
        <v>232</v>
      </c>
      <c r="AC1169" s="519" t="str">
        <f>""</f>
        <v/>
      </c>
      <c r="AD1169" s="520">
        <v>1</v>
      </c>
      <c r="AE1169" s="520" t="s">
        <v>236</v>
      </c>
      <c r="AF1169" s="520" t="s">
        <v>237</v>
      </c>
      <c r="AG1169" s="520">
        <v>1</v>
      </c>
      <c r="AH1169" s="520">
        <v>4</v>
      </c>
      <c r="AI1169" s="520">
        <v>0</v>
      </c>
      <c r="AJ1169" s="520">
        <f>VLOOKUP($I1169,'Price List, Weapons &amp; Items'!A:E,5,0)</f>
        <v>0</v>
      </c>
      <c r="AK1169" s="520">
        <f t="shared" si="260"/>
        <v>0</v>
      </c>
      <c r="AL1169" s="520">
        <f t="shared" si="261"/>
        <v>0</v>
      </c>
      <c r="AM1169" s="520">
        <f t="shared" si="262"/>
        <v>0</v>
      </c>
      <c r="AN1169" s="521" t="str">
        <f>VLOOKUP($I1169,'Price List, Weapons &amp; Items'!A:K,COLUMN('Price List, Weapons &amp; Items'!$I$1),0)</f>
        <v>.</v>
      </c>
      <c r="AO1169" s="521" t="str">
        <f>IF(I1169=".",".",VLOOKUP($I1169,'Price List, Weapons &amp; Items'!A:I,3,0))</f>
        <v>.</v>
      </c>
      <c r="AP1169" s="517" t="str">
        <f t="shared" ca="1" si="277"/>
        <v>.</v>
      </c>
      <c r="AQ1169" s="521" t="str">
        <f>VLOOKUP($I1169,'Price List, Weapons &amp; Items'!A:K,COLUMN('Price List, Weapons &amp; Items'!$K$1),0)</f>
        <v>no price, 0 count</v>
      </c>
      <c r="AS1169" s="521">
        <f t="shared" si="263"/>
        <v>1</v>
      </c>
      <c r="AT1169" s="521">
        <f t="shared" si="264"/>
        <v>0</v>
      </c>
      <c r="AU1169" s="521">
        <f t="shared" si="265"/>
        <v>1</v>
      </c>
      <c r="AV1169" s="521" t="str">
        <f t="shared" si="266"/>
        <v>.</v>
      </c>
    </row>
    <row r="1170" spans="1:48" s="41" customFormat="1" ht="15" customHeight="1">
      <c r="A1170" s="41" t="s">
        <v>2814</v>
      </c>
      <c r="B1170" s="41" t="s">
        <v>2548</v>
      </c>
      <c r="C1170" s="511">
        <v>44702</v>
      </c>
      <c r="D1170" s="18" t="s">
        <v>366</v>
      </c>
      <c r="E1170" s="18" t="s">
        <v>330</v>
      </c>
      <c r="F1170" s="816" t="s">
        <v>2815</v>
      </c>
      <c r="G1170" s="39" t="s">
        <v>314</v>
      </c>
      <c r="H1170" s="513">
        <v>8006000000</v>
      </c>
      <c r="I1170" s="41" t="s">
        <v>232</v>
      </c>
      <c r="J1170" s="276" t="str">
        <f>VLOOKUP($I1170,'Price List, Weapons &amp; Items'!A:B,2,0)</f>
        <v>.</v>
      </c>
      <c r="K1170" s="276" t="str">
        <f>IF(I1170=".",I1170,VLOOKUP($I1170,'Price List, Weapons &amp; Items'!A:C,3,0))</f>
        <v>.</v>
      </c>
      <c r="L1170" s="514">
        <f>VLOOKUP(I1170,'Price List, Weapons &amp; Items'!A:D,4,0)</f>
        <v>0</v>
      </c>
      <c r="M1170" s="515" t="s">
        <v>232</v>
      </c>
      <c r="N1170" s="515" t="s">
        <v>232</v>
      </c>
      <c r="O1170" s="516" t="str">
        <f>VLOOKUP($I1170,'Price List, Weapons &amp; Items'!A:F,6,0)</f>
        <v>.</v>
      </c>
      <c r="P1170" s="513" t="str">
        <f t="shared" si="246"/>
        <v>.</v>
      </c>
      <c r="Q1170" s="513" t="str">
        <f t="shared" si="247"/>
        <v>.</v>
      </c>
      <c r="R1170" s="513">
        <f t="shared" si="276"/>
        <v>8006000000</v>
      </c>
      <c r="S1170" s="513">
        <f>IF(AND(AD1170=1,R1170&lt;&gt;".")=TRUE,R1170/VLOOKUP(G1170,'Exchange rates'!B:C,2,0),IF(R1170=".",".",""))</f>
        <v>7978076731.4399595</v>
      </c>
      <c r="T1170" s="513" t="str">
        <f>IF(AD1170=1,IF(AF1170="Value is not given at all",".",IF(AF1170="Value is given by the source",S1170,IF(AF1170="Value is calculated with prices",(IF(SUMIFS(Q:Q,A:A,A1170)&gt;0,SUMIFS(Q:Q,A:A,A1170),"."))/VLOOKUP("USD",'Exchange rates'!B:C,2,0),"Error with coding"))),"")</f>
        <v>.</v>
      </c>
      <c r="U1170" s="39" t="s">
        <v>233</v>
      </c>
      <c r="V1170" s="42" t="s">
        <v>2581</v>
      </c>
      <c r="W1170" s="42" t="s">
        <v>2816</v>
      </c>
      <c r="X1170" s="512" t="s">
        <v>232</v>
      </c>
      <c r="Y1170" s="512" t="s">
        <v>232</v>
      </c>
      <c r="Z1170" s="39">
        <v>0</v>
      </c>
      <c r="AA1170" s="39">
        <v>0</v>
      </c>
      <c r="AB1170" s="41" t="s">
        <v>232</v>
      </c>
      <c r="AC1170" s="519" t="str">
        <f>""</f>
        <v/>
      </c>
      <c r="AD1170" s="522">
        <v>1</v>
      </c>
      <c r="AE1170" s="522" t="s">
        <v>236</v>
      </c>
      <c r="AF1170" s="522" t="s">
        <v>237</v>
      </c>
      <c r="AG1170" s="522">
        <v>1</v>
      </c>
      <c r="AH1170" s="520">
        <v>5</v>
      </c>
      <c r="AI1170" s="520">
        <v>0</v>
      </c>
      <c r="AJ1170" s="520">
        <f>VLOOKUP($I1170,'Price List, Weapons &amp; Items'!A:E,5,0)</f>
        <v>0</v>
      </c>
      <c r="AK1170" s="520">
        <f t="shared" si="260"/>
        <v>0</v>
      </c>
      <c r="AL1170" s="520">
        <f t="shared" si="261"/>
        <v>0</v>
      </c>
      <c r="AM1170" s="520">
        <f t="shared" si="262"/>
        <v>0</v>
      </c>
      <c r="AN1170" s="521" t="str">
        <f>VLOOKUP($I1170,'Price List, Weapons &amp; Items'!A:K,COLUMN('Price List, Weapons &amp; Items'!$I$1),0)</f>
        <v>.</v>
      </c>
      <c r="AO1170" s="521" t="str">
        <f>IF(I1170=".",".",VLOOKUP($I1170,'Price List, Weapons &amp; Items'!A:I,3,0))</f>
        <v>.</v>
      </c>
      <c r="AP1170" s="517" t="str">
        <f t="shared" ca="1" si="277"/>
        <v>.</v>
      </c>
      <c r="AQ1170" s="521" t="str">
        <f>VLOOKUP($I1170,'Price List, Weapons &amp; Items'!A:K,COLUMN('Price List, Weapons &amp; Items'!$K$1),0)</f>
        <v>no price, 0 count</v>
      </c>
      <c r="AS1170" s="521">
        <f t="shared" si="263"/>
        <v>1</v>
      </c>
      <c r="AT1170" s="521">
        <f t="shared" si="264"/>
        <v>0</v>
      </c>
      <c r="AU1170" s="521">
        <f t="shared" si="265"/>
        <v>1</v>
      </c>
      <c r="AV1170" s="521" t="str">
        <f t="shared" si="266"/>
        <v>.</v>
      </c>
    </row>
    <row r="1171" spans="1:48" ht="15" customHeight="1">
      <c r="A1171" s="41" t="s">
        <v>2817</v>
      </c>
      <c r="B1171" s="41" t="s">
        <v>2548</v>
      </c>
      <c r="C1171" s="511">
        <v>44702</v>
      </c>
      <c r="D1171" s="18" t="s">
        <v>366</v>
      </c>
      <c r="E1171" s="18" t="s">
        <v>330</v>
      </c>
      <c r="F1171" s="512" t="s">
        <v>2818</v>
      </c>
      <c r="G1171" s="39" t="s">
        <v>314</v>
      </c>
      <c r="H1171" s="513">
        <v>500000000</v>
      </c>
      <c r="I1171" s="41" t="s">
        <v>232</v>
      </c>
      <c r="J1171" s="276" t="str">
        <f>VLOOKUP($I1171,'Price List, Weapons &amp; Items'!A:B,2,0)</f>
        <v>.</v>
      </c>
      <c r="K1171" s="276" t="str">
        <f>IF(I1171=".",I1171,VLOOKUP($I1171,'Price List, Weapons &amp; Items'!A:C,3,0))</f>
        <v>.</v>
      </c>
      <c r="L1171" s="514">
        <f>VLOOKUP(I1171,'Price List, Weapons &amp; Items'!A:D,4,0)</f>
        <v>0</v>
      </c>
      <c r="M1171" s="515" t="s">
        <v>232</v>
      </c>
      <c r="N1171" s="515" t="s">
        <v>232</v>
      </c>
      <c r="O1171" s="516" t="str">
        <f>VLOOKUP($I1171,'Price List, Weapons &amp; Items'!A:F,6,0)</f>
        <v>.</v>
      </c>
      <c r="P1171" s="513" t="str">
        <f t="shared" si="246"/>
        <v>.</v>
      </c>
      <c r="Q1171" s="513" t="str">
        <f t="shared" si="247"/>
        <v>.</v>
      </c>
      <c r="R1171" s="513">
        <f t="shared" si="276"/>
        <v>500000000</v>
      </c>
      <c r="S1171" s="513">
        <f>IF(AND(AD1171=1,R1171&lt;&gt;".")=TRUE,R1171/VLOOKUP(G1171,'Exchange rates'!B:C,2,0),IF(R1171=".",".",""))</f>
        <v>498256103.63726956</v>
      </c>
      <c r="T1171" s="513" t="str">
        <f>IF(AD1171=1,IF(AF1171="Value is not given at all",".",IF(AF1171="Value is given by the source",S1171,IF(AF1171="Value is calculated with prices",(IF(SUMIFS(Q:Q,A:A,A1171)&gt;0,SUMIFS(Q:Q,A:A,A1171),"."))/VLOOKUP("USD",'Exchange rates'!B:C,2,0),"Error with coding"))),"")</f>
        <v>.</v>
      </c>
      <c r="U1171" s="39" t="s">
        <v>233</v>
      </c>
      <c r="V1171" s="42" t="s">
        <v>2581</v>
      </c>
      <c r="W1171" s="517" t="s">
        <v>232</v>
      </c>
      <c r="X1171" s="517" t="s">
        <v>232</v>
      </c>
      <c r="Y1171" s="517" t="s">
        <v>232</v>
      </c>
      <c r="Z1171" s="39">
        <v>1</v>
      </c>
      <c r="AA1171" s="518">
        <v>0</v>
      </c>
      <c r="AB1171" s="521" t="s">
        <v>232</v>
      </c>
      <c r="AC1171" s="519" t="str">
        <f>""</f>
        <v/>
      </c>
      <c r="AD1171" s="520">
        <v>1</v>
      </c>
      <c r="AE1171" s="520" t="s">
        <v>236</v>
      </c>
      <c r="AF1171" s="520" t="s">
        <v>237</v>
      </c>
      <c r="AG1171" s="520">
        <v>1</v>
      </c>
      <c r="AH1171" s="520">
        <v>5</v>
      </c>
      <c r="AI1171" s="520">
        <v>0</v>
      </c>
      <c r="AJ1171" s="520">
        <f>VLOOKUP($I1171,'Price List, Weapons &amp; Items'!A:E,5,0)</f>
        <v>0</v>
      </c>
      <c r="AK1171" s="520">
        <f t="shared" si="260"/>
        <v>0</v>
      </c>
      <c r="AL1171" s="520">
        <f t="shared" si="261"/>
        <v>0</v>
      </c>
      <c r="AM1171" s="520">
        <f t="shared" si="262"/>
        <v>0</v>
      </c>
      <c r="AN1171" s="521" t="str">
        <f>VLOOKUP($I1171,'Price List, Weapons &amp; Items'!A:K,COLUMN('Price List, Weapons &amp; Items'!$I$1),0)</f>
        <v>.</v>
      </c>
      <c r="AO1171" s="521" t="str">
        <f>IF(I1171=".",".",VLOOKUP($I1171,'Price List, Weapons &amp; Items'!A:I,3,0))</f>
        <v>.</v>
      </c>
      <c r="AP1171" s="517" t="str">
        <f t="shared" ca="1" si="277"/>
        <v>.</v>
      </c>
      <c r="AQ1171" s="521" t="str">
        <f>VLOOKUP($I1171,'Price List, Weapons &amp; Items'!A:K,COLUMN('Price List, Weapons &amp; Items'!$K$1),0)</f>
        <v>no price, 0 count</v>
      </c>
      <c r="AS1171" s="521">
        <f t="shared" si="263"/>
        <v>1</v>
      </c>
      <c r="AT1171" s="521">
        <f t="shared" si="264"/>
        <v>0</v>
      </c>
      <c r="AU1171" s="521">
        <f t="shared" si="265"/>
        <v>1</v>
      </c>
      <c r="AV1171" s="521" t="str">
        <f t="shared" si="266"/>
        <v>.</v>
      </c>
    </row>
    <row r="1172" spans="1:48" ht="15" customHeight="1">
      <c r="A1172" s="41" t="s">
        <v>2819</v>
      </c>
      <c r="B1172" s="41" t="s">
        <v>2548</v>
      </c>
      <c r="C1172" s="511">
        <v>44702</v>
      </c>
      <c r="D1172" s="18" t="s">
        <v>366</v>
      </c>
      <c r="E1172" s="46" t="s">
        <v>330</v>
      </c>
      <c r="F1172" s="512" t="s">
        <v>2820</v>
      </c>
      <c r="G1172" s="39" t="s">
        <v>314</v>
      </c>
      <c r="H1172" s="513">
        <v>100000000</v>
      </c>
      <c r="I1172" s="41" t="s">
        <v>232</v>
      </c>
      <c r="J1172" s="276" t="str">
        <f>VLOOKUP($I1172,'Price List, Weapons &amp; Items'!A:B,2,0)</f>
        <v>.</v>
      </c>
      <c r="K1172" s="276" t="str">
        <f>IF(I1172=".",I1172,VLOOKUP($I1172,'Price List, Weapons &amp; Items'!A:C,3,0))</f>
        <v>.</v>
      </c>
      <c r="L1172" s="514">
        <f>VLOOKUP(I1172,'Price List, Weapons &amp; Items'!A:D,4,0)</f>
        <v>0</v>
      </c>
      <c r="M1172" s="515" t="s">
        <v>232</v>
      </c>
      <c r="N1172" s="515" t="s">
        <v>232</v>
      </c>
      <c r="O1172" s="516" t="str">
        <f>VLOOKUP($I1172,'Price List, Weapons &amp; Items'!A:F,6,0)</f>
        <v>.</v>
      </c>
      <c r="P1172" s="513" t="str">
        <f t="shared" ref="P1172" si="278">IF(TYPE(M1172)=1,IF(TYPE(O1172)=1,M1172*O1172,"No price"),".")</f>
        <v>.</v>
      </c>
      <c r="Q1172" s="513" t="str">
        <f t="shared" ref="Q1172" si="279">IF(TYPE(N1172)=1,IF(TYPE(O1172)=1,N1172*O1172,"No price"),".")</f>
        <v>.</v>
      </c>
      <c r="R1172" s="513">
        <f t="shared" si="276"/>
        <v>100000000</v>
      </c>
      <c r="S1172" s="513">
        <f>IF(AND(AD1172=1,R1172&lt;&gt;".")=TRUE,R1172/VLOOKUP(G1172,'Exchange rates'!B:C,2,0),IF(R1172=".",".",""))</f>
        <v>99651220.727453902</v>
      </c>
      <c r="T1172" s="513" t="str">
        <f>IF(AD1172=1,IF(AF1172="Value is not given at all",".",IF(AF1172="Value is given by the source",S1172,IF(AF1172="Value is calculated with prices",(IF(SUMIFS(Q:Q,A:A,A1172)&gt;0,SUMIFS(Q:Q,A:A,A1172),"."))/VLOOKUP("USD",'Exchange rates'!B:C,2,0),"Error with coding"))),"")</f>
        <v>.</v>
      </c>
      <c r="U1172" s="39" t="s">
        <v>233</v>
      </c>
      <c r="V1172" s="42" t="s">
        <v>2581</v>
      </c>
      <c r="W1172" s="517" t="s">
        <v>232</v>
      </c>
      <c r="X1172" s="517" t="s">
        <v>232</v>
      </c>
      <c r="Y1172" s="517" t="s">
        <v>232</v>
      </c>
      <c r="Z1172" s="39">
        <v>0</v>
      </c>
      <c r="AA1172" s="518">
        <v>0</v>
      </c>
      <c r="AB1172" s="521" t="s">
        <v>232</v>
      </c>
      <c r="AC1172" s="519" t="str">
        <f>""</f>
        <v/>
      </c>
      <c r="AD1172" s="520">
        <v>1</v>
      </c>
      <c r="AE1172" s="520" t="s">
        <v>236</v>
      </c>
      <c r="AF1172" s="520" t="s">
        <v>237</v>
      </c>
      <c r="AG1172" s="520">
        <v>1</v>
      </c>
      <c r="AH1172" s="520">
        <v>5</v>
      </c>
      <c r="AI1172" s="520">
        <v>0</v>
      </c>
      <c r="AJ1172" s="520">
        <f>VLOOKUP($I1172,'Price List, Weapons &amp; Items'!A:E,5,0)</f>
        <v>0</v>
      </c>
      <c r="AK1172" s="520">
        <f t="shared" si="260"/>
        <v>0</v>
      </c>
      <c r="AL1172" s="520">
        <f t="shared" si="261"/>
        <v>0</v>
      </c>
      <c r="AM1172" s="520">
        <f t="shared" si="262"/>
        <v>0</v>
      </c>
      <c r="AN1172" s="521" t="str">
        <f>VLOOKUP($I1172,'Price List, Weapons &amp; Items'!A:K,COLUMN('Price List, Weapons &amp; Items'!$I$1),0)</f>
        <v>.</v>
      </c>
      <c r="AO1172" s="521" t="str">
        <f>IF(I1172=".",".",VLOOKUP($I1172,'Price List, Weapons &amp; Items'!A:I,3,0))</f>
        <v>.</v>
      </c>
      <c r="AP1172" s="517" t="str">
        <f t="shared" ca="1" si="277"/>
        <v>.</v>
      </c>
      <c r="AQ1172" s="521" t="str">
        <f>VLOOKUP($I1172,'Price List, Weapons &amp; Items'!A:K,COLUMN('Price List, Weapons &amp; Items'!$K$1),0)</f>
        <v>no price, 0 count</v>
      </c>
      <c r="AS1172" s="521">
        <f t="shared" si="263"/>
        <v>1</v>
      </c>
      <c r="AT1172" s="521">
        <f t="shared" si="264"/>
        <v>0</v>
      </c>
      <c r="AU1172" s="521">
        <f t="shared" si="265"/>
        <v>1</v>
      </c>
      <c r="AV1172" s="521" t="str">
        <f t="shared" si="266"/>
        <v>.</v>
      </c>
    </row>
    <row r="1173" spans="1:48" s="41" customFormat="1" ht="15" customHeight="1">
      <c r="A1173" s="41" t="s">
        <v>2821</v>
      </c>
      <c r="B1173" s="41" t="s">
        <v>2548</v>
      </c>
      <c r="C1173" s="550">
        <v>44834</v>
      </c>
      <c r="D1173" s="46" t="s">
        <v>366</v>
      </c>
      <c r="E1173" s="46" t="s">
        <v>330</v>
      </c>
      <c r="F1173" s="617" t="s">
        <v>2822</v>
      </c>
      <c r="G1173" s="39" t="s">
        <v>314</v>
      </c>
      <c r="H1173" s="513">
        <v>4500000000</v>
      </c>
      <c r="I1173" s="41" t="s">
        <v>232</v>
      </c>
      <c r="J1173" s="276" t="str">
        <f>VLOOKUP($I1173,'Price List, Weapons &amp; Items'!A:B,2,0)</f>
        <v>.</v>
      </c>
      <c r="K1173" s="276" t="str">
        <f>IF(I1173=".",I1173,VLOOKUP($I1173,'Price List, Weapons &amp; Items'!A:C,3,0))</f>
        <v>.</v>
      </c>
      <c r="L1173" s="514">
        <f>VLOOKUP(I1173,'Price List, Weapons &amp; Items'!A:D,4,0)</f>
        <v>0</v>
      </c>
      <c r="M1173" s="515" t="s">
        <v>232</v>
      </c>
      <c r="N1173" s="515" t="s">
        <v>232</v>
      </c>
      <c r="O1173" s="516" t="str">
        <f>VLOOKUP($I1173,'Price List, Weapons &amp; Items'!A:F,6,0)</f>
        <v>.</v>
      </c>
      <c r="P1173" s="513" t="str">
        <f t="shared" si="246"/>
        <v>.</v>
      </c>
      <c r="Q1173" s="513" t="str">
        <f t="shared" si="247"/>
        <v>.</v>
      </c>
      <c r="R1173" s="513">
        <f t="shared" si="276"/>
        <v>4500000000</v>
      </c>
      <c r="S1173" s="513">
        <f>IF(AND(AD1173=1,R1173&lt;&gt;".")=TRUE,R1173/VLOOKUP(G1173,'Exchange rates'!B:C,2,0),IF(R1173=".",".",""))</f>
        <v>4484304932.7354259</v>
      </c>
      <c r="T1173" s="513" t="str">
        <f>IF(AD1173=1,IF(AF1173="Value is not given at all",".",IF(AF1173="Value is given by the source",S1173,IF(AF1173="Value is calculated with prices",(IF(SUMIFS(Q:Q,A:A,A1173)&gt;0,SUMIFS(Q:Q,A:A,A1173),"."))/VLOOKUP("USD",'Exchange rates'!B:C,2,0),"Error with coding"))),"")</f>
        <v>.</v>
      </c>
      <c r="U1173" s="39" t="s">
        <v>233</v>
      </c>
      <c r="V1173" s="826" t="s">
        <v>2823</v>
      </c>
      <c r="W1173" s="512" t="s">
        <v>232</v>
      </c>
      <c r="X1173" s="512" t="s">
        <v>232</v>
      </c>
      <c r="Y1173" s="512" t="s">
        <v>232</v>
      </c>
      <c r="Z1173" s="39">
        <v>0</v>
      </c>
      <c r="AA1173" s="39">
        <v>0</v>
      </c>
      <c r="AB1173" s="41" t="s">
        <v>232</v>
      </c>
      <c r="AC1173" s="519" t="str">
        <f>""</f>
        <v/>
      </c>
      <c r="AD1173" s="522">
        <v>1</v>
      </c>
      <c r="AE1173" s="522" t="s">
        <v>236</v>
      </c>
      <c r="AF1173" s="522" t="s">
        <v>237</v>
      </c>
      <c r="AG1173" s="522">
        <v>1</v>
      </c>
      <c r="AH1173" s="522">
        <v>9</v>
      </c>
      <c r="AI1173" s="522">
        <v>0</v>
      </c>
      <c r="AJ1173" s="520">
        <f>VLOOKUP($I1173,'Price List, Weapons &amp; Items'!A:E,5,0)</f>
        <v>0</v>
      </c>
      <c r="AK1173" s="520">
        <f t="shared" si="260"/>
        <v>0</v>
      </c>
      <c r="AL1173" s="520">
        <f t="shared" si="261"/>
        <v>0</v>
      </c>
      <c r="AM1173" s="520">
        <f t="shared" si="262"/>
        <v>0</v>
      </c>
      <c r="AN1173" s="521" t="str">
        <f>VLOOKUP($I1173,'Price List, Weapons &amp; Items'!A:K,COLUMN('Price List, Weapons &amp; Items'!$I$1),0)</f>
        <v>.</v>
      </c>
      <c r="AO1173" s="521" t="str">
        <f>IF(I1173=".",".",VLOOKUP($I1173,'Price List, Weapons &amp; Items'!A:I,3,0))</f>
        <v>.</v>
      </c>
      <c r="AP1173" s="517" t="str">
        <f t="shared" ca="1" si="277"/>
        <v>.</v>
      </c>
      <c r="AQ1173" s="521" t="str">
        <f>VLOOKUP($I1173,'Price List, Weapons &amp; Items'!A:K,COLUMN('Price List, Weapons &amp; Items'!$K$1),0)</f>
        <v>no price, 0 count</v>
      </c>
      <c r="AS1173" s="521">
        <f t="shared" si="263"/>
        <v>1</v>
      </c>
      <c r="AT1173" s="521">
        <f t="shared" si="264"/>
        <v>0</v>
      </c>
      <c r="AU1173" s="521">
        <f t="shared" si="265"/>
        <v>1</v>
      </c>
      <c r="AV1173" s="521" t="str">
        <f>IF(AND(A1173=A1171,C1173=C1171)=TRUE,IF(F1173=F1171,".","1"),".")</f>
        <v>.</v>
      </c>
    </row>
    <row r="1174" spans="1:48" s="517" customFormat="1" ht="15" customHeight="1">
      <c r="A1174" s="41" t="s">
        <v>2824</v>
      </c>
      <c r="B1174" s="41" t="s">
        <v>2825</v>
      </c>
      <c r="C1174" s="511" t="s">
        <v>2448</v>
      </c>
      <c r="D1174" s="18" t="s">
        <v>228</v>
      </c>
      <c r="E1174" s="18" t="s">
        <v>229</v>
      </c>
      <c r="F1174" s="512" t="s">
        <v>2826</v>
      </c>
      <c r="G1174" s="39" t="s">
        <v>232</v>
      </c>
      <c r="H1174" s="513" t="s">
        <v>309</v>
      </c>
      <c r="I1174" s="41" t="s">
        <v>232</v>
      </c>
      <c r="J1174" s="276" t="str">
        <f>VLOOKUP($I1174,'Price List, Weapons &amp; Items'!A:B,2,0)</f>
        <v>.</v>
      </c>
      <c r="K1174" s="276" t="str">
        <f>IF(I1174=".",I1174,VLOOKUP($I1174,'Price List, Weapons &amp; Items'!A:C,3,0))</f>
        <v>.</v>
      </c>
      <c r="L1174" s="514">
        <f>VLOOKUP(I1174,'Price List, Weapons &amp; Items'!A:D,4,0)</f>
        <v>0</v>
      </c>
      <c r="M1174" s="515" t="s">
        <v>232</v>
      </c>
      <c r="N1174" s="515" t="s">
        <v>232</v>
      </c>
      <c r="O1174" s="516" t="str">
        <f>VLOOKUP($I1174,'Price List, Weapons &amp; Items'!A:F,6,0)</f>
        <v>.</v>
      </c>
      <c r="P1174" s="513" t="str">
        <f t="shared" si="246"/>
        <v>.</v>
      </c>
      <c r="Q1174" s="513" t="str">
        <f t="shared" si="247"/>
        <v>.</v>
      </c>
      <c r="R1174" s="513" t="str">
        <f t="shared" si="276"/>
        <v>.</v>
      </c>
      <c r="S1174" s="513" t="str">
        <f>IF(AND(AD1174=1,R1174&lt;&gt;".")=TRUE,R1174/VLOOKUP(G1174,'Exchange rates'!B:C,2,0),IF(R1174=".",".",""))</f>
        <v>.</v>
      </c>
      <c r="T1174" s="513" t="str">
        <f>IF(AD1174=1,IF(AF1174="Value is not given at all",".",IF(AF1174="Value is given by the source",S1174,IF(AF1174="Value is calculated with prices",(IF(SUMIFS(Q:Q,A:A,A1174)&gt;0,SUMIFS(Q:Q,A:A,A1174),"."))/VLOOKUP("USD",'Exchange rates'!B:C,2,0),"Error with coding"))),"")</f>
        <v>.</v>
      </c>
      <c r="U1174" s="39" t="s">
        <v>233</v>
      </c>
      <c r="V1174" s="42" t="s">
        <v>2827</v>
      </c>
      <c r="W1174" s="517" t="s">
        <v>232</v>
      </c>
      <c r="X1174" s="517" t="s">
        <v>232</v>
      </c>
      <c r="Y1174" s="517" t="s">
        <v>232</v>
      </c>
      <c r="Z1174" s="39">
        <v>0</v>
      </c>
      <c r="AA1174" s="518">
        <v>0</v>
      </c>
      <c r="AB1174" s="521" t="s">
        <v>232</v>
      </c>
      <c r="AC1174" s="519" t="str">
        <f>""</f>
        <v/>
      </c>
      <c r="AD1174" s="522">
        <v>1</v>
      </c>
      <c r="AE1174" s="522" t="s">
        <v>237</v>
      </c>
      <c r="AF1174" s="522" t="s">
        <v>237</v>
      </c>
      <c r="AG1174" s="522">
        <v>0</v>
      </c>
      <c r="AH1174" s="520">
        <v>0</v>
      </c>
      <c r="AI1174" s="520">
        <v>0</v>
      </c>
      <c r="AJ1174" s="520">
        <f>VLOOKUP($I1174,'Price List, Weapons &amp; Items'!A:E,5,0)</f>
        <v>0</v>
      </c>
      <c r="AK1174" s="520">
        <f t="shared" si="260"/>
        <v>0</v>
      </c>
      <c r="AL1174" s="520">
        <f t="shared" si="261"/>
        <v>0</v>
      </c>
      <c r="AM1174" s="520">
        <f t="shared" si="262"/>
        <v>0</v>
      </c>
      <c r="AN1174" s="521" t="str">
        <f>VLOOKUP($I1174,'Price List, Weapons &amp; Items'!A:K,COLUMN('Price List, Weapons &amp; Items'!$I$1),0)</f>
        <v>.</v>
      </c>
      <c r="AO1174" s="521" t="str">
        <f>IF(I1174=".",".",VLOOKUP($I1174,'Price List, Weapons &amp; Items'!A:I,3,0))</f>
        <v>.</v>
      </c>
      <c r="AP1174" s="517" t="str">
        <f t="shared" ca="1" si="277"/>
        <v>.</v>
      </c>
      <c r="AQ1174" s="521" t="str">
        <f>VLOOKUP($I1174,'Price List, Weapons &amp; Items'!A:K,COLUMN('Price List, Weapons &amp; Items'!$K$1),0)</f>
        <v>no price, 0 count</v>
      </c>
      <c r="AS1174" s="521">
        <f t="shared" si="263"/>
        <v>1</v>
      </c>
      <c r="AT1174" s="521">
        <f t="shared" si="264"/>
        <v>0</v>
      </c>
      <c r="AU1174" s="521" t="str">
        <f t="shared" si="265"/>
        <v>Value is not in date format</v>
      </c>
      <c r="AV1174" s="521" t="str">
        <f t="shared" si="266"/>
        <v>.</v>
      </c>
    </row>
    <row r="1175" spans="1:48" ht="15" customHeight="1">
      <c r="A1175" s="41" t="s">
        <v>2828</v>
      </c>
      <c r="B1175" s="41" t="s">
        <v>2825</v>
      </c>
      <c r="C1175" s="511">
        <v>44621</v>
      </c>
      <c r="D1175" s="18" t="s">
        <v>228</v>
      </c>
      <c r="E1175" s="18" t="s">
        <v>229</v>
      </c>
      <c r="F1175" s="512" t="s">
        <v>2829</v>
      </c>
      <c r="G1175" s="39" t="s">
        <v>332</v>
      </c>
      <c r="H1175" s="513">
        <v>415000000</v>
      </c>
      <c r="I1175" s="41" t="s">
        <v>232</v>
      </c>
      <c r="J1175" s="276" t="str">
        <f>VLOOKUP($I1175,'Price List, Weapons &amp; Items'!A:B,2,0)</f>
        <v>.</v>
      </c>
      <c r="K1175" s="276" t="str">
        <f>IF(I1175=".",I1175,VLOOKUP($I1175,'Price List, Weapons &amp; Items'!A:C,3,0))</f>
        <v>.</v>
      </c>
      <c r="L1175" s="514">
        <f>VLOOKUP(I1175,'Price List, Weapons &amp; Items'!A:D,4,0)</f>
        <v>0</v>
      </c>
      <c r="M1175" s="515" t="s">
        <v>232</v>
      </c>
      <c r="N1175" s="515" t="str">
        <f>VLOOKUP(I1175,'Price List, Weapons &amp; Items'!A:B,2,0)</f>
        <v>.</v>
      </c>
      <c r="O1175" s="516" t="str">
        <f>VLOOKUP($I1175,'Price List, Weapons &amp; Items'!A:F,6,0)</f>
        <v>.</v>
      </c>
      <c r="P1175" s="513" t="str">
        <f t="shared" si="246"/>
        <v>.</v>
      </c>
      <c r="Q1175" s="513" t="str">
        <f t="shared" si="247"/>
        <v>.</v>
      </c>
      <c r="R1175" s="513">
        <f t="shared" si="276"/>
        <v>415000000</v>
      </c>
      <c r="S1175" s="513">
        <f>IF(AND(AD1175=1,R1175&lt;&gt;".")=TRUE,R1175/VLOOKUP(G1175,'Exchange rates'!B:C,2,0),IF(R1175=".",".",""))</f>
        <v>415000000</v>
      </c>
      <c r="T1175" s="513" t="str">
        <f>IF(AD1175=1,IF(AF1175="Value is not given at all",".",IF(AF1175="Value is given by the source",S1175,IF(AF1175="Value is calculated with prices",(IF(SUMIFS(Q:Q,A:A,A1175)&gt;0,SUMIFS(Q:Q,A:A,A1175),"."))/VLOOKUP("USD",'Exchange rates'!B:C,2,0),"Error with coding"))),"")</f>
        <v>.</v>
      </c>
      <c r="U1175" s="39" t="s">
        <v>233</v>
      </c>
      <c r="V1175" s="42" t="s">
        <v>2830</v>
      </c>
      <c r="W1175" s="42" t="s">
        <v>2831</v>
      </c>
      <c r="X1175" s="517" t="s">
        <v>232</v>
      </c>
      <c r="Y1175" s="517" t="s">
        <v>232</v>
      </c>
      <c r="Z1175" s="39">
        <v>0</v>
      </c>
      <c r="AA1175" s="518">
        <v>0</v>
      </c>
      <c r="AB1175" s="521" t="s">
        <v>232</v>
      </c>
      <c r="AC1175" s="519" t="str">
        <f>""</f>
        <v/>
      </c>
      <c r="AD1175" s="520">
        <v>1</v>
      </c>
      <c r="AE1175" s="520" t="s">
        <v>236</v>
      </c>
      <c r="AF1175" s="520" t="s">
        <v>237</v>
      </c>
      <c r="AG1175" s="520">
        <v>1</v>
      </c>
      <c r="AH1175" s="520">
        <v>3</v>
      </c>
      <c r="AI1175" s="520">
        <v>0</v>
      </c>
      <c r="AJ1175" s="520">
        <f>VLOOKUP($I1175,'Price List, Weapons &amp; Items'!A:E,5,0)</f>
        <v>0</v>
      </c>
      <c r="AK1175" s="520">
        <f t="shared" si="260"/>
        <v>0</v>
      </c>
      <c r="AL1175" s="520">
        <f t="shared" si="261"/>
        <v>0</v>
      </c>
      <c r="AM1175" s="520">
        <f t="shared" si="262"/>
        <v>0</v>
      </c>
      <c r="AN1175" s="521" t="str">
        <f>VLOOKUP($I1175,'Price List, Weapons &amp; Items'!A:K,COLUMN('Price List, Weapons &amp; Items'!$I$1),0)</f>
        <v>.</v>
      </c>
      <c r="AO1175" s="521" t="str">
        <f>IF(I1175=".",".",VLOOKUP($I1175,'Price List, Weapons &amp; Items'!A:I,3,0))</f>
        <v>.</v>
      </c>
      <c r="AP1175" s="517" t="str">
        <f t="shared" ca="1" si="277"/>
        <v>.</v>
      </c>
      <c r="AQ1175" s="521" t="str">
        <f>VLOOKUP($I1175,'Price List, Weapons &amp; Items'!A:K,COLUMN('Price List, Weapons &amp; Items'!$K$1),0)</f>
        <v>no price, 0 count</v>
      </c>
      <c r="AS1175" s="521">
        <f t="shared" si="263"/>
        <v>1</v>
      </c>
      <c r="AT1175" s="521">
        <f t="shared" si="264"/>
        <v>0</v>
      </c>
      <c r="AU1175" s="521">
        <f t="shared" si="265"/>
        <v>1</v>
      </c>
      <c r="AV1175" s="521" t="str">
        <f t="shared" si="266"/>
        <v>.</v>
      </c>
    </row>
    <row r="1176" spans="1:48" ht="15" customHeight="1">
      <c r="A1176" s="41" t="s">
        <v>2832</v>
      </c>
      <c r="B1176" s="41" t="s">
        <v>2825</v>
      </c>
      <c r="C1176" s="511">
        <v>44660</v>
      </c>
      <c r="D1176" s="18" t="s">
        <v>228</v>
      </c>
      <c r="E1176" s="18" t="s">
        <v>229</v>
      </c>
      <c r="F1176" s="512" t="s">
        <v>2833</v>
      </c>
      <c r="G1176" s="39" t="s">
        <v>332</v>
      </c>
      <c r="H1176" s="513">
        <v>600000000</v>
      </c>
      <c r="I1176" s="41" t="s">
        <v>232</v>
      </c>
      <c r="J1176" s="276" t="str">
        <f>VLOOKUP($I1176,'Price List, Weapons &amp; Items'!A:B,2,0)</f>
        <v>.</v>
      </c>
      <c r="K1176" s="276" t="str">
        <f>IF(I1176=".",I1176,VLOOKUP($I1176,'Price List, Weapons &amp; Items'!A:C,3,0))</f>
        <v>.</v>
      </c>
      <c r="L1176" s="514">
        <f>VLOOKUP(I1176,'Price List, Weapons &amp; Items'!A:D,4,0)</f>
        <v>0</v>
      </c>
      <c r="M1176" s="515" t="s">
        <v>232</v>
      </c>
      <c r="N1176" s="515" t="str">
        <f>VLOOKUP(I1176,'Price List, Weapons &amp; Items'!A:B,2,0)</f>
        <v>.</v>
      </c>
      <c r="O1176" s="516" t="str">
        <f>VLOOKUP($I1176,'Price List, Weapons &amp; Items'!A:F,6,0)</f>
        <v>.</v>
      </c>
      <c r="P1176" s="513" t="str">
        <f t="shared" si="246"/>
        <v>.</v>
      </c>
      <c r="Q1176" s="513" t="str">
        <f t="shared" si="247"/>
        <v>.</v>
      </c>
      <c r="R1176" s="513">
        <f t="shared" si="276"/>
        <v>600000000</v>
      </c>
      <c r="S1176" s="513">
        <f>IF(AND(AD1176=1,R1176&lt;&gt;".")=TRUE,R1176/VLOOKUP(G1176,'Exchange rates'!B:C,2,0),IF(R1176=".",".",""))</f>
        <v>600000000</v>
      </c>
      <c r="T1176" s="513" t="str">
        <f>IF(AD1176=1,IF(AF1176="Value is not given at all",".",IF(AF1176="Value is given by the source",S1176,IF(AF1176="Value is calculated with prices",(IF(SUMIFS(Q:Q,A:A,A1176)&gt;0,SUMIFS(Q:Q,A:A,A1176),"."))/VLOOKUP("USD",'Exchange rates'!B:C,2,0),"Error with coding"))),"")</f>
        <v>.</v>
      </c>
      <c r="U1176" s="39" t="s">
        <v>233</v>
      </c>
      <c r="V1176" s="42" t="s">
        <v>382</v>
      </c>
      <c r="W1176" s="42" t="s">
        <v>2834</v>
      </c>
      <c r="X1176" s="517" t="s">
        <v>232</v>
      </c>
      <c r="Y1176" s="517" t="s">
        <v>232</v>
      </c>
      <c r="Z1176" s="39">
        <v>0</v>
      </c>
      <c r="AA1176" s="518">
        <v>0</v>
      </c>
      <c r="AB1176" s="41" t="s">
        <v>232</v>
      </c>
      <c r="AC1176" s="519" t="str">
        <f>""</f>
        <v/>
      </c>
      <c r="AD1176" s="522">
        <v>1</v>
      </c>
      <c r="AE1176" s="522" t="s">
        <v>236</v>
      </c>
      <c r="AF1176" s="522" t="s">
        <v>237</v>
      </c>
      <c r="AG1176" s="522">
        <v>1</v>
      </c>
      <c r="AH1176" s="520">
        <v>4</v>
      </c>
      <c r="AI1176" s="520">
        <v>0</v>
      </c>
      <c r="AJ1176" s="520">
        <f>VLOOKUP($I1176,'Price List, Weapons &amp; Items'!A:E,5,0)</f>
        <v>0</v>
      </c>
      <c r="AK1176" s="520">
        <f t="shared" si="260"/>
        <v>0</v>
      </c>
      <c r="AL1176" s="520">
        <f t="shared" si="261"/>
        <v>0</v>
      </c>
      <c r="AM1176" s="520">
        <f t="shared" si="262"/>
        <v>0</v>
      </c>
      <c r="AN1176" s="521" t="str">
        <f>VLOOKUP($I1176,'Price List, Weapons &amp; Items'!A:K,COLUMN('Price List, Weapons &amp; Items'!$I$1),0)</f>
        <v>.</v>
      </c>
      <c r="AO1176" s="521" t="str">
        <f>IF(I1176=".",".",VLOOKUP($I1176,'Price List, Weapons &amp; Items'!A:I,3,0))</f>
        <v>.</v>
      </c>
      <c r="AP1176" s="517" t="str">
        <f t="shared" ca="1" si="277"/>
        <v>.</v>
      </c>
      <c r="AQ1176" s="521" t="str">
        <f>VLOOKUP($I1176,'Price List, Weapons &amp; Items'!A:K,COLUMN('Price List, Weapons &amp; Items'!$K$1),0)</f>
        <v>no price, 0 count</v>
      </c>
      <c r="AS1176" s="521">
        <f t="shared" si="263"/>
        <v>1</v>
      </c>
      <c r="AT1176" s="521">
        <f t="shared" si="264"/>
        <v>0</v>
      </c>
      <c r="AU1176" s="521">
        <f t="shared" si="265"/>
        <v>1</v>
      </c>
      <c r="AV1176" s="521" t="str">
        <f t="shared" si="266"/>
        <v>.</v>
      </c>
    </row>
    <row r="1177" spans="1:48" ht="15" customHeight="1">
      <c r="A1177" s="41" t="s">
        <v>2835</v>
      </c>
      <c r="B1177" s="41" t="s">
        <v>2825</v>
      </c>
      <c r="C1177" s="511">
        <v>44686</v>
      </c>
      <c r="D1177" s="18" t="s">
        <v>228</v>
      </c>
      <c r="E1177" s="18" t="s">
        <v>229</v>
      </c>
      <c r="F1177" s="512" t="s">
        <v>2836</v>
      </c>
      <c r="G1177" s="39" t="s">
        <v>332</v>
      </c>
      <c r="H1177" s="513">
        <v>200000000</v>
      </c>
      <c r="I1177" s="41" t="s">
        <v>232</v>
      </c>
      <c r="J1177" s="276" t="str">
        <f>VLOOKUP($I1177,'Price List, Weapons &amp; Items'!A:B,2,0)</f>
        <v>.</v>
      </c>
      <c r="K1177" s="276" t="str">
        <f>IF(I1177=".",I1177,VLOOKUP($I1177,'Price List, Weapons &amp; Items'!A:C,3,0))</f>
        <v>.</v>
      </c>
      <c r="L1177" s="514">
        <f>VLOOKUP(I1177,'Price List, Weapons &amp; Items'!A:D,4,0)</f>
        <v>0</v>
      </c>
      <c r="M1177" s="515" t="s">
        <v>232</v>
      </c>
      <c r="N1177" s="515" t="str">
        <f>VLOOKUP(I1177,'Price List, Weapons &amp; Items'!A:B,2,0)</f>
        <v>.</v>
      </c>
      <c r="O1177" s="516" t="str">
        <f>VLOOKUP($I1177,'Price List, Weapons &amp; Items'!A:F,6,0)</f>
        <v>.</v>
      </c>
      <c r="P1177" s="513" t="str">
        <f t="shared" si="246"/>
        <v>.</v>
      </c>
      <c r="Q1177" s="513" t="str">
        <f t="shared" si="247"/>
        <v>.</v>
      </c>
      <c r="R1177" s="513">
        <f t="shared" si="276"/>
        <v>200000000</v>
      </c>
      <c r="S1177" s="513">
        <f>IF(AND(AD1177=1,R1177&lt;&gt;".")=TRUE,R1177/VLOOKUP(G1177,'Exchange rates'!B:C,2,0),IF(R1177=".",".",""))</f>
        <v>200000000</v>
      </c>
      <c r="T1177" s="513" t="str">
        <f>IF(AD1177=1,IF(AF1177="Value is not given at all",".",IF(AF1177="Value is given by the source",S1177,IF(AF1177="Value is calculated with prices",(IF(SUMIFS(Q:Q,A:A,A1177)&gt;0,SUMIFS(Q:Q,A:A,A1177),"."))/VLOOKUP("USD",'Exchange rates'!B:C,2,0),"Error with coding"))),"")</f>
        <v>.</v>
      </c>
      <c r="U1177" s="39" t="s">
        <v>372</v>
      </c>
      <c r="V1177" s="42" t="s">
        <v>385</v>
      </c>
      <c r="W1177" s="42" t="s">
        <v>2837</v>
      </c>
      <c r="X1177" s="512" t="s">
        <v>232</v>
      </c>
      <c r="Y1177" s="512" t="s">
        <v>232</v>
      </c>
      <c r="Z1177" s="39">
        <v>0</v>
      </c>
      <c r="AA1177" s="518">
        <v>0</v>
      </c>
      <c r="AB1177" s="41" t="s">
        <v>232</v>
      </c>
      <c r="AC1177" s="519" t="str">
        <f>""</f>
        <v/>
      </c>
      <c r="AD1177" s="520">
        <v>1</v>
      </c>
      <c r="AE1177" s="520" t="s">
        <v>236</v>
      </c>
      <c r="AF1177" s="520" t="s">
        <v>237</v>
      </c>
      <c r="AG1177" s="520">
        <v>1</v>
      </c>
      <c r="AH1177" s="520">
        <v>5</v>
      </c>
      <c r="AI1177" s="520">
        <v>0</v>
      </c>
      <c r="AJ1177" s="520">
        <f>VLOOKUP($I1177,'Price List, Weapons &amp; Items'!A:E,5,0)</f>
        <v>0</v>
      </c>
      <c r="AK1177" s="520">
        <f t="shared" si="260"/>
        <v>0</v>
      </c>
      <c r="AL1177" s="520">
        <f t="shared" si="261"/>
        <v>0</v>
      </c>
      <c r="AM1177" s="520">
        <f t="shared" si="262"/>
        <v>0</v>
      </c>
      <c r="AN1177" s="521" t="str">
        <f>VLOOKUP($I1177,'Price List, Weapons &amp; Items'!A:K,COLUMN('Price List, Weapons &amp; Items'!$I$1),0)</f>
        <v>.</v>
      </c>
      <c r="AO1177" s="521" t="str">
        <f>IF(I1177=".",".",VLOOKUP($I1177,'Price List, Weapons &amp; Items'!A:I,3,0))</f>
        <v>.</v>
      </c>
      <c r="AP1177" s="517" t="str">
        <f t="shared" ca="1" si="277"/>
        <v>.</v>
      </c>
      <c r="AQ1177" s="521" t="str">
        <f>VLOOKUP($I1177,'Price List, Weapons &amp; Items'!A:K,COLUMN('Price List, Weapons &amp; Items'!$K$1),0)</f>
        <v>no price, 0 count</v>
      </c>
      <c r="AS1177" s="521">
        <f t="shared" si="263"/>
        <v>0</v>
      </c>
      <c r="AT1177" s="521">
        <f t="shared" si="264"/>
        <v>0</v>
      </c>
      <c r="AU1177" s="521">
        <f t="shared" si="265"/>
        <v>1</v>
      </c>
      <c r="AV1177" s="521" t="str">
        <f t="shared" si="266"/>
        <v>.</v>
      </c>
    </row>
    <row r="1178" spans="1:48" ht="15" customHeight="1">
      <c r="A1178" s="41" t="s">
        <v>2838</v>
      </c>
      <c r="B1178" s="41" t="s">
        <v>2825</v>
      </c>
      <c r="C1178" s="511">
        <v>44721</v>
      </c>
      <c r="D1178" s="18" t="s">
        <v>228</v>
      </c>
      <c r="E1178" s="18" t="s">
        <v>229</v>
      </c>
      <c r="F1178" s="512" t="s">
        <v>2839</v>
      </c>
      <c r="G1178" s="39" t="s">
        <v>332</v>
      </c>
      <c r="H1178" s="513">
        <v>205000000</v>
      </c>
      <c r="I1178" s="41" t="s">
        <v>232</v>
      </c>
      <c r="J1178" s="276" t="str">
        <f>VLOOKUP($I1178,'Price List, Weapons &amp; Items'!A:B,2,0)</f>
        <v>.</v>
      </c>
      <c r="K1178" s="276" t="str">
        <f>IF(I1178=".",I1178,VLOOKUP($I1178,'Price List, Weapons &amp; Items'!A:C,3,0))</f>
        <v>.</v>
      </c>
      <c r="L1178" s="514">
        <f>VLOOKUP(I1178,'Price List, Weapons &amp; Items'!A:D,4,0)</f>
        <v>0</v>
      </c>
      <c r="M1178" s="515" t="s">
        <v>232</v>
      </c>
      <c r="N1178" s="515" t="s">
        <v>232</v>
      </c>
      <c r="O1178" s="516" t="str">
        <f>VLOOKUP($I1178,'Price List, Weapons &amp; Items'!A:F,6,0)</f>
        <v>.</v>
      </c>
      <c r="P1178" s="513" t="str">
        <f t="shared" si="246"/>
        <v>.</v>
      </c>
      <c r="Q1178" s="513" t="str">
        <f t="shared" si="247"/>
        <v>.</v>
      </c>
      <c r="R1178" s="513">
        <f t="shared" si="276"/>
        <v>205000000</v>
      </c>
      <c r="S1178" s="513">
        <f>IF(AND(AD1178=1,R1178&lt;&gt;".")=TRUE,R1178/VLOOKUP(G1178,'Exchange rates'!B:C,2,0),IF(R1178=".",".",""))</f>
        <v>205000000</v>
      </c>
      <c r="T1178" s="513" t="str">
        <f>IF(AD1178=1,IF(AF1178="Value is not given at all",".",IF(AF1178="Value is given by the source",S1178,IF(AF1178="Value is calculated with prices",(IF(SUMIFS(Q:Q,A:A,A1178)&gt;0,SUMIFS(Q:Q,A:A,A1178),"."))/VLOOKUP("USD",'Exchange rates'!B:C,2,0),"Error with coding"))),"")</f>
        <v>.</v>
      </c>
      <c r="U1178" s="39" t="s">
        <v>233</v>
      </c>
      <c r="V1178" s="42" t="s">
        <v>2840</v>
      </c>
      <c r="W1178" s="42" t="s">
        <v>2837</v>
      </c>
      <c r="X1178" s="512" t="s">
        <v>232</v>
      </c>
      <c r="Y1178" s="512" t="s">
        <v>232</v>
      </c>
      <c r="Z1178" s="39">
        <v>0</v>
      </c>
      <c r="AA1178" s="518">
        <v>0</v>
      </c>
      <c r="AB1178" s="41" t="s">
        <v>232</v>
      </c>
      <c r="AC1178" s="519" t="str">
        <f>""</f>
        <v/>
      </c>
      <c r="AD1178" s="520">
        <v>1</v>
      </c>
      <c r="AE1178" s="520" t="s">
        <v>236</v>
      </c>
      <c r="AF1178" s="520" t="s">
        <v>237</v>
      </c>
      <c r="AG1178" s="520">
        <v>1</v>
      </c>
      <c r="AH1178" s="520">
        <v>6</v>
      </c>
      <c r="AI1178" s="520">
        <v>0</v>
      </c>
      <c r="AJ1178" s="520">
        <f>VLOOKUP($I1178,'Price List, Weapons &amp; Items'!A:E,5,0)</f>
        <v>0</v>
      </c>
      <c r="AK1178" s="520">
        <f t="shared" si="260"/>
        <v>0</v>
      </c>
      <c r="AL1178" s="520">
        <f t="shared" si="261"/>
        <v>0</v>
      </c>
      <c r="AM1178" s="520">
        <f t="shared" si="262"/>
        <v>0</v>
      </c>
      <c r="AN1178" s="521" t="str">
        <f>VLOOKUP($I1178,'Price List, Weapons &amp; Items'!A:K,COLUMN('Price List, Weapons &amp; Items'!$I$1),0)</f>
        <v>.</v>
      </c>
      <c r="AO1178" s="521" t="str">
        <f>IF(I1178=".",".",VLOOKUP($I1178,'Price List, Weapons &amp; Items'!A:I,3,0))</f>
        <v>.</v>
      </c>
      <c r="AP1178" s="517" t="str">
        <f t="shared" ca="1" si="277"/>
        <v>.</v>
      </c>
      <c r="AQ1178" s="521" t="str">
        <f>VLOOKUP($I1178,'Price List, Weapons &amp; Items'!A:K,COLUMN('Price List, Weapons &amp; Items'!$K$1),0)</f>
        <v>no price, 0 count</v>
      </c>
      <c r="AS1178" s="521">
        <f t="shared" si="263"/>
        <v>1</v>
      </c>
      <c r="AT1178" s="521">
        <f t="shared" si="264"/>
        <v>0</v>
      </c>
      <c r="AU1178" s="521">
        <f t="shared" si="265"/>
        <v>1</v>
      </c>
      <c r="AV1178" s="521" t="str">
        <f t="shared" si="266"/>
        <v>.</v>
      </c>
    </row>
    <row r="1179" spans="1:48" ht="15" customHeight="1">
      <c r="A1179" s="41" t="s">
        <v>2841</v>
      </c>
      <c r="B1179" s="41" t="s">
        <v>2825</v>
      </c>
      <c r="C1179" s="511">
        <v>44853</v>
      </c>
      <c r="D1179" s="18" t="s">
        <v>228</v>
      </c>
      <c r="E1179" s="18" t="s">
        <v>229</v>
      </c>
      <c r="F1179" s="512" t="s">
        <v>2842</v>
      </c>
      <c r="G1179" s="39" t="s">
        <v>332</v>
      </c>
      <c r="H1179" s="513">
        <v>150000000</v>
      </c>
      <c r="I1179" s="41" t="s">
        <v>232</v>
      </c>
      <c r="J1179" s="276" t="str">
        <f>VLOOKUP($I1179,'Price List, Weapons &amp; Items'!A:B,2,0)</f>
        <v>.</v>
      </c>
      <c r="K1179" s="276" t="str">
        <f>IF(I1179=".",I1179,VLOOKUP($I1179,'Price List, Weapons &amp; Items'!A:C,3,0))</f>
        <v>.</v>
      </c>
      <c r="L1179" s="514">
        <f>VLOOKUP(I1179,'Price List, Weapons &amp; Items'!A:D,4,0)</f>
        <v>0</v>
      </c>
      <c r="M1179" s="515" t="s">
        <v>232</v>
      </c>
      <c r="N1179" s="515" t="s">
        <v>232</v>
      </c>
      <c r="O1179" s="516" t="str">
        <f>VLOOKUP($I1179,'Price List, Weapons &amp; Items'!A:F,6,0)</f>
        <v>.</v>
      </c>
      <c r="P1179" s="513" t="str">
        <f t="shared" ref="P1179" si="280">IF(TYPE(M1179)=1,IF(TYPE(O1179)=1,M1179*O1179,"No price"),".")</f>
        <v>.</v>
      </c>
      <c r="Q1179" s="513" t="str">
        <f t="shared" ref="Q1179" si="281">IF(TYPE(N1179)=1,IF(TYPE(O1179)=1,N1179*O1179,"No price"),".")</f>
        <v>.</v>
      </c>
      <c r="R1179" s="513">
        <f t="shared" si="276"/>
        <v>150000000</v>
      </c>
      <c r="S1179" s="513">
        <f>IF(AND(AD1179=1,R1179&lt;&gt;".")=TRUE,R1179/VLOOKUP(G1179,'Exchange rates'!B:C,2,0),IF(R1179=".",".",""))</f>
        <v>150000000</v>
      </c>
      <c r="T1179" s="513" t="str">
        <f>IF(AD1179=1,IF(AF1179="Value is not given at all",".",IF(AF1179="Value is given by the source",S1179,IF(AF1179="Value is calculated with prices",(IF(SUMIFS(Q:Q,A:A,A1179)&gt;0,SUMIFS(Q:Q,A:A,A1179),"."))/VLOOKUP("USD",'Exchange rates'!B:C,2,0),"Error with coding"))),"")</f>
        <v>.</v>
      </c>
      <c r="U1179" s="39" t="s">
        <v>233</v>
      </c>
      <c r="V1179" s="42" t="s">
        <v>2843</v>
      </c>
      <c r="W1179" s="42" t="s">
        <v>232</v>
      </c>
      <c r="X1179" s="512" t="s">
        <v>232</v>
      </c>
      <c r="Y1179" s="512" t="s">
        <v>232</v>
      </c>
      <c r="Z1179" s="39">
        <v>0</v>
      </c>
      <c r="AA1179" s="518">
        <v>1</v>
      </c>
      <c r="AB1179" s="41" t="s">
        <v>232</v>
      </c>
      <c r="AC1179" s="519" t="str">
        <f>""</f>
        <v/>
      </c>
      <c r="AD1179" s="520">
        <v>1</v>
      </c>
      <c r="AE1179" s="520" t="s">
        <v>236</v>
      </c>
      <c r="AF1179" s="520" t="s">
        <v>237</v>
      </c>
      <c r="AG1179" s="520">
        <v>1</v>
      </c>
      <c r="AH1179" s="520">
        <v>10</v>
      </c>
      <c r="AI1179" s="520">
        <v>0</v>
      </c>
      <c r="AJ1179" s="520">
        <f>VLOOKUP($I1179,'Price List, Weapons &amp; Items'!A:E,5,0)</f>
        <v>0</v>
      </c>
      <c r="AK1179" s="520">
        <f t="shared" si="260"/>
        <v>0</v>
      </c>
      <c r="AL1179" s="520">
        <f t="shared" si="261"/>
        <v>0</v>
      </c>
      <c r="AM1179" s="520">
        <f t="shared" si="262"/>
        <v>0</v>
      </c>
      <c r="AN1179" s="521" t="str">
        <f>VLOOKUP($I1179,'Price List, Weapons &amp; Items'!A:K,COLUMN('Price List, Weapons &amp; Items'!$I$1),0)</f>
        <v>.</v>
      </c>
      <c r="AO1179" s="521" t="str">
        <f>IF(I1179=".",".",VLOOKUP($I1179,'Price List, Weapons &amp; Items'!A:I,3,0))</f>
        <v>.</v>
      </c>
      <c r="AP1179" s="517" t="str">
        <f t="shared" ca="1" si="277"/>
        <v>.</v>
      </c>
      <c r="AQ1179" s="521" t="str">
        <f>VLOOKUP($I1179,'Price List, Weapons &amp; Items'!A:K,COLUMN('Price List, Weapons &amp; Items'!$K$1),0)</f>
        <v>no price, 0 count</v>
      </c>
      <c r="AS1179" s="521">
        <f t="shared" si="263"/>
        <v>1</v>
      </c>
      <c r="AT1179" s="521">
        <f t="shared" si="264"/>
        <v>0</v>
      </c>
      <c r="AU1179" s="521">
        <f t="shared" si="265"/>
        <v>1</v>
      </c>
      <c r="AV1179" s="521" t="str">
        <f t="shared" si="266"/>
        <v>.</v>
      </c>
    </row>
    <row r="1180" spans="1:48" s="517" customFormat="1" ht="15" customHeight="1">
      <c r="A1180" s="41" t="s">
        <v>2844</v>
      </c>
      <c r="B1180" s="41" t="s">
        <v>2825</v>
      </c>
      <c r="C1180" s="511">
        <v>44613</v>
      </c>
      <c r="D1180" s="18" t="s">
        <v>366</v>
      </c>
      <c r="E1180" s="18" t="s">
        <v>453</v>
      </c>
      <c r="F1180" s="512" t="s">
        <v>2845</v>
      </c>
      <c r="G1180" s="39" t="s">
        <v>332</v>
      </c>
      <c r="H1180" s="513">
        <v>1200000000</v>
      </c>
      <c r="I1180" s="523" t="s">
        <v>232</v>
      </c>
      <c r="J1180" s="276" t="str">
        <f>VLOOKUP($I1180,'Price List, Weapons &amp; Items'!A:B,2,0)</f>
        <v>.</v>
      </c>
      <c r="K1180" s="276" t="str">
        <f>IF(I1180=".",I1180,VLOOKUP($I1180,'Price List, Weapons &amp; Items'!A:C,3,0))</f>
        <v>.</v>
      </c>
      <c r="L1180" s="514">
        <f>VLOOKUP(I1180,'Price List, Weapons &amp; Items'!A:D,4,0)</f>
        <v>0</v>
      </c>
      <c r="M1180" s="515" t="s">
        <v>232</v>
      </c>
      <c r="N1180" s="515" t="str">
        <f>VLOOKUP(I1180,'Price List, Weapons &amp; Items'!A:B,2,0)</f>
        <v>.</v>
      </c>
      <c r="O1180" s="516" t="str">
        <f>VLOOKUP($I1180,'Price List, Weapons &amp; Items'!A:F,6,0)</f>
        <v>.</v>
      </c>
      <c r="P1180" s="513" t="str">
        <f t="shared" si="246"/>
        <v>.</v>
      </c>
      <c r="Q1180" s="513" t="str">
        <f t="shared" si="247"/>
        <v>.</v>
      </c>
      <c r="R1180" s="513">
        <f t="shared" si="276"/>
        <v>1200000000</v>
      </c>
      <c r="S1180" s="513">
        <f>IF(AND(AD1180=1,R1180&lt;&gt;".")=TRUE,R1180/VLOOKUP(G1180,'Exchange rates'!B:C,2,0),IF(R1180=".",".",""))</f>
        <v>1200000000</v>
      </c>
      <c r="T1180" s="513" t="str">
        <f>IF(AD1180=1,IF(AF1180="Value is not given at all",".",IF(AF1180="Value is given by the source",S1180,IF(AF1180="Value is calculated with prices",(IF(SUMIFS(Q:Q,A:A,A1180)&gt;0,SUMIFS(Q:Q,A:A,A1180),"."))/VLOOKUP("USD",'Exchange rates'!B:C,2,0),"Error with coding"))),"")</f>
        <v>.</v>
      </c>
      <c r="U1180" s="39" t="s">
        <v>233</v>
      </c>
      <c r="V1180" s="42" t="s">
        <v>2846</v>
      </c>
      <c r="W1180" s="512" t="s">
        <v>232</v>
      </c>
      <c r="X1180" s="512" t="s">
        <v>232</v>
      </c>
      <c r="Y1180" s="512" t="s">
        <v>232</v>
      </c>
      <c r="Z1180" s="39">
        <v>0</v>
      </c>
      <c r="AA1180" s="518">
        <v>0</v>
      </c>
      <c r="AB1180" s="521" t="s">
        <v>232</v>
      </c>
      <c r="AC1180" s="519" t="str">
        <f>""</f>
        <v/>
      </c>
      <c r="AD1180" s="522">
        <v>1</v>
      </c>
      <c r="AE1180" s="522" t="s">
        <v>236</v>
      </c>
      <c r="AF1180" s="522" t="s">
        <v>237</v>
      </c>
      <c r="AG1180" s="522">
        <v>1</v>
      </c>
      <c r="AH1180" s="520">
        <v>2</v>
      </c>
      <c r="AI1180" s="520">
        <v>1</v>
      </c>
      <c r="AJ1180" s="520">
        <f>VLOOKUP($I1180,'Price List, Weapons &amp; Items'!A:E,5,0)</f>
        <v>0</v>
      </c>
      <c r="AK1180" s="520">
        <f t="shared" si="260"/>
        <v>0</v>
      </c>
      <c r="AL1180" s="520">
        <f t="shared" si="261"/>
        <v>0</v>
      </c>
      <c r="AM1180" s="520">
        <f t="shared" si="262"/>
        <v>0</v>
      </c>
      <c r="AN1180" s="521" t="str">
        <f>VLOOKUP($I1180,'Price List, Weapons &amp; Items'!A:K,COLUMN('Price List, Weapons &amp; Items'!$I$1),0)</f>
        <v>.</v>
      </c>
      <c r="AO1180" s="521" t="str">
        <f>IF(I1180=".",".",VLOOKUP($I1180,'Price List, Weapons &amp; Items'!A:I,3,0))</f>
        <v>.</v>
      </c>
      <c r="AP1180" s="517" t="str">
        <f t="shared" ca="1" si="277"/>
        <v>.</v>
      </c>
      <c r="AQ1180" s="521" t="str">
        <f>VLOOKUP($I1180,'Price List, Weapons &amp; Items'!A:K,COLUMN('Price List, Weapons &amp; Items'!$K$1),0)</f>
        <v>no price, 0 count</v>
      </c>
      <c r="AS1180" s="521">
        <f t="shared" si="263"/>
        <v>1</v>
      </c>
      <c r="AT1180" s="521">
        <f t="shared" si="264"/>
        <v>0</v>
      </c>
      <c r="AU1180" s="521">
        <f t="shared" si="265"/>
        <v>1</v>
      </c>
      <c r="AV1180" s="521" t="str">
        <f t="shared" si="266"/>
        <v>.</v>
      </c>
    </row>
    <row r="1181" spans="1:48" s="517" customFormat="1" ht="15" customHeight="1">
      <c r="A1181" s="41" t="s">
        <v>2847</v>
      </c>
      <c r="B1181" s="41" t="s">
        <v>2825</v>
      </c>
      <c r="C1181" s="511">
        <v>44659</v>
      </c>
      <c r="D1181" s="18" t="s">
        <v>366</v>
      </c>
      <c r="E1181" s="18" t="s">
        <v>330</v>
      </c>
      <c r="F1181" s="512" t="s">
        <v>2848</v>
      </c>
      <c r="G1181" s="39" t="s">
        <v>332</v>
      </c>
      <c r="H1181" s="513">
        <v>120000000</v>
      </c>
      <c r="I1181" s="523" t="s">
        <v>232</v>
      </c>
      <c r="J1181" s="276" t="str">
        <f>VLOOKUP($I1181,'Price List, Weapons &amp; Items'!A:B,2,0)</f>
        <v>.</v>
      </c>
      <c r="K1181" s="276" t="str">
        <f>IF(I1181=".",I1181,VLOOKUP($I1181,'Price List, Weapons &amp; Items'!A:C,3,0))</f>
        <v>.</v>
      </c>
      <c r="L1181" s="514">
        <f>VLOOKUP(I1181,'Price List, Weapons &amp; Items'!A:D,4,0)</f>
        <v>0</v>
      </c>
      <c r="M1181" s="515" t="s">
        <v>232</v>
      </c>
      <c r="N1181" s="515" t="str">
        <f>VLOOKUP(I1181,'Price List, Weapons &amp; Items'!A:B,2,0)</f>
        <v>.</v>
      </c>
      <c r="O1181" s="516" t="str">
        <f>VLOOKUP($I1181,'Price List, Weapons &amp; Items'!A:F,6,0)</f>
        <v>.</v>
      </c>
      <c r="P1181" s="513" t="str">
        <f t="shared" si="246"/>
        <v>.</v>
      </c>
      <c r="Q1181" s="513" t="str">
        <f t="shared" si="247"/>
        <v>.</v>
      </c>
      <c r="R1181" s="513">
        <f t="shared" si="276"/>
        <v>120000000</v>
      </c>
      <c r="S1181" s="513">
        <f>IF(AND(AD1181=1,R1181&lt;&gt;".")=TRUE,R1181/VLOOKUP(G1181,'Exchange rates'!B:C,2,0),IF(R1181=".",".",""))</f>
        <v>120000000</v>
      </c>
      <c r="T1181" s="513" t="str">
        <f>IF(AD1181=1,IF(AF1181="Value is not given at all",".",IF(AF1181="Value is given by the source",S1181,IF(AF1181="Value is calculated with prices",(IF(SUMIFS(Q:Q,A:A,A1181)&gt;0,SUMIFS(Q:Q,A:A,A1181),"."))/VLOOKUP("USD",'Exchange rates'!B:C,2,0),"Error with coding"))),"")</f>
        <v>.</v>
      </c>
      <c r="U1181" s="39" t="s">
        <v>233</v>
      </c>
      <c r="V1181" s="42" t="s">
        <v>2849</v>
      </c>
      <c r="W1181" s="42" t="s">
        <v>2850</v>
      </c>
      <c r="X1181" s="512" t="s">
        <v>232</v>
      </c>
      <c r="Y1181" s="512" t="s">
        <v>232</v>
      </c>
      <c r="Z1181" s="39">
        <v>0</v>
      </c>
      <c r="AA1181" s="518">
        <v>0</v>
      </c>
      <c r="AB1181" s="521" t="s">
        <v>232</v>
      </c>
      <c r="AC1181" s="519" t="str">
        <f>""</f>
        <v/>
      </c>
      <c r="AD1181" s="522">
        <v>1</v>
      </c>
      <c r="AE1181" s="522" t="s">
        <v>236</v>
      </c>
      <c r="AF1181" s="522" t="s">
        <v>237</v>
      </c>
      <c r="AG1181" s="522">
        <v>1</v>
      </c>
      <c r="AH1181" s="520">
        <v>4</v>
      </c>
      <c r="AI1181" s="520">
        <v>0</v>
      </c>
      <c r="AJ1181" s="520">
        <f>VLOOKUP($I1181,'Price List, Weapons &amp; Items'!A:E,5,0)</f>
        <v>0</v>
      </c>
      <c r="AK1181" s="520">
        <f t="shared" si="260"/>
        <v>0</v>
      </c>
      <c r="AL1181" s="520">
        <f t="shared" si="261"/>
        <v>0</v>
      </c>
      <c r="AM1181" s="520">
        <f t="shared" si="262"/>
        <v>0</v>
      </c>
      <c r="AN1181" s="521" t="str">
        <f>VLOOKUP($I1181,'Price List, Weapons &amp; Items'!A:K,COLUMN('Price List, Weapons &amp; Items'!$I$1),0)</f>
        <v>.</v>
      </c>
      <c r="AO1181" s="521" t="str">
        <f>IF(I1181=".",".",VLOOKUP($I1181,'Price List, Weapons &amp; Items'!A:I,3,0))</f>
        <v>.</v>
      </c>
      <c r="AP1181" s="517" t="str">
        <f t="shared" ca="1" si="277"/>
        <v>.</v>
      </c>
      <c r="AQ1181" s="521" t="str">
        <f>VLOOKUP($I1181,'Price List, Weapons &amp; Items'!A:K,COLUMN('Price List, Weapons &amp; Items'!$K$1),0)</f>
        <v>no price, 0 count</v>
      </c>
      <c r="AS1181" s="521">
        <f t="shared" si="263"/>
        <v>1</v>
      </c>
      <c r="AT1181" s="521">
        <f t="shared" si="264"/>
        <v>0</v>
      </c>
      <c r="AU1181" s="521">
        <f t="shared" si="265"/>
        <v>1</v>
      </c>
      <c r="AV1181" s="521" t="str">
        <f t="shared" si="266"/>
        <v>.</v>
      </c>
    </row>
    <row r="1182" spans="1:48" s="517" customFormat="1" ht="15" customHeight="1">
      <c r="A1182" s="41" t="s">
        <v>2851</v>
      </c>
      <c r="B1182" s="41" t="s">
        <v>2825</v>
      </c>
      <c r="C1182" s="511">
        <v>44699</v>
      </c>
      <c r="D1182" s="18" t="s">
        <v>366</v>
      </c>
      <c r="E1182" s="18" t="s">
        <v>453</v>
      </c>
      <c r="F1182" s="512" t="s">
        <v>2852</v>
      </c>
      <c r="G1182" s="39" t="s">
        <v>332</v>
      </c>
      <c r="H1182" s="513">
        <v>9000000000</v>
      </c>
      <c r="I1182" s="523" t="s">
        <v>232</v>
      </c>
      <c r="J1182" s="276" t="str">
        <f>VLOOKUP($I1182,'Price List, Weapons &amp; Items'!A:B,2,0)</f>
        <v>.</v>
      </c>
      <c r="K1182" s="276" t="str">
        <f>IF(I1182=".",I1182,VLOOKUP($I1182,'Price List, Weapons &amp; Items'!A:C,3,0))</f>
        <v>.</v>
      </c>
      <c r="L1182" s="514">
        <f>VLOOKUP(I1182,'Price List, Weapons &amp; Items'!A:D,4,0)</f>
        <v>0</v>
      </c>
      <c r="M1182" s="515" t="s">
        <v>232</v>
      </c>
      <c r="N1182" s="515" t="str">
        <f>VLOOKUP(I1182,'Price List, Weapons &amp; Items'!A:B,2,0)</f>
        <v>.</v>
      </c>
      <c r="O1182" s="516" t="str">
        <f>VLOOKUP($I1182,'Price List, Weapons &amp; Items'!A:F,6,0)</f>
        <v>.</v>
      </c>
      <c r="P1182" s="513" t="str">
        <f t="shared" si="246"/>
        <v>.</v>
      </c>
      <c r="Q1182" s="513" t="str">
        <f t="shared" si="247"/>
        <v>.</v>
      </c>
      <c r="R1182" s="513">
        <f t="shared" si="276"/>
        <v>9000000000</v>
      </c>
      <c r="S1182" s="513">
        <f>IF(AND(AD1182=1,R1182&lt;&gt;".")=TRUE,R1182/VLOOKUP(G1182,'Exchange rates'!B:C,2,0),IF(R1182=".",".",""))</f>
        <v>9000000000</v>
      </c>
      <c r="T1182" s="513" t="str">
        <f>IF(AD1182=1,IF(AF1182="Value is not given at all",".",IF(AF1182="Value is given by the source",S1182,IF(AF1182="Value is calculated with prices",(IF(SUMIFS(Q:Q,A:A,A1182)&gt;0,SUMIFS(Q:Q,A:A,A1182),"."))/VLOOKUP("USD",'Exchange rates'!B:C,2,0),"Error with coding"))),"")</f>
        <v>.</v>
      </c>
      <c r="U1182" s="39" t="s">
        <v>233</v>
      </c>
      <c r="V1182" s="42" t="s">
        <v>2853</v>
      </c>
      <c r="W1182" s="42" t="s">
        <v>2854</v>
      </c>
      <c r="X1182" s="42" t="s">
        <v>2855</v>
      </c>
      <c r="Y1182" s="512" t="s">
        <v>2856</v>
      </c>
      <c r="Z1182" s="39">
        <v>0</v>
      </c>
      <c r="AA1182" s="518">
        <v>0</v>
      </c>
      <c r="AB1182" s="521" t="s">
        <v>232</v>
      </c>
      <c r="AC1182" s="519" t="str">
        <f>""</f>
        <v/>
      </c>
      <c r="AD1182" s="522">
        <v>1</v>
      </c>
      <c r="AE1182" s="522" t="s">
        <v>236</v>
      </c>
      <c r="AF1182" s="522" t="s">
        <v>237</v>
      </c>
      <c r="AG1182" s="522">
        <v>1</v>
      </c>
      <c r="AH1182" s="520">
        <v>5</v>
      </c>
      <c r="AI1182" s="520">
        <v>0</v>
      </c>
      <c r="AJ1182" s="520">
        <f>VLOOKUP($I1182,'Price List, Weapons &amp; Items'!A:E,5,0)</f>
        <v>0</v>
      </c>
      <c r="AK1182" s="520">
        <f t="shared" si="260"/>
        <v>0</v>
      </c>
      <c r="AL1182" s="520">
        <f t="shared" si="261"/>
        <v>0</v>
      </c>
      <c r="AM1182" s="520">
        <f t="shared" si="262"/>
        <v>0</v>
      </c>
      <c r="AN1182" s="521" t="str">
        <f>VLOOKUP($I1182,'Price List, Weapons &amp; Items'!A:K,COLUMN('Price List, Weapons &amp; Items'!$I$1),0)</f>
        <v>.</v>
      </c>
      <c r="AO1182" s="521" t="str">
        <f>IF(I1182=".",".",VLOOKUP($I1182,'Price List, Weapons &amp; Items'!A:I,3,0))</f>
        <v>.</v>
      </c>
      <c r="AP1182" s="517" t="str">
        <f t="shared" ca="1" si="277"/>
        <v>.</v>
      </c>
      <c r="AQ1182" s="521" t="str">
        <f>VLOOKUP($I1182,'Price List, Weapons &amp; Items'!A:K,COLUMN('Price List, Weapons &amp; Items'!$K$1),0)</f>
        <v>no price, 0 count</v>
      </c>
      <c r="AS1182" s="521">
        <f t="shared" si="263"/>
        <v>1</v>
      </c>
      <c r="AT1182" s="521">
        <f t="shared" si="264"/>
        <v>0</v>
      </c>
      <c r="AU1182" s="521">
        <f t="shared" si="265"/>
        <v>1</v>
      </c>
      <c r="AV1182" s="521" t="str">
        <f t="shared" si="266"/>
        <v>.</v>
      </c>
    </row>
    <row r="1183" spans="1:48" s="517" customFormat="1" ht="15" customHeight="1">
      <c r="A1183" s="41" t="s">
        <v>2857</v>
      </c>
      <c r="B1183" s="41" t="s">
        <v>2825</v>
      </c>
      <c r="C1183" s="511">
        <v>44699</v>
      </c>
      <c r="D1183" s="18" t="s">
        <v>366</v>
      </c>
      <c r="E1183" s="18" t="s">
        <v>453</v>
      </c>
      <c r="F1183" s="816" t="s">
        <v>2858</v>
      </c>
      <c r="G1183" s="39" t="s">
        <v>332</v>
      </c>
      <c r="H1183" s="513">
        <v>18000000000</v>
      </c>
      <c r="I1183" s="523" t="s">
        <v>232</v>
      </c>
      <c r="J1183" s="276" t="str">
        <f>VLOOKUP($I1183,'Price List, Weapons &amp; Items'!A:B,2,0)</f>
        <v>.</v>
      </c>
      <c r="K1183" s="276" t="str">
        <f>IF(I1183=".",I1183,VLOOKUP($I1183,'Price List, Weapons &amp; Items'!A:C,3,0))</f>
        <v>.</v>
      </c>
      <c r="L1183" s="514">
        <f>VLOOKUP(I1183,'Price List, Weapons &amp; Items'!A:D,4,0)</f>
        <v>0</v>
      </c>
      <c r="M1183" s="515" t="s">
        <v>232</v>
      </c>
      <c r="N1183" s="515" t="str">
        <f>VLOOKUP(I1183,'Price List, Weapons &amp; Items'!A:B,2,0)</f>
        <v>.</v>
      </c>
      <c r="O1183" s="516" t="str">
        <f>VLOOKUP($I1183,'Price List, Weapons &amp; Items'!A:F,6,0)</f>
        <v>.</v>
      </c>
      <c r="P1183" s="513" t="str">
        <f t="shared" ref="P1183" si="282">IF(TYPE(M1183)=1,IF(TYPE(O1183)=1,M1183*O1183,"No price"),".")</f>
        <v>.</v>
      </c>
      <c r="Q1183" s="513" t="str">
        <f t="shared" ref="Q1183" si="283">IF(TYPE(N1183)=1,IF(TYPE(O1183)=1,N1183*O1183,"No price"),".")</f>
        <v>.</v>
      </c>
      <c r="R1183" s="513">
        <f t="shared" si="276"/>
        <v>18000000000</v>
      </c>
      <c r="S1183" s="513">
        <f>IF(AND(AD1183=1,R1183&lt;&gt;".")=TRUE,R1183/VLOOKUP(G1183,'Exchange rates'!B:C,2,0),IF(R1183=".",".",""))</f>
        <v>18000000000</v>
      </c>
      <c r="T1183" s="513" t="str">
        <f>IF(AD1183=1,IF(AF1183="Value is not given at all",".",IF(AF1183="Value is given by the source",S1183,IF(AF1183="Value is calculated with prices",(IF(SUMIFS(Q:Q,A:A,A1183)&gt;0,SUMIFS(Q:Q,A:A,A1183),"."))/VLOOKUP("USD",'Exchange rates'!B:C,2,0),"Error with coding"))),"")</f>
        <v>.</v>
      </c>
      <c r="U1183" s="39" t="s">
        <v>233</v>
      </c>
      <c r="V1183" s="42" t="s">
        <v>2859</v>
      </c>
      <c r="W1183" s="42"/>
      <c r="X1183" s="42"/>
      <c r="Y1183" s="512"/>
      <c r="Z1183" s="39">
        <v>0</v>
      </c>
      <c r="AA1183" s="518">
        <v>0</v>
      </c>
      <c r="AB1183" s="521" t="s">
        <v>232</v>
      </c>
      <c r="AC1183" s="519" t="str">
        <f>""</f>
        <v/>
      </c>
      <c r="AD1183" s="522">
        <v>1</v>
      </c>
      <c r="AE1183" s="522" t="s">
        <v>236</v>
      </c>
      <c r="AF1183" s="522" t="s">
        <v>237</v>
      </c>
      <c r="AG1183" s="522">
        <v>1</v>
      </c>
      <c r="AH1183" s="520">
        <v>11</v>
      </c>
      <c r="AI1183" s="520">
        <v>0</v>
      </c>
      <c r="AJ1183" s="520">
        <f>VLOOKUP($I1183,'Price List, Weapons &amp; Items'!A:E,5,0)</f>
        <v>0</v>
      </c>
      <c r="AK1183" s="520">
        <f t="shared" ref="AK1183" si="284">IF(AND(AJ1183=1,M1183="undisclosed")=TRUE,1,0)</f>
        <v>0</v>
      </c>
      <c r="AL1183" s="520">
        <f t="shared" ref="AL1183" si="285">IF(AND(AJ1183=1,N1183="undisclosed")=TRUE,1,0)</f>
        <v>0</v>
      </c>
      <c r="AM1183" s="520">
        <f t="shared" ref="AM1183" si="286">IFERROR(IF(SEARCH("ammuni",I1183,1)&gt;0,1,0),0)</f>
        <v>0</v>
      </c>
      <c r="AN1183" s="521" t="str">
        <f>VLOOKUP($I1183,'Price List, Weapons &amp; Items'!A:K,COLUMN('Price List, Weapons &amp; Items'!$I$1),0)</f>
        <v>.</v>
      </c>
      <c r="AO1183" s="521" t="str">
        <f>IF(I1183=".",".",VLOOKUP($I1183,'Price List, Weapons &amp; Items'!A:I,3,0))</f>
        <v>.</v>
      </c>
      <c r="AP1183" s="517" t="str">
        <f t="shared" ca="1" si="277"/>
        <v>.</v>
      </c>
      <c r="AQ1183" s="521" t="str">
        <f>VLOOKUP($I1183,'Price List, Weapons &amp; Items'!A:K,COLUMN('Price List, Weapons &amp; Items'!$K$1),0)</f>
        <v>no price, 0 count</v>
      </c>
      <c r="AS1183" s="521">
        <f t="shared" ref="AS1183" si="287">IF(U1183="Yes",1,0)</f>
        <v>1</v>
      </c>
      <c r="AT1183" s="521">
        <f t="shared" ref="AT1183" si="288">IF(OR((E1183="Weapons"),(E1183="Weapons and equipment"),(E1183="Weapons and training"),(E1183="Weapons and Assistance"),(E1183="Military Equipment"))=FALSE,0,1)</f>
        <v>0</v>
      </c>
      <c r="AU1183" s="521">
        <f t="shared" ref="AU1183" si="289">IFERROR(IF(VALUE(TEXT(C1183,"mm"))=AH1183,".",1),"Value is not in date format")</f>
        <v>1</v>
      </c>
      <c r="AV1183" s="521" t="str">
        <f t="shared" ref="AV1183" si="290">IF(AND(A1183=A1182,C1183=C1182)=TRUE,IF(F1183=F1182,".","1"),".")</f>
        <v>.</v>
      </c>
    </row>
    <row r="1184" spans="1:48" ht="15" customHeight="1">
      <c r="A1184" s="41" t="s">
        <v>2860</v>
      </c>
      <c r="B1184" s="41" t="s">
        <v>2861</v>
      </c>
      <c r="C1184" s="511">
        <v>44619</v>
      </c>
      <c r="D1184" s="18" t="s">
        <v>252</v>
      </c>
      <c r="E1184" s="18" t="s">
        <v>2861</v>
      </c>
      <c r="F1184" s="512" t="s">
        <v>2862</v>
      </c>
      <c r="G1184" s="39" t="s">
        <v>332</v>
      </c>
      <c r="H1184" s="513">
        <v>500000000</v>
      </c>
      <c r="I1184" s="523" t="s">
        <v>232</v>
      </c>
      <c r="J1184" s="276" t="str">
        <f>VLOOKUP($I1184,'Price List, Weapons &amp; Items'!A:B,2,0)</f>
        <v>.</v>
      </c>
      <c r="K1184" s="276" t="str">
        <f>IF(I1184=".",I1184,VLOOKUP($I1184,'Price List, Weapons &amp; Items'!A:C,3,0))</f>
        <v>.</v>
      </c>
      <c r="L1184" s="514">
        <f>VLOOKUP(I1184,'Price List, Weapons &amp; Items'!A:D,4,0)</f>
        <v>0</v>
      </c>
      <c r="M1184" s="515" t="s">
        <v>232</v>
      </c>
      <c r="N1184" s="515" t="s">
        <v>232</v>
      </c>
      <c r="O1184" s="516" t="str">
        <f>VLOOKUP($I1184,'Price List, Weapons &amp; Items'!A:F,6,0)</f>
        <v>.</v>
      </c>
      <c r="P1184" s="513" t="str">
        <f t="shared" si="246"/>
        <v>.</v>
      </c>
      <c r="Q1184" s="513" t="str">
        <f t="shared" si="247"/>
        <v>.</v>
      </c>
      <c r="R1184" s="513">
        <f t="shared" si="276"/>
        <v>500000000</v>
      </c>
      <c r="S1184" s="513">
        <f>IF(AND(AD1184=1,R1184&lt;&gt;".")=TRUE,R1184/VLOOKUP(G1184,'Exchange rates'!B:C,2,0),IF(R1184=".",".",""))</f>
        <v>500000000</v>
      </c>
      <c r="T1184" s="513" t="str">
        <f>IF(AD1184=1,IF(AF1184="Value is not given at all",".",IF(AF1184="Value is given by the source",S1184,IF(AF1184="Value is calculated with prices",(IF(SUMIFS(Q:Q,A:A,A1184)&gt;0,SUMIFS(Q:Q,A:A,A1184),"."))/VLOOKUP("USD",'Exchange rates'!B:C,2,0),"Error with coding"))),"")</f>
        <v>.</v>
      </c>
      <c r="U1184" s="39" t="s">
        <v>233</v>
      </c>
      <c r="V1184" s="42" t="s">
        <v>2863</v>
      </c>
      <c r="W1184" s="512" t="s">
        <v>232</v>
      </c>
      <c r="X1184" s="512" t="s">
        <v>232</v>
      </c>
      <c r="Y1184" s="512" t="s">
        <v>232</v>
      </c>
      <c r="Z1184" s="518">
        <v>0</v>
      </c>
      <c r="AA1184" s="518">
        <v>0</v>
      </c>
      <c r="AB1184" s="521" t="s">
        <v>232</v>
      </c>
      <c r="AC1184" s="519" t="str">
        <f>""</f>
        <v/>
      </c>
      <c r="AD1184" s="522">
        <v>1</v>
      </c>
      <c r="AE1184" s="522" t="s">
        <v>236</v>
      </c>
      <c r="AF1184" s="522" t="s">
        <v>237</v>
      </c>
      <c r="AG1184" s="522">
        <v>1</v>
      </c>
      <c r="AH1184" s="520">
        <v>2</v>
      </c>
      <c r="AI1184" s="520">
        <v>0</v>
      </c>
      <c r="AJ1184" s="520">
        <f>VLOOKUP($I1184,'Price List, Weapons &amp; Items'!A:E,5,0)</f>
        <v>0</v>
      </c>
      <c r="AK1184" s="520">
        <f t="shared" si="260"/>
        <v>0</v>
      </c>
      <c r="AL1184" s="520">
        <f t="shared" si="261"/>
        <v>0</v>
      </c>
      <c r="AM1184" s="520">
        <f t="shared" si="262"/>
        <v>0</v>
      </c>
      <c r="AN1184" s="521" t="str">
        <f>VLOOKUP($I1184,'Price List, Weapons &amp; Items'!A:K,COLUMN('Price List, Weapons &amp; Items'!$I$1),0)</f>
        <v>.</v>
      </c>
      <c r="AO1184" s="521" t="str">
        <f>IF(I1184=".",".",VLOOKUP($I1184,'Price List, Weapons &amp; Items'!A:I,3,0))</f>
        <v>.</v>
      </c>
      <c r="AP1184" s="517" t="str">
        <f t="shared" ca="1" si="277"/>
        <v>.</v>
      </c>
      <c r="AQ1184" s="521" t="str">
        <f>VLOOKUP($I1184,'Price List, Weapons &amp; Items'!A:K,COLUMN('Price List, Weapons &amp; Items'!$K$1),0)</f>
        <v>no price, 0 count</v>
      </c>
      <c r="AS1184" s="521">
        <f t="shared" si="263"/>
        <v>1</v>
      </c>
      <c r="AT1184" s="521">
        <f t="shared" si="264"/>
        <v>0</v>
      </c>
      <c r="AU1184" s="521">
        <f t="shared" si="265"/>
        <v>1</v>
      </c>
      <c r="AV1184" s="521" t="str">
        <f>IF(AND(A1184=A1182,C1184=C1182)=TRUE,IF(F1184=F1182,".","1"),".")</f>
        <v>.</v>
      </c>
    </row>
    <row r="1185" spans="1:48" ht="15" customHeight="1">
      <c r="A1185" s="41" t="s">
        <v>2864</v>
      </c>
      <c r="B1185" s="41" t="s">
        <v>2861</v>
      </c>
      <c r="C1185" s="511">
        <v>44643</v>
      </c>
      <c r="D1185" s="18" t="s">
        <v>252</v>
      </c>
      <c r="E1185" s="18" t="s">
        <v>2861</v>
      </c>
      <c r="F1185" s="512" t="s">
        <v>2865</v>
      </c>
      <c r="G1185" s="39" t="s">
        <v>332</v>
      </c>
      <c r="H1185" s="513">
        <v>500000000</v>
      </c>
      <c r="I1185" s="523" t="s">
        <v>232</v>
      </c>
      <c r="J1185" s="276" t="str">
        <f>VLOOKUP($I1185,'Price List, Weapons &amp; Items'!A:B,2,0)</f>
        <v>.</v>
      </c>
      <c r="K1185" s="276" t="str">
        <f>IF(I1185=".",I1185,VLOOKUP($I1185,'Price List, Weapons &amp; Items'!A:C,3,0))</f>
        <v>.</v>
      </c>
      <c r="L1185" s="514">
        <f>VLOOKUP(I1185,'Price List, Weapons &amp; Items'!A:D,4,0)</f>
        <v>0</v>
      </c>
      <c r="M1185" s="515" t="s">
        <v>232</v>
      </c>
      <c r="N1185" s="515" t="s">
        <v>232</v>
      </c>
      <c r="O1185" s="516" t="str">
        <f>VLOOKUP($I1185,'Price List, Weapons &amp; Items'!A:F,6,0)</f>
        <v>.</v>
      </c>
      <c r="P1185" s="513" t="str">
        <f t="shared" si="246"/>
        <v>.</v>
      </c>
      <c r="Q1185" s="513" t="str">
        <f t="shared" si="247"/>
        <v>.</v>
      </c>
      <c r="R1185" s="513">
        <f t="shared" si="276"/>
        <v>500000000</v>
      </c>
      <c r="S1185" s="513">
        <f>IF(AND(AD1185=1,R1185&lt;&gt;".")=TRUE,R1185/VLOOKUP(G1185,'Exchange rates'!B:C,2,0),IF(R1185=".",".",""))</f>
        <v>500000000</v>
      </c>
      <c r="T1185" s="513" t="str">
        <f>IF(AD1185=1,IF(AF1185="Value is not given at all",".",IF(AF1185="Value is given by the source",S1185,IF(AF1185="Value is calculated with prices",(IF(SUMIFS(Q:Q,A:A,A1185)&gt;0,SUMIFS(Q:Q,A:A,A1185),"."))/VLOOKUP("USD",'Exchange rates'!B:C,2,0),"Error with coding"))),"")</f>
        <v>.</v>
      </c>
      <c r="U1185" s="39" t="s">
        <v>233</v>
      </c>
      <c r="V1185" s="42" t="s">
        <v>2863</v>
      </c>
      <c r="W1185" s="512" t="s">
        <v>232</v>
      </c>
      <c r="X1185" s="512" t="s">
        <v>232</v>
      </c>
      <c r="Y1185" s="512" t="s">
        <v>232</v>
      </c>
      <c r="Z1185" s="518">
        <v>0</v>
      </c>
      <c r="AA1185" s="518">
        <v>0</v>
      </c>
      <c r="AB1185" s="521" t="s">
        <v>232</v>
      </c>
      <c r="AC1185" s="519" t="str">
        <f>""</f>
        <v/>
      </c>
      <c r="AD1185" s="522">
        <v>1</v>
      </c>
      <c r="AE1185" s="522" t="s">
        <v>236</v>
      </c>
      <c r="AF1185" s="522" t="s">
        <v>237</v>
      </c>
      <c r="AG1185" s="522">
        <v>1</v>
      </c>
      <c r="AH1185" s="520">
        <v>3</v>
      </c>
      <c r="AI1185" s="520">
        <v>0</v>
      </c>
      <c r="AJ1185" s="520">
        <f>VLOOKUP($I1185,'Price List, Weapons &amp; Items'!A:E,5,0)</f>
        <v>0</v>
      </c>
      <c r="AK1185" s="520">
        <f t="shared" si="260"/>
        <v>0</v>
      </c>
      <c r="AL1185" s="520">
        <f t="shared" si="261"/>
        <v>0</v>
      </c>
      <c r="AM1185" s="520">
        <f t="shared" si="262"/>
        <v>0</v>
      </c>
      <c r="AN1185" s="521" t="str">
        <f>VLOOKUP($I1185,'Price List, Weapons &amp; Items'!A:K,COLUMN('Price List, Weapons &amp; Items'!$I$1),0)</f>
        <v>.</v>
      </c>
      <c r="AO1185" s="521" t="str">
        <f>IF(I1185=".",".",VLOOKUP($I1185,'Price List, Weapons &amp; Items'!A:I,3,0))</f>
        <v>.</v>
      </c>
      <c r="AP1185" s="517" t="str">
        <f t="shared" ca="1" si="277"/>
        <v>.</v>
      </c>
      <c r="AQ1185" s="521" t="str">
        <f>VLOOKUP($I1185,'Price List, Weapons &amp; Items'!A:K,COLUMN('Price List, Weapons &amp; Items'!$K$1),0)</f>
        <v>no price, 0 count</v>
      </c>
      <c r="AS1185" s="521">
        <f t="shared" si="263"/>
        <v>1</v>
      </c>
      <c r="AT1185" s="521">
        <f t="shared" si="264"/>
        <v>0</v>
      </c>
      <c r="AU1185" s="521">
        <f t="shared" si="265"/>
        <v>1</v>
      </c>
      <c r="AV1185" s="521" t="str">
        <f t="shared" si="266"/>
        <v>.</v>
      </c>
    </row>
    <row r="1186" spans="1:48" ht="15" customHeight="1">
      <c r="A1186" s="41" t="s">
        <v>2866</v>
      </c>
      <c r="B1186" s="41" t="s">
        <v>2861</v>
      </c>
      <c r="C1186" s="511">
        <v>44659</v>
      </c>
      <c r="D1186" s="18" t="s">
        <v>252</v>
      </c>
      <c r="E1186" s="18" t="s">
        <v>2861</v>
      </c>
      <c r="F1186" s="512" t="s">
        <v>2867</v>
      </c>
      <c r="G1186" s="39" t="s">
        <v>332</v>
      </c>
      <c r="H1186" s="513">
        <v>500000000</v>
      </c>
      <c r="I1186" s="523" t="s">
        <v>232</v>
      </c>
      <c r="J1186" s="276" t="str">
        <f>VLOOKUP($I1186,'Price List, Weapons &amp; Items'!A:B,2,0)</f>
        <v>.</v>
      </c>
      <c r="K1186" s="276" t="str">
        <f>IF(I1186=".",I1186,VLOOKUP($I1186,'Price List, Weapons &amp; Items'!A:C,3,0))</f>
        <v>.</v>
      </c>
      <c r="L1186" s="514">
        <f>VLOOKUP(I1186,'Price List, Weapons &amp; Items'!A:D,4,0)</f>
        <v>0</v>
      </c>
      <c r="M1186" s="515" t="s">
        <v>232</v>
      </c>
      <c r="N1186" s="515" t="s">
        <v>232</v>
      </c>
      <c r="O1186" s="516" t="str">
        <f>VLOOKUP($I1186,'Price List, Weapons &amp; Items'!A:F,6,0)</f>
        <v>.</v>
      </c>
      <c r="P1186" s="513" t="str">
        <f t="shared" ref="P1186:P1191" si="291">IF(TYPE(M1186)=1,IF(TYPE(O1186)=1,M1186*O1186,"No price"),".")</f>
        <v>.</v>
      </c>
      <c r="Q1186" s="513" t="str">
        <f t="shared" ref="Q1186:Q1191" si="292">IF(TYPE(N1186)=1,IF(TYPE(O1186)=1,N1186*O1186,"No price"),".")</f>
        <v>.</v>
      </c>
      <c r="R1186" s="513">
        <f t="shared" si="276"/>
        <v>500000000</v>
      </c>
      <c r="S1186" s="513">
        <f>IF(AND(AD1186=1,R1186&lt;&gt;".")=TRUE,R1186/VLOOKUP(G1186,'Exchange rates'!B:C,2,0),IF(R1186=".",".",""))</f>
        <v>500000000</v>
      </c>
      <c r="T1186" s="513" t="str">
        <f>IF(AD1186=1,IF(AF1186="Value is not given at all",".",IF(AF1186="Value is given by the source",S1186,IF(AF1186="Value is calculated with prices",(IF(SUMIFS(Q:Q,A:A,A1186)&gt;0,SUMIFS(Q:Q,A:A,A1186),"."))/VLOOKUP("USD",'Exchange rates'!B:C,2,0),"Error with coding"))),"")</f>
        <v>.</v>
      </c>
      <c r="U1186" s="39" t="s">
        <v>233</v>
      </c>
      <c r="V1186" s="42" t="s">
        <v>2868</v>
      </c>
      <c r="W1186" s="42" t="s">
        <v>2869</v>
      </c>
      <c r="X1186" s="42" t="s">
        <v>2870</v>
      </c>
      <c r="Y1186" s="512" t="s">
        <v>232</v>
      </c>
      <c r="Z1186" s="518">
        <v>0</v>
      </c>
      <c r="AA1186" s="518">
        <v>0</v>
      </c>
      <c r="AB1186" s="521" t="s">
        <v>232</v>
      </c>
      <c r="AC1186" s="519" t="str">
        <f>""</f>
        <v/>
      </c>
      <c r="AD1186" s="522">
        <v>1</v>
      </c>
      <c r="AE1186" s="522" t="s">
        <v>236</v>
      </c>
      <c r="AF1186" s="522" t="s">
        <v>237</v>
      </c>
      <c r="AG1186" s="522">
        <v>1</v>
      </c>
      <c r="AH1186" s="520">
        <v>4</v>
      </c>
      <c r="AI1186" s="520">
        <v>0</v>
      </c>
      <c r="AJ1186" s="520">
        <f>VLOOKUP($I1186,'Price List, Weapons &amp; Items'!A:E,5,0)</f>
        <v>0</v>
      </c>
      <c r="AK1186" s="520">
        <f t="shared" si="260"/>
        <v>0</v>
      </c>
      <c r="AL1186" s="520">
        <f t="shared" si="261"/>
        <v>0</v>
      </c>
      <c r="AM1186" s="520">
        <f t="shared" si="262"/>
        <v>0</v>
      </c>
      <c r="AN1186" s="521" t="str">
        <f>VLOOKUP($I1186,'Price List, Weapons &amp; Items'!A:K,COLUMN('Price List, Weapons &amp; Items'!$I$1),0)</f>
        <v>.</v>
      </c>
      <c r="AO1186" s="521" t="str">
        <f>IF(I1186=".",".",VLOOKUP($I1186,'Price List, Weapons &amp; Items'!A:I,3,0))</f>
        <v>.</v>
      </c>
      <c r="AP1186" s="517" t="str">
        <f t="shared" ca="1" si="277"/>
        <v>.</v>
      </c>
      <c r="AQ1186" s="521" t="str">
        <f>VLOOKUP($I1186,'Price List, Weapons &amp; Items'!A:K,COLUMN('Price List, Weapons &amp; Items'!$K$1),0)</f>
        <v>no price, 0 count</v>
      </c>
      <c r="AS1186" s="521">
        <f t="shared" si="263"/>
        <v>1</v>
      </c>
      <c r="AT1186" s="521">
        <f t="shared" si="264"/>
        <v>0</v>
      </c>
      <c r="AU1186" s="521">
        <f t="shared" si="265"/>
        <v>1</v>
      </c>
      <c r="AV1186" s="521" t="str">
        <f t="shared" si="266"/>
        <v>.</v>
      </c>
    </row>
    <row r="1187" spans="1:48" ht="15" customHeight="1">
      <c r="A1187" s="41" t="s">
        <v>2871</v>
      </c>
      <c r="B1187" s="41" t="s">
        <v>2861</v>
      </c>
      <c r="C1187" s="511">
        <v>44694</v>
      </c>
      <c r="D1187" s="18" t="s">
        <v>252</v>
      </c>
      <c r="E1187" s="18" t="s">
        <v>2861</v>
      </c>
      <c r="F1187" s="512" t="s">
        <v>2872</v>
      </c>
      <c r="G1187" s="39" t="s">
        <v>332</v>
      </c>
      <c r="H1187" s="513">
        <v>500000000</v>
      </c>
      <c r="I1187" s="41" t="s">
        <v>232</v>
      </c>
      <c r="J1187" s="276" t="str">
        <f>VLOOKUP($I1187,'Price List, Weapons &amp; Items'!A:B,2,0)</f>
        <v>.</v>
      </c>
      <c r="K1187" s="276" t="str">
        <f>IF(I1187=".",I1187,VLOOKUP($I1187,'Price List, Weapons &amp; Items'!A:C,3,0))</f>
        <v>.</v>
      </c>
      <c r="L1187" s="514">
        <f>VLOOKUP(I1187,'Price List, Weapons &amp; Items'!A:D,4,0)</f>
        <v>0</v>
      </c>
      <c r="M1187" s="515" t="s">
        <v>232</v>
      </c>
      <c r="N1187" s="515" t="s">
        <v>232</v>
      </c>
      <c r="O1187" s="516" t="str">
        <f>VLOOKUP($I1187,'Price List, Weapons &amp; Items'!A:F,6,0)</f>
        <v>.</v>
      </c>
      <c r="P1187" s="513" t="str">
        <f t="shared" si="291"/>
        <v>.</v>
      </c>
      <c r="Q1187" s="513" t="str">
        <f t="shared" si="292"/>
        <v>.</v>
      </c>
      <c r="R1187" s="513">
        <f t="shared" si="276"/>
        <v>500000000</v>
      </c>
      <c r="S1187" s="513">
        <f>IF(AND(AD1187=1,R1187&lt;&gt;".")=TRUE,R1187/VLOOKUP(G1187,'Exchange rates'!B:C,2,0),IF(R1187=".",".",""))</f>
        <v>500000000</v>
      </c>
      <c r="T1187" s="513" t="str">
        <f>IF(AD1187=1,IF(AF1187="Value is not given at all",".",IF(AF1187="Value is given by the source",S1187,IF(AF1187="Value is calculated with prices",(IF(SUMIFS(Q:Q,A:A,A1187)&gt;0,SUMIFS(Q:Q,A:A,A1187),"."))/VLOOKUP("USD",'Exchange rates'!B:C,2,0),"Error with coding"))),"")</f>
        <v>.</v>
      </c>
      <c r="U1187" s="39" t="s">
        <v>233</v>
      </c>
      <c r="V1187" s="42" t="s">
        <v>2873</v>
      </c>
      <c r="W1187" s="42" t="s">
        <v>2874</v>
      </c>
      <c r="X1187" s="42" t="s">
        <v>2875</v>
      </c>
      <c r="Y1187" s="512" t="s">
        <v>232</v>
      </c>
      <c r="Z1187" s="39">
        <v>0</v>
      </c>
      <c r="AA1187" s="518">
        <v>0</v>
      </c>
      <c r="AB1187" s="521" t="s">
        <v>232</v>
      </c>
      <c r="AC1187" s="519" t="str">
        <f>""</f>
        <v/>
      </c>
      <c r="AD1187" s="520">
        <v>1</v>
      </c>
      <c r="AE1187" s="520" t="s">
        <v>236</v>
      </c>
      <c r="AF1187" s="520" t="s">
        <v>237</v>
      </c>
      <c r="AG1187" s="520">
        <v>1</v>
      </c>
      <c r="AH1187" s="520">
        <v>5</v>
      </c>
      <c r="AI1187" s="520">
        <v>0</v>
      </c>
      <c r="AJ1187" s="520">
        <f>VLOOKUP($I1187,'Price List, Weapons &amp; Items'!A:E,5,0)</f>
        <v>0</v>
      </c>
      <c r="AK1187" s="520">
        <f t="shared" si="260"/>
        <v>0</v>
      </c>
      <c r="AL1187" s="520">
        <f t="shared" si="261"/>
        <v>0</v>
      </c>
      <c r="AM1187" s="520">
        <f t="shared" si="262"/>
        <v>0</v>
      </c>
      <c r="AN1187" s="521" t="str">
        <f>VLOOKUP($I1187,'Price List, Weapons &amp; Items'!A:K,COLUMN('Price List, Weapons &amp; Items'!$I$1),0)</f>
        <v>.</v>
      </c>
      <c r="AO1187" s="521" t="str">
        <f>IF(I1187=".",".",VLOOKUP($I1187,'Price List, Weapons &amp; Items'!A:I,3,0))</f>
        <v>.</v>
      </c>
      <c r="AP1187" s="517" t="str">
        <f t="shared" ca="1" si="277"/>
        <v>.</v>
      </c>
      <c r="AQ1187" s="521" t="str">
        <f>VLOOKUP($I1187,'Price List, Weapons &amp; Items'!A:K,COLUMN('Price List, Weapons &amp; Items'!$K$1),0)</f>
        <v>no price, 0 count</v>
      </c>
      <c r="AS1187" s="521">
        <f t="shared" si="263"/>
        <v>1</v>
      </c>
      <c r="AT1187" s="521">
        <f t="shared" si="264"/>
        <v>0</v>
      </c>
      <c r="AU1187" s="521">
        <f t="shared" si="265"/>
        <v>1</v>
      </c>
      <c r="AV1187" s="521" t="str">
        <f t="shared" si="266"/>
        <v>.</v>
      </c>
    </row>
    <row r="1188" spans="1:48" ht="15" customHeight="1">
      <c r="A1188" s="41" t="s">
        <v>2876</v>
      </c>
      <c r="B1188" s="41" t="s">
        <v>2861</v>
      </c>
      <c r="C1188" s="511">
        <v>44764</v>
      </c>
      <c r="D1188" s="18" t="s">
        <v>252</v>
      </c>
      <c r="E1188" s="18" t="s">
        <v>2861</v>
      </c>
      <c r="F1188" s="512" t="s">
        <v>2877</v>
      </c>
      <c r="G1188" s="39" t="s">
        <v>332</v>
      </c>
      <c r="H1188" s="513">
        <v>500000000</v>
      </c>
      <c r="I1188" s="41" t="s">
        <v>232</v>
      </c>
      <c r="J1188" s="276" t="str">
        <f>VLOOKUP($I1188,'Price List, Weapons &amp; Items'!A:B,2,0)</f>
        <v>.</v>
      </c>
      <c r="K1188" s="276" t="str">
        <f>IF(I1188=".",I1188,VLOOKUP($I1188,'Price List, Weapons &amp; Items'!A:C,3,0))</f>
        <v>.</v>
      </c>
      <c r="L1188" s="514">
        <f>VLOOKUP(I1188,'Price List, Weapons &amp; Items'!A:D,4,0)</f>
        <v>0</v>
      </c>
      <c r="M1188" s="515" t="s">
        <v>232</v>
      </c>
      <c r="N1188" s="515" t="s">
        <v>232</v>
      </c>
      <c r="O1188" s="516" t="str">
        <f>VLOOKUP($I1188,'Price List, Weapons &amp; Items'!A:F,6,0)</f>
        <v>.</v>
      </c>
      <c r="P1188" s="513" t="str">
        <f t="shared" si="291"/>
        <v>.</v>
      </c>
      <c r="Q1188" s="513" t="str">
        <f t="shared" si="292"/>
        <v>.</v>
      </c>
      <c r="R1188" s="513">
        <f t="shared" si="276"/>
        <v>500000000</v>
      </c>
      <c r="S1188" s="513">
        <f>IF(AND(AD1188=1,R1188&lt;&gt;".")=TRUE,R1188/VLOOKUP(G1188,'Exchange rates'!B:C,2,0),IF(R1188=".",".",""))</f>
        <v>500000000</v>
      </c>
      <c r="T1188" s="513" t="str">
        <f>IF(AD1188=1,IF(AF1188="Value is not given at all",".",IF(AF1188="Value is given by the source",S1188,IF(AF1188="Value is calculated with prices",(IF(SUMIFS(Q:Q,A:A,A1188)&gt;0,SUMIFS(Q:Q,A:A,A1188),"."))/VLOOKUP("USD",'Exchange rates'!B:C,2,0),"Error with coding"))),"")</f>
        <v>.</v>
      </c>
      <c r="U1188" s="39" t="s">
        <v>233</v>
      </c>
      <c r="V1188" s="42" t="s">
        <v>2878</v>
      </c>
      <c r="W1188" s="42" t="s">
        <v>2879</v>
      </c>
      <c r="X1188" s="42" t="s">
        <v>232</v>
      </c>
      <c r="Y1188" s="512" t="s">
        <v>232</v>
      </c>
      <c r="Z1188" s="39">
        <v>0</v>
      </c>
      <c r="AA1188" s="518">
        <v>0</v>
      </c>
      <c r="AB1188" s="521" t="s">
        <v>232</v>
      </c>
      <c r="AC1188" s="519" t="str">
        <f>""</f>
        <v/>
      </c>
      <c r="AD1188" s="520">
        <v>1</v>
      </c>
      <c r="AE1188" s="520" t="s">
        <v>236</v>
      </c>
      <c r="AF1188" s="520" t="s">
        <v>237</v>
      </c>
      <c r="AG1188" s="520">
        <v>1</v>
      </c>
      <c r="AH1188" s="520">
        <v>7</v>
      </c>
      <c r="AI1188" s="520">
        <v>0</v>
      </c>
      <c r="AJ1188" s="520">
        <f>VLOOKUP($I1188,'Price List, Weapons &amp; Items'!A:E,5,0)</f>
        <v>0</v>
      </c>
      <c r="AK1188" s="520">
        <f t="shared" si="260"/>
        <v>0</v>
      </c>
      <c r="AL1188" s="520">
        <f t="shared" si="261"/>
        <v>0</v>
      </c>
      <c r="AM1188" s="520">
        <f t="shared" si="262"/>
        <v>0</v>
      </c>
      <c r="AN1188" s="521" t="str">
        <f>VLOOKUP($I1188,'Price List, Weapons &amp; Items'!A:K,COLUMN('Price List, Weapons &amp; Items'!$I$1),0)</f>
        <v>.</v>
      </c>
      <c r="AO1188" s="521" t="str">
        <f>IF(I1188=".",".",VLOOKUP($I1188,'Price List, Weapons &amp; Items'!A:I,3,0))</f>
        <v>.</v>
      </c>
      <c r="AP1188" s="517" t="str">
        <f t="shared" ca="1" si="277"/>
        <v>.</v>
      </c>
      <c r="AQ1188" s="521" t="str">
        <f>VLOOKUP($I1188,'Price List, Weapons &amp; Items'!A:K,COLUMN('Price List, Weapons &amp; Items'!$K$1),0)</f>
        <v>no price, 0 count</v>
      </c>
      <c r="AS1188" s="521">
        <f t="shared" si="263"/>
        <v>1</v>
      </c>
      <c r="AT1188" s="521">
        <f t="shared" si="264"/>
        <v>0</v>
      </c>
      <c r="AU1188" s="521">
        <f t="shared" si="265"/>
        <v>1</v>
      </c>
      <c r="AV1188" s="521" t="str">
        <f t="shared" si="266"/>
        <v>.</v>
      </c>
    </row>
    <row r="1189" spans="1:48" ht="15" customHeight="1">
      <c r="A1189" s="41" t="s">
        <v>2880</v>
      </c>
      <c r="B1189" s="41" t="s">
        <v>2861</v>
      </c>
      <c r="C1189" s="511">
        <v>44851</v>
      </c>
      <c r="D1189" s="18" t="s">
        <v>252</v>
      </c>
      <c r="E1189" s="18" t="s">
        <v>2861</v>
      </c>
      <c r="F1189" s="512" t="s">
        <v>2881</v>
      </c>
      <c r="G1189" s="39" t="s">
        <v>332</v>
      </c>
      <c r="H1189" s="513">
        <v>600000000</v>
      </c>
      <c r="I1189" s="41" t="s">
        <v>232</v>
      </c>
      <c r="J1189" s="276" t="str">
        <f>VLOOKUP($I1189,'Price List, Weapons &amp; Items'!A:B,2,0)</f>
        <v>.</v>
      </c>
      <c r="K1189" s="276" t="str">
        <f>IF(I1189=".",I1189,VLOOKUP($I1189,'Price List, Weapons &amp; Items'!A:C,3,0))</f>
        <v>.</v>
      </c>
      <c r="L1189" s="514">
        <f>VLOOKUP(I1189,'Price List, Weapons &amp; Items'!A:D,4,0)</f>
        <v>0</v>
      </c>
      <c r="M1189" s="515" t="s">
        <v>232</v>
      </c>
      <c r="N1189" s="515" t="s">
        <v>232</v>
      </c>
      <c r="O1189" s="516" t="str">
        <f>VLOOKUP($I1189,'Price List, Weapons &amp; Items'!A:F,6,0)</f>
        <v>.</v>
      </c>
      <c r="P1189" s="513" t="str">
        <f t="shared" ref="P1189" si="293">IF(TYPE(M1189)=1,IF(TYPE(O1189)=1,M1189*O1189,"No price"),".")</f>
        <v>.</v>
      </c>
      <c r="Q1189" s="513" t="str">
        <f t="shared" ref="Q1189" si="294">IF(TYPE(N1189)=1,IF(TYPE(O1189)=1,N1189*O1189,"No price"),".")</f>
        <v>.</v>
      </c>
      <c r="R1189" s="513">
        <f t="shared" si="276"/>
        <v>600000000</v>
      </c>
      <c r="S1189" s="513">
        <f>IF(AND(AD1189=1,R1189&lt;&gt;".")=TRUE,R1189/VLOOKUP(G1189,'Exchange rates'!B:C,2,0),IF(R1189=".",".",""))</f>
        <v>600000000</v>
      </c>
      <c r="T1189" s="513" t="str">
        <f>IF(AD1189=1,IF(AF1189="Value is not given at all",".",IF(AF1189="Value is given by the source",S1189,IF(AF1189="Value is calculated with prices",(IF(SUMIFS(Q:Q,A:A,A1189)&gt;0,SUMIFS(Q:Q,A:A,A1189),"."))/VLOOKUP("USD",'Exchange rates'!B:C,2,0),"Error with coding"))),"")</f>
        <v>.</v>
      </c>
      <c r="U1189" s="39" t="s">
        <v>233</v>
      </c>
      <c r="V1189" s="42" t="s">
        <v>2882</v>
      </c>
      <c r="W1189" s="42" t="s">
        <v>2883</v>
      </c>
      <c r="X1189" s="42" t="s">
        <v>232</v>
      </c>
      <c r="Y1189" s="512" t="s">
        <v>232</v>
      </c>
      <c r="Z1189" s="39">
        <v>0</v>
      </c>
      <c r="AA1189" s="518">
        <v>0</v>
      </c>
      <c r="AB1189" s="521" t="s">
        <v>232</v>
      </c>
      <c r="AC1189" s="519" t="str">
        <f>""</f>
        <v/>
      </c>
      <c r="AD1189" s="520">
        <v>1</v>
      </c>
      <c r="AE1189" s="520" t="s">
        <v>236</v>
      </c>
      <c r="AF1189" s="520" t="s">
        <v>237</v>
      </c>
      <c r="AG1189" s="520">
        <v>1</v>
      </c>
      <c r="AH1189" s="520">
        <v>10</v>
      </c>
      <c r="AI1189" s="520">
        <v>0</v>
      </c>
      <c r="AJ1189" s="520">
        <f>VLOOKUP($I1189,'Price List, Weapons &amp; Items'!A:E,5,0)</f>
        <v>0</v>
      </c>
      <c r="AK1189" s="520">
        <f t="shared" si="260"/>
        <v>0</v>
      </c>
      <c r="AL1189" s="520">
        <f t="shared" si="261"/>
        <v>0</v>
      </c>
      <c r="AM1189" s="520">
        <f t="shared" si="262"/>
        <v>0</v>
      </c>
      <c r="AN1189" s="521" t="str">
        <f>VLOOKUP($I1189,'Price List, Weapons &amp; Items'!A:K,COLUMN('Price List, Weapons &amp; Items'!$I$1),0)</f>
        <v>.</v>
      </c>
      <c r="AO1189" s="521" t="str">
        <f>IF(I1189=".",".",VLOOKUP($I1189,'Price List, Weapons &amp; Items'!A:I,3,0))</f>
        <v>.</v>
      </c>
      <c r="AP1189" s="517" t="str">
        <f t="shared" ca="1" si="277"/>
        <v>.</v>
      </c>
      <c r="AQ1189" s="521" t="str">
        <f>VLOOKUP($I1189,'Price List, Weapons &amp; Items'!A:K,COLUMN('Price List, Weapons &amp; Items'!$K$1),0)</f>
        <v>no price, 0 count</v>
      </c>
      <c r="AS1189" s="521">
        <f t="shared" si="263"/>
        <v>1</v>
      </c>
      <c r="AT1189" s="521">
        <f t="shared" si="264"/>
        <v>0</v>
      </c>
      <c r="AU1189" s="521">
        <f t="shared" si="265"/>
        <v>1</v>
      </c>
      <c r="AV1189" s="521" t="str">
        <f t="shared" si="266"/>
        <v>.</v>
      </c>
    </row>
    <row r="1190" spans="1:48" s="517" customFormat="1" ht="15" customHeight="1">
      <c r="A1190" s="41" t="s">
        <v>2884</v>
      </c>
      <c r="B1190" s="41" t="s">
        <v>2885</v>
      </c>
      <c r="C1190" s="511">
        <v>44624</v>
      </c>
      <c r="D1190" s="18" t="s">
        <v>366</v>
      </c>
      <c r="E1190" s="18" t="s">
        <v>453</v>
      </c>
      <c r="F1190" s="512" t="s">
        <v>2886</v>
      </c>
      <c r="G1190" s="39" t="s">
        <v>332</v>
      </c>
      <c r="H1190" s="513">
        <v>2000000000</v>
      </c>
      <c r="I1190" s="41" t="s">
        <v>232</v>
      </c>
      <c r="J1190" s="276" t="str">
        <f>VLOOKUP($I1190,'Price List, Weapons &amp; Items'!A:B,2,0)</f>
        <v>.</v>
      </c>
      <c r="K1190" s="276" t="str">
        <f>IF(I1190=".",I1190,VLOOKUP($I1190,'Price List, Weapons &amp; Items'!A:C,3,0))</f>
        <v>.</v>
      </c>
      <c r="L1190" s="514">
        <f>VLOOKUP(I1190,'Price List, Weapons &amp; Items'!A:D,4,0)</f>
        <v>0</v>
      </c>
      <c r="M1190" s="515" t="s">
        <v>232</v>
      </c>
      <c r="N1190" s="515" t="s">
        <v>232</v>
      </c>
      <c r="O1190" s="516" t="str">
        <f>VLOOKUP($I1190,'Price List, Weapons &amp; Items'!A:F,6,0)</f>
        <v>.</v>
      </c>
      <c r="P1190" s="513" t="str">
        <f t="shared" si="291"/>
        <v>.</v>
      </c>
      <c r="Q1190" s="513" t="str">
        <f t="shared" si="292"/>
        <v>.</v>
      </c>
      <c r="R1190" s="513">
        <f t="shared" si="276"/>
        <v>2000000000</v>
      </c>
      <c r="S1190" s="513">
        <f>IF(AND(AD1190=1,R1190&lt;&gt;".")=TRUE,R1190/VLOOKUP(G1190,'Exchange rates'!B:C,2,0),IF(R1190=".",".",""))</f>
        <v>2000000000</v>
      </c>
      <c r="T1190" s="513" t="str">
        <f>IF(AD1190=1,IF(AF1190="Value is not given at all",".",IF(AF1190="Value is given by the source",S1190,IF(AF1190="Value is calculated with prices",(IF(SUMIFS(Q:Q,A:A,A1190)&gt;0,SUMIFS(Q:Q,A:A,A1190),"."))/VLOOKUP("USD",'Exchange rates'!B:C,2,0),"Error with coding"))),"")</f>
        <v>.</v>
      </c>
      <c r="U1190" s="39" t="s">
        <v>233</v>
      </c>
      <c r="V1190" s="42" t="s">
        <v>2887</v>
      </c>
      <c r="W1190" s="42" t="s">
        <v>2888</v>
      </c>
      <c r="X1190" s="42" t="s">
        <v>2889</v>
      </c>
      <c r="Y1190" s="512" t="s">
        <v>232</v>
      </c>
      <c r="Z1190" s="518">
        <v>0</v>
      </c>
      <c r="AA1190" s="518">
        <v>0</v>
      </c>
      <c r="AB1190" s="521" t="s">
        <v>232</v>
      </c>
      <c r="AC1190" s="519" t="str">
        <f>""</f>
        <v/>
      </c>
      <c r="AD1190" s="522">
        <v>1</v>
      </c>
      <c r="AE1190" s="522" t="s">
        <v>236</v>
      </c>
      <c r="AF1190" s="522" t="s">
        <v>237</v>
      </c>
      <c r="AG1190" s="522">
        <v>1</v>
      </c>
      <c r="AH1190" s="520">
        <v>3</v>
      </c>
      <c r="AI1190" s="520">
        <v>0</v>
      </c>
      <c r="AJ1190" s="520">
        <f>VLOOKUP($I1190,'Price List, Weapons &amp; Items'!A:E,5,0)</f>
        <v>0</v>
      </c>
      <c r="AK1190" s="520">
        <f t="shared" si="260"/>
        <v>0</v>
      </c>
      <c r="AL1190" s="520">
        <f t="shared" si="261"/>
        <v>0</v>
      </c>
      <c r="AM1190" s="520">
        <f t="shared" si="262"/>
        <v>0</v>
      </c>
      <c r="AN1190" s="521" t="str">
        <f>VLOOKUP($I1190,'Price List, Weapons &amp; Items'!A:K,COLUMN('Price List, Weapons &amp; Items'!$I$1),0)</f>
        <v>.</v>
      </c>
      <c r="AO1190" s="521" t="str">
        <f>IF(I1190=".",".",VLOOKUP($I1190,'Price List, Weapons &amp; Items'!A:I,3,0))</f>
        <v>.</v>
      </c>
      <c r="AP1190" s="517" t="str">
        <f t="shared" ca="1" si="277"/>
        <v>.</v>
      </c>
      <c r="AQ1190" s="521" t="str">
        <f>VLOOKUP($I1190,'Price List, Weapons &amp; Items'!A:K,COLUMN('Price List, Weapons &amp; Items'!$K$1),0)</f>
        <v>no price, 0 count</v>
      </c>
      <c r="AS1190" s="521">
        <f t="shared" si="263"/>
        <v>1</v>
      </c>
      <c r="AT1190" s="521">
        <f t="shared" si="264"/>
        <v>0</v>
      </c>
      <c r="AU1190" s="521">
        <f t="shared" si="265"/>
        <v>1</v>
      </c>
      <c r="AV1190" s="521" t="str">
        <f t="shared" si="266"/>
        <v>.</v>
      </c>
    </row>
    <row r="1191" spans="1:48" s="517" customFormat="1" ht="15" customHeight="1">
      <c r="A1191" s="41" t="s">
        <v>2890</v>
      </c>
      <c r="B1191" s="41" t="s">
        <v>2885</v>
      </c>
      <c r="C1191" s="511">
        <v>44627</v>
      </c>
      <c r="D1191" s="18" t="s">
        <v>366</v>
      </c>
      <c r="E1191" s="18" t="s">
        <v>330</v>
      </c>
      <c r="F1191" s="512" t="s">
        <v>2891</v>
      </c>
      <c r="G1191" s="39" t="s">
        <v>332</v>
      </c>
      <c r="H1191" s="513">
        <v>2500000</v>
      </c>
      <c r="I1191" s="41" t="s">
        <v>232</v>
      </c>
      <c r="J1191" s="276" t="str">
        <f>VLOOKUP($I1191,'Price List, Weapons &amp; Items'!A:B,2,0)</f>
        <v>.</v>
      </c>
      <c r="K1191" s="276" t="str">
        <f>IF(I1191=".",I1191,VLOOKUP($I1191,'Price List, Weapons &amp; Items'!A:C,3,0))</f>
        <v>.</v>
      </c>
      <c r="L1191" s="514">
        <f>VLOOKUP(I1191,'Price List, Weapons &amp; Items'!A:D,4,0)</f>
        <v>0</v>
      </c>
      <c r="M1191" s="515" t="s">
        <v>232</v>
      </c>
      <c r="N1191" s="515" t="s">
        <v>232</v>
      </c>
      <c r="O1191" s="516" t="str">
        <f>VLOOKUP($I1191,'Price List, Weapons &amp; Items'!A:F,6,0)</f>
        <v>.</v>
      </c>
      <c r="P1191" s="513" t="str">
        <f t="shared" si="291"/>
        <v>.</v>
      </c>
      <c r="Q1191" s="513" t="str">
        <f t="shared" si="292"/>
        <v>.</v>
      </c>
      <c r="R1191" s="513">
        <f t="shared" si="276"/>
        <v>2500000</v>
      </c>
      <c r="S1191" s="513">
        <f>IF(AND(AD1191=1,R1191&lt;&gt;".")=TRUE,R1191/VLOOKUP(G1191,'Exchange rates'!B:C,2,0),IF(R1191=".",".",""))</f>
        <v>2500000</v>
      </c>
      <c r="T1191" s="513" t="str">
        <f>IF(AD1191=1,IF(AF1191="Value is not given at all",".",IF(AF1191="Value is given by the source",S1191,IF(AF1191="Value is calculated with prices",(IF(SUMIFS(Q:Q,A:A,A1191)&gt;0,SUMIFS(Q:Q,A:A,A1191),"."))/VLOOKUP("USD",'Exchange rates'!B:C,2,0),"Error with coding"))),"")</f>
        <v>.</v>
      </c>
      <c r="U1191" s="39" t="s">
        <v>233</v>
      </c>
      <c r="V1191" s="42" t="s">
        <v>2892</v>
      </c>
      <c r="W1191" s="512" t="s">
        <v>232</v>
      </c>
      <c r="X1191" s="512" t="s">
        <v>232</v>
      </c>
      <c r="Y1191" s="512" t="s">
        <v>232</v>
      </c>
      <c r="Z1191" s="518">
        <v>0</v>
      </c>
      <c r="AA1191" s="518">
        <v>0</v>
      </c>
      <c r="AB1191" s="521" t="s">
        <v>232</v>
      </c>
      <c r="AC1191" s="519" t="str">
        <f>""</f>
        <v/>
      </c>
      <c r="AD1191" s="522">
        <v>1</v>
      </c>
      <c r="AE1191" s="522" t="s">
        <v>236</v>
      </c>
      <c r="AF1191" s="522" t="s">
        <v>237</v>
      </c>
      <c r="AG1191" s="522">
        <v>1</v>
      </c>
      <c r="AH1191" s="520">
        <v>3</v>
      </c>
      <c r="AI1191" s="520">
        <v>0</v>
      </c>
      <c r="AJ1191" s="520">
        <f>VLOOKUP($I1191,'Price List, Weapons &amp; Items'!A:E,5,0)</f>
        <v>0</v>
      </c>
      <c r="AK1191" s="520">
        <f t="shared" si="260"/>
        <v>0</v>
      </c>
      <c r="AL1191" s="520">
        <f t="shared" si="261"/>
        <v>0</v>
      </c>
      <c r="AM1191" s="520">
        <f t="shared" si="262"/>
        <v>0</v>
      </c>
      <c r="AN1191" s="521" t="str">
        <f>VLOOKUP($I1191,'Price List, Weapons &amp; Items'!A:K,COLUMN('Price List, Weapons &amp; Items'!$I$1),0)</f>
        <v>.</v>
      </c>
      <c r="AO1191" s="521" t="str">
        <f>IF(I1191=".",".",VLOOKUP($I1191,'Price List, Weapons &amp; Items'!A:I,3,0))</f>
        <v>.</v>
      </c>
      <c r="AP1191" s="517" t="str">
        <f t="shared" ca="1" si="277"/>
        <v>.</v>
      </c>
      <c r="AQ1191" s="521" t="str">
        <f>VLOOKUP($I1191,'Price List, Weapons &amp; Items'!A:K,COLUMN('Price List, Weapons &amp; Items'!$K$1),0)</f>
        <v>no price, 0 count</v>
      </c>
      <c r="AS1191" s="521">
        <f t="shared" si="263"/>
        <v>1</v>
      </c>
      <c r="AT1191" s="521">
        <f t="shared" si="264"/>
        <v>0</v>
      </c>
      <c r="AU1191" s="521">
        <f t="shared" si="265"/>
        <v>1</v>
      </c>
      <c r="AV1191" s="521" t="str">
        <f t="shared" si="266"/>
        <v>.</v>
      </c>
    </row>
  </sheetData>
  <autoFilter ref="A1:AV1191" xr:uid="{00000000-0001-0000-0200-000000000000}"/>
  <sortState xmlns:xlrd2="http://schemas.microsoft.com/office/spreadsheetml/2017/richdata2" ref="A283:Z1169">
    <sortCondition sortBy="cellColor" ref="V283:V1169"/>
  </sortState>
  <phoneticPr fontId="13" type="noConversion"/>
  <hyperlinks>
    <hyperlink ref="V289" r:id="rId1" xr:uid="{00000000-0004-0000-0200-000000000000}"/>
    <hyperlink ref="V534" r:id="rId2" xr:uid="{00000000-0004-0000-0200-000001000000}"/>
    <hyperlink ref="V594" r:id="rId3" xr:uid="{00000000-0004-0000-0200-000002000000}"/>
    <hyperlink ref="V537" r:id="rId4" xr:uid="{00000000-0004-0000-0200-000003000000}"/>
    <hyperlink ref="V552" r:id="rId5" xr:uid="{00000000-0004-0000-0200-000004000000}"/>
    <hyperlink ref="W284:W288" r:id="rId6" display="https://www.lefigaro.fr/flash-actu/la-france-a-envoye-33-tonnes-d-aide-humanitaire-pour-l-ukraine-20220228" xr:uid="{00000000-0004-0000-0200-000005000000}"/>
    <hyperlink ref="W594" r:id="rId7" xr:uid="{00000000-0004-0000-0200-000006000000}"/>
    <hyperlink ref="V51" r:id="rId8" xr:uid="{00000000-0004-0000-0200-000007000000}"/>
    <hyperlink ref="V188" r:id="rId9" xr:uid="{00000000-0004-0000-0200-000008000000}"/>
    <hyperlink ref="V189" r:id="rId10" xr:uid="{00000000-0004-0000-0200-000009000000}"/>
    <hyperlink ref="V190" r:id="rId11" xr:uid="{00000000-0004-0000-0200-00000A000000}"/>
    <hyperlink ref="V127" r:id="rId12" xr:uid="{00000000-0004-0000-0200-00000B000000}"/>
    <hyperlink ref="V131" r:id="rId13" xr:uid="{00000000-0004-0000-0200-00000C000000}"/>
    <hyperlink ref="V504" r:id="rId14" display="https://www.politico.com/news/2022/03/22/ukraine-weapons-military-aid-00019104?msclkid=cf80c503ab8311eca021beb4b2336415" xr:uid="{00000000-0004-0000-0200-00000D000000}"/>
    <hyperlink ref="V516" r:id="rId15" xr:uid="{00000000-0004-0000-0200-00000E000000}"/>
    <hyperlink ref="V471" r:id="rId16" xr:uid="{00000000-0004-0000-0200-00000F000000}"/>
    <hyperlink ref="V468" r:id="rId17" xr:uid="{00000000-0004-0000-0200-000010000000}"/>
    <hyperlink ref="V475" r:id="rId18" xr:uid="{00000000-0004-0000-0200-000011000000}"/>
    <hyperlink ref="W537" r:id="rId19" xr:uid="{00000000-0004-0000-0200-000012000000}"/>
    <hyperlink ref="V73" r:id="rId20" xr:uid="{00000000-0004-0000-0200-000013000000}"/>
    <hyperlink ref="V485" r:id="rId21" xr:uid="{00000000-0004-0000-0200-000016000000}"/>
    <hyperlink ref="V486" r:id="rId22" xr:uid="{00000000-0004-0000-0200-000017000000}"/>
    <hyperlink ref="V496" r:id="rId23" xr:uid="{00000000-0004-0000-0200-000018000000}"/>
    <hyperlink ref="V617" r:id="rId24" location=":~:text=Humanitarian%20aid%20for%20Ukraine%20The%20Netherlands%20is%20supporting,available%20for%20victims%20of%20the%20war%20in%20Ukraine.?msclkid=75995df0b05d11eca834a0801d91bf9b" xr:uid="{00000000-0004-0000-0200-000019000000}"/>
    <hyperlink ref="V284:V288" r:id="rId25" display="https://www.diplomatie.gouv.fr/en/country-files/ukraine/news/article/ukraine-france-mobilizes-to-deliver-emergency-medical-aid-to-victims-of-the" xr:uid="{00000000-0004-0000-0200-00001A000000}"/>
    <hyperlink ref="V504" r:id="rId26" xr:uid="{00000000-0004-0000-0200-00001B000000}"/>
    <hyperlink ref="W504" r:id="rId27" xr:uid="{00000000-0004-0000-0200-00001C000000}"/>
    <hyperlink ref="X504" r:id="rId28" xr:uid="{00000000-0004-0000-0200-00001D000000}"/>
    <hyperlink ref="X537" r:id="rId29" xr:uid="{00000000-0004-0000-0200-00001E000000}"/>
    <hyperlink ref="W516" r:id="rId30" xr:uid="{00000000-0004-0000-0200-00001F000000}"/>
    <hyperlink ref="W73" r:id="rId31" xr:uid="{00000000-0004-0000-0200-000020000000}"/>
    <hyperlink ref="W617" r:id="rId32" xr:uid="{00000000-0004-0000-0200-000021000000}"/>
    <hyperlink ref="W485" r:id="rId33" xr:uid="{00000000-0004-0000-0200-000022000000}"/>
    <hyperlink ref="W468:W470" r:id="rId34" display="https://www.karpatinfo.net/2022/2/27/szijjarto-magyarorszag-szerepet-vallal-humanitarius-katasztrofa-enyhiteseben-200055995" xr:uid="{00000000-0004-0000-0200-000023000000}"/>
    <hyperlink ref="W471:W474" r:id="rId35" display="https://dailynewshungary.com/hungary-to-send-shipment-of-medical-equipment-to-ukraine/" xr:uid="{00000000-0004-0000-0200-000024000000}"/>
    <hyperlink ref="W486:W488" r:id="rId36" display="https://www.irishtimes.com/news/health/thousands-of-blood-bags-and-protective-suits-among-irish-aid-sent-to-ukraine-1.4824403" xr:uid="{00000000-0004-0000-0200-000025000000}"/>
    <hyperlink ref="W475" r:id="rId37" xr:uid="{00000000-0004-0000-0200-000026000000}"/>
    <hyperlink ref="W127" r:id="rId38" xr:uid="{00000000-0004-0000-0200-000027000000}"/>
    <hyperlink ref="X127" r:id="rId39" xr:uid="{00000000-0004-0000-0200-000028000000}"/>
    <hyperlink ref="W131" r:id="rId40" xr:uid="{00000000-0004-0000-0200-000029000000}"/>
    <hyperlink ref="X131" r:id="rId41" xr:uid="{00000000-0004-0000-0200-00002A000000}"/>
    <hyperlink ref="X284:X288" r:id="rId42" display="https://www.reuters.com/world/europe/france-offer-100-mln-euros-humanitarian-aid-ukraine-2022-03-01/" xr:uid="{00000000-0004-0000-0200-00002B000000}"/>
    <hyperlink ref="W534" r:id="rId43" xr:uid="{00000000-0004-0000-0200-00002C000000}"/>
    <hyperlink ref="V619:V621" r:id="rId44" display="https://netherlandsnewslive.com/the-netherlands-supplies-medicines-and-medical-supplies-to-ukraine/373516/" xr:uid="{00000000-0004-0000-0200-00002D000000}"/>
    <hyperlink ref="V618" r:id="rId45" location=":~:text=Humanitarian%20aid%20for%20Ukraine%20The%20Netherlands%20is%20supporting,available%20for%20victims%20of%20the%20war%20in%20Ukraine.?msclkid=75995df0b05d11eca834a0801d91bf9b" xr:uid="{00000000-0004-0000-0200-00002E000000}"/>
    <hyperlink ref="X180" r:id="rId46" xr:uid="{00000000-0004-0000-0200-00002F000000}"/>
    <hyperlink ref="W180" r:id="rId47" xr:uid="{00000000-0004-0000-0200-000030000000}"/>
    <hyperlink ref="V180" r:id="rId48" xr:uid="{00000000-0004-0000-0200-000031000000}"/>
    <hyperlink ref="V181" r:id="rId49" xr:uid="{00000000-0004-0000-0200-000032000000}"/>
    <hyperlink ref="V182" r:id="rId50" xr:uid="{00000000-0004-0000-0200-000033000000}"/>
    <hyperlink ref="W57:W58" r:id="rId51" display="https://twitter.com/alexanderdecroo/status/1497914776063594502" xr:uid="{00000000-0004-0000-0200-000034000000}"/>
    <hyperlink ref="W55:W56" r:id="rId52" display="https://twitter.com/alexanderdecroo/status/1497542000228417537" xr:uid="{00000000-0004-0000-0200-000035000000}"/>
    <hyperlink ref="X534" r:id="rId53" xr:uid="{00000000-0004-0000-0200-000036000000}"/>
    <hyperlink ref="W584" r:id="rId54" xr:uid="{00000000-0004-0000-0200-000037000000}"/>
    <hyperlink ref="X584" r:id="rId55" xr:uid="{00000000-0004-0000-0200-000038000000}"/>
    <hyperlink ref="V477" r:id="rId56" xr:uid="{00000000-0004-0000-0200-000039000000}"/>
    <hyperlink ref="V484" r:id="rId57" location=":~:text=The%20Irish%20government%20is%20to%20provide%20%E2%82%AC10%20million,to%20coordinate%20a%20response%20to%20the%20Russian%20invasion." display="https://www.irishtimes.com/news/ireland/irish-news/irish-government-provides-10-million-in-humanitarian-support-for-ukraine-1.4810982#:~:text=The%20Irish%20government%20is%20to%20provide%20%E2%82%AC10%20million,to%20coordinate%20a%20response%20to%20the%20Russian%20invasion." xr:uid="{00000000-0004-0000-0200-00003A000000}"/>
    <hyperlink ref="V489" r:id="rId58" xr:uid="{00000000-0004-0000-0200-00003B000000}"/>
    <hyperlink ref="V490" r:id="rId59" xr:uid="{00000000-0004-0000-0200-00003C000000}"/>
    <hyperlink ref="V491" r:id="rId60" xr:uid="{00000000-0004-0000-0200-00003D000000}"/>
    <hyperlink ref="V538" r:id="rId61" xr:uid="{00000000-0004-0000-0200-000042000000}"/>
    <hyperlink ref="V553" r:id="rId62" xr:uid="{00000000-0004-0000-0200-000043000000}"/>
    <hyperlink ref="W553" r:id="rId63" xr:uid="{00000000-0004-0000-0200-000044000000}"/>
    <hyperlink ref="V578" r:id="rId64" xr:uid="{00000000-0004-0000-0200-000045000000}"/>
    <hyperlink ref="V579" r:id="rId65" xr:uid="{00000000-0004-0000-0200-000046000000}"/>
    <hyperlink ref="V577" r:id="rId66" xr:uid="{00000000-0004-0000-0200-000047000000}"/>
    <hyperlink ref="W587" r:id="rId67" xr:uid="{00000000-0004-0000-0200-000048000000}"/>
    <hyperlink ref="V25" r:id="rId68" location=":~:text=Mit%20der%20bereits%20zweiten%20Hilfslieferung,Plastikhandschuhen%2C%20Schutzbrillen%20und%20Desinfektionsmittel%20entsandt." xr:uid="{00000000-0004-0000-0200-00004B000000}"/>
    <hyperlink ref="V52" r:id="rId69" xr:uid="{00000000-0004-0000-0200-00004C000000}"/>
    <hyperlink ref="W52" r:id="rId70" xr:uid="{00000000-0004-0000-0200-00004D000000}"/>
    <hyperlink ref="V87" r:id="rId71" xr:uid="{00000000-0004-0000-0200-00004E000000}"/>
    <hyperlink ref="V96" r:id="rId72" xr:uid="{00000000-0004-0000-0200-00004F000000}"/>
    <hyperlink ref="W100" r:id="rId73" xr:uid="{00000000-0004-0000-0200-000050000000}"/>
    <hyperlink ref="V107" r:id="rId74" xr:uid="{00000000-0004-0000-0200-000051000000}"/>
    <hyperlink ref="W107" r:id="rId75" xr:uid="{00000000-0004-0000-0200-000052000000}"/>
    <hyperlink ref="W87" r:id="rId76" xr:uid="{00000000-0004-0000-0200-000053000000}"/>
    <hyperlink ref="V88" r:id="rId77" xr:uid="{00000000-0004-0000-0200-000054000000}"/>
    <hyperlink ref="W80" r:id="rId78" xr:uid="{00000000-0004-0000-0200-000055000000}"/>
    <hyperlink ref="V80" r:id="rId79" xr:uid="{00000000-0004-0000-0200-000056000000}"/>
    <hyperlink ref="V86" r:id="rId80" xr:uid="{00000000-0004-0000-0200-000057000000}"/>
    <hyperlink ref="V94" r:id="rId81" xr:uid="{00000000-0004-0000-0200-000058000000}"/>
    <hyperlink ref="V95" r:id="rId82" xr:uid="{00000000-0004-0000-0200-000059000000}"/>
    <hyperlink ref="V79" r:id="rId83" xr:uid="{00000000-0004-0000-0200-00005A000000}"/>
    <hyperlink ref="X80" r:id="rId84" location=":~:text=The%20federal%20government%20is%20proposing%20to%20assist%20Ukraine%E2%80%99s,loan%20through%20a%20new%20Canada-led%20international%20financial%20program" display="https://www.theglobeandmail.com/canada/article-federal-budget-2022-ukraine-russia-1-billion-loan/#:~:text=The%20federal%20government%20is%20proposing%20to%20assist%20Ukraine%E2%80%99s,loan%20through%20a%20new%20Canada-led%20international%20financial%20program." xr:uid="{00000000-0004-0000-0200-00005B000000}"/>
    <hyperlink ref="W94" r:id="rId85" xr:uid="{00000000-0004-0000-0200-00005C000000}"/>
    <hyperlink ref="V106" r:id="rId86" xr:uid="{00000000-0004-0000-0200-00005D000000}"/>
    <hyperlink ref="V104" r:id="rId87" xr:uid="{00000000-0004-0000-0200-00005E000000}"/>
    <hyperlink ref="V100" r:id="rId88" xr:uid="{00000000-0004-0000-0200-00005F000000}"/>
    <hyperlink ref="V132" r:id="rId89" xr:uid="{00000000-0004-0000-0200-000060000000}"/>
    <hyperlink ref="W132" r:id="rId90" xr:uid="{00000000-0004-0000-0200-000061000000}"/>
    <hyperlink ref="V151" r:id="rId91" xr:uid="{00000000-0004-0000-0200-000062000000}"/>
    <hyperlink ref="V157" r:id="rId92" xr:uid="{00000000-0004-0000-0200-000063000000}"/>
    <hyperlink ref="W151" r:id="rId93" xr:uid="{00000000-0004-0000-0200-000064000000}"/>
    <hyperlink ref="W157" r:id="rId94" xr:uid="{00000000-0004-0000-0200-000065000000}"/>
    <hyperlink ref="V158" r:id="rId95" xr:uid="{00000000-0004-0000-0200-000066000000}"/>
    <hyperlink ref="W158" r:id="rId96" xr:uid="{00000000-0004-0000-0200-000067000000}"/>
    <hyperlink ref="V139" r:id="rId97" xr:uid="{00000000-0004-0000-0200-000068000000}"/>
    <hyperlink ref="V159" r:id="rId98" xr:uid="{00000000-0004-0000-0200-000069000000}"/>
    <hyperlink ref="V161" r:id="rId99" xr:uid="{00000000-0004-0000-0200-00006A000000}"/>
    <hyperlink ref="V160" r:id="rId100" xr:uid="{00000000-0004-0000-0200-00006B000000}"/>
    <hyperlink ref="V162" r:id="rId101" xr:uid="{00000000-0004-0000-0200-00006C000000}"/>
    <hyperlink ref="V163" r:id="rId102" xr:uid="{00000000-0004-0000-0200-00006D000000}"/>
    <hyperlink ref="V164" r:id="rId103" xr:uid="{00000000-0004-0000-0200-00006E000000}"/>
    <hyperlink ref="W164" r:id="rId104" xr:uid="{00000000-0004-0000-0200-00006F000000}"/>
    <hyperlink ref="V139:V150" r:id="rId105" display="https://www.vlada.cz/cz/media-centrum/aktualne/vlada-schvalila-dalsi-dar-v-podobe-vojenskeho-materialu-ukrajine-194585/" xr:uid="{00000000-0004-0000-0200-000070000000}"/>
    <hyperlink ref="W162" r:id="rId106" xr:uid="{00000000-0004-0000-0200-000071000000}"/>
    <hyperlink ref="X158" r:id="rId107" xr:uid="{00000000-0004-0000-0200-000072000000}"/>
    <hyperlink ref="V165" r:id="rId108" xr:uid="{00000000-0004-0000-0200-000073000000}"/>
    <hyperlink ref="X151" r:id="rId109" xr:uid="{00000000-0004-0000-0200-000074000000}"/>
    <hyperlink ref="W138" r:id="rId110" xr:uid="{00000000-0004-0000-0200-000075000000}"/>
    <hyperlink ref="V138" r:id="rId111" xr:uid="{00000000-0004-0000-0200-000076000000}"/>
    <hyperlink ref="V731" r:id="rId112" xr:uid="{00000000-0004-0000-0200-000077000000}"/>
    <hyperlink ref="V738" r:id="rId113" xr:uid="{00000000-0004-0000-0200-000078000000}"/>
    <hyperlink ref="V735" r:id="rId114" xr:uid="{00000000-0004-0000-0200-000079000000}"/>
    <hyperlink ref="V737" r:id="rId115" xr:uid="{00000000-0004-0000-0200-00007A000000}"/>
    <hyperlink ref="W735" r:id="rId116" xr:uid="{00000000-0004-0000-0200-00007B000000}"/>
    <hyperlink ref="X735" r:id="rId117" xr:uid="{00000000-0004-0000-0200-00007C000000}"/>
    <hyperlink ref="V911" r:id="rId118" xr:uid="{00000000-0004-0000-0200-00007D000000}"/>
    <hyperlink ref="W911" r:id="rId119" xr:uid="{00000000-0004-0000-0200-00007E000000}"/>
    <hyperlink ref="X911" r:id="rId120" xr:uid="{00000000-0004-0000-0200-00007F000000}"/>
    <hyperlink ref="V860" r:id="rId121" xr:uid="{00000000-0004-0000-0200-000080000000}"/>
    <hyperlink ref="V696" r:id="rId122" xr:uid="{00000000-0004-0000-0200-000081000000}"/>
    <hyperlink ref="W737" r:id="rId123" xr:uid="{00000000-0004-0000-0200-000082000000}"/>
    <hyperlink ref="V772:V774" r:id="rId124" display="https://www.reuters.com/world/europe/spain-send-grenade-launchers-machine-guns-ukraine-minister-says-2022-03-02/" xr:uid="{00000000-0004-0000-0200-000083000000}"/>
    <hyperlink ref="X696" r:id="rId125" xr:uid="{00000000-0004-0000-0200-000084000000}"/>
    <hyperlink ref="W696" r:id="rId126" xr:uid="{00000000-0004-0000-0200-000085000000}"/>
    <hyperlink ref="V752" r:id="rId127" xr:uid="{00000000-0004-0000-0200-000086000000}"/>
    <hyperlink ref="W731" r:id="rId128" xr:uid="{00000000-0004-0000-0200-000087000000}"/>
    <hyperlink ref="X731" r:id="rId129" xr:uid="{00000000-0004-0000-0200-000088000000}"/>
    <hyperlink ref="W752" r:id="rId130" xr:uid="{00000000-0004-0000-0200-000089000000}"/>
    <hyperlink ref="W772" r:id="rId131" xr:uid="{00000000-0004-0000-0200-00008A000000}"/>
    <hyperlink ref="W913" r:id="rId132" xr:uid="{00000000-0004-0000-0200-00008B000000}"/>
    <hyperlink ref="V905" r:id="rId133" xr:uid="{00000000-0004-0000-0200-00008C000000}"/>
    <hyperlink ref="W905" r:id="rId134" xr:uid="{00000000-0004-0000-0200-00008D000000}"/>
    <hyperlink ref="X905" r:id="rId135" xr:uid="{00000000-0004-0000-0200-00008E000000}"/>
    <hyperlink ref="W860" r:id="rId136" xr:uid="{00000000-0004-0000-0200-00008F000000}"/>
    <hyperlink ref="V859" r:id="rId137" xr:uid="{00000000-0004-0000-0200-000090000000}"/>
    <hyperlink ref="W859" r:id="rId138" xr:uid="{00000000-0004-0000-0200-000091000000}"/>
    <hyperlink ref="V858" r:id="rId139" xr:uid="{00000000-0004-0000-0200-000092000000}"/>
    <hyperlink ref="V913" r:id="rId140" xr:uid="{00000000-0004-0000-0200-000093000000}"/>
    <hyperlink ref="V775" r:id="rId141" xr:uid="{00000000-0004-0000-0200-000094000000}"/>
    <hyperlink ref="W775" r:id="rId142" xr:uid="{00000000-0004-0000-0200-000095000000}"/>
    <hyperlink ref="V861:V862" r:id="rId143" display="https://www.gov.uk/government/speeches/ukraine-foreign-secretary-statement-to-parliament-28-march-2022" xr:uid="{00000000-0004-0000-0200-000096000000}"/>
    <hyperlink ref="W861:W862" r:id="rId144" display="https://www.gov.uk/government/news/pm-announces-major-new-military-support-package-for-ukraine-24-march-2022" xr:uid="{00000000-0004-0000-0200-000097000000}"/>
    <hyperlink ref="X806" r:id="rId145" xr:uid="{00000000-0004-0000-0200-000098000000}"/>
    <hyperlink ref="W806" r:id="rId146" xr:uid="{00000000-0004-0000-0200-000099000000}"/>
    <hyperlink ref="V806:V809" r:id="rId147" display="https://www.government.se/articles/2022/02/sweden-to-provide-direct-support-and-defence-materiel-to-ukraine/" xr:uid="{00000000-0004-0000-0200-00009A000000}"/>
    <hyperlink ref="V810" r:id="rId148" xr:uid="{00000000-0004-0000-0200-00009B000000}"/>
    <hyperlink ref="W810" r:id="rId149"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00000000-0004-0000-0200-00009C000000}"/>
    <hyperlink ref="V811" r:id="rId150" xr:uid="{00000000-0004-0000-0200-00009D000000}"/>
    <hyperlink ref="W806:W809" r:id="rId151" display="https://www.reuters.com/world/europe/sweden-send-military-aid-ukraine-pm-andersson-2022-02-27/ " xr:uid="{00000000-0004-0000-0200-00009E000000}"/>
    <hyperlink ref="X806:X809" r:id="rId152"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00000000-0004-0000-0200-00009F000000}"/>
    <hyperlink ref="W772:W774" r:id="rId153" display="https://www.aa.com.tr/en/europe/spain-to-send-weapons-to-ukrainian-forces/2520902 " xr:uid="{00000000-0004-0000-0200-0000A0000000}"/>
    <hyperlink ref="V735:V736" r:id="rId154" display="https://twitter.com/eduardheger/status/1498055152045015046" xr:uid="{00000000-0004-0000-0200-0000A1000000}"/>
    <hyperlink ref="W735:W736" r:id="rId155" display="https://spectator.sme.sk/c/22850259/slovakia-will-send-more-military-aid-to-ukraine.html" xr:uid="{00000000-0004-0000-0200-0000A2000000}"/>
    <hyperlink ref="X735:X736" r:id="rId156" display="https://www.aa.com.tr/en/russia-ukraine-crisis/slovakia-to-send-more-military-supplies-to-ukraine-premier-says/2518136" xr:uid="{00000000-0004-0000-0200-0000A3000000}"/>
    <hyperlink ref="X863" r:id="rId157" xr:uid="{00000000-0004-0000-0200-0000A4000000}"/>
    <hyperlink ref="V915" r:id="rId158" xr:uid="{00000000-0004-0000-0200-0000A5000000}"/>
    <hyperlink ref="W915" r:id="rId159" xr:uid="{00000000-0004-0000-0200-0000A6000000}"/>
    <hyperlink ref="W870" r:id="rId160" xr:uid="{00000000-0004-0000-0200-0000A7000000}"/>
    <hyperlink ref="V765" r:id="rId161" xr:uid="{00000000-0004-0000-0200-0000A8000000}"/>
    <hyperlink ref="W765" r:id="rId162" xr:uid="{00000000-0004-0000-0200-0000A9000000}"/>
    <hyperlink ref="V768" r:id="rId163" xr:uid="{00000000-0004-0000-0200-0000AA000000}"/>
    <hyperlink ref="V770" r:id="rId164" xr:uid="{00000000-0004-0000-0200-0000AB000000}"/>
    <hyperlink ref="W770" r:id="rId165" xr:uid="{00000000-0004-0000-0200-0000AC000000}"/>
    <hyperlink ref="V1167" r:id="rId166" xr:uid="{00000000-0004-0000-0200-0000AD000000}"/>
    <hyperlink ref="V903" r:id="rId167" xr:uid="{00000000-0004-0000-0200-0000AE000000}"/>
    <hyperlink ref="V902" r:id="rId168" xr:uid="{00000000-0004-0000-0200-0000AF000000}"/>
    <hyperlink ref="V857" r:id="rId169" xr:uid="{00000000-0004-0000-0200-0000B0000000}"/>
    <hyperlink ref="V733" r:id="rId170" xr:uid="{00000000-0004-0000-0200-0000B1000000}"/>
    <hyperlink ref="V746:V750" r:id="rId171" display="https://www.gov.si/en/news/2022-02-26-humanitarian-contribution-of-the-republic-of-slovenia-to-the-people-of-ukraine/" xr:uid="{00000000-0004-0000-0200-0000B2000000}"/>
    <hyperlink ref="W746:W750" r:id="rId172" display="https://www.gov.si/en/news/2022-03-01-minister-logar-announces-eur-1-1-million-in-humanitarian-aid-for-ukraine/ " xr:uid="{00000000-0004-0000-0200-0000B3000000}"/>
    <hyperlink ref="X746:X750" r:id="rId173" display="https://www.gov.si/en/news/2022-03-07-eu-development-ministers-on-emergency-humanitarian-aid-to-ukraine/ " xr:uid="{00000000-0004-0000-0200-0000B4000000}"/>
    <hyperlink ref="V728" r:id="rId174" xr:uid="{00000000-0004-0000-0200-0000B5000000}"/>
    <hyperlink ref="V724" r:id="rId175" xr:uid="{00000000-0004-0000-0200-0000B6000000}"/>
    <hyperlink ref="W724" r:id="rId176" xr:uid="{00000000-0004-0000-0200-0000B7000000}"/>
    <hyperlink ref="V766" r:id="rId177" xr:uid="{00000000-0004-0000-0200-0000B8000000}"/>
    <hyperlink ref="V697" r:id="rId178" xr:uid="{00000000-0004-0000-0200-0000B9000000}"/>
    <hyperlink ref="V732" r:id="rId179" xr:uid="{00000000-0004-0000-0200-0000BA000000}"/>
    <hyperlink ref="W732" r:id="rId180" xr:uid="{00000000-0004-0000-0200-0000BB000000}"/>
    <hyperlink ref="V734" r:id="rId181" xr:uid="{00000000-0004-0000-0200-0000BC000000}"/>
    <hyperlink ref="V753" r:id="rId182" xr:uid="{00000000-0004-0000-0200-0000BD000000}"/>
    <hyperlink ref="X765" r:id="rId183" xr:uid="{00000000-0004-0000-0200-0000BE000000}"/>
    <hyperlink ref="V776" r:id="rId184" xr:uid="{00000000-0004-0000-0200-0000BF000000}"/>
    <hyperlink ref="V863:V866" r:id="rId185" display="https://www.gov.uk/government/news/uk-to-bolster-defensive-aid-to-ukraine-with-new-100m-package" xr:uid="{00000000-0004-0000-0200-0000C0000000}"/>
    <hyperlink ref="V870:V871" r:id="rId186" display="https://www.gov.uk/government/news/prime-minister-pledges-uks-unwavering-support-to-ukraine-on-visit-to-kyiv-9-april-2022" xr:uid="{00000000-0004-0000-0200-0000C1000000}"/>
    <hyperlink ref="W863:W866" r:id="rId187" display="https://www.gov.uk/government/speeches/pm-opening-remarks-at-press-conference-with-german-chancellor-olaf-scholz-8-april-2022" xr:uid="{00000000-0004-0000-0200-0000C2000000}"/>
    <hyperlink ref="W753" r:id="rId188" xr:uid="{00000000-0004-0000-0200-0000C3000000}"/>
    <hyperlink ref="V922" r:id="rId189" xr:uid="{00000000-0004-0000-0200-0000C6000000}"/>
    <hyperlink ref="V923" r:id="rId190" xr:uid="{00000000-0004-0000-0200-0000C7000000}"/>
    <hyperlink ref="V924:V936" r:id="rId191" display="https://www.defense.gov/News/Releases/Release/Article/3007664/fact-sheet-on-us-security-assistance-for-ukraine-roll-up-as-of-april-21-2022/" xr:uid="{00000000-0004-0000-0200-0000C8000000}"/>
    <hyperlink ref="V957:V960" r:id="rId192" display="https://www.defense.gov/News/Releases/Release/Article/3007664/fact-sheet-on-us-security-assistance-for-ukraine-roll-up-as-of-april-21-2022/" xr:uid="{00000000-0004-0000-0200-0000C9000000}"/>
    <hyperlink ref="W922" r:id="rId193" xr:uid="{00000000-0004-0000-0200-0000CA000000}"/>
    <hyperlink ref="W923" r:id="rId194" xr:uid="{00000000-0004-0000-0200-0000CB000000}"/>
    <hyperlink ref="W924:W935" r:id="rId195" display="https://appropriations.house.gov/sites/democrats.appropriations.house.gov/files/Ukraine%20Supplemental%20Summary.pdf" xr:uid="{00000000-0004-0000-0200-0000CC000000}"/>
    <hyperlink ref="W938:W956" r:id="rId196" display="https://appropriations.house.gov/sites/democrats.appropriations.house.gov/files/Ukraine%20Supplemental%20Summary.pdf" xr:uid="{00000000-0004-0000-0200-0000CD000000}"/>
    <hyperlink ref="W957:W960" r:id="rId197" display="https://appropriations.house.gov/sites/democrats.appropriations.house.gov/files/Ukraine%20Supplemental%20Summary.pdf" xr:uid="{00000000-0004-0000-0200-0000CE000000}"/>
    <hyperlink ref="V1168" r:id="rId198" xr:uid="{00000000-0004-0000-0200-0000CF000000}"/>
    <hyperlink ref="W1168" r:id="rId199" xr:uid="{00000000-0004-0000-0200-0000D0000000}"/>
    <hyperlink ref="V25:V32" r:id="rId200" location=":~:text=Mit%20der%20bereits%20zweiten%20Hilfslieferung,Plastikhandschuhen%2C%20Schutzbrillen%20und%20Desinfektionsmittel%20entsandt" display="https://bmi.gv.at/news.aspx?id=44786F67485A5049462F493D#:~:text=Mit%20der%20bereits%20zweiten%20Hilfslieferung,Plastikhandschuhen%2C%20Schutzbrillen%20und%20Desinfektionsmittel%20entsandt." xr:uid="{00000000-0004-0000-0200-0000D1000000}"/>
    <hyperlink ref="V96:V99" r:id="rId201" display="https://www.canada.ca/en/department-national-defence/news/2022/03/defence-minister-anand-announces-additional-military-support-to-ukraine.html?msclkid=50865665ab9011ecbb2d77d3ecd6e3a6" xr:uid="{00000000-0004-0000-0200-0000D2000000}"/>
    <hyperlink ref="V104:V105" r:id="rId202" display="https://www.canada.ca/en/department-national-defence/news/2022/03/defence-minister-anand-announces-additional-military-support-to-ukraine.html" xr:uid="{00000000-0004-0000-0200-0000D3000000}"/>
    <hyperlink ref="V132:V135" r:id="rId203" display="https://mfa.gov.cy/press-releases/2022/03/09/cyprus-humanitarian-aid-to-ukraine/" xr:uid="{00000000-0004-0000-0200-0000D4000000}"/>
    <hyperlink ref="W132:W135" r:id="rId204" display="https://cyprus-mail.com/2022/04/06/aid-for-ukraine-now-tops-e2-million/" xr:uid="{00000000-0004-0000-0200-0000D5000000}"/>
    <hyperlink ref="V151:V156" r:id="rId205" display="https://www.vlada.cz/cz/media-centrum/aktualne/vlada-petra-fialy-schvalila-dalsi-vojenskou-pomoc-bojujici-ukrajine-194603/" xr:uid="{00000000-0004-0000-0200-0000D6000000}"/>
    <hyperlink ref="W151:W156" r:id="rId206" display="https://www.praguemorning.cz/czech-governmenet-approves-czk-400-million-in-military-aid-for-ukraine/" xr:uid="{00000000-0004-0000-0200-0000D7000000}"/>
    <hyperlink ref="X151:X156" r:id="rId207" display="https://www.politico.com/news/2022/03/22/ukraine-weapons-military-aid-00019104" xr:uid="{00000000-0004-0000-0200-0000D8000000}"/>
    <hyperlink ref="W128" r:id="rId208" xr:uid="{00000000-0004-0000-0200-0000D9000000}"/>
    <hyperlink ref="V128" r:id="rId209" xr:uid="{00000000-0004-0000-0200-0000DA000000}"/>
    <hyperlink ref="W79" r:id="rId210" display="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xr:uid="{00000000-0004-0000-0200-0000DB000000}"/>
    <hyperlink ref="V262" r:id="rId211" xr:uid="{00000000-0004-0000-0200-0000DC000000}"/>
    <hyperlink ref="V821" r:id="rId212" xr:uid="{00000000-0004-0000-0200-0000DD000000}"/>
    <hyperlink ref="V625" r:id="rId213" xr:uid="{00000000-0004-0000-0200-0000DE000000}"/>
    <hyperlink ref="V820" r:id="rId214" xr:uid="{00000000-0004-0000-0200-0000DF000000}"/>
    <hyperlink ref="V550" r:id="rId215" location=":~:text=The%20Latvian%20government%20has%20directed,of%20military%20aggression%20by%20Russia" xr:uid="{00000000-0004-0000-0200-0000E1000000}"/>
    <hyperlink ref="W550" r:id="rId216" xr:uid="{00000000-0004-0000-0200-0000E2000000}"/>
    <hyperlink ref="V583" r:id="rId217" xr:uid="{00000000-0004-0000-0200-0000E3000000}"/>
    <hyperlink ref="V47" r:id="rId218" xr:uid="{00000000-0004-0000-0200-0000E4000000}"/>
    <hyperlink ref="V492" r:id="rId219" xr:uid="{00000000-0004-0000-0200-0000E6000000}"/>
    <hyperlink ref="X1168" r:id="rId220" xr:uid="{00000000-0004-0000-0200-0000E7000000}"/>
    <hyperlink ref="V535" r:id="rId221" xr:uid="{00000000-0004-0000-0200-0000E8000000}"/>
    <hyperlink ref="W535" r:id="rId222" xr:uid="{00000000-0004-0000-0200-0000E9000000}"/>
    <hyperlink ref="X535" r:id="rId223" xr:uid="{00000000-0004-0000-0200-0000EA000000}"/>
    <hyperlink ref="V330" r:id="rId224" xr:uid="{00000000-0004-0000-0200-0000EB000000}"/>
    <hyperlink ref="V34" r:id="rId225" xr:uid="{00000000-0004-0000-0200-0000EC000000}"/>
    <hyperlink ref="W34" r:id="rId226" xr:uid="{00000000-0004-0000-0200-0000ED000000}"/>
    <hyperlink ref="X34" r:id="rId227" xr:uid="{00000000-0004-0000-0200-0000EE000000}"/>
    <hyperlink ref="V109" r:id="rId228" xr:uid="{00000000-0004-0000-0200-0000EF000000}"/>
    <hyperlink ref="V611" r:id="rId229" xr:uid="{00000000-0004-0000-0200-0000F0000000}"/>
    <hyperlink ref="W611" r:id="rId230" xr:uid="{00000000-0004-0000-0200-0000F1000000}"/>
    <hyperlink ref="X611" r:id="rId231" xr:uid="{00000000-0004-0000-0200-0000F2000000}"/>
    <hyperlink ref="V580" r:id="rId232" xr:uid="{00000000-0004-0000-0200-0000F3000000}"/>
    <hyperlink ref="V555" r:id="rId233" xr:uid="{00000000-0004-0000-0200-0000F4000000}"/>
    <hyperlink ref="W555" r:id="rId234" xr:uid="{00000000-0004-0000-0200-0000F5000000}"/>
    <hyperlink ref="V551" r:id="rId235" xr:uid="{00000000-0004-0000-0200-0000F6000000}"/>
    <hyperlink ref="V281" r:id="rId236" xr:uid="{00000000-0004-0000-0200-0000F7000000}"/>
    <hyperlink ref="W281" r:id="rId237" xr:uid="{00000000-0004-0000-0200-0000F8000000}"/>
    <hyperlink ref="X281" r:id="rId238" location=":~:text=Finland%27s%20government%20has%20promised%20to,to%20the%20war%2Dtorn%20country.&amp;text=Cryptocurrencies%20have%20come%20to%20aid,for%20over%202%20months%20now" display="https://www.businesstoday.in/crypto/story/finland-set-to-donate-over-eu70-million-worth-of-crypto-to-war-torn-ukraine-331795-2022-04-29#:~:text=Finland%27s%20government%20has%20promised%20to,to%20the%20war%2Dtorn%20country.&amp;text=Cryptocurrencies%20have%20come%20to%20aid,for%20over%202%20months%20now." xr:uid="{00000000-0004-0000-0200-0000F9000000}"/>
    <hyperlink ref="V43" r:id="rId239" xr:uid="{00000000-0004-0000-0200-000003010000}"/>
    <hyperlink ref="W43:W46" r:id="rId240" display="https://www.wienerzeitung.at/nachrichten/politik/oesterreich/2146418-Oesterreich-schickte-Ukraine-Armeeausruestung.html" xr:uid="{00000000-0004-0000-0200-000004010000}"/>
    <hyperlink ref="V584:V586" r:id="rId241" display="https://delano.lu/article/luxembourg-gives-50m-in-milita" xr:uid="{00000000-0004-0000-0200-000008010000}"/>
    <hyperlink ref="V183" r:id="rId242" xr:uid="{00000000-0004-0000-0200-000009010000}"/>
    <hyperlink ref="V184" r:id="rId243" xr:uid="{00000000-0004-0000-0200-00000A010000}"/>
    <hyperlink ref="V243" r:id="rId244" xr:uid="{00000000-0004-0000-0200-00000B010000}"/>
    <hyperlink ref="V290" r:id="rId245" xr:uid="{00000000-0004-0000-0200-00000C010000}"/>
    <hyperlink ref="W290:W294" r:id="rId246" display="https://www.arout.net/france-sends-dozens-of-fire-engines-and-ambulances-to-ukraine-to-support-the-war-against-russia/" xr:uid="{00000000-0004-0000-0200-00000D010000}"/>
    <hyperlink ref="V326" r:id="rId247" xr:uid="{00000000-0004-0000-0200-00000E010000}"/>
    <hyperlink ref="X329" r:id="rId248" xr:uid="{00000000-0004-0000-0200-00000F010000}"/>
    <hyperlink ref="W329" r:id="rId249" xr:uid="{00000000-0004-0000-0200-000010010000}"/>
    <hyperlink ref="V329" r:id="rId250" xr:uid="{00000000-0004-0000-0200-000011010000}"/>
    <hyperlink ref="V327" r:id="rId251" xr:uid="{00000000-0004-0000-0200-000012010000}"/>
    <hyperlink ref="W327" r:id="rId252" xr:uid="{00000000-0004-0000-0200-000013010000}"/>
    <hyperlink ref="X327" r:id="rId253" xr:uid="{00000000-0004-0000-0200-000014010000}"/>
    <hyperlink ref="V328" r:id="rId254" xr:uid="{00000000-0004-0000-0200-000015010000}"/>
    <hyperlink ref="W328" r:id="rId255" xr:uid="{00000000-0004-0000-0200-000016010000}"/>
    <hyperlink ref="V331" r:id="rId256" xr:uid="{00000000-0004-0000-0200-000017010000}"/>
    <hyperlink ref="V343" r:id="rId257" xr:uid="{00000000-0004-0000-0200-000018010000}"/>
    <hyperlink ref="W343" r:id="rId258" xr:uid="{00000000-0004-0000-0200-000019010000}"/>
    <hyperlink ref="V344" r:id="rId259" xr:uid="{00000000-0004-0000-0200-00001A010000}"/>
    <hyperlink ref="W454" r:id="rId260" xr:uid="{00000000-0004-0000-0200-00001B010000}"/>
    <hyperlink ref="V454" r:id="rId261" display="https://twitter.com/PrimeministerGR/status/1504800257447706626?ref_src=twsrc%5Etfw%7Ctwcamp%5Etweetembed%7Ctwterm%5E1504800257447706626%7Ctwgr%5E%7Ctwcon%5Es1_&amp;ref_url=https%3A%2F%2Fwww.keeptalkinggreece.com%2F2022%2F03%2F18%2Fgreece-rebuild-maternity-hospital-mariupol%2F" xr:uid="{00000000-0004-0000-0200-00001C010000}"/>
    <hyperlink ref="W455" r:id="rId262" xr:uid="{00000000-0004-0000-0200-00001D010000}"/>
    <hyperlink ref="V456" r:id="rId263" display="https://www.mfa.gr/en/current-affairs/statements-speeches/delivery-of-greek-humanitarian-aid-to-the-ukrainian-people-including-diaspora-greeks-in-odessa-11042022-and-departure-of-the-4th-humanitarian-mission-of-the-hellenic-red-cross-to-ukraine-odessa-12042022.html" xr:uid="{00000000-0004-0000-0200-00001E010000}"/>
    <hyperlink ref="V455" r:id="rId264" location=":~:text=On%203%20April%202022%2C%20Greek%20Minister%20of%20Foreign,relief%20to%20the%20city%E2%80%99s%20population%2C%20including%20Greek%20diaspora" xr:uid="{00000000-0004-0000-0200-00001F010000}"/>
    <hyperlink ref="V453" r:id="rId265" location=":~:text=humanitarian%20aid%20with-,medical%2C%20pharmaceutical%20and%20first%20aid%20material,-.%20The%20humanitarian%20aid" xr:uid="{00000000-0004-0000-0200-000020010000}"/>
    <hyperlink ref="V451" r:id="rId266" xr:uid="{00000000-0004-0000-0200-000021010000}"/>
    <hyperlink ref="W676" r:id="rId267" xr:uid="{00000000-0004-0000-0200-000023010000}"/>
    <hyperlink ref="V676" r:id="rId268" xr:uid="{00000000-0004-0000-0200-000024010000}"/>
    <hyperlink ref="X676" r:id="rId269" xr:uid="{00000000-0004-0000-0200-000025010000}"/>
    <hyperlink ref="V677" r:id="rId270" xr:uid="{00000000-0004-0000-0200-000026010000}"/>
    <hyperlink ref="V751" r:id="rId271" xr:uid="{00000000-0004-0000-0200-000027010000}"/>
    <hyperlink ref="V754:V759" r:id="rId272" display="https://english.sta.si/3031756/slovenia-to-send-additional-material-aid-to-ukraine" xr:uid="{00000000-0004-0000-0200-000028010000}"/>
    <hyperlink ref="W754:W759" r:id="rId273" display="https://www.rtvslo.si/radio-si/news/slovenia-promises-aid-to-ukraine/625786" xr:uid="{00000000-0004-0000-0200-000029010000}"/>
    <hyperlink ref="X754:X759" r:id="rId274" display="https://babel.ua/en/news/78193-slovenia-will-provide-180-000-in-financial-assistance-to-ukraine" xr:uid="{00000000-0004-0000-0200-00002A010000}"/>
    <hyperlink ref="V849" r:id="rId275" xr:uid="{00000000-0004-0000-0200-00002D010000}"/>
    <hyperlink ref="V850" r:id="rId276" xr:uid="{00000000-0004-0000-0200-00002E010000}"/>
    <hyperlink ref="W850" r:id="rId277" xr:uid="{00000000-0004-0000-0200-00002F010000}"/>
    <hyperlink ref="V851" r:id="rId278" xr:uid="{00000000-0004-0000-0200-000030010000}"/>
    <hyperlink ref="X850" r:id="rId279" xr:uid="{00000000-0004-0000-0200-000031010000}"/>
    <hyperlink ref="V912" r:id="rId280" xr:uid="{00000000-0004-0000-0200-000032010000}"/>
    <hyperlink ref="W912" r:id="rId281" xr:uid="{00000000-0004-0000-0200-000033010000}"/>
    <hyperlink ref="X912" r:id="rId282" xr:uid="{00000000-0004-0000-0200-000034010000}"/>
    <hyperlink ref="V212" r:id="rId283" location=":~:text=Estonian%20people%2C%20government%20and%20private,aid%20to%20Ukraine%20in%20total &amp;text=Govermental%20aid%20means%20means%20assistance,state%20budget%20through%20state%20agencies " xr:uid="{00000000-0004-0000-0200-000035010000}"/>
    <hyperlink ref="V212:V214" r:id="rId284" location=":~:text=Estonian%20people%2C%20government%20and%20private,aid%20to%20Ukraine%20in%20total.&amp;text=Govermental%20aid%20means%20means%20assistance,state%20budget%20through%20state%20agencies" display="https://vm.ee/en/humanitarian-aid-ukraine#:~:text=Estonian%20people%2C%20government%20and%20private,aid%20to%20Ukraine%20in%20total.&amp;text=Govermental%20aid%20means%20means%20assistance,state%20budget%20through%20state%20agencies." xr:uid="{00000000-0004-0000-0200-000036010000}"/>
    <hyperlink ref="W212" r:id="rId285" xr:uid="{00000000-0004-0000-0200-000037010000}"/>
    <hyperlink ref="W212:W214" r:id="rId286" display="https://kaitseministeerium.ee/en/news/estonia-donated-missiles-anti-tank-weapon-system-javelin-ukraine" xr:uid="{00000000-0004-0000-0200-000038010000}"/>
    <hyperlink ref="V3" r:id="rId287" xr:uid="{00000000-0004-0000-0200-000039010000}"/>
    <hyperlink ref="X3" r:id="rId288" xr:uid="{00000000-0004-0000-0200-00003A010000}"/>
    <hyperlink ref="W3" r:id="rId289" xr:uid="{00000000-0004-0000-0200-00003B010000}"/>
    <hyperlink ref="V645" r:id="rId290" xr:uid="{00000000-0004-0000-0200-00003C010000}"/>
    <hyperlink ref="W645" r:id="rId291" xr:uid="{00000000-0004-0000-0200-00003D010000}"/>
    <hyperlink ref="V667" r:id="rId292" xr:uid="{00000000-0004-0000-0200-00003E010000}"/>
    <hyperlink ref="V668" r:id="rId293" xr:uid="{00000000-0004-0000-0200-00003F010000}"/>
    <hyperlink ref="V831" r:id="rId294" xr:uid="{00000000-0004-0000-0200-000040010000}"/>
    <hyperlink ref="V833:V837" r:id="rId295" display="https://twitter.com/AFADTurkey/status/1497633720068714497" xr:uid="{00000000-0004-0000-0200-000041010000}"/>
    <hyperlink ref="V838" r:id="rId296" xr:uid="{00000000-0004-0000-0200-000042010000}"/>
    <hyperlink ref="V53" r:id="rId297" xr:uid="{00000000-0004-0000-0200-000043010000}"/>
    <hyperlink ref="W59" r:id="rId298" xr:uid="{00000000-0004-0000-0200-000044010000}"/>
    <hyperlink ref="X59" r:id="rId299" xr:uid="{00000000-0004-0000-0200-000045010000}"/>
    <hyperlink ref="X129" r:id="rId300" xr:uid="{00000000-0004-0000-0200-000046010000}"/>
    <hyperlink ref="V129" r:id="rId301" xr:uid="{00000000-0004-0000-0200-000047010000}"/>
    <hyperlink ref="V633" r:id="rId302" xr:uid="{00000000-0004-0000-0200-000048010000}"/>
    <hyperlink ref="V824" r:id="rId303" xr:uid="{00000000-0004-0000-0200-000049010000}"/>
    <hyperlink ref="W824" r:id="rId304" xr:uid="{00000000-0004-0000-0200-00004A010000}"/>
    <hyperlink ref="X824" r:id="rId305" xr:uid="{00000000-0004-0000-0200-00004B010000}"/>
    <hyperlink ref="V641" r:id="rId306" xr:uid="{00000000-0004-0000-0200-00004C010000}"/>
    <hyperlink ref="W641" r:id="rId307" xr:uid="{00000000-0004-0000-0200-00004D010000}"/>
    <hyperlink ref="X641" r:id="rId308" xr:uid="{00000000-0004-0000-0200-00004E010000}"/>
    <hyperlink ref="X642" r:id="rId309" xr:uid="{00000000-0004-0000-0200-00004F010000}"/>
    <hyperlink ref="V642" r:id="rId310" xr:uid="{00000000-0004-0000-0200-000050010000}"/>
    <hyperlink ref="V643" r:id="rId311" xr:uid="{00000000-0004-0000-0200-000051010000}"/>
    <hyperlink ref="W642" r:id="rId312" xr:uid="{00000000-0004-0000-0200-000052010000}"/>
    <hyperlink ref="W643" r:id="rId313" xr:uid="{00000000-0004-0000-0200-000053010000}"/>
    <hyperlink ref="W667" r:id="rId314" xr:uid="{00000000-0004-0000-0200-000054010000}"/>
    <hyperlink ref="V672" r:id="rId315" xr:uid="{00000000-0004-0000-0200-000055010000}"/>
    <hyperlink ref="W672" r:id="rId316" xr:uid="{00000000-0004-0000-0200-000056010000}"/>
    <hyperlink ref="V652" r:id="rId317" xr:uid="{00000000-0004-0000-0200-000057010000}"/>
    <hyperlink ref="W652" r:id="rId318" xr:uid="{00000000-0004-0000-0200-000058010000}"/>
    <hyperlink ref="V631" r:id="rId319" xr:uid="{00000000-0004-0000-0200-000059010000}"/>
    <hyperlink ref="W631" r:id="rId320" xr:uid="{00000000-0004-0000-0200-00005A010000}"/>
    <hyperlink ref="X631" r:id="rId321" xr:uid="{00000000-0004-0000-0200-00005B010000}"/>
    <hyperlink ref="X632" r:id="rId322" xr:uid="{00000000-0004-0000-0200-00005C010000}"/>
    <hyperlink ref="W632" r:id="rId323" xr:uid="{00000000-0004-0000-0200-00005D010000}"/>
    <hyperlink ref="V632" r:id="rId324" xr:uid="{00000000-0004-0000-0200-00005E010000}"/>
    <hyperlink ref="V639" r:id="rId325" xr:uid="{00000000-0004-0000-0200-00005F010000}"/>
    <hyperlink ref="W639" r:id="rId326" xr:uid="{00000000-0004-0000-0200-000060010000}"/>
    <hyperlink ref="X639" r:id="rId327" xr:uid="{00000000-0004-0000-0200-000061010000}"/>
    <hyperlink ref="W633" r:id="rId328" xr:uid="{00000000-0004-0000-0200-000062010000}"/>
    <hyperlink ref="V714" r:id="rId329" xr:uid="{00000000-0004-0000-0200-000063010000}"/>
    <hyperlink ref="W714" r:id="rId330" xr:uid="{00000000-0004-0000-0200-000064010000}"/>
    <hyperlink ref="X714" r:id="rId331" xr:uid="{00000000-0004-0000-0200-000065010000}"/>
    <hyperlink ref="V719" r:id="rId332" xr:uid="{00000000-0004-0000-0200-000066010000}"/>
    <hyperlink ref="W719" r:id="rId333" xr:uid="{00000000-0004-0000-0200-000067010000}"/>
    <hyperlink ref="X718" r:id="rId334" xr:uid="{00000000-0004-0000-0200-000068010000}"/>
    <hyperlink ref="X715" r:id="rId335" xr:uid="{00000000-0004-0000-0200-000069010000}"/>
    <hyperlink ref="W715" r:id="rId336" xr:uid="{00000000-0004-0000-0200-00006A010000}"/>
    <hyperlink ref="W718" r:id="rId337" xr:uid="{00000000-0004-0000-0200-00006B010000}"/>
    <hyperlink ref="V715" r:id="rId338" xr:uid="{00000000-0004-0000-0200-00006C010000}"/>
    <hyperlink ref="V718" r:id="rId339" xr:uid="{00000000-0004-0000-0200-00006D010000}"/>
    <hyperlink ref="V628:V630" r:id="rId340" display="https://www.beehive.govt.nz/release/nz-provide-non-lethal-military-assistance-ukraine" xr:uid="{00000000-0004-0000-0200-00006E010000}"/>
    <hyperlink ref="W628:W630" r:id="rId341" display="https://www.reuters.com/world/new-zealand-provide-ukraine-with-non-lethal-military-assistance-2022-03-21/" xr:uid="{00000000-0004-0000-0200-00006F010000}"/>
    <hyperlink ref="V109:V110" r:id="rId342" display="https://www.canada.ca/en/department-national-defence/news/2022/04/canada-announces-artillery-and-other-additional-military-aid-for-ukraine.html" xr:uid="{00000000-0004-0000-0200-000070010000}"/>
    <hyperlink ref="W109:W110" r:id="rId343" display="https://www.cbc.ca/news/politics/ukraine-m777-howitzer-russia-heavy-artillery-1.6427762" xr:uid="{00000000-0004-0000-0200-000071010000}"/>
    <hyperlink ref="V114:V117" r:id="rId344" display="https://pm.gc.ca/en/news/news-releases/2022/05/08/prime-minister-visits-kyiv-ukraine" xr:uid="{00000000-0004-0000-0200-000073010000}"/>
    <hyperlink ref="W583" r:id="rId345" xr:uid="{00000000-0004-0000-0200-000074010000}"/>
    <hyperlink ref="V904" r:id="rId346" xr:uid="{00000000-0004-0000-0200-000075010000}"/>
    <hyperlink ref="W904" r:id="rId347" xr:uid="{00000000-0004-0000-0200-000076010000}"/>
    <hyperlink ref="W910" r:id="rId348" xr:uid="{00000000-0004-0000-0200-000077010000}"/>
    <hyperlink ref="V910" r:id="rId349" xr:uid="{00000000-0004-0000-0200-000078010000}"/>
    <hyperlink ref="V906" r:id="rId350" xr:uid="{00000000-0004-0000-0200-000079010000}"/>
    <hyperlink ref="V907" r:id="rId351" xr:uid="{00000000-0004-0000-0200-00007A010000}"/>
    <hyperlink ref="V918" r:id="rId352" xr:uid="{00000000-0004-0000-0200-00007B010000}"/>
    <hyperlink ref="V919" r:id="rId353" xr:uid="{00000000-0004-0000-0200-00007C010000}"/>
    <hyperlink ref="X212:X214" r:id="rId354" display="https://news.err.ee/1608589426/estonia-s-military-aid-to-ukraine-totals-230-million" xr:uid="{00000000-0004-0000-0200-00007D010000}"/>
    <hyperlink ref="W330" r:id="rId355" xr:uid="{00000000-0004-0000-0200-00007E010000}"/>
    <hyperlink ref="W730" r:id="rId356" xr:uid="{00000000-0004-0000-0200-00007F010000}"/>
    <hyperlink ref="V486:V488" r:id="rId357" display="https://www.gov.ie/en/press-release/b80b7-government-ministers-announce-irish-support-for-ukrainian-health-service/?msclkid=07ab0901b05a11ec8239ca04bfcdbb9d" xr:uid="{00000000-0004-0000-0200-000080010000}"/>
    <hyperlink ref="V468:V470" r:id="rId358" display="https://telex.hu/kulfold/2022/02/27/magyarorszag-100-ezer-liter-uzemanyagot-adomanyozott-karpataljanak" xr:uid="{00000000-0004-0000-0200-000081010000}"/>
    <hyperlink ref="V471:V474" r:id="rId359" display="https://abouthungary.hu/news-in-brief/hungary-to-make-another-shipment-of-humanitarian-aid-to-ukraine?msclkid=ca53d542ab8b11ec95fbf81dabb45ae9" xr:uid="{00000000-0004-0000-0200-000082010000}"/>
    <hyperlink ref="W75" r:id="rId360" xr:uid="{00000000-0004-0000-0200-000083010000}"/>
    <hyperlink ref="V75" r:id="rId361" display="https://www.dw.com/bg/%D0%BF%D0%B0%D1%80%D0%BB%D0%B0%D0%BC%D0%B5%D0%BD%D1%82%D1%8A%D1%82-%D1%80%D0%B5%D1%88%D0%B8-%D0%B1%D1%8A%D0%BB%D0%B3%D0%B0%D1%80%D0%B8%D1%8F-%D1%89%D0%B5-%D0%BE%D0%BA%D0%B0%D0%B6%D0%B5-%D0%B2%D0%BE%D0%B5%D0%BD%D0%BD%D0%BE-%D1%82%D0%B5%D1%85%D0%BD%D0%B8%D1%87%D0%B5%D1%81%D0%BA%D0%B0-%D0%BF%D0%BE%D0%BC%D0%BE%D1%89-%D0%BD%D0%B0-%D1%83%D0%BA%D1%80%D0%B0%D0%B9%D0%BD%D0%B0/a-61683857" xr:uid="{00000000-0004-0000-0200-000084010000}"/>
    <hyperlink ref="X938:X956" r:id="rId362" display="https://www.19fortyfive.com/2022/04/switchblade-the-drone-giving-ukraine-a-big-edge-against-russia/" xr:uid="{00000000-0004-0000-0200-000085010000}"/>
    <hyperlink ref="X957:X960" r:id="rId363" display="https://www.legion.org/news/255649/more-half-90-us-howitzers-bound-ukraine-now-delivered" xr:uid="{00000000-0004-0000-0200-000086010000}"/>
    <hyperlink ref="V15:V16" r:id="rId364" display="https://www.peterdutton.com.au/joint-media-release-australia-to-provide-additional-support-to-ukraine/" xr:uid="{00000000-0004-0000-0200-000087010000}"/>
    <hyperlink ref="X672" r:id="rId365" xr:uid="{00000000-0004-0000-0200-000088010000}"/>
    <hyperlink ref="W17" r:id="rId366" xr:uid="{00000000-0004-0000-0200-000089010000}"/>
    <hyperlink ref="V634" r:id="rId367" xr:uid="{00000000-0004-0000-0200-00008A010000}"/>
    <hyperlink ref="W634" r:id="rId368" xr:uid="{00000000-0004-0000-0200-00008B010000}"/>
    <hyperlink ref="V81" r:id="rId369" xr:uid="{00000000-0004-0000-0200-00008C010000}"/>
    <hyperlink ref="W81" r:id="rId370" xr:uid="{00000000-0004-0000-0200-00008D010000}"/>
    <hyperlink ref="X81" r:id="rId371" xr:uid="{00000000-0004-0000-0200-00008E010000}"/>
    <hyperlink ref="V89" r:id="rId372" xr:uid="{00000000-0004-0000-0200-00008F010000}"/>
    <hyperlink ref="W89" r:id="rId373" xr:uid="{00000000-0004-0000-0200-000090010000}"/>
    <hyperlink ref="V111" r:id="rId374" xr:uid="{00000000-0004-0000-0200-000091010000}"/>
    <hyperlink ref="W111" r:id="rId375" xr:uid="{00000000-0004-0000-0200-000092010000}"/>
    <hyperlink ref="X111" r:id="rId376" xr:uid="{00000000-0004-0000-0200-000093010000}"/>
    <hyperlink ref="W113" r:id="rId377" xr:uid="{00000000-0004-0000-0200-000094010000}"/>
    <hyperlink ref="X113" r:id="rId378" xr:uid="{00000000-0004-0000-0200-000095010000}"/>
    <hyperlink ref="W205" r:id="rId379" xr:uid="{00000000-0004-0000-0200-000097010000}"/>
    <hyperlink ref="X205" r:id="rId380" xr:uid="{00000000-0004-0000-0200-000098010000}"/>
    <hyperlink ref="V205" r:id="rId381" xr:uid="{00000000-0004-0000-0200-000099010000}"/>
    <hyperlink ref="V248" r:id="rId382" xr:uid="{00000000-0004-0000-0200-00009A010000}"/>
    <hyperlink ref="V536" r:id="rId383" xr:uid="{00000000-0004-0000-0200-00009B010000}"/>
    <hyperlink ref="X536" r:id="rId384" xr:uid="{00000000-0004-0000-0200-00009C010000}"/>
    <hyperlink ref="W536" r:id="rId385" xr:uid="{00000000-0004-0000-0200-00009D010000}"/>
    <hyperlink ref="V518" r:id="rId386" xr:uid="{00000000-0004-0000-0200-00009E010000}"/>
    <hyperlink ref="W518" r:id="rId387" xr:uid="{00000000-0004-0000-0200-00009F010000}"/>
    <hyperlink ref="W540" r:id="rId388" display="https://twitter.com/edgarsrinkevics/status/1511694357560180745?ref_src=twsrc%5Etfw%7Ctwcamp%5Etweetembed%7Ctwterm%5E1511694357560180745%7Ctwgr%5E%7Ctwcon%5Es1_&amp;ref_url=https%3A%2F%2Fwww.redditmedia.com%2Fmediaembed%2Ftxqhaq%3Fresponsive%3Dtrueis_nightmode%3Dfalse" xr:uid="{00000000-0004-0000-0200-0000A0010000}"/>
    <hyperlink ref="X540" r:id="rId389" xr:uid="{00000000-0004-0000-0200-0000A1010000}"/>
    <hyperlink ref="X540:X545" r:id="rId390" display="https://www.mfa.gov.lv/en/article/latvian-foreign-ministry-channel-eur-24000000-towards-assistance-ukraine" xr:uid="{00000000-0004-0000-0200-0000A2010000}"/>
    <hyperlink ref="V556:V558" r:id="rId391" display="https://interfax.com/newsroom/top-stories/79528/" xr:uid="{00000000-0004-0000-0200-0000A3010000}"/>
    <hyperlink ref="W556:W558" r:id="rId392" display="https://www.lrt.lt/en/news-in-english/19/1702086/lithuania-to-hand-over-eur15-5-million-worth-of-armoured-vehicles-trucks-suvs-to-ukraine" xr:uid="{00000000-0004-0000-0200-0000A4010000}"/>
    <hyperlink ref="V592" r:id="rId393" xr:uid="{00000000-0004-0000-0200-0000A5010000}"/>
    <hyperlink ref="W591" r:id="rId394" xr:uid="{00000000-0004-0000-0200-0000A6010000}"/>
    <hyperlink ref="V591" r:id="rId395" xr:uid="{00000000-0004-0000-0200-0000A7010000}"/>
    <hyperlink ref="V593" r:id="rId396" xr:uid="{00000000-0004-0000-0200-0000A8010000}"/>
    <hyperlink ref="W592" r:id="rId397" xr:uid="{00000000-0004-0000-0200-0000A9010000}"/>
    <hyperlink ref="V622" r:id="rId398" xr:uid="{00000000-0004-0000-0200-0000AA010000}"/>
    <hyperlink ref="V623" r:id="rId399" xr:uid="{00000000-0004-0000-0200-0000AB010000}"/>
    <hyperlink ref="W769" r:id="rId400" xr:uid="{00000000-0004-0000-0200-0000AC010000}"/>
    <hyperlink ref="X769" r:id="rId401" xr:uid="{00000000-0004-0000-0200-0000AD010000}"/>
    <hyperlink ref="V769" r:id="rId402" xr:uid="{00000000-0004-0000-0200-0000AE010000}"/>
    <hyperlink ref="X777" r:id="rId403" xr:uid="{00000000-0004-0000-0200-0000AF010000}"/>
    <hyperlink ref="V777:V779" r:id="rId404" display="https://www.lamoncloa.gob.es/lang/en/presidente/news/paginas/2022/20220421_visit-to-ukraine.aspx" xr:uid="{00000000-0004-0000-0200-0000B0010000}"/>
    <hyperlink ref="W801" r:id="rId405" location=":~:text=Due%20to%20Russia's%20aggression%20against,to%20the%20growing%20humanitarian%20needs" xr:uid="{00000000-0004-0000-0200-0000B1010000}"/>
    <hyperlink ref="V801" r:id="rId406" location=":~:text=Sweden%27s%20support%20to%20Ukraine&amp;text=Sweden%20is%20one%20of%20CERF%27s,SEK%2035%20million%20in%202022" xr:uid="{00000000-0004-0000-0200-0000B2010000}"/>
    <hyperlink ref="W802" r:id="rId407" xr:uid="{00000000-0004-0000-0200-0000B3010000}"/>
    <hyperlink ref="X802" r:id="rId408" xr:uid="{00000000-0004-0000-0200-0000B4010000}"/>
    <hyperlink ref="X801" r:id="rId409" xr:uid="{00000000-0004-0000-0200-0000B5010000}"/>
    <hyperlink ref="V802" r:id="rId410" xr:uid="{00000000-0004-0000-0200-0000B6010000}"/>
    <hyperlink ref="AB15" r:id="rId411" xr:uid="{00000000-0004-0000-0200-0000BA010000}"/>
    <hyperlink ref="AB12" r:id="rId412" xr:uid="{00000000-0004-0000-0200-0000BB010000}"/>
    <hyperlink ref="AB644" r:id="rId413" xr:uid="{00000000-0004-0000-0200-0000BC010000}"/>
    <hyperlink ref="AB111" r:id="rId414" xr:uid="{00000000-0004-0000-0200-0000BD010000}"/>
    <hyperlink ref="AB205" r:id="rId415" xr:uid="{00000000-0004-0000-0200-0000BE010000}"/>
    <hyperlink ref="AB778" r:id="rId416" xr:uid="{00000000-0004-0000-0200-0000BF010000}"/>
    <hyperlink ref="V242" r:id="rId417" location=":~:text=Estonian%20people%2C%20government%20and%20private,aid%20to%20Ukraine%20in%20total &amp;text=Govermental%20aid%20means%20means%20assistance,state%20budget%20through%20state%20agencies" xr:uid="{00000000-0004-0000-0200-0000C1010000}"/>
    <hyperlink ref="V309" r:id="rId418" xr:uid="{00000000-0004-0000-0200-0000C2010000}"/>
    <hyperlink ref="V332" r:id="rId419" xr:uid="{00000000-0004-0000-0200-0000C3010000}"/>
    <hyperlink ref="V341" r:id="rId420" xr:uid="{00000000-0004-0000-0200-0000C4010000}"/>
    <hyperlink ref="W341" r:id="rId421" xr:uid="{00000000-0004-0000-0200-0000C5010000}"/>
    <hyperlink ref="V342" r:id="rId422" xr:uid="{00000000-0004-0000-0200-0000C6010000}"/>
    <hyperlink ref="V452" r:id="rId423" xr:uid="{00000000-0004-0000-0200-0000C7010000}"/>
    <hyperlink ref="W452" r:id="rId424" xr:uid="{00000000-0004-0000-0200-0000C8010000}"/>
    <hyperlink ref="X452" r:id="rId425" xr:uid="{00000000-0004-0000-0200-0000C9010000}"/>
    <hyperlink ref="V495" r:id="rId426" xr:uid="{00000000-0004-0000-0200-0000CA010000}"/>
    <hyperlink ref="V497:V501" r:id="rId427" display="https://www.esteri.it/en/politica-estera-e-cooperazione-allo-sviluppo/aree_geografiche/europa/litalia-a-sostegno-dellucraina/" xr:uid="{00000000-0004-0000-0200-0000CB010000}"/>
    <hyperlink ref="V502" r:id="rId428" xr:uid="{00000000-0004-0000-0200-0000CC010000}"/>
    <hyperlink ref="W502" r:id="rId429" xr:uid="{00000000-0004-0000-0200-0000CD010000}"/>
    <hyperlink ref="V503" r:id="rId430" xr:uid="{00000000-0004-0000-0200-0000CE010000}"/>
    <hyperlink ref="V505" r:id="rId431" xr:uid="{00000000-0004-0000-0200-0000CF010000}"/>
    <hyperlink ref="X506:X508" r:id="rId432" display="https://www.fanpage.it/politica/armi-allucraina-arriva-il-terzo-decreto-del-governo-lelenco-e-secretato-come-i-precedenti/" xr:uid="{00000000-0004-0000-0200-0000D0010000}"/>
    <hyperlink ref="V506:V508" r:id="rId433" display="https://www.gazzettaufficiale.it/atto/serie_generale/caricaDettaglioAtto/originario?atto.dataPubblicazioneGazzetta=2022-05-13&amp;atto.codiceRedazionale=22A02976&amp;elenco30giorni=false" xr:uid="{00000000-0004-0000-0200-0000D1010000}"/>
    <hyperlink ref="W505" r:id="rId434" xr:uid="{00000000-0004-0000-0200-0000D2010000}"/>
    <hyperlink ref="AB96" r:id="rId435" xr:uid="{00000000-0004-0000-0200-0000D3010000}"/>
    <hyperlink ref="AB98" r:id="rId436" xr:uid="{00000000-0004-0000-0200-0000D4010000}"/>
    <hyperlink ref="AB99" r:id="rId437" xr:uid="{00000000-0004-0000-0200-0000D5010000}"/>
    <hyperlink ref="AB104" r:id="rId438" xr:uid="{00000000-0004-0000-0200-0000D6010000}"/>
    <hyperlink ref="AB105" r:id="rId439" xr:uid="{00000000-0004-0000-0200-0000D7010000}"/>
    <hyperlink ref="AB109" r:id="rId440" xr:uid="{00000000-0004-0000-0200-0000D8010000}"/>
    <hyperlink ref="V908" r:id="rId441" xr:uid="{00000000-0004-0000-0200-0000D9010000}"/>
    <hyperlink ref="V961" r:id="rId442" xr:uid="{00000000-0004-0000-0200-0000DA010000}"/>
    <hyperlink ref="V966:V970" r:id="rId443" display="https://www.defense.gov/News/News-Stories/Article/Article/3038121/additional-100-million-in-howitzers-tactical-vehicles-radars-headed-to-ukraine/source/additional-100-million-in-howitzers-tactical-vehicles-radars-headed-to-ukraine/" xr:uid="{00000000-0004-0000-0200-0000DB010000}"/>
    <hyperlink ref="AB114" r:id="rId444" xr:uid="{00000000-0004-0000-0200-0000DD010000}"/>
    <hyperlink ref="W1169" r:id="rId445" xr:uid="{00000000-0004-0000-0200-0000DE010000}"/>
    <hyperlink ref="V1169" r:id="rId446" xr:uid="{00000000-0004-0000-0200-0000DF010000}"/>
    <hyperlink ref="V1170" r:id="rId447" xr:uid="{00000000-0004-0000-0200-0000E0010000}"/>
    <hyperlink ref="W1170" r:id="rId448" xr:uid="{00000000-0004-0000-0200-0000E1010000}"/>
    <hyperlink ref="V1171" r:id="rId449" xr:uid="{00000000-0004-0000-0200-0000E2010000}"/>
    <hyperlink ref="V457" r:id="rId450" display="https://www.stripes.com/theaters/us/2022-05-23/ukraine-russia-war-military-weapons-6104132.html" xr:uid="{00000000-0004-0000-0200-0000E4010000}"/>
    <hyperlink ref="W713" r:id="rId451" xr:uid="{00000000-0004-0000-0200-0000E5010000}"/>
    <hyperlink ref="X713" r:id="rId452" xr:uid="{00000000-0004-0000-0200-0000E6010000}"/>
    <hyperlink ref="Y713" r:id="rId453" xr:uid="{00000000-0004-0000-0200-0000E7010000}"/>
    <hyperlink ref="V710:V711" r:id="rId454" display="https://mil.in.ua/en/news/portugal-is-preparing-to-hand-over-m113-armored-personnel-carriers-to-ukraine-media/" xr:uid="{00000000-0004-0000-0200-0000E9010000}"/>
    <hyperlink ref="W710:W711" r:id="rId455" display="https://en.defence-ua.com/weapon_and_tech/portugal_to_send_howitzers_and_apcs_to_ukraine-2846.html" xr:uid="{00000000-0004-0000-0200-0000EA010000}"/>
    <hyperlink ref="AB938" r:id="rId456" xr:uid="{00000000-0004-0000-0200-0000EB010000}"/>
    <hyperlink ref="AB957" r:id="rId457" location=":~:text=More%20than%20100%20M777%20howitzers,according%20to%20the%20Defense%20Department" xr:uid="{00000000-0004-0000-0200-0000EC010000}"/>
    <hyperlink ref="AB330" r:id="rId458" xr:uid="{00000000-0004-0000-0200-0000ED010000}"/>
    <hyperlink ref="AB506" r:id="rId459" xr:uid="{00000000-0004-0000-0200-0000EE010000}"/>
    <hyperlink ref="AB611" r:id="rId460" xr:uid="{00000000-0004-0000-0200-0000EF010000}"/>
    <hyperlink ref="AB459" r:id="rId461" location=":~:text=Greece%20sent%20Ukraine%20military%20equipment%20compatible%20with%20that,rocket%20launchers%2C%20aligning%20itself%20with%20NATO%E2%80%99s%20indirect%20assistance.?msclkid=6dac7726ab8911ec980d9386f90d3180" display="https://www.thenationalherald.com/russias-ukraine-invasion-sees-greece-taking-bigger-nato-role/#:~:text=Greece%20sent%20Ukraine%20military%20equipment%20compatible%20with%20that,rocket%20launchers%2C%20aligning%20itself%20with%20NATO%E2%80%99s%20indirect%20assistance.?msclkid=6dac7726ab8911ec980d9386f90d3180" xr:uid="{00000000-0004-0000-0200-0000F0010000}"/>
    <hyperlink ref="AB946" r:id="rId462" xr:uid="{00000000-0004-0000-0200-0000F1010000}"/>
    <hyperlink ref="AB945" r:id="rId463" xr:uid="{00000000-0004-0000-0200-0000F2010000}"/>
    <hyperlink ref="AB612" r:id="rId464" xr:uid="{00000000-0004-0000-0200-0000F3010000}"/>
    <hyperlink ref="AB859" r:id="rId465" xr:uid="{00000000-0004-0000-0200-0000F4010000}"/>
    <hyperlink ref="AB942" r:id="rId466" xr:uid="{00000000-0004-0000-0200-0000F5010000}"/>
    <hyperlink ref="Y957" r:id="rId467" xr:uid="{00000000-0004-0000-0200-0000F6010000}"/>
    <hyperlink ref="AB100" r:id="rId468" xr:uid="{00000000-0004-0000-0200-0000F7010000}"/>
    <hyperlink ref="AB329" r:id="rId469" xr:uid="{00000000-0004-0000-0200-0000FA010000}"/>
    <hyperlink ref="W457:W459" r:id="rId470" display="https://twitter.com/visegrad24/status/1504145180647170060?cxt=HHwWmIC58dGE5t8pAAAA" xr:uid="{00000000-0004-0000-0200-0000FB010000}"/>
    <hyperlink ref="AB457" r:id="rId471" xr:uid="{00000000-0004-0000-0200-0000FC010000}"/>
    <hyperlink ref="W734" r:id="rId472" xr:uid="{00000000-0004-0000-0200-0000FF010000}"/>
    <hyperlink ref="AB552" r:id="rId473" xr:uid="{00000000-0004-0000-0200-000000020000}"/>
    <hyperlink ref="AB555" r:id="rId474" xr:uid="{00000000-0004-0000-0200-000001020000}"/>
    <hyperlink ref="AB554" r:id="rId475" xr:uid="{00000000-0004-0000-0200-000002020000}"/>
    <hyperlink ref="AB553" r:id="rId476" xr:uid="{00000000-0004-0000-0200-000003020000}"/>
    <hyperlink ref="Y212:Y215" r:id="rId477" display="https://news.err.ee/1608555886/estonia-s-220-million-military-aid-to-ukraine-substantially-diversified" xr:uid="{00000000-0004-0000-0200-000004020000}"/>
    <hyperlink ref="AB556" r:id="rId478" xr:uid="{00000000-0004-0000-0200-000005020000}"/>
    <hyperlink ref="V232" r:id="rId479" xr:uid="{00000000-0004-0000-0200-000006020000}"/>
    <hyperlink ref="AB584" r:id="rId480" xr:uid="{00000000-0004-0000-0200-000007020000}"/>
    <hyperlink ref="W811" r:id="rId481" xr:uid="{00000000-0004-0000-0200-000008020000}"/>
    <hyperlink ref="AB641" r:id="rId482" xr:uid="{00000000-0004-0000-0200-000009020000}"/>
    <hyperlink ref="AB642" r:id="rId483" xr:uid="{00000000-0004-0000-0200-00000A020000}"/>
    <hyperlink ref="AB735" r:id="rId484" xr:uid="{00000000-0004-0000-0200-00000B020000}"/>
    <hyperlink ref="AB736" r:id="rId485" xr:uid="{00000000-0004-0000-0200-00000C020000}"/>
    <hyperlink ref="AB772" r:id="rId486" xr:uid="{00000000-0004-0000-0200-00000D020000}"/>
    <hyperlink ref="AB776" r:id="rId487" xr:uid="{00000000-0004-0000-0200-00000E020000}"/>
    <hyperlink ref="AB777" r:id="rId488" xr:uid="{00000000-0004-0000-0200-00000F020000}"/>
    <hyperlink ref="AB779" r:id="rId489" xr:uid="{00000000-0004-0000-0200-000010020000}"/>
    <hyperlink ref="AB806" r:id="rId490" xr:uid="{00000000-0004-0000-0200-000011020000}"/>
    <hyperlink ref="AB831" r:id="rId491" xr:uid="{00000000-0004-0000-0200-000012020000}"/>
    <hyperlink ref="V185" r:id="rId492" xr:uid="{00000000-0004-0000-0200-000013020000}"/>
    <hyperlink ref="AB857" r:id="rId493" xr:uid="{00000000-0004-0000-0200-000014020000}"/>
    <hyperlink ref="AB858" r:id="rId494" xr:uid="{00000000-0004-0000-0200-000015020000}"/>
    <hyperlink ref="AB870" r:id="rId495" xr:uid="{00000000-0004-0000-0200-000016020000}"/>
    <hyperlink ref="AB864" r:id="rId496" xr:uid="{00000000-0004-0000-0200-000017020000}"/>
    <hyperlink ref="W1175" r:id="rId497" xr:uid="{00000000-0004-0000-0200-000019020000}"/>
    <hyperlink ref="V1175" r:id="rId498" xr:uid="{00000000-0004-0000-0200-00001A020000}"/>
    <hyperlink ref="V1176" r:id="rId499" xr:uid="{00000000-0004-0000-0200-00001B020000}"/>
    <hyperlink ref="W1177" r:id="rId500" location=":~:text=Ukraine%3A%20EU%20announces%20new%20aid%20worth%20%E2%82%AC200%20million,Donors%E2%80%99%20Conference%20convened%20jointly%20by%20Poland%20and%20Sweden.?msclkid=2ab08ff4cf8811ec87c245022077fc10" display="https://euneighbourseast.eu/news-and-stories/latest-news/ukraine-eu-announces-new-aid-worth-e200-million-for-displaced-people/#:~:text=Ukraine%3A%20EU%20announces%20new%20aid%20worth%20%E2%82%AC200%20million,Donors%E2%80%99%20Conference%20convened%20jointly%20by%20Poland%20and%20Sweden.?msclkid=2ab08ff4cf8811ec87c245022077fc10" xr:uid="{00000000-0004-0000-0200-00001C020000}"/>
    <hyperlink ref="V1184" r:id="rId501" xr:uid="{00000000-0004-0000-0200-00001D020000}"/>
    <hyperlink ref="V1185" r:id="rId502" xr:uid="{00000000-0004-0000-0200-00001E020000}"/>
    <hyperlink ref="V1186" r:id="rId503" xr:uid="{00000000-0004-0000-0200-00001F020000}"/>
    <hyperlink ref="W1186" r:id="rId504" xr:uid="{00000000-0004-0000-0200-000020020000}"/>
    <hyperlink ref="X1186" r:id="rId505" location=":~:text=The%20European%20Union%20agreed%20on%20the%20third%20tranche,of%20military%20equipment%20to%20the%20Ukrainian%20Armed%20Forces" xr:uid="{00000000-0004-0000-0200-000021020000}"/>
    <hyperlink ref="V1177" r:id="rId506" xr:uid="{00000000-0004-0000-0200-000022020000}"/>
    <hyperlink ref="V1190" r:id="rId507" xr:uid="{00000000-0004-0000-0200-000023020000}"/>
    <hyperlink ref="W1190" r:id="rId508" xr:uid="{00000000-0004-0000-0200-000024020000}"/>
    <hyperlink ref="V1191" r:id="rId509" xr:uid="{00000000-0004-0000-0200-000025020000}"/>
    <hyperlink ref="X1190" r:id="rId510" xr:uid="{00000000-0004-0000-0200-000026020000}"/>
    <hyperlink ref="W1176" r:id="rId511" xr:uid="{00000000-0004-0000-0200-000027020000}"/>
    <hyperlink ref="V1180" r:id="rId512" xr:uid="{00000000-0004-0000-0200-000028020000}"/>
    <hyperlink ref="V1181" r:id="rId513" xr:uid="{00000000-0004-0000-0200-000029020000}"/>
    <hyperlink ref="W1181" r:id="rId514" location=":~:text=Ukraine%3A%20EU%20announces%20%E2%82%AC120%20million%20grant%20to%20support,preparedness%20and%20management%20at%20central%20and%20local%20levels.?msclkid=23e8a2ecd14011ec870c8ad62e34da3e" display="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 xr:uid="{00000000-0004-0000-0200-00002A020000}"/>
    <hyperlink ref="V1182" r:id="rId515" xr:uid="{00000000-0004-0000-0200-00002B020000}"/>
    <hyperlink ref="W1182" r:id="rId516" xr:uid="{00000000-0004-0000-0200-00002C020000}"/>
    <hyperlink ref="W1187" r:id="rId517" xr:uid="{00000000-0004-0000-0200-00002D020000}"/>
    <hyperlink ref="X1187" r:id="rId518" xr:uid="{00000000-0004-0000-0200-00002E020000}"/>
    <hyperlink ref="V1187" r:id="rId519" xr:uid="{00000000-0004-0000-0200-00002F020000}"/>
    <hyperlink ref="V1174" r:id="rId520" location="eu-civil-protection-mechanism" xr:uid="{00000000-0004-0000-0200-000030020000}"/>
    <hyperlink ref="AB44" r:id="rId521" xr:uid="{00000000-0004-0000-0200-000031020000}"/>
    <hyperlink ref="AB45" r:id="rId522" xr:uid="{00000000-0004-0000-0200-000032020000}"/>
    <hyperlink ref="AB46" r:id="rId523" xr:uid="{00000000-0004-0000-0200-000033020000}"/>
    <hyperlink ref="AB43" r:id="rId524" xr:uid="{00000000-0004-0000-0200-000034020000}"/>
    <hyperlink ref="AB94" r:id="rId525" xr:uid="{00000000-0004-0000-0200-000036020000}"/>
    <hyperlink ref="AB95" r:id="rId526" xr:uid="{00000000-0004-0000-0200-000037020000}"/>
    <hyperlink ref="AB106" r:id="rId527" xr:uid="{00000000-0004-0000-0200-000038020000}"/>
    <hyperlink ref="AB107" r:id="rId528" xr:uid="{00000000-0004-0000-0200-000039020000}"/>
    <hyperlink ref="AB113" r:id="rId529" xr:uid="{00000000-0004-0000-0200-00003A020000}"/>
    <hyperlink ref="AB131" r:id="rId530" xr:uid="{00000000-0004-0000-0200-00003B020000}"/>
    <hyperlink ref="AB458" r:id="rId531" xr:uid="{00000000-0004-0000-0200-00003E020000}"/>
    <hyperlink ref="W460" r:id="rId532" display="https://www.republicworld.com/world-news/russia-ukraine-crisis/greece-delivered-unbelievable-amount-of-military-equipment-to-ukraine-report-articleshow.html+" xr:uid="{00000000-0004-0000-0200-00003F020000}"/>
    <hyperlink ref="X460:X466" r:id="rId533" display="https://twitter.com/visegrad24/status/1533567105110507521" xr:uid="{00000000-0004-0000-0200-000040020000}"/>
    <hyperlink ref="V464" r:id="rId534" display="https://www.stripes.com/theaters/us/2022-05-23/ukraine-russia-war-military-weapons-6104132.html" xr:uid="{00000000-0004-0000-0200-000041020000}"/>
    <hyperlink ref="X464" r:id="rId535" display="https://twitter.com/visegrad24/status/1504145180647170060?cxt=HHwWmIC58dGE5t8pAAAA" xr:uid="{00000000-0004-0000-0200-000042020000}"/>
    <hyperlink ref="W464" r:id="rId536" display="https://www.ekathimerini.com/news/1179620/greek-role-within-nato-is-upgraded/" xr:uid="{00000000-0004-0000-0200-000043020000}"/>
    <hyperlink ref="W460:W466" r:id="rId537" display="https://www.armyrecognition.com/defense_news_june_2022_global_security_army_industry/greece_to_donate_bmp-1p_tracked_armored_ifvs_to_ukraine_in_exchange_for_german_marder_1a3/1a5_ifvs.html" xr:uid="{00000000-0004-0000-0200-000044020000}"/>
    <hyperlink ref="W540:W545" r:id="rId538" display="https://twitter.com/edgarsrinkevics/status/1511694357560180745?ref_src=twsrc%5Etfw%7Ctwcamp%5Etweetembed%7Ctwterm%5E1511694357560180745%7Ctwgr%5E%7Ctwcon%5Es1_&amp;ref_url=https%3A%2F%2Fwww.redditmedia.com%2Fmediaembed%2Ftxqhaq%3Fresponsive%3Dtrueis_nightmode%3Dfalse" xr:uid="{00000000-0004-0000-0200-000045020000}"/>
    <hyperlink ref="AB540:AB545" r:id="rId539" display="https://twitter.com/edgarsrinkevics/status/1511694357560180745?ref_src=twsrc%5Etfw%7Ctwcamp%5Etweetembed%7Ctwterm%5E1511694357560180745%7Ctwgr%5E%7Ctwcon%5Es1_&amp;ref_url=https%3A%2F%2Fwww.redditmedia.com%2Fmediaembed%2Ftxqhaq%3Fresponsive%3Dtrueis_nightmode%3Dfalse" xr:uid="{00000000-0004-0000-0200-000046020000}"/>
    <hyperlink ref="V780" r:id="rId540" xr:uid="{00000000-0004-0000-0200-000047020000}"/>
    <hyperlink ref="W780" r:id="rId541" xr:uid="{00000000-0004-0000-0200-000048020000}"/>
    <hyperlink ref="X780" r:id="rId542" xr:uid="{00000000-0004-0000-0200-000049020000}"/>
    <hyperlink ref="V803" r:id="rId543" xr:uid="{00000000-0004-0000-0200-00004A020000}"/>
    <hyperlink ref="W33" r:id="rId544" xr:uid="{00000000-0004-0000-0200-00004B020000}"/>
    <hyperlink ref="V33" r:id="rId545" xr:uid="{00000000-0004-0000-0200-00004C020000}"/>
    <hyperlink ref="V48" r:id="rId546" xr:uid="{00000000-0004-0000-0200-00004D020000}"/>
    <hyperlink ref="V55:V59" r:id="rId547" display="https://mil.in.ua/en/news/belgium-made-a-decision-to-hand-over-artillery-to-ukraine-the-media/" xr:uid="{00000000-0004-0000-0200-00004E020000}"/>
    <hyperlink ref="AB55:AB59" r:id="rId548" display="https://mil.in.ua/en/news/belgium-made-a-decision-to-hand-over-artillery-to-ukraine-the-media/" xr:uid="{00000000-0004-0000-0200-00004F020000}"/>
    <hyperlink ref="W74" r:id="rId549" xr:uid="{00000000-0004-0000-0200-000050020000}"/>
    <hyperlink ref="X74" r:id="rId550" xr:uid="{00000000-0004-0000-0200-000051020000}"/>
    <hyperlink ref="V74" r:id="rId551" xr:uid="{00000000-0004-0000-0200-000052020000}"/>
    <hyperlink ref="V76:V77" r:id="rId552" display="https://www.euractiv.com/section/politics/short_news/bulgaria-sends-helmets-to-ukrain%D0%B5/" xr:uid="{00000000-0004-0000-0200-000053020000}"/>
    <hyperlink ref="AB76:AB77" r:id="rId553" display="https://www.bta.bg/en/news/bulgaria/264039-ukrainian-experts-explore-opportunities-for-military-equipment-repairs-in-bulgar" xr:uid="{00000000-0004-0000-0200-000054020000}"/>
    <hyperlink ref="W76:W77" r:id="rId554" display="https://bnr.bg/en/post/101627966" xr:uid="{00000000-0004-0000-0200-000055020000}"/>
    <hyperlink ref="V137" r:id="rId555" xr:uid="{00000000-0004-0000-0200-000056020000}"/>
    <hyperlink ref="W137" r:id="rId556" xr:uid="{00000000-0004-0000-0200-000057020000}"/>
    <hyperlink ref="V476" r:id="rId557" xr:uid="{00000000-0004-0000-0200-000058020000}"/>
    <hyperlink ref="AB139:AB150" r:id="rId558" display="https://www.vlada.cz/cz/media-centrum/aktualne/vlada-schvalila-dalsi-dar-v-podobe-vojenskeho-materialu-ukrajine-194585/" xr:uid="{00000000-0004-0000-0200-000059020000}"/>
    <hyperlink ref="AB138" r:id="rId559" xr:uid="{00000000-0004-0000-0200-00005A020000}"/>
    <hyperlink ref="V2" r:id="rId560" xr:uid="{00000000-0004-0000-0200-00005B020000}"/>
    <hyperlink ref="W2" r:id="rId561" xr:uid="{00000000-0004-0000-0200-00005C020000}"/>
    <hyperlink ref="AB151:AB156" r:id="rId562" display="https://www.rferl.org/a/czech-republic-poland-new-military-aid-ukraine/31873938.html" xr:uid="{00000000-0004-0000-0200-00005D020000}"/>
    <hyperlink ref="AB158:AB159" r:id="rId563" display="Czech Republic, Poland Set New Rounds Of Military Aid To Ukraine (rferl.org)" xr:uid="{00000000-0004-0000-0200-00005E020000}"/>
    <hyperlink ref="AB157" r:id="rId564" xr:uid="{00000000-0004-0000-0200-00005F020000}"/>
    <hyperlink ref="AB160" r:id="rId565" xr:uid="{00000000-0004-0000-0200-000060020000}"/>
    <hyperlink ref="AB161" r:id="rId566" xr:uid="{00000000-0004-0000-0200-000061020000}"/>
    <hyperlink ref="AB162" r:id="rId567" xr:uid="{00000000-0004-0000-0200-000062020000}"/>
    <hyperlink ref="AB163" r:id="rId568" xr:uid="{00000000-0004-0000-0200-000063020000}"/>
    <hyperlink ref="AB165" r:id="rId569" xr:uid="{00000000-0004-0000-0200-000064020000}"/>
    <hyperlink ref="W5" r:id="rId570" xr:uid="{00000000-0004-0000-0200-000065020000}"/>
    <hyperlink ref="V6" r:id="rId571" xr:uid="{00000000-0004-0000-0200-000066020000}"/>
    <hyperlink ref="W6" r:id="rId572" xr:uid="{00000000-0004-0000-0200-000067020000}"/>
    <hyperlink ref="X6" r:id="rId573" xr:uid="{00000000-0004-0000-0200-000068020000}"/>
    <hyperlink ref="X7" r:id="rId574" xr:uid="{00000000-0004-0000-0200-000069020000}"/>
    <hyperlink ref="V13" r:id="rId575" xr:uid="{00000000-0004-0000-0200-00006A020000}"/>
    <hyperlink ref="AB17:AB18" r:id="rId576" display="https://www.armyrecognition.com/defense_news_may_2022_global_security_army_industry/australia_announces_delivery_of_14_m113_tracked_apcs_and_20_bushmaster_armored_vehicles_to_ukraine.html" xr:uid="{00000000-0004-0000-0200-00006B020000}"/>
    <hyperlink ref="AB13:AB14" r:id="rId577" display="https://www.armyrecognition.com/defense_news_may_2022_global_security_army_industry/australia_announces_delivery_of_14_m113_tracked_apcs_and_20_bushmaster_armored_vehicles_to_ukraine.html" xr:uid="{00000000-0004-0000-0200-00006C020000}"/>
    <hyperlink ref="V7" r:id="rId578" xr:uid="{00000000-0004-0000-0200-00006D020000}"/>
    <hyperlink ref="AB628:AB630" r:id="rId579" display="https://www.rnz.co.nz/news/national/464762/first-shipment-of-nz-defence-equipment-arrives-to-aid-ukraine" xr:uid="{00000000-0004-0000-0200-00006E020000}"/>
    <hyperlink ref="AB645:AB651" r:id="rId580" display="https://www-forsvaret-no.translate.goog/aktuelt-og-presse/aktuelt/sender-militaerutstyr-og-vapen-til-ukraina?_x_tr_sl=auto&amp;_x_tr_tl=auto&amp;_x_tr_hl=de" xr:uid="{00000000-0004-0000-0200-00006F020000}"/>
    <hyperlink ref="V723" r:id="rId581" xr:uid="{00000000-0004-0000-0200-000070020000}"/>
    <hyperlink ref="W723" r:id="rId582" xr:uid="{00000000-0004-0000-0200-000071020000}"/>
    <hyperlink ref="X723" r:id="rId583" xr:uid="{00000000-0004-0000-0200-000072020000}"/>
    <hyperlink ref="AB701" r:id="rId584" xr:uid="{00000000-0004-0000-0200-000073020000}"/>
    <hyperlink ref="W701" r:id="rId585" xr:uid="{00000000-0004-0000-0200-000074020000}"/>
    <hyperlink ref="V701" r:id="rId586" xr:uid="{00000000-0004-0000-0200-000075020000}"/>
    <hyperlink ref="W708" r:id="rId587" xr:uid="{00000000-0004-0000-0200-000076020000}"/>
    <hyperlink ref="V708" r:id="rId588" xr:uid="{00000000-0004-0000-0200-000077020000}"/>
    <hyperlink ref="X708" r:id="rId589" xr:uid="{00000000-0004-0000-0200-000078020000}"/>
    <hyperlink ref="W709" r:id="rId590" xr:uid="{00000000-0004-0000-0200-000079020000}"/>
    <hyperlink ref="V709" r:id="rId591" xr:uid="{00000000-0004-0000-0200-00007A020000}"/>
    <hyperlink ref="W698" r:id="rId592" xr:uid="{00000000-0004-0000-0200-00007B020000}"/>
    <hyperlink ref="V698" r:id="rId593" xr:uid="{00000000-0004-0000-0200-00007C020000}"/>
    <hyperlink ref="V800" r:id="rId594" xr:uid="{00000000-0004-0000-0200-00007D020000}"/>
    <hyperlink ref="V729" r:id="rId595" xr:uid="{00000000-0004-0000-0200-00007E020000}"/>
    <hyperlink ref="X555" r:id="rId596" xr:uid="{00000000-0004-0000-0200-00007F020000}"/>
    <hyperlink ref="V186:V187" r:id="rId597" display="https://english.radio.cz/czech-republic-sends-further-humanitarian-aid-ukraine-8752601" xr:uid="{00000000-0004-0000-0200-000080020000}"/>
    <hyperlink ref="AB186:AB187" r:id="rId598" display="https://english.radio.cz/czech-republic-sends-further-humanitarian-aid-ukraine-8752601" xr:uid="{00000000-0004-0000-0200-000081020000}"/>
    <hyperlink ref="AB212:AB230" r:id="rId599" display="https://www.ukrinform.net/rubric-polytics/3501933-estonia-has-provided-240m-in-military-aid-to-ukraine-korniyenko.html" xr:uid="{00000000-0004-0000-0200-000082020000}"/>
    <hyperlink ref="AB504" r:id="rId600" xr:uid="{00000000-0004-0000-0200-000083020000}"/>
    <hyperlink ref="AB861:AB862" r:id="rId601" display="https://www.forces.net/technology/weapons-and-kit/latest-military-aid-being-sent-ukraine-west" xr:uid="{00000000-0004-0000-0200-000084020000}"/>
    <hyperlink ref="AB947" r:id="rId602" xr:uid="{00000000-0004-0000-0200-000085020000}"/>
    <hyperlink ref="AB943" r:id="rId603" xr:uid="{00000000-0004-0000-0200-000086020000}"/>
    <hyperlink ref="AB966:AB970" r:id="rId604" display="https://frontnews.eu/en/news/details/31081" xr:uid="{00000000-0004-0000-0200-000087020000}"/>
    <hyperlink ref="AB924:AB936" r:id="rId605" display="https://www.thedefensepost.com/2022/04/19/us-arms-arrive-ukraine/" xr:uid="{00000000-0004-0000-0200-000088020000}"/>
    <hyperlink ref="AB653:AB656" r:id="rId606" display="https://www-regjeringen-no.translate.goog/no/aktuelt/norge-har-donert-artilleriskyts-til-ukraina/id2917760/?_x_tr_sl=auto&amp;_x_tr_tl=auto&amp;_x_tr_hl=de" xr:uid="{00000000-0004-0000-0200-000089020000}"/>
    <hyperlink ref="V653:V656" r:id="rId607" display="https://www-regjeringen-no.translate.goog/no/aktuelt/norge-har-donert-artilleriskyts-til-ukraina/id2917760/?_x_tr_sl=auto&amp;_x_tr_tl=auto&amp;_x_tr_hl=de" xr:uid="{00000000-0004-0000-0200-00008A020000}"/>
    <hyperlink ref="W653:W656" r:id="rId608" display="https://www.politico.eu/article/norway-ukraine-donates-howitzers/" xr:uid="{00000000-0004-0000-0200-00008B020000}"/>
    <hyperlink ref="X653:X656" r:id="rId609" display="https://www.ukrinform.net/rubric-ato/3502204-norway-donates-22-m109-howitzers-to-ukraine.html" xr:uid="{00000000-0004-0000-0200-00008C020000}"/>
    <hyperlink ref="AB731" r:id="rId610" xr:uid="{00000000-0004-0000-0200-00008D020000}"/>
    <hyperlink ref="AB806:AB809" r:id="rId611" display="https://www.reuters.com/world/europe/sweden-provide-ukraine-with-5000-more-anti-tank-weapons-tt-news-agency-2022-03-23/" xr:uid="{00000000-0004-0000-0200-00008E020000}"/>
    <hyperlink ref="AB811" r:id="rId612" xr:uid="{00000000-0004-0000-0200-00008F020000}"/>
    <hyperlink ref="Y780" r:id="rId613" xr:uid="{00000000-0004-0000-0200-000090020000}"/>
    <hyperlink ref="AB701:AB707" r:id="rId614" display="https://www.theportugalnews.com/news/2022-04-07/portugal-to-send-more-military-material-to-ukraine/66259" xr:uid="{00000000-0004-0000-0200-000091020000}"/>
    <hyperlink ref="V812:V814" r:id="rId615" display="https://www.government.se/press-releases/2022/06/additional-amending-budget-with-further-support-to-ukraine/" xr:uid="{00000000-0004-0000-0200-000092020000}"/>
    <hyperlink ref="V815" r:id="rId616" xr:uid="{00000000-0004-0000-0200-000093020000}"/>
    <hyperlink ref="V816" r:id="rId617" xr:uid="{00000000-0004-0000-0200-000094020000}"/>
    <hyperlink ref="W812:W814" r:id="rId618" display="https://twitter.com/AnnLinde/status/1532316643254226945?ref_src=twsrc%5Etfw%7Ctwcamp%5Etweetembed%7Ctwterm%5E1532316643254226945%7Ctwgr%5E%7Ctwcon%5Es1_&amp;ref_url=https%3A%2F%2Fmezha.media%2Fen%2F2022%2F06%2F03%2Frbs-17-swedish-short-range-anti-ship-missile%2F" xr:uid="{00000000-0004-0000-0200-000095020000}"/>
    <hyperlink ref="W815" r:id="rId619" display="https://twitter.com/AnnLinde/status/1532316643254226945?ref_src=twsrc%5Etfw%7Ctwcamp%5Etweetembed%7Ctwterm%5E1532316643254226945%7Ctwgr%5E%7Ctwcon%5Es1_&amp;ref_url=https%3A%2F%2Fmezha.media%2Fen%2F2022%2F06%2F03%2Frbs-17-swedish-short-range-anti-ship-missile%2F" xr:uid="{00000000-0004-0000-0200-000096020000}"/>
    <hyperlink ref="W816" r:id="rId620" display="https://twitter.com/AnnLinde/status/1532316643254226945?ref_src=twsrc%5Etfw%7Ctwcamp%5Etweetembed%7Ctwterm%5E1532316643254226945%7Ctwgr%5E%7Ctwcon%5Es1_&amp;ref_url=https%3A%2F%2Fmezha.media%2Fen%2F2022%2F06%2F03%2Frbs-17-swedish-short-range-anti-ship-missile%2F" xr:uid="{00000000-0004-0000-0200-000097020000}"/>
    <hyperlink ref="X812:X814" r:id="rId621" display="https://www.reuters.com/world/europe/sweden-supply-more-military-aid-including-anti-ship-missiles-ukraine-2022-06-02/" xr:uid="{00000000-0004-0000-0200-000098020000}"/>
    <hyperlink ref="X815" r:id="rId622" xr:uid="{00000000-0004-0000-0200-000099020000}"/>
    <hyperlink ref="X816" r:id="rId623" xr:uid="{00000000-0004-0000-0200-00009A020000}"/>
    <hyperlink ref="W506:W509" r:id="rId624" display="https://mil.in.ua/en/news/the-netherlands-italy-and-belgium-have-agreed-to-transfer-the-additional-155-mm-caliber-acs-to-ukraine/" xr:uid="{00000000-0004-0000-0200-00009B020000}"/>
    <hyperlink ref="V5" r:id="rId625" xr:uid="{00000000-0004-0000-0200-00009C020000}"/>
    <hyperlink ref="X922" r:id="rId626" xr:uid="{00000000-0004-0000-0200-00009D020000}"/>
    <hyperlink ref="X923" r:id="rId627" xr:uid="{00000000-0004-0000-0200-00009E020000}"/>
    <hyperlink ref="W15:W16" r:id="rId628" display="https://www.abc.net.au/news/2022-02-27/australia-send-weapons-nato-ukraine-war-russia/100865712" xr:uid="{00000000-0004-0000-0200-00009F020000}"/>
    <hyperlink ref="W179" r:id="rId629" xr:uid="{00000000-0004-0000-0200-0000A0020000}"/>
    <hyperlink ref="X179" r:id="rId630" xr:uid="{00000000-0004-0000-0200-0000A1020000}"/>
    <hyperlink ref="V179" r:id="rId631" xr:uid="{00000000-0004-0000-0200-0000A2020000}"/>
    <hyperlink ref="V300" r:id="rId632" xr:uid="{00000000-0004-0000-0200-0000A3020000}"/>
    <hyperlink ref="W300" r:id="rId633" xr:uid="{00000000-0004-0000-0200-0000A4020000}"/>
    <hyperlink ref="X300" r:id="rId634" xr:uid="{00000000-0004-0000-0200-0000A5020000}"/>
    <hyperlink ref="Y506:Y509" r:id="rId635" display="https://www.ilmessaggero.it/mondo/armi_italia_ucraina_inviate_quali_sono_guerra_russia_ultime_notizie-6743279.html" xr:uid="{00000000-0004-0000-0200-0000A6020000}"/>
    <hyperlink ref="AB959" r:id="rId636" xr:uid="{00000000-0004-0000-0200-0000A7020000}"/>
    <hyperlink ref="W961:W964" r:id="rId637" display="https://www.defense.gov/News/Releases/Release/Article/3023667/pentagon-press-secretary-statement-on-150-million-in-additional-security-assist/" xr:uid="{00000000-0004-0000-0200-0000A8020000}"/>
    <hyperlink ref="AB922" r:id="rId638" xr:uid="{00000000-0004-0000-0200-0000A9020000}"/>
    <hyperlink ref="AB923" r:id="rId639" xr:uid="{00000000-0004-0000-0200-0000AA020000}"/>
    <hyperlink ref="X55:X56" r:id="rId640" display="https://www.thebulletin.be/belgium-send-more-weapons-and-fuel-ukraine" xr:uid="{00000000-0004-0000-0200-0000AB020000}"/>
    <hyperlink ref="X57:X58" r:id="rId641" display="https://www.thebulletin.be/belgium-send-more-weapons-and-fuel-ukraine" xr:uid="{00000000-0004-0000-0200-0000AC020000}"/>
    <hyperlink ref="W129" r:id="rId642" xr:uid="{00000000-0004-0000-0200-0000AD020000}"/>
    <hyperlink ref="AB158" r:id="rId643" xr:uid="{00000000-0004-0000-0200-0000AE020000}"/>
    <hyperlink ref="AB159" r:id="rId644" xr:uid="{00000000-0004-0000-0200-0000AF020000}"/>
    <hyperlink ref="V212:V230" r:id="rId645" location=":~:text=Estonian%20people%2C%20government%20and%20private,aid%20to%20Ukraine%20in%20total &amp;text=Govermental%20aid%20means%20means%20assistance,state%20budget%20through%20state%20agencies" display="https://vm.ee/en/humanitarian-aid-ukraine#:~:text=Estonian%20people%2C%20government%20and%20private,aid%20to%20Ukraine%20in%20total &amp;text=Govermental%20aid%20means%20means%20assistance,state%20budget%20through%20state%20agencies " xr:uid="{00000000-0004-0000-0200-0000B0020000}"/>
    <hyperlink ref="W212:W231" r:id="rId646" display="https://kaitseministeerium.ee/en/news/estonia-donated-missiles-anti-tank-weapon-system-javelin-ukraine" xr:uid="{00000000-0004-0000-0200-0000B1020000}"/>
    <hyperlink ref="X212:X231" r:id="rId647" display="https://news.err.ee/1608589426/estonia-s-military-aid-to-ukraine-totals-230-million" xr:uid="{00000000-0004-0000-0200-0000B2020000}"/>
    <hyperlink ref="AB212:AB231" r:id="rId648" display="https://www.ukrinform.net/rubric-polytics/3501933-estonia-has-provided-240m-in-military-aid-to-ukraine-korniyenko.html" xr:uid="{00000000-0004-0000-0200-0000B3020000}"/>
    <hyperlink ref="V231" r:id="rId649" xr:uid="{00000000-0004-0000-0200-0000B4020000}"/>
    <hyperlink ref="V283:V288" r:id="rId650" display="https://www.diplomatie.gouv.fr/en/country-files/ukraine/news/article/ukraine-france-mobilizes-to-deliver-emergency-medical-aid-to-victims-of-the" xr:uid="{00000000-0004-0000-0200-0000B5020000}"/>
    <hyperlink ref="W283:W288" r:id="rId651" display="https://www.lefigaro.fr/flash-actu/la-france-a-envoye-33-tonnes-d-aide-humanitaire-pour-l-ukraine-20220228" xr:uid="{00000000-0004-0000-0200-0000B6020000}"/>
    <hyperlink ref="X283:X288" r:id="rId652" display="https://www.reuters.com/world/europe/france-offer-100-mln-euros-humanitarian-aid-ukraine-2022-03-01/" xr:uid="{00000000-0004-0000-0200-0000B7020000}"/>
    <hyperlink ref="V290:V294" r:id="rId653" display="https://ec.europa.eu/echo/news-stories/news/ukraine-eu-delivers-additional-assistance-rescue-vehicles-and-emergency-equipment-2022-03-25_de" xr:uid="{00000000-0004-0000-0200-0000B8020000}"/>
    <hyperlink ref="V506:V509" r:id="rId654" display="https://www.gazzettaufficiale.it/atto/serie_generale/caricaDettaglioAtto/originario?atto.dataPubblicazioneGazzetta=2022-05-13&amp;atto.codiceRedazionale=22A02976&amp;elenco30giorni=false" xr:uid="{00000000-0004-0000-0200-0000B9020000}"/>
    <hyperlink ref="X506:X509" r:id="rId655" display="https://www.fanpage.it/politica/armi-allucraina-arriva-il-terzo-decreto-del-governo-lelenco-e-secretato-come-i-precedenti/" xr:uid="{00000000-0004-0000-0200-0000BA020000}"/>
    <hyperlink ref="W857" r:id="rId656" xr:uid="{00000000-0004-0000-0200-0000BB020000}"/>
    <hyperlink ref="V863:V869" r:id="rId657" display="https://www.gov.uk/government/news/uk-to-bolster-defensive-aid-to-ukraine-with-new-100m-package" xr:uid="{00000000-0004-0000-0200-0000BC020000}"/>
    <hyperlink ref="W863:W869" r:id="rId658" display="https://www.gov.uk/government/speeches/pm-opening-remarks-at-press-conference-with-german-chancellor-olaf-scholz-8-april-2022" xr:uid="{00000000-0004-0000-0200-0000BD020000}"/>
    <hyperlink ref="X863:X869" r:id="rId659" display="https://www.gov.uk/government/news/prime-minister-pledges-uks-unwavering-support-to-ukraine-on-visit-to-kyiv-9-april-2022" xr:uid="{00000000-0004-0000-0200-0000BE020000}"/>
    <hyperlink ref="W870:W871" r:id="rId660" display="https://edition.cnn.com/2022/04/09/europe/ukraine-uk-boris-johnson-intl-gbr/index.html" xr:uid="{00000000-0004-0000-0200-0000BF020000}"/>
    <hyperlink ref="V478" r:id="rId661" xr:uid="{00000000-0004-0000-0200-0000C0020000}"/>
    <hyperlink ref="V479:V481" r:id="rId662" display="https://www.youtube.com/watch?v=vzENx6dTpqY" xr:uid="{00000000-0004-0000-0200-0000C1020000}"/>
    <hyperlink ref="V914" r:id="rId663" xr:uid="{00000000-0004-0000-0200-0000C2020000}"/>
    <hyperlink ref="V961:V964" r:id="rId664" display="https://www.whitehouse.gov/briefing-room/statements-releases/2022/05/06/statement-by-president-joe-biden-on-additional-security-assistance-to-ukraine/" xr:uid="{00000000-0004-0000-0200-0000C3020000}"/>
    <hyperlink ref="Y957:Y960" r:id="rId665" display="https://nationalinterest.org/blog/buzz/us-phoenix-ghost-drones-are-helping-ukraine-take-fight-russia-202249" xr:uid="{00000000-0004-0000-0200-0000C4020000}"/>
    <hyperlink ref="V493" r:id="rId666" xr:uid="{00000000-0004-0000-0200-0000C5020000}"/>
    <hyperlink ref="V699" r:id="rId667" xr:uid="{00000000-0004-0000-0200-0000C6020000}"/>
    <hyperlink ref="V713" r:id="rId668" xr:uid="{00000000-0004-0000-0200-0000C8020000}"/>
    <hyperlink ref="V730" r:id="rId669" xr:uid="{00000000-0004-0000-0200-0000C9020000}"/>
    <hyperlink ref="V249" r:id="rId670" xr:uid="{00000000-0004-0000-0200-0000CA020000}"/>
    <hyperlink ref="V250:V252" r:id="rId671" display="https://intermin.fi/en/ukraine/civilian-assistance-to-ukraine" xr:uid="{00000000-0004-0000-0200-0000CB020000}"/>
    <hyperlink ref="V253" r:id="rId672" xr:uid="{00000000-0004-0000-0200-0000CC020000}"/>
    <hyperlink ref="V254" r:id="rId673" xr:uid="{00000000-0004-0000-0200-0000CD020000}"/>
    <hyperlink ref="V255" r:id="rId674" xr:uid="{00000000-0004-0000-0200-0000CE020000}"/>
    <hyperlink ref="V256" r:id="rId675" xr:uid="{00000000-0004-0000-0200-0000CF020000}"/>
    <hyperlink ref="V257" r:id="rId676" xr:uid="{00000000-0004-0000-0200-0000D0020000}"/>
    <hyperlink ref="V258" r:id="rId677" xr:uid="{00000000-0004-0000-0200-0000D1020000}"/>
    <hyperlink ref="V259" r:id="rId678" xr:uid="{00000000-0004-0000-0200-0000D2020000}"/>
    <hyperlink ref="V260" r:id="rId679" xr:uid="{00000000-0004-0000-0200-0000D3020000}"/>
    <hyperlink ref="V261" r:id="rId680" xr:uid="{00000000-0004-0000-0200-0000D4020000}"/>
    <hyperlink ref="Y824" r:id="rId681" xr:uid="{00000000-0004-0000-0200-0000D5020000}"/>
    <hyperlink ref="X4" r:id="rId682" xr:uid="{00000000-0004-0000-0200-0000D6020000}"/>
    <hyperlink ref="V4" r:id="rId683" xr:uid="{00000000-0004-0000-0200-0000D7020000}"/>
    <hyperlink ref="W4" r:id="rId684" xr:uid="{00000000-0004-0000-0200-0000D8020000}"/>
    <hyperlink ref="X17" r:id="rId685" xr:uid="{00000000-0004-0000-0200-0000D9020000}"/>
    <hyperlink ref="Y631" r:id="rId686" xr:uid="{00000000-0004-0000-0200-0000DA020000}"/>
    <hyperlink ref="V636" r:id="rId687" xr:uid="{00000000-0004-0000-0200-0000DB020000}"/>
    <hyperlink ref="V640" r:id="rId688" xr:uid="{00000000-0004-0000-0200-0000DC020000}"/>
    <hyperlink ref="Y653" r:id="rId689" xr:uid="{00000000-0004-0000-0200-0000DD020000}"/>
    <hyperlink ref="V658" r:id="rId690" xr:uid="{00000000-0004-0000-0200-0000DE020000}"/>
    <hyperlink ref="V669" r:id="rId691" xr:uid="{00000000-0004-0000-0200-0000DF020000}"/>
    <hyperlink ref="W669" r:id="rId692" xr:uid="{00000000-0004-0000-0200-0000E0020000}"/>
    <hyperlink ref="V118" r:id="rId693" xr:uid="{00000000-0004-0000-0200-0000E1020000}"/>
    <hyperlink ref="W118" r:id="rId694" display="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xr:uid="{00000000-0004-0000-0200-0000E2020000}"/>
    <hyperlink ref="Y205:Y207" r:id="rId695" display="https://mil.in.ua/en/news/harpoon-what-is-known-about-danish-coastal-missile-systems/" xr:uid="{00000000-0004-0000-0200-0000E3020000}"/>
    <hyperlink ref="Y556:Y558" r:id="rId696" display="https://www.lrt.lt/en/news-in-english/19/1702318/lithuania-among-top-15-of-ukraine-s-military-donors-mp" xr:uid="{00000000-0004-0000-0200-0000E4020000}"/>
    <hyperlink ref="V595" r:id="rId697" xr:uid="{00000000-0004-0000-0200-0000E5020000}"/>
    <hyperlink ref="V595:V610" r:id="rId698" display="https://english.defensie.nl/latest/news/2022/04/06/a-look-at-the-defence-news-28-march---3-april" xr:uid="{00000000-0004-0000-0200-0000E6020000}"/>
    <hyperlink ref="W595" r:id="rId699" xr:uid="{00000000-0004-0000-0200-0000E7020000}"/>
    <hyperlink ref="X595" r:id="rId700" xr:uid="{00000000-0004-0000-0200-0000E8020000}"/>
    <hyperlink ref="Y595" r:id="rId701" xr:uid="{00000000-0004-0000-0200-0000E9020000}"/>
    <hyperlink ref="AB595" r:id="rId702" xr:uid="{00000000-0004-0000-0200-0000EA020000}"/>
    <hyperlink ref="W604" r:id="rId703" xr:uid="{00000000-0004-0000-0200-0000EB020000}"/>
    <hyperlink ref="X604:X607" r:id="rId704" display="https://www.rijksoverheid.nl/documenten/kamerstukken/2022/02/27/kamerbrief-update-afgifte-vergunning-voor-de-export-van-militaire-goederen-aan-oekraine" xr:uid="{00000000-0004-0000-0200-0000EC020000}"/>
    <hyperlink ref="W608" r:id="rId705" xr:uid="{00000000-0004-0000-0200-0000ED020000}"/>
    <hyperlink ref="X482" r:id="rId706" xr:uid="{00000000-0004-0000-0200-0000EE020000}"/>
    <hyperlink ref="W482" r:id="rId707" xr:uid="{00000000-0004-0000-0200-0000EF020000}"/>
    <hyperlink ref="V494" r:id="rId708" location=":~:text=%E2%80%9CIreland%20is%20sending%20another%20significant,the%20wider%20coordinated%20EU%20effort." xr:uid="{00000000-0004-0000-0200-0000F0020000}"/>
    <hyperlink ref="W494" r:id="rId709" xr:uid="{00000000-0004-0000-0200-0000F1020000}"/>
    <hyperlink ref="V17:V18" r:id="rId710" display="https://www.peterdutton.com.au/australia-to-provide-armoured-personnel-carriers-and-more-bushmasters-to-ukraine/" xr:uid="{00000000-0004-0000-0200-0000F2020000}"/>
    <hyperlink ref="V1178" r:id="rId711" xr:uid="{00000000-0004-0000-0200-0000F3020000}"/>
    <hyperlink ref="V716" r:id="rId712" xr:uid="{00000000-0004-0000-0200-0000F4020000}"/>
    <hyperlink ref="W716" r:id="rId713" xr:uid="{00000000-0004-0000-0200-0000F5020000}"/>
    <hyperlink ref="V125" r:id="rId714" xr:uid="{00000000-0004-0000-0200-0000F6020000}"/>
    <hyperlink ref="V126" r:id="rId715" xr:uid="{00000000-0004-0000-0200-0000F7020000}"/>
    <hyperlink ref="Y80" r:id="rId716" xr:uid="{00000000-0004-0000-0200-0000F8020000}"/>
    <hyperlink ref="V166" r:id="rId717" location=":~:text=Ukrainian%20armoured%20vehicles%20will%20be%20repaired%20in%20the%20Czech%20Republic,-19.&amp;text=The%20Ministry%20of%20Defence%20of,the%20Czech%20Republic%20and%20Slovakia." display="https://www.czdefence.com/article/ukrainian-armoured-vehicles-will-be-repaired-in-the-czech-republic#:~:text=Ukrainian%20armoured%20vehicles%20will%20be%20repaired%20in%20the%20Czech%20Republic,-19.&amp;text=The%20Ministry%20of%20Defence%20of,the%20Czech%20Republic%20and%20Slovakia." xr:uid="{00000000-0004-0000-0200-0000F9020000}"/>
    <hyperlink ref="V169" r:id="rId718" xr:uid="{00000000-0004-0000-0200-0000FF020000}"/>
    <hyperlink ref="V170" r:id="rId719" xr:uid="{00000000-0004-0000-0200-000000030000}"/>
    <hyperlink ref="AB170" r:id="rId720" xr:uid="{00000000-0004-0000-0200-000001030000}"/>
    <hyperlink ref="AB171" r:id="rId721" xr:uid="{00000000-0004-0000-0200-000002030000}"/>
    <hyperlink ref="V172" r:id="rId722" xr:uid="{00000000-0004-0000-0200-000003030000}"/>
    <hyperlink ref="W172" r:id="rId723" xr:uid="{00000000-0004-0000-0200-000004030000}"/>
    <hyperlink ref="V173" r:id="rId724" xr:uid="{00000000-0004-0000-0200-000005030000}"/>
    <hyperlink ref="V82" r:id="rId725" location=":~:text=Canada%20will%20provide%20%24200%20million,administrative%20burden%20on%20Ukrainian%20officials" xr:uid="{00000000-0004-0000-0200-000006030000}"/>
    <hyperlink ref="W82" r:id="rId726" xr:uid="{00000000-0004-0000-0200-000007030000}"/>
    <hyperlink ref="V90" r:id="rId727" location=":~:text=Canada%20will%20provide%20%24200%20million,administrative%20burden%20on%20Ukrainian%20officials" xr:uid="{00000000-0004-0000-0200-000008030000}"/>
    <hyperlink ref="W90" r:id="rId728" xr:uid="{00000000-0004-0000-0200-000009030000}"/>
    <hyperlink ref="V91" r:id="rId729" location=":~:text=Canada%20will%20provide%20%24200%20million,administrative%20burden%20on%20Ukrainian%20officials" xr:uid="{00000000-0004-0000-0200-00000A030000}"/>
    <hyperlink ref="V92" r:id="rId730" location=":~:text=Canada%20will%20provide%20%24200%20million,administrative%20burden%20on%20Ukrainian%20officials" xr:uid="{00000000-0004-0000-0200-00000B030000}"/>
    <hyperlink ref="V310" r:id="rId731" xr:uid="{00000000-0004-0000-0200-00000C030000}"/>
    <hyperlink ref="V311" r:id="rId732" xr:uid="{00000000-0004-0000-0200-00000D030000}"/>
    <hyperlink ref="V312" r:id="rId733" xr:uid="{00000000-0004-0000-0200-00000E030000}"/>
    <hyperlink ref="V308" r:id="rId734" xr:uid="{00000000-0004-0000-0200-00000F030000}"/>
    <hyperlink ref="V112" r:id="rId735" xr:uid="{00000000-0004-0000-0200-000010030000}"/>
    <hyperlink ref="V113" r:id="rId736" xr:uid="{00000000-0004-0000-0200-000011030000}"/>
    <hyperlink ref="AB112" r:id="rId737" xr:uid="{00000000-0004-0000-0200-000012030000}"/>
    <hyperlink ref="W112" r:id="rId738" xr:uid="{00000000-0004-0000-0200-000017030000}"/>
    <hyperlink ref="X112" r:id="rId739" xr:uid="{00000000-0004-0000-0200-000018030000}"/>
    <hyperlink ref="V681" r:id="rId740" xr:uid="{00000000-0004-0000-0200-000019030000}"/>
    <hyperlink ref="V682" r:id="rId741" location=":~:text=Poland%20has%20sent%20at%20least,escalating%20fight%20for%20its%20east" xr:uid="{00000000-0004-0000-0200-00001A030000}"/>
    <hyperlink ref="W682" r:id="rId742" xr:uid="{00000000-0004-0000-0200-00001B030000}"/>
    <hyperlink ref="X682" r:id="rId743" xr:uid="{00000000-0004-0000-0200-00001C030000}"/>
    <hyperlink ref="Y682" r:id="rId744" xr:uid="{00000000-0004-0000-0200-00001D030000}"/>
    <hyperlink ref="AB682" r:id="rId745" xr:uid="{00000000-0004-0000-0200-00001E030000}"/>
    <hyperlink ref="AB683" r:id="rId746" xr:uid="{00000000-0004-0000-0200-00001F030000}"/>
    <hyperlink ref="AB684" r:id="rId747" xr:uid="{00000000-0004-0000-0200-000020030000}"/>
    <hyperlink ref="AB685" r:id="rId748" xr:uid="{00000000-0004-0000-0200-000021030000}"/>
    <hyperlink ref="AB686" r:id="rId749" xr:uid="{00000000-0004-0000-0200-000022030000}"/>
    <hyperlink ref="AB687" r:id="rId750" xr:uid="{00000000-0004-0000-0200-000023030000}"/>
    <hyperlink ref="AB688" r:id="rId751" xr:uid="{00000000-0004-0000-0200-000024030000}"/>
    <hyperlink ref="AB689" r:id="rId752" xr:uid="{00000000-0004-0000-0200-000025030000}"/>
    <hyperlink ref="AB690" r:id="rId753" xr:uid="{00000000-0004-0000-0200-000026030000}"/>
    <hyperlink ref="AB691" r:id="rId754" xr:uid="{00000000-0004-0000-0200-000027030000}"/>
    <hyperlink ref="V692" r:id="rId755" location=":~:text=%23Ukraine%3A%20Ukrainian%20forces%20started%20to,the%20front%20of%20the%20drone &amp;text=Warmate%20barrage%20ammunition%20was%20created,of%20Poland%20since%20autumn%202017" display="https://mezha.media/en/2022/04/25/the-warmate-uav-a-polish-alternative-to-the-switchblades-kamikaze-drone-already-in-ukraine/#:~:text=%23Ukraine%3A%20Ukrainian%20forces%20started%20to,the%20front%20of%20the%20drone &amp;text=Warmate%20barrage%20ammunition%20was%20created,of%20Poland%20since%20autumn%202017 " xr:uid="{00000000-0004-0000-0200-000028030000}"/>
    <hyperlink ref="AB692" r:id="rId756" xr:uid="{00000000-0004-0000-0200-000029030000}"/>
    <hyperlink ref="V693" r:id="rId757" xr:uid="{00000000-0004-0000-0200-00002A030000}"/>
    <hyperlink ref="AB693" r:id="rId758" xr:uid="{00000000-0004-0000-0200-00002B030000}"/>
    <hyperlink ref="V740" r:id="rId759" xr:uid="{00000000-0004-0000-0200-00002C030000}"/>
    <hyperlink ref="W740" r:id="rId760" xr:uid="{00000000-0004-0000-0200-00002D030000}"/>
    <hyperlink ref="X740" r:id="rId761" xr:uid="{00000000-0004-0000-0200-00002E030000}"/>
    <hyperlink ref="AB740" r:id="rId762" xr:uid="{00000000-0004-0000-0200-00002F030000}"/>
    <hyperlink ref="V739" r:id="rId763" xr:uid="{00000000-0004-0000-0200-000030030000}"/>
    <hyperlink ref="V760" r:id="rId764" xr:uid="{00000000-0004-0000-0200-000031030000}"/>
    <hyperlink ref="W760" r:id="rId765" xr:uid="{00000000-0004-0000-0200-000032030000}"/>
    <hyperlink ref="X760" r:id="rId766" xr:uid="{00000000-0004-0000-0200-000033030000}"/>
    <hyperlink ref="Y760" r:id="rId767" xr:uid="{00000000-0004-0000-0200-000034030000}"/>
    <hyperlink ref="AB760" r:id="rId768" xr:uid="{00000000-0004-0000-0200-000035030000}"/>
    <hyperlink ref="V839" r:id="rId769" xr:uid="{00000000-0004-0000-0200-000036030000}"/>
    <hyperlink ref="V840" r:id="rId770" xr:uid="{00000000-0004-0000-0200-000037030000}"/>
    <hyperlink ref="V842" r:id="rId771" xr:uid="{00000000-0004-0000-0200-000038030000}"/>
    <hyperlink ref="V843" r:id="rId772" xr:uid="{00000000-0004-0000-0200-000039030000}"/>
    <hyperlink ref="V847" r:id="rId773" xr:uid="{00000000-0004-0000-0200-00003A030000}"/>
    <hyperlink ref="V875" r:id="rId774" xr:uid="{00000000-0004-0000-0200-00003B030000}"/>
    <hyperlink ref="W875" r:id="rId775" xr:uid="{00000000-0004-0000-0200-00003C030000}"/>
    <hyperlink ref="V881" r:id="rId776" xr:uid="{00000000-0004-0000-0200-00003D030000}"/>
    <hyperlink ref="V882" r:id="rId777" xr:uid="{00000000-0004-0000-0200-00003E030000}"/>
    <hyperlink ref="W551" r:id="rId778" xr:uid="{00000000-0004-0000-0200-000042030000}"/>
    <hyperlink ref="V971" r:id="rId779" xr:uid="{00000000-0004-0000-0200-000043030000}"/>
    <hyperlink ref="W971" r:id="rId780" xr:uid="{00000000-0004-0000-0200-000044030000}"/>
    <hyperlink ref="X971" r:id="rId781" xr:uid="{00000000-0004-0000-0200-000045030000}"/>
    <hyperlink ref="Y971" r:id="rId782" xr:uid="{00000000-0004-0000-0200-000046030000}"/>
    <hyperlink ref="X972" r:id="rId783" xr:uid="{00000000-0004-0000-0200-000047030000}"/>
    <hyperlink ref="V982" r:id="rId784" xr:uid="{00000000-0004-0000-0200-000048030000}"/>
    <hyperlink ref="W982" r:id="rId785" xr:uid="{00000000-0004-0000-0200-000049030000}"/>
    <hyperlink ref="X982" r:id="rId786" xr:uid="{00000000-0004-0000-0200-00004A030000}"/>
    <hyperlink ref="V845" r:id="rId787" xr:uid="{00000000-0004-0000-0200-00004F030000}"/>
    <hyperlink ref="AB169" r:id="rId788" xr:uid="{00000000-0004-0000-0200-000050030000}"/>
    <hyperlink ref="AB875" r:id="rId789" xr:uid="{00000000-0004-0000-0200-000053030000}"/>
    <hyperlink ref="V995" r:id="rId790" xr:uid="{00000000-0004-0000-0200-000054030000}"/>
    <hyperlink ref="V1095" r:id="rId791" xr:uid="{00000000-0004-0000-0200-000055030000}"/>
    <hyperlink ref="AB971" r:id="rId792" location=":~:text=On%20June%2023%2C%20Ukraine's%20defense,one%20for%20some%20of%20them.%E2%80%9D" xr:uid="{00000000-0004-0000-0200-000056030000}"/>
    <hyperlink ref="AB961" r:id="rId793" xr:uid="{00000000-0004-0000-0200-000057030000}"/>
    <hyperlink ref="V846" r:id="rId794" xr:uid="{00000000-0004-0000-0200-000058030000}"/>
    <hyperlink ref="X1076" r:id="rId795" xr:uid="{00000000-0004-0000-0200-00005A030000}"/>
    <hyperlink ref="V1076" r:id="rId796" location=":~:text=Through%20USAI%2C%20DoD%20will%20provide,repel%20Russia's%20war%20of%20choice" xr:uid="{00000000-0004-0000-0200-00005B030000}"/>
    <hyperlink ref="W1076" r:id="rId797" xr:uid="{00000000-0004-0000-0200-00005C030000}"/>
    <hyperlink ref="X1076:X1090" r:id="rId798" display="https://www.19fortyfive.com/2022/04/switchblade-the-drone-giving-ukraine-a-big-edge-against-russia/" xr:uid="{00000000-0004-0000-0200-00005D030000}"/>
    <hyperlink ref="V1076:V1090" r:id="rId799" location=":~:text=Through%20USAI%2C%20DoD%20will%20provide,repel%20Russia's%20war%20of%20choice" display="https://www.defense.gov/News/Releases/Release/Article/2987119/defense-department-announces-300-million-in-additional-assistance-for-ukraine/#:~:text=Through%20USAI%2C%20DoD%20will%20provide,repel%20Russia's%20war%20of%20choice" xr:uid="{00000000-0004-0000-0200-00005E030000}"/>
    <hyperlink ref="W1076:W1090" r:id="rId800" display="https://www.whitehouse.gov/briefing-room/press-briefings/2022/04/04/press-briefing-by-press-secretary-jen-psaki-and-national-security-advisor-jake-sullivan/" xr:uid="{00000000-0004-0000-0200-00005F030000}"/>
    <hyperlink ref="Y231" r:id="rId801" xr:uid="{00000000-0004-0000-0200-000060030000}"/>
    <hyperlink ref="X745" r:id="rId802" xr:uid="{00000000-0004-0000-0200-000061030000}"/>
    <hyperlink ref="W745" r:id="rId803" xr:uid="{00000000-0004-0000-0200-000062030000}"/>
    <hyperlink ref="V745" r:id="rId804" xr:uid="{00000000-0004-0000-0200-000063030000}"/>
    <hyperlink ref="V741:V742" r:id="rId805" location=":~:text=June%2016%2C%202022%2C%20at%202%3A26%20a.m.&amp;text=(Reuters)%20%2D%20Slovakia%20has%20donated,defence%20minister%20said%20on%20Thursday" display="https://www.usnews.com/news/world/articles/2022-06-16/slovaks-give-mi-helicopters-grad-rockets-to-ukraine#:~:text=June%2016%2C%202022%2C%20at%202%3A26%20a.m.&amp;text=(Reuters)%20%2D%20Slovakia%20has%20donated,defence%20minister%20said%20on%20Thursday." xr:uid="{00000000-0004-0000-0200-000064030000}"/>
    <hyperlink ref="W741:W742" r:id="rId806" display="https://kyivindependent.com/news-feed/slovakia-supplies-5-helicopters-ammunition-for-grad-multiple-rocket-launchers" xr:uid="{00000000-0004-0000-0200-000065030000}"/>
    <hyperlink ref="X741:X742" r:id="rId807" display="https://kyivindependent.com/news-feed/slovakia-supplies-5-helicopters-ammunition-for-grad-multiple-rocket-launchers" xr:uid="{00000000-0004-0000-0200-000066030000}"/>
    <hyperlink ref="AB741:AB742" r:id="rId808" display="https://twitter.com/JaroNad/status/1537194189066223616?ref_src=twsrc%5Etfw%7Ctwcamp%5Etweetembed%7Ctwterm%5E1537194189066223616%7Ctwgr%5E%7Ctwcon%5Es1_&amp;ref_url=https%3A%2F%2Fgagadget.com%2Fen%2F138212-slovakia-handed-over-to-ukraine-mi-17-and-mi-2-helicopters-as-well-as-ammunition-for-the-grad-mlrs%2F" xr:uid="{00000000-0004-0000-0200-000067030000}"/>
    <hyperlink ref="AB958" r:id="rId809" xr:uid="{00000000-0004-0000-0200-000069030000}"/>
    <hyperlink ref="V54" r:id="rId810" xr:uid="{00000000-0004-0000-0200-00006A030000}"/>
    <hyperlink ref="V78" r:id="rId811" xr:uid="{00000000-0004-0000-0200-00006B030000}"/>
    <hyperlink ref="W78" r:id="rId812" xr:uid="{00000000-0004-0000-0200-00006C030000}"/>
    <hyperlink ref="V130" r:id="rId813" xr:uid="{00000000-0004-0000-0200-00006D030000}"/>
    <hyperlink ref="W130" r:id="rId814" xr:uid="{00000000-0004-0000-0200-00006E030000}"/>
    <hyperlink ref="AB710" r:id="rId815" xr:uid="{00000000-0004-0000-0200-00006F030000}"/>
    <hyperlink ref="V988:V994" r:id="rId816" display="https://www.defense.gov/News/News-Stories/Article/Article/3072692/president-authorizes-another-450-million-drawdown-to-support-ukraine/" xr:uid="{00000000-0004-0000-0200-000070030000}"/>
    <hyperlink ref="V546" r:id="rId817" xr:uid="{00000000-0004-0000-0200-000071030000}"/>
    <hyperlink ref="AB546" r:id="rId818" xr:uid="{00000000-0004-0000-0200-000072030000}"/>
    <hyperlink ref="AB559" r:id="rId819" xr:uid="{00000000-0004-0000-0200-000073030000}"/>
    <hyperlink ref="V559" r:id="rId820" xr:uid="{00000000-0004-0000-0200-000074030000}"/>
    <hyperlink ref="V562" r:id="rId821" xr:uid="{00000000-0004-0000-0200-000075030000}"/>
    <hyperlink ref="W562" r:id="rId822" xr:uid="{00000000-0004-0000-0200-000076030000}"/>
    <hyperlink ref="V781" r:id="rId823" xr:uid="{00000000-0004-0000-0200-000077030000}"/>
    <hyperlink ref="V817" r:id="rId824" xr:uid="{00000000-0004-0000-0200-000078030000}"/>
    <hyperlink ref="W817" r:id="rId825" display="https://twitter.com/AnnLinde/status/1532316643254226945?ref_src=twsrc%5Etfw%7Ctwcamp%5Etweetembed%7Ctwterm%5E1532316643254226945%7Ctwgr%5E%7Ctwcon%5Es1_&amp;ref_url=https%3A%2F%2Fmezha.media%2Fen%2F2022%2F06%2F03%2Frbs-17-swedish-short-range-anti-ship-missile%2F" xr:uid="{00000000-0004-0000-0200-000079030000}"/>
    <hyperlink ref="X817" r:id="rId826" display="https://www.reuters.com/world/europe/sweden-supply-more-military-aid-including-anti-ship-missiles-ukraine-2022-06-02/" xr:uid="{00000000-0004-0000-0200-00007A030000}"/>
    <hyperlink ref="AB874" r:id="rId827" xr:uid="{00000000-0004-0000-0200-00007B030000}"/>
    <hyperlink ref="W874" r:id="rId828" xr:uid="{00000000-0004-0000-0200-00007C030000}"/>
    <hyperlink ref="V874" r:id="rId829" xr:uid="{00000000-0004-0000-0200-00007D030000}"/>
    <hyperlink ref="W559" r:id="rId830" xr:uid="{00000000-0004-0000-0200-00007E030000}"/>
    <hyperlink ref="V313" r:id="rId831" xr:uid="{00000000-0004-0000-0200-00007F030000}"/>
    <hyperlink ref="V694" r:id="rId832" xr:uid="{00000000-0004-0000-0200-000080030000}"/>
    <hyperlink ref="W694" r:id="rId833" xr:uid="{00000000-0004-0000-0200-000081030000}"/>
    <hyperlink ref="AB694" r:id="rId834" xr:uid="{00000000-0004-0000-0200-000082030000}"/>
    <hyperlink ref="V763" r:id="rId835" xr:uid="{00000000-0004-0000-0200-000083030000}"/>
    <hyperlink ref="W763" r:id="rId836" xr:uid="{00000000-0004-0000-0200-000084030000}"/>
    <hyperlink ref="X763" r:id="rId837" xr:uid="{00000000-0004-0000-0200-000085030000}"/>
    <hyperlink ref="AB763" r:id="rId838" xr:uid="{00000000-0004-0000-0200-000086030000}"/>
    <hyperlink ref="V920" r:id="rId839" xr:uid="{00000000-0004-0000-0200-000087030000}"/>
    <hyperlink ref="AB172" r:id="rId840" location=":~:text=The%20Ukrainian%20military%20confirmed%20that%20the%20Armed%20Forces,Of%20Mi-24%20Helicopters%20To%20Ukraine%20May%2027%2C%202022" xr:uid="{00000000-0004-0000-0200-000088030000}"/>
    <hyperlink ref="AB333" r:id="rId841" xr:uid="{00000000-0004-0000-0200-000089030000}"/>
    <hyperlink ref="W510" r:id="rId842" xr:uid="{00000000-0004-0000-0200-00008A030000}"/>
    <hyperlink ref="V510" r:id="rId843" xr:uid="{00000000-0004-0000-0200-00008B030000}"/>
    <hyperlink ref="AB988" r:id="rId844" xr:uid="{00000000-0004-0000-0200-00008C030000}"/>
    <hyperlink ref="V996" r:id="rId845" location=":~:text=The%20Ukrainian%20people%20continue%20to,as%20long%20as%20it%20takes." xr:uid="{00000000-0004-0000-0200-00008D030000}"/>
    <hyperlink ref="V1009:V1010" r:id="rId846" display="https://www.state.gov/biden-harris-administration-announces-550-million-in-new-u-s-military-assistance-for-ukraine/" xr:uid="{00000000-0004-0000-0200-00008E030000}"/>
    <hyperlink ref="W1009:W1010" r:id="rId847" display="https://twitter.com/SecDef/status/1554197040904785921" xr:uid="{00000000-0004-0000-0200-00008F030000}"/>
    <hyperlink ref="V937" r:id="rId848" xr:uid="{00000000-0004-0000-0200-000092030000}"/>
    <hyperlink ref="W937" r:id="rId849" xr:uid="{00000000-0004-0000-0200-000093030000}"/>
    <hyperlink ref="AB937" r:id="rId850" xr:uid="{00000000-0004-0000-0200-000094030000}"/>
    <hyperlink ref="V938:V956" r:id="rId851" display="https://www.defense.gov/News/Releases/Release/Article/3007664/fact-sheet-on-us-security-assistance-for-ukraine-roll-up-as-of-april-21-2022/" xr:uid="{00000000-0004-0000-0200-000095030000}"/>
    <hyperlink ref="V673" r:id="rId852" xr:uid="{00000000-0004-0000-0200-000096030000}"/>
    <hyperlink ref="V659" r:id="rId853" xr:uid="{00000000-0004-0000-0200-000097030000}"/>
    <hyperlink ref="V674" r:id="rId854" xr:uid="{00000000-0004-0000-0200-000098030000}"/>
    <hyperlink ref="V564" r:id="rId855" xr:uid="{00000000-0004-0000-0200-00009A030000}"/>
    <hyperlink ref="W781" r:id="rId856" xr:uid="{00000000-0004-0000-0200-00009B030000}"/>
    <hyperlink ref="V894" r:id="rId857" xr:uid="{00000000-0004-0000-0200-00009C030000}"/>
    <hyperlink ref="W894" r:id="rId858" xr:uid="{00000000-0004-0000-0200-00009D030000}"/>
    <hyperlink ref="V83" r:id="rId859" xr:uid="{00000000-0004-0000-0200-00009E030000}"/>
    <hyperlink ref="V19:V22" r:id="rId860" display="https://www.pm.gov.au/media/visit-kyiv-and-further-australian-support-ukraine" xr:uid="{00000000-0004-0000-0200-00009F030000}"/>
    <hyperlink ref="V23" r:id="rId861" xr:uid="{00000000-0004-0000-0200-0000A0030000}"/>
    <hyperlink ref="W19:W22" r:id="rId862" location=":~:text=The%20Australian%20Government%20will%20provide,more%20Bushmaster%20Protected%20Mobility%20Vehicles" display="https://www.minister.defence.gov.au/minister/rmarles/media-releases/australia-increases-support-ukraine#:~:text=The%20Australian%20Government%20will%20provide,more%20Bushmaster%20Protected%20Mobility%20Vehicles." xr:uid="{00000000-0004-0000-0200-0000A1030000}"/>
    <hyperlink ref="W23" r:id="rId863" location=":~:text=The%20Australian%20Government%20will%20provide,more%20Bushmaster%20Protected%20Mobility%20Vehicles" xr:uid="{00000000-0004-0000-0200-0000A2030000}"/>
    <hyperlink ref="W771" r:id="rId864" xr:uid="{00000000-0004-0000-0200-0000A4030000}"/>
    <hyperlink ref="V771" r:id="rId865" xr:uid="{00000000-0004-0000-0200-0000A5030000}"/>
    <hyperlink ref="W798" r:id="rId866" xr:uid="{00000000-0004-0000-0200-0000A6030000}"/>
    <hyperlink ref="W799" r:id="rId867" xr:uid="{00000000-0004-0000-0200-0000A7030000}"/>
    <hyperlink ref="V799" r:id="rId868" xr:uid="{00000000-0004-0000-0200-0000A8030000}"/>
    <hyperlink ref="V798" r:id="rId869" xr:uid="{00000000-0004-0000-0200-0000A9030000}"/>
    <hyperlink ref="Y863:Y869" r:id="rId870" display="https://www.gov.uk/government/news/uk-to-send-scores-of-artillery-guns-and-hundreds-of-drones-to-ukraine" xr:uid="{00000000-0004-0000-0200-0000AA030000}"/>
    <hyperlink ref="Y482" r:id="rId871" xr:uid="{00000000-0004-0000-0200-0000AB030000}"/>
    <hyperlink ref="Y555" r:id="rId872" xr:uid="{00000000-0004-0000-0200-0000AC030000}"/>
    <hyperlink ref="W762" r:id="rId873" xr:uid="{00000000-0004-0000-0200-0000AD030000}"/>
    <hyperlink ref="V762" r:id="rId874" xr:uid="{00000000-0004-0000-0200-0000AE030000}"/>
    <hyperlink ref="AB762" r:id="rId875" xr:uid="{00000000-0004-0000-0200-0000AF030000}"/>
    <hyperlink ref="V626" r:id="rId876" xr:uid="{00000000-0004-0000-0200-0000B0030000}"/>
    <hyperlink ref="AB996" r:id="rId877" xr:uid="{00000000-0004-0000-0200-0000B1030000}"/>
    <hyperlink ref="W1005" r:id="rId878" xr:uid="{00000000-0004-0000-0200-0000B3030000}"/>
    <hyperlink ref="V1080" r:id="rId879" location=":~:text=Through%20USAI%2C%20DoD%20will%20provide,repel%20Russia's%20war%20of%20choice" xr:uid="{00000000-0004-0000-0200-0000B4030000}"/>
    <hyperlink ref="W544" r:id="rId880" display="https://twitter.com/edgarsrinkevics/status/1511694357560180745?ref_src=twsrc%5Etfw%7Ctwcamp%5Etweetembed%7Ctwterm%5E1511694357560180745%7Ctwgr%5E%7Ctwcon%5Es1_&amp;ref_url=https%3A%2F%2Fwww.redditmedia.com%2Fmediaembed%2Ftxqhaq%3Fresponsive%3Dtrueis_nightmode%3Dfalse" xr:uid="{00000000-0004-0000-0200-0000B5030000}"/>
    <hyperlink ref="X544" r:id="rId881" xr:uid="{00000000-0004-0000-0200-0000B6030000}"/>
    <hyperlink ref="Y544" r:id="rId882" xr:uid="{00000000-0004-0000-0200-0000B7030000}"/>
    <hyperlink ref="V215" r:id="rId883" location=":~:text=Estonian%20people%2C%20government%20and%20private,aid%20to%20Ukraine%20in%20total &amp;text=Govermental%20aid%20means%20means%20assistance,state%20budget%20through%20state%20agencies " xr:uid="{00000000-0004-0000-0200-0000B8030000}"/>
    <hyperlink ref="V38" r:id="rId884" xr:uid="{00000000-0004-0000-0200-0000BC030000}"/>
    <hyperlink ref="V265" r:id="rId885" xr:uid="{00000000-0004-0000-0200-0000C2030000}"/>
    <hyperlink ref="V282" r:id="rId886" xr:uid="{00000000-0004-0000-0200-0000C3030000}"/>
    <hyperlink ref="V263" r:id="rId887" location=":~:text=Since%20February%2C%20Finland%20has%20sent,is%20over%20EUR%20two%20million" xr:uid="{00000000-0004-0000-0200-0000C4030000}"/>
    <hyperlink ref="V467" r:id="rId888" xr:uid="{00000000-0004-0000-0200-0000C5030000}"/>
    <hyperlink ref="V547" r:id="rId889" xr:uid="{00000000-0004-0000-0200-0000C6030000}"/>
    <hyperlink ref="W547" r:id="rId890" xr:uid="{00000000-0004-0000-0200-0000C7030000}"/>
    <hyperlink ref="AB547" r:id="rId891" xr:uid="{00000000-0004-0000-0200-0000C8030000}"/>
    <hyperlink ref="V548" r:id="rId892" xr:uid="{00000000-0004-0000-0200-0000C9030000}"/>
    <hyperlink ref="W548" r:id="rId893" xr:uid="{00000000-0004-0000-0200-0000CA030000}"/>
    <hyperlink ref="AB548" r:id="rId894" xr:uid="{00000000-0004-0000-0200-0000CB030000}"/>
    <hyperlink ref="V549" r:id="rId895"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00000000-0004-0000-0200-0000CC030000}"/>
    <hyperlink ref="AB549" r:id="rId896"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00000000-0004-0000-0200-0000CD030000}"/>
    <hyperlink ref="W566" r:id="rId897"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CE030000}"/>
    <hyperlink ref="V627" r:id="rId898" xr:uid="{00000000-0004-0000-0200-0000D0030000}"/>
    <hyperlink ref="V615" r:id="rId899" xr:uid="{00000000-0004-0000-0200-0000D1030000}"/>
    <hyperlink ref="V818" r:id="rId900" xr:uid="{00000000-0004-0000-0200-0000D2030000}"/>
    <hyperlink ref="X818" r:id="rId901" xr:uid="{00000000-0004-0000-0200-0000D3030000}"/>
    <hyperlink ref="Y818" r:id="rId902" xr:uid="{00000000-0004-0000-0200-0000D4030000}"/>
    <hyperlink ref="AB818" r:id="rId903" xr:uid="{00000000-0004-0000-0200-0000D5030000}"/>
    <hyperlink ref="V822" r:id="rId904" xr:uid="{00000000-0004-0000-0200-0000D6030000}"/>
    <hyperlink ref="X822" r:id="rId905" xr:uid="{00000000-0004-0000-0200-0000D7030000}"/>
    <hyperlink ref="X83" r:id="rId906" xr:uid="{00000000-0004-0000-0200-0000E0030000}"/>
    <hyperlink ref="V93" r:id="rId907" xr:uid="{00000000-0004-0000-0200-0000E1030000}"/>
    <hyperlink ref="V84" r:id="rId908" xr:uid="{00000000-0004-0000-0200-0000E2030000}"/>
    <hyperlink ref="V888" r:id="rId909" xr:uid="{00000000-0004-0000-0200-0000E3030000}"/>
    <hyperlink ref="V889" r:id="rId910" xr:uid="{00000000-0004-0000-0200-0000E4030000}"/>
    <hyperlink ref="V891" r:id="rId911" xr:uid="{00000000-0004-0000-0200-0000E5030000}"/>
    <hyperlink ref="V892" r:id="rId912" xr:uid="{00000000-0004-0000-0200-0000E6030000}"/>
    <hyperlink ref="AB889" r:id="rId913" display="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xr:uid="{00000000-0004-0000-0200-0000E7030000}"/>
    <hyperlink ref="V661" r:id="rId914" xr:uid="{00000000-0004-0000-0200-0000E8030000}"/>
    <hyperlink ref="V662" r:id="rId915" xr:uid="{00000000-0004-0000-0200-0000E9030000}"/>
    <hyperlink ref="V663" r:id="rId916" xr:uid="{00000000-0004-0000-0200-0000EA030000}"/>
    <hyperlink ref="V664" r:id="rId917" xr:uid="{00000000-0004-0000-0200-0000EB030000}"/>
    <hyperlink ref="V60" r:id="rId918" xr:uid="{00000000-0004-0000-0200-0000ED030000}"/>
    <hyperlink ref="V61" r:id="rId919" xr:uid="{00000000-0004-0000-0200-0000EE030000}"/>
    <hyperlink ref="V62" r:id="rId920" xr:uid="{00000000-0004-0000-0200-0000EF030000}"/>
    <hyperlink ref="V63" r:id="rId921" xr:uid="{00000000-0004-0000-0200-0000F0030000}"/>
    <hyperlink ref="V64" r:id="rId922" xr:uid="{00000000-0004-0000-0200-0000F1030000}"/>
    <hyperlink ref="V65" r:id="rId923" xr:uid="{00000000-0004-0000-0200-0000F2030000}"/>
    <hyperlink ref="V66" r:id="rId924" xr:uid="{00000000-0004-0000-0200-0000F3030000}"/>
    <hyperlink ref="V67" r:id="rId925" xr:uid="{00000000-0004-0000-0200-0000F4030000}"/>
    <hyperlink ref="V68" r:id="rId926" xr:uid="{00000000-0004-0000-0200-0000F5030000}"/>
    <hyperlink ref="V69" r:id="rId927" xr:uid="{00000000-0004-0000-0200-0000F6030000}"/>
    <hyperlink ref="V314" r:id="rId928" xr:uid="{00000000-0004-0000-0200-0000F9030000}"/>
    <hyperlink ref="V315" r:id="rId929" xr:uid="{00000000-0004-0000-0200-0000FA030000}"/>
    <hyperlink ref="V318" r:id="rId930" xr:uid="{00000000-0004-0000-0200-0000FB030000}"/>
    <hyperlink ref="V322" r:id="rId931" xr:uid="{00000000-0004-0000-0200-0000FC030000}"/>
    <hyperlink ref="V323" r:id="rId932" xr:uid="{00000000-0004-0000-0200-0000FD030000}"/>
    <hyperlink ref="V483" r:id="rId933"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00000000-0004-0000-0200-0000FE030000}"/>
    <hyperlink ref="W483" r:id="rId934" xr:uid="{00000000-0004-0000-0200-0000FF030000}"/>
    <hyperlink ref="AB483" r:id="rId935"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00000000-0004-0000-0200-000000040000}"/>
    <hyperlink ref="V517" r:id="rId936" xr:uid="{00000000-0004-0000-0200-000001040000}"/>
    <hyperlink ref="V695" r:id="rId937" xr:uid="{00000000-0004-0000-0200-000002040000}"/>
    <hyperlink ref="W695" r:id="rId938" xr:uid="{00000000-0004-0000-0200-000003040000}"/>
    <hyperlink ref="X695" r:id="rId939" xr:uid="{00000000-0004-0000-0200-000004040000}"/>
    <hyperlink ref="AB695" r:id="rId940" xr:uid="{00000000-0004-0000-0200-000005040000}"/>
    <hyperlink ref="V832" r:id="rId941" xr:uid="{00000000-0004-0000-0200-000007040000}"/>
    <hyperlink ref="AB832" r:id="rId942" xr:uid="{00000000-0004-0000-0200-000008040000}"/>
    <hyperlink ref="V1022" r:id="rId943" xr:uid="{00000000-0004-0000-0200-000009040000}"/>
    <hyperlink ref="V1023" r:id="rId944" xr:uid="{00000000-0004-0000-0200-00000A040000}"/>
    <hyperlink ref="V1024" r:id="rId945" xr:uid="{00000000-0004-0000-0200-00000B040000}"/>
    <hyperlink ref="V1025" r:id="rId946" xr:uid="{00000000-0004-0000-0200-00000C040000}"/>
    <hyperlink ref="V1026" r:id="rId947" xr:uid="{00000000-0004-0000-0200-00000D040000}"/>
    <hyperlink ref="V1027" r:id="rId948" xr:uid="{00000000-0004-0000-0200-00000E040000}"/>
    <hyperlink ref="V1028" r:id="rId949" xr:uid="{00000000-0004-0000-0200-00000F040000}"/>
    <hyperlink ref="V1029" r:id="rId950" xr:uid="{00000000-0004-0000-0200-000010040000}"/>
    <hyperlink ref="V1030" r:id="rId951" xr:uid="{00000000-0004-0000-0200-000011040000}"/>
    <hyperlink ref="V1031" r:id="rId952" xr:uid="{00000000-0004-0000-0200-000012040000}"/>
    <hyperlink ref="V1032" r:id="rId953" xr:uid="{00000000-0004-0000-0200-000013040000}"/>
    <hyperlink ref="V1033" r:id="rId954" xr:uid="{00000000-0004-0000-0200-000014040000}"/>
    <hyperlink ref="V1034" r:id="rId955" xr:uid="{00000000-0004-0000-0200-000015040000}"/>
    <hyperlink ref="V1035" r:id="rId956" xr:uid="{00000000-0004-0000-0200-000016040000}"/>
    <hyperlink ref="V1039" r:id="rId957" xr:uid="{00000000-0004-0000-0200-000017040000}"/>
    <hyperlink ref="V1040" r:id="rId958" xr:uid="{00000000-0004-0000-0200-000018040000}"/>
    <hyperlink ref="V1041" r:id="rId959" xr:uid="{00000000-0004-0000-0200-000019040000}"/>
    <hyperlink ref="V1042" r:id="rId960" xr:uid="{00000000-0004-0000-0200-00001A040000}"/>
    <hyperlink ref="V1043" r:id="rId961" xr:uid="{00000000-0004-0000-0200-00001B040000}"/>
    <hyperlink ref="V1044" r:id="rId962" xr:uid="{00000000-0004-0000-0200-00001C040000}"/>
    <hyperlink ref="V1045" r:id="rId963" xr:uid="{00000000-0004-0000-0200-00001D040000}"/>
    <hyperlink ref="V1046" r:id="rId964" xr:uid="{00000000-0004-0000-0200-00001E040000}"/>
    <hyperlink ref="V1047" r:id="rId965" xr:uid="{00000000-0004-0000-0200-00001F040000}"/>
    <hyperlink ref="V1048" r:id="rId966" xr:uid="{00000000-0004-0000-0200-000020040000}"/>
    <hyperlink ref="V1049" r:id="rId967" xr:uid="{00000000-0004-0000-0200-000021040000}"/>
    <hyperlink ref="V1051" r:id="rId968" xr:uid="{00000000-0004-0000-0200-000022040000}"/>
    <hyperlink ref="V1052" r:id="rId969" xr:uid="{00000000-0004-0000-0200-000023040000}"/>
    <hyperlink ref="V1053" r:id="rId970" xr:uid="{00000000-0004-0000-0200-000024040000}"/>
    <hyperlink ref="V1054" r:id="rId971" xr:uid="{00000000-0004-0000-0200-000025040000}"/>
    <hyperlink ref="V1055" r:id="rId972" xr:uid="{00000000-0004-0000-0200-000026040000}"/>
    <hyperlink ref="V1056" r:id="rId973" xr:uid="{00000000-0004-0000-0200-000027040000}"/>
    <hyperlink ref="V1057" r:id="rId974" xr:uid="{00000000-0004-0000-0200-000028040000}"/>
    <hyperlink ref="V1058" r:id="rId975" xr:uid="{00000000-0004-0000-0200-000029040000}"/>
    <hyperlink ref="V1059" r:id="rId976" xr:uid="{00000000-0004-0000-0200-00002A040000}"/>
    <hyperlink ref="V1060" r:id="rId977" xr:uid="{00000000-0004-0000-0200-00002B040000}"/>
    <hyperlink ref="V1061" r:id="rId978" xr:uid="{00000000-0004-0000-0200-00002C040000}"/>
    <hyperlink ref="V1062" r:id="rId979" xr:uid="{00000000-0004-0000-0200-00002D040000}"/>
    <hyperlink ref="V1099" r:id="rId980" xr:uid="{00000000-0004-0000-0200-00002E040000}"/>
    <hyperlink ref="V1100" r:id="rId981" xr:uid="{00000000-0004-0000-0200-00002F040000}"/>
    <hyperlink ref="V1101" r:id="rId982" xr:uid="{00000000-0004-0000-0200-000030040000}"/>
    <hyperlink ref="V1102" r:id="rId983" xr:uid="{00000000-0004-0000-0200-000031040000}"/>
    <hyperlink ref="V1103" r:id="rId984" xr:uid="{00000000-0004-0000-0200-000032040000}"/>
    <hyperlink ref="V1104" r:id="rId985" xr:uid="{00000000-0004-0000-0200-000033040000}"/>
    <hyperlink ref="V1105" r:id="rId986" xr:uid="{00000000-0004-0000-0200-000034040000}"/>
    <hyperlink ref="V1106" r:id="rId987" xr:uid="{00000000-0004-0000-0200-000035040000}"/>
    <hyperlink ref="V1107" r:id="rId988" xr:uid="{00000000-0004-0000-0200-000036040000}"/>
    <hyperlink ref="V1108" r:id="rId989" xr:uid="{00000000-0004-0000-0200-000037040000}"/>
    <hyperlink ref="V1109" r:id="rId990" xr:uid="{00000000-0004-0000-0200-000038040000}"/>
    <hyperlink ref="V1110" r:id="rId991" xr:uid="{00000000-0004-0000-0200-000039040000}"/>
    <hyperlink ref="V1111" r:id="rId992" xr:uid="{00000000-0004-0000-0200-00003A040000}"/>
    <hyperlink ref="V1112" r:id="rId993" xr:uid="{00000000-0004-0000-0200-00003B040000}"/>
    <hyperlink ref="V1113" r:id="rId994" xr:uid="{00000000-0004-0000-0200-00003C040000}"/>
    <hyperlink ref="V1114" r:id="rId995" xr:uid="{00000000-0004-0000-0200-00003D040000}"/>
    <hyperlink ref="V1115" r:id="rId996" xr:uid="{00000000-0004-0000-0200-00003E040000}"/>
    <hyperlink ref="V1116" r:id="rId997" xr:uid="{00000000-0004-0000-0200-00003F040000}"/>
    <hyperlink ref="V1117" r:id="rId998" xr:uid="{00000000-0004-0000-0200-000040040000}"/>
    <hyperlink ref="V1118" r:id="rId999" xr:uid="{00000000-0004-0000-0200-000041040000}"/>
    <hyperlink ref="V1119" r:id="rId1000" xr:uid="{00000000-0004-0000-0200-000042040000}"/>
    <hyperlink ref="V1127" r:id="rId1001" xr:uid="{00000000-0004-0000-0200-000043040000}"/>
    <hyperlink ref="V1173" r:id="rId1002" xr:uid="{00000000-0004-0000-0200-000045040000}"/>
    <hyperlink ref="W20" r:id="rId1003" location=":~:text=The%20Australian%20Government%20will%20provide,more%20Bushmaster%20Protected%20Mobility%20Vehicles" xr:uid="{00000000-0004-0000-0200-000047040000}"/>
    <hyperlink ref="V12" r:id="rId1004" xr:uid="{00000000-0004-0000-0200-000048040000}"/>
    <hyperlink ref="X5" r:id="rId1005" xr:uid="{00000000-0004-0000-0200-000049040000}"/>
    <hyperlink ref="Y34" r:id="rId1006" xr:uid="{00000000-0004-0000-0200-00004A040000}"/>
    <hyperlink ref="V1063" r:id="rId1007" xr:uid="{00000000-0004-0000-0200-00004B040000}"/>
    <hyperlink ref="V1064" r:id="rId1008" xr:uid="{00000000-0004-0000-0200-00004C040000}"/>
    <hyperlink ref="V1050" r:id="rId1009" xr:uid="{00000000-0004-0000-0200-00004D040000}"/>
    <hyperlink ref="V1120" r:id="rId1010" xr:uid="{00000000-0004-0000-0200-00004E040000}"/>
    <hyperlink ref="W12" r:id="rId1011" xr:uid="{00000000-0004-0000-0200-00004F040000}"/>
    <hyperlink ref="Y23" r:id="rId1012" xr:uid="{00000000-0004-0000-0200-000050040000}"/>
    <hyperlink ref="Y3" r:id="rId1013" xr:uid="{00000000-0004-0000-0200-000051040000}"/>
    <hyperlink ref="W38" r:id="rId1014" xr:uid="{00000000-0004-0000-0200-000055040000}"/>
    <hyperlink ref="W60" r:id="rId1015" display="https://twitter.com/hadjalahbib/status/1562721777649799170?ref_src=twsrc%5Etfw%7Ctwcamp%5Etweetembed%7Ctwterm%5E1562721777649799170%7Ctwgr%5E69cb6a35c6fc5375ee1777ba5e3491bf84fd300f%7Ctwcon%5Es1_&amp;ref_url=https%3A%2F%2Fbabel.ua%2Fen%2Fnews%2F83487-belgium-allocated-8-million-for-non-lethal-aid-to-ukraine" xr:uid="{00000000-0004-0000-0200-000056040000}"/>
    <hyperlink ref="W83" r:id="rId1016" xr:uid="{00000000-0004-0000-0200-000057040000}"/>
    <hyperlink ref="X60" r:id="rId1017" xr:uid="{00000000-0004-0000-0200-000058040000}"/>
    <hyperlink ref="X61" r:id="rId1018" xr:uid="{00000000-0004-0000-0200-000059040000}"/>
    <hyperlink ref="X62" r:id="rId1019" xr:uid="{00000000-0004-0000-0200-00005A040000}"/>
    <hyperlink ref="X63" r:id="rId1020" xr:uid="{00000000-0004-0000-0200-00005B040000}"/>
    <hyperlink ref="Y60" r:id="rId1021" xr:uid="{00000000-0004-0000-0200-00005C040000}"/>
    <hyperlink ref="Y61" r:id="rId1022" xr:uid="{00000000-0004-0000-0200-00005D040000}"/>
    <hyperlink ref="Y62" r:id="rId1023" xr:uid="{00000000-0004-0000-0200-00005E040000}"/>
    <hyperlink ref="Y63" r:id="rId1024" xr:uid="{00000000-0004-0000-0200-00005F040000}"/>
    <hyperlink ref="W64" r:id="rId1025" xr:uid="{00000000-0004-0000-0200-000060040000}"/>
    <hyperlink ref="X64" r:id="rId1026" xr:uid="{00000000-0004-0000-0200-000061040000}"/>
    <hyperlink ref="X65" r:id="rId1027" xr:uid="{00000000-0004-0000-0200-000062040000}"/>
    <hyperlink ref="X66" r:id="rId1028" xr:uid="{00000000-0004-0000-0200-000063040000}"/>
    <hyperlink ref="X67" r:id="rId1029" xr:uid="{00000000-0004-0000-0200-000064040000}"/>
    <hyperlink ref="X68" r:id="rId1030" xr:uid="{00000000-0004-0000-0200-000065040000}"/>
    <hyperlink ref="X69" r:id="rId1031" xr:uid="{00000000-0004-0000-0200-000066040000}"/>
    <hyperlink ref="V563" r:id="rId1032" xr:uid="{00000000-0004-0000-0200-00006A040000}"/>
    <hyperlink ref="W563" r:id="rId1033" xr:uid="{00000000-0004-0000-0200-00006B040000}"/>
    <hyperlink ref="W567" r:id="rId1034" xr:uid="{00000000-0004-0000-0200-00006C040000}"/>
    <hyperlink ref="V70" r:id="rId1035" xr:uid="{00000000-0004-0000-0200-00006F040000}"/>
    <hyperlink ref="X70" r:id="rId1036" xr:uid="{00000000-0004-0000-0200-000070040000}"/>
    <hyperlink ref="V71" r:id="rId1037" xr:uid="{00000000-0004-0000-0200-000071040000}"/>
    <hyperlink ref="X71" r:id="rId1038" xr:uid="{00000000-0004-0000-0200-000072040000}"/>
    <hyperlink ref="W744" r:id="rId1039" xr:uid="{00000000-0004-0000-0200-000073040000}"/>
    <hyperlink ref="V744" r:id="rId1040" xr:uid="{00000000-0004-0000-0200-000074040000}"/>
    <hyperlink ref="Y131" r:id="rId1041" xr:uid="{00000000-0004-0000-0200-000075040000}"/>
    <hyperlink ref="V135" r:id="rId1042" xr:uid="{00000000-0004-0000-0200-000076040000}"/>
    <hyperlink ref="V136" r:id="rId1043" xr:uid="{00000000-0004-0000-0200-000077040000}"/>
    <hyperlink ref="W136" r:id="rId1044" xr:uid="{00000000-0004-0000-0200-000078040000}"/>
    <hyperlink ref="W232" r:id="rId1045" xr:uid="{00000000-0004-0000-0200-000079040000}"/>
    <hyperlink ref="W314:W323" r:id="rId1046" display="https://www.euronews.com/2022/09/29/cargo-ship-with-1000-tonnes-of-ukraine-aid-sets-sail-from-marseille" xr:uid="{00000000-0004-0000-0200-00007A040000}"/>
    <hyperlink ref="X314:X323" r:id="rId1047" display="https://www.diplomatie.gouv.fr/en/country-files/ukraine/news/article/ukraine-catherine-colonna-to-attend-the-launch-of-solidarity-operation-un" xr:uid="{00000000-0004-0000-0200-00007C040000}"/>
    <hyperlink ref="V316" r:id="rId1048" xr:uid="{00000000-0004-0000-0200-00007E040000}"/>
    <hyperlink ref="W316" r:id="rId1049" xr:uid="{00000000-0004-0000-0200-00007F040000}"/>
    <hyperlink ref="X316" r:id="rId1050" xr:uid="{00000000-0004-0000-0200-000080040000}"/>
    <hyperlink ref="W317" r:id="rId1051" xr:uid="{00000000-0004-0000-0200-000081040000}"/>
    <hyperlink ref="X317" r:id="rId1052" xr:uid="{00000000-0004-0000-0200-000082040000}"/>
    <hyperlink ref="V317" r:id="rId1053" xr:uid="{00000000-0004-0000-0200-000083040000}"/>
    <hyperlink ref="W317" r:id="rId1054" xr:uid="{00000000-0004-0000-0200-000084040000}"/>
    <hyperlink ref="X317" r:id="rId1055" xr:uid="{00000000-0004-0000-0200-000085040000}"/>
    <hyperlink ref="W319" r:id="rId1056" xr:uid="{00000000-0004-0000-0200-000086040000}"/>
    <hyperlink ref="X319" r:id="rId1057" xr:uid="{00000000-0004-0000-0200-000087040000}"/>
    <hyperlink ref="V319" r:id="rId1058" xr:uid="{00000000-0004-0000-0200-000088040000}"/>
    <hyperlink ref="W319" r:id="rId1059" xr:uid="{00000000-0004-0000-0200-000089040000}"/>
    <hyperlink ref="X319" r:id="rId1060" xr:uid="{00000000-0004-0000-0200-00008A040000}"/>
    <hyperlink ref="W320" r:id="rId1061" xr:uid="{00000000-0004-0000-0200-00008B040000}"/>
    <hyperlink ref="X320" r:id="rId1062" xr:uid="{00000000-0004-0000-0200-00008C040000}"/>
    <hyperlink ref="V320" r:id="rId1063" xr:uid="{00000000-0004-0000-0200-00008D040000}"/>
    <hyperlink ref="W320" r:id="rId1064" xr:uid="{00000000-0004-0000-0200-00008E040000}"/>
    <hyperlink ref="X320" r:id="rId1065" xr:uid="{00000000-0004-0000-0200-00008F040000}"/>
    <hyperlink ref="W321" r:id="rId1066" xr:uid="{00000000-0004-0000-0200-000090040000}"/>
    <hyperlink ref="X321" r:id="rId1067" xr:uid="{00000000-0004-0000-0200-000091040000}"/>
    <hyperlink ref="V321" r:id="rId1068" xr:uid="{00000000-0004-0000-0200-000092040000}"/>
    <hyperlink ref="W321" r:id="rId1069" xr:uid="{00000000-0004-0000-0200-000093040000}"/>
    <hyperlink ref="X321" r:id="rId1070" xr:uid="{00000000-0004-0000-0200-000094040000}"/>
    <hyperlink ref="W345" r:id="rId1071" xr:uid="{00000000-0004-0000-0200-000095040000}"/>
    <hyperlink ref="V345" r:id="rId1072" xr:uid="{00000000-0004-0000-0200-000096040000}"/>
    <hyperlink ref="V909" r:id="rId1073" xr:uid="{00000000-0004-0000-0200-00009A040000}"/>
    <hyperlink ref="W909" r:id="rId1074" xr:uid="{00000000-0004-0000-0200-00009B040000}"/>
    <hyperlink ref="V244" r:id="rId1075" xr:uid="{00000000-0004-0000-0200-00009F040000}"/>
    <hyperlink ref="W244" r:id="rId1076" xr:uid="{00000000-0004-0000-0200-0000A0040000}"/>
    <hyperlink ref="V246" r:id="rId1077" xr:uid="{00000000-0004-0000-0200-0000A1040000}"/>
    <hyperlink ref="W246" r:id="rId1078" xr:uid="{00000000-0004-0000-0200-0000A2040000}"/>
    <hyperlink ref="X246" r:id="rId1079" xr:uid="{00000000-0004-0000-0200-0000A3040000}"/>
    <hyperlink ref="V233" r:id="rId1080" xr:uid="{00000000-0004-0000-0200-0000A4040000}"/>
    <hyperlink ref="W233" r:id="rId1081" xr:uid="{00000000-0004-0000-0200-0000A5040000}"/>
    <hyperlink ref="AB233" r:id="rId1082" xr:uid="{00000000-0004-0000-0200-0000A6040000}"/>
    <hyperlink ref="W234" r:id="rId1083" xr:uid="{00000000-0004-0000-0200-0000A7040000}"/>
    <hyperlink ref="X234" r:id="rId1084" xr:uid="{00000000-0004-0000-0200-0000A8040000}"/>
    <hyperlink ref="AB234" r:id="rId1085" xr:uid="{00000000-0004-0000-0200-0000A9040000}"/>
    <hyperlink ref="V234" r:id="rId1086" xr:uid="{00000000-0004-0000-0200-0000AA040000}"/>
    <hyperlink ref="W235" r:id="rId1087" xr:uid="{00000000-0004-0000-0200-0000AD040000}"/>
    <hyperlink ref="X235" r:id="rId1088" xr:uid="{00000000-0004-0000-0200-0000AE040000}"/>
    <hyperlink ref="V235" r:id="rId1089" xr:uid="{00000000-0004-0000-0200-0000AF040000}"/>
    <hyperlink ref="AB235" r:id="rId1090" xr:uid="{00000000-0004-0000-0200-0000B0040000}"/>
    <hyperlink ref="Y234" r:id="rId1091" xr:uid="{00000000-0004-0000-0200-0000B1040000}"/>
    <hyperlink ref="Y235" r:id="rId1092" xr:uid="{00000000-0004-0000-0200-0000B2040000}"/>
    <hyperlink ref="V245" r:id="rId1093" display="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xr:uid="{00000000-0004-0000-0200-0000B5040000}"/>
    <hyperlink ref="W245" r:id="rId1094" xr:uid="{00000000-0004-0000-0200-0000B6040000}"/>
    <hyperlink ref="V247" r:id="rId1095" display="https://twitter.com/OlekKorn/status/1574691048378765312?ref_src=twsrc%5Etfw%7Ctwcamp%5Etweetembed%7Ctwterm%5E1574764099644301314%7Ctwgr%5E32aa61244c5816ffc71c7af61a0a966f6f6a69a4%7Ctwcon%5Es3_&amp;ref_url=https%3A%2F%2Fnews.err.ee%2F1608731662%2Feconomic-minister-estonia-can-set-an-example-for-rebuilding-ukraine" xr:uid="{00000000-0004-0000-0200-0000B8040000}"/>
    <hyperlink ref="W247" r:id="rId1096" xr:uid="{00000000-0004-0000-0200-0000B9040000}"/>
    <hyperlink ref="V893" r:id="rId1097" xr:uid="{00000000-0004-0000-0200-0000BB040000}"/>
    <hyperlink ref="V890" r:id="rId1098" xr:uid="{00000000-0004-0000-0200-0000BC040000}"/>
    <hyperlink ref="W889" r:id="rId1099" xr:uid="{00000000-0004-0000-0200-0000BD040000}"/>
    <hyperlink ref="W890" r:id="rId1100" xr:uid="{00000000-0004-0000-0200-0000BE040000}"/>
    <hyperlink ref="V887" r:id="rId1101" display="https://www.bbc.com/news/uk-61990479 " xr:uid="{00000000-0004-0000-0200-0000C2040000}"/>
    <hyperlink ref="V887" r:id="rId1102" display="https://www.bbc.com/news/uk-61990479 " xr:uid="{00000000-0004-0000-0200-0000C4040000}"/>
    <hyperlink ref="V1011" r:id="rId1103" xr:uid="{00000000-0004-0000-0200-0000C5040000}"/>
    <hyperlink ref="V1012:V1021" r:id="rId1104" display="https://www.defense.gov/News/Releases/Release/Article/3120059/1-billion-in-additional-security-assistance-for-ukraine/ " xr:uid="{00000000-0004-0000-0200-0000C6040000}"/>
    <hyperlink ref="W467" r:id="rId1105" xr:uid="{00000000-0004-0000-0200-0000C9040000}"/>
    <hyperlink ref="V459" r:id="rId1106" xr:uid="{00000000-0004-0000-0200-0000CA040000}"/>
    <hyperlink ref="X483" r:id="rId1107" xr:uid="{00000000-0004-0000-0200-0000CB040000}"/>
    <hyperlink ref="Y483" r:id="rId1108" xr:uid="{00000000-0004-0000-0200-0000CC040000}"/>
    <hyperlink ref="W615" r:id="rId1109" xr:uid="{00000000-0004-0000-0200-0000CD040000}"/>
    <hyperlink ref="X744" r:id="rId1110" xr:uid="{00000000-0004-0000-0200-0000CE040000}"/>
    <hyperlink ref="V520" r:id="rId1111" xr:uid="{00000000-0004-0000-0200-0000D6040000}"/>
    <hyperlink ref="V521" r:id="rId1112" xr:uid="{00000000-0004-0000-0200-0000D7040000}"/>
    <hyperlink ref="W521" r:id="rId1113" xr:uid="{00000000-0004-0000-0200-0000D8040000}"/>
    <hyperlink ref="X521" r:id="rId1114" xr:uid="{00000000-0004-0000-0200-0000D9040000}"/>
    <hyperlink ref="V450" r:id="rId1115" xr:uid="{00000000-0004-0000-0200-0000DE040000}"/>
    <hyperlink ref="W450" r:id="rId1116" xr:uid="{00000000-0004-0000-0200-0000DF040000}"/>
    <hyperlink ref="X450" r:id="rId1117" xr:uid="{00000000-0004-0000-0200-0000E0040000}"/>
    <hyperlink ref="Y450" r:id="rId1118" xr:uid="{00000000-0004-0000-0200-0000E1040000}"/>
    <hyperlink ref="V665" r:id="rId1119" xr:uid="{00000000-0004-0000-0200-0000E2040000}"/>
    <hyperlink ref="W665" r:id="rId1120" xr:uid="{00000000-0004-0000-0200-0000E3040000}"/>
    <hyperlink ref="X665" r:id="rId1121" xr:uid="{00000000-0004-0000-0200-0000E4040000}"/>
    <hyperlink ref="Y665" r:id="rId1122" xr:uid="{00000000-0004-0000-0200-0000E5040000}"/>
    <hyperlink ref="AB1003" r:id="rId1123" xr:uid="{00000000-0004-0000-0200-0000E7040000}"/>
    <hyperlink ref="W314" r:id="rId1124" xr:uid="{00000000-0004-0000-0200-0000EA040000}"/>
    <hyperlink ref="V324" r:id="rId1125" xr:uid="{00000000-0004-0000-0200-0000F0040000}"/>
    <hyperlink ref="W324" r:id="rId1126" xr:uid="{00000000-0004-0000-0200-0000F1040000}"/>
    <hyperlink ref="X324" r:id="rId1127" xr:uid="{00000000-0004-0000-0200-0000F2040000}"/>
    <hyperlink ref="V973" r:id="rId1128" xr:uid="{00000000-0004-0000-0200-0000F7040000}"/>
    <hyperlink ref="AB881" r:id="rId1129" xr:uid="{00000000-0004-0000-0200-0000F8040000}"/>
    <hyperlink ref="W881" r:id="rId1130" xr:uid="{00000000-0004-0000-0200-0000F9040000}"/>
    <hyperlink ref="X889" r:id="rId1131" display="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xr:uid="{00000000-0004-0000-0200-0000FA040000}"/>
    <hyperlink ref="V656" r:id="rId1132" xr:uid="{00000000-0004-0000-0200-0000FB040000}"/>
    <hyperlink ref="V655" r:id="rId1133" xr:uid="{00000000-0004-0000-0200-0000FC040000}"/>
    <hyperlink ref="V654" r:id="rId1134" xr:uid="{00000000-0004-0000-0200-0000FD040000}"/>
    <hyperlink ref="V653" r:id="rId1135" xr:uid="{00000000-0004-0000-0200-0000FE040000}"/>
    <hyperlink ref="AB657" r:id="rId1136" xr:uid="{00000000-0004-0000-0200-0000FF040000}"/>
    <hyperlink ref="V657" r:id="rId1137" display="https://www-regjeringen-no.translate.goog/no/aktuelt/norge-har-donert-artilleriskyts-til-ukraina/id2917760/?_x_tr_sl=auto&amp;_x_tr_tl=auto&amp;_x_tr_hl=de" xr:uid="{00000000-0004-0000-0200-000000050000}"/>
    <hyperlink ref="W657" r:id="rId1138" xr:uid="{00000000-0004-0000-0200-000001050000}"/>
    <hyperlink ref="X657" r:id="rId1139" xr:uid="{00000000-0004-0000-0200-000002050000}"/>
    <hyperlink ref="V657" r:id="rId1140" xr:uid="{00000000-0004-0000-0200-000003050000}"/>
    <hyperlink ref="Y324" r:id="rId1141" xr:uid="{00000000-0004-0000-0200-000004050000}"/>
    <hyperlink ref="V1003" r:id="rId1142" xr:uid="{00000000-0004-0000-0200-000005050000}"/>
    <hyperlink ref="X987" r:id="rId1143" xr:uid="{00000000-0004-0000-0200-000006050000}"/>
    <hyperlink ref="V987" r:id="rId1144" xr:uid="{00000000-0004-0000-0200-000007050000}"/>
    <hyperlink ref="Y982" r:id="rId1145" xr:uid="{00000000-0004-0000-0200-000008050000}"/>
    <hyperlink ref="Y983" r:id="rId1146" xr:uid="{00000000-0004-0000-0200-000009050000}"/>
    <hyperlink ref="Y984" r:id="rId1147" xr:uid="{00000000-0004-0000-0200-00000A050000}"/>
    <hyperlink ref="Y985" r:id="rId1148" xr:uid="{00000000-0004-0000-0200-00000B050000}"/>
    <hyperlink ref="Y986" r:id="rId1149" xr:uid="{00000000-0004-0000-0200-00000C050000}"/>
    <hyperlink ref="Y987" r:id="rId1150" xr:uid="{00000000-0004-0000-0200-00000D050000}"/>
    <hyperlink ref="V1037" r:id="rId1151" xr:uid="{DB405DB6-D3D0-45E7-B782-908496D2638E}"/>
    <hyperlink ref="V19" r:id="rId1152" xr:uid="{8BE28DBE-224A-4D37-8988-20E6CB3E8044}"/>
    <hyperlink ref="W19" r:id="rId1153" location=":~:text=The%20Australian%20Government%20will%20provide,more%20Bushmaster%20Protected%20Mobility%20Vehicles" xr:uid="{65F5AC32-8A52-4E56-89BC-DA210E41D626}"/>
    <hyperlink ref="AB19" r:id="rId1154" xr:uid="{504EBD97-9610-4A1D-B748-1D111EC4F68E}"/>
    <hyperlink ref="V24" r:id="rId1155" display="https://www.minister.defence.gov.au/media-releases/2022-10-27/additional-support-ukraine" xr:uid="{06BAB0C8-BEAE-4029-8437-F80A3FF2D234}"/>
    <hyperlink ref="W55" r:id="rId1156" xr:uid="{F37EBB87-9E5F-4FE4-8E3E-ACADB69C6F59}"/>
    <hyperlink ref="AB55" r:id="rId1157" xr:uid="{B86096C6-20E5-471A-A15D-24E00F252B23}"/>
    <hyperlink ref="V55" r:id="rId1158" xr:uid="{1044A882-F763-4E25-9A7D-1FF4DE1DCB6A}"/>
    <hyperlink ref="X55" r:id="rId1159" xr:uid="{1C4ED80A-7F3F-406A-80B2-7FC2EEEDFC9E}"/>
    <hyperlink ref="W167:W168" r:id="rId1160" display="https://echo24.cz/a/SrjYb/cesko-poslalo-na-ukrajinu-desitky-tanku-t-72-a-bvp" xr:uid="{C6A94C69-7A35-42C3-9864-BBCBEF612199}"/>
    <hyperlink ref="AB168" r:id="rId1161" xr:uid="{2DF5C129-FC6B-4E71-AB0E-9250ADC0AFAA}"/>
    <hyperlink ref="AB167" r:id="rId1162" xr:uid="{F0EBA12B-AF4F-401D-9CE4-3E76319AB762}"/>
    <hyperlink ref="Y167" r:id="rId1163" xr:uid="{0DE256E8-1CE9-4408-92EE-66063051B301}"/>
    <hyperlink ref="X167" r:id="rId1164" xr:uid="{FE9F11E4-F42F-4770-BF5B-58C0A3675147}"/>
    <hyperlink ref="W167" r:id="rId1165" xr:uid="{083F8929-A60E-4EDA-8617-1FC499E30DA1}"/>
    <hyperlink ref="V167" r:id="rId1166" xr:uid="{B03E6E6E-B4B1-48F1-A889-7ADB29BE4413}"/>
    <hyperlink ref="Y168" r:id="rId1167" xr:uid="{C2FBE679-739A-4744-AD90-2134B3CD896A}"/>
    <hyperlink ref="V192" r:id="rId1168" xr:uid="{2654710F-C5FB-453D-8765-0C2FF8559DB5}"/>
    <hyperlink ref="V191" r:id="rId1169" xr:uid="{DC2DAAC4-A18A-434D-9202-4482C3FE8250}"/>
    <hyperlink ref="V193" r:id="rId1170" location=":~:text=Denmarks%20has%20allocated%20another%20DKK,war%20crimes%20committed%20in%20Ukraine" xr:uid="{FA612B2A-4E7B-4179-B083-C258DC0839CF}"/>
    <hyperlink ref="W196" r:id="rId1171" xr:uid="{4A6FF875-FECE-49BB-9892-5C89F2877697}"/>
    <hyperlink ref="W196:W204" r:id="rId1172" display="https://www.armyrecognition.com/defense_news_april_2022_global_security_army_industry/denmark_approves_delivery_of_m113_tracked_armored_vehicles_and_ammunition_to_ukraine.html" xr:uid="{0141693A-F05A-4B68-A477-1540A403F75A}"/>
    <hyperlink ref="X196:X204" r:id="rId1173" display="https://en.kriseinformation.dk/denmarks-reactions/denmarks-contributions" xr:uid="{00DD7E19-812C-4DF6-9191-5A2354A452F8}"/>
    <hyperlink ref="AB196" r:id="rId1174" xr:uid="{9F9B013D-6066-4B72-A888-38ACE769A769}"/>
    <hyperlink ref="AB197" r:id="rId1175" xr:uid="{0CFEEFF1-65DB-4BDA-BC71-44523612FB74}"/>
    <hyperlink ref="AB199" r:id="rId1176" xr:uid="{A9022E98-DBFF-4239-8F72-387EA05EC526}"/>
    <hyperlink ref="AB198" r:id="rId1177" xr:uid="{9AEE4A4B-B253-41B2-A03F-24EBE7A6B9EE}"/>
    <hyperlink ref="V194" r:id="rId1178" display="https://tyrkiet.um.dk/en/news/independence-day-of-ukraine-six-months-since-the-russia-invasion" xr:uid="{DB65E046-99B6-4E30-8070-A9DD14F92E4A}"/>
    <hyperlink ref="W194" r:id="rId1179" display="https://um.dk/en/foreign-policy/danish-support-for-ukraine" xr:uid="{EC258F0D-8E62-4645-8B12-388088F227B1}"/>
    <hyperlink ref="W192" r:id="rId1180" xr:uid="{6D69350A-D0FA-46C7-BE2A-5D97435554FE}"/>
    <hyperlink ref="W193" r:id="rId1181" xr:uid="{A21D1373-0E1A-4728-932F-2D8E20113830}"/>
    <hyperlink ref="AB201" r:id="rId1182" xr:uid="{2020D617-26E4-4AAE-8124-7B22F610DEDC}"/>
    <hyperlink ref="AB202:AB204" r:id="rId1183" display="https://www.armyrecognition.com/defense_news_april_2022_global_security_army_industry/denmark_approves_delivery_of_m113_tracked_armored_vehicles_and_ammunition_to_ukraine.html" xr:uid="{EF2B3184-F3E1-477F-904A-6B249C43B666}"/>
    <hyperlink ref="V195" r:id="rId1184" display="https://um.dk/en/foreign-policy/danish-support-for-ukraine" xr:uid="{966E8BFA-004D-4249-80D0-65BCDE222006}"/>
    <hyperlink ref="V210" r:id="rId1185" xr:uid="{AE129889-6809-40B9-A8C0-5DE742372239}"/>
    <hyperlink ref="W210" r:id="rId1186" location=":~:text=World%20Bank%3A%20DKK%20150%20million%20(approx.&amp;text=DKK%20150%20million%20(EUR%2020.2,billion)%20to%20the%20Ukrainian%20government" xr:uid="{1855E6B7-118E-4C88-AC9D-8953F45B11C8}"/>
    <hyperlink ref="V211" r:id="rId1187" xr:uid="{B687EC50-6DD0-4F73-A9D8-6DAA0DA71926}"/>
    <hyperlink ref="W211" r:id="rId1188" xr:uid="{DB0EF053-E973-42A2-B9B5-4D572041FF7E}"/>
    <hyperlink ref="Y211" r:id="rId1189" xr:uid="{12DE0332-4E0D-4456-A4C9-5611F2BD3980}"/>
    <hyperlink ref="X211" r:id="rId1190" display="https://via.ritzau.dk/embedded/release/danmark-stiller-garanti-pa-280-mio-kr-til-ukraines-hardt-ramte-okonomi?publisherId=2012662&amp;releaseId=13652977&amp;lang=da" xr:uid="{37746F85-0A9E-4D97-BEA3-6FAE7EF16914}"/>
    <hyperlink ref="W275" r:id="rId1191" location="40d3246d" xr:uid="{2414189E-61DA-4EC8-B1C4-262470A21430}"/>
    <hyperlink ref="V275" r:id="rId1192" xr:uid="{E21960C2-6D6C-459F-B038-7F00EDCA14FC}"/>
    <hyperlink ref="W269:W270" r:id="rId1193" display="https://valtioneuvosto.fi/en/-/10616/finland-sends-additional-aid-to-ukraine" xr:uid="{63E86598-0348-4C82-BAFA-D67A28568339}"/>
    <hyperlink ref="W271" r:id="rId1194"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8FB10FED-841E-4C8D-9FA2-38FFACB1EA61}"/>
    <hyperlink ref="W271:W274" r:id="rId1195" location=":~:text=On%20the%20proposal%20of%20the%20Government%2C%20the%20President,combat%20ration%20packages%20to%20Ukraine%20as%20material%20aid.?msclkid=43fcac85ab7811ecb0558f7b82e56a26" display="https://valtioneuvosto.fi/en/-/finland-to-send-arms-assistance-to-ukraine#:~:text=On%20the%20proposal%20of%20the%20Government%2C%20the%20President,combat%20ration%20packages%20to%20Ukraine%20as%20material%20aid.?msclkid=43fcac85ab7811ecb0558f7b82e56a26" xr:uid="{26774EC6-77DC-49A6-A374-48991FB90365}"/>
    <hyperlink ref="X269:X270" r:id="rId1196" display="https://www.helsinkitimes.fi/finland/finland-news/domestic/21086-finland-commits-military-protective-equipment-to-ukraine.html" xr:uid="{9513D322-2021-4C43-8032-E12A553163F6}"/>
    <hyperlink ref="X275" r:id="rId1197" xr:uid="{2EF8D911-DB74-4DAE-A365-53260D2E3B24}"/>
    <hyperlink ref="AB271" r:id="rId1198" xr:uid="{833B8D60-FB9F-4F5F-977E-0B1B6A6A06AD}"/>
    <hyperlink ref="V276" r:id="rId1199" location="40d3246d" xr:uid="{75969E8C-4B53-48E3-88CA-38CF825B9B83}"/>
    <hyperlink ref="V277" r:id="rId1200" location="f9cb427e" xr:uid="{2B18616C-2DD2-49A4-B913-51E0948F122F}"/>
    <hyperlink ref="W277" r:id="rId1201" xr:uid="{673023F7-1E1D-42AD-A808-B681A29B64CA}"/>
    <hyperlink ref="X277" r:id="rId1202" xr:uid="{8C56474B-74B4-4739-A147-BD247FB00103}"/>
    <hyperlink ref="W276" r:id="rId1203" xr:uid="{630DB9BC-003E-4653-8E52-5D120AA2ACC5}"/>
    <hyperlink ref="V266" r:id="rId1204" display="https://intermin.fi/en/ukraine/civilian-assistance-to-ukraine" xr:uid="{458190E6-64D3-4BDA-8A6F-847270867F43}"/>
    <hyperlink ref="V267" r:id="rId1205" display="https://intermin.fi/en/ukraine/civilian-assistance-to-ukraine" xr:uid="{A80CA09D-96AB-4A0F-A600-A43FB1BDB249}"/>
    <hyperlink ref="V278" r:id="rId1206" display="https://yle.fi/novyny/3-12649451" xr:uid="{1AF18D37-7C10-4490-9974-27FC9C8EE344}"/>
    <hyperlink ref="W278" r:id="rId1207" xr:uid="{F45EABB1-6F94-46FE-8BA3-C210601CD672}"/>
    <hyperlink ref="V280" r:id="rId1208" location="35b98872" display="https://www.defmin.fi/ajankohtaista/tiedotteet_ja_uutiset/suomi_toimittaa_lisaa_puolustustarvikeapua_ukrainaan.13184.news - 35b98872" xr:uid="{A80CA7A1-DEE7-4338-9043-78DB820E91B4}"/>
    <hyperlink ref="W280" r:id="rId1209" display="https://mil.in.ua/en/news/finland-commits-the-largest-military-aid-package-in-the-amount-of-e55-6-million/" xr:uid="{5CE6F794-F4D4-4708-BFCF-7FFCE84F4DC1}"/>
    <hyperlink ref="X280" r:id="rId1210" display="https://yle.fi/a/3-12678466" xr:uid="{B8C78979-72F8-4547-98F8-A164FCC639D7}"/>
    <hyperlink ref="V522" r:id="rId1211" xr:uid="{4B077412-7C88-4213-8167-6F2E365C99FD}"/>
    <hyperlink ref="X522" r:id="rId1212" xr:uid="{66269EB7-BE44-4CFF-89A7-6E4D900B5579}"/>
    <hyperlink ref="V530" r:id="rId1213" xr:uid="{DE648895-7245-44C6-B14C-DC3E04AB14B5}"/>
    <hyperlink ref="W522" r:id="rId1214" xr:uid="{BE44185D-176F-4F3A-A470-1BFBE3169DFC}"/>
    <hyperlink ref="AB522" r:id="rId1215" xr:uid="{BBB34260-A2F3-4D00-B125-41D01473F05E}"/>
    <hyperlink ref="AB530" r:id="rId1216" xr:uid="{E3A273F8-7B7F-430A-8856-1CC27A8FB55F}"/>
    <hyperlink ref="V533" r:id="rId1217" xr:uid="{8C5B1930-D7D2-4E37-A3D9-259112460E3A}"/>
    <hyperlink ref="W533" r:id="rId1218" xr:uid="{C7EB62F7-6D09-411D-B508-0AA905AADC1E}"/>
    <hyperlink ref="X533" r:id="rId1219" xr:uid="{2CD44E26-79D7-44FB-835B-92B7A2242785}"/>
    <hyperlink ref="Y533" r:id="rId1220" xr:uid="{3E4F3230-FFA5-4E9E-B634-7CAF13298304}"/>
    <hyperlink ref="W532" r:id="rId1221" xr:uid="{F21B66D8-BED7-4356-906E-D88B5AF780F7}"/>
    <hyperlink ref="Y525" r:id="rId1222" xr:uid="{0E5BB100-43F3-40CD-97DA-E597E93C75A2}"/>
    <hyperlink ref="V638" r:id="rId1223" xr:uid="{6D98CBE7-567F-4FED-9C77-073400BA13D6}"/>
    <hyperlink ref="V660" r:id="rId1224" xr:uid="{A3D077D1-90E1-49F6-85D9-A1B898CFD60F}"/>
    <hyperlink ref="V666" r:id="rId1225" xr:uid="{CF997B31-6E40-4112-AA71-F85F34CD0649}"/>
    <hyperlink ref="V819" r:id="rId1226" xr:uid="{CC824B3F-D0DA-4EE0-AF0B-EB17B765047B}"/>
    <hyperlink ref="V825" r:id="rId1227" xr:uid="{CD1F4C7C-25FE-4F83-BF46-C78463B9DD2F}"/>
    <hyperlink ref="V830" r:id="rId1228" xr:uid="{F14E8372-88B9-4E19-A5A4-9AA02D5F21A5}"/>
    <hyperlink ref="W830" r:id="rId1229" location=":~:text=The%20Swiss%20government%20has%20promised,infrastructure%20damaged%20by%20the%20war." xr:uid="{1FAC9B00-3294-4054-86C9-AA75D9190FA5}"/>
    <hyperlink ref="V848" r:id="rId1230" location=":~:text=Foreign%20Minister%20Jaushieh%20Joseph%20Wu%20announced%20a%20US%2456%20million,26." xr:uid="{6B7C7AE8-F895-4DF0-8773-DE4ECC2A9FEC}"/>
    <hyperlink ref="W848" r:id="rId1231" xr:uid="{A31B7D36-6C58-4BD0-8CF1-2B58631DC008}"/>
    <hyperlink ref="V175" r:id="rId1232" xr:uid="{64880EB1-95FF-4657-B264-01B7CF7BBFA5}"/>
    <hyperlink ref="W175" r:id="rId1233" xr:uid="{8C4BF5E0-E3FD-4E75-8087-F1E43E05288A}"/>
    <hyperlink ref="V176" r:id="rId1234" xr:uid="{FE91B11B-CC1F-44B8-AB1A-6FEF282A5DF1}"/>
    <hyperlink ref="W177" r:id="rId1235" xr:uid="{AC2D6B56-72F9-4B05-B9E1-0E31639749AE}"/>
    <hyperlink ref="X177" r:id="rId1236" xr:uid="{ADA131FF-05EE-4F1D-8E27-0ED6F0F75635}"/>
    <hyperlink ref="V178" r:id="rId1237" xr:uid="{AE7918AF-BD48-42D3-9C8F-67BDFF7DC4B9}"/>
    <hyperlink ref="V295" r:id="rId1238" xr:uid="{C1A24CA6-11E9-497D-BC8B-DE5B0FDF49FA}"/>
    <hyperlink ref="V296" r:id="rId1239" xr:uid="{2EDEB1C4-D67A-4B63-A454-1D7A7C09CCE7}"/>
    <hyperlink ref="V297" r:id="rId1240" xr:uid="{FAF70E70-BF48-4E02-A4F6-255884DB98FB}"/>
    <hyperlink ref="V298" r:id="rId1241" xr:uid="{CE6BA1EC-3057-495F-8A70-7D3A82D3A5CA}"/>
    <hyperlink ref="V299" r:id="rId1242" xr:uid="{0C32DFF4-F09C-4B16-A249-E330DE513F76}"/>
    <hyperlink ref="V301" r:id="rId1243" xr:uid="{6F192D98-89CE-479A-A487-36C3A42E60C2}"/>
    <hyperlink ref="V302" r:id="rId1244" xr:uid="{ABD97769-50ED-48F9-B31B-6F09C3E363DA}"/>
    <hyperlink ref="V303" r:id="rId1245" xr:uid="{1DD66CF2-5F6C-438A-8A0D-E94ED370A084}"/>
    <hyperlink ref="V304" r:id="rId1246" xr:uid="{F841F4E3-1E0E-4A4E-B962-99DD4DEEF91F}"/>
    <hyperlink ref="V305" r:id="rId1247" xr:uid="{8E678520-776F-4619-BD8B-2F197998C7F9}"/>
    <hyperlink ref="V306" r:id="rId1248" xr:uid="{66468FE0-C226-4268-99BE-1CA695FE6CD2}"/>
    <hyperlink ref="V307" r:id="rId1249" xr:uid="{0C7775BE-DB4B-4E1A-9FA0-6A789F747D69}"/>
    <hyperlink ref="AB301" r:id="rId1250" xr:uid="{BD520814-342D-4DE0-96BD-800949003551}"/>
    <hyperlink ref="AB302" r:id="rId1251" xr:uid="{F675D9B1-ECE0-429B-BD1D-9221824A45BC}"/>
    <hyperlink ref="AB303" r:id="rId1252" xr:uid="{3C25CAD5-D473-487E-9DBF-A0877782DB40}"/>
    <hyperlink ref="AB304" r:id="rId1253" xr:uid="{429BF34B-9287-4428-BE7A-39DB2354891B}"/>
    <hyperlink ref="AB305" r:id="rId1254" xr:uid="{7D7D5771-3436-4925-B873-565EFC55CC93}"/>
    <hyperlink ref="AB306" r:id="rId1255" xr:uid="{14D09480-E0AB-4EF3-AE31-BF35B6F221ED}"/>
    <hyperlink ref="AB307" r:id="rId1256" xr:uid="{15D61860-3CFD-4BFC-B2E8-28B7E67EDA49}"/>
    <hyperlink ref="V325" r:id="rId1257" xr:uid="{5F615E92-4F6E-498E-9E68-A58DD2DC4C56}"/>
    <hyperlink ref="AB334" r:id="rId1258" xr:uid="{99553263-56DE-4D5A-9A0C-85A297DD6DC9}"/>
    <hyperlink ref="W337" r:id="rId1259" xr:uid="{BCFE3B6C-7EE3-4111-B299-5687776F00A5}"/>
    <hyperlink ref="AB339" r:id="rId1260" xr:uid="{7BFA48BE-E9B5-4586-BA11-F6271F3B1BEB}"/>
    <hyperlink ref="AB338" r:id="rId1261" xr:uid="{426FD36D-B0D7-47AC-90FB-9177A190FB09}"/>
    <hyperlink ref="V346" r:id="rId1262" xr:uid="{E9DA8583-4D83-44D1-BEE2-BB64EDE079FE}"/>
    <hyperlink ref="V512" r:id="rId1263" xr:uid="{FBFB72DE-C849-41D8-984A-3EF3CCAECACE}"/>
    <hyperlink ref="W512" r:id="rId1264" xr:uid="{C42B194B-1ADA-472A-A55F-55600E2B6F7E}"/>
    <hyperlink ref="X512" r:id="rId1265" xr:uid="{EB0A775C-0D04-49C1-B83C-E62E3E3A4D7C}"/>
    <hyperlink ref="AB512" r:id="rId1266" xr:uid="{6F330F0B-CA2E-4A46-8C09-E64414BC028D}"/>
    <hyperlink ref="AB513" r:id="rId1267" xr:uid="{EBB47BE9-E1A2-4E70-B2C0-D893CF17FA93}"/>
    <hyperlink ref="AB514" r:id="rId1268" xr:uid="{009672FC-A5AA-42FF-9651-66F5CD6A7E3C}"/>
    <hyperlink ref="V514" r:id="rId1269" xr:uid="{3D634A01-E55F-4E45-A7D2-385A98EB7680}"/>
    <hyperlink ref="V513" r:id="rId1270" xr:uid="{48829144-59CC-414B-B34B-F862776B7640}"/>
    <hyperlink ref="V515" r:id="rId1271" xr:uid="{7B9F9710-9270-48A0-BF00-082891BEFF07}"/>
    <hyperlink ref="V511" r:id="rId1272" xr:uid="{5FF5E232-3CF8-4B23-8B33-CA87C50B78D3}"/>
    <hyperlink ref="Y512" r:id="rId1273" xr:uid="{18C9C150-F211-4D1C-8D8A-DF0386EC6681}"/>
    <hyperlink ref="W513" r:id="rId1274" xr:uid="{945B079F-2837-4397-91F2-1F756ABD0D00}"/>
    <hyperlink ref="W514" r:id="rId1275" xr:uid="{5055C250-8F7C-4866-A9EE-62C7B8D5314A}"/>
    <hyperlink ref="W515" r:id="rId1276" xr:uid="{139D8640-C130-4283-A937-E4ADA8CAAE61}"/>
    <hyperlink ref="AB515" r:id="rId1277" xr:uid="{D10C44B0-4A08-47AE-984F-A8DB2FFF024B}"/>
    <hyperlink ref="V700" r:id="rId1278" xr:uid="{83AF3E59-61E6-4F0E-A1EA-D8075A65FA15}"/>
    <hyperlink ref="V712" r:id="rId1279" xr:uid="{00000000-0004-0000-0200-0000C7020000}"/>
    <hyperlink ref="W712" r:id="rId1280" xr:uid="{00000000-0004-0000-0200-0000E8010000}"/>
    <hyperlink ref="V35" r:id="rId1281" xr:uid="{AA16AE75-9D7B-4713-8148-349055C7867C}"/>
    <hyperlink ref="V36" r:id="rId1282" xr:uid="{D045D58D-2FA9-46C3-9A74-7BFDD9916782}"/>
    <hyperlink ref="V37" r:id="rId1283" xr:uid="{35A96644-2219-47CD-8149-5B55AB95E51E}"/>
    <hyperlink ref="W35" r:id="rId1284" xr:uid="{C3353F58-D7F4-48CD-BB1D-AF5EA3F95D89}"/>
    <hyperlink ref="W36" r:id="rId1285" xr:uid="{E4B62632-543D-400B-AE55-6C6735D48CF4}"/>
    <hyperlink ref="W37" r:id="rId1286" xr:uid="{40BAE39D-DC66-4AF4-B226-9794357B3BDC}"/>
    <hyperlink ref="X36" r:id="rId1287" xr:uid="{8B86AC29-4D8B-4FB1-8355-55790A97D5BA}"/>
    <hyperlink ref="V39" r:id="rId1288" xr:uid="{E433A6CA-9EC1-4745-8E8E-BE204545E6A9}"/>
    <hyperlink ref="V40" r:id="rId1289" xr:uid="{AFA7A35D-016C-4C0B-B014-AEE5814FE6E4}"/>
    <hyperlink ref="V72" r:id="rId1290" xr:uid="{A3EB9831-65B2-4E83-BD5A-398F44289A42}"/>
    <hyperlink ref="W85" r:id="rId1291" xr:uid="{B8AA1C2B-421F-427A-844D-6A1625447DDC}"/>
    <hyperlink ref="V123" r:id="rId1292" xr:uid="{BE0E8EE2-A482-4661-B9B8-68B203B53D14}"/>
    <hyperlink ref="V124" r:id="rId1293" xr:uid="{BCD6BE89-6353-42D8-A963-D9CCB5DA33DF}"/>
    <hyperlink ref="W568" r:id="rId1294" xr:uid="{FB66D320-1030-4F8A-88A2-84B156196718}"/>
    <hyperlink ref="X568" r:id="rId1295" xr:uid="{7D051204-FF79-48E4-BD03-00E57FE23AB9}"/>
    <hyperlink ref="X570" r:id="rId1296" xr:uid="{DBF20B95-C784-47F0-A60A-B46C935D92C2}"/>
    <hyperlink ref="X571" r:id="rId1297" xr:uid="{1BC23550-971E-478E-B105-4DD5B5C6B359}"/>
    <hyperlink ref="X572" r:id="rId1298" xr:uid="{F3A87845-5B11-4997-9B01-3E5958AAC3FD}"/>
    <hyperlink ref="X573" r:id="rId1299" xr:uid="{BBFC3534-1155-48BF-A0A9-CD3F60C1D211}"/>
    <hyperlink ref="X574" r:id="rId1300" xr:uid="{E31FBC80-525B-4D7E-82DD-8FE42C16DFA8}"/>
    <hyperlink ref="X575" r:id="rId1301" xr:uid="{98109040-F685-4353-8D77-5CD9F4C1C77A}"/>
    <hyperlink ref="Y570" r:id="rId1302" xr:uid="{BF8BE6C0-09DF-4DC0-8F1C-113F37B87ABD}"/>
    <hyperlink ref="Y568" r:id="rId1303" xr:uid="{8570A03F-0C9D-499D-AE11-864C5030AE24}"/>
    <hyperlink ref="V589" r:id="rId1304" xr:uid="{17658D67-6099-4FBB-95C1-547E64834018}"/>
    <hyperlink ref="V590" r:id="rId1305" xr:uid="{45EBFA94-EED0-41EC-8865-94F4B6CD3E6C}"/>
    <hyperlink ref="AB589" r:id="rId1306" xr:uid="{20B88C2A-8B0B-4494-8760-70E91E46C4AA}"/>
    <hyperlink ref="AB590" r:id="rId1307" xr:uid="{0AD1E30B-1044-4B9A-A365-085AF072E1C0}"/>
    <hyperlink ref="V624" r:id="rId1308" display="https://twitter.com/LSchreinemacher/status/1580222344538169346?ref_src=twsrc%5Etfw%7Ctwcamp%5Etweetembed%7Ctwterm%5E1580222344538169346%7Ctwgr%5Eda5480de56b54594938272c57ded09082863f933%7Ctwcon%5Es1_&amp;ref_url=https%3A%2F%2Fwww.eurointegration.com.ua%2Fnews%2F2022%2F10%2F13%2F7148653%2F" xr:uid="{54865B09-759E-44E5-BEB1-46B97400A784}"/>
    <hyperlink ref="W782" r:id="rId1309" xr:uid="{7042FB7C-F5E8-4B2E-9AE1-67635C923548}"/>
    <hyperlink ref="Y782" r:id="rId1310" xr:uid="{31F5F29A-3764-4840-9C72-F694727C4559}"/>
    <hyperlink ref="Y783" r:id="rId1311" xr:uid="{A3D71A67-16AE-44A0-B2DF-C5D99B473A55}"/>
    <hyperlink ref="Y784" r:id="rId1312" xr:uid="{9A2D4517-85E2-4E8E-B7CB-D1E8BD7C34DF}"/>
    <hyperlink ref="Y785" r:id="rId1313" xr:uid="{834EE230-3FB1-46A4-91EC-CB9614ED7C2B}"/>
    <hyperlink ref="V792" r:id="rId1314" xr:uid="{924078A6-6379-4015-9650-0ED35DEAAD74}"/>
    <hyperlink ref="AB792" r:id="rId1315" xr:uid="{30737C6A-B88E-48A4-AC98-A1DD27973B58}"/>
    <hyperlink ref="V793" r:id="rId1316" xr:uid="{02F04803-B30A-42D8-B2C4-D7C568C54F6A}"/>
    <hyperlink ref="V794" r:id="rId1317" xr:uid="{933C9F99-7C35-441A-A36D-FF8ACDE57B57}"/>
    <hyperlink ref="V853" r:id="rId1318" xr:uid="{0EDC8709-5913-4CC7-AC47-DC73B1DB6131}"/>
    <hyperlink ref="W853" r:id="rId1319" xr:uid="{C89BE79E-2E00-48FB-836F-0E43344CF5DD}"/>
    <hyperlink ref="W852" r:id="rId1320" xr:uid="{9CDD159B-BFBB-43A0-8D13-84F5C5DC73A6}"/>
    <hyperlink ref="V854" r:id="rId1321" xr:uid="{8316457B-1BE9-4D5F-9BF7-7090C9ACA7E9}"/>
    <hyperlink ref="AB869" r:id="rId1322" xr:uid="{482C7DC2-7A47-4067-8B76-30275719EA51}"/>
    <hyperlink ref="V869" r:id="rId1323" xr:uid="{E926D0D8-A267-45C0-9391-9E27EE5DE335}"/>
    <hyperlink ref="W869" r:id="rId1324" xr:uid="{5299FC4E-4417-42F1-A7BB-F1616C53700F}"/>
    <hyperlink ref="X869" r:id="rId1325" xr:uid="{9B823A9D-DCA2-4AB3-AB20-BD388B4FDF4E}"/>
    <hyperlink ref="Y869" r:id="rId1326" xr:uid="{F6C28549-473F-4401-826E-8B962519D0D5}"/>
    <hyperlink ref="V872" r:id="rId1327" xr:uid="{D3D63B2F-AA82-4776-AE84-C67760A0AF08}"/>
    <hyperlink ref="W872" r:id="rId1328" xr:uid="{59B3FA05-8912-47D2-B435-021F99D26172}"/>
    <hyperlink ref="V873" r:id="rId1329" xr:uid="{11CE6D7D-8F48-4E7C-A3E0-4BC2E8887AC7}"/>
    <hyperlink ref="W873" r:id="rId1330" xr:uid="{E31C8ED8-1310-4377-B217-9119C3B92893}"/>
    <hyperlink ref="W883" r:id="rId1331" xr:uid="{2245489D-C55A-4D25-8B53-EC4F9DB2CF8D}"/>
    <hyperlink ref="V884" r:id="rId1332" xr:uid="{B9A242C6-EE69-4A22-A7C6-6EC018447FA1}"/>
    <hyperlink ref="V885" r:id="rId1333" display="https://www.bbc.com/news/uk-61990479 " xr:uid="{3BFA5F03-3355-45BB-B55B-5F31F919328D}"/>
    <hyperlink ref="V886" r:id="rId1334" display="https://www.bbc.com/news/uk-61990479 " xr:uid="{2EFCE211-D7F2-42C2-955D-51A388D28887}"/>
    <hyperlink ref="V883" r:id="rId1335" xr:uid="{53B48ED4-551E-4C94-81BB-38434CA9A48D}"/>
    <hyperlink ref="X883" r:id="rId1336" xr:uid="{49D9DC6B-E139-4C5C-9850-888577A6C10A}"/>
    <hyperlink ref="X884" r:id="rId1337" xr:uid="{77E3533B-042E-4F6D-BCC6-742D99354061}"/>
    <hyperlink ref="AB900" r:id="rId1338" xr:uid="{3CFBD1BF-404C-433E-B5B2-0ABF6E084F16}"/>
    <hyperlink ref="V901" r:id="rId1339" xr:uid="{DB8B065F-3616-41D4-BDE1-87A2138A5D71}"/>
    <hyperlink ref="V616" r:id="rId1340" xr:uid="{721E84F6-668F-4567-A93A-31FDCBD0127A}"/>
    <hyperlink ref="V208" r:id="rId1341" xr:uid="{4E5CFE39-3BFD-4C9F-9F07-759BD706D3E3}"/>
    <hyperlink ref="W208" r:id="rId1342" xr:uid="{243E7B93-1C6E-4B34-89D0-728431127B54}"/>
    <hyperlink ref="X208" r:id="rId1343" xr:uid="{B278F94D-16DE-466A-8CAF-9898643CD866}"/>
    <hyperlink ref="Y208" r:id="rId1344" xr:uid="{89178A0B-7548-41E1-8C05-E8EE7E655775}"/>
    <hyperlink ref="V209" r:id="rId1345" xr:uid="{477569D6-96AA-4D79-B1FC-E6C79E308573}"/>
    <hyperlink ref="AB467" r:id="rId1346" xr:uid="{C976A08B-7356-44D3-85C0-EC9D9FBD3C48}"/>
    <hyperlink ref="V855" r:id="rId1347" xr:uid="{73B3AD91-775F-44AE-84F0-52B80D1074AA}"/>
    <hyperlink ref="AB855" r:id="rId1348" xr:uid="{AC58B347-E435-4BB5-AC98-AC1E0A1D675D}"/>
    <hyperlink ref="V177" r:id="rId1349" xr:uid="{4D256189-4221-4B85-854F-F95490860CA2}"/>
    <hyperlink ref="V1065" r:id="rId1350" xr:uid="{34D55249-5B89-419D-AB21-CCED4E960C1F}"/>
    <hyperlink ref="W1065" r:id="rId1351" xr:uid="{6DBAB0F9-5094-4B94-8F01-AA1D4B66CC4C}"/>
    <hyperlink ref="W1073" r:id="rId1352" xr:uid="{783F1E50-800C-4359-B6CF-89DDC2C270A2}"/>
    <hyperlink ref="X1065" r:id="rId1353" xr:uid="{8352E92C-1D63-4087-80D0-402C21EFA062}"/>
    <hyperlink ref="X1066:X1075" r:id="rId1354" display="https://crsreports.congress.gov/product/pdf/IF/IF12040" xr:uid="{BEBC0142-DFA6-40A8-BAF6-FF11CE1E8864}"/>
    <hyperlink ref="V1091" r:id="rId1355" xr:uid="{2D11C8B8-51AB-46F1-89B6-F7B28F2357D9}"/>
    <hyperlink ref="W1091" r:id="rId1356" xr:uid="{AADA1F61-8E75-4FD4-B29C-51C8CAEE5681}"/>
    <hyperlink ref="X1091" r:id="rId1357" xr:uid="{3454D932-606E-4F39-8491-4E7298479259}"/>
    <hyperlink ref="Y1091" r:id="rId1358" xr:uid="{CBD79654-ADBD-46B1-BA55-AF556540425C}"/>
    <hyperlink ref="Y1092:Y1094" r:id="rId1359" display="https://crsreports.congress.gov/product/pdf/IF/IF12040" xr:uid="{4623E0BD-A03A-4173-A8DF-70181A62CFF4}"/>
    <hyperlink ref="V1121" r:id="rId1360" xr:uid="{32378D4D-3F9B-4CE6-BF82-6CAA84072A1C}"/>
    <hyperlink ref="W1121:W1126" r:id="rId1361" display="https://www.dsca.mil/press-media/major-arms-sales/ukraine-mark-vi-patrol-boats" xr:uid="{2A79A38F-C7A5-477D-9DC0-CBCE3A25A88E}"/>
    <hyperlink ref="Y1121" r:id="rId1362" xr:uid="{67B45979-8DBE-4B7A-B64E-A0FF2426F16D}"/>
    <hyperlink ref="Y1122:Y1126" r:id="rId1363" display="https://crsreports.congress.gov/product/pdf/IF/IF12040" xr:uid="{43AE77A1-DDC4-482E-BE4E-EE46CC3C4072}"/>
    <hyperlink ref="X1121" r:id="rId1364" xr:uid="{0CF7E4F4-4462-4714-A769-76ED9E1FCB24}"/>
    <hyperlink ref="X1122:X1126" r:id="rId1365" display="https://www.state.gov/2-8-billion-in-additional-u-s-military-assistance-for-ukraine-and-its-neighbors/ " xr:uid="{AA056227-98F0-4BA8-B690-F3ABCFD64C44}"/>
    <hyperlink ref="V1162" r:id="rId1366" xr:uid="{386FDB4E-4740-497E-AF79-CE86F975675F}"/>
    <hyperlink ref="W1162" r:id="rId1367" xr:uid="{03CAF746-92E9-456F-916E-DCA67E2E5DAE}"/>
    <hyperlink ref="V1128" r:id="rId1368" location=":~:text=OCTOBER%204%2C%202022&amp;text=Pursuant%20to%20a%20delegation%20of,U.S.%20Department%20of%20Defense%20inventories." xr:uid="{AA2E7BFB-8177-44F7-8FB0-3B33313435CC}"/>
    <hyperlink ref="V1133" r:id="rId1369" xr:uid="{C1C9039E-466B-449F-AFCB-ED369E177353}"/>
    <hyperlink ref="V1142" r:id="rId1370" xr:uid="{44CCD5A3-D3B1-4879-BD0B-C7D9FE214B3A}"/>
    <hyperlink ref="V1149" r:id="rId1371" xr:uid="{D38A2963-CBDF-45F2-9DDE-162B51148092}"/>
    <hyperlink ref="W1128" r:id="rId1372" xr:uid="{ECF7B421-2F7D-4BFA-AFAF-2290B2A820C5}"/>
    <hyperlink ref="V1134:V1141" r:id="rId1373" display="https://www.defense.gov/News/Releases/Release/Article/3189571/725-million-in-additional-security-assistance-for-ukraine/" xr:uid="{B3B5E61A-6CFF-4DC6-93B6-B87EBCB0378E}"/>
    <hyperlink ref="V1129:V1132" r:id="rId1374" location=":~:text=OCTOBER%204%2C%202022&amp;text=Pursuant%20to%20a%20delegation%20of,U.S.%20Department%20of%20Defense%20inventories." display="https://ua.usembassy.gov/625-million-in-additional-u-s-military-assistance-for-ukraine/#:~:text=OCTOBER%204%2C%202022&amp;text=Pursuant%20to%20a%20delegation%20of,U.S.%20Department%20of%20Defense%20inventories." xr:uid="{06F44A44-F0A1-45C4-B84E-68568522F5A8}"/>
    <hyperlink ref="W1129:W1132" r:id="rId1375" display="https://www.whitehouse.gov/briefing-room/press-briefings/2022/10/04/press-briefing-by-press-secretary-karine-jean-pierre-october-4-2022/" xr:uid="{FA7C4E67-13EC-4CA6-8EE9-069321A05FBD}"/>
    <hyperlink ref="V1143:V1148" r:id="rId1376" display="https://www.defense.gov/News/Releases/Release/Article/3203509/275-million-in-additional-presidential-drawdown-security-assistance-for-ukraine/" xr:uid="{C4C1DF0D-A8E7-4594-9AA9-550EA6DCBC01}"/>
    <hyperlink ref="V1150:V1161" r:id="rId1377" display="https://www.defense.gov/News/Releases/Release/Article/3216287/400-million-in-additional-assistance-for-ukraine/" xr:uid="{28D61834-9636-4481-83B4-F16D19912355}"/>
    <hyperlink ref="W333" r:id="rId1378" xr:uid="{8FDA182F-5034-4797-A599-4727E374594D}"/>
    <hyperlink ref="W334:W335" r:id="rId1379" display="https://www.lemonde.fr/en/international/article/2022/10/11/what-weapons-is-france-sending-to-ukraine_5999916_4.html" xr:uid="{7947B000-19C9-439D-A1BE-FA709AA0F0CB}"/>
    <hyperlink ref="V196" r:id="rId1380" xr:uid="{D21E4172-7413-4F93-AD76-6D48EFD692C5}"/>
    <hyperlink ref="V268" r:id="rId1381" xr:uid="{79F186A6-AB93-4003-A2EF-63CECB8F1794}"/>
    <hyperlink ref="V347" r:id="rId1382" xr:uid="{F479EADD-647E-4FD8-92A0-9D0D6AB99F78}"/>
    <hyperlink ref="W347" r:id="rId1383" xr:uid="{1D7C3C86-F685-40B6-AC49-1A339FEE6683}"/>
    <hyperlink ref="X347" r:id="rId1384" xr:uid="{00C5E6F8-C220-4656-924B-ABA6323AFF01}"/>
    <hyperlink ref="AB347" r:id="rId1385" xr:uid="{794640D3-F550-42F4-9E5A-06B7ED40B51B}"/>
    <hyperlink ref="V347:V399" r:id="rId1386" display="https://www.tagesschau.de/inland/scholz-ukraine-militaerhilfe-101.html" xr:uid="{2E31F283-4B1E-4815-A83D-0E49181809FB}"/>
    <hyperlink ref="W347:W399" r:id="rId1387" display="https://www.bundesregierung.de/breg-de/themen/krieg-in-der-ukraine/lieferungen-ukraine-2054514" xr:uid="{BC864F6B-7B5C-439A-A808-B1A0FA0DCFA8}"/>
    <hyperlink ref="AB368" r:id="rId1388" xr:uid="{7B35726C-9935-4350-8014-9B2DB5CF1A8C}"/>
    <hyperlink ref="AB399" r:id="rId1389" xr:uid="{47F5F92E-02A0-416B-9784-29FB9EB97D04}"/>
    <hyperlink ref="AB364" r:id="rId1390" xr:uid="{D9C656A6-7C96-47BF-B748-567639F43C7E}"/>
    <hyperlink ref="V411" r:id="rId1391" xr:uid="{C9BA5782-EB01-47A4-9247-E14FDE50BA25}"/>
    <hyperlink ref="V397" r:id="rId1392" xr:uid="{5D439F9D-A83C-480E-9229-B8214D520C80}"/>
    <hyperlink ref="X397" r:id="rId1393" xr:uid="{5CF7CB23-43DA-44D4-866B-5B0EBF9E5E24}"/>
    <hyperlink ref="V418" r:id="rId1394" xr:uid="{A24E4BE4-1CA5-42F2-A5FD-53FEC1E598C8}"/>
    <hyperlink ref="W396" r:id="rId1395" xr:uid="{8A30D172-6790-4E1F-9788-DEFB567750F2}"/>
    <hyperlink ref="X399" r:id="rId1396" xr:uid="{B81472D3-81E4-4409-A7D4-704AFD88B99B}"/>
    <hyperlink ref="W399" r:id="rId1397" xr:uid="{E4F61507-1E33-4F32-BE7B-0529BD3ADD9F}"/>
    <hyperlink ref="V354" r:id="rId1398" xr:uid="{FF687578-4C9A-4A11-A168-411D2ED7975C}"/>
    <hyperlink ref="X354" r:id="rId1399" xr:uid="{F0889785-99E6-4115-99D8-6BD38157E666}"/>
    <hyperlink ref="V419" r:id="rId1400" xr:uid="{84F46BEC-AEDA-4894-B81B-0E5FACB54B6C}"/>
    <hyperlink ref="X419" r:id="rId1401" xr:uid="{0C93AE3F-4C3A-4365-B880-C56E35D0A1C6}"/>
    <hyperlink ref="V351" r:id="rId1402" xr:uid="{E6077184-B093-492D-A63B-B48E60B4C05C}"/>
    <hyperlink ref="X351" r:id="rId1403" xr:uid="{F3C0E78D-3CC3-46C2-B27A-F0733750C316}"/>
    <hyperlink ref="V413" r:id="rId1404" xr:uid="{88163219-268D-4251-A5A2-C69352E79889}"/>
    <hyperlink ref="X413" r:id="rId1405" xr:uid="{BF1F253E-AFCB-4E10-ADF7-83E176ABD228}"/>
    <hyperlink ref="AB878" r:id="rId1406" xr:uid="{1E5B03CB-29DD-4E70-AA9F-A78132AA527A}"/>
    <hyperlink ref="AB568" r:id="rId1407" xr:uid="{C92F97DE-65CE-4FD4-845B-FB570CF83C62}"/>
    <hyperlink ref="AB532" r:id="rId1408" xr:uid="{1673C29B-3FFB-4B85-BE26-15BC86B6CDB2}"/>
    <hyperlink ref="V41" r:id="rId1409" xr:uid="{87A11384-566C-43EF-97C4-E9C45BFB6336}"/>
    <hyperlink ref="V42" r:id="rId1410" xr:uid="{58FCDAAA-FE72-4727-88A3-23CA5FEF89C4}"/>
    <hyperlink ref="W570" r:id="rId1411" xr:uid="{2B4E33D6-4001-4117-B307-16F8330A183B}"/>
    <hyperlink ref="W191" r:id="rId1412" xr:uid="{EEA2639A-BB47-4CA6-8FAF-1DEFC016EC3C}"/>
    <hyperlink ref="W590" r:id="rId1413" xr:uid="{DFC3B156-5677-46CA-9A8A-A53D249B9936}"/>
    <hyperlink ref="W616" r:id="rId1414" xr:uid="{6CBCDE0F-28BC-42E4-8947-C0CDF6E418A0}"/>
    <hyperlink ref="W624" r:id="rId1415" xr:uid="{F09A4AD3-A9F5-4777-A75B-6CE7FF3AA220}"/>
    <hyperlink ref="V782" r:id="rId1416" xr:uid="{8F0E0456-39C3-4E80-A4C2-69983E654909}"/>
    <hyperlink ref="W783" r:id="rId1417" xr:uid="{C2167C7B-B08B-44C5-94BB-CED0B326B762}"/>
    <hyperlink ref="V783" r:id="rId1418" xr:uid="{B24E29E6-0C94-48C5-91B0-F6BC662FB16E}"/>
    <hyperlink ref="W784" r:id="rId1419" xr:uid="{7CCBE51F-1875-42F6-B024-A19D5FCFE148}"/>
    <hyperlink ref="V784" r:id="rId1420" xr:uid="{DBA4CC7B-6305-470F-8F0B-B56E3815B34B}"/>
    <hyperlink ref="W785" r:id="rId1421" xr:uid="{0F37F5BE-CE53-4C8F-93FE-B6E4E5C7C93D}"/>
    <hyperlink ref="V785" r:id="rId1422" xr:uid="{F93F4470-09E2-4C9E-8640-49CE254D2A07}"/>
    <hyperlink ref="X785" r:id="rId1423" xr:uid="{37A3DA55-4E9C-4432-A993-E23FA0995261}"/>
    <hyperlink ref="X784" r:id="rId1424" xr:uid="{D21C0C85-966A-4182-818A-909F7B579C4D}"/>
    <hyperlink ref="X783" r:id="rId1425" xr:uid="{3B4F7905-17BE-488D-B5B1-BCB16044EED1}"/>
    <hyperlink ref="X782" r:id="rId1426" xr:uid="{E46E1E81-3D75-4FBB-8F8E-A19FB0FC3498}"/>
    <hyperlink ref="Y196" r:id="rId1427" xr:uid="{DDB48266-6993-4440-9FCA-0CFD564B55CC}"/>
    <hyperlink ref="Y197:Y204" r:id="rId1428" display="https://twitter.com/kyivindependent/status/1520462556338569216?lang=en" xr:uid="{5237C655-D3CC-4251-9FA2-26CC1631074A}"/>
    <hyperlink ref="Y526" r:id="rId1429" xr:uid="{7620C63F-FAB4-4513-806D-D69D09BAD602}"/>
    <hyperlink ref="Y527" r:id="rId1430" xr:uid="{25BFB988-C374-463F-A268-1F1B3363E2F0}"/>
    <hyperlink ref="Y528" r:id="rId1431" xr:uid="{6A30C213-9FA9-478A-94BF-5779CEC674C6}"/>
    <hyperlink ref="Y529" r:id="rId1432" xr:uid="{37D6CE68-3BCD-455A-922A-E5130D2C526A}"/>
    <hyperlink ref="V174" r:id="rId1433" xr:uid="{4CFE815F-D6CE-4A33-855C-66C50E8DCF2B}"/>
    <hyperlink ref="W526" r:id="rId1434" xr:uid="{BF055B85-3D15-47E6-A4DA-3E68EC561A1F}"/>
    <hyperlink ref="V236" r:id="rId1435" xr:uid="{44BE8F18-C400-4885-8D5E-A6396C8B1D1F}"/>
    <hyperlink ref="V237" r:id="rId1436" xr:uid="{B6E91E3D-B217-463E-9EBD-B83A3E5BED9C}"/>
    <hyperlink ref="W236" r:id="rId1437" xr:uid="{48A0964E-620C-40FA-B2A5-FB9552894A56}"/>
    <hyperlink ref="W237" r:id="rId1438" xr:uid="{6F80FCE0-F04B-4AD3-A235-7376CC2CDFA9}"/>
    <hyperlink ref="V238" r:id="rId1439" xr:uid="{37C2A292-D9AB-48EB-9FA1-E4DC73C17837}"/>
    <hyperlink ref="V239" r:id="rId1440" xr:uid="{56E534A8-058E-46DF-9173-855B88378B7B}"/>
    <hyperlink ref="V240" r:id="rId1441" xr:uid="{E872ACFA-CE65-4C79-ADA2-A2DB939E2071}"/>
    <hyperlink ref="V241" r:id="rId1442" xr:uid="{317EB1C4-ED0E-4694-B5BE-E95451296235}"/>
    <hyperlink ref="X238" r:id="rId1443" xr:uid="{003E05AA-3182-4565-8E96-DBFA97CE83AD}"/>
    <hyperlink ref="X239" r:id="rId1444" xr:uid="{8868FFC7-EB35-4C61-B8D0-D13B73721BA3}"/>
    <hyperlink ref="X240" r:id="rId1445" xr:uid="{54CC3696-BA88-419B-AB9E-1457FF1C46C6}"/>
    <hyperlink ref="X241" r:id="rId1446" xr:uid="{501DB266-8F65-4430-8D62-CB48F0F0D9B1}"/>
    <hyperlink ref="Y238" r:id="rId1447" xr:uid="{0A4CE2EE-515B-4F12-AE9D-916B9F98F509}"/>
    <hyperlink ref="Y239" r:id="rId1448" xr:uid="{2C195CD1-E289-4F0B-A4BA-0B0FA1184BF7}"/>
    <hyperlink ref="Y240" r:id="rId1449" xr:uid="{89703CEF-C419-42D2-827F-09E0193C48F0}"/>
    <hyperlink ref="Y241" r:id="rId1450" xr:uid="{F5C20075-362C-4BA1-8A16-E562C453E615}"/>
    <hyperlink ref="X236" r:id="rId1451" xr:uid="{4D2E0378-BE6C-47ED-B7ED-76181CAE08D7}"/>
    <hyperlink ref="X237" r:id="rId1452" xr:uid="{A28E2418-5F7F-44A5-B715-835F8BA2BDD7}"/>
    <hyperlink ref="W238" r:id="rId1453" xr:uid="{DA9BB945-2951-4E4A-B497-52C935ED1720}"/>
    <hyperlink ref="W239" r:id="rId1454" xr:uid="{5C03BFC9-BBE7-43BF-9AF3-5D5EA0657B22}"/>
    <hyperlink ref="W240" r:id="rId1455" xr:uid="{A21C7F61-DFD6-443B-BF0D-6AEEEB3FB521}"/>
    <hyperlink ref="W241" r:id="rId1456" xr:uid="{13DAD11A-315A-4AE1-81E3-9ECD3B418787}"/>
    <hyperlink ref="Y786" r:id="rId1457" xr:uid="{1BECD8C9-48A5-4836-8CA4-FC8F9F66975C}"/>
    <hyperlink ref="W786" r:id="rId1458" xr:uid="{C6901B78-876A-47A3-83AE-A0FA60137A24}"/>
    <hyperlink ref="V786" r:id="rId1459" xr:uid="{F412F94E-2B89-4BAF-8083-079AFB118A5E}"/>
    <hyperlink ref="X786" r:id="rId1460" xr:uid="{6C03C96D-ED19-43D4-A8DF-1519F8E19C1F}"/>
    <hyperlink ref="V1189" r:id="rId1461" xr:uid="{6569083C-7120-43F0-934C-FFE3E94941A1}"/>
    <hyperlink ref="W1189" r:id="rId1462" xr:uid="{D5EA329D-0412-4F2E-B4FE-5FA69665D625}"/>
    <hyperlink ref="V1179" r:id="rId1463" xr:uid="{3178E0D7-E8E5-4D48-B57D-8B8ECBE79523}"/>
    <hyperlink ref="V337" r:id="rId1464" xr:uid="{B97DC1C3-FC60-4F6A-9697-2C477AD5FA34}"/>
    <hyperlink ref="X337" r:id="rId1465" xr:uid="{3E27DA47-0FEC-4B8A-9A3F-942397878E64}"/>
    <hyperlink ref="V336" r:id="rId1466" xr:uid="{059B664A-3D23-4203-9141-380A9305728C}"/>
    <hyperlink ref="W336" r:id="rId1467" xr:uid="{9617ECE8-34C1-4166-9115-D2B818F4BD68}"/>
    <hyperlink ref="Y337" r:id="rId1468" xr:uid="{A1F9FB8A-741C-49E6-966C-F70C7596D8FB}"/>
    <hyperlink ref="W338" r:id="rId1469" xr:uid="{0E76C764-BE68-4582-9D1E-26EB11B33DFC}"/>
    <hyperlink ref="V338" r:id="rId1470" xr:uid="{7A8F31AC-4942-4B21-BC69-95B17A3E64AE}"/>
    <hyperlink ref="X338" r:id="rId1471" xr:uid="{7D5348B5-42FE-4116-9730-C79793B54F0B}"/>
    <hyperlink ref="Y338" r:id="rId1472" xr:uid="{7B8974A2-D107-4908-9056-8EEDE90D8B5F}"/>
    <hyperlink ref="W339" r:id="rId1473" xr:uid="{D6935215-BA83-4B18-8B50-AED13205017F}"/>
    <hyperlink ref="V339" r:id="rId1474" xr:uid="{41573ADC-C041-4D0C-8A19-15A642406DAB}"/>
    <hyperlink ref="X339" r:id="rId1475" xr:uid="{1E5BB714-3111-4A12-907E-D7623F915B2D}"/>
    <hyperlink ref="Y339" r:id="rId1476" xr:uid="{3F78C84C-29E5-426A-99E7-5CB036CD92AE}"/>
    <hyperlink ref="W340" r:id="rId1477" xr:uid="{4F080DD2-1E36-4EB2-A7A8-1F4C39060660}"/>
    <hyperlink ref="V340" r:id="rId1478" xr:uid="{30A8D625-2852-4982-A5FD-1C5883C0460E}"/>
    <hyperlink ref="X340" r:id="rId1479" xr:uid="{37617D1B-5749-4566-9A5A-A69216E31AF8}"/>
    <hyperlink ref="Y340" r:id="rId1480" xr:uid="{397A0EE1-2441-4808-B0C2-5B110DF30C11}"/>
    <hyperlink ref="X335" r:id="rId1481" xr:uid="{7B3D6CF1-3CA6-4256-B9BF-D04E45082C0C}"/>
    <hyperlink ref="X334" r:id="rId1482" xr:uid="{06DA8C1A-D30A-4561-A6DA-3176A5C83D31}"/>
    <hyperlink ref="X333" r:id="rId1483" xr:uid="{3CAF2509-547A-4ADC-BA3B-AE573B57FBBF}"/>
    <hyperlink ref="AB335" r:id="rId1484" xr:uid="{DEDAE2C6-DD7D-40C7-85C5-85D950825A84}"/>
    <hyperlink ref="V680" r:id="rId1485" xr:uid="{593B54B1-8465-40E7-AB3C-4294593F1B9E}"/>
    <hyperlink ref="V678" r:id="rId1486" xr:uid="{EECE54B0-8C14-4D12-92E0-A5C7C7E0F42E}"/>
    <hyperlink ref="V679" r:id="rId1487" xr:uid="{67DFDAE7-2F3E-449B-BE9B-8FAF2E7FAC98}"/>
    <hyperlink ref="V279" r:id="rId1488" xr:uid="{811DDAE9-0C69-4503-88C6-78ED645B292C}"/>
    <hyperlink ref="AB276" r:id="rId1489" location="35b98872" xr:uid="{CD5DC0D3-A28A-4ED9-8D7D-97331F536EB8}"/>
    <hyperlink ref="AB277" r:id="rId1490" location="35b98872" xr:uid="{6C06E4DA-E0D6-4560-80BC-651B1C1AB90B}"/>
    <hyperlink ref="AB280" r:id="rId1491" location="35b98872" xr:uid="{E1151344-964A-42D9-8206-6796CA8F25EB}"/>
    <hyperlink ref="AB1095" r:id="rId1492" xr:uid="{CA90575D-A8F4-4239-8A63-2C02D6B3A354}"/>
    <hyperlink ref="AB1099" r:id="rId1493" xr:uid="{2A6BB931-8884-4A86-8B88-84FC85DC4CDB}"/>
    <hyperlink ref="V1183" r:id="rId1494" xr:uid="{86BCD0F3-468A-4014-B934-ACE80F2ECBC8}"/>
    <hyperlink ref="V1163" r:id="rId1495" xr:uid="{4D7231EB-D4C5-4963-A05B-B9D685ABAA6C}"/>
    <hyperlink ref="V85" r:id="rId1496" xr:uid="{C3516AB2-FB30-4D6A-9730-B5D8D6C8B4E4}"/>
    <hyperlink ref="V1172" r:id="rId1497" xr:uid="{A354ACC5-CC8B-49E1-AEE6-4C9367FFCD73}"/>
    <hyperlink ref="V1164:V1166" r:id="rId1498" display="https://www.defense.gov/News/Releases/Release/Article/3210297/400-million-in-additional-security-assistance-for-ukraine/" xr:uid="{046BC8F4-DFB0-42D0-9E6B-1D2EF2C33AA4}"/>
    <hyperlink ref="V916" r:id="rId1499" xr:uid="{7B58406B-F388-4C3B-81DD-AB3D791426FC}"/>
    <hyperlink ref="W916" r:id="rId1500" xr:uid="{866B047E-DE8E-4933-B539-AE55616ACFF7}"/>
    <hyperlink ref="V917" r:id="rId1501" location=":~:text=Since%20mid%2DDecember%202021%2C%20the,and%20State%20Border%20Guard%20Service" xr:uid="{23669FEF-2390-40ED-B25D-F8ED543EB3F7}"/>
    <hyperlink ref="V921" r:id="rId1502" xr:uid="{DC9A4849-32E5-4E46-AA32-CE1C448DD9E1}"/>
    <hyperlink ref="W921" r:id="rId1503" xr:uid="{E983D9B4-D5B5-483F-A05E-CF9C58EF50CC}"/>
    <hyperlink ref="X921" r:id="rId1504" xr:uid="{F282DBE0-A9FE-4D18-958A-5AA2D35BFFB1}"/>
    <hyperlink ref="AB921" r:id="rId1505" xr:uid="{96C7EECB-6CEE-4247-BC85-B06A4CB4C1B6}"/>
    <hyperlink ref="V670" r:id="rId1506" xr:uid="{D33C3CF8-8C9E-4FFD-A1AC-ABEEBA074A8B}"/>
    <hyperlink ref="W675" r:id="rId1507" xr:uid="{02B713E6-04DC-4150-87EB-203A3D3F8658}"/>
    <hyperlink ref="V675" r:id="rId1508" xr:uid="{BAF234F5-3B7B-42C9-8A7E-75BF43996006}"/>
    <hyperlink ref="W674" r:id="rId1509" xr:uid="{5E8047DE-B113-493F-8BC6-6DBB96DA2BED}"/>
    <hyperlink ref="V671" r:id="rId1510" xr:uid="{2E3E22B3-7111-4145-A1FF-E36B71BC8FC6}"/>
  </hyperlinks>
  <pageMargins left="0.7" right="0.7" top="0.75" bottom="0.75" header="0.3" footer="0.3"/>
  <pageSetup paperSize="8" fitToWidth="0" fitToHeight="0" orientation="portrait" horizontalDpi="4294967293" r:id="rId15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59999389629810485"/>
  </sheetPr>
  <dimension ref="A1:W163"/>
  <sheetViews>
    <sheetView showGridLines="0" zoomScaleNormal="100" workbookViewId="0">
      <pane ySplit="1" topLeftCell="A2" activePane="bottomLeft" state="frozen"/>
      <selection pane="bottomLeft"/>
    </sheetView>
  </sheetViews>
  <sheetFormatPr defaultColWidth="8.5" defaultRowHeight="14.1"/>
  <cols>
    <col min="1" max="1" width="8.5" style="100"/>
    <col min="2" max="2" width="60" style="104" bestFit="1" customWidth="1"/>
    <col min="3" max="3" width="11" style="104" bestFit="1" customWidth="1"/>
    <col min="4" max="4" width="38" style="104" bestFit="1" customWidth="1"/>
    <col min="5" max="5" width="40" style="104" customWidth="1"/>
    <col min="6" max="6" width="36" style="104" bestFit="1" customWidth="1"/>
    <col min="7" max="7" width="34" style="104" customWidth="1"/>
    <col min="8" max="8" width="12.5" style="100" customWidth="1"/>
    <col min="9" max="9" width="18.5" style="104" bestFit="1" customWidth="1"/>
    <col min="10" max="10" width="16" style="104" customWidth="1"/>
    <col min="11" max="16" width="8.5" style="104"/>
    <col min="17" max="17" width="8.5" style="107"/>
    <col min="18" max="16384" width="8.5" style="104"/>
  </cols>
  <sheetData>
    <row r="1" spans="1:23" s="98" customFormat="1">
      <c r="A1" s="97" t="s">
        <v>3139</v>
      </c>
      <c r="B1" s="98" t="s">
        <v>3006</v>
      </c>
      <c r="C1" s="98" t="s">
        <v>3212</v>
      </c>
      <c r="D1" s="34" t="s">
        <v>3213</v>
      </c>
      <c r="E1" s="34" t="s">
        <v>3214</v>
      </c>
      <c r="F1" s="34" t="s">
        <v>3215</v>
      </c>
      <c r="G1" s="99" t="s">
        <v>3216</v>
      </c>
      <c r="H1" s="636" t="s">
        <v>3217</v>
      </c>
      <c r="I1" s="99"/>
      <c r="J1" s="99"/>
      <c r="K1" s="99"/>
      <c r="L1" s="99"/>
      <c r="M1" s="99"/>
      <c r="N1" s="99"/>
      <c r="O1" s="99"/>
    </row>
    <row r="2" spans="1:23">
      <c r="A2" s="100">
        <v>0</v>
      </c>
      <c r="B2" s="2" t="s">
        <v>227</v>
      </c>
      <c r="C2" s="2">
        <f>SUMIFS('Bilateral assistance, MAIN DATA'!S:S,'Bilateral assistance, MAIN DATA'!D:D,"Military",'Bilateral assistance, MAIN DATA'!B:B,'Military aid by type'!B2)/1000000000</f>
        <v>0.26905945387644442</v>
      </c>
      <c r="D2" s="104">
        <f>SUMIFS('Bilateral assistance, MAIN DATA'!S:S,'Bilateral assistance, MAIN DATA'!E:E,"Weapons", 'Bilateral assistance, MAIN DATA'!B:B,'Military aid by type'!B2)/1000000000+SUMIFS('Bilateral assistance, MAIN DATA'!S:S,'Bilateral assistance, MAIN DATA'!E:E,"Weapons and equipment", 'Bilateral assistance, MAIN DATA'!B:B,'Military aid by type'!B2)/1000000000+SUMIFS('Bilateral assistance, MAIN DATA'!S:S,'Bilateral assistance, MAIN DATA'!E:E,"Weapons and training", 'Bilateral assistance, MAIN DATA'!B:B,'Military aid by type'!B2)/1000000000+SUMIFS('Bilateral assistance, MAIN DATA'!S:S,'Bilateral assistance, MAIN DATA'!E:E,"Weapons and Assistance", 'Bilateral assistance, MAIN DATA'!B:B,'Military aid by type'!B2)/1000000000+SUMIFS('Bilateral assistance, MAIN DATA'!S:S,'Bilateral assistance, MAIN DATA'!E:E,"Military Equipment", 'Bilateral assistance, MAIN DATA'!B:B,'Military aid by type'!B2)/1000000000</f>
        <v>0.26344328965205605</v>
      </c>
      <c r="E2" s="104">
        <v>0</v>
      </c>
      <c r="F2" s="104">
        <f>D2-E2</f>
        <v>0.26344328965205605</v>
      </c>
      <c r="G2" s="2">
        <f>C2-F2</f>
        <v>5.6161642243883758E-3</v>
      </c>
      <c r="H2" s="451"/>
      <c r="I2" s="2"/>
      <c r="J2" s="106"/>
      <c r="K2" s="2"/>
      <c r="L2" s="2"/>
      <c r="M2" s="2"/>
      <c r="N2" s="2"/>
      <c r="O2" s="2"/>
    </row>
    <row r="3" spans="1:23">
      <c r="A3" s="100">
        <v>1</v>
      </c>
      <c r="B3" s="104" t="s">
        <v>312</v>
      </c>
      <c r="C3" s="2">
        <f>SUMIFS('Bilateral assistance, MAIN DATA'!S:S,'Bilateral assistance, MAIN DATA'!D:D,"Military",'Bilateral assistance, MAIN DATA'!B:B,'Military aid by type'!B3)/1000000000</f>
        <v>3.5748620328849025E-3</v>
      </c>
      <c r="D3" s="104">
        <f>SUMIFS('Bilateral assistance, MAIN DATA'!S:S,'Bilateral assistance, MAIN DATA'!E:E,"Weapons", 'Bilateral assistance, MAIN DATA'!B:B,'Military aid by type'!B3)/1000000000+SUMIFS('Bilateral assistance, MAIN DATA'!S:S,'Bilateral assistance, MAIN DATA'!E:E,"Weapons and equipment", 'Bilateral assistance, MAIN DATA'!B:B,'Military aid by type'!B3)/1000000000+SUMIFS('Bilateral assistance, MAIN DATA'!S:S,'Bilateral assistance, MAIN DATA'!E:E,"Weapons and training", 'Bilateral assistance, MAIN DATA'!B:B,'Military aid by type'!B3)/1000000000+SUMIFS('Bilateral assistance, MAIN DATA'!S:S,'Bilateral assistance, MAIN DATA'!E:E,"Weapons and Assistance", 'Bilateral assistance, MAIN DATA'!B:B,'Military aid by type'!B3)/1000000000+SUMIFS('Bilateral assistance, MAIN DATA'!S:S,'Bilateral assistance, MAIN DATA'!E:E,"Military Equipment", 'Bilateral assistance, MAIN DATA'!B:B,'Military aid by type'!B3)/1000000000</f>
        <v>3.5748620328849025E-3</v>
      </c>
      <c r="E3" s="104">
        <v>0</v>
      </c>
      <c r="F3" s="104">
        <f t="shared" ref="F3:F42" si="0">D3-E3</f>
        <v>3.5748620328849025E-3</v>
      </c>
      <c r="G3" s="2">
        <f t="shared" ref="G3:G42" si="1">C3-F3</f>
        <v>0</v>
      </c>
      <c r="H3" s="451"/>
      <c r="I3" s="2"/>
      <c r="J3" s="106"/>
      <c r="K3" s="2"/>
      <c r="L3" s="2"/>
      <c r="M3" s="2"/>
      <c r="N3" s="2"/>
      <c r="O3" s="2"/>
    </row>
    <row r="4" spans="1:23">
      <c r="A4" s="100">
        <v>1</v>
      </c>
      <c r="B4" s="104" t="s">
        <v>370</v>
      </c>
      <c r="C4" s="2">
        <f>SUMIFS('Bilateral assistance, MAIN DATA'!S:S,'Bilateral assistance, MAIN DATA'!D:D,"Military",'Bilateral assistance, MAIN DATA'!B:B,'Military aid by type'!B4)/1000000000</f>
        <v>9.6000000000000002E-2</v>
      </c>
      <c r="D4" s="104">
        <f>SUMIFS('Bilateral assistance, MAIN DATA'!S:S,'Bilateral assistance, MAIN DATA'!E:E,"Weapons", 'Bilateral assistance, MAIN DATA'!B:B,'Military aid by type'!B4)/1000000000+SUMIFS('Bilateral assistance, MAIN DATA'!S:S,'Bilateral assistance, MAIN DATA'!E:E,"Weapons and equipment", 'Bilateral assistance, MAIN DATA'!B:B,'Military aid by type'!B4)/1000000000+SUMIFS('Bilateral assistance, MAIN DATA'!S:S,'Bilateral assistance, MAIN DATA'!E:E,"Weapons and training", 'Bilateral assistance, MAIN DATA'!B:B,'Military aid by type'!B4)/1000000000+SUMIFS('Bilateral assistance, MAIN DATA'!S:S,'Bilateral assistance, MAIN DATA'!E:E,"Weapons and Assistance", 'Bilateral assistance, MAIN DATA'!B:B,'Military aid by type'!B4)/1000000000+SUMIFS('Bilateral assistance, MAIN DATA'!S:S,'Bilateral assistance, MAIN DATA'!E:E,"Military Equipment", 'Bilateral assistance, MAIN DATA'!B:B,'Military aid by type'!B4)/1000000000</f>
        <v>9.6000000000000002E-2</v>
      </c>
      <c r="E4" s="104">
        <v>0</v>
      </c>
      <c r="F4" s="104">
        <f t="shared" si="0"/>
        <v>9.6000000000000002E-2</v>
      </c>
      <c r="G4" s="2">
        <f t="shared" si="1"/>
        <v>0</v>
      </c>
      <c r="H4" s="451"/>
      <c r="I4" s="2"/>
      <c r="J4" s="106"/>
      <c r="K4" s="2"/>
      <c r="L4" s="2"/>
      <c r="M4" s="2"/>
      <c r="N4" s="2"/>
      <c r="O4" s="2"/>
      <c r="T4" s="906"/>
      <c r="U4" s="906"/>
      <c r="V4" s="906"/>
      <c r="W4" s="906"/>
    </row>
    <row r="5" spans="1:23" ht="15.75" customHeight="1">
      <c r="A5" s="100">
        <v>1</v>
      </c>
      <c r="B5" s="104" t="s">
        <v>428</v>
      </c>
      <c r="C5" s="2">
        <f>SUMIFS('Bilateral assistance, MAIN DATA'!S:S,'Bilateral assistance, MAIN DATA'!D:D,"Military",'Bilateral assistance, MAIN DATA'!B:B,'Military aid by type'!B5)/1000000000</f>
        <v>3.7867463876432484E-3</v>
      </c>
      <c r="D5" s="104">
        <f>SUMIFS('Bilateral assistance, MAIN DATA'!S:S,'Bilateral assistance, MAIN DATA'!E:E,"Weapons", 'Bilateral assistance, MAIN DATA'!B:B,'Military aid by type'!B5)/1000000000+SUMIFS('Bilateral assistance, MAIN DATA'!S:S,'Bilateral assistance, MAIN DATA'!E:E,"Weapons and equipment", 'Bilateral assistance, MAIN DATA'!B:B,'Military aid by type'!B5)/1000000000+SUMIFS('Bilateral assistance, MAIN DATA'!S:S,'Bilateral assistance, MAIN DATA'!E:E,"Weapons and training", 'Bilateral assistance, MAIN DATA'!B:B,'Military aid by type'!B5)/1000000000+SUMIFS('Bilateral assistance, MAIN DATA'!S:S,'Bilateral assistance, MAIN DATA'!E:E,"Weapons and Assistance", 'Bilateral assistance, MAIN DATA'!B:B,'Military aid by type'!B5)/1000000000+SUMIFS('Bilateral assistance, MAIN DATA'!S:S,'Bilateral assistance, MAIN DATA'!E:E,"Military Equipment", 'Bilateral assistance, MAIN DATA'!B:B,'Military aid by type'!B5)/1000000000</f>
        <v>3.7867463876432484E-3</v>
      </c>
      <c r="E5" s="104">
        <v>0</v>
      </c>
      <c r="F5" s="104">
        <f t="shared" si="0"/>
        <v>3.7867463876432484E-3</v>
      </c>
      <c r="G5" s="2">
        <f t="shared" si="1"/>
        <v>0</v>
      </c>
      <c r="H5" s="451"/>
      <c r="I5" s="2"/>
      <c r="J5" s="106"/>
      <c r="K5" s="2"/>
      <c r="L5" s="2"/>
      <c r="M5" s="2"/>
      <c r="N5" s="2"/>
      <c r="O5" s="2"/>
      <c r="T5" s="906"/>
      <c r="U5" s="906"/>
      <c r="V5" s="906"/>
      <c r="W5" s="906"/>
    </row>
    <row r="6" spans="1:23" ht="15.6">
      <c r="A6" s="100">
        <v>0</v>
      </c>
      <c r="B6" s="104" t="s">
        <v>452</v>
      </c>
      <c r="C6" s="2">
        <f>SUMIFS('Bilateral assistance, MAIN DATA'!S:S,'Bilateral assistance, MAIN DATA'!D:D,"Military",'Bilateral assistance, MAIN DATA'!B:B,'Military aid by type'!B6)/1000000000</f>
        <v>1.3567179918845094</v>
      </c>
      <c r="D6" s="104">
        <f>(SUMIFS('Bilateral assistance, MAIN DATA'!S:S,'Bilateral assistance, MAIN DATA'!E:E,"Weapons", 'Bilateral assistance, MAIN DATA'!B:B,'Military aid by type'!B6)/1000000000+SUMIFS('Bilateral assistance, MAIN DATA'!S:S,'Bilateral assistance, MAIN DATA'!E:E,"Weapons and equipment", 'Bilateral assistance, MAIN DATA'!B:B,'Military aid by type'!B6)/1000000000+SUMIFS('Bilateral assistance, MAIN DATA'!S:S,'Bilateral assistance, MAIN DATA'!E:E,"Weapons and training", 'Bilateral assistance, MAIN DATA'!B:B,'Military aid by type'!B6)/1000000000+SUMIFS('Bilateral assistance, MAIN DATA'!S:S,'Bilateral assistance, MAIN DATA'!E:E,"Weapons and Assistance", 'Bilateral assistance, MAIN DATA'!B:B,'Military aid by type'!B6)/1000000000+SUMIFS('Bilateral assistance, MAIN DATA'!S:S,'Bilateral assistance, MAIN DATA'!E:E,"Military Equipment", 'Bilateral assistance, MAIN DATA'!B:B,'Military aid by type'!B6)/1000000000)</f>
        <v>0.98839386665430684</v>
      </c>
      <c r="E6" s="33">
        <v>0</v>
      </c>
      <c r="F6" s="104">
        <f t="shared" si="0"/>
        <v>0.98839386665430684</v>
      </c>
      <c r="G6" s="2">
        <f t="shared" si="1"/>
        <v>0.36832412523020253</v>
      </c>
      <c r="H6" s="451"/>
      <c r="I6" s="2"/>
      <c r="J6" s="106"/>
      <c r="K6" s="2"/>
      <c r="L6" s="2"/>
      <c r="M6" s="2"/>
      <c r="N6" s="2"/>
      <c r="O6" s="2"/>
      <c r="T6" s="906"/>
      <c r="U6" s="906"/>
      <c r="V6" s="906"/>
      <c r="W6" s="906"/>
    </row>
    <row r="7" spans="1:23">
      <c r="A7" s="100">
        <v>1</v>
      </c>
      <c r="B7" s="104" t="s">
        <v>591</v>
      </c>
      <c r="C7" s="2">
        <f>SUMIFS('Bilateral assistance, MAIN DATA'!S:S,'Bilateral assistance, MAIN DATA'!D:D,"Military",'Bilateral assistance, MAIN DATA'!B:B,'Military aid by type'!B7)/1000000000</f>
        <v>1.6450859690087031E-2</v>
      </c>
      <c r="D7" s="104">
        <f>SUMIFS('Bilateral assistance, MAIN DATA'!S:S,'Bilateral assistance, MAIN DATA'!E:E,"Weapons", 'Bilateral assistance, MAIN DATA'!B:B,'Military aid by type'!B7)/1000000000+SUMIFS('Bilateral assistance, MAIN DATA'!S:S,'Bilateral assistance, MAIN DATA'!E:E,"Weapons and equipment", 'Bilateral assistance, MAIN DATA'!B:B,'Military aid by type'!B7)/1000000000+SUMIFS('Bilateral assistance, MAIN DATA'!S:S,'Bilateral assistance, MAIN DATA'!E:E,"Weapons and training", 'Bilateral assistance, MAIN DATA'!B:B,'Military aid by type'!B7)/1000000000+SUMIFS('Bilateral assistance, MAIN DATA'!S:S,'Bilateral assistance, MAIN DATA'!E:E,"Weapons and Assistance", 'Bilateral assistance, MAIN DATA'!B:B,'Military aid by type'!B7)/1000000000+SUMIFS('Bilateral assistance, MAIN DATA'!S:S,'Bilateral assistance, MAIN DATA'!E:E,"Military Equipment", 'Bilateral assistance, MAIN DATA'!B:B,'Military aid by type'!B7)/1000000000</f>
        <v>1.6450859690087031E-2</v>
      </c>
      <c r="E7" s="104">
        <v>0</v>
      </c>
      <c r="F7" s="104">
        <f t="shared" si="0"/>
        <v>1.6450859690087031E-2</v>
      </c>
      <c r="G7" s="2">
        <f t="shared" si="1"/>
        <v>0</v>
      </c>
      <c r="H7" s="451"/>
      <c r="I7" s="2"/>
      <c r="J7" s="106"/>
      <c r="K7" s="2"/>
      <c r="L7" s="2"/>
      <c r="M7" s="2"/>
      <c r="N7" s="2"/>
      <c r="O7" s="2"/>
      <c r="T7" s="906"/>
      <c r="U7" s="906"/>
      <c r="V7" s="906"/>
      <c r="W7" s="906"/>
    </row>
    <row r="8" spans="1:23" ht="15.75" customHeight="1">
      <c r="A8" s="100">
        <v>1</v>
      </c>
      <c r="B8" s="104" t="s">
        <v>618</v>
      </c>
      <c r="C8" s="2">
        <f>SUMIFS('Bilateral assistance, MAIN DATA'!S:S,'Bilateral assistance, MAIN DATA'!D:D,"Military",'Bilateral assistance, MAIN DATA'!B:B,'Military aid by type'!B8)/1000000000</f>
        <v>0</v>
      </c>
      <c r="D8" s="104">
        <f>SUMIFS('Bilateral assistance, MAIN DATA'!S:S,'Bilateral assistance, MAIN DATA'!E:E,"Weapons", 'Bilateral assistance, MAIN DATA'!B:B,'Military aid by type'!B8)/1000000000+SUMIFS('Bilateral assistance, MAIN DATA'!S:S,'Bilateral assistance, MAIN DATA'!E:E,"Weapons and equipment", 'Bilateral assistance, MAIN DATA'!B:B,'Military aid by type'!B8)/1000000000+SUMIFS('Bilateral assistance, MAIN DATA'!S:S,'Bilateral assistance, MAIN DATA'!E:E,"Weapons and training", 'Bilateral assistance, MAIN DATA'!B:B,'Military aid by type'!B8)/1000000000+SUMIFS('Bilateral assistance, MAIN DATA'!S:S,'Bilateral assistance, MAIN DATA'!E:E,"Weapons and Assistance", 'Bilateral assistance, MAIN DATA'!B:B,'Military aid by type'!B8)/1000000000+SUMIFS('Bilateral assistance, MAIN DATA'!S:S,'Bilateral assistance, MAIN DATA'!E:E,"Military Equipment", 'Bilateral assistance, MAIN DATA'!B:B,'Military aid by type'!B8)/1000000000</f>
        <v>0</v>
      </c>
      <c r="E8" s="104">
        <v>0</v>
      </c>
      <c r="F8" s="104">
        <f t="shared" si="0"/>
        <v>0</v>
      </c>
      <c r="G8" s="2">
        <f t="shared" si="1"/>
        <v>0</v>
      </c>
      <c r="H8" s="451"/>
      <c r="I8" s="2"/>
      <c r="J8" s="106"/>
      <c r="K8" s="2"/>
      <c r="L8" s="2"/>
      <c r="M8" s="2"/>
      <c r="N8" s="2"/>
      <c r="O8" s="2"/>
    </row>
    <row r="9" spans="1:23">
      <c r="A9" s="100">
        <v>1</v>
      </c>
      <c r="B9" s="104" t="s">
        <v>632</v>
      </c>
      <c r="C9" s="2">
        <f>SUMIFS('Bilateral assistance, MAIN DATA'!S:S,'Bilateral assistance, MAIN DATA'!D:D,"Military",'Bilateral assistance, MAIN DATA'!B:B,'Military aid by type'!B9)/1000000000</f>
        <v>0.47848954751909611</v>
      </c>
      <c r="D9" s="104">
        <f>SUMIFS('Bilateral assistance, MAIN DATA'!S:S,'Bilateral assistance, MAIN DATA'!E:E,"Weapons", 'Bilateral assistance, MAIN DATA'!B:B,'Military aid by type'!B9)/1000000000+SUMIFS('Bilateral assistance, MAIN DATA'!S:S,'Bilateral assistance, MAIN DATA'!E:E,"Weapons and equipment", 'Bilateral assistance, MAIN DATA'!B:B,'Military aid by type'!B9)/1000000000+SUMIFS('Bilateral assistance, MAIN DATA'!S:S,'Bilateral assistance, MAIN DATA'!E:E,"Weapons and training", 'Bilateral assistance, MAIN DATA'!B:B,'Military aid by type'!B9)/1000000000+SUMIFS('Bilateral assistance, MAIN DATA'!S:S,'Bilateral assistance, MAIN DATA'!E:E,"Weapons and Assistance", 'Bilateral assistance, MAIN DATA'!B:B,'Military aid by type'!B9)/1000000000+SUMIFS('Bilateral assistance, MAIN DATA'!S:S,'Bilateral assistance, MAIN DATA'!E:E,"Military Equipment", 'Bilateral assistance, MAIN DATA'!B:B,'Military aid by type'!B9)/1000000000</f>
        <v>0.43703463969647527</v>
      </c>
      <c r="E9" s="104">
        <v>0</v>
      </c>
      <c r="F9" s="104">
        <f t="shared" si="0"/>
        <v>0.43703463969647527</v>
      </c>
      <c r="G9" s="2">
        <f t="shared" si="1"/>
        <v>4.1454907822620846E-2</v>
      </c>
      <c r="H9" s="451"/>
      <c r="I9" s="2"/>
      <c r="J9" s="106"/>
      <c r="K9" s="2"/>
      <c r="L9" s="2"/>
      <c r="M9" s="2"/>
      <c r="N9" s="2"/>
      <c r="O9" s="2"/>
    </row>
    <row r="10" spans="1:23">
      <c r="A10" s="100">
        <v>1</v>
      </c>
      <c r="B10" s="104" t="s">
        <v>767</v>
      </c>
      <c r="C10" s="2">
        <f>SUMIFS('Bilateral assistance, MAIN DATA'!S:S,'Bilateral assistance, MAIN DATA'!D:D,"Military",'Bilateral assistance, MAIN DATA'!B:B,'Military aid by type'!B10)/1000000000</f>
        <v>0.50996679973654857</v>
      </c>
      <c r="D10" s="104">
        <f>SUMIFS('Bilateral assistance, MAIN DATA'!S:S,'Bilateral assistance, MAIN DATA'!E:E,"Weapons", 'Bilateral assistance, MAIN DATA'!B:B,'Military aid by type'!B10)/1000000000+SUMIFS('Bilateral assistance, MAIN DATA'!S:S,'Bilateral assistance, MAIN DATA'!E:E,"Weapons and equipment", 'Bilateral assistance, MAIN DATA'!B:B,'Military aid by type'!B10)/1000000000+SUMIFS('Bilateral assistance, MAIN DATA'!S:S,'Bilateral assistance, MAIN DATA'!E:E,"Weapons and training", 'Bilateral assistance, MAIN DATA'!B:B,'Military aid by type'!B10)/1000000000+SUMIFS('Bilateral assistance, MAIN DATA'!S:S,'Bilateral assistance, MAIN DATA'!E:E,"Weapons and Assistance", 'Bilateral assistance, MAIN DATA'!B:B,'Military aid by type'!B10)/1000000000+SUMIFS('Bilateral assistance, MAIN DATA'!S:S,'Bilateral assistance, MAIN DATA'!E:E,"Military Equipment", 'Bilateral assistance, MAIN DATA'!B:B,'Military aid by type'!B10)/1000000000</f>
        <v>0.26882804414156486</v>
      </c>
      <c r="E10" s="104">
        <v>0</v>
      </c>
      <c r="F10" s="104">
        <f t="shared" si="0"/>
        <v>0.26882804414156486</v>
      </c>
      <c r="G10" s="2">
        <f t="shared" si="1"/>
        <v>0.24113875559498371</v>
      </c>
      <c r="H10" s="451"/>
      <c r="I10" s="2"/>
      <c r="J10" s="106"/>
      <c r="K10" s="2"/>
      <c r="L10" s="2"/>
      <c r="M10" s="2"/>
      <c r="N10" s="2"/>
      <c r="O10" s="2"/>
    </row>
    <row r="11" spans="1:23">
      <c r="A11" s="100">
        <v>1</v>
      </c>
      <c r="B11" s="104" t="s">
        <v>840</v>
      </c>
      <c r="C11" s="2">
        <f>SUMIFS('Bilateral assistance, MAIN DATA'!S:S,'Bilateral assistance, MAIN DATA'!D:D,"Military",'Bilateral assistance, MAIN DATA'!B:B,'Military aid by type'!B11)/1000000000</f>
        <v>0.33</v>
      </c>
      <c r="D11" s="104">
        <f>SUMIFS('Bilateral assistance, MAIN DATA'!S:S,'Bilateral assistance, MAIN DATA'!E:E,"Weapons", 'Bilateral assistance, MAIN DATA'!B:B,'Military aid by type'!B11)/1000000000+SUMIFS('Bilateral assistance, MAIN DATA'!S:S,'Bilateral assistance, MAIN DATA'!E:E,"Weapons and equipment", 'Bilateral assistance, MAIN DATA'!B:B,'Military aid by type'!B11)/1000000000+SUMIFS('Bilateral assistance, MAIN DATA'!S:S,'Bilateral assistance, MAIN DATA'!E:E,"Weapons and training", 'Bilateral assistance, MAIN DATA'!B:B,'Military aid by type'!B11)/1000000000+SUMIFS('Bilateral assistance, MAIN DATA'!S:S,'Bilateral assistance, MAIN DATA'!E:E,"Weapons and Assistance", 'Bilateral assistance, MAIN DATA'!B:B,'Military aid by type'!B11)/1000000000+SUMIFS('Bilateral assistance, MAIN DATA'!S:S,'Bilateral assistance, MAIN DATA'!E:E,"Military Equipment", 'Bilateral assistance, MAIN DATA'!B:B,'Military aid by type'!B11)/1000000000</f>
        <v>0.33</v>
      </c>
      <c r="E11" s="104">
        <v>0</v>
      </c>
      <c r="F11" s="104">
        <f t="shared" si="0"/>
        <v>0.33</v>
      </c>
      <c r="G11" s="2">
        <f t="shared" si="1"/>
        <v>0</v>
      </c>
      <c r="H11" s="451"/>
      <c r="I11" s="2"/>
      <c r="J11" s="106"/>
      <c r="K11" s="2"/>
      <c r="L11" s="2"/>
      <c r="M11" s="2"/>
      <c r="N11" s="2"/>
      <c r="O11" s="2"/>
    </row>
    <row r="12" spans="1:23">
      <c r="A12" s="100">
        <v>0</v>
      </c>
      <c r="B12" s="104" t="s">
        <v>2825</v>
      </c>
      <c r="C12" s="2">
        <f>SUMIFS('Bilateral assistance, MAIN DATA'!S:S,'Bilateral assistance, MAIN DATA'!D:D,"Military",'Bilateral assistance, MAIN DATA'!B:B,'Military aid by type'!B12)/1000000000</f>
        <v>0</v>
      </c>
      <c r="D12" s="104">
        <f>SUMIFS('Bilateral assistance, MAIN DATA'!S:S,'Bilateral assistance, MAIN DATA'!E:E,"Weapons", 'Bilateral assistance, MAIN DATA'!B:B,'Military aid by type'!B12)/1000000000+SUMIFS('Bilateral assistance, MAIN DATA'!S:S,'Bilateral assistance, MAIN DATA'!E:E,"Weapons and equipment", 'Bilateral assistance, MAIN DATA'!B:B,'Military aid by type'!B12)/1000000000+SUMIFS('Bilateral assistance, MAIN DATA'!S:S,'Bilateral assistance, MAIN DATA'!E:E,"Weapons and training", 'Bilateral assistance, MAIN DATA'!B:B,'Military aid by type'!B12)/1000000000+SUMIFS('Bilateral assistance, MAIN DATA'!S:S,'Bilateral assistance, MAIN DATA'!E:E,"Weapons and Assistance", 'Bilateral assistance, MAIN DATA'!B:B,'Military aid by type'!B12)/1000000000+SUMIFS('Bilateral assistance, MAIN DATA'!S:S,'Bilateral assistance, MAIN DATA'!E:E,"Military Equipment", 'Bilateral assistance, MAIN DATA'!B:B,'Military aid by type'!B12)/1000000000</f>
        <v>0</v>
      </c>
      <c r="E12" s="104">
        <v>0</v>
      </c>
      <c r="F12" s="104">
        <f t="shared" si="0"/>
        <v>0</v>
      </c>
      <c r="G12" s="2">
        <f t="shared" si="1"/>
        <v>0</v>
      </c>
      <c r="H12" s="451"/>
      <c r="I12" s="2"/>
      <c r="J12" s="106"/>
      <c r="K12" s="2"/>
      <c r="L12" s="2"/>
      <c r="M12" s="2"/>
      <c r="N12" s="2"/>
      <c r="O12" s="2"/>
    </row>
    <row r="13" spans="1:23">
      <c r="A13" s="100">
        <v>1</v>
      </c>
      <c r="B13" s="104" t="s">
        <v>917</v>
      </c>
      <c r="C13" s="2">
        <f>SUMIFS('Bilateral assistance, MAIN DATA'!S:S,'Bilateral assistance, MAIN DATA'!D:D,"Military",'Bilateral assistance, MAIN DATA'!B:B,'Military aid by type'!B13)/1000000000</f>
        <v>0.1779</v>
      </c>
      <c r="D13" s="104">
        <f>SUMIFS('Bilateral assistance, MAIN DATA'!S:S,'Bilateral assistance, MAIN DATA'!E:E,"Weapons", 'Bilateral assistance, MAIN DATA'!B:B,'Military aid by type'!B13)/1000000000+SUMIFS('Bilateral assistance, MAIN DATA'!S:S,'Bilateral assistance, MAIN DATA'!E:E,"Weapons and equipment", 'Bilateral assistance, MAIN DATA'!B:B,'Military aid by type'!B13)/1000000000+SUMIFS('Bilateral assistance, MAIN DATA'!S:S,'Bilateral assistance, MAIN DATA'!E:E,"Weapons and training", 'Bilateral assistance, MAIN DATA'!B:B,'Military aid by type'!B13)/1000000000+SUMIFS('Bilateral assistance, MAIN DATA'!S:S,'Bilateral assistance, MAIN DATA'!E:E,"Weapons and Assistance", 'Bilateral assistance, MAIN DATA'!B:B,'Military aid by type'!B13)/1000000000+SUMIFS('Bilateral assistance, MAIN DATA'!S:S,'Bilateral assistance, MAIN DATA'!E:E,"Military Equipment", 'Bilateral assistance, MAIN DATA'!B:B,'Military aid by type'!B13)/1000000000</f>
        <v>0.1479</v>
      </c>
      <c r="E13" s="104">
        <v>0</v>
      </c>
      <c r="F13" s="104">
        <f t="shared" si="0"/>
        <v>0.1479</v>
      </c>
      <c r="G13" s="2">
        <f t="shared" si="1"/>
        <v>0.03</v>
      </c>
      <c r="H13" s="451"/>
      <c r="I13" s="2"/>
      <c r="J13" s="106"/>
      <c r="K13" s="2"/>
      <c r="L13" s="2"/>
      <c r="M13" s="2"/>
      <c r="N13" s="2"/>
      <c r="O13" s="2"/>
    </row>
    <row r="14" spans="1:23">
      <c r="A14" s="100">
        <v>1</v>
      </c>
      <c r="B14" s="104" t="s">
        <v>1012</v>
      </c>
      <c r="C14" s="2">
        <f>SUMIFS('Bilateral assistance, MAIN DATA'!S:S,'Bilateral assistance, MAIN DATA'!D:D,"Military",'Bilateral assistance, MAIN DATA'!B:B,'Military aid by type'!B14)/1000000000</f>
        <v>0.47165789192610524</v>
      </c>
      <c r="D14" s="104">
        <f>SUMIFS('Bilateral assistance, MAIN DATA'!S:S,'Bilateral assistance, MAIN DATA'!E:E,"Weapons", 'Bilateral assistance, MAIN DATA'!B:B,'Military aid by type'!B14)/1000000000+SUMIFS('Bilateral assistance, MAIN DATA'!S:S,'Bilateral assistance, MAIN DATA'!E:E,"Weapons and equipment", 'Bilateral assistance, MAIN DATA'!B:B,'Military aid by type'!B14)/1000000000+SUMIFS('Bilateral assistance, MAIN DATA'!S:S,'Bilateral assistance, MAIN DATA'!E:E,"Weapons and training", 'Bilateral assistance, MAIN DATA'!B:B,'Military aid by type'!B14)/1000000000+SUMIFS('Bilateral assistance, MAIN DATA'!S:S,'Bilateral assistance, MAIN DATA'!E:E,"Weapons and Assistance", 'Bilateral assistance, MAIN DATA'!B:B,'Military aid by type'!B14)/1000000000+SUMIFS('Bilateral assistance, MAIN DATA'!S:S,'Bilateral assistance, MAIN DATA'!E:E,"Military Equipment", 'Bilateral assistance, MAIN DATA'!B:B,'Military aid by type'!B14)/1000000000</f>
        <v>0.4716578919261053</v>
      </c>
      <c r="E14" s="257">
        <v>0</v>
      </c>
      <c r="F14" s="104">
        <f t="shared" si="0"/>
        <v>0.4716578919261053</v>
      </c>
      <c r="G14" s="2">
        <f t="shared" si="1"/>
        <v>0</v>
      </c>
      <c r="H14" s="451"/>
      <c r="I14" s="2"/>
      <c r="J14" s="106"/>
      <c r="K14" s="2"/>
      <c r="L14" s="2"/>
      <c r="M14" s="2"/>
      <c r="N14" s="2"/>
      <c r="O14" s="2"/>
    </row>
    <row r="15" spans="1:23" ht="15.6">
      <c r="A15" s="100">
        <v>1</v>
      </c>
      <c r="B15" s="104" t="s">
        <v>1136</v>
      </c>
      <c r="C15" s="2">
        <f>SUMIFS('Bilateral assistance, MAIN DATA'!S:S,'Bilateral assistance, MAIN DATA'!D:D,"Military",'Bilateral assistance, MAIN DATA'!B:B,'Military aid by type'!B15)/1000000000</f>
        <v>2.3448872384566926</v>
      </c>
      <c r="D15" s="258">
        <f>(SUMIFS('Bilateral assistance, MAIN DATA'!S:S,'Bilateral assistance, MAIN DATA'!E:E,"Weapons", 'Bilateral assistance, MAIN DATA'!B:B,'Military aid by type'!B15)/1000000000+SUMIFS('Bilateral assistance, MAIN DATA'!S:S,'Bilateral assistance, MAIN DATA'!E:E,"Weapons and equipment", 'Bilateral assistance, MAIN DATA'!B:B,'Military aid by type'!B15)/1000000000+SUMIFS('Bilateral assistance, MAIN DATA'!S:S,'Bilateral assistance, MAIN DATA'!E:E,"Weapons and training", 'Bilateral assistance, MAIN DATA'!B:B,'Military aid by type'!B15)/1000000000+SUMIFS('Bilateral assistance, MAIN DATA'!S:S,'Bilateral assistance, MAIN DATA'!E:E,"Weapons and Assistance", 'Bilateral assistance, MAIN DATA'!B:B,'Military aid by type'!B15)/1000000000+SUMIFS('Bilateral assistance, MAIN DATA'!S:S,'Bilateral assistance, MAIN DATA'!E:E,"Military Equipment", 'Bilateral assistance, MAIN DATA'!B:B,'Military aid by type'!B15)/1000000000)</f>
        <v>2.3448872384566926</v>
      </c>
      <c r="E15" s="259">
        <v>0</v>
      </c>
      <c r="F15" s="260">
        <f>D15-E15</f>
        <v>2.3448872384566926</v>
      </c>
      <c r="G15" s="2">
        <f t="shared" si="1"/>
        <v>0</v>
      </c>
      <c r="H15" s="451" t="s">
        <v>3218</v>
      </c>
      <c r="I15" s="2"/>
      <c r="J15" s="106"/>
      <c r="K15" s="2"/>
      <c r="L15" s="2"/>
      <c r="M15" s="2"/>
      <c r="N15" s="2"/>
      <c r="O15" s="2"/>
    </row>
    <row r="16" spans="1:23">
      <c r="A16" s="100">
        <v>1</v>
      </c>
      <c r="B16" s="104" t="s">
        <v>1294</v>
      </c>
      <c r="C16" s="2">
        <f>SUMIFS('Bilateral assistance, MAIN DATA'!S:S,'Bilateral assistance, MAIN DATA'!D:D,"Military",'Bilateral assistance, MAIN DATA'!B:B,'Military aid by type'!B16)/1000000000</f>
        <v>0.19116831928251124</v>
      </c>
      <c r="D16" s="104">
        <f>SUMIFS('Bilateral assistance, MAIN DATA'!S:S,'Bilateral assistance, MAIN DATA'!E:E,"Weapons", 'Bilateral assistance, MAIN DATA'!B:B,'Military aid by type'!B16)/1000000000+SUMIFS('Bilateral assistance, MAIN DATA'!S:S,'Bilateral assistance, MAIN DATA'!E:E,"Weapons and equipment", 'Bilateral assistance, MAIN DATA'!B:B,'Military aid by type'!B16)/1000000000+SUMIFS('Bilateral assistance, MAIN DATA'!S:S,'Bilateral assistance, MAIN DATA'!E:E,"Weapons and training", 'Bilateral assistance, MAIN DATA'!B:B,'Military aid by type'!B16)/1000000000+SUMIFS('Bilateral assistance, MAIN DATA'!S:S,'Bilateral assistance, MAIN DATA'!E:E,"Weapons and Assistance", 'Bilateral assistance, MAIN DATA'!B:B,'Military aid by type'!B16)/1000000000+SUMIFS('Bilateral assistance, MAIN DATA'!S:S,'Bilateral assistance, MAIN DATA'!E:E,"Military Equipment", 'Bilateral assistance, MAIN DATA'!B:B,'Military aid by type'!B16)/1000000000</f>
        <v>0.19116831928251124</v>
      </c>
      <c r="E16" s="104">
        <v>0</v>
      </c>
      <c r="F16" s="104">
        <f t="shared" si="0"/>
        <v>0.19116831928251124</v>
      </c>
      <c r="G16" s="2">
        <f t="shared" si="1"/>
        <v>0</v>
      </c>
      <c r="H16" s="451"/>
      <c r="I16" s="2"/>
      <c r="J16" s="106"/>
      <c r="K16" s="2"/>
      <c r="L16" s="2"/>
      <c r="M16" s="2"/>
      <c r="N16" s="2"/>
      <c r="O16" s="2"/>
    </row>
    <row r="17" spans="1:15">
      <c r="A17" s="100">
        <v>1</v>
      </c>
      <c r="B17" s="104" t="s">
        <v>1335</v>
      </c>
      <c r="C17" s="2">
        <f>SUMIFS('Bilateral assistance, MAIN DATA'!S:S,'Bilateral assistance, MAIN DATA'!D:D,"Military",'Bilateral assistance, MAIN DATA'!B:B,'Military aid by type'!B17)/1000000000</f>
        <v>0</v>
      </c>
      <c r="D17" s="104">
        <f>SUMIFS('Bilateral assistance, MAIN DATA'!S:S,'Bilateral assistance, MAIN DATA'!E:E,"Weapons", 'Bilateral assistance, MAIN DATA'!B:B,'Military aid by type'!B17)/1000000000+SUMIFS('Bilateral assistance, MAIN DATA'!S:S,'Bilateral assistance, MAIN DATA'!E:E,"Weapons and equipment", 'Bilateral assistance, MAIN DATA'!B:B,'Military aid by type'!B17)/1000000000+SUMIFS('Bilateral assistance, MAIN DATA'!S:S,'Bilateral assistance, MAIN DATA'!E:E,"Weapons and training", 'Bilateral assistance, MAIN DATA'!B:B,'Military aid by type'!B17)/1000000000+SUMIFS('Bilateral assistance, MAIN DATA'!S:S,'Bilateral assistance, MAIN DATA'!E:E,"Weapons and Assistance", 'Bilateral assistance, MAIN DATA'!B:B,'Military aid by type'!B17)/1000000000+SUMIFS('Bilateral assistance, MAIN DATA'!S:S,'Bilateral assistance, MAIN DATA'!E:E,"Military Equipment", 'Bilateral assistance, MAIN DATA'!B:B,'Military aid by type'!B17)/1000000000</f>
        <v>0</v>
      </c>
      <c r="E17" s="104">
        <v>0</v>
      </c>
      <c r="F17" s="104">
        <f t="shared" si="0"/>
        <v>0</v>
      </c>
      <c r="G17" s="2">
        <f t="shared" si="1"/>
        <v>0</v>
      </c>
      <c r="H17" s="451"/>
      <c r="I17" s="2"/>
      <c r="J17" s="106"/>
      <c r="K17" s="2"/>
      <c r="L17" s="2"/>
      <c r="M17" s="2"/>
      <c r="N17" s="2"/>
      <c r="O17" s="2"/>
    </row>
    <row r="18" spans="1:15">
      <c r="A18" s="100">
        <v>1</v>
      </c>
      <c r="B18" s="104" t="s">
        <v>1383</v>
      </c>
      <c r="C18" s="2">
        <f>SUMIFS('Bilateral assistance, MAIN DATA'!S:S,'Bilateral assistance, MAIN DATA'!D:D,"Military",'Bilateral assistance, MAIN DATA'!B:B,'Military aid by type'!B18)/1000000000</f>
        <v>0</v>
      </c>
      <c r="D18" s="104">
        <f>SUMIFS('Bilateral assistance, MAIN DATA'!S:S,'Bilateral assistance, MAIN DATA'!E:E,"Weapons", 'Bilateral assistance, MAIN DATA'!B:B,'Military aid by type'!B18)/1000000000+SUMIFS('Bilateral assistance, MAIN DATA'!S:S,'Bilateral assistance, MAIN DATA'!E:E,"Weapons and equipment", 'Bilateral assistance, MAIN DATA'!B:B,'Military aid by type'!B18)/1000000000+SUMIFS('Bilateral assistance, MAIN DATA'!S:S,'Bilateral assistance, MAIN DATA'!E:E,"Weapons and training", 'Bilateral assistance, MAIN DATA'!B:B,'Military aid by type'!B18)/1000000000+SUMIFS('Bilateral assistance, MAIN DATA'!S:S,'Bilateral assistance, MAIN DATA'!E:E,"Weapons and Assistance", 'Bilateral assistance, MAIN DATA'!B:B,'Military aid by type'!B18)/1000000000+SUMIFS('Bilateral assistance, MAIN DATA'!S:S,'Bilateral assistance, MAIN DATA'!E:E,"Military Equipment", 'Bilateral assistance, MAIN DATA'!B:B,'Military aid by type'!B18)/1000000000</f>
        <v>0</v>
      </c>
      <c r="E18" s="104">
        <v>0</v>
      </c>
      <c r="F18" s="104">
        <f t="shared" si="0"/>
        <v>0</v>
      </c>
      <c r="G18" s="2">
        <f t="shared" si="1"/>
        <v>0</v>
      </c>
      <c r="H18" s="451"/>
      <c r="I18" s="2"/>
      <c r="J18" s="106"/>
      <c r="K18" s="2"/>
      <c r="L18" s="2"/>
      <c r="M18" s="2"/>
      <c r="N18" s="2"/>
      <c r="O18" s="2"/>
    </row>
    <row r="19" spans="1:15">
      <c r="A19" s="100">
        <v>1</v>
      </c>
      <c r="B19" s="104" t="s">
        <v>1412</v>
      </c>
      <c r="C19" s="2">
        <f>SUMIFS('Bilateral assistance, MAIN DATA'!S:S,'Bilateral assistance, MAIN DATA'!D:D,"Military",'Bilateral assistance, MAIN DATA'!B:B,'Military aid by type'!B19)/1000000000</f>
        <v>0.31914838062565365</v>
      </c>
      <c r="D19" s="104">
        <f>SUMIFS('Bilateral assistance, MAIN DATA'!S:S,'Bilateral assistance, MAIN DATA'!E:E,"Weapons", 'Bilateral assistance, MAIN DATA'!B:B,'Military aid by type'!B19)/1000000000+SUMIFS('Bilateral assistance, MAIN DATA'!S:S,'Bilateral assistance, MAIN DATA'!E:E,"Weapons and equipment", 'Bilateral assistance, MAIN DATA'!B:B,'Military aid by type'!B19)/1000000000+SUMIFS('Bilateral assistance, MAIN DATA'!S:S,'Bilateral assistance, MAIN DATA'!E:E,"Weapons and training", 'Bilateral assistance, MAIN DATA'!B:B,'Military aid by type'!B19)/1000000000+SUMIFS('Bilateral assistance, MAIN DATA'!S:S,'Bilateral assistance, MAIN DATA'!E:E,"Weapons and Assistance", 'Bilateral assistance, MAIN DATA'!B:B,'Military aid by type'!B19)/1000000000+SUMIFS('Bilateral assistance, MAIN DATA'!S:S,'Bilateral assistance, MAIN DATA'!E:E,"Military Equipment", 'Bilateral assistance, MAIN DATA'!B:B,'Military aid by type'!B19)/1000000000</f>
        <v>0.31914838062565365</v>
      </c>
      <c r="E19" s="104">
        <v>0</v>
      </c>
      <c r="F19" s="104">
        <f t="shared" si="0"/>
        <v>0.31914838062565365</v>
      </c>
      <c r="G19" s="2">
        <f t="shared" si="1"/>
        <v>0</v>
      </c>
      <c r="H19" s="451"/>
      <c r="I19" s="2"/>
      <c r="J19" s="106"/>
      <c r="K19" s="2"/>
      <c r="L19" s="2"/>
      <c r="M19" s="2"/>
      <c r="N19" s="2"/>
      <c r="O19" s="2"/>
    </row>
    <row r="20" spans="1:15">
      <c r="A20" s="100">
        <v>0</v>
      </c>
      <c r="B20" s="104" t="s">
        <v>1471</v>
      </c>
      <c r="C20" s="2">
        <f>SUMIFS('Bilateral assistance, MAIN DATA'!S:S,'Bilateral assistance, MAIN DATA'!D:D,"Military",'Bilateral assistance, MAIN DATA'!B:B,'Military aid by type'!B20)/1000000000</f>
        <v>2.4434479322371699E-3</v>
      </c>
      <c r="D20" s="104">
        <f>SUMIFS('Bilateral assistance, MAIN DATA'!S:S,'Bilateral assistance, MAIN DATA'!E:E,"Weapons", 'Bilateral assistance, MAIN DATA'!B:B,'Military aid by type'!B20)/1000000000+SUMIFS('Bilateral assistance, MAIN DATA'!S:S,'Bilateral assistance, MAIN DATA'!E:E,"Weapons and equipment", 'Bilateral assistance, MAIN DATA'!B:B,'Military aid by type'!B20)/1000000000+SUMIFS('Bilateral assistance, MAIN DATA'!S:S,'Bilateral assistance, MAIN DATA'!E:E,"Weapons and training", 'Bilateral assistance, MAIN DATA'!B:B,'Military aid by type'!B20)/1000000000+SUMIFS('Bilateral assistance, MAIN DATA'!S:S,'Bilateral assistance, MAIN DATA'!E:E,"Weapons and Assistance", 'Bilateral assistance, MAIN DATA'!B:B,'Military aid by type'!B20)/1000000000+SUMIFS('Bilateral assistance, MAIN DATA'!S:S,'Bilateral assistance, MAIN DATA'!E:E,"Military Equipment", 'Bilateral assistance, MAIN DATA'!B:B,'Military aid by type'!B20)/1000000000</f>
        <v>2.4434479322371699E-3</v>
      </c>
      <c r="E20" s="104">
        <v>0</v>
      </c>
      <c r="F20" s="104">
        <f t="shared" si="0"/>
        <v>2.4434479322371699E-3</v>
      </c>
      <c r="G20" s="2">
        <f t="shared" si="1"/>
        <v>0</v>
      </c>
      <c r="H20" s="451"/>
      <c r="I20" s="2"/>
      <c r="J20" s="106"/>
      <c r="K20" s="2"/>
      <c r="L20" s="2"/>
      <c r="M20" s="2"/>
      <c r="N20" s="2"/>
      <c r="O20" s="2"/>
    </row>
    <row r="21" spans="1:15">
      <c r="A21" s="100">
        <v>1</v>
      </c>
      <c r="B21" s="104" t="s">
        <v>1516</v>
      </c>
      <c r="C21" s="2">
        <f>SUMIFS('Bilateral assistance, MAIN DATA'!S:S,'Bilateral assistance, MAIN DATA'!D:D,"Military",'Bilateral assistance, MAIN DATA'!B:B,'Military aid by type'!B21)/1000000000</f>
        <v>0.29713953547322053</v>
      </c>
      <c r="D21" s="109">
        <f>SUMIFS('Bilateral assistance, MAIN DATA'!S:S,'Bilateral assistance, MAIN DATA'!E:E,"Weapons", 'Bilateral assistance, MAIN DATA'!B:B,'Military aid by type'!B21)/1000000000+SUMIFS('Bilateral assistance, MAIN DATA'!S:S,'Bilateral assistance, MAIN DATA'!E:E,"Weapons and equipment", 'Bilateral assistance, MAIN DATA'!B:B,'Military aid by type'!B21)/1000000000+SUMIFS('Bilateral assistance, MAIN DATA'!S:S,'Bilateral assistance, MAIN DATA'!E:E,"Weapons and training", 'Bilateral assistance, MAIN DATA'!B:B,'Military aid by type'!B21)/1000000000+SUMIFS('Bilateral assistance, MAIN DATA'!S:S,'Bilateral assistance, MAIN DATA'!E:E,"Weapons and Assistance", 'Bilateral assistance, MAIN DATA'!B:B,'Military aid by type'!B21)/1000000000+SUMIFS('Bilateral assistance, MAIN DATA'!S:S,'Bilateral assistance, MAIN DATA'!E:E,"Military Equipment", 'Bilateral assistance, MAIN DATA'!B:B,'Military aid by type'!B21)/1000000000</f>
        <v>0.29713953547322058</v>
      </c>
      <c r="E21" s="104">
        <v>0</v>
      </c>
      <c r="F21" s="104">
        <f t="shared" si="0"/>
        <v>0.29713953547322058</v>
      </c>
      <c r="G21" s="2">
        <f t="shared" si="1"/>
        <v>0</v>
      </c>
      <c r="H21" s="451"/>
      <c r="I21" s="2"/>
      <c r="J21" s="106"/>
      <c r="K21" s="2"/>
      <c r="L21" s="2"/>
      <c r="M21" s="2"/>
      <c r="N21" s="2"/>
      <c r="O21" s="2"/>
    </row>
    <row r="22" spans="1:15">
      <c r="A22" s="100">
        <v>1</v>
      </c>
      <c r="B22" s="104" t="s">
        <v>1562</v>
      </c>
      <c r="C22" s="2">
        <f>SUMIFS('Bilateral assistance, MAIN DATA'!S:S,'Bilateral assistance, MAIN DATA'!D:D,"Military",'Bilateral assistance, MAIN DATA'!B:B,'Military aid by type'!B22)/1000000000</f>
        <v>0.19868747583457896</v>
      </c>
      <c r="D22" s="104">
        <f>SUMIFS('Bilateral assistance, MAIN DATA'!S:S,'Bilateral assistance, MAIN DATA'!E:E,"Weapons", 'Bilateral assistance, MAIN DATA'!B:B,'Military aid by type'!B22)/1000000000+SUMIFS('Bilateral assistance, MAIN DATA'!S:S,'Bilateral assistance, MAIN DATA'!E:E,"Weapons and equipment", 'Bilateral assistance, MAIN DATA'!B:B,'Military aid by type'!B22)/1000000000+SUMIFS('Bilateral assistance, MAIN DATA'!S:S,'Bilateral assistance, MAIN DATA'!E:E,"Weapons and training", 'Bilateral assistance, MAIN DATA'!B:B,'Military aid by type'!B22)/1000000000+SUMIFS('Bilateral assistance, MAIN DATA'!S:S,'Bilateral assistance, MAIN DATA'!E:E,"Weapons and Assistance", 'Bilateral assistance, MAIN DATA'!B:B,'Military aid by type'!B22)/1000000000+SUMIFS('Bilateral assistance, MAIN DATA'!S:S,'Bilateral assistance, MAIN DATA'!E:E,"Military Equipment", 'Bilateral assistance, MAIN DATA'!B:B,'Military aid by type'!B22)/1000000000</f>
        <v>0.19868747583457899</v>
      </c>
      <c r="E22" s="104">
        <v>0</v>
      </c>
      <c r="F22" s="104">
        <f t="shared" si="0"/>
        <v>0.19868747583457899</v>
      </c>
      <c r="G22" s="2">
        <f t="shared" si="1"/>
        <v>0</v>
      </c>
      <c r="H22" s="451"/>
      <c r="I22" s="2"/>
      <c r="J22" s="2"/>
      <c r="K22" s="2"/>
      <c r="L22" s="2"/>
      <c r="M22" s="2"/>
      <c r="N22" s="2"/>
      <c r="O22" s="2"/>
    </row>
    <row r="23" spans="1:15">
      <c r="A23" s="100">
        <v>1</v>
      </c>
      <c r="B23" s="104" t="s">
        <v>1653</v>
      </c>
      <c r="C23" s="2">
        <f>SUMIFS('Bilateral assistance, MAIN DATA'!S:S,'Bilateral assistance, MAIN DATA'!D:D,"Military",'Bilateral assistance, MAIN DATA'!B:B,'Military aid by type'!B23)/1000000000</f>
        <v>7.1999999999999995E-2</v>
      </c>
      <c r="D23" s="104">
        <f>SUMIFS('Bilateral assistance, MAIN DATA'!S:S,'Bilateral assistance, MAIN DATA'!E:E,"Weapons", 'Bilateral assistance, MAIN DATA'!B:B,'Military aid by type'!B23)/1000000000+SUMIFS('Bilateral assistance, MAIN DATA'!S:S,'Bilateral assistance, MAIN DATA'!E:E,"Weapons and equipment", 'Bilateral assistance, MAIN DATA'!B:B,'Military aid by type'!B23)/1000000000+SUMIFS('Bilateral assistance, MAIN DATA'!S:S,'Bilateral assistance, MAIN DATA'!E:E,"Weapons and training", 'Bilateral assistance, MAIN DATA'!B:B,'Military aid by type'!B23)/1000000000+SUMIFS('Bilateral assistance, MAIN DATA'!S:S,'Bilateral assistance, MAIN DATA'!E:E,"Weapons and Assistance", 'Bilateral assistance, MAIN DATA'!B:B,'Military aid by type'!B23)/1000000000+SUMIFS('Bilateral assistance, MAIN DATA'!S:S,'Bilateral assistance, MAIN DATA'!E:E,"Military Equipment", 'Bilateral assistance, MAIN DATA'!B:B,'Military aid by type'!B23)/1000000000</f>
        <v>7.1999999999999995E-2</v>
      </c>
      <c r="E23" s="104">
        <v>0</v>
      </c>
      <c r="F23" s="104">
        <f t="shared" si="0"/>
        <v>7.1999999999999995E-2</v>
      </c>
      <c r="G23" s="2">
        <f t="shared" si="1"/>
        <v>0</v>
      </c>
      <c r="H23" s="451"/>
      <c r="K23" s="2"/>
      <c r="L23" s="2"/>
      <c r="M23" s="2"/>
      <c r="N23" s="2"/>
      <c r="O23" s="2"/>
    </row>
    <row r="24" spans="1:15">
      <c r="A24" s="100">
        <v>1</v>
      </c>
      <c r="B24" s="104" t="s">
        <v>1682</v>
      </c>
      <c r="C24" s="2">
        <f>SUMIFS('Bilateral assistance, MAIN DATA'!S:S,'Bilateral assistance, MAIN DATA'!D:D,"Military",'Bilateral assistance, MAIN DATA'!B:B,'Military aid by type'!B24)/1000000000</f>
        <v>0</v>
      </c>
      <c r="D24" s="104">
        <f>SUMIFS('Bilateral assistance, MAIN DATA'!S:S,'Bilateral assistance, MAIN DATA'!E:E,"Weapons", 'Bilateral assistance, MAIN DATA'!B:B,'Military aid by type'!B24)/1000000000+SUMIFS('Bilateral assistance, MAIN DATA'!S:S,'Bilateral assistance, MAIN DATA'!E:E,"Weapons and equipment", 'Bilateral assistance, MAIN DATA'!B:B,'Military aid by type'!B24)/1000000000+SUMIFS('Bilateral assistance, MAIN DATA'!S:S,'Bilateral assistance, MAIN DATA'!E:E,"Weapons and training", 'Bilateral assistance, MAIN DATA'!B:B,'Military aid by type'!B24)/1000000000+SUMIFS('Bilateral assistance, MAIN DATA'!S:S,'Bilateral assistance, MAIN DATA'!E:E,"Weapons and Assistance", 'Bilateral assistance, MAIN DATA'!B:B,'Military aid by type'!B24)/1000000000+SUMIFS('Bilateral assistance, MAIN DATA'!S:S,'Bilateral assistance, MAIN DATA'!E:E,"Military Equipment", 'Bilateral assistance, MAIN DATA'!B:B,'Military aid by type'!B24)/1000000000</f>
        <v>0</v>
      </c>
      <c r="E24" s="104">
        <v>0</v>
      </c>
      <c r="F24" s="104">
        <f t="shared" si="0"/>
        <v>0</v>
      </c>
      <c r="G24" s="2">
        <f t="shared" si="1"/>
        <v>0</v>
      </c>
      <c r="K24" s="2"/>
      <c r="L24" s="2"/>
      <c r="M24" s="2"/>
      <c r="N24" s="2"/>
      <c r="O24" s="2"/>
    </row>
    <row r="25" spans="1:15">
      <c r="A25" s="100">
        <v>1</v>
      </c>
      <c r="B25" s="104" t="s">
        <v>1687</v>
      </c>
      <c r="C25" s="2">
        <f>SUMIFS('Bilateral assistance, MAIN DATA'!S:S,'Bilateral assistance, MAIN DATA'!D:D,"Military",'Bilateral assistance, MAIN DATA'!B:B,'Military aid by type'!B25)/1000000000</f>
        <v>0.28984679372995431</v>
      </c>
      <c r="D25" s="104">
        <f>SUMIFS('Bilateral assistance, MAIN DATA'!S:S,'Bilateral assistance, MAIN DATA'!E:E,"Weapons", 'Bilateral assistance, MAIN DATA'!B:B,'Military aid by type'!B25)/1000000000+SUMIFS('Bilateral assistance, MAIN DATA'!S:S,'Bilateral assistance, MAIN DATA'!E:E,"Weapons and equipment", 'Bilateral assistance, MAIN DATA'!B:B,'Military aid by type'!B25)/1000000000+SUMIFS('Bilateral assistance, MAIN DATA'!S:S,'Bilateral assistance, MAIN DATA'!E:E,"Weapons and training", 'Bilateral assistance, MAIN DATA'!B:B,'Military aid by type'!B25)/1000000000+SUMIFS('Bilateral assistance, MAIN DATA'!S:S,'Bilateral assistance, MAIN DATA'!E:E,"Weapons and Assistance", 'Bilateral assistance, MAIN DATA'!B:B,'Military aid by type'!B25)/1000000000+SUMIFS('Bilateral assistance, MAIN DATA'!S:S,'Bilateral assistance, MAIN DATA'!E:E,"Military Equipment", 'Bilateral assistance, MAIN DATA'!B:B,'Military aid by type'!B25)/1000000000</f>
        <v>0.2798467937299543</v>
      </c>
      <c r="E25" s="104">
        <v>0</v>
      </c>
      <c r="F25" s="104">
        <f t="shared" si="0"/>
        <v>0.2798467937299543</v>
      </c>
      <c r="G25" s="2">
        <f t="shared" si="1"/>
        <v>1.0000000000000009E-2</v>
      </c>
      <c r="H25" s="451"/>
      <c r="I25" s="2"/>
      <c r="J25" s="2"/>
      <c r="K25" s="2"/>
      <c r="L25" s="2"/>
      <c r="M25" s="2"/>
      <c r="N25" s="2"/>
      <c r="O25" s="2"/>
    </row>
    <row r="26" spans="1:15">
      <c r="A26" s="100">
        <v>0</v>
      </c>
      <c r="B26" s="2" t="s">
        <v>1766</v>
      </c>
      <c r="C26" s="2">
        <f>SUMIFS('Bilateral assistance, MAIN DATA'!S:S,'Bilateral assistance, MAIN DATA'!D:D,"Military",'Bilateral assistance, MAIN DATA'!B:B,'Military aid by type'!B26)/1000000000</f>
        <v>1.4694117792985236E-2</v>
      </c>
      <c r="D26" s="104">
        <f>SUMIFS('Bilateral assistance, MAIN DATA'!S:S,'Bilateral assistance, MAIN DATA'!E:E,"Weapons", 'Bilateral assistance, MAIN DATA'!B:B,'Military aid by type'!B26)/1000000000+SUMIFS('Bilateral assistance, MAIN DATA'!S:S,'Bilateral assistance, MAIN DATA'!E:E,"Weapons and equipment", 'Bilateral assistance, MAIN DATA'!B:B,'Military aid by type'!B26)/1000000000+SUMIFS('Bilateral assistance, MAIN DATA'!S:S,'Bilateral assistance, MAIN DATA'!E:E,"Weapons and training", 'Bilateral assistance, MAIN DATA'!B:B,'Military aid by type'!B26)/1000000000+SUMIFS('Bilateral assistance, MAIN DATA'!S:S,'Bilateral assistance, MAIN DATA'!E:E,"Weapons and Assistance", 'Bilateral assistance, MAIN DATA'!B:B,'Military aid by type'!B26)/1000000000+SUMIFS('Bilateral assistance, MAIN DATA'!S:S,'Bilateral assistance, MAIN DATA'!E:E,"Military Equipment", 'Bilateral assistance, MAIN DATA'!B:B,'Military aid by type'!B26)/1000000000</f>
        <v>3.6267152565831709E-3</v>
      </c>
      <c r="E26" s="104">
        <v>0</v>
      </c>
      <c r="F26" s="104">
        <f t="shared" si="0"/>
        <v>3.6267152565831709E-3</v>
      </c>
      <c r="G26" s="2">
        <f t="shared" si="1"/>
        <v>1.1067402536402066E-2</v>
      </c>
      <c r="H26" s="451"/>
      <c r="I26" s="2"/>
      <c r="J26" s="2"/>
      <c r="K26" s="2"/>
      <c r="L26" s="2"/>
      <c r="M26" s="2"/>
      <c r="N26" s="2"/>
      <c r="O26" s="2"/>
    </row>
    <row r="27" spans="1:15">
      <c r="A27" s="100">
        <v>0</v>
      </c>
      <c r="B27" s="2" t="s">
        <v>1804</v>
      </c>
      <c r="C27" s="2">
        <f>SUMIFS('Bilateral assistance, MAIN DATA'!S:S,'Bilateral assistance, MAIN DATA'!D:D,"Military",'Bilateral assistance, MAIN DATA'!B:B,'Military aid by type'!B27)/1000000000</f>
        <v>0.56014572529324125</v>
      </c>
      <c r="D27" s="104">
        <f>SUMIFS('Bilateral assistance, MAIN DATA'!S:S,'Bilateral assistance, MAIN DATA'!E:E,"Weapons", 'Bilateral assistance, MAIN DATA'!B:B,'Military aid by type'!B27)/1000000000+SUMIFS('Bilateral assistance, MAIN DATA'!S:S,'Bilateral assistance, MAIN DATA'!E:E,"Weapons and equipment", 'Bilateral assistance, MAIN DATA'!B:B,'Military aid by type'!B27)/1000000000+SUMIFS('Bilateral assistance, MAIN DATA'!S:S,'Bilateral assistance, MAIN DATA'!E:E,"Weapons and training", 'Bilateral assistance, MAIN DATA'!B:B,'Military aid by type'!B27)/1000000000+SUMIFS('Bilateral assistance, MAIN DATA'!S:S,'Bilateral assistance, MAIN DATA'!E:E,"Weapons and Assistance", 'Bilateral assistance, MAIN DATA'!B:B,'Military aid by type'!B27)/1000000000+SUMIFS('Bilateral assistance, MAIN DATA'!S:S,'Bilateral assistance, MAIN DATA'!E:E,"Military Equipment", 'Bilateral assistance, MAIN DATA'!B:B,'Military aid by type'!B27)/1000000000</f>
        <v>0.20047757878657899</v>
      </c>
      <c r="E27" s="104">
        <v>0</v>
      </c>
      <c r="F27" s="104">
        <f t="shared" si="0"/>
        <v>0.20047757878657899</v>
      </c>
      <c r="G27" s="2">
        <f t="shared" si="1"/>
        <v>0.35966814650666223</v>
      </c>
      <c r="H27" s="451"/>
      <c r="I27" s="2"/>
      <c r="J27" s="106"/>
      <c r="K27" s="2"/>
      <c r="L27" s="2"/>
      <c r="M27" s="2"/>
      <c r="N27" s="2"/>
      <c r="O27" s="2"/>
    </row>
    <row r="28" spans="1:15">
      <c r="A28" s="100">
        <v>1</v>
      </c>
      <c r="B28" s="104" t="s">
        <v>1894</v>
      </c>
      <c r="C28" s="2">
        <f>SUMIFS('Bilateral assistance, MAIN DATA'!S:S,'Bilateral assistance, MAIN DATA'!D:D,"Military",'Bilateral assistance, MAIN DATA'!B:B,'Military aid by type'!B28)/1000000000</f>
        <v>1.8223833594419532</v>
      </c>
      <c r="D28" s="104">
        <f>SUMIFS('Bilateral assistance, MAIN DATA'!S:S,'Bilateral assistance, MAIN DATA'!E:E,"Weapons", 'Bilateral assistance, MAIN DATA'!B:B,'Military aid by type'!B28)/1000000000+SUMIFS('Bilateral assistance, MAIN DATA'!S:S,'Bilateral assistance, MAIN DATA'!E:E,"Weapons and equipment", 'Bilateral assistance, MAIN DATA'!B:B,'Military aid by type'!B28)/1000000000+SUMIFS('Bilateral assistance, MAIN DATA'!S:S,'Bilateral assistance, MAIN DATA'!E:E,"Weapons and training", 'Bilateral assistance, MAIN DATA'!B:B,'Military aid by type'!B28)/1000000000+SUMIFS('Bilateral assistance, MAIN DATA'!S:S,'Bilateral assistance, MAIN DATA'!E:E,"Weapons and Assistance", 'Bilateral assistance, MAIN DATA'!B:B,'Military aid by type'!B28)/1000000000+SUMIFS('Bilateral assistance, MAIN DATA'!S:S,'Bilateral assistance, MAIN DATA'!E:E,"Military Equipment", 'Bilateral assistance, MAIN DATA'!B:B,'Military aid by type'!B28)/1000000000</f>
        <v>1.8223833594419532</v>
      </c>
      <c r="E28" s="104">
        <v>0</v>
      </c>
      <c r="F28" s="104">
        <f t="shared" si="0"/>
        <v>1.8223833594419532</v>
      </c>
      <c r="G28" s="2">
        <f t="shared" si="1"/>
        <v>0</v>
      </c>
      <c r="H28" s="451"/>
      <c r="I28" s="2"/>
      <c r="J28" s="106"/>
      <c r="K28" s="2"/>
      <c r="L28" s="2"/>
      <c r="M28" s="2"/>
      <c r="N28" s="2"/>
      <c r="O28" s="2"/>
    </row>
    <row r="29" spans="1:15">
      <c r="A29" s="100">
        <v>1</v>
      </c>
      <c r="B29" s="104" t="s">
        <v>1957</v>
      </c>
      <c r="C29" s="2">
        <f>SUMIFS('Bilateral assistance, MAIN DATA'!S:S,'Bilateral assistance, MAIN DATA'!D:D,"Military",'Bilateral assistance, MAIN DATA'!B:B,'Military aid by type'!B29)/1000000000</f>
        <v>8.3582285780958554E-2</v>
      </c>
      <c r="D29" s="104">
        <f>SUMIFS('Bilateral assistance, MAIN DATA'!S:S,'Bilateral assistance, MAIN DATA'!E:E,"Weapons", 'Bilateral assistance, MAIN DATA'!B:B,'Military aid by type'!B29)/1000000000+SUMIFS('Bilateral assistance, MAIN DATA'!S:S,'Bilateral assistance, MAIN DATA'!E:E,"Weapons and equipment", 'Bilateral assistance, MAIN DATA'!B:B,'Military aid by type'!B29)/1000000000+SUMIFS('Bilateral assistance, MAIN DATA'!S:S,'Bilateral assistance, MAIN DATA'!E:E,"Weapons and training", 'Bilateral assistance, MAIN DATA'!B:B,'Military aid by type'!B29)/1000000000+SUMIFS('Bilateral assistance, MAIN DATA'!S:S,'Bilateral assistance, MAIN DATA'!E:E,"Weapons and Assistance", 'Bilateral assistance, MAIN DATA'!B:B,'Military aid by type'!B29)/1000000000+SUMIFS('Bilateral assistance, MAIN DATA'!S:S,'Bilateral assistance, MAIN DATA'!E:E,"Military Equipment", 'Bilateral assistance, MAIN DATA'!B:B,'Military aid by type'!B29)/1000000000</f>
        <v>8.3582285780958554E-2</v>
      </c>
      <c r="E29" s="104">
        <v>0</v>
      </c>
      <c r="F29" s="104">
        <f t="shared" si="0"/>
        <v>8.3582285780958554E-2</v>
      </c>
      <c r="G29" s="2">
        <f t="shared" si="1"/>
        <v>0</v>
      </c>
      <c r="H29" s="451"/>
      <c r="I29" s="2"/>
      <c r="J29" s="106"/>
      <c r="K29" s="2"/>
      <c r="L29" s="2"/>
      <c r="M29" s="2"/>
      <c r="N29" s="2"/>
      <c r="O29" s="2"/>
    </row>
    <row r="30" spans="1:15">
      <c r="A30" s="100">
        <v>0</v>
      </c>
      <c r="B30" s="2" t="s">
        <v>2002</v>
      </c>
      <c r="C30" s="2">
        <f>SUMIFS('Bilateral assistance, MAIN DATA'!S:S,'Bilateral assistance, MAIN DATA'!D:D,"Military",'Bilateral assistance, MAIN DATA'!B:B,'Military aid by type'!B30)/1000000000</f>
        <v>3.5675137020428497E-3</v>
      </c>
      <c r="D30" s="104">
        <f>SUMIFS('Bilateral assistance, MAIN DATA'!S:S,'Bilateral assistance, MAIN DATA'!E:E,"Weapons", 'Bilateral assistance, MAIN DATA'!B:B,'Military aid by type'!B30)/1000000000+SUMIFS('Bilateral assistance, MAIN DATA'!S:S,'Bilateral assistance, MAIN DATA'!E:E,"Weapons and equipment", 'Bilateral assistance, MAIN DATA'!B:B,'Military aid by type'!B30)/1000000000+SUMIFS('Bilateral assistance, MAIN DATA'!S:S,'Bilateral assistance, MAIN DATA'!E:E,"Weapons and training", 'Bilateral assistance, MAIN DATA'!B:B,'Military aid by type'!B30)/1000000000+SUMIFS('Bilateral assistance, MAIN DATA'!S:S,'Bilateral assistance, MAIN DATA'!E:E,"Weapons and Assistance", 'Bilateral assistance, MAIN DATA'!B:B,'Military aid by type'!B30)/1000000000+SUMIFS('Bilateral assistance, MAIN DATA'!S:S,'Bilateral assistance, MAIN DATA'!E:E,"Military Equipment", 'Bilateral assistance, MAIN DATA'!B:B,'Military aid by type'!B30)/1000000000</f>
        <v>3.5675137020428497E-3</v>
      </c>
      <c r="E30" s="104">
        <v>0</v>
      </c>
      <c r="F30" s="104">
        <f t="shared" si="0"/>
        <v>3.5675137020428497E-3</v>
      </c>
      <c r="G30" s="2">
        <f t="shared" si="1"/>
        <v>0</v>
      </c>
      <c r="H30" s="451"/>
      <c r="I30" s="2"/>
      <c r="J30" s="106"/>
      <c r="K30" s="2"/>
      <c r="L30" s="2"/>
      <c r="M30" s="2"/>
      <c r="N30" s="2"/>
      <c r="O30" s="2"/>
    </row>
    <row r="31" spans="1:15">
      <c r="A31" s="100">
        <v>1</v>
      </c>
      <c r="B31" s="104" t="s">
        <v>2034</v>
      </c>
      <c r="C31" s="2">
        <f>SUMIFS('Bilateral assistance, MAIN DATA'!S:S,'Bilateral assistance, MAIN DATA'!D:D,"Military",'Bilateral assistance, MAIN DATA'!B:B,'Military aid by type'!B31)/1000000000</f>
        <v>3.0000000000000001E-3</v>
      </c>
      <c r="D31" s="104">
        <f>SUMIFS('Bilateral assistance, MAIN DATA'!S:S,'Bilateral assistance, MAIN DATA'!E:E,"Weapons", 'Bilateral assistance, MAIN DATA'!B:B,'Military aid by type'!B31)/1000000000+SUMIFS('Bilateral assistance, MAIN DATA'!S:S,'Bilateral assistance, MAIN DATA'!E:E,"Weapons and equipment", 'Bilateral assistance, MAIN DATA'!B:B,'Military aid by type'!B31)/1000000000+SUMIFS('Bilateral assistance, MAIN DATA'!S:S,'Bilateral assistance, MAIN DATA'!E:E,"Weapons and training", 'Bilateral assistance, MAIN DATA'!B:B,'Military aid by type'!B31)/1000000000+SUMIFS('Bilateral assistance, MAIN DATA'!S:S,'Bilateral assistance, MAIN DATA'!E:E,"Weapons and Assistance", 'Bilateral assistance, MAIN DATA'!B:B,'Military aid by type'!B31)/1000000000+SUMIFS('Bilateral assistance, MAIN DATA'!S:S,'Bilateral assistance, MAIN DATA'!E:E,"Military Equipment", 'Bilateral assistance, MAIN DATA'!B:B,'Military aid by type'!B31)/1000000000</f>
        <v>3.0000000000000001E-3</v>
      </c>
      <c r="E31" s="104">
        <v>0</v>
      </c>
      <c r="F31" s="104">
        <f t="shared" si="0"/>
        <v>3.0000000000000001E-3</v>
      </c>
      <c r="G31" s="2">
        <f t="shared" si="1"/>
        <v>0</v>
      </c>
      <c r="H31" s="451"/>
      <c r="I31" s="2"/>
      <c r="J31" s="106"/>
      <c r="K31" s="2"/>
      <c r="L31" s="2"/>
      <c r="M31" s="2"/>
      <c r="N31" s="2"/>
      <c r="O31" s="2"/>
    </row>
    <row r="32" spans="1:15">
      <c r="A32" s="100">
        <v>1</v>
      </c>
      <c r="B32" s="104" t="s">
        <v>2063</v>
      </c>
      <c r="C32" s="2">
        <f>SUMIFS('Bilateral assistance, MAIN DATA'!S:S,'Bilateral assistance, MAIN DATA'!D:D,"Military",'Bilateral assistance, MAIN DATA'!B:B,'Military aid by type'!B32)/1000000000</f>
        <v>0.21017157538614847</v>
      </c>
      <c r="D32" s="104">
        <f>SUMIFS('Bilateral assistance, MAIN DATA'!S:S,'Bilateral assistance, MAIN DATA'!E:E,"Weapons", 'Bilateral assistance, MAIN DATA'!B:B,'Military aid by type'!B32)/1000000000+SUMIFS('Bilateral assistance, MAIN DATA'!S:S,'Bilateral assistance, MAIN DATA'!E:E,"Weapons and equipment", 'Bilateral assistance, MAIN DATA'!B:B,'Military aid by type'!B32)/1000000000+SUMIFS('Bilateral assistance, MAIN DATA'!S:S,'Bilateral assistance, MAIN DATA'!E:E,"Weapons and training", 'Bilateral assistance, MAIN DATA'!B:B,'Military aid by type'!B32)/1000000000+SUMIFS('Bilateral assistance, MAIN DATA'!S:S,'Bilateral assistance, MAIN DATA'!E:E,"Weapons and Assistance", 'Bilateral assistance, MAIN DATA'!B:B,'Military aid by type'!B32)/1000000000+SUMIFS('Bilateral assistance, MAIN DATA'!S:S,'Bilateral assistance, MAIN DATA'!E:E,"Military Equipment", 'Bilateral assistance, MAIN DATA'!B:B,'Military aid by type'!B32)/1000000000</f>
        <v>0.21017157538614847</v>
      </c>
      <c r="E32" s="104">
        <v>0</v>
      </c>
      <c r="F32" s="104">
        <f t="shared" si="0"/>
        <v>0.21017157538614847</v>
      </c>
      <c r="G32" s="2">
        <f t="shared" si="1"/>
        <v>0</v>
      </c>
      <c r="H32" s="451"/>
      <c r="I32" s="2"/>
      <c r="J32" s="106"/>
      <c r="K32" s="2"/>
      <c r="L32" s="2"/>
      <c r="M32" s="2"/>
      <c r="N32" s="2"/>
      <c r="O32" s="2"/>
    </row>
    <row r="33" spans="1:17">
      <c r="A33" s="100">
        <v>1</v>
      </c>
      <c r="B33" s="104" t="s">
        <v>2106</v>
      </c>
      <c r="C33" s="2">
        <f>SUMIFS('Bilateral assistance, MAIN DATA'!S:S,'Bilateral assistance, MAIN DATA'!D:D,"Military",'Bilateral assistance, MAIN DATA'!B:B,'Military aid by type'!B33)/1000000000</f>
        <v>5.8821012667663181E-2</v>
      </c>
      <c r="D33" s="104">
        <f>SUMIFS('Bilateral assistance, MAIN DATA'!S:S,'Bilateral assistance, MAIN DATA'!E:E,"Weapons", 'Bilateral assistance, MAIN DATA'!B:B,'Military aid by type'!B33)/1000000000+SUMIFS('Bilateral assistance, MAIN DATA'!S:S,'Bilateral assistance, MAIN DATA'!E:E,"Weapons and equipment", 'Bilateral assistance, MAIN DATA'!B:B,'Military aid by type'!B33)/1000000000+SUMIFS('Bilateral assistance, MAIN DATA'!S:S,'Bilateral assistance, MAIN DATA'!E:E,"Weapons and training", 'Bilateral assistance, MAIN DATA'!B:B,'Military aid by type'!B33)/1000000000+SUMIFS('Bilateral assistance, MAIN DATA'!S:S,'Bilateral assistance, MAIN DATA'!E:E,"Weapons and Assistance", 'Bilateral assistance, MAIN DATA'!B:B,'Military aid by type'!B33)/1000000000+SUMIFS('Bilateral assistance, MAIN DATA'!S:S,'Bilateral assistance, MAIN DATA'!E:E,"Military Equipment", 'Bilateral assistance, MAIN DATA'!B:B,'Military aid by type'!B33)/1000000000</f>
        <v>5.8821012667663181E-2</v>
      </c>
      <c r="E33" s="104">
        <v>0</v>
      </c>
      <c r="F33" s="104">
        <f t="shared" si="0"/>
        <v>5.8821012667663181E-2</v>
      </c>
      <c r="G33" s="2">
        <f t="shared" si="1"/>
        <v>0</v>
      </c>
      <c r="H33" s="451"/>
      <c r="I33" s="2"/>
      <c r="J33" s="106"/>
      <c r="K33" s="2"/>
      <c r="L33" s="2"/>
      <c r="M33" s="2"/>
      <c r="N33" s="2"/>
      <c r="O33" s="2"/>
    </row>
    <row r="34" spans="1:17">
      <c r="A34" s="100">
        <v>1</v>
      </c>
      <c r="B34" s="104" t="s">
        <v>2162</v>
      </c>
      <c r="C34" s="2">
        <f>SUMIFS('Bilateral assistance, MAIN DATA'!S:S,'Bilateral assistance, MAIN DATA'!D:D,"Military",'Bilateral assistance, MAIN DATA'!B:B,'Military aid by type'!B34)/1000000000</f>
        <v>8.1106233554433915E-2</v>
      </c>
      <c r="D34" s="104">
        <f>SUMIFS('Bilateral assistance, MAIN DATA'!S:S,'Bilateral assistance, MAIN DATA'!E:E,"Weapons", 'Bilateral assistance, MAIN DATA'!B:B,'Military aid by type'!B34)/1000000000+SUMIFS('Bilateral assistance, MAIN DATA'!S:S,'Bilateral assistance, MAIN DATA'!E:E,"Weapons and equipment", 'Bilateral assistance, MAIN DATA'!B:B,'Military aid by type'!B34)/1000000000+SUMIFS('Bilateral assistance, MAIN DATA'!S:S,'Bilateral assistance, MAIN DATA'!E:E,"Weapons and training", 'Bilateral assistance, MAIN DATA'!B:B,'Military aid by type'!B34)/1000000000+SUMIFS('Bilateral assistance, MAIN DATA'!S:S,'Bilateral assistance, MAIN DATA'!E:E,"Weapons and Assistance", 'Bilateral assistance, MAIN DATA'!B:B,'Military aid by type'!B34)/1000000000+SUMIFS('Bilateral assistance, MAIN DATA'!S:S,'Bilateral assistance, MAIN DATA'!E:E,"Military Equipment", 'Bilateral assistance, MAIN DATA'!B:B,'Military aid by type'!B34)/1000000000</f>
        <v>8.1106233554433929E-2</v>
      </c>
      <c r="E34" s="104">
        <v>0</v>
      </c>
      <c r="F34" s="104">
        <f t="shared" si="0"/>
        <v>8.1106233554433929E-2</v>
      </c>
      <c r="G34" s="2">
        <f t="shared" si="1"/>
        <v>0</v>
      </c>
      <c r="H34" s="451"/>
      <c r="I34" s="2"/>
      <c r="J34" s="106"/>
      <c r="K34" s="2"/>
      <c r="L34" s="2"/>
      <c r="M34" s="2"/>
      <c r="N34" s="2"/>
      <c r="O34" s="2"/>
    </row>
    <row r="35" spans="1:17">
      <c r="A35" s="100">
        <v>1</v>
      </c>
      <c r="B35" s="104" t="s">
        <v>2258</v>
      </c>
      <c r="C35" s="2">
        <f>SUMIFS('Bilateral assistance, MAIN DATA'!S:S,'Bilateral assistance, MAIN DATA'!D:D,"Military",'Bilateral assistance, MAIN DATA'!B:B,'Military aid by type'!B35)/1000000000</f>
        <v>0.54622043014465871</v>
      </c>
      <c r="D35" s="104">
        <f>SUMIFS('Bilateral assistance, MAIN DATA'!S:S,'Bilateral assistance, MAIN DATA'!E:E,"Weapons", 'Bilateral assistance, MAIN DATA'!B:B,'Military aid by type'!B35)/1000000000+SUMIFS('Bilateral assistance, MAIN DATA'!S:S,'Bilateral assistance, MAIN DATA'!E:E,"Weapons and equipment", 'Bilateral assistance, MAIN DATA'!B:B,'Military aid by type'!B35)/1000000000+SUMIFS('Bilateral assistance, MAIN DATA'!S:S,'Bilateral assistance, MAIN DATA'!E:E,"Weapons and training", 'Bilateral assistance, MAIN DATA'!B:B,'Military aid by type'!B35)/1000000000+SUMIFS('Bilateral assistance, MAIN DATA'!S:S,'Bilateral assistance, MAIN DATA'!E:E,"Weapons and Assistance", 'Bilateral assistance, MAIN DATA'!B:B,'Military aid by type'!B35)/1000000000+SUMIFS('Bilateral assistance, MAIN DATA'!S:S,'Bilateral assistance, MAIN DATA'!E:E,"Military Equipment", 'Bilateral assistance, MAIN DATA'!B:B,'Military aid by type'!B35)/1000000000</f>
        <v>0.38893220132177642</v>
      </c>
      <c r="E35" s="104">
        <v>0</v>
      </c>
      <c r="F35" s="104">
        <f t="shared" si="0"/>
        <v>0.38893220132177642</v>
      </c>
      <c r="G35" s="2">
        <f t="shared" si="1"/>
        <v>0.15728822882288229</v>
      </c>
      <c r="H35" s="451"/>
      <c r="I35" s="2"/>
      <c r="J35" s="106"/>
      <c r="K35" s="2"/>
      <c r="L35" s="2"/>
      <c r="M35" s="2"/>
      <c r="N35" s="2"/>
      <c r="O35" s="2"/>
    </row>
    <row r="36" spans="1:17">
      <c r="A36" s="100">
        <v>0</v>
      </c>
      <c r="B36" s="2" t="s">
        <v>2329</v>
      </c>
      <c r="C36" s="2">
        <f>SUMIFS('Bilateral assistance, MAIN DATA'!S:S,'Bilateral assistance, MAIN DATA'!D:D,"Military",'Bilateral assistance, MAIN DATA'!B:B,'Military aid by type'!B36)/1000000000</f>
        <v>0</v>
      </c>
      <c r="D36" s="104">
        <f>SUMIFS('Bilateral assistance, MAIN DATA'!S:S,'Bilateral assistance, MAIN DATA'!E:E,"Weapons", 'Bilateral assistance, MAIN DATA'!B:B,'Military aid by type'!B36)/1000000000+SUMIFS('Bilateral assistance, MAIN DATA'!S:S,'Bilateral assistance, MAIN DATA'!E:E,"Weapons and equipment", 'Bilateral assistance, MAIN DATA'!B:B,'Military aid by type'!B36)/1000000000+SUMIFS('Bilateral assistance, MAIN DATA'!S:S,'Bilateral assistance, MAIN DATA'!E:E,"Weapons and training", 'Bilateral assistance, MAIN DATA'!B:B,'Military aid by type'!B36)/1000000000+SUMIFS('Bilateral assistance, MAIN DATA'!S:S,'Bilateral assistance, MAIN DATA'!E:E,"Weapons and Assistance", 'Bilateral assistance, MAIN DATA'!B:B,'Military aid by type'!B36)/1000000000+SUMIFS('Bilateral assistance, MAIN DATA'!S:S,'Bilateral assistance, MAIN DATA'!E:E,"Military Equipment", 'Bilateral assistance, MAIN DATA'!B:B,'Military aid by type'!B36)/1000000000</f>
        <v>0</v>
      </c>
      <c r="E36" s="104">
        <v>0</v>
      </c>
      <c r="F36" s="104">
        <f t="shared" si="0"/>
        <v>0</v>
      </c>
      <c r="G36" s="2">
        <f t="shared" si="1"/>
        <v>0</v>
      </c>
      <c r="H36" s="451"/>
      <c r="I36" s="2"/>
      <c r="J36" s="106"/>
      <c r="K36" s="2"/>
      <c r="L36" s="2"/>
      <c r="M36" s="2"/>
      <c r="N36" s="2"/>
      <c r="O36" s="2"/>
    </row>
    <row r="37" spans="1:17">
      <c r="A37" s="100">
        <v>0</v>
      </c>
      <c r="B37" s="2" t="s">
        <v>2348</v>
      </c>
      <c r="C37" s="2">
        <f>SUMIFS('Bilateral assistance, MAIN DATA'!S:S,'Bilateral assistance, MAIN DATA'!D:D,"Military",'Bilateral assistance, MAIN DATA'!B:B,'Military aid by type'!B37)/1000000000</f>
        <v>6.4198804185351274E-2</v>
      </c>
      <c r="D37" s="104">
        <f>SUMIFS('Bilateral assistance, MAIN DATA'!S:S,'Bilateral assistance, MAIN DATA'!E:E,"Weapons", 'Bilateral assistance, MAIN DATA'!B:B,'Military aid by type'!B37)/1000000000+SUMIFS('Bilateral assistance, MAIN DATA'!S:S,'Bilateral assistance, MAIN DATA'!E:E,"Weapons and equipment", 'Bilateral assistance, MAIN DATA'!B:B,'Military aid by type'!B37)/1000000000+SUMIFS('Bilateral assistance, MAIN DATA'!S:S,'Bilateral assistance, MAIN DATA'!E:E,"Weapons and training", 'Bilateral assistance, MAIN DATA'!B:B,'Military aid by type'!B37)/1000000000+SUMIFS('Bilateral assistance, MAIN DATA'!S:S,'Bilateral assistance, MAIN DATA'!E:E,"Weapons and Assistance", 'Bilateral assistance, MAIN DATA'!B:B,'Military aid by type'!B37)/1000000000+SUMIFS('Bilateral assistance, MAIN DATA'!S:S,'Bilateral assistance, MAIN DATA'!E:E,"Military Equipment", 'Bilateral assistance, MAIN DATA'!B:B,'Military aid by type'!B37)/1000000000</f>
        <v>6.4198804185351274E-2</v>
      </c>
      <c r="E37" s="104">
        <v>0</v>
      </c>
      <c r="F37" s="104">
        <f t="shared" si="0"/>
        <v>6.4198804185351274E-2</v>
      </c>
      <c r="G37" s="2">
        <f t="shared" si="1"/>
        <v>0</v>
      </c>
      <c r="H37" s="451"/>
      <c r="I37" s="2"/>
      <c r="J37" s="106"/>
      <c r="K37" s="2"/>
      <c r="L37" s="2"/>
      <c r="M37" s="2"/>
      <c r="N37" s="2"/>
      <c r="O37" s="2"/>
    </row>
    <row r="38" spans="1:17" ht="12" customHeight="1">
      <c r="A38" s="100">
        <v>0</v>
      </c>
      <c r="B38" s="104" t="s">
        <v>2392</v>
      </c>
      <c r="C38" s="2">
        <f>SUMIFS('Bilateral assistance, MAIN DATA'!S:S,'Bilateral assistance, MAIN DATA'!D:D,"Military",'Bilateral assistance, MAIN DATA'!B:B,'Military aid by type'!B38)/1000000000</f>
        <v>4.1291557278298399</v>
      </c>
      <c r="D38" s="104">
        <f>(SUMIFS('Bilateral assistance, MAIN DATA'!S:S,'Bilateral assistance, MAIN DATA'!E:E,"Weapons", 'Bilateral assistance, MAIN DATA'!B:B,'Military aid by type'!B38)/1000000000+SUMIFS('Bilateral assistance, MAIN DATA'!S:S,'Bilateral assistance, MAIN DATA'!E:E,"Weapons and equipment", 'Bilateral assistance, MAIN DATA'!B:B,'Military aid by type'!B38)/1000000000+SUMIFS('Bilateral assistance, MAIN DATA'!S:S,'Bilateral assistance, MAIN DATA'!E:E,"Weapons and training", 'Bilateral assistance, MAIN DATA'!B:B,'Military aid by type'!B38)/1000000000+SUMIFS('Bilateral assistance, MAIN DATA'!S:S,'Bilateral assistance, MAIN DATA'!E:E,"Weapons and Assistance", 'Bilateral assistance, MAIN DATA'!B:B,'Military aid by type'!B38)/1000000000+SUMIFS('Bilateral assistance, MAIN DATA'!S:S,'Bilateral assistance, MAIN DATA'!E:E,"Military Equipment", 'Bilateral assistance, MAIN DATA'!B:B,'Military aid by type'!B38)/1000000000)</f>
        <v>4.1291557278298399</v>
      </c>
      <c r="E38" s="261">
        <v>2.231209716</v>
      </c>
      <c r="F38" s="104">
        <f>C38-E38</f>
        <v>1.8979460118298399</v>
      </c>
      <c r="G38" s="2">
        <f>C38-F38</f>
        <v>2.231209716</v>
      </c>
      <c r="H38" s="451" t="s">
        <v>3219</v>
      </c>
      <c r="I38" s="2"/>
      <c r="J38" s="106"/>
      <c r="K38" s="2"/>
      <c r="L38" s="2"/>
      <c r="M38" s="2"/>
      <c r="N38" s="2"/>
      <c r="O38" s="2"/>
    </row>
    <row r="39" spans="1:17" s="35" customFormat="1" ht="15.75" customHeight="1">
      <c r="A39" s="262">
        <v>0</v>
      </c>
      <c r="B39" s="35" t="s">
        <v>2548</v>
      </c>
      <c r="C39" s="107">
        <f>SUMIFS('Bilateral assistance, MAIN DATA'!S:S,'Bilateral assistance, MAIN DATA'!D:D,"Military",'Bilateral assistance, MAIN DATA'!B:B,'Military aid by type'!B39)/1000000000</f>
        <v>22.861983059292474</v>
      </c>
      <c r="D39" s="35">
        <f>(SUMIFS('Bilateral assistance, MAIN DATA'!S:S,'Bilateral assistance, MAIN DATA'!E:E,"Weapons", 'Bilateral assistance, MAIN DATA'!B:B,'Military aid by type'!B39)/1000000000+SUMIFS('Bilateral assistance, MAIN DATA'!S:S,'Bilateral assistance, MAIN DATA'!E:E,"Weapons and equipment", 'Bilateral assistance, MAIN DATA'!B:B,'Military aid by type'!B39)/1000000000+SUMIFS('Bilateral assistance, MAIN DATA'!S:S,'Bilateral assistance, MAIN DATA'!E:E,"Weapons and training", 'Bilateral assistance, MAIN DATA'!B:B,'Military aid by type'!B39)/1000000000+SUMIFS('Bilateral assistance, MAIN DATA'!S:S,'Bilateral assistance, MAIN DATA'!E:E,"Weapons and Assistance", 'Bilateral assistance, MAIN DATA'!B:B,'Military aid by type'!B39)/1000000000+SUMIFS('Bilateral assistance, MAIN DATA'!S:S,'Bilateral assistance, MAIN DATA'!E:E,"Military Equipment", 'Bilateral assistance, MAIN DATA'!B:B,'Military aid by type'!B39)/1000000000)</f>
        <v>22.861983059292474</v>
      </c>
      <c r="E39" s="814">
        <f>1.675+2.6</f>
        <v>4.2750000000000004</v>
      </c>
      <c r="F39" s="35">
        <f>(D39/VLOOKUP("USD",'Exchange rates'!B:C,2,0))-E39</f>
        <v>18.507245201088665</v>
      </c>
      <c r="G39" s="107">
        <f>D39-F39</f>
        <v>4.3547378582038085</v>
      </c>
      <c r="H39" s="637" t="s">
        <v>3220</v>
      </c>
      <c r="I39" s="107"/>
      <c r="J39" s="263"/>
      <c r="K39" s="107"/>
      <c r="L39" s="107"/>
      <c r="M39" s="107"/>
      <c r="N39" s="107"/>
      <c r="O39" s="107"/>
      <c r="Q39" s="107"/>
    </row>
    <row r="40" spans="1:17">
      <c r="A40" s="100">
        <v>0</v>
      </c>
      <c r="B40" s="104" t="s">
        <v>583</v>
      </c>
      <c r="C40" s="2">
        <f>SUMIFS('Bilateral assistance, MAIN DATA'!S:S,'Bilateral assistance, MAIN DATA'!D:D,"Military",'Bilateral assistance, MAIN DATA'!B:B,'Military aid by type'!B40)/1000000000</f>
        <v>0</v>
      </c>
      <c r="D40" s="104">
        <f>(SUMIFS('Bilateral assistance, MAIN DATA'!S:S,'Bilateral assistance, MAIN DATA'!E:E,"Weapons", 'Bilateral assistance, MAIN DATA'!B:B,'Military aid by type'!B40)/1000000000+SUMIFS('Bilateral assistance, MAIN DATA'!S:S,'Bilateral assistance, MAIN DATA'!E:E,"Weapons and equipment", 'Bilateral assistance, MAIN DATA'!B:B,'Military aid by type'!B40)/1000000000+SUMIFS('Bilateral assistance, MAIN DATA'!S:S,'Bilateral assistance, MAIN DATA'!E:E,"Weapons and training", 'Bilateral assistance, MAIN DATA'!B:B,'Military aid by type'!B40)/1000000000+SUMIFS('Bilateral assistance, MAIN DATA'!S:S,'Bilateral assistance, MAIN DATA'!E:E,"Weapons and Assistance", 'Bilateral assistance, MAIN DATA'!B:B,'Military aid by type'!B40)/1000000000+SUMIFS('Bilateral assistance, MAIN DATA'!S:S,'Bilateral assistance, MAIN DATA'!E:E,"Military Equipment", 'Bilateral assistance, MAIN DATA'!B:B,'Military aid by type'!B40)/1000000000)</f>
        <v>0</v>
      </c>
      <c r="E40" s="104">
        <v>0</v>
      </c>
      <c r="F40" s="104">
        <f t="shared" si="0"/>
        <v>0</v>
      </c>
      <c r="G40" s="2">
        <f t="shared" si="1"/>
        <v>0</v>
      </c>
      <c r="H40" s="451"/>
      <c r="I40" s="2"/>
      <c r="J40" s="106"/>
      <c r="K40" s="2"/>
      <c r="L40" s="2"/>
      <c r="M40" s="2"/>
      <c r="N40" s="2"/>
      <c r="O40" s="2"/>
    </row>
    <row r="41" spans="1:17">
      <c r="A41" s="100">
        <v>0</v>
      </c>
      <c r="B41" s="104" t="s">
        <v>2368</v>
      </c>
      <c r="C41" s="2">
        <f>SUMIFS('Bilateral assistance, MAIN DATA'!S:S,'Bilateral assistance, MAIN DATA'!D:D,"Military",'Bilateral assistance, MAIN DATA'!B:B,'Military aid by type'!B41)/1000000000</f>
        <v>0</v>
      </c>
      <c r="D41" s="104">
        <f>(SUMIFS('Bilateral assistance, MAIN DATA'!S:S,'Bilateral assistance, MAIN DATA'!E:E,"Weapons", 'Bilateral assistance, MAIN DATA'!B:B,'Military aid by type'!B41)/1000000000+SUMIFS('Bilateral assistance, MAIN DATA'!S:S,'Bilateral assistance, MAIN DATA'!E:E,"Weapons and equipment", 'Bilateral assistance, MAIN DATA'!B:B,'Military aid by type'!B41)/1000000000+SUMIFS('Bilateral assistance, MAIN DATA'!S:S,'Bilateral assistance, MAIN DATA'!E:E,"Weapons and training", 'Bilateral assistance, MAIN DATA'!B:B,'Military aid by type'!B41)/1000000000+SUMIFS('Bilateral assistance, MAIN DATA'!S:S,'Bilateral assistance, MAIN DATA'!E:E,"Weapons and Assistance", 'Bilateral assistance, MAIN DATA'!B:B,'Military aid by type'!B41)/1000000000+SUMIFS('Bilateral assistance, MAIN DATA'!S:S,'Bilateral assistance, MAIN DATA'!E:E,"Military Equipment", 'Bilateral assistance, MAIN DATA'!B:B,'Military aid by type'!B41)/1000000000)</f>
        <v>0</v>
      </c>
      <c r="E41" s="104">
        <v>0</v>
      </c>
      <c r="F41" s="104">
        <f t="shared" si="0"/>
        <v>0</v>
      </c>
      <c r="G41" s="2">
        <f t="shared" si="1"/>
        <v>0</v>
      </c>
      <c r="H41" s="451"/>
      <c r="I41" s="2"/>
      <c r="J41" s="106"/>
      <c r="K41" s="2"/>
      <c r="L41" s="2"/>
      <c r="M41" s="2"/>
      <c r="N41" s="2"/>
      <c r="O41" s="2"/>
    </row>
    <row r="42" spans="1:17">
      <c r="A42" s="100">
        <v>0</v>
      </c>
      <c r="B42" s="104" t="s">
        <v>1369</v>
      </c>
      <c r="C42" s="2">
        <f>SUMIFS('Bilateral assistance, MAIN DATA'!S:S,'Bilateral assistance, MAIN DATA'!D:D,"Military",'Bilateral assistance, MAIN DATA'!B:B,'Military aid by type'!B42)/1000000000</f>
        <v>0</v>
      </c>
      <c r="D42" s="104">
        <f>(SUMIFS('Bilateral assistance, MAIN DATA'!S:S,'Bilateral assistance, MAIN DATA'!E:E,"Weapons", 'Bilateral assistance, MAIN DATA'!B:B,'Military aid by type'!B42)/1000000000+SUMIFS('Bilateral assistance, MAIN DATA'!S:S,'Bilateral assistance, MAIN DATA'!E:E,"Weapons and equipment", 'Bilateral assistance, MAIN DATA'!B:B,'Military aid by type'!B42)/1000000000+SUMIFS('Bilateral assistance, MAIN DATA'!S:S,'Bilateral assistance, MAIN DATA'!E:E,"Weapons and training", 'Bilateral assistance, MAIN DATA'!B:B,'Military aid by type'!B42)/1000000000+SUMIFS('Bilateral assistance, MAIN DATA'!S:S,'Bilateral assistance, MAIN DATA'!E:E,"Weapons and Assistance", 'Bilateral assistance, MAIN DATA'!B:B,'Military aid by type'!B42)/1000000000+SUMIFS('Bilateral assistance, MAIN DATA'!S:S,'Bilateral assistance, MAIN DATA'!E:E,"Military Equipment", 'Bilateral assistance, MAIN DATA'!B:B,'Military aid by type'!B42)/1000000000)</f>
        <v>0</v>
      </c>
      <c r="E42" s="104">
        <v>0</v>
      </c>
      <c r="F42" s="104">
        <f t="shared" si="0"/>
        <v>0</v>
      </c>
      <c r="G42" s="2">
        <f t="shared" si="1"/>
        <v>0</v>
      </c>
      <c r="H42" s="451"/>
      <c r="I42" s="2"/>
      <c r="J42" s="106"/>
      <c r="K42" s="2"/>
      <c r="L42" s="2"/>
      <c r="M42" s="2"/>
      <c r="N42" s="2"/>
      <c r="O42" s="2"/>
    </row>
    <row r="43" spans="1:17">
      <c r="G43" s="2"/>
      <c r="H43" s="451"/>
      <c r="I43" s="2"/>
      <c r="J43" s="106"/>
      <c r="K43" s="2"/>
      <c r="L43" s="2"/>
      <c r="M43" s="2"/>
      <c r="N43" s="2"/>
      <c r="O43" s="2"/>
    </row>
    <row r="44" spans="1:17">
      <c r="B44" s="2"/>
      <c r="E44" s="264"/>
      <c r="K44" s="2"/>
      <c r="L44" s="2"/>
      <c r="M44" s="2"/>
      <c r="N44" s="2"/>
      <c r="O44" s="2"/>
    </row>
    <row r="45" spans="1:17">
      <c r="G45" s="2"/>
      <c r="H45" s="451"/>
      <c r="I45" s="2"/>
      <c r="J45" s="106"/>
      <c r="K45" s="2"/>
      <c r="L45" s="2"/>
      <c r="M45" s="2"/>
      <c r="N45" s="2"/>
      <c r="O45" s="2"/>
    </row>
    <row r="46" spans="1:17">
      <c r="G46" s="2"/>
      <c r="H46" s="451"/>
      <c r="I46" s="2"/>
      <c r="J46" s="106"/>
      <c r="K46" s="2"/>
      <c r="L46" s="2"/>
      <c r="M46" s="2"/>
      <c r="N46" s="2"/>
      <c r="O46" s="2"/>
    </row>
    <row r="47" spans="1:17">
      <c r="E47" s="107"/>
      <c r="G47" s="2"/>
      <c r="H47" s="451"/>
      <c r="I47" s="2"/>
      <c r="J47" s="106"/>
      <c r="K47" s="2"/>
      <c r="L47" s="2"/>
      <c r="M47" s="2"/>
      <c r="N47" s="2"/>
      <c r="O47" s="2"/>
    </row>
    <row r="48" spans="1:17">
      <c r="E48" s="265"/>
      <c r="G48" s="2"/>
      <c r="H48" s="451"/>
      <c r="I48" s="2"/>
      <c r="J48" s="106"/>
      <c r="K48" s="2"/>
      <c r="L48" s="2"/>
      <c r="M48" s="2"/>
      <c r="N48" s="2"/>
      <c r="O48" s="2"/>
    </row>
    <row r="49" spans="2:15">
      <c r="G49" s="2"/>
      <c r="H49" s="451"/>
      <c r="I49" s="2"/>
      <c r="J49" s="106"/>
      <c r="K49" s="2"/>
      <c r="L49" s="2"/>
      <c r="M49" s="2"/>
      <c r="N49" s="2"/>
      <c r="O49" s="2"/>
    </row>
    <row r="50" spans="2:15">
      <c r="B50" s="110"/>
      <c r="G50" s="2"/>
      <c r="H50" s="451"/>
      <c r="I50" s="2"/>
      <c r="J50" s="106"/>
      <c r="K50" s="2"/>
      <c r="L50" s="2"/>
      <c r="M50" s="2"/>
      <c r="N50" s="2"/>
      <c r="O50" s="2"/>
    </row>
    <row r="51" spans="2:15">
      <c r="G51" s="2"/>
      <c r="H51" s="451"/>
      <c r="I51" s="2"/>
      <c r="J51" s="106"/>
      <c r="K51" s="2"/>
      <c r="L51" s="2"/>
      <c r="M51" s="2"/>
      <c r="N51" s="2"/>
      <c r="O51" s="2"/>
    </row>
    <row r="52" spans="2:15">
      <c r="B52" s="98"/>
      <c r="G52" s="2"/>
      <c r="H52" s="451"/>
      <c r="I52" s="2"/>
      <c r="J52" s="106"/>
      <c r="K52" s="2"/>
      <c r="L52" s="2"/>
      <c r="M52" s="2"/>
      <c r="N52" s="2"/>
      <c r="O52" s="2"/>
    </row>
    <row r="53" spans="2:15">
      <c r="G53" s="2"/>
      <c r="H53" s="451"/>
      <c r="I53" s="2"/>
      <c r="J53" s="106"/>
      <c r="K53" s="2"/>
      <c r="L53" s="2"/>
      <c r="M53" s="2"/>
      <c r="N53" s="2"/>
      <c r="O53" s="2"/>
    </row>
    <row r="54" spans="2:15">
      <c r="G54" s="2"/>
      <c r="H54" s="451"/>
      <c r="I54" s="2"/>
      <c r="J54" s="106"/>
      <c r="K54" s="2"/>
      <c r="L54" s="2"/>
      <c r="M54" s="2"/>
      <c r="N54" s="2"/>
      <c r="O54" s="2"/>
    </row>
    <row r="55" spans="2:15">
      <c r="G55" s="2"/>
      <c r="H55" s="451"/>
      <c r="I55" s="2"/>
      <c r="J55" s="106"/>
      <c r="K55" s="2"/>
      <c r="L55" s="2"/>
      <c r="M55" s="2"/>
      <c r="N55" s="2"/>
      <c r="O55" s="2"/>
    </row>
    <row r="56" spans="2:15">
      <c r="G56" s="2"/>
      <c r="H56" s="451"/>
      <c r="I56" s="2"/>
      <c r="J56" s="106"/>
      <c r="K56" s="2"/>
      <c r="L56" s="2"/>
      <c r="M56" s="2"/>
      <c r="N56" s="2"/>
      <c r="O56" s="2"/>
    </row>
    <row r="57" spans="2:15">
      <c r="G57" s="2"/>
      <c r="H57" s="451"/>
      <c r="I57" s="2"/>
      <c r="J57" s="106"/>
      <c r="K57" s="2"/>
      <c r="L57" s="2"/>
      <c r="M57" s="2"/>
      <c r="N57" s="2"/>
      <c r="O57" s="2"/>
    </row>
    <row r="58" spans="2:15">
      <c r="G58" s="2"/>
      <c r="H58" s="451"/>
      <c r="I58" s="2"/>
      <c r="J58" s="106"/>
      <c r="K58" s="2"/>
      <c r="L58" s="2"/>
      <c r="M58" s="2"/>
      <c r="N58" s="2"/>
      <c r="O58" s="2"/>
    </row>
    <row r="59" spans="2:15">
      <c r="G59" s="2"/>
      <c r="H59" s="451"/>
      <c r="I59" s="2"/>
      <c r="J59" s="106"/>
      <c r="K59" s="2"/>
      <c r="L59" s="2"/>
      <c r="M59" s="2"/>
      <c r="N59" s="2"/>
      <c r="O59" s="2"/>
    </row>
    <row r="60" spans="2:15">
      <c r="G60" s="2"/>
      <c r="H60" s="451"/>
      <c r="I60" s="2"/>
      <c r="J60" s="106"/>
      <c r="K60" s="2"/>
      <c r="L60" s="2"/>
      <c r="M60" s="2"/>
      <c r="N60" s="2"/>
      <c r="O60" s="2"/>
    </row>
    <row r="61" spans="2:15">
      <c r="G61" s="2"/>
      <c r="H61" s="451"/>
      <c r="I61" s="2"/>
      <c r="J61" s="106"/>
      <c r="K61" s="2"/>
      <c r="L61" s="2"/>
      <c r="M61" s="2"/>
      <c r="N61" s="2"/>
      <c r="O61" s="2"/>
    </row>
    <row r="62" spans="2:15">
      <c r="G62" s="2"/>
      <c r="H62" s="451"/>
      <c r="I62" s="2"/>
      <c r="J62" s="106"/>
      <c r="K62" s="2"/>
      <c r="L62" s="2"/>
      <c r="M62" s="2"/>
      <c r="N62" s="2"/>
      <c r="O62" s="2"/>
    </row>
    <row r="63" spans="2:15">
      <c r="G63" s="2"/>
      <c r="H63" s="451"/>
      <c r="I63" s="2"/>
      <c r="J63" s="106"/>
      <c r="K63" s="2"/>
      <c r="L63" s="2"/>
      <c r="M63" s="2"/>
      <c r="N63" s="2"/>
      <c r="O63" s="2"/>
    </row>
    <row r="64" spans="2:15">
      <c r="G64" s="2"/>
      <c r="H64" s="451"/>
      <c r="I64" s="2"/>
      <c r="J64" s="106"/>
      <c r="K64" s="2"/>
      <c r="L64" s="2"/>
      <c r="M64" s="2"/>
      <c r="N64" s="2"/>
      <c r="O64" s="2"/>
    </row>
    <row r="65" spans="7:15">
      <c r="G65" s="2"/>
      <c r="H65" s="451"/>
      <c r="I65" s="2"/>
      <c r="J65" s="106"/>
      <c r="K65" s="2"/>
      <c r="L65" s="2"/>
      <c r="M65" s="2"/>
      <c r="N65" s="2"/>
      <c r="O65" s="2"/>
    </row>
    <row r="66" spans="7:15">
      <c r="G66" s="2"/>
      <c r="H66" s="451"/>
      <c r="I66" s="2"/>
      <c r="J66" s="106"/>
      <c r="K66" s="2"/>
      <c r="L66" s="2"/>
      <c r="M66" s="2"/>
      <c r="N66" s="2"/>
      <c r="O66" s="2"/>
    </row>
    <row r="67" spans="7:15">
      <c r="G67" s="2"/>
      <c r="H67" s="451"/>
      <c r="I67" s="2"/>
      <c r="J67" s="106"/>
      <c r="K67" s="2"/>
      <c r="L67" s="2"/>
      <c r="M67" s="2"/>
      <c r="N67" s="2"/>
      <c r="O67" s="2"/>
    </row>
    <row r="68" spans="7:15">
      <c r="G68" s="2"/>
      <c r="H68" s="451"/>
      <c r="I68" s="2"/>
      <c r="J68" s="106"/>
      <c r="K68" s="2"/>
      <c r="L68" s="2"/>
      <c r="M68" s="2"/>
      <c r="N68" s="2"/>
      <c r="O68" s="2"/>
    </row>
    <row r="69" spans="7:15">
      <c r="G69" s="2"/>
      <c r="H69" s="451"/>
      <c r="I69" s="2"/>
      <c r="J69" s="106"/>
      <c r="K69" s="2"/>
      <c r="L69" s="2"/>
      <c r="M69" s="2"/>
      <c r="N69" s="2"/>
      <c r="O69" s="2"/>
    </row>
    <row r="70" spans="7:15">
      <c r="G70" s="2"/>
      <c r="H70" s="451"/>
      <c r="I70" s="2"/>
      <c r="J70" s="106"/>
      <c r="K70" s="2"/>
      <c r="L70" s="2"/>
      <c r="M70" s="2"/>
      <c r="N70" s="2"/>
      <c r="O70" s="2"/>
    </row>
    <row r="71" spans="7:15">
      <c r="G71" s="2"/>
      <c r="H71" s="451"/>
      <c r="I71" s="2"/>
      <c r="J71" s="106"/>
      <c r="K71" s="2"/>
      <c r="L71" s="2"/>
      <c r="M71" s="2"/>
      <c r="N71" s="2"/>
      <c r="O71" s="2"/>
    </row>
    <row r="72" spans="7:15">
      <c r="G72" s="2"/>
      <c r="H72" s="451"/>
      <c r="I72" s="2"/>
      <c r="J72" s="106"/>
      <c r="K72" s="2"/>
      <c r="L72" s="2"/>
      <c r="M72" s="2"/>
      <c r="N72" s="2"/>
      <c r="O72" s="2"/>
    </row>
    <row r="73" spans="7:15">
      <c r="G73" s="2"/>
      <c r="H73" s="451"/>
      <c r="I73" s="2"/>
      <c r="J73" s="106"/>
      <c r="K73" s="2"/>
      <c r="L73" s="2"/>
      <c r="M73" s="2"/>
      <c r="N73" s="2"/>
      <c r="O73" s="2"/>
    </row>
    <row r="74" spans="7:15">
      <c r="G74" s="2"/>
      <c r="H74" s="451"/>
      <c r="I74" s="2"/>
      <c r="J74" s="106"/>
      <c r="K74" s="2"/>
      <c r="L74" s="2"/>
      <c r="M74" s="2"/>
      <c r="N74" s="2"/>
      <c r="O74" s="2"/>
    </row>
    <row r="75" spans="7:15">
      <c r="G75" s="2"/>
      <c r="H75" s="451"/>
      <c r="I75" s="2"/>
      <c r="J75" s="2"/>
      <c r="K75" s="2"/>
      <c r="L75" s="2"/>
      <c r="M75" s="2"/>
      <c r="N75" s="2"/>
      <c r="O75" s="2"/>
    </row>
    <row r="76" spans="7:15">
      <c r="G76" s="2"/>
      <c r="H76" s="451"/>
      <c r="I76" s="2"/>
      <c r="J76" s="106"/>
      <c r="K76" s="2"/>
      <c r="L76" s="2"/>
      <c r="M76" s="2"/>
      <c r="N76" s="2"/>
      <c r="O76" s="2"/>
    </row>
    <row r="77" spans="7:15">
      <c r="G77" s="2"/>
      <c r="H77" s="451"/>
      <c r="I77" s="2"/>
      <c r="J77" s="106"/>
      <c r="K77" s="2"/>
      <c r="L77" s="2"/>
      <c r="M77" s="2"/>
      <c r="N77" s="2"/>
      <c r="O77" s="2"/>
    </row>
    <row r="78" spans="7:15">
      <c r="G78" s="2"/>
      <c r="H78" s="451"/>
      <c r="I78" s="2"/>
      <c r="J78" s="106"/>
      <c r="K78" s="2"/>
      <c r="L78" s="2"/>
      <c r="M78" s="2"/>
      <c r="N78" s="2"/>
      <c r="O78" s="2"/>
    </row>
    <row r="79" spans="7:15">
      <c r="G79" s="2"/>
      <c r="H79" s="451"/>
      <c r="I79" s="2"/>
      <c r="J79" s="106"/>
      <c r="K79" s="2"/>
      <c r="L79" s="2"/>
      <c r="M79" s="2"/>
      <c r="N79" s="2"/>
      <c r="O79" s="2"/>
    </row>
    <row r="80" spans="7:15">
      <c r="G80" s="2"/>
      <c r="H80" s="451"/>
      <c r="I80" s="2"/>
      <c r="J80" s="106"/>
      <c r="K80" s="2"/>
      <c r="L80" s="2"/>
      <c r="M80" s="2"/>
      <c r="N80" s="2"/>
      <c r="O80" s="2"/>
    </row>
    <row r="81" spans="7:15">
      <c r="G81" s="2"/>
      <c r="H81" s="451"/>
      <c r="I81" s="2"/>
      <c r="J81" s="106"/>
      <c r="K81" s="2"/>
      <c r="L81" s="2"/>
      <c r="M81" s="2"/>
      <c r="N81" s="2"/>
      <c r="O81" s="2"/>
    </row>
    <row r="82" spans="7:15">
      <c r="G82" s="2"/>
      <c r="H82" s="451"/>
      <c r="I82" s="2"/>
      <c r="J82" s="106"/>
      <c r="K82" s="2"/>
      <c r="L82" s="2"/>
      <c r="M82" s="2"/>
      <c r="N82" s="2"/>
      <c r="O82" s="2"/>
    </row>
    <row r="83" spans="7:15">
      <c r="G83" s="2"/>
      <c r="H83" s="451"/>
      <c r="I83" s="2"/>
      <c r="J83" s="106"/>
      <c r="K83" s="2"/>
      <c r="L83" s="2"/>
      <c r="M83" s="2"/>
      <c r="N83" s="2"/>
      <c r="O83" s="2"/>
    </row>
    <row r="84" spans="7:15">
      <c r="G84" s="2"/>
      <c r="H84" s="451"/>
      <c r="I84" s="2"/>
      <c r="J84" s="106"/>
      <c r="K84" s="2"/>
      <c r="L84" s="2"/>
      <c r="M84" s="2"/>
      <c r="N84" s="2"/>
      <c r="O84" s="2"/>
    </row>
    <row r="85" spans="7:15">
      <c r="G85" s="2"/>
      <c r="H85" s="451"/>
      <c r="I85" s="2"/>
      <c r="J85" s="106"/>
      <c r="K85" s="2"/>
      <c r="L85" s="2"/>
      <c r="M85" s="2"/>
      <c r="N85" s="2"/>
      <c r="O85" s="2"/>
    </row>
    <row r="86" spans="7:15">
      <c r="G86" s="2"/>
      <c r="H86" s="451"/>
      <c r="I86" s="2"/>
      <c r="J86" s="106"/>
      <c r="K86" s="2"/>
      <c r="L86" s="2"/>
      <c r="M86" s="2"/>
      <c r="N86" s="2"/>
      <c r="O86" s="2"/>
    </row>
    <row r="87" spans="7:15">
      <c r="G87" s="2"/>
      <c r="H87" s="451"/>
      <c r="I87" s="2"/>
      <c r="J87" s="106"/>
      <c r="K87" s="2"/>
      <c r="L87" s="2"/>
      <c r="M87" s="2"/>
      <c r="N87" s="2"/>
      <c r="O87" s="2"/>
    </row>
    <row r="88" spans="7:15">
      <c r="G88" s="2"/>
      <c r="H88" s="451"/>
      <c r="I88" s="2"/>
      <c r="J88" s="106"/>
      <c r="K88" s="2"/>
      <c r="L88" s="2"/>
      <c r="M88" s="2"/>
      <c r="N88" s="2"/>
      <c r="O88" s="2"/>
    </row>
    <row r="89" spans="7:15">
      <c r="G89" s="2"/>
      <c r="H89" s="451"/>
      <c r="I89" s="2"/>
      <c r="J89" s="106"/>
      <c r="K89" s="2"/>
      <c r="L89" s="2"/>
      <c r="M89" s="2"/>
      <c r="N89" s="2"/>
      <c r="O89" s="2"/>
    </row>
    <row r="90" spans="7:15">
      <c r="G90" s="2"/>
      <c r="H90" s="451"/>
      <c r="I90" s="2"/>
      <c r="J90" s="106"/>
      <c r="K90" s="2"/>
      <c r="L90" s="2"/>
      <c r="M90" s="2"/>
      <c r="N90" s="2"/>
      <c r="O90" s="2"/>
    </row>
    <row r="91" spans="7:15">
      <c r="G91" s="2"/>
      <c r="H91" s="451"/>
      <c r="I91" s="2"/>
      <c r="J91" s="106"/>
      <c r="K91" s="2"/>
      <c r="L91" s="2"/>
      <c r="M91" s="2"/>
      <c r="N91" s="2"/>
      <c r="O91" s="2"/>
    </row>
    <row r="92" spans="7:15">
      <c r="G92" s="2"/>
      <c r="H92" s="451"/>
      <c r="I92" s="2"/>
      <c r="J92" s="106"/>
      <c r="K92" s="2"/>
      <c r="L92" s="2"/>
      <c r="M92" s="2"/>
      <c r="N92" s="2"/>
      <c r="O92" s="2"/>
    </row>
    <row r="93" spans="7:15">
      <c r="G93" s="2"/>
      <c r="H93" s="451"/>
      <c r="I93" s="2"/>
      <c r="J93" s="106"/>
      <c r="K93" s="2"/>
      <c r="L93" s="2"/>
      <c r="M93" s="2"/>
      <c r="N93" s="2"/>
      <c r="O93" s="2"/>
    </row>
    <row r="94" spans="7:15">
      <c r="G94" s="2"/>
      <c r="H94" s="451"/>
      <c r="I94" s="2"/>
      <c r="J94" s="106"/>
      <c r="K94" s="2"/>
      <c r="L94" s="2"/>
      <c r="M94" s="2"/>
      <c r="N94" s="2"/>
      <c r="O94" s="2"/>
    </row>
    <row r="95" spans="7:15">
      <c r="G95" s="2"/>
      <c r="H95" s="451"/>
      <c r="I95" s="2"/>
      <c r="J95" s="106"/>
      <c r="K95" s="2"/>
      <c r="L95" s="2"/>
      <c r="M95" s="2"/>
      <c r="N95" s="2"/>
      <c r="O95" s="2"/>
    </row>
    <row r="96" spans="7:15">
      <c r="G96" s="2"/>
      <c r="H96" s="451"/>
      <c r="I96" s="2"/>
      <c r="J96" s="106"/>
      <c r="K96" s="2"/>
      <c r="L96" s="2"/>
      <c r="M96" s="2"/>
      <c r="N96" s="2"/>
      <c r="O96" s="2"/>
    </row>
    <row r="97" spans="7:15">
      <c r="G97" s="2"/>
      <c r="H97" s="451"/>
      <c r="I97" s="2"/>
      <c r="J97" s="106"/>
      <c r="K97" s="2"/>
      <c r="L97" s="2"/>
      <c r="M97" s="2"/>
      <c r="N97" s="2"/>
      <c r="O97" s="2"/>
    </row>
    <row r="98" spans="7:15">
      <c r="G98" s="2"/>
      <c r="H98" s="451"/>
      <c r="I98" s="2"/>
      <c r="J98" s="106"/>
      <c r="K98" s="2"/>
      <c r="L98" s="2"/>
      <c r="M98" s="2"/>
      <c r="N98" s="2"/>
      <c r="O98" s="2"/>
    </row>
    <row r="99" spans="7:15">
      <c r="G99" s="2"/>
      <c r="H99" s="451"/>
      <c r="I99" s="2"/>
      <c r="J99" s="106"/>
      <c r="K99" s="2"/>
      <c r="L99" s="2"/>
      <c r="M99" s="2"/>
      <c r="N99" s="2"/>
      <c r="O99" s="2"/>
    </row>
    <row r="100" spans="7:15">
      <c r="G100" s="2"/>
      <c r="H100" s="451"/>
      <c r="I100" s="2"/>
      <c r="J100" s="106"/>
      <c r="K100" s="2"/>
      <c r="L100" s="2"/>
      <c r="M100" s="2"/>
      <c r="N100" s="2"/>
      <c r="O100" s="2"/>
    </row>
    <row r="101" spans="7:15">
      <c r="G101" s="2"/>
      <c r="H101" s="451"/>
      <c r="I101" s="2"/>
      <c r="J101" s="106"/>
      <c r="K101" s="2"/>
      <c r="L101" s="2"/>
      <c r="M101" s="2"/>
      <c r="N101" s="2"/>
      <c r="O101" s="2"/>
    </row>
    <row r="102" spans="7:15">
      <c r="G102" s="2"/>
      <c r="H102" s="451"/>
      <c r="I102" s="2"/>
      <c r="J102" s="106"/>
      <c r="K102" s="2"/>
      <c r="L102" s="2"/>
      <c r="M102" s="2"/>
      <c r="N102" s="2"/>
      <c r="O102" s="2"/>
    </row>
    <row r="103" spans="7:15">
      <c r="G103" s="2"/>
      <c r="H103" s="451"/>
      <c r="I103" s="2"/>
      <c r="J103" s="106"/>
      <c r="K103" s="2"/>
      <c r="L103" s="2"/>
      <c r="M103" s="2"/>
      <c r="N103" s="2"/>
      <c r="O103" s="2"/>
    </row>
    <row r="104" spans="7:15">
      <c r="G104" s="2"/>
      <c r="H104" s="451"/>
      <c r="I104" s="2"/>
      <c r="J104" s="106"/>
      <c r="K104" s="2"/>
      <c r="L104" s="2"/>
      <c r="M104" s="2"/>
      <c r="N104" s="2"/>
      <c r="O104" s="2"/>
    </row>
    <row r="105" spans="7:15">
      <c r="G105" s="2"/>
      <c r="H105" s="451"/>
      <c r="I105" s="2"/>
      <c r="J105" s="106"/>
      <c r="K105" s="2"/>
      <c r="L105" s="2"/>
      <c r="M105" s="2"/>
      <c r="N105" s="2"/>
      <c r="O105" s="2"/>
    </row>
    <row r="106" spans="7:15">
      <c r="G106" s="2"/>
      <c r="H106" s="451"/>
      <c r="I106" s="2"/>
      <c r="J106" s="106"/>
      <c r="K106" s="2"/>
      <c r="L106" s="2"/>
      <c r="M106" s="2"/>
      <c r="N106" s="2"/>
      <c r="O106" s="2"/>
    </row>
    <row r="107" spans="7:15">
      <c r="G107" s="2"/>
      <c r="H107" s="451"/>
      <c r="I107" s="2"/>
      <c r="J107" s="106"/>
      <c r="K107" s="2"/>
      <c r="L107" s="2"/>
      <c r="M107" s="2"/>
      <c r="N107" s="2"/>
      <c r="O107" s="2"/>
    </row>
    <row r="108" spans="7:15">
      <c r="G108" s="2"/>
      <c r="H108" s="451"/>
      <c r="I108" s="2"/>
      <c r="J108" s="106"/>
      <c r="K108" s="2"/>
      <c r="L108" s="2"/>
      <c r="M108" s="2"/>
      <c r="N108" s="2"/>
      <c r="O108" s="2"/>
    </row>
    <row r="109" spans="7:15">
      <c r="G109" s="2"/>
      <c r="H109" s="451"/>
      <c r="I109" s="2"/>
      <c r="J109" s="106"/>
      <c r="K109" s="2"/>
      <c r="L109" s="2"/>
      <c r="M109" s="2"/>
      <c r="N109" s="2"/>
      <c r="O109" s="2"/>
    </row>
    <row r="110" spans="7:15">
      <c r="G110" s="2"/>
      <c r="H110" s="451"/>
      <c r="I110" s="2"/>
      <c r="J110" s="2"/>
      <c r="K110" s="2"/>
      <c r="L110" s="2"/>
      <c r="M110" s="2"/>
      <c r="N110" s="2"/>
      <c r="O110" s="2"/>
    </row>
    <row r="111" spans="7:15">
      <c r="G111" s="2"/>
      <c r="H111" s="451"/>
      <c r="I111" s="2"/>
      <c r="J111" s="112"/>
      <c r="K111" s="2"/>
      <c r="L111" s="2"/>
      <c r="M111" s="2"/>
      <c r="N111" s="2"/>
      <c r="O111" s="2"/>
    </row>
    <row r="112" spans="7:15">
      <c r="G112" s="2"/>
      <c r="H112" s="451"/>
      <c r="I112" s="2"/>
      <c r="J112" s="106"/>
      <c r="K112" s="2"/>
      <c r="L112" s="2"/>
      <c r="M112" s="2"/>
      <c r="N112" s="2"/>
      <c r="O112" s="2"/>
    </row>
    <row r="113" spans="7:15">
      <c r="G113" s="2"/>
      <c r="H113" s="451"/>
      <c r="I113" s="2"/>
      <c r="J113" s="106"/>
      <c r="K113" s="2"/>
      <c r="L113" s="2"/>
      <c r="M113" s="2"/>
      <c r="N113" s="2"/>
      <c r="O113" s="2"/>
    </row>
    <row r="114" spans="7:15">
      <c r="G114" s="2"/>
      <c r="H114" s="451"/>
      <c r="I114" s="2"/>
      <c r="J114" s="106"/>
      <c r="K114" s="2"/>
      <c r="L114" s="2"/>
      <c r="M114" s="2"/>
      <c r="N114" s="2"/>
      <c r="O114" s="2"/>
    </row>
    <row r="115" spans="7:15">
      <c r="G115" s="2"/>
      <c r="H115" s="451"/>
      <c r="I115" s="2"/>
      <c r="J115" s="106"/>
      <c r="K115" s="2"/>
      <c r="L115" s="2"/>
      <c r="M115" s="2"/>
      <c r="N115" s="2"/>
      <c r="O115" s="2"/>
    </row>
    <row r="116" spans="7:15">
      <c r="G116" s="2"/>
      <c r="H116" s="451"/>
      <c r="I116" s="2"/>
      <c r="J116" s="113"/>
      <c r="K116" s="2"/>
      <c r="L116" s="2"/>
      <c r="M116" s="2"/>
      <c r="N116" s="2"/>
      <c r="O116" s="2"/>
    </row>
    <row r="117" spans="7:15">
      <c r="G117" s="2"/>
      <c r="H117" s="451"/>
      <c r="I117" s="2"/>
      <c r="J117" s="106"/>
      <c r="K117" s="2"/>
      <c r="L117" s="2"/>
      <c r="M117" s="2"/>
      <c r="N117" s="2"/>
      <c r="O117" s="2"/>
    </row>
    <row r="118" spans="7:15">
      <c r="G118" s="2"/>
      <c r="H118" s="451"/>
      <c r="I118" s="2"/>
      <c r="J118" s="106"/>
      <c r="K118" s="2"/>
      <c r="L118" s="2"/>
      <c r="M118" s="2"/>
      <c r="N118" s="2"/>
      <c r="O118" s="2"/>
    </row>
    <row r="119" spans="7:15">
      <c r="G119" s="2"/>
      <c r="H119" s="451"/>
      <c r="I119" s="2"/>
      <c r="J119" s="106"/>
      <c r="K119" s="2"/>
      <c r="L119" s="2"/>
      <c r="M119" s="2"/>
      <c r="N119" s="2"/>
      <c r="O119" s="2"/>
    </row>
    <row r="120" spans="7:15">
      <c r="K120" s="2"/>
      <c r="L120" s="2"/>
      <c r="M120" s="2"/>
      <c r="N120" s="2"/>
      <c r="O120" s="2"/>
    </row>
    <row r="121" spans="7:15">
      <c r="G121" s="2"/>
      <c r="H121" s="451"/>
      <c r="I121" s="2"/>
      <c r="J121" s="2"/>
      <c r="K121" s="2"/>
      <c r="L121" s="2"/>
      <c r="M121" s="2"/>
      <c r="N121" s="2"/>
      <c r="O121" s="2"/>
    </row>
    <row r="122" spans="7:15">
      <c r="G122" s="2"/>
      <c r="H122" s="451"/>
      <c r="I122" s="2"/>
      <c r="J122" s="2"/>
      <c r="K122" s="2"/>
      <c r="L122" s="2"/>
      <c r="M122" s="2"/>
      <c r="N122" s="2"/>
      <c r="O122" s="2"/>
    </row>
    <row r="123" spans="7:15">
      <c r="G123" s="2"/>
      <c r="H123" s="451"/>
      <c r="I123" s="2"/>
      <c r="J123" s="2"/>
      <c r="K123" s="2"/>
      <c r="L123" s="2"/>
      <c r="M123" s="2"/>
      <c r="N123" s="2"/>
      <c r="O123" s="2"/>
    </row>
    <row r="124" spans="7:15">
      <c r="G124" s="2"/>
      <c r="H124" s="451"/>
      <c r="I124" s="2"/>
      <c r="J124" s="2"/>
      <c r="K124" s="2"/>
      <c r="L124" s="2"/>
      <c r="M124" s="2"/>
      <c r="N124" s="2"/>
      <c r="O124" s="2"/>
    </row>
    <row r="125" spans="7:15">
      <c r="G125" s="2"/>
      <c r="H125" s="451"/>
      <c r="I125" s="2"/>
      <c r="J125" s="2"/>
      <c r="K125" s="2"/>
      <c r="L125" s="2"/>
      <c r="M125" s="2"/>
      <c r="N125" s="2"/>
      <c r="O125" s="2"/>
    </row>
    <row r="126" spans="7:15">
      <c r="G126" s="2"/>
      <c r="H126" s="451"/>
      <c r="I126" s="2"/>
      <c r="J126" s="2"/>
      <c r="K126" s="2"/>
      <c r="L126" s="2"/>
      <c r="M126" s="2"/>
      <c r="N126" s="2"/>
      <c r="O126" s="2"/>
    </row>
    <row r="127" spans="7:15">
      <c r="G127" s="2"/>
      <c r="H127" s="451"/>
      <c r="I127" s="2"/>
      <c r="J127" s="2"/>
      <c r="K127" s="2"/>
      <c r="L127" s="2"/>
      <c r="M127" s="2"/>
      <c r="N127" s="2"/>
      <c r="O127" s="2"/>
    </row>
    <row r="128" spans="7:15">
      <c r="G128" s="2"/>
      <c r="H128" s="451"/>
      <c r="I128" s="2"/>
      <c r="J128" s="2"/>
      <c r="K128" s="2"/>
      <c r="L128" s="2"/>
      <c r="M128" s="2"/>
      <c r="N128" s="2"/>
      <c r="O128" s="2"/>
    </row>
    <row r="129" spans="7:15">
      <c r="G129" s="2"/>
      <c r="H129" s="451"/>
      <c r="I129" s="2"/>
      <c r="J129" s="2"/>
      <c r="K129" s="2"/>
      <c r="L129" s="2"/>
      <c r="M129" s="2"/>
      <c r="N129" s="2"/>
      <c r="O129" s="2"/>
    </row>
    <row r="130" spans="7:15">
      <c r="G130" s="2"/>
      <c r="H130" s="451"/>
      <c r="I130" s="2"/>
      <c r="J130" s="2"/>
      <c r="K130" s="2"/>
      <c r="L130" s="2"/>
      <c r="M130" s="2"/>
      <c r="N130" s="2"/>
      <c r="O130" s="2"/>
    </row>
    <row r="131" spans="7:15">
      <c r="G131" s="2"/>
      <c r="H131" s="451"/>
      <c r="I131" s="2"/>
      <c r="J131" s="2"/>
      <c r="K131" s="2"/>
      <c r="L131" s="2"/>
      <c r="M131" s="2"/>
      <c r="N131" s="2"/>
      <c r="O131" s="2"/>
    </row>
    <row r="132" spans="7:15">
      <c r="G132" s="2"/>
      <c r="H132" s="451"/>
      <c r="I132" s="2"/>
      <c r="J132" s="2"/>
      <c r="K132" s="2"/>
      <c r="L132" s="2"/>
      <c r="M132" s="2"/>
      <c r="N132" s="2"/>
      <c r="O132" s="2"/>
    </row>
    <row r="133" spans="7:15">
      <c r="G133" s="2"/>
      <c r="H133" s="451"/>
      <c r="I133" s="2"/>
      <c r="J133" s="2"/>
      <c r="K133" s="2"/>
      <c r="L133" s="2"/>
      <c r="M133" s="2"/>
      <c r="N133" s="2"/>
      <c r="O133" s="2"/>
    </row>
    <row r="134" spans="7:15">
      <c r="G134" s="2"/>
      <c r="H134" s="451"/>
      <c r="I134" s="2"/>
      <c r="J134" s="2"/>
      <c r="K134" s="2"/>
      <c r="L134" s="2"/>
      <c r="M134" s="2"/>
      <c r="N134" s="2"/>
      <c r="O134" s="2"/>
    </row>
    <row r="135" spans="7:15">
      <c r="G135" s="2"/>
      <c r="H135" s="451"/>
      <c r="I135" s="2"/>
      <c r="J135" s="2"/>
      <c r="K135" s="2"/>
      <c r="L135" s="2"/>
      <c r="M135" s="2"/>
      <c r="N135" s="2"/>
      <c r="O135" s="2"/>
    </row>
    <row r="136" spans="7:15">
      <c r="G136" s="2"/>
      <c r="H136" s="451"/>
      <c r="I136" s="2"/>
      <c r="J136" s="2"/>
      <c r="K136" s="2"/>
      <c r="L136" s="2"/>
      <c r="M136" s="2"/>
      <c r="N136" s="2"/>
      <c r="O136" s="2"/>
    </row>
    <row r="137" spans="7:15">
      <c r="G137" s="2"/>
      <c r="H137" s="451"/>
      <c r="I137" s="2"/>
      <c r="J137" s="2"/>
      <c r="K137" s="2"/>
      <c r="L137" s="2"/>
      <c r="M137" s="2"/>
      <c r="N137" s="2"/>
      <c r="O137" s="2"/>
    </row>
    <row r="138" spans="7:15">
      <c r="G138" s="2"/>
      <c r="H138" s="451"/>
      <c r="I138" s="2"/>
      <c r="J138" s="2"/>
      <c r="K138" s="2"/>
      <c r="L138" s="2"/>
      <c r="M138" s="2"/>
      <c r="N138" s="2"/>
      <c r="O138" s="2"/>
    </row>
    <row r="139" spans="7:15">
      <c r="G139" s="2"/>
      <c r="H139" s="451"/>
      <c r="I139" s="2"/>
      <c r="J139" s="2"/>
      <c r="K139" s="2"/>
      <c r="L139" s="2"/>
      <c r="M139" s="2"/>
      <c r="N139" s="2"/>
      <c r="O139" s="2"/>
    </row>
    <row r="140" spans="7:15">
      <c r="G140" s="2"/>
      <c r="H140" s="451"/>
      <c r="I140" s="2"/>
      <c r="J140" s="2"/>
      <c r="K140" s="2"/>
      <c r="L140" s="2"/>
      <c r="M140" s="2"/>
      <c r="N140" s="2"/>
      <c r="O140" s="2"/>
    </row>
    <row r="141" spans="7:15">
      <c r="G141" s="2"/>
      <c r="H141" s="451"/>
      <c r="I141" s="2"/>
      <c r="J141" s="2"/>
      <c r="K141" s="2"/>
      <c r="L141" s="2"/>
      <c r="M141" s="2"/>
      <c r="N141" s="2"/>
      <c r="O141" s="2"/>
    </row>
    <row r="142" spans="7:15">
      <c r="G142" s="2"/>
      <c r="H142" s="451"/>
      <c r="I142" s="2"/>
      <c r="J142" s="2"/>
      <c r="K142" s="2"/>
      <c r="L142" s="2"/>
      <c r="M142" s="2"/>
      <c r="N142" s="2"/>
      <c r="O142" s="2"/>
    </row>
    <row r="143" spans="7:15">
      <c r="G143" s="2"/>
      <c r="H143" s="451"/>
      <c r="I143" s="2"/>
      <c r="J143" s="2"/>
      <c r="K143" s="2"/>
      <c r="L143" s="2"/>
      <c r="M143" s="2"/>
      <c r="N143" s="2"/>
      <c r="O143" s="2"/>
    </row>
    <row r="144" spans="7:15">
      <c r="G144" s="2"/>
      <c r="H144" s="451"/>
      <c r="I144" s="2"/>
      <c r="J144" s="2"/>
      <c r="K144" s="2"/>
      <c r="L144" s="2"/>
      <c r="M144" s="2"/>
      <c r="N144" s="2"/>
      <c r="O144" s="2"/>
    </row>
    <row r="145" spans="7:15">
      <c r="G145" s="2"/>
      <c r="H145" s="451"/>
      <c r="I145" s="2"/>
      <c r="J145" s="2"/>
      <c r="K145" s="2"/>
      <c r="L145" s="2"/>
      <c r="M145" s="2"/>
      <c r="N145" s="2"/>
      <c r="O145" s="2"/>
    </row>
    <row r="146" spans="7:15">
      <c r="G146" s="2"/>
      <c r="H146" s="451"/>
      <c r="I146" s="2"/>
      <c r="J146" s="2"/>
      <c r="K146" s="2"/>
      <c r="L146" s="2"/>
      <c r="M146" s="2"/>
      <c r="N146" s="2"/>
      <c r="O146" s="2"/>
    </row>
    <row r="147" spans="7:15">
      <c r="G147" s="2"/>
      <c r="H147" s="451"/>
      <c r="I147" s="2"/>
      <c r="J147" s="2"/>
      <c r="K147" s="2"/>
      <c r="L147" s="2"/>
      <c r="M147" s="2"/>
      <c r="N147" s="2"/>
      <c r="O147" s="2"/>
    </row>
    <row r="148" spans="7:15">
      <c r="G148" s="2"/>
      <c r="H148" s="451"/>
      <c r="I148" s="2"/>
      <c r="J148" s="2"/>
      <c r="K148" s="2"/>
      <c r="L148" s="2"/>
      <c r="M148" s="2"/>
      <c r="N148" s="2"/>
      <c r="O148" s="2"/>
    </row>
    <row r="149" spans="7:15">
      <c r="G149" s="2"/>
      <c r="H149" s="451"/>
      <c r="I149" s="2"/>
      <c r="J149" s="2"/>
      <c r="K149" s="2"/>
      <c r="L149" s="2"/>
      <c r="M149" s="2"/>
      <c r="N149" s="2"/>
      <c r="O149" s="2"/>
    </row>
    <row r="150" spans="7:15">
      <c r="G150" s="2"/>
      <c r="H150" s="451"/>
      <c r="I150" s="2"/>
      <c r="J150" s="2"/>
      <c r="K150" s="2"/>
      <c r="L150" s="2"/>
      <c r="M150" s="2"/>
      <c r="N150" s="2"/>
      <c r="O150" s="2"/>
    </row>
    <row r="151" spans="7:15">
      <c r="G151" s="2"/>
      <c r="H151" s="451"/>
      <c r="I151" s="2"/>
      <c r="J151" s="2"/>
      <c r="K151" s="2"/>
      <c r="L151" s="2"/>
      <c r="M151" s="2"/>
      <c r="N151" s="2"/>
      <c r="O151" s="2"/>
    </row>
    <row r="152" spans="7:15">
      <c r="G152" s="2"/>
      <c r="H152" s="451"/>
      <c r="I152" s="2"/>
      <c r="J152" s="2"/>
      <c r="K152" s="2"/>
      <c r="L152" s="2"/>
      <c r="M152" s="2"/>
      <c r="N152" s="2"/>
      <c r="O152" s="2"/>
    </row>
    <row r="153" spans="7:15">
      <c r="G153" s="2"/>
      <c r="H153" s="451"/>
      <c r="I153" s="2"/>
      <c r="J153" s="2"/>
      <c r="K153" s="2"/>
      <c r="L153" s="2"/>
      <c r="M153" s="2"/>
      <c r="N153" s="2"/>
      <c r="O153" s="2"/>
    </row>
    <row r="154" spans="7:15">
      <c r="G154" s="2"/>
      <c r="H154" s="451"/>
      <c r="I154" s="2"/>
      <c r="J154" s="2"/>
      <c r="K154" s="2"/>
      <c r="L154" s="2"/>
      <c r="M154" s="2"/>
      <c r="N154" s="2"/>
      <c r="O154" s="2"/>
    </row>
    <row r="155" spans="7:15">
      <c r="K155" s="2"/>
      <c r="L155" s="2"/>
      <c r="M155" s="2"/>
      <c r="N155" s="2"/>
      <c r="O155" s="2"/>
    </row>
    <row r="156" spans="7:15">
      <c r="K156" s="2"/>
      <c r="L156" s="2"/>
      <c r="M156" s="2"/>
      <c r="N156" s="2"/>
      <c r="O156" s="2"/>
    </row>
    <row r="157" spans="7:15">
      <c r="K157" s="2"/>
      <c r="L157" s="2"/>
      <c r="M157" s="2"/>
      <c r="N157" s="2"/>
      <c r="O157" s="2"/>
    </row>
    <row r="158" spans="7:15">
      <c r="K158" s="2"/>
      <c r="L158" s="2"/>
      <c r="M158" s="2"/>
      <c r="N158" s="2"/>
      <c r="O158" s="2"/>
    </row>
    <row r="159" spans="7:15">
      <c r="K159" s="2"/>
      <c r="L159" s="2"/>
      <c r="M159" s="2"/>
      <c r="N159" s="2"/>
      <c r="O159" s="2"/>
    </row>
    <row r="160" spans="7:15">
      <c r="K160" s="2"/>
      <c r="L160" s="2"/>
      <c r="M160" s="2"/>
      <c r="N160" s="2"/>
      <c r="O160" s="2"/>
    </row>
    <row r="161" spans="11:15">
      <c r="K161" s="2"/>
      <c r="L161" s="2"/>
      <c r="M161" s="2"/>
      <c r="N161" s="2"/>
      <c r="O161" s="2"/>
    </row>
    <row r="162" spans="11:15">
      <c r="K162" s="2"/>
      <c r="L162" s="2"/>
      <c r="M162" s="2"/>
      <c r="N162" s="2"/>
      <c r="O162" s="2"/>
    </row>
    <row r="163" spans="11:15">
      <c r="K163" s="2"/>
      <c r="L163" s="2"/>
      <c r="M163" s="2"/>
      <c r="N163" s="2"/>
      <c r="O163" s="2"/>
    </row>
  </sheetData>
  <mergeCells count="1">
    <mergeCell ref="T4:W7"/>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59999389629810485"/>
  </sheetPr>
  <dimension ref="A1:P519"/>
  <sheetViews>
    <sheetView zoomScale="70" zoomScaleNormal="70" workbookViewId="0">
      <pane ySplit="1" topLeftCell="A2" activePane="bottomLeft" state="frozen"/>
      <selection pane="bottomLeft"/>
      <selection activeCell="D11" sqref="D11"/>
    </sheetView>
  </sheetViews>
  <sheetFormatPr defaultColWidth="11" defaultRowHeight="15" customHeight="1"/>
  <cols>
    <col min="1" max="1" width="48" style="424" customWidth="1"/>
    <col min="2" max="2" width="23" style="684" customWidth="1"/>
    <col min="3" max="3" width="31.375" style="685" customWidth="1"/>
    <col min="4" max="5" width="14.5" style="552" customWidth="1"/>
    <col min="6" max="6" width="25" style="452" customWidth="1"/>
    <col min="7" max="7" width="30" style="88" customWidth="1"/>
    <col min="8" max="9" width="32.5" style="692" customWidth="1"/>
    <col min="10" max="10" width="29.5" style="424" customWidth="1"/>
    <col min="11" max="11" width="56" style="688" customWidth="1"/>
    <col min="12" max="13" width="11" style="46"/>
    <col min="14" max="14" width="20" style="46" customWidth="1"/>
    <col min="15" max="16384" width="11" style="46"/>
  </cols>
  <sheetData>
    <row r="1" spans="1:16" s="681" customFormat="1" ht="15" customHeight="1">
      <c r="A1" s="679" t="s">
        <v>2968</v>
      </c>
      <c r="B1" s="680" t="s">
        <v>3221</v>
      </c>
      <c r="C1" s="570" t="s">
        <v>190</v>
      </c>
      <c r="D1" s="681" t="s">
        <v>191</v>
      </c>
      <c r="E1" s="681" t="s">
        <v>215</v>
      </c>
      <c r="F1" s="650" t="s">
        <v>194</v>
      </c>
      <c r="G1" s="682" t="s">
        <v>3222</v>
      </c>
      <c r="H1" s="679" t="s">
        <v>3096</v>
      </c>
      <c r="I1" s="679" t="s">
        <v>3223</v>
      </c>
      <c r="J1" s="679" t="s">
        <v>3224</v>
      </c>
      <c r="K1" s="683" t="s">
        <v>3225</v>
      </c>
      <c r="L1" s="681" t="s">
        <v>3226</v>
      </c>
      <c r="M1" s="681" t="s">
        <v>3227</v>
      </c>
      <c r="N1" s="681" t="s">
        <v>3228</v>
      </c>
      <c r="O1" s="681" t="s">
        <v>3229</v>
      </c>
      <c r="P1" s="681" t="s">
        <v>3230</v>
      </c>
    </row>
    <row r="2" spans="1:16" ht="15" customHeight="1">
      <c r="A2" s="424" t="s">
        <v>232</v>
      </c>
      <c r="B2" s="684" t="s">
        <v>232</v>
      </c>
      <c r="C2" s="685" t="s">
        <v>232</v>
      </c>
      <c r="D2" s="686">
        <v>0</v>
      </c>
      <c r="E2" s="686">
        <f t="shared" ref="E2:E65" si="0">IF(OR(C2="Armoured Personnel Carrier (APC)",C2="Armoured Recovery Vehicle (ARV)",C2="Armoured Utility Vehicle (AUV)",C2="152mm howitzer ammunition",C2="155mm howitzer ammunition",C2="300mm MLRS ammunition",C2="155mm howitzer",C2="227mm MLRS ammunition",C2="Infantry fighting vehicle (IFV)",C2="152mm howitzer",C2="227mm MLRS",C2="Main Battle Tank (MBT)",C2="Protected Patrol Vehicle (PPV)",C2="127mm MLRS",C2="122mm MLRS",C2="122mm MLRS ammunition",C2="122mm MLRS",C2="127mm MLRS",C2="127mm MLRS ammunition")=TRUE,1,0)</f>
        <v>0</v>
      </c>
      <c r="F2" s="452" t="s">
        <v>232</v>
      </c>
      <c r="G2" s="687" t="s">
        <v>232</v>
      </c>
      <c r="H2" s="424" t="s">
        <v>232</v>
      </c>
      <c r="I2" s="424" t="str">
        <f t="shared" ref="I2:I15" si="1">IF(H2&lt;&gt;".",".",".")</f>
        <v>.</v>
      </c>
      <c r="J2" s="424" t="s">
        <v>232</v>
      </c>
      <c r="K2" s="688" t="str">
        <f t="shared" ref="K2:K65" si="2">IF(B2="Humanitarian",0,IF(L2&gt;0,IF(TYPE(N2)=1,IF(N2&gt;MEDIAN(N:N),2,1),0),"no price, 0 count"))</f>
        <v>no price, 0 count</v>
      </c>
      <c r="L2" s="310">
        <f>SUMIFS('Bilateral assistance, MAIN DATA'!M:M,'Bilateral assistance, MAIN DATA'!I:I,'Price List, Weapons &amp; Items'!A2)</f>
        <v>0</v>
      </c>
      <c r="M2" s="46">
        <f>COUNTIFS('Bilateral assistance, MAIN DATA'!M:M,"undisclosed",'Bilateral assistance, MAIN DATA'!I:I,'Price List, Weapons &amp; Items'!A2)</f>
        <v>0</v>
      </c>
      <c r="N2" s="689" t="str">
        <f>IFERROR(L2*F2,"no price")</f>
        <v>no price</v>
      </c>
      <c r="O2" s="1">
        <f>IFERROR(IF(SEARCH(A2,_xlfn.ARRAYTOTEXT('Bilateral assistance, MAIN DATA'!I$1:I$1408))&gt;0,1,""),0)</f>
        <v>1</v>
      </c>
      <c r="P2" s="46">
        <f>IFERROR(IF(SEARCH(A2,_xlfn.ARRAYTOTEXT('Commercial assistance'!I$1:I$1400))&gt;0,1,""),0)</f>
        <v>0</v>
      </c>
    </row>
    <row r="3" spans="1:16" ht="15" customHeight="1">
      <c r="A3" s="424" t="s">
        <v>3231</v>
      </c>
      <c r="B3" s="684" t="s">
        <v>729</v>
      </c>
      <c r="C3" s="685" t="s">
        <v>232</v>
      </c>
      <c r="D3" s="686">
        <v>0</v>
      </c>
      <c r="E3" s="686">
        <f t="shared" si="0"/>
        <v>0</v>
      </c>
      <c r="F3" s="452" t="s">
        <v>232</v>
      </c>
      <c r="G3" s="687" t="str">
        <f t="shared" ref="G3:G15" si="3">IF(F3&lt;&gt;".","USD",".")</f>
        <v>.</v>
      </c>
      <c r="H3" s="690" t="s">
        <v>232</v>
      </c>
      <c r="I3" s="424" t="str">
        <f t="shared" si="1"/>
        <v>.</v>
      </c>
      <c r="J3" s="424" t="s">
        <v>3232</v>
      </c>
      <c r="K3" s="688" t="str">
        <f t="shared" si="2"/>
        <v>no price, 0 count</v>
      </c>
      <c r="L3" s="310">
        <f>SUMIFS('Bilateral assistance, MAIN DATA'!M:M,'Bilateral assistance, MAIN DATA'!I:I,'Price List, Weapons &amp; Items'!A3)</f>
        <v>0</v>
      </c>
      <c r="M3" s="46">
        <f>COUNTIFS('Bilateral assistance, MAIN DATA'!M:M,"undisclosed",'Bilateral assistance, MAIN DATA'!I:I,'Price List, Weapons &amp; Items'!A3)</f>
        <v>0</v>
      </c>
      <c r="N3" s="689" t="str">
        <f t="shared" ref="N3:N65" si="4">IFERROR(L3*F3,"no price")</f>
        <v>no price</v>
      </c>
      <c r="O3" s="1">
        <f>IFERROR(IF(SEARCH(A3,_xlfn.ARRAYTOTEXT('Bilateral assistance, MAIN DATA'!I$1:I$1408))&gt;0,1,""),0)</f>
        <v>1</v>
      </c>
      <c r="P3" s="46">
        <f>IFERROR(IF(SEARCH(A3,_xlfn.ARRAYTOTEXT('Commercial assistance'!I$1:I$1400))&gt;0,1,""),0)</f>
        <v>0</v>
      </c>
    </row>
    <row r="4" spans="1:16" ht="15" customHeight="1">
      <c r="A4" s="691" t="s">
        <v>2749</v>
      </c>
      <c r="B4" s="684" t="s">
        <v>729</v>
      </c>
      <c r="C4" s="685" t="s">
        <v>232</v>
      </c>
      <c r="D4" s="686">
        <v>0</v>
      </c>
      <c r="E4" s="686">
        <f t="shared" si="0"/>
        <v>0</v>
      </c>
      <c r="F4" s="452" t="s">
        <v>232</v>
      </c>
      <c r="G4" s="687" t="str">
        <f t="shared" si="3"/>
        <v>.</v>
      </c>
      <c r="H4" s="512" t="s">
        <v>232</v>
      </c>
      <c r="I4" s="424" t="str">
        <f t="shared" si="1"/>
        <v>.</v>
      </c>
      <c r="J4" s="424" t="s">
        <v>232</v>
      </c>
      <c r="K4" s="688" t="str">
        <f t="shared" si="2"/>
        <v>no price, 0 count</v>
      </c>
      <c r="L4" s="310">
        <f>SUMIFS('Bilateral assistance, MAIN DATA'!M:M,'Bilateral assistance, MAIN DATA'!I:I,'Price List, Weapons &amp; Items'!A4)</f>
        <v>0</v>
      </c>
      <c r="M4" s="46">
        <f>COUNTIFS('Bilateral assistance, MAIN DATA'!M:M,"undisclosed",'Bilateral assistance, MAIN DATA'!I:I,'Price List, Weapons &amp; Items'!A4)</f>
        <v>0</v>
      </c>
      <c r="N4" s="689" t="str">
        <f t="shared" si="4"/>
        <v>no price</v>
      </c>
      <c r="O4" s="1">
        <f>IFERROR(IF(SEARCH(A4,_xlfn.ARRAYTOTEXT('Bilateral assistance, MAIN DATA'!I$1:I$1408))&gt;0,1,""),0)</f>
        <v>1</v>
      </c>
      <c r="P4" s="46">
        <f>IFERROR(IF(SEARCH(A4,_xlfn.ARRAYTOTEXT('Commercial assistance'!I$1:I$1400))&gt;0,1,""),0)</f>
        <v>0</v>
      </c>
    </row>
    <row r="5" spans="1:16" ht="15" customHeight="1">
      <c r="A5" s="424" t="s">
        <v>2632</v>
      </c>
      <c r="B5" s="684" t="s">
        <v>729</v>
      </c>
      <c r="C5" s="685" t="s">
        <v>3233</v>
      </c>
      <c r="D5" s="552">
        <v>0</v>
      </c>
      <c r="E5" s="686">
        <f t="shared" si="0"/>
        <v>0</v>
      </c>
      <c r="F5" s="452" t="s">
        <v>232</v>
      </c>
      <c r="G5" s="687" t="str">
        <f t="shared" si="3"/>
        <v>.</v>
      </c>
      <c r="H5" s="692" t="s">
        <v>232</v>
      </c>
      <c r="I5" s="424" t="str">
        <f t="shared" si="1"/>
        <v>.</v>
      </c>
      <c r="J5" s="424" t="s">
        <v>232</v>
      </c>
      <c r="K5" s="688" t="str">
        <f t="shared" si="2"/>
        <v>no price, 0 count</v>
      </c>
      <c r="L5" s="310">
        <f>SUMIFS('Bilateral assistance, MAIN DATA'!M:M,'Bilateral assistance, MAIN DATA'!I:I,'Price List, Weapons &amp; Items'!A5)</f>
        <v>0</v>
      </c>
      <c r="M5" s="46">
        <f>COUNTIFS('Bilateral assistance, MAIN DATA'!M:M,"undisclosed",'Bilateral assistance, MAIN DATA'!I:I,'Price List, Weapons &amp; Items'!A5)</f>
        <v>0</v>
      </c>
      <c r="N5" s="689" t="str">
        <f t="shared" si="4"/>
        <v>no price</v>
      </c>
      <c r="O5" s="1">
        <f>IFERROR(IF(SEARCH(A5,_xlfn.ARRAYTOTEXT('Bilateral assistance, MAIN DATA'!I$1:I$1408))&gt;0,1,""),0)</f>
        <v>1</v>
      </c>
      <c r="P5" s="46">
        <f>IFERROR(IF(SEARCH(A5,_xlfn.ARRAYTOTEXT('Commercial assistance'!I$1:I$1400))&gt;0,1,""),0)</f>
        <v>0</v>
      </c>
    </row>
    <row r="6" spans="1:16" ht="15" customHeight="1">
      <c r="A6" s="693" t="s">
        <v>3234</v>
      </c>
      <c r="B6" s="684" t="s">
        <v>3235</v>
      </c>
      <c r="C6" s="685" t="s">
        <v>3236</v>
      </c>
      <c r="D6" s="686">
        <v>0</v>
      </c>
      <c r="E6" s="686">
        <f t="shared" si="0"/>
        <v>1</v>
      </c>
      <c r="F6" s="452" t="s">
        <v>232</v>
      </c>
      <c r="G6" s="687" t="str">
        <f t="shared" si="3"/>
        <v>.</v>
      </c>
      <c r="H6" s="692" t="s">
        <v>232</v>
      </c>
      <c r="I6" s="424" t="str">
        <f t="shared" si="1"/>
        <v>.</v>
      </c>
      <c r="J6" s="424" t="s">
        <v>232</v>
      </c>
      <c r="K6" s="688" t="str">
        <f t="shared" si="2"/>
        <v>no price, 0 count</v>
      </c>
      <c r="L6" s="310">
        <f>SUMIFS('Bilateral assistance, MAIN DATA'!M:M,'Bilateral assistance, MAIN DATA'!I:I,'Price List, Weapons &amp; Items'!A6)</f>
        <v>0</v>
      </c>
      <c r="M6" s="46">
        <f>COUNTIFS('Bilateral assistance, MAIN DATA'!M:M,"undisclosed",'Bilateral assistance, MAIN DATA'!I:I,'Price List, Weapons &amp; Items'!A6)</f>
        <v>0</v>
      </c>
      <c r="N6" s="689" t="str">
        <f t="shared" si="4"/>
        <v>no price</v>
      </c>
      <c r="O6" s="1">
        <f>IFERROR(IF(SEARCH(A6,_xlfn.ARRAYTOTEXT('Bilateral assistance, MAIN DATA'!I$1:I$1408))&gt;0,1,""),0)</f>
        <v>1</v>
      </c>
      <c r="P6" s="46">
        <f>IFERROR(IF(SEARCH(A6,_xlfn.ARRAYTOTEXT('Commercial assistance'!I$1:I$1400))&gt;0,1,""),0)</f>
        <v>0</v>
      </c>
    </row>
    <row r="7" spans="1:16" ht="15" customHeight="1">
      <c r="A7" s="424" t="s">
        <v>3237</v>
      </c>
      <c r="B7" s="684" t="s">
        <v>729</v>
      </c>
      <c r="C7" s="685" t="s">
        <v>3238</v>
      </c>
      <c r="D7" s="686">
        <v>0</v>
      </c>
      <c r="E7" s="686">
        <f t="shared" si="0"/>
        <v>0</v>
      </c>
      <c r="F7" s="452" t="s">
        <v>232</v>
      </c>
      <c r="G7" s="687" t="str">
        <f t="shared" si="3"/>
        <v>.</v>
      </c>
      <c r="H7" s="692" t="s">
        <v>232</v>
      </c>
      <c r="I7" s="424" t="str">
        <f t="shared" si="1"/>
        <v>.</v>
      </c>
      <c r="J7" s="424" t="s">
        <v>232</v>
      </c>
      <c r="K7" s="688" t="str">
        <f t="shared" si="2"/>
        <v>no price, 0 count</v>
      </c>
      <c r="L7" s="310">
        <f>SUMIFS('Bilateral assistance, MAIN DATA'!M:M,'Bilateral assistance, MAIN DATA'!I:I,'Price List, Weapons &amp; Items'!A7)</f>
        <v>0</v>
      </c>
      <c r="M7" s="46">
        <f>COUNTIFS('Bilateral assistance, MAIN DATA'!M:M,"undisclosed",'Bilateral assistance, MAIN DATA'!I:I,'Price List, Weapons &amp; Items'!A7)</f>
        <v>0</v>
      </c>
      <c r="N7" s="689" t="str">
        <f t="shared" si="4"/>
        <v>no price</v>
      </c>
      <c r="O7" s="1">
        <f>IFERROR(IF(SEARCH(A7,_xlfn.ARRAYTOTEXT('Bilateral assistance, MAIN DATA'!I$1:I$1408))&gt;0,1,""),0)</f>
        <v>1</v>
      </c>
      <c r="P7" s="46">
        <f>IFERROR(IF(SEARCH(A7,_xlfn.ARRAYTOTEXT('Commercial assistance'!I$1:I$1400))&gt;0,1,""),0)</f>
        <v>0</v>
      </c>
    </row>
    <row r="8" spans="1:16" ht="15" customHeight="1">
      <c r="A8" s="691" t="s">
        <v>1217</v>
      </c>
      <c r="B8" s="684" t="s">
        <v>3239</v>
      </c>
      <c r="C8" s="685" t="s">
        <v>3240</v>
      </c>
      <c r="D8" s="552">
        <v>0</v>
      </c>
      <c r="E8" s="686">
        <f t="shared" si="0"/>
        <v>0</v>
      </c>
      <c r="F8" s="452" t="s">
        <v>232</v>
      </c>
      <c r="G8" s="687" t="str">
        <f t="shared" si="3"/>
        <v>.</v>
      </c>
      <c r="H8" s="424" t="s">
        <v>232</v>
      </c>
      <c r="I8" s="424" t="str">
        <f t="shared" si="1"/>
        <v>.</v>
      </c>
      <c r="J8" s="424" t="s">
        <v>232</v>
      </c>
      <c r="K8" s="688">
        <f t="shared" si="2"/>
        <v>0</v>
      </c>
      <c r="L8" s="310">
        <f>SUMIFS('Bilateral assistance, MAIN DATA'!M:M,'Bilateral assistance, MAIN DATA'!I:I,'Price List, Weapons &amp; Items'!A8)</f>
        <v>54</v>
      </c>
      <c r="M8" s="46">
        <f>COUNTIFS('Bilateral assistance, MAIN DATA'!M:M,"undisclosed",'Bilateral assistance, MAIN DATA'!I:I,'Price List, Weapons &amp; Items'!A8)</f>
        <v>0</v>
      </c>
      <c r="N8" s="689" t="str">
        <f t="shared" si="4"/>
        <v>no price</v>
      </c>
      <c r="O8" s="1">
        <f>IFERROR(IF(SEARCH(A8,_xlfn.ARRAYTOTEXT('Bilateral assistance, MAIN DATA'!I$1:I$1408))&gt;0,1,""),0)</f>
        <v>1</v>
      </c>
      <c r="P8" s="46">
        <f>IFERROR(IF(SEARCH(A8,_xlfn.ARRAYTOTEXT('Commercial assistance'!I$1:I$1400))&gt;0,1,""),0)</f>
        <v>0</v>
      </c>
    </row>
    <row r="9" spans="1:16" ht="15" customHeight="1">
      <c r="A9" s="691" t="s">
        <v>3241</v>
      </c>
      <c r="B9" s="684" t="s">
        <v>729</v>
      </c>
      <c r="C9" s="685" t="s">
        <v>232</v>
      </c>
      <c r="D9" s="686">
        <v>0</v>
      </c>
      <c r="E9" s="686">
        <f t="shared" si="0"/>
        <v>0</v>
      </c>
      <c r="F9" s="452" t="s">
        <v>232</v>
      </c>
      <c r="G9" s="687" t="str">
        <f t="shared" si="3"/>
        <v>.</v>
      </c>
      <c r="H9" s="424" t="s">
        <v>232</v>
      </c>
      <c r="I9" s="424" t="str">
        <f t="shared" si="1"/>
        <v>.</v>
      </c>
      <c r="J9" s="424" t="s">
        <v>232</v>
      </c>
      <c r="K9" s="688" t="str">
        <f t="shared" si="2"/>
        <v>no price, 0 count</v>
      </c>
      <c r="L9" s="310">
        <f>SUMIFS('Bilateral assistance, MAIN DATA'!M:M,'Bilateral assistance, MAIN DATA'!I:I,'Price List, Weapons &amp; Items'!A9)</f>
        <v>0</v>
      </c>
      <c r="M9" s="46">
        <f>COUNTIFS('Bilateral assistance, MAIN DATA'!M:M,"undisclosed",'Bilateral assistance, MAIN DATA'!I:I,'Price List, Weapons &amp; Items'!A9)</f>
        <v>0</v>
      </c>
      <c r="N9" s="689" t="str">
        <f t="shared" si="4"/>
        <v>no price</v>
      </c>
      <c r="O9" s="1">
        <f>IFERROR(IF(SEARCH(A9,_xlfn.ARRAYTOTEXT('Bilateral assistance, MAIN DATA'!I$1:I$1408))&gt;0,1,""),0)</f>
        <v>1</v>
      </c>
      <c r="P9" s="46">
        <f>IFERROR(IF(SEARCH(A9,_xlfn.ARRAYTOTEXT('Commercial assistance'!I$1:I$1400))&gt;0,1,""),0)</f>
        <v>0</v>
      </c>
    </row>
    <row r="10" spans="1:16" ht="15" customHeight="1">
      <c r="A10" s="424" t="s">
        <v>3242</v>
      </c>
      <c r="B10" s="684" t="s">
        <v>3243</v>
      </c>
      <c r="C10" s="685" t="s">
        <v>3244</v>
      </c>
      <c r="D10" s="686">
        <v>0</v>
      </c>
      <c r="E10" s="686">
        <f t="shared" si="0"/>
        <v>0</v>
      </c>
      <c r="F10" s="452" t="s">
        <v>232</v>
      </c>
      <c r="G10" s="687" t="str">
        <f t="shared" si="3"/>
        <v>.</v>
      </c>
      <c r="H10" s="694" t="s">
        <v>232</v>
      </c>
      <c r="I10" s="424" t="str">
        <f t="shared" si="1"/>
        <v>.</v>
      </c>
      <c r="J10" s="695" t="s">
        <v>232</v>
      </c>
      <c r="K10" s="688" t="str">
        <f t="shared" si="2"/>
        <v>no price, 0 count</v>
      </c>
      <c r="L10" s="310">
        <f>SUMIFS('Bilateral assistance, MAIN DATA'!M:M,'Bilateral assistance, MAIN DATA'!I:I,'Price List, Weapons &amp; Items'!A10)</f>
        <v>0</v>
      </c>
      <c r="M10" s="46">
        <f>COUNTIFS('Bilateral assistance, MAIN DATA'!M:M,"undisclosed",'Bilateral assistance, MAIN DATA'!I:I,'Price List, Weapons &amp; Items'!A10)</f>
        <v>0</v>
      </c>
      <c r="N10" s="689" t="str">
        <f t="shared" si="4"/>
        <v>no price</v>
      </c>
      <c r="O10" s="1">
        <f>IFERROR(IF(SEARCH(A10,_xlfn.ARRAYTOTEXT('Bilateral assistance, MAIN DATA'!I$1:I$1408))&gt;0,1,""),0)</f>
        <v>1</v>
      </c>
      <c r="P10" s="46">
        <f>IFERROR(IF(SEARCH(A10,_xlfn.ARRAYTOTEXT('Commercial assistance'!I$1:I$1400))&gt;0,1,""),0)</f>
        <v>0</v>
      </c>
    </row>
    <row r="11" spans="1:16" ht="15" customHeight="1">
      <c r="A11" s="512" t="s">
        <v>3245</v>
      </c>
      <c r="B11" s="684" t="s">
        <v>729</v>
      </c>
      <c r="C11" s="685" t="s">
        <v>2633</v>
      </c>
      <c r="D11" s="686">
        <v>0</v>
      </c>
      <c r="E11" s="686">
        <f t="shared" si="0"/>
        <v>0</v>
      </c>
      <c r="F11" s="452" t="s">
        <v>232</v>
      </c>
      <c r="G11" s="687" t="str">
        <f t="shared" si="3"/>
        <v>.</v>
      </c>
      <c r="H11" s="694" t="s">
        <v>232</v>
      </c>
      <c r="I11" s="424" t="str">
        <f t="shared" si="1"/>
        <v>.</v>
      </c>
      <c r="J11" s="695" t="s">
        <v>232</v>
      </c>
      <c r="K11" s="688" t="str">
        <f t="shared" si="2"/>
        <v>no price, 0 count</v>
      </c>
      <c r="L11" s="310">
        <f>SUMIFS('Bilateral assistance, MAIN DATA'!M:M,'Bilateral assistance, MAIN DATA'!I:I,'Price List, Weapons &amp; Items'!A11)</f>
        <v>0</v>
      </c>
      <c r="M11" s="46">
        <f>COUNTIFS('Bilateral assistance, MAIN DATA'!M:M,"undisclosed",'Bilateral assistance, MAIN DATA'!I:I,'Price List, Weapons &amp; Items'!A11)</f>
        <v>0</v>
      </c>
      <c r="N11" s="689" t="str">
        <f t="shared" si="4"/>
        <v>no price</v>
      </c>
      <c r="O11" s="1">
        <f>IFERROR(IF(SEARCH(A11,_xlfn.ARRAYTOTEXT('Bilateral assistance, MAIN DATA'!I$1:I$1408))&gt;0,1,""),0)</f>
        <v>1</v>
      </c>
      <c r="P11" s="46">
        <f>IFERROR(IF(SEARCH(A11,_xlfn.ARRAYTOTEXT('Commercial assistance'!I$1:I$1400))&gt;0,1,""),0)</f>
        <v>0</v>
      </c>
    </row>
    <row r="12" spans="1:16" ht="15" customHeight="1">
      <c r="A12" s="512" t="s">
        <v>3246</v>
      </c>
      <c r="B12" s="684" t="s">
        <v>729</v>
      </c>
      <c r="C12" s="685" t="s">
        <v>2633</v>
      </c>
      <c r="D12" s="686">
        <v>0</v>
      </c>
      <c r="E12" s="686">
        <f t="shared" si="0"/>
        <v>0</v>
      </c>
      <c r="F12" s="452" t="s">
        <v>232</v>
      </c>
      <c r="G12" s="687" t="str">
        <f t="shared" si="3"/>
        <v>.</v>
      </c>
      <c r="H12" s="696" t="s">
        <v>232</v>
      </c>
      <c r="I12" s="424" t="str">
        <f t="shared" si="1"/>
        <v>.</v>
      </c>
      <c r="J12" s="512" t="s">
        <v>232</v>
      </c>
      <c r="K12" s="688" t="str">
        <f t="shared" si="2"/>
        <v>no price, 0 count</v>
      </c>
      <c r="L12" s="310">
        <f>SUMIFS('Bilateral assistance, MAIN DATA'!M:M,'Bilateral assistance, MAIN DATA'!I:I,'Price List, Weapons &amp; Items'!A12)</f>
        <v>0</v>
      </c>
      <c r="M12" s="46">
        <f>COUNTIFS('Bilateral assistance, MAIN DATA'!M:M,"undisclosed",'Bilateral assistance, MAIN DATA'!I:I,'Price List, Weapons &amp; Items'!A12)</f>
        <v>0</v>
      </c>
      <c r="N12" s="689" t="str">
        <f t="shared" si="4"/>
        <v>no price</v>
      </c>
      <c r="O12" s="1">
        <f>IFERROR(IF(SEARCH(A12,_xlfn.ARRAYTOTEXT('Bilateral assistance, MAIN DATA'!I$1:I$1408))&gt;0,1,""),0)</f>
        <v>1</v>
      </c>
      <c r="P12" s="46">
        <f>IFERROR(IF(SEARCH(A12,_xlfn.ARRAYTOTEXT('Commercial assistance'!I$1:I$1400))&gt;0,1,""),0)</f>
        <v>0</v>
      </c>
    </row>
    <row r="13" spans="1:16" ht="15" customHeight="1">
      <c r="A13" s="587" t="s">
        <v>3247</v>
      </c>
      <c r="B13" s="684" t="s">
        <v>3235</v>
      </c>
      <c r="C13" s="685" t="s">
        <v>3236</v>
      </c>
      <c r="D13" s="686">
        <v>0</v>
      </c>
      <c r="E13" s="686">
        <f t="shared" si="0"/>
        <v>1</v>
      </c>
      <c r="F13" s="452" t="s">
        <v>232</v>
      </c>
      <c r="G13" s="687" t="str">
        <f t="shared" si="3"/>
        <v>.</v>
      </c>
      <c r="H13" s="696" t="s">
        <v>232</v>
      </c>
      <c r="I13" s="424" t="str">
        <f t="shared" si="1"/>
        <v>.</v>
      </c>
      <c r="J13" s="512" t="s">
        <v>232</v>
      </c>
      <c r="K13" s="688" t="str">
        <f t="shared" si="2"/>
        <v>no price, 0 count</v>
      </c>
      <c r="L13" s="310">
        <f>SUMIFS('Bilateral assistance, MAIN DATA'!M:M,'Bilateral assistance, MAIN DATA'!I:I,'Price List, Weapons &amp; Items'!A13)</f>
        <v>0</v>
      </c>
      <c r="M13" s="46">
        <f>COUNTIFS('Bilateral assistance, MAIN DATA'!M:M,"undisclosed",'Bilateral assistance, MAIN DATA'!I:I,'Price List, Weapons &amp; Items'!A13)</f>
        <v>0</v>
      </c>
      <c r="N13" s="689" t="str">
        <f t="shared" si="4"/>
        <v>no price</v>
      </c>
      <c r="O13" s="1">
        <f>IFERROR(IF(SEARCH(A13,_xlfn.ARRAYTOTEXT('Bilateral assistance, MAIN DATA'!I$1:I$1408))&gt;0,1,""),0)</f>
        <v>1</v>
      </c>
      <c r="P13" s="46">
        <f>IFERROR(IF(SEARCH(A13,_xlfn.ARRAYTOTEXT('Commercial assistance'!I$1:I$1400))&gt;0,1,""),0)</f>
        <v>0</v>
      </c>
    </row>
    <row r="14" spans="1:16" ht="15" customHeight="1">
      <c r="A14" s="512" t="s">
        <v>303</v>
      </c>
      <c r="B14" s="684" t="s">
        <v>729</v>
      </c>
      <c r="C14" s="685" t="s">
        <v>232</v>
      </c>
      <c r="D14" s="552">
        <v>0</v>
      </c>
      <c r="E14" s="686">
        <f t="shared" si="0"/>
        <v>0</v>
      </c>
      <c r="F14" s="452" t="s">
        <v>232</v>
      </c>
      <c r="G14" s="687" t="str">
        <f t="shared" si="3"/>
        <v>.</v>
      </c>
      <c r="H14" s="696" t="s">
        <v>232</v>
      </c>
      <c r="I14" s="424" t="str">
        <f t="shared" si="1"/>
        <v>.</v>
      </c>
      <c r="J14" s="512" t="s">
        <v>232</v>
      </c>
      <c r="K14" s="688" t="str">
        <f t="shared" si="2"/>
        <v>no price, 0 count</v>
      </c>
      <c r="L14" s="310">
        <f>SUMIFS('Bilateral assistance, MAIN DATA'!M:M,'Bilateral assistance, MAIN DATA'!I:I,'Price List, Weapons &amp; Items'!A14)</f>
        <v>0</v>
      </c>
      <c r="M14" s="46">
        <f>COUNTIFS('Bilateral assistance, MAIN DATA'!M:M,"undisclosed",'Bilateral assistance, MAIN DATA'!I:I,'Price List, Weapons &amp; Items'!A14)</f>
        <v>0</v>
      </c>
      <c r="N14" s="689" t="str">
        <f t="shared" si="4"/>
        <v>no price</v>
      </c>
      <c r="O14" s="1">
        <f>IFERROR(IF(SEARCH(A14,_xlfn.ARRAYTOTEXT('Bilateral assistance, MAIN DATA'!I$1:I$1408))&gt;0,1,""),0)</f>
        <v>1</v>
      </c>
      <c r="P14" s="46">
        <f>IFERROR(IF(SEARCH(A14,_xlfn.ARRAYTOTEXT('Commercial assistance'!I$1:I$1400))&gt;0,1,""),0)</f>
        <v>0</v>
      </c>
    </row>
    <row r="15" spans="1:16" ht="15" customHeight="1">
      <c r="A15" s="512" t="s">
        <v>539</v>
      </c>
      <c r="B15" s="684" t="s">
        <v>3248</v>
      </c>
      <c r="C15" s="685" t="s">
        <v>3244</v>
      </c>
      <c r="D15" s="552">
        <v>0</v>
      </c>
      <c r="E15" s="686">
        <f t="shared" si="0"/>
        <v>0</v>
      </c>
      <c r="F15" s="452" t="s">
        <v>232</v>
      </c>
      <c r="G15" s="687" t="str">
        <f t="shared" si="3"/>
        <v>.</v>
      </c>
      <c r="H15" s="692" t="s">
        <v>232</v>
      </c>
      <c r="I15" s="424" t="str">
        <f t="shared" si="1"/>
        <v>.</v>
      </c>
      <c r="J15" s="424" t="s">
        <v>232</v>
      </c>
      <c r="K15" s="688" t="str">
        <f t="shared" si="2"/>
        <v>no price, 0 count</v>
      </c>
      <c r="L15" s="310">
        <f>SUMIFS('Bilateral assistance, MAIN DATA'!M:M,'Bilateral assistance, MAIN DATA'!I:I,'Price List, Weapons &amp; Items'!A15)</f>
        <v>0</v>
      </c>
      <c r="M15" s="46">
        <f>COUNTIFS('Bilateral assistance, MAIN DATA'!M:M,"undisclosed",'Bilateral assistance, MAIN DATA'!I:I,'Price List, Weapons &amp; Items'!A15)</f>
        <v>0</v>
      </c>
      <c r="N15" s="689" t="str">
        <f t="shared" si="4"/>
        <v>no price</v>
      </c>
      <c r="O15" s="1">
        <f>IFERROR(IF(SEARCH(A15,_xlfn.ARRAYTOTEXT('Bilateral assistance, MAIN DATA'!I$1:I$1408))&gt;0,1,""),0)</f>
        <v>1</v>
      </c>
      <c r="P15" s="46">
        <f>IFERROR(IF(SEARCH(A15,_xlfn.ARRAYTOTEXT('Commercial assistance'!I$1:I$1400))&gt;0,1,""),0)</f>
        <v>0</v>
      </c>
    </row>
    <row r="16" spans="1:16" ht="15" customHeight="1">
      <c r="A16" s="512" t="s">
        <v>302</v>
      </c>
      <c r="B16" s="684" t="s">
        <v>729</v>
      </c>
      <c r="C16" s="685" t="s">
        <v>232</v>
      </c>
      <c r="D16" s="552">
        <v>0</v>
      </c>
      <c r="E16" s="686">
        <f t="shared" si="0"/>
        <v>0</v>
      </c>
      <c r="F16" s="452" t="s">
        <v>232</v>
      </c>
      <c r="G16" s="88" t="s">
        <v>314</v>
      </c>
      <c r="H16" s="692" t="s">
        <v>232</v>
      </c>
      <c r="I16" s="692" t="s">
        <v>232</v>
      </c>
      <c r="J16" s="424" t="s">
        <v>232</v>
      </c>
      <c r="K16" s="688" t="str">
        <f t="shared" si="2"/>
        <v>no price, 0 count</v>
      </c>
      <c r="L16" s="310">
        <f>SUMIFS('Bilateral assistance, MAIN DATA'!M:M,'Bilateral assistance, MAIN DATA'!I:I,'Price List, Weapons &amp; Items'!A16)</f>
        <v>0</v>
      </c>
      <c r="M16" s="46">
        <f>COUNTIFS('Bilateral assistance, MAIN DATA'!M:M,"undisclosed",'Bilateral assistance, MAIN DATA'!I:I,'Price List, Weapons &amp; Items'!A16)</f>
        <v>0</v>
      </c>
      <c r="N16" s="689" t="str">
        <f t="shared" si="4"/>
        <v>no price</v>
      </c>
      <c r="O16" s="1">
        <f>IFERROR(IF(SEARCH(A16,_xlfn.ARRAYTOTEXT('Bilateral assistance, MAIN DATA'!I$1:I$1408))&gt;0,1,""),0)</f>
        <v>1</v>
      </c>
      <c r="P16" s="46">
        <f>IFERROR(IF(SEARCH(A16,_xlfn.ARRAYTOTEXT('Commercial assistance'!I$1:I$1400))&gt;0,1,""),0)</f>
        <v>0</v>
      </c>
    </row>
    <row r="17" spans="1:16" ht="15" customHeight="1">
      <c r="A17" s="697" t="s">
        <v>1538</v>
      </c>
      <c r="B17" s="684" t="s">
        <v>3249</v>
      </c>
      <c r="C17" s="685" t="s">
        <v>2633</v>
      </c>
      <c r="D17" s="552">
        <v>0</v>
      </c>
      <c r="E17" s="686">
        <f t="shared" si="0"/>
        <v>0</v>
      </c>
      <c r="F17" s="452">
        <f>(0.24*218800000)*VLOOKUP("USD",'Exchange rates'!B:C,2,0)</f>
        <v>52695792</v>
      </c>
      <c r="G17" s="88" t="s">
        <v>314</v>
      </c>
      <c r="H17" s="692" t="s">
        <v>232</v>
      </c>
      <c r="I17" s="692" t="s">
        <v>232</v>
      </c>
      <c r="J17" s="692" t="s">
        <v>3250</v>
      </c>
      <c r="K17" s="688" t="str">
        <f t="shared" si="2"/>
        <v>no price, 0 count</v>
      </c>
      <c r="L17" s="310">
        <f>SUMIFS('Bilateral assistance, MAIN DATA'!M:M,'Bilateral assistance, MAIN DATA'!I:I,'Price List, Weapons &amp; Items'!A17)</f>
        <v>0</v>
      </c>
      <c r="M17" s="46">
        <f>COUNTIFS('Bilateral assistance, MAIN DATA'!M:M,"undisclosed",'Bilateral assistance, MAIN DATA'!I:I,'Price List, Weapons &amp; Items'!A17)</f>
        <v>0</v>
      </c>
      <c r="N17" s="689">
        <f t="shared" si="4"/>
        <v>0</v>
      </c>
      <c r="O17" s="1">
        <f>IFERROR(IF(SEARCH(A17,_xlfn.ARRAYTOTEXT('Bilateral assistance, MAIN DATA'!I$1:I$1408))&gt;0,1,""),0)</f>
        <v>1</v>
      </c>
      <c r="P17" s="46">
        <f>IFERROR(IF(SEARCH(A17,_xlfn.ARRAYTOTEXT('Commercial assistance'!I$1:I$1400))&gt;0,1,""),0)</f>
        <v>0</v>
      </c>
    </row>
    <row r="18" spans="1:16" ht="15" customHeight="1">
      <c r="A18" s="697" t="s">
        <v>3251</v>
      </c>
      <c r="B18" s="684" t="s">
        <v>3239</v>
      </c>
      <c r="C18" s="685" t="s">
        <v>3252</v>
      </c>
      <c r="D18" s="686">
        <v>0</v>
      </c>
      <c r="E18" s="686">
        <f t="shared" si="0"/>
        <v>1</v>
      </c>
      <c r="F18" s="452">
        <v>743989.18081292231</v>
      </c>
      <c r="G18" s="687" t="str">
        <f>IF(F18&lt;&gt;".","USD",".")</f>
        <v>USD</v>
      </c>
      <c r="H18" s="651" t="s">
        <v>3253</v>
      </c>
      <c r="I18" s="424" t="s">
        <v>3254</v>
      </c>
      <c r="J18" s="698" t="s">
        <v>3255</v>
      </c>
      <c r="K18" s="688" t="str">
        <f t="shared" si="2"/>
        <v>no price, 0 count</v>
      </c>
      <c r="L18" s="310">
        <f>SUMIFS('Bilateral assistance, MAIN DATA'!M:M,'Bilateral assistance, MAIN DATA'!I:I,'Price List, Weapons &amp; Items'!A18)</f>
        <v>0</v>
      </c>
      <c r="M18" s="46">
        <f>COUNTIFS('Bilateral assistance, MAIN DATA'!M:M,"undisclosed",'Bilateral assistance, MAIN DATA'!I:I,'Price List, Weapons &amp; Items'!A18)</f>
        <v>0</v>
      </c>
      <c r="N18" s="689">
        <f t="shared" si="4"/>
        <v>0</v>
      </c>
      <c r="O18" s="1">
        <f>IFERROR(IF(SEARCH(A18,_xlfn.ARRAYTOTEXT('Bilateral assistance, MAIN DATA'!I$1:I$1408))&gt;0,1,""),0)</f>
        <v>1</v>
      </c>
      <c r="P18" s="46">
        <f>IFERROR(IF(SEARCH(A18,_xlfn.ARRAYTOTEXT('Commercial assistance'!I$1:I$1400))&gt;0,1,""),0)</f>
        <v>0</v>
      </c>
    </row>
    <row r="19" spans="1:16" ht="15" customHeight="1">
      <c r="A19" s="424" t="s">
        <v>3256</v>
      </c>
      <c r="B19" s="684" t="s">
        <v>3239</v>
      </c>
      <c r="C19" s="685" t="s">
        <v>3257</v>
      </c>
      <c r="D19" s="686">
        <v>1</v>
      </c>
      <c r="E19" s="686">
        <f t="shared" si="0"/>
        <v>1</v>
      </c>
      <c r="F19" s="452">
        <v>593000</v>
      </c>
      <c r="G19" s="687" t="str">
        <f>IF(F19&lt;&gt;".","USD",".")</f>
        <v>USD</v>
      </c>
      <c r="H19" s="653" t="s">
        <v>3258</v>
      </c>
      <c r="I19" s="424" t="s">
        <v>3259</v>
      </c>
      <c r="J19" s="424" t="s">
        <v>3260</v>
      </c>
      <c r="K19" s="688" t="str">
        <f t="shared" si="2"/>
        <v>no price, 0 count</v>
      </c>
      <c r="L19" s="310">
        <f>SUMIFS('Bilateral assistance, MAIN DATA'!M:M,'Bilateral assistance, MAIN DATA'!I:I,'Price List, Weapons &amp; Items'!A19)</f>
        <v>0</v>
      </c>
      <c r="M19" s="46">
        <f>COUNTIFS('Bilateral assistance, MAIN DATA'!M:M,"undisclosed",'Bilateral assistance, MAIN DATA'!I:I,'Price List, Weapons &amp; Items'!A19)</f>
        <v>0</v>
      </c>
      <c r="N19" s="689">
        <f t="shared" si="4"/>
        <v>0</v>
      </c>
      <c r="O19" s="1">
        <f>IFERROR(IF(SEARCH(A19,_xlfn.ARRAYTOTEXT('Bilateral assistance, MAIN DATA'!I$1:I$1408))&gt;0,1,""),0)</f>
        <v>1</v>
      </c>
      <c r="P19" s="46">
        <f>IFERROR(IF(SEARCH(A19,_xlfn.ARRAYTOTEXT('Commercial assistance'!I$1:I$1400))&gt;0,1,""),0)</f>
        <v>0</v>
      </c>
    </row>
    <row r="20" spans="1:16" ht="15" customHeight="1">
      <c r="A20" s="424" t="s">
        <v>2972</v>
      </c>
      <c r="B20" s="684" t="s">
        <v>3249</v>
      </c>
      <c r="C20" s="685" t="s">
        <v>3261</v>
      </c>
      <c r="D20" s="552">
        <v>0</v>
      </c>
      <c r="E20" s="686">
        <f t="shared" si="0"/>
        <v>0</v>
      </c>
      <c r="F20" s="452">
        <v>170000</v>
      </c>
      <c r="G20" s="687" t="str">
        <f>IF(F20&lt;&gt;".","USD",".")</f>
        <v>USD</v>
      </c>
      <c r="H20" s="652" t="s">
        <v>2974</v>
      </c>
      <c r="I20" s="424" t="s">
        <v>3262</v>
      </c>
      <c r="J20" s="424" t="s">
        <v>3263</v>
      </c>
      <c r="K20" s="688" t="str">
        <f t="shared" si="2"/>
        <v>no price, 0 count</v>
      </c>
      <c r="L20" s="310">
        <f>SUMIFS('Bilateral assistance, MAIN DATA'!M:M,'Bilateral assistance, MAIN DATA'!I:I,'Price List, Weapons &amp; Items'!A20)</f>
        <v>0</v>
      </c>
      <c r="M20" s="46">
        <f>COUNTIFS('Bilateral assistance, MAIN DATA'!M:M,"undisclosed",'Bilateral assistance, MAIN DATA'!I:I,'Price List, Weapons &amp; Items'!A20)</f>
        <v>0</v>
      </c>
      <c r="N20" s="689">
        <f t="shared" si="4"/>
        <v>0</v>
      </c>
      <c r="O20" s="1">
        <f>IFERROR(IF(SEARCH(A20,_xlfn.ARRAYTOTEXT('Bilateral assistance, MAIN DATA'!I$1:I$1408))&gt;0,1,""),0)</f>
        <v>0</v>
      </c>
      <c r="P20" s="46">
        <f>IFERROR(IF(SEARCH(A20,_xlfn.ARRAYTOTEXT('Commercial assistance'!I$1:I$1400))&gt;0,1,""),0)</f>
        <v>1</v>
      </c>
    </row>
    <row r="21" spans="1:16" ht="15" customHeight="1">
      <c r="A21" s="691" t="s">
        <v>3264</v>
      </c>
      <c r="B21" s="684" t="s">
        <v>729</v>
      </c>
      <c r="C21" s="685" t="s">
        <v>232</v>
      </c>
      <c r="D21" s="552">
        <v>0</v>
      </c>
      <c r="E21" s="686">
        <f t="shared" si="0"/>
        <v>0</v>
      </c>
      <c r="F21" s="452">
        <v>11.99</v>
      </c>
      <c r="G21" s="687" t="str">
        <f>IF(F21&lt;&gt;".","USD",".")</f>
        <v>USD</v>
      </c>
      <c r="H21" s="653" t="s">
        <v>3265</v>
      </c>
      <c r="I21" s="424" t="s">
        <v>3266</v>
      </c>
      <c r="J21" s="424" t="s">
        <v>3267</v>
      </c>
      <c r="K21" s="688" t="str">
        <f t="shared" si="2"/>
        <v>no price, 0 count</v>
      </c>
      <c r="L21" s="310">
        <f>SUMIFS('Bilateral assistance, MAIN DATA'!M:M,'Bilateral assistance, MAIN DATA'!I:I,'Price List, Weapons &amp; Items'!A21)</f>
        <v>0</v>
      </c>
      <c r="M21" s="46">
        <f>COUNTIFS('Bilateral assistance, MAIN DATA'!M:M,"undisclosed",'Bilateral assistance, MAIN DATA'!I:I,'Price List, Weapons &amp; Items'!A21)</f>
        <v>0</v>
      </c>
      <c r="N21" s="689">
        <f t="shared" si="4"/>
        <v>0</v>
      </c>
      <c r="O21" s="1">
        <f>IFERROR(IF(SEARCH(A21,_xlfn.ARRAYTOTEXT('Bilateral assistance, MAIN DATA'!I$1:I$1408))&gt;0,1,""),0)</f>
        <v>1</v>
      </c>
      <c r="P21" s="46">
        <f>IFERROR(IF(SEARCH(A21,_xlfn.ARRAYTOTEXT('Commercial assistance'!I$1:I$1400))&gt;0,1,""),0)</f>
        <v>0</v>
      </c>
    </row>
    <row r="22" spans="1:16" ht="15" customHeight="1">
      <c r="A22" s="699" t="s">
        <v>414</v>
      </c>
      <c r="B22" s="684" t="s">
        <v>3248</v>
      </c>
      <c r="C22" s="685" t="s">
        <v>3268</v>
      </c>
      <c r="D22" s="686">
        <v>0</v>
      </c>
      <c r="E22" s="552">
        <f t="shared" si="0"/>
        <v>0</v>
      </c>
      <c r="F22" s="452">
        <v>5300</v>
      </c>
      <c r="G22" s="687" t="str">
        <f>IF(F22&lt;&gt;".","USD",".")</f>
        <v>USD</v>
      </c>
      <c r="H22" s="653" t="s">
        <v>3269</v>
      </c>
      <c r="I22" s="424" t="s">
        <v>3270</v>
      </c>
      <c r="J22" s="424" t="s">
        <v>3271</v>
      </c>
      <c r="K22" s="688" t="str">
        <f t="shared" si="2"/>
        <v>no price, 0 count</v>
      </c>
      <c r="L22" s="310">
        <f>SUMIFS('Bilateral assistance, MAIN DATA'!M:M,'Bilateral assistance, MAIN DATA'!I:I,'Price List, Weapons &amp; Items'!A22)</f>
        <v>0</v>
      </c>
      <c r="M22" s="46">
        <f>COUNTIFS('Bilateral assistance, MAIN DATA'!M:M,"undisclosed",'Bilateral assistance, MAIN DATA'!I:I,'Price List, Weapons &amp; Items'!A22)</f>
        <v>0</v>
      </c>
      <c r="N22" s="689">
        <f t="shared" si="4"/>
        <v>0</v>
      </c>
      <c r="O22" s="1">
        <f>IFERROR(IF(SEARCH(A22,_xlfn.ARRAYTOTEXT('Bilateral assistance, MAIN DATA'!I$1:I$1408))&gt;0,1,""),0)</f>
        <v>1</v>
      </c>
      <c r="P22" s="46">
        <f>IFERROR(IF(SEARCH(A22,_xlfn.ARRAYTOTEXT('Commercial assistance'!I$1:I$1400))&gt;0,1,""),0)</f>
        <v>0</v>
      </c>
    </row>
    <row r="23" spans="1:16" ht="15" customHeight="1">
      <c r="A23" s="424" t="s">
        <v>3272</v>
      </c>
      <c r="B23" s="684" t="s">
        <v>418</v>
      </c>
      <c r="C23" s="685" t="s">
        <v>232</v>
      </c>
      <c r="D23" s="552">
        <v>0</v>
      </c>
      <c r="E23" s="552">
        <f t="shared" si="0"/>
        <v>0</v>
      </c>
      <c r="F23" s="452" t="s">
        <v>232</v>
      </c>
      <c r="G23" s="88" t="s">
        <v>232</v>
      </c>
      <c r="H23" s="692" t="s">
        <v>232</v>
      </c>
      <c r="I23" s="692" t="s">
        <v>232</v>
      </c>
      <c r="J23" s="424" t="s">
        <v>232</v>
      </c>
      <c r="K23" s="688" t="str">
        <f t="shared" si="2"/>
        <v>no price, 0 count</v>
      </c>
      <c r="L23" s="310">
        <f>SUMIFS('Bilateral assistance, MAIN DATA'!M:M,'Bilateral assistance, MAIN DATA'!I:I,'Price List, Weapons &amp; Items'!A23)</f>
        <v>0</v>
      </c>
      <c r="M23" s="46">
        <f>COUNTIFS('Bilateral assistance, MAIN DATA'!M:M,"undisclosed",'Bilateral assistance, MAIN DATA'!I:I,'Price List, Weapons &amp; Items'!A23)</f>
        <v>0</v>
      </c>
      <c r="N23" s="689" t="str">
        <f t="shared" si="4"/>
        <v>no price</v>
      </c>
      <c r="O23" s="1">
        <f>IFERROR(IF(SEARCH(A23,_xlfn.ARRAYTOTEXT('Bilateral assistance, MAIN DATA'!I$1:I$1408))&gt;0,1,""),0)</f>
        <v>1</v>
      </c>
      <c r="P23" s="46">
        <f>IFERROR(IF(SEARCH(A23,_xlfn.ARRAYTOTEXT('Commercial assistance'!I$1:I$1400))&gt;0,1,""),0)</f>
        <v>0</v>
      </c>
    </row>
    <row r="24" spans="1:16" ht="15" customHeight="1">
      <c r="A24" s="424" t="s">
        <v>421</v>
      </c>
      <c r="B24" s="684" t="s">
        <v>729</v>
      </c>
      <c r="C24" s="685" t="s">
        <v>3273</v>
      </c>
      <c r="D24" s="552">
        <v>0</v>
      </c>
      <c r="E24" s="552">
        <f t="shared" si="0"/>
        <v>0</v>
      </c>
      <c r="F24" s="452" t="s">
        <v>232</v>
      </c>
      <c r="G24" s="88" t="s">
        <v>232</v>
      </c>
      <c r="H24" s="692" t="s">
        <v>232</v>
      </c>
      <c r="I24" s="692" t="s">
        <v>232</v>
      </c>
      <c r="J24" s="424" t="s">
        <v>232</v>
      </c>
      <c r="K24" s="688" t="str">
        <f t="shared" si="2"/>
        <v>no price, 0 count</v>
      </c>
      <c r="L24" s="310">
        <f>SUMIFS('Bilateral assistance, MAIN DATA'!M:M,'Bilateral assistance, MAIN DATA'!I:I,'Price List, Weapons &amp; Items'!A24)</f>
        <v>0</v>
      </c>
      <c r="M24" s="46">
        <f>COUNTIFS('Bilateral assistance, MAIN DATA'!M:M,"undisclosed",'Bilateral assistance, MAIN DATA'!I:I,'Price List, Weapons &amp; Items'!A24)</f>
        <v>0</v>
      </c>
      <c r="N24" s="689" t="str">
        <f t="shared" si="4"/>
        <v>no price</v>
      </c>
      <c r="O24" s="1">
        <f>IFERROR(IF(SEARCH(A24,_xlfn.ARRAYTOTEXT('Bilateral assistance, MAIN DATA'!I$1:I$1408))&gt;0,1,""),0)</f>
        <v>1</v>
      </c>
      <c r="P24" s="46">
        <f>IFERROR(IF(SEARCH(A24,_xlfn.ARRAYTOTEXT('Commercial assistance'!I$1:I$1400))&gt;0,1,""),0)</f>
        <v>0</v>
      </c>
    </row>
    <row r="25" spans="1:16" ht="15" customHeight="1">
      <c r="A25" s="512" t="s">
        <v>3274</v>
      </c>
      <c r="B25" s="684" t="s">
        <v>3248</v>
      </c>
      <c r="C25" s="685" t="s">
        <v>3275</v>
      </c>
      <c r="D25" s="686">
        <v>0</v>
      </c>
      <c r="E25" s="552">
        <f t="shared" si="0"/>
        <v>0</v>
      </c>
      <c r="F25" s="452">
        <v>223.15</v>
      </c>
      <c r="G25" s="687" t="str">
        <f>IF(F25&lt;&gt;".","USD",".")</f>
        <v>USD</v>
      </c>
      <c r="H25" s="653" t="s">
        <v>3276</v>
      </c>
      <c r="I25" s="424" t="s">
        <v>3270</v>
      </c>
      <c r="J25" s="424" t="s">
        <v>3277</v>
      </c>
      <c r="K25" s="688" t="str">
        <f t="shared" si="2"/>
        <v>no price, 0 count</v>
      </c>
      <c r="L25" s="310">
        <f>SUMIFS('Bilateral assistance, MAIN DATA'!M:M,'Bilateral assistance, MAIN DATA'!I:I,'Price List, Weapons &amp; Items'!A25)</f>
        <v>0</v>
      </c>
      <c r="M25" s="46">
        <f>COUNTIFS('Bilateral assistance, MAIN DATA'!M:M,"undisclosed",'Bilateral assistance, MAIN DATA'!I:I,'Price List, Weapons &amp; Items'!A25)</f>
        <v>0</v>
      </c>
      <c r="N25" s="689">
        <f t="shared" si="4"/>
        <v>0</v>
      </c>
      <c r="O25" s="1">
        <f>IFERROR(IF(SEARCH(A25,_xlfn.ARRAYTOTEXT('Bilateral assistance, MAIN DATA'!I$1:I$1408))&gt;0,1,""),0)</f>
        <v>1</v>
      </c>
      <c r="P25" s="46">
        <f>IFERROR(IF(SEARCH(A25,_xlfn.ARRAYTOTEXT('Commercial assistance'!I$1:I$1400))&gt;0,1,""),0)</f>
        <v>0</v>
      </c>
    </row>
    <row r="26" spans="1:16" ht="15" customHeight="1">
      <c r="A26" s="512" t="s">
        <v>2683</v>
      </c>
      <c r="B26" s="684" t="s">
        <v>729</v>
      </c>
      <c r="C26" s="685" t="s">
        <v>232</v>
      </c>
      <c r="D26" s="686">
        <v>0</v>
      </c>
      <c r="E26" s="552">
        <f t="shared" si="0"/>
        <v>0</v>
      </c>
      <c r="F26" s="452">
        <v>90</v>
      </c>
      <c r="G26" s="687" t="str">
        <f>IF(F26&lt;&gt;".","USD",".")</f>
        <v>USD</v>
      </c>
      <c r="H26" s="652" t="s">
        <v>3278</v>
      </c>
      <c r="I26" s="424" t="s">
        <v>3259</v>
      </c>
      <c r="J26" s="424" t="s">
        <v>3279</v>
      </c>
      <c r="K26" s="688" t="str">
        <f t="shared" si="2"/>
        <v>no price, 0 count</v>
      </c>
      <c r="L26" s="310">
        <f>SUMIFS('Bilateral assistance, MAIN DATA'!M:M,'Bilateral assistance, MAIN DATA'!I:I,'Price List, Weapons &amp; Items'!A26)</f>
        <v>0</v>
      </c>
      <c r="M26" s="46">
        <f>COUNTIFS('Bilateral assistance, MAIN DATA'!M:M,"undisclosed",'Bilateral assistance, MAIN DATA'!I:I,'Price List, Weapons &amp; Items'!A26)</f>
        <v>0</v>
      </c>
      <c r="N26" s="689">
        <f t="shared" si="4"/>
        <v>0</v>
      </c>
      <c r="O26" s="1">
        <f>IFERROR(IF(SEARCH(A26,_xlfn.ARRAYTOTEXT('Bilateral assistance, MAIN DATA'!I$1:I$1408))&gt;0,1,""),0)</f>
        <v>1</v>
      </c>
      <c r="P26" s="46">
        <f>IFERROR(IF(SEARCH(A26,_xlfn.ARRAYTOTEXT('Commercial assistance'!I$1:I$1400))&gt;0,1,""),0)</f>
        <v>0</v>
      </c>
    </row>
    <row r="27" spans="1:16" ht="15" customHeight="1">
      <c r="A27" s="699" t="s">
        <v>2696</v>
      </c>
      <c r="B27" s="684" t="s">
        <v>729</v>
      </c>
      <c r="C27" s="685" t="s">
        <v>232</v>
      </c>
      <c r="D27" s="552">
        <v>0</v>
      </c>
      <c r="E27" s="552">
        <f t="shared" si="0"/>
        <v>0</v>
      </c>
      <c r="F27" s="452" t="s">
        <v>232</v>
      </c>
      <c r="G27" s="88" t="s">
        <v>314</v>
      </c>
      <c r="H27" s="692" t="s">
        <v>232</v>
      </c>
      <c r="I27" s="692" t="s">
        <v>232</v>
      </c>
      <c r="J27" s="424" t="s">
        <v>232</v>
      </c>
      <c r="K27" s="688" t="str">
        <f t="shared" si="2"/>
        <v>no price, 0 count</v>
      </c>
      <c r="L27" s="310">
        <f>SUMIFS('Bilateral assistance, MAIN DATA'!M:M,'Bilateral assistance, MAIN DATA'!I:I,'Price List, Weapons &amp; Items'!A27)</f>
        <v>0</v>
      </c>
      <c r="M27" s="46">
        <f>COUNTIFS('Bilateral assistance, MAIN DATA'!M:M,"undisclosed",'Bilateral assistance, MAIN DATA'!I:I,'Price List, Weapons &amp; Items'!A27)</f>
        <v>0</v>
      </c>
      <c r="N27" s="689" t="str">
        <f t="shared" si="4"/>
        <v>no price</v>
      </c>
      <c r="O27" s="1">
        <f>IFERROR(IF(SEARCH(A27,_xlfn.ARRAYTOTEXT('Bilateral assistance, MAIN DATA'!I$1:I$1408))&gt;0,1,""),0)</f>
        <v>1</v>
      </c>
      <c r="P27" s="46">
        <f>IFERROR(IF(SEARCH(A27,_xlfn.ARRAYTOTEXT('Commercial assistance'!I$1:I$1400))&gt;0,1,""),0)</f>
        <v>0</v>
      </c>
    </row>
    <row r="28" spans="1:16" ht="15" customHeight="1">
      <c r="A28" s="424" t="s">
        <v>2707</v>
      </c>
      <c r="B28" s="684" t="s">
        <v>729</v>
      </c>
      <c r="C28" s="685" t="s">
        <v>232</v>
      </c>
      <c r="D28" s="552">
        <v>0</v>
      </c>
      <c r="E28" s="552">
        <f t="shared" si="0"/>
        <v>0</v>
      </c>
      <c r="F28" s="452" t="s">
        <v>232</v>
      </c>
      <c r="G28" s="88" t="s">
        <v>232</v>
      </c>
      <c r="H28" s="692" t="s">
        <v>232</v>
      </c>
      <c r="I28" s="692" t="s">
        <v>232</v>
      </c>
      <c r="J28" s="424" t="s">
        <v>232</v>
      </c>
      <c r="K28" s="688" t="str">
        <f t="shared" si="2"/>
        <v>no price, 0 count</v>
      </c>
      <c r="L28" s="310">
        <f>SUMIFS('Bilateral assistance, MAIN DATA'!M:M,'Bilateral assistance, MAIN DATA'!I:I,'Price List, Weapons &amp; Items'!A28)</f>
        <v>0</v>
      </c>
      <c r="M28" s="46">
        <f>COUNTIFS('Bilateral assistance, MAIN DATA'!M:M,"undisclosed",'Bilateral assistance, MAIN DATA'!I:I,'Price List, Weapons &amp; Items'!A28)</f>
        <v>0</v>
      </c>
      <c r="N28" s="689" t="str">
        <f t="shared" si="4"/>
        <v>no price</v>
      </c>
      <c r="O28" s="1">
        <f>IFERROR(IF(SEARCH(A28,_xlfn.ARRAYTOTEXT('Bilateral assistance, MAIN DATA'!I$1:I$1408))&gt;0,1,""),0)</f>
        <v>1</v>
      </c>
      <c r="P28" s="46">
        <f>IFERROR(IF(SEARCH(A28,_xlfn.ARRAYTOTEXT('Commercial assistance'!I$1:I$1400))&gt;0,1,""),0)</f>
        <v>0</v>
      </c>
    </row>
    <row r="29" spans="1:16" ht="15" customHeight="1">
      <c r="A29" s="699" t="s">
        <v>2768</v>
      </c>
      <c r="B29" s="684" t="s">
        <v>729</v>
      </c>
      <c r="C29" s="685" t="s">
        <v>232</v>
      </c>
      <c r="D29" s="552">
        <v>0</v>
      </c>
      <c r="E29" s="552">
        <f t="shared" si="0"/>
        <v>0</v>
      </c>
      <c r="F29" s="452" t="s">
        <v>232</v>
      </c>
      <c r="G29" s="88" t="s">
        <v>232</v>
      </c>
      <c r="H29" s="692" t="s">
        <v>232</v>
      </c>
      <c r="I29" s="692" t="s">
        <v>232</v>
      </c>
      <c r="J29" s="424" t="s">
        <v>232</v>
      </c>
      <c r="K29" s="688" t="str">
        <f t="shared" si="2"/>
        <v>no price, 0 count</v>
      </c>
      <c r="L29" s="310">
        <f>SUMIFS('Bilateral assistance, MAIN DATA'!M:M,'Bilateral assistance, MAIN DATA'!I:I,'Price List, Weapons &amp; Items'!A29)</f>
        <v>0</v>
      </c>
      <c r="M29" s="46">
        <f>COUNTIFS('Bilateral assistance, MAIN DATA'!M:M,"undisclosed",'Bilateral assistance, MAIN DATA'!I:I,'Price List, Weapons &amp; Items'!A29)</f>
        <v>0</v>
      </c>
      <c r="N29" s="689" t="str">
        <f t="shared" si="4"/>
        <v>no price</v>
      </c>
      <c r="O29" s="1">
        <f>IFERROR(IF(SEARCH(A29,_xlfn.ARRAYTOTEXT('Bilateral assistance, MAIN DATA'!I$1:I$1408))&gt;0,1,""),0)</f>
        <v>1</v>
      </c>
      <c r="P29" s="46">
        <f>IFERROR(IF(SEARCH(A29,_xlfn.ARRAYTOTEXT('Commercial assistance'!I$1:I$1400))&gt;0,1,""),0)</f>
        <v>0</v>
      </c>
    </row>
    <row r="30" spans="1:16" ht="15" customHeight="1">
      <c r="A30" s="424" t="s">
        <v>3280</v>
      </c>
      <c r="B30" s="684" t="s">
        <v>3239</v>
      </c>
      <c r="C30" s="685" t="s">
        <v>3281</v>
      </c>
      <c r="D30" s="686">
        <v>0</v>
      </c>
      <c r="E30" s="552">
        <f t="shared" si="0"/>
        <v>1</v>
      </c>
      <c r="F30" s="452">
        <v>5170000</v>
      </c>
      <c r="G30" s="687" t="str">
        <f>IF(F30&lt;&gt;".","USD",".")</f>
        <v>USD</v>
      </c>
      <c r="H30" s="653" t="s">
        <v>3282</v>
      </c>
      <c r="I30" s="424" t="s">
        <v>3262</v>
      </c>
      <c r="J30" s="424" t="s">
        <v>3283</v>
      </c>
      <c r="K30" s="688" t="str">
        <f t="shared" si="2"/>
        <v>no price, 0 count</v>
      </c>
      <c r="L30" s="310">
        <f>SUMIFS('Bilateral assistance, MAIN DATA'!M:M,'Bilateral assistance, MAIN DATA'!I:I,'Price List, Weapons &amp; Items'!A30)</f>
        <v>0</v>
      </c>
      <c r="M30" s="46">
        <f>COUNTIFS('Bilateral assistance, MAIN DATA'!M:M,"undisclosed",'Bilateral assistance, MAIN DATA'!I:I,'Price List, Weapons &amp; Items'!A30)</f>
        <v>0</v>
      </c>
      <c r="N30" s="689">
        <f t="shared" si="4"/>
        <v>0</v>
      </c>
      <c r="O30" s="1">
        <f>IFERROR(IF(SEARCH(A30,_xlfn.ARRAYTOTEXT('Bilateral assistance, MAIN DATA'!I$1:I$1408))&gt;0,1,""),0)</f>
        <v>1</v>
      </c>
      <c r="P30" s="46">
        <f>IFERROR(IF(SEARCH(A30,_xlfn.ARRAYTOTEXT('Commercial assistance'!I$1:I$1400))&gt;0,1,""),0)</f>
        <v>0</v>
      </c>
    </row>
    <row r="31" spans="1:16" ht="15" customHeight="1">
      <c r="A31" s="700" t="s">
        <v>1628</v>
      </c>
      <c r="B31" s="684" t="s">
        <v>3239</v>
      </c>
      <c r="C31" s="685" t="s">
        <v>3240</v>
      </c>
      <c r="D31" s="552">
        <v>0</v>
      </c>
      <c r="E31" s="552">
        <f t="shared" si="0"/>
        <v>0</v>
      </c>
      <c r="F31" s="452" t="s">
        <v>232</v>
      </c>
      <c r="G31" s="88" t="s">
        <v>232</v>
      </c>
      <c r="H31" s="696" t="s">
        <v>232</v>
      </c>
      <c r="I31" s="692" t="s">
        <v>232</v>
      </c>
      <c r="J31" s="424" t="s">
        <v>232</v>
      </c>
      <c r="K31" s="688" t="str">
        <f t="shared" si="2"/>
        <v>no price, 0 count</v>
      </c>
      <c r="L31" s="310">
        <f>SUMIFS('Bilateral assistance, MAIN DATA'!M:M,'Bilateral assistance, MAIN DATA'!I:I,'Price List, Weapons &amp; Items'!A31)</f>
        <v>0</v>
      </c>
      <c r="M31" s="46">
        <f>COUNTIFS('Bilateral assistance, MAIN DATA'!M:M,"undisclosed",'Bilateral assistance, MAIN DATA'!I:I,'Price List, Weapons &amp; Items'!A31)</f>
        <v>0</v>
      </c>
      <c r="N31" s="689" t="str">
        <f t="shared" si="4"/>
        <v>no price</v>
      </c>
      <c r="O31" s="1">
        <f>IFERROR(IF(SEARCH(A31,_xlfn.ARRAYTOTEXT('Bilateral assistance, MAIN DATA'!I$1:I$1408))&gt;0,1,""),0)</f>
        <v>1</v>
      </c>
      <c r="P31" s="46">
        <f>IFERROR(IF(SEARCH(A31,_xlfn.ARRAYTOTEXT('Commercial assistance'!I$1:I$1400))&gt;0,1,""),0)</f>
        <v>0</v>
      </c>
    </row>
    <row r="32" spans="1:16" ht="15" customHeight="1">
      <c r="A32" s="424" t="s">
        <v>1534</v>
      </c>
      <c r="B32" s="684" t="s">
        <v>3284</v>
      </c>
      <c r="C32" s="685" t="s">
        <v>3285</v>
      </c>
      <c r="D32" s="552">
        <v>0</v>
      </c>
      <c r="E32" s="686">
        <f t="shared" si="0"/>
        <v>0</v>
      </c>
      <c r="F32" s="452">
        <f>(0.56*218800000)*VLOOKUP("USD",'Exchange rates'!B:C,2,0)</f>
        <v>122956848.00000001</v>
      </c>
      <c r="G32" s="88" t="s">
        <v>314</v>
      </c>
      <c r="H32" s="692" t="s">
        <v>232</v>
      </c>
      <c r="I32" s="692" t="s">
        <v>232</v>
      </c>
      <c r="J32" s="692" t="s">
        <v>3286</v>
      </c>
      <c r="K32" s="688" t="str">
        <f t="shared" si="2"/>
        <v>no price, 0 count</v>
      </c>
      <c r="L32" s="310">
        <f>SUMIFS('Bilateral assistance, MAIN DATA'!M:M,'Bilateral assistance, MAIN DATA'!I:I,'Price List, Weapons &amp; Items'!A32)</f>
        <v>0</v>
      </c>
      <c r="M32" s="46">
        <f>COUNTIFS('Bilateral assistance, MAIN DATA'!M:M,"undisclosed",'Bilateral assistance, MAIN DATA'!I:I,'Price List, Weapons &amp; Items'!A32)</f>
        <v>1</v>
      </c>
      <c r="N32" s="689">
        <f t="shared" si="4"/>
        <v>0</v>
      </c>
      <c r="O32" s="1">
        <f>IFERROR(IF(SEARCH(A32,_xlfn.ARRAYTOTEXT('Bilateral assistance, MAIN DATA'!I$1:I$1408))&gt;0,1,""),0)</f>
        <v>1</v>
      </c>
      <c r="P32" s="46">
        <f>IFERROR(IF(SEARCH(A32,_xlfn.ARRAYTOTEXT('Commercial assistance'!I$1:I$1400))&gt;0,1,""),0)</f>
        <v>0</v>
      </c>
    </row>
    <row r="33" spans="1:16" ht="15" customHeight="1">
      <c r="A33" s="424" t="s">
        <v>3287</v>
      </c>
      <c r="B33" s="684" t="s">
        <v>729</v>
      </c>
      <c r="C33" s="685" t="s">
        <v>3288</v>
      </c>
      <c r="D33" s="686">
        <v>0</v>
      </c>
      <c r="E33" s="686">
        <f t="shared" si="0"/>
        <v>0</v>
      </c>
      <c r="F33" s="452">
        <v>86940000</v>
      </c>
      <c r="G33" s="687" t="str">
        <f>IF(F33&lt;&gt;".","USD",".")</f>
        <v>USD</v>
      </c>
      <c r="H33" s="701" t="s">
        <v>3289</v>
      </c>
      <c r="I33" s="424" t="s">
        <v>3270</v>
      </c>
      <c r="J33" s="424" t="s">
        <v>3290</v>
      </c>
      <c r="K33" s="688" t="str">
        <f t="shared" si="2"/>
        <v>no price, 0 count</v>
      </c>
      <c r="L33" s="310">
        <f>SUMIFS('Bilateral assistance, MAIN DATA'!M:M,'Bilateral assistance, MAIN DATA'!I:I,'Price List, Weapons &amp; Items'!A33)</f>
        <v>0</v>
      </c>
      <c r="M33" s="46">
        <f>COUNTIFS('Bilateral assistance, MAIN DATA'!M:M,"undisclosed",'Bilateral assistance, MAIN DATA'!I:I,'Price List, Weapons &amp; Items'!A33)</f>
        <v>1</v>
      </c>
      <c r="N33" s="689">
        <f t="shared" si="4"/>
        <v>0</v>
      </c>
      <c r="O33" s="1">
        <f>IFERROR(IF(SEARCH(A33,_xlfn.ARRAYTOTEXT('Bilateral assistance, MAIN DATA'!I$1:I$1408))&gt;0,1,""),0)</f>
        <v>1</v>
      </c>
      <c r="P33" s="46">
        <f>IFERROR(IF(SEARCH(A33,_xlfn.ARRAYTOTEXT('Commercial assistance'!I$1:I$1400))&gt;0,1,""),0)</f>
        <v>0</v>
      </c>
    </row>
    <row r="34" spans="1:16" ht="15" customHeight="1">
      <c r="A34" s="424" t="s">
        <v>1529</v>
      </c>
      <c r="B34" s="684" t="s">
        <v>729</v>
      </c>
      <c r="C34" s="685" t="s">
        <v>232</v>
      </c>
      <c r="D34" s="552">
        <v>0</v>
      </c>
      <c r="E34" s="686">
        <f t="shared" si="0"/>
        <v>0</v>
      </c>
      <c r="F34" s="452">
        <f>(0.13*218800000)*VLOOKUP("USD",'Exchange rates'!B:C,2,0)</f>
        <v>28543554</v>
      </c>
      <c r="G34" s="88" t="s">
        <v>314</v>
      </c>
      <c r="H34" s="692" t="s">
        <v>232</v>
      </c>
      <c r="I34" s="692" t="s">
        <v>3291</v>
      </c>
      <c r="K34" s="688" t="str">
        <f t="shared" si="2"/>
        <v>no price, 0 count</v>
      </c>
      <c r="L34" s="310">
        <f>SUMIFS('Bilateral assistance, MAIN DATA'!M:M,'Bilateral assistance, MAIN DATA'!I:I,'Price List, Weapons &amp; Items'!A34)</f>
        <v>0</v>
      </c>
      <c r="M34" s="46">
        <f>COUNTIFS('Bilateral assistance, MAIN DATA'!M:M,"undisclosed",'Bilateral assistance, MAIN DATA'!I:I,'Price List, Weapons &amp; Items'!A34)</f>
        <v>1</v>
      </c>
      <c r="N34" s="689">
        <f t="shared" si="4"/>
        <v>0</v>
      </c>
      <c r="O34" s="1">
        <f>IFERROR(IF(SEARCH(A34,_xlfn.ARRAYTOTEXT('Bilateral assistance, MAIN DATA'!I$1:I$1408))&gt;0,1,""),0)</f>
        <v>1</v>
      </c>
      <c r="P34" s="46">
        <f>IFERROR(IF(SEARCH(A34,_xlfn.ARRAYTOTEXT('Commercial assistance'!I$1:I$1400))&gt;0,1,""),0)</f>
        <v>0</v>
      </c>
    </row>
    <row r="35" spans="1:16" ht="15" customHeight="1">
      <c r="A35" s="691" t="s">
        <v>3292</v>
      </c>
      <c r="B35" s="684" t="s">
        <v>3249</v>
      </c>
      <c r="C35" s="685" t="s">
        <v>3293</v>
      </c>
      <c r="D35" s="686">
        <v>0</v>
      </c>
      <c r="E35" s="686">
        <f t="shared" si="0"/>
        <v>0</v>
      </c>
      <c r="F35" s="452">
        <v>15000000</v>
      </c>
      <c r="G35" s="687" t="str">
        <f>IF(F35&lt;&gt;".","USD",".")</f>
        <v>USD</v>
      </c>
      <c r="H35" s="652" t="s">
        <v>3294</v>
      </c>
      <c r="I35" s="424" t="s">
        <v>3270</v>
      </c>
      <c r="J35" s="424" t="s">
        <v>3295</v>
      </c>
      <c r="K35" s="688" t="str">
        <f t="shared" si="2"/>
        <v>no price, 0 count</v>
      </c>
      <c r="L35" s="310">
        <f>SUMIFS('Bilateral assistance, MAIN DATA'!M:M,'Bilateral assistance, MAIN DATA'!I:I,'Price List, Weapons &amp; Items'!A35)</f>
        <v>0</v>
      </c>
      <c r="M35" s="46">
        <f>COUNTIFS('Bilateral assistance, MAIN DATA'!M:M,"undisclosed",'Bilateral assistance, MAIN DATA'!I:I,'Price List, Weapons &amp; Items'!A35)</f>
        <v>3</v>
      </c>
      <c r="N35" s="689">
        <f t="shared" si="4"/>
        <v>0</v>
      </c>
      <c r="O35" s="1">
        <f>IFERROR(IF(SEARCH(A35,_xlfn.ARRAYTOTEXT('Bilateral assistance, MAIN DATA'!I$1:I$1408))&gt;0,1,""),0)</f>
        <v>1</v>
      </c>
      <c r="P35" s="46">
        <f>IFERROR(IF(SEARCH(A35,_xlfn.ARRAYTOTEXT('Commercial assistance'!I$1:I$1400))&gt;0,1,""),0)</f>
        <v>0</v>
      </c>
    </row>
    <row r="36" spans="1:16" ht="15" customHeight="1">
      <c r="A36" s="424" t="s">
        <v>1536</v>
      </c>
      <c r="B36" s="684" t="s">
        <v>3249</v>
      </c>
      <c r="C36" s="685" t="s">
        <v>3293</v>
      </c>
      <c r="D36" s="552">
        <v>0</v>
      </c>
      <c r="E36" s="686">
        <f t="shared" si="0"/>
        <v>0</v>
      </c>
      <c r="F36" s="452">
        <f>(0.05*218800000)*VLOOKUP("USD",'Exchange rates'!B:C,2,0)</f>
        <v>10978290</v>
      </c>
      <c r="G36" s="88" t="s">
        <v>314</v>
      </c>
      <c r="H36" s="692" t="s">
        <v>232</v>
      </c>
      <c r="I36" s="692" t="s">
        <v>232</v>
      </c>
      <c r="J36" s="692" t="s">
        <v>3296</v>
      </c>
      <c r="K36" s="688" t="str">
        <f t="shared" si="2"/>
        <v>no price, 0 count</v>
      </c>
      <c r="L36" s="310">
        <f>SUMIFS('Bilateral assistance, MAIN DATA'!M:M,'Bilateral assistance, MAIN DATA'!I:I,'Price List, Weapons &amp; Items'!A36)</f>
        <v>0</v>
      </c>
      <c r="M36" s="46">
        <f>COUNTIFS('Bilateral assistance, MAIN DATA'!M:M,"undisclosed",'Bilateral assistance, MAIN DATA'!I:I,'Price List, Weapons &amp; Items'!A36)</f>
        <v>1</v>
      </c>
      <c r="N36" s="689">
        <f t="shared" si="4"/>
        <v>0</v>
      </c>
      <c r="O36" s="1">
        <f>IFERROR(IF(SEARCH(A36,_xlfn.ARRAYTOTEXT('Bilateral assistance, MAIN DATA'!I$1:I$1408))&gt;0,1,""),0)</f>
        <v>1</v>
      </c>
      <c r="P36" s="46">
        <f>IFERROR(IF(SEARCH(A36,_xlfn.ARRAYTOTEXT('Commercial assistance'!I$1:I$1400))&gt;0,1,""),0)</f>
        <v>0</v>
      </c>
    </row>
    <row r="37" spans="1:16" ht="15" customHeight="1">
      <c r="A37" s="699" t="s">
        <v>1938</v>
      </c>
      <c r="B37" s="684" t="s">
        <v>3239</v>
      </c>
      <c r="C37" s="685" t="s">
        <v>3257</v>
      </c>
      <c r="D37" s="552">
        <v>1</v>
      </c>
      <c r="E37" s="686">
        <f t="shared" si="0"/>
        <v>1</v>
      </c>
      <c r="F37" s="452">
        <v>9241922.0370000005</v>
      </c>
      <c r="G37" s="687" t="str">
        <f t="shared" ref="G37:G46" si="5">IF(F37&lt;&gt;".","USD",".")</f>
        <v>USD</v>
      </c>
      <c r="H37" s="653" t="s">
        <v>3297</v>
      </c>
      <c r="I37" s="424" t="s">
        <v>3254</v>
      </c>
      <c r="J37" s="424" t="s">
        <v>3298</v>
      </c>
      <c r="K37" s="688" t="str">
        <f t="shared" si="2"/>
        <v>no price, 0 count</v>
      </c>
      <c r="L37" s="310">
        <f>SUMIFS('Bilateral assistance, MAIN DATA'!M:M,'Bilateral assistance, MAIN DATA'!I:I,'Price List, Weapons &amp; Items'!A37)</f>
        <v>0</v>
      </c>
      <c r="M37" s="46">
        <f>COUNTIFS('Bilateral assistance, MAIN DATA'!M:M,"undisclosed",'Bilateral assistance, MAIN DATA'!I:I,'Price List, Weapons &amp; Items'!A37)</f>
        <v>1</v>
      </c>
      <c r="N37" s="689">
        <f t="shared" si="4"/>
        <v>0</v>
      </c>
      <c r="O37" s="1">
        <f>IFERROR(IF(SEARCH(A37,_xlfn.ARRAYTOTEXT('Bilateral assistance, MAIN DATA'!I$1:I$1408))&gt;0,1,""),0)</f>
        <v>1</v>
      </c>
      <c r="P37" s="46">
        <f>IFERROR(IF(SEARCH(A37,_xlfn.ARRAYTOTEXT('Commercial assistance'!I$1:I$1400))&gt;0,1,""),0)</f>
        <v>0</v>
      </c>
    </row>
    <row r="38" spans="1:16" ht="15" customHeight="1">
      <c r="A38" s="424" t="s">
        <v>3299</v>
      </c>
      <c r="B38" s="684" t="s">
        <v>3300</v>
      </c>
      <c r="C38" s="685" t="s">
        <v>3301</v>
      </c>
      <c r="D38" s="686">
        <v>0</v>
      </c>
      <c r="E38" s="686">
        <f t="shared" si="0"/>
        <v>0</v>
      </c>
      <c r="F38" s="452">
        <v>3960000</v>
      </c>
      <c r="G38" s="687" t="str">
        <f t="shared" si="5"/>
        <v>USD</v>
      </c>
      <c r="H38" s="702" t="s">
        <v>3302</v>
      </c>
      <c r="I38" s="424" t="s">
        <v>3262</v>
      </c>
      <c r="J38" s="595" t="s">
        <v>3303</v>
      </c>
      <c r="K38" s="688" t="str">
        <f t="shared" si="2"/>
        <v>no price, 0 count</v>
      </c>
      <c r="L38" s="310">
        <f>SUMIFS('Bilateral assistance, MAIN DATA'!M:M,'Bilateral assistance, MAIN DATA'!I:I,'Price List, Weapons &amp; Items'!A38)</f>
        <v>0</v>
      </c>
      <c r="M38" s="46">
        <f>COUNTIFS('Bilateral assistance, MAIN DATA'!M:M,"undisclosed",'Bilateral assistance, MAIN DATA'!I:I,'Price List, Weapons &amp; Items'!A38)</f>
        <v>1</v>
      </c>
      <c r="N38" s="689">
        <f t="shared" si="4"/>
        <v>0</v>
      </c>
      <c r="O38" s="1">
        <f>IFERROR(IF(SEARCH(A38,_xlfn.ARRAYTOTEXT('Bilateral assistance, MAIN DATA'!I$1:I$1408))&gt;0,1,""),0)</f>
        <v>1</v>
      </c>
      <c r="P38" s="46">
        <f>IFERROR(IF(SEARCH(A38,_xlfn.ARRAYTOTEXT('Commercial assistance'!I$1:I$1400))&gt;0,1,""),0)</f>
        <v>0</v>
      </c>
    </row>
    <row r="39" spans="1:16" ht="15" customHeight="1">
      <c r="A39" s="424" t="s">
        <v>1815</v>
      </c>
      <c r="B39" s="684" t="s">
        <v>3239</v>
      </c>
      <c r="C39" s="685" t="s">
        <v>3170</v>
      </c>
      <c r="D39" s="686">
        <v>0</v>
      </c>
      <c r="E39" s="686">
        <f t="shared" si="0"/>
        <v>0</v>
      </c>
      <c r="F39" s="452">
        <v>2600000</v>
      </c>
      <c r="G39" s="687" t="str">
        <f t="shared" si="5"/>
        <v>USD</v>
      </c>
      <c r="H39" s="654" t="s">
        <v>3304</v>
      </c>
      <c r="I39" s="424" t="s">
        <v>3262</v>
      </c>
      <c r="J39" s="595" t="s">
        <v>3305</v>
      </c>
      <c r="K39" s="688" t="str">
        <f t="shared" si="2"/>
        <v>no price, 0 count</v>
      </c>
      <c r="L39" s="310">
        <f>SUMIFS('Bilateral assistance, MAIN DATA'!M:M,'Bilateral assistance, MAIN DATA'!I:I,'Price List, Weapons &amp; Items'!A39)</f>
        <v>0</v>
      </c>
      <c r="M39" s="46">
        <f>COUNTIFS('Bilateral assistance, MAIN DATA'!M:M,"undisclosed",'Bilateral assistance, MAIN DATA'!I:I,'Price List, Weapons &amp; Items'!A39)</f>
        <v>1</v>
      </c>
      <c r="N39" s="689">
        <f t="shared" si="4"/>
        <v>0</v>
      </c>
      <c r="O39" s="1">
        <f>IFERROR(IF(SEARCH(A39,_xlfn.ARRAYTOTEXT('Bilateral assistance, MAIN DATA'!I$1:I$1408))&gt;0,1,""),0)</f>
        <v>1</v>
      </c>
      <c r="P39" s="46">
        <f>IFERROR(IF(SEARCH(A39,_xlfn.ARRAYTOTEXT('Commercial assistance'!I$1:I$1400))&gt;0,1,""),0)</f>
        <v>0</v>
      </c>
    </row>
    <row r="40" spans="1:16" ht="15" customHeight="1">
      <c r="A40" s="691" t="s">
        <v>2614</v>
      </c>
      <c r="B40" s="684" t="s">
        <v>3239</v>
      </c>
      <c r="C40" s="685" t="s">
        <v>3306</v>
      </c>
      <c r="D40" s="686">
        <v>0</v>
      </c>
      <c r="E40" s="686">
        <f t="shared" si="0"/>
        <v>0</v>
      </c>
      <c r="F40" s="452">
        <v>2548204.5789999999</v>
      </c>
      <c r="G40" s="687" t="str">
        <f t="shared" si="5"/>
        <v>USD</v>
      </c>
      <c r="H40" s="652" t="s">
        <v>3307</v>
      </c>
      <c r="I40" s="424" t="s">
        <v>3308</v>
      </c>
      <c r="J40" s="424" t="s">
        <v>3309</v>
      </c>
      <c r="K40" s="688" t="str">
        <f t="shared" si="2"/>
        <v>no price, 0 count</v>
      </c>
      <c r="L40" s="310">
        <f>SUMIFS('Bilateral assistance, MAIN DATA'!M:M,'Bilateral assistance, MAIN DATA'!I:I,'Price List, Weapons &amp; Items'!A40)</f>
        <v>0</v>
      </c>
      <c r="M40" s="46">
        <f>COUNTIFS('Bilateral assistance, MAIN DATA'!M:M,"undisclosed",'Bilateral assistance, MAIN DATA'!I:I,'Price List, Weapons &amp; Items'!A40)</f>
        <v>1</v>
      </c>
      <c r="N40" s="689">
        <f t="shared" si="4"/>
        <v>0</v>
      </c>
      <c r="O40" s="1">
        <f>IFERROR(IF(SEARCH(A40,_xlfn.ARRAYTOTEXT('Bilateral assistance, MAIN DATA'!I$1:I$1408))&gt;0,1,""),0)</f>
        <v>1</v>
      </c>
      <c r="P40" s="46">
        <f>IFERROR(IF(SEARCH(A40,_xlfn.ARRAYTOTEXT('Commercial assistance'!I$1:I$1400))&gt;0,1,""),0)</f>
        <v>0</v>
      </c>
    </row>
    <row r="41" spans="1:16" ht="15" customHeight="1">
      <c r="A41" s="424" t="s">
        <v>2432</v>
      </c>
      <c r="B41" s="684" t="s">
        <v>3284</v>
      </c>
      <c r="C41" s="685" t="s">
        <v>3285</v>
      </c>
      <c r="D41" s="686">
        <v>0</v>
      </c>
      <c r="E41" s="686">
        <f t="shared" si="0"/>
        <v>0</v>
      </c>
      <c r="F41" s="452">
        <v>1750000</v>
      </c>
      <c r="G41" s="687" t="str">
        <f t="shared" si="5"/>
        <v>USD</v>
      </c>
      <c r="H41" s="655" t="s">
        <v>3253</v>
      </c>
      <c r="I41" s="424" t="s">
        <v>3254</v>
      </c>
      <c r="J41" s="424" t="s">
        <v>3310</v>
      </c>
      <c r="K41" s="688" t="str">
        <f t="shared" si="2"/>
        <v>no price, 0 count</v>
      </c>
      <c r="L41" s="310">
        <f>SUMIFS('Bilateral assistance, MAIN DATA'!M:M,'Bilateral assistance, MAIN DATA'!I:I,'Price List, Weapons &amp; Items'!A41)</f>
        <v>0</v>
      </c>
      <c r="M41" s="46">
        <f>COUNTIFS('Bilateral assistance, MAIN DATA'!M:M,"undisclosed",'Bilateral assistance, MAIN DATA'!I:I,'Price List, Weapons &amp; Items'!A41)</f>
        <v>2</v>
      </c>
      <c r="N41" s="689">
        <f t="shared" si="4"/>
        <v>0</v>
      </c>
      <c r="O41" s="1">
        <f>IFERROR(IF(SEARCH(A41,_xlfn.ARRAYTOTEXT('Bilateral assistance, MAIN DATA'!I$1:I$1408))&gt;0,1,""),0)</f>
        <v>1</v>
      </c>
      <c r="P41" s="46">
        <f>IFERROR(IF(SEARCH(A41,_xlfn.ARRAYTOTEXT('Commercial assistance'!I$1:I$1400))&gt;0,1,""),0)</f>
        <v>0</v>
      </c>
    </row>
    <row r="42" spans="1:16" ht="15" customHeight="1">
      <c r="A42" s="424" t="s">
        <v>820</v>
      </c>
      <c r="B42" s="684" t="s">
        <v>3235</v>
      </c>
      <c r="C42" s="685" t="s">
        <v>232</v>
      </c>
      <c r="D42" s="686">
        <v>0</v>
      </c>
      <c r="E42" s="686">
        <f t="shared" si="0"/>
        <v>0</v>
      </c>
      <c r="F42" s="452">
        <v>1406812</v>
      </c>
      <c r="G42" s="687" t="str">
        <f t="shared" si="5"/>
        <v>USD</v>
      </c>
      <c r="H42" s="653" t="s">
        <v>3311</v>
      </c>
      <c r="I42" s="424" t="s">
        <v>3270</v>
      </c>
      <c r="J42" s="424" t="s">
        <v>3312</v>
      </c>
      <c r="K42" s="688" t="str">
        <f t="shared" si="2"/>
        <v>no price, 0 count</v>
      </c>
      <c r="L42" s="310">
        <f>SUMIFS('Bilateral assistance, MAIN DATA'!M:M,'Bilateral assistance, MAIN DATA'!I:I,'Price List, Weapons &amp; Items'!A42)</f>
        <v>0</v>
      </c>
      <c r="M42" s="46">
        <f>COUNTIFS('Bilateral assistance, MAIN DATA'!M:M,"undisclosed",'Bilateral assistance, MAIN DATA'!I:I,'Price List, Weapons &amp; Items'!A42)</f>
        <v>2</v>
      </c>
      <c r="N42" s="689">
        <f t="shared" si="4"/>
        <v>0</v>
      </c>
      <c r="O42" s="1">
        <f>IFERROR(IF(SEARCH(A42,_xlfn.ARRAYTOTEXT('Bilateral assistance, MAIN DATA'!I$1:I$1408))&gt;0,1,""),0)</f>
        <v>1</v>
      </c>
      <c r="P42" s="46">
        <f>IFERROR(IF(SEARCH(A42,_xlfn.ARRAYTOTEXT('Commercial assistance'!I$1:I$1400))&gt;0,1,""),0)</f>
        <v>0</v>
      </c>
    </row>
    <row r="43" spans="1:16" ht="15" customHeight="1">
      <c r="A43" s="699" t="s">
        <v>1440</v>
      </c>
      <c r="B43" s="684" t="s">
        <v>3239</v>
      </c>
      <c r="C43" s="685" t="s">
        <v>3281</v>
      </c>
      <c r="D43" s="686">
        <v>0</v>
      </c>
      <c r="E43" s="686">
        <f t="shared" si="0"/>
        <v>1</v>
      </c>
      <c r="F43" s="452">
        <v>895040.34</v>
      </c>
      <c r="G43" s="687" t="str">
        <f t="shared" si="5"/>
        <v>USD</v>
      </c>
      <c r="H43" s="651" t="s">
        <v>3313</v>
      </c>
      <c r="I43" s="424" t="s">
        <v>3262</v>
      </c>
      <c r="J43" s="698" t="s">
        <v>3314</v>
      </c>
      <c r="K43" s="688" t="str">
        <f t="shared" si="2"/>
        <v>no price, 0 count</v>
      </c>
      <c r="L43" s="310">
        <f>SUMIFS('Bilateral assistance, MAIN DATA'!M:M,'Bilateral assistance, MAIN DATA'!I:I,'Price List, Weapons &amp; Items'!A43)</f>
        <v>0</v>
      </c>
      <c r="M43" s="46">
        <f>COUNTIFS('Bilateral assistance, MAIN DATA'!M:M,"undisclosed",'Bilateral assistance, MAIN DATA'!I:I,'Price List, Weapons &amp; Items'!A43)</f>
        <v>1</v>
      </c>
      <c r="N43" s="689">
        <f t="shared" si="4"/>
        <v>0</v>
      </c>
      <c r="O43" s="1">
        <f>IFERROR(IF(SEARCH(A43,_xlfn.ARRAYTOTEXT('Bilateral assistance, MAIN DATA'!I$1:I$1408))&gt;0,1,""),0)</f>
        <v>1</v>
      </c>
      <c r="P43" s="46">
        <f>IFERROR(IF(SEARCH(A43,_xlfn.ARRAYTOTEXT('Commercial assistance'!I$1:I$1400))&gt;0,1,""),0)</f>
        <v>0</v>
      </c>
    </row>
    <row r="44" spans="1:16" ht="15" customHeight="1">
      <c r="A44" s="424" t="s">
        <v>2482</v>
      </c>
      <c r="B44" s="684" t="s">
        <v>3235</v>
      </c>
      <c r="C44" s="685" t="s">
        <v>3315</v>
      </c>
      <c r="D44" s="686">
        <v>0</v>
      </c>
      <c r="E44" s="686">
        <f t="shared" si="0"/>
        <v>0</v>
      </c>
      <c r="F44" s="452">
        <v>625000</v>
      </c>
      <c r="G44" s="687" t="str">
        <f t="shared" si="5"/>
        <v>USD</v>
      </c>
      <c r="H44" s="652" t="s">
        <v>3316</v>
      </c>
      <c r="I44" s="424" t="s">
        <v>3308</v>
      </c>
      <c r="J44" s="424" t="s">
        <v>3317</v>
      </c>
      <c r="K44" s="688" t="str">
        <f t="shared" si="2"/>
        <v>no price, 0 count</v>
      </c>
      <c r="L44" s="310">
        <f>SUMIFS('Bilateral assistance, MAIN DATA'!M:M,'Bilateral assistance, MAIN DATA'!I:I,'Price List, Weapons &amp; Items'!A44)</f>
        <v>0</v>
      </c>
      <c r="M44" s="46">
        <f>COUNTIFS('Bilateral assistance, MAIN DATA'!M:M,"undisclosed",'Bilateral assistance, MAIN DATA'!I:I,'Price List, Weapons &amp; Items'!A44)</f>
        <v>2</v>
      </c>
      <c r="N44" s="689">
        <f t="shared" si="4"/>
        <v>0</v>
      </c>
      <c r="O44" s="1">
        <f>IFERROR(IF(SEARCH(A44,_xlfn.ARRAYTOTEXT('Bilateral assistance, MAIN DATA'!I$1:I$1408))&gt;0,1,""),0)</f>
        <v>1</v>
      </c>
      <c r="P44" s="46">
        <f>IFERROR(IF(SEARCH(A44,_xlfn.ARRAYTOTEXT('Commercial assistance'!I$1:I$1400))&gt;0,1,""),0)</f>
        <v>0</v>
      </c>
    </row>
    <row r="45" spans="1:16" ht="15" customHeight="1">
      <c r="A45" s="691" t="s">
        <v>3318</v>
      </c>
      <c r="B45" s="684" t="s">
        <v>3235</v>
      </c>
      <c r="C45" s="685" t="s">
        <v>3319</v>
      </c>
      <c r="D45" s="552">
        <v>0</v>
      </c>
      <c r="E45" s="686">
        <f t="shared" si="0"/>
        <v>1</v>
      </c>
      <c r="F45" s="452">
        <v>150000</v>
      </c>
      <c r="G45" s="687" t="str">
        <f t="shared" si="5"/>
        <v>USD</v>
      </c>
      <c r="H45" s="652" t="s">
        <v>3320</v>
      </c>
      <c r="I45" s="424" t="s">
        <v>3259</v>
      </c>
      <c r="J45" s="424" t="s">
        <v>3321</v>
      </c>
      <c r="K45" s="688" t="str">
        <f t="shared" si="2"/>
        <v>no price, 0 count</v>
      </c>
      <c r="L45" s="310">
        <f>SUMIFS('Bilateral assistance, MAIN DATA'!M:M,'Bilateral assistance, MAIN DATA'!I:I,'Price List, Weapons &amp; Items'!A45)</f>
        <v>0</v>
      </c>
      <c r="M45" s="46">
        <f>COUNTIFS('Bilateral assistance, MAIN DATA'!M:M,"undisclosed",'Bilateral assistance, MAIN DATA'!I:I,'Price List, Weapons &amp; Items'!A45)</f>
        <v>13</v>
      </c>
      <c r="N45" s="689">
        <f t="shared" si="4"/>
        <v>0</v>
      </c>
      <c r="O45" s="1">
        <f>IFERROR(IF(SEARCH(A45,_xlfn.ARRAYTOTEXT('Bilateral assistance, MAIN DATA'!I$1:I$1408))&gt;0,1,""),0)</f>
        <v>1</v>
      </c>
      <c r="P45" s="46">
        <f>IFERROR(IF(SEARCH(A45,_xlfn.ARRAYTOTEXT('Commercial assistance'!I$1:I$1400))&gt;0,1,""),0)</f>
        <v>0</v>
      </c>
    </row>
    <row r="46" spans="1:16" ht="15" customHeight="1">
      <c r="A46" s="424" t="s">
        <v>1856</v>
      </c>
      <c r="B46" s="684" t="s">
        <v>3284</v>
      </c>
      <c r="C46" s="685" t="s">
        <v>3285</v>
      </c>
      <c r="D46" s="552">
        <v>0</v>
      </c>
      <c r="E46" s="552">
        <f t="shared" si="0"/>
        <v>0</v>
      </c>
      <c r="F46" s="452">
        <v>2497000</v>
      </c>
      <c r="G46" s="687" t="str">
        <f t="shared" si="5"/>
        <v>USD</v>
      </c>
      <c r="H46" s="653" t="s">
        <v>3322</v>
      </c>
      <c r="I46" s="424" t="s">
        <v>3308</v>
      </c>
      <c r="J46" s="703" t="s">
        <v>3323</v>
      </c>
      <c r="K46" s="688" t="str">
        <f t="shared" si="2"/>
        <v>no price, 0 count</v>
      </c>
      <c r="L46" s="310">
        <f>SUMIFS('Bilateral assistance, MAIN DATA'!M:M,'Bilateral assistance, MAIN DATA'!I:I,'Price List, Weapons &amp; Items'!A46)</f>
        <v>0</v>
      </c>
      <c r="M46" s="46">
        <f>COUNTIFS('Bilateral assistance, MAIN DATA'!M:M,"undisclosed",'Bilateral assistance, MAIN DATA'!I:I,'Price List, Weapons &amp; Items'!A46)</f>
        <v>1</v>
      </c>
      <c r="N46" s="689">
        <f t="shared" si="4"/>
        <v>0</v>
      </c>
      <c r="O46" s="1">
        <f>IFERROR(IF(SEARCH(A46,_xlfn.ARRAYTOTEXT('Bilateral assistance, MAIN DATA'!I$1:I$1408))&gt;0,1,""),0)</f>
        <v>1</v>
      </c>
      <c r="P46" s="46">
        <f>IFERROR(IF(SEARCH(A46,_xlfn.ARRAYTOTEXT('Commercial assistance'!I$1:I$1400))&gt;0,1,""),0)</f>
        <v>0</v>
      </c>
    </row>
    <row r="47" spans="1:16" ht="15" customHeight="1">
      <c r="A47" s="424" t="s">
        <v>2681</v>
      </c>
      <c r="B47" s="684" t="s">
        <v>3324</v>
      </c>
      <c r="C47" s="685" t="s">
        <v>232</v>
      </c>
      <c r="D47" s="552">
        <v>0</v>
      </c>
      <c r="E47" s="552">
        <f t="shared" si="0"/>
        <v>0</v>
      </c>
      <c r="F47" s="452">
        <v>1090000</v>
      </c>
      <c r="G47" s="88" t="s">
        <v>232</v>
      </c>
      <c r="H47" s="652" t="s">
        <v>3325</v>
      </c>
      <c r="I47" s="692" t="s">
        <v>3270</v>
      </c>
      <c r="J47" s="424" t="s">
        <v>3326</v>
      </c>
      <c r="K47" s="688" t="str">
        <f t="shared" si="2"/>
        <v>no price, 0 count</v>
      </c>
      <c r="L47" s="310">
        <f>SUMIFS('Bilateral assistance, MAIN DATA'!M:M,'Bilateral assistance, MAIN DATA'!I:I,'Price List, Weapons &amp; Items'!A47)</f>
        <v>0</v>
      </c>
      <c r="M47" s="46">
        <f>COUNTIFS('Bilateral assistance, MAIN DATA'!M:M,"undisclosed",'Bilateral assistance, MAIN DATA'!I:I,'Price List, Weapons &amp; Items'!A47)</f>
        <v>2</v>
      </c>
      <c r="N47" s="689">
        <f t="shared" si="4"/>
        <v>0</v>
      </c>
      <c r="O47" s="1">
        <f>IFERROR(IF(SEARCH(A47,_xlfn.ARRAYTOTEXT('Bilateral assistance, MAIN DATA'!I$1:I$1408))&gt;0,1,""),0)</f>
        <v>1</v>
      </c>
      <c r="P47" s="46">
        <f>IFERROR(IF(SEARCH(A47,_xlfn.ARRAYTOTEXT('Commercial assistance'!I$1:I$1400))&gt;0,1,""),0)</f>
        <v>0</v>
      </c>
    </row>
    <row r="48" spans="1:16" ht="15" customHeight="1">
      <c r="A48" s="699" t="s">
        <v>2691</v>
      </c>
      <c r="B48" s="684" t="s">
        <v>3235</v>
      </c>
      <c r="C48" s="685" t="s">
        <v>232</v>
      </c>
      <c r="D48" s="552">
        <v>0</v>
      </c>
      <c r="E48" s="552">
        <f t="shared" si="0"/>
        <v>0</v>
      </c>
      <c r="F48" s="452">
        <v>557000</v>
      </c>
      <c r="G48" s="88" t="s">
        <v>314</v>
      </c>
      <c r="H48" s="652" t="s">
        <v>3327</v>
      </c>
      <c r="I48" s="692" t="s">
        <v>3270</v>
      </c>
      <c r="J48" s="424" t="s">
        <v>3328</v>
      </c>
      <c r="K48" s="688" t="str">
        <f t="shared" si="2"/>
        <v>no price, 0 count</v>
      </c>
      <c r="L48" s="310">
        <f>SUMIFS('Bilateral assistance, MAIN DATA'!M:M,'Bilateral assistance, MAIN DATA'!I:I,'Price List, Weapons &amp; Items'!A48)</f>
        <v>0</v>
      </c>
      <c r="M48" s="46">
        <f>COUNTIFS('Bilateral assistance, MAIN DATA'!M:M,"undisclosed",'Bilateral assistance, MAIN DATA'!I:I,'Price List, Weapons &amp; Items'!A48)</f>
        <v>3</v>
      </c>
      <c r="N48" s="689">
        <f t="shared" si="4"/>
        <v>0</v>
      </c>
      <c r="O48" s="1">
        <f>IFERROR(IF(SEARCH(A48,_xlfn.ARRAYTOTEXT('Bilateral assistance, MAIN DATA'!I$1:I$1408))&gt;0,1,""),0)</f>
        <v>1</v>
      </c>
      <c r="P48" s="46">
        <f>IFERROR(IF(SEARCH(A48,_xlfn.ARRAYTOTEXT('Commercial assistance'!I$1:I$1400))&gt;0,1,""),0)</f>
        <v>0</v>
      </c>
    </row>
    <row r="49" spans="1:16" ht="15" customHeight="1">
      <c r="A49" s="691" t="s">
        <v>3329</v>
      </c>
      <c r="B49" s="684" t="s">
        <v>3249</v>
      </c>
      <c r="C49" s="685" t="s">
        <v>232</v>
      </c>
      <c r="D49" s="686">
        <v>0</v>
      </c>
      <c r="E49" s="552">
        <f t="shared" si="0"/>
        <v>0</v>
      </c>
      <c r="F49" s="452">
        <v>15000000</v>
      </c>
      <c r="G49" s="687" t="str">
        <f>IF(F49&lt;&gt;".","USD",".")</f>
        <v>USD</v>
      </c>
      <c r="H49" s="652" t="s">
        <v>3294</v>
      </c>
      <c r="I49" s="424" t="s">
        <v>3270</v>
      </c>
      <c r="J49" s="424" t="s">
        <v>3330</v>
      </c>
      <c r="K49" s="688" t="str">
        <f t="shared" si="2"/>
        <v>no price, 0 count</v>
      </c>
      <c r="L49" s="310">
        <f>SUMIFS('Bilateral assistance, MAIN DATA'!M:M,'Bilateral assistance, MAIN DATA'!I:I,'Price List, Weapons &amp; Items'!A49)</f>
        <v>0</v>
      </c>
      <c r="M49" s="46">
        <f>COUNTIFS('Bilateral assistance, MAIN DATA'!M:M,"undisclosed",'Bilateral assistance, MAIN DATA'!I:I,'Price List, Weapons &amp; Items'!A49)</f>
        <v>1</v>
      </c>
      <c r="N49" s="689">
        <f t="shared" si="4"/>
        <v>0</v>
      </c>
      <c r="O49" s="1">
        <f>IFERROR(IF(SEARCH(A49,_xlfn.ARRAYTOTEXT('Bilateral assistance, MAIN DATA'!I$1:I$1408))&gt;0,1,""),0)</f>
        <v>1</v>
      </c>
      <c r="P49" s="46">
        <f>IFERROR(IF(SEARCH(A49,_xlfn.ARRAYTOTEXT('Commercial assistance'!I$1:I$1400))&gt;0,1,""),0)</f>
        <v>0</v>
      </c>
    </row>
    <row r="50" spans="1:16" ht="15" customHeight="1">
      <c r="A50" s="697" t="s">
        <v>2514</v>
      </c>
      <c r="B50" s="684" t="s">
        <v>3239</v>
      </c>
      <c r="C50" s="685" t="s">
        <v>3331</v>
      </c>
      <c r="D50" s="552">
        <v>0</v>
      </c>
      <c r="E50" s="552">
        <f t="shared" si="0"/>
        <v>0</v>
      </c>
      <c r="F50" s="452">
        <v>1392389.093089018</v>
      </c>
      <c r="G50" s="88" t="s">
        <v>314</v>
      </c>
      <c r="H50" s="655" t="s">
        <v>3253</v>
      </c>
      <c r="I50" s="424" t="s">
        <v>3254</v>
      </c>
      <c r="J50" s="424" t="s">
        <v>3332</v>
      </c>
      <c r="K50" s="688" t="str">
        <f t="shared" si="2"/>
        <v>no price, 0 count</v>
      </c>
      <c r="L50" s="310">
        <f>SUMIFS('Bilateral assistance, MAIN DATA'!M:M,'Bilateral assistance, MAIN DATA'!I:I,'Price List, Weapons &amp; Items'!A50)</f>
        <v>0</v>
      </c>
      <c r="M50" s="46">
        <f>COUNTIFS('Bilateral assistance, MAIN DATA'!M:M,"undisclosed",'Bilateral assistance, MAIN DATA'!I:I,'Price List, Weapons &amp; Items'!A50)</f>
        <v>1</v>
      </c>
      <c r="N50" s="689">
        <f t="shared" si="4"/>
        <v>0</v>
      </c>
      <c r="O50" s="1">
        <f>IFERROR(IF(SEARCH(A50,_xlfn.ARRAYTOTEXT('Bilateral assistance, MAIN DATA'!I$1:I$1408))&gt;0,1,""),0)</f>
        <v>1</v>
      </c>
      <c r="P50" s="46">
        <f>IFERROR(IF(SEARCH(A50,_xlfn.ARRAYTOTEXT('Commercial assistance'!I$1:I$1400))&gt;0,1,""),0)</f>
        <v>0</v>
      </c>
    </row>
    <row r="51" spans="1:16" ht="15" customHeight="1">
      <c r="A51" s="704" t="s">
        <v>1185</v>
      </c>
      <c r="B51" s="684" t="s">
        <v>3333</v>
      </c>
      <c r="C51" s="685" t="s">
        <v>3334</v>
      </c>
      <c r="D51" s="552">
        <v>0</v>
      </c>
      <c r="E51" s="552">
        <f t="shared" si="0"/>
        <v>0</v>
      </c>
      <c r="F51" s="452">
        <v>19354990.84</v>
      </c>
      <c r="G51" s="88" t="s">
        <v>314</v>
      </c>
      <c r="H51" s="655" t="s">
        <v>3253</v>
      </c>
      <c r="I51" s="424" t="s">
        <v>3254</v>
      </c>
      <c r="J51" s="424" t="s">
        <v>3335</v>
      </c>
      <c r="K51" s="688">
        <f t="shared" si="2"/>
        <v>2</v>
      </c>
      <c r="L51" s="310">
        <f>SUMIFS('Bilateral assistance, MAIN DATA'!M:M,'Bilateral assistance, MAIN DATA'!I:I,'Price List, Weapons &amp; Items'!A51)</f>
        <v>1</v>
      </c>
      <c r="M51" s="46">
        <f>COUNTIFS('Bilateral assistance, MAIN DATA'!M:M,"undisclosed",'Bilateral assistance, MAIN DATA'!I:I,'Price List, Weapons &amp; Items'!A51)</f>
        <v>0</v>
      </c>
      <c r="N51" s="689">
        <f t="shared" si="4"/>
        <v>19354990.84</v>
      </c>
      <c r="O51" s="1">
        <f>IFERROR(IF(SEARCH(A51,_xlfn.ARRAYTOTEXT('Bilateral assistance, MAIN DATA'!I$1:I$1408))&gt;0,1,""),0)</f>
        <v>1</v>
      </c>
      <c r="P51" s="46">
        <f>IFERROR(IF(SEARCH(A51,_xlfn.ARRAYTOTEXT('Commercial assistance'!I$1:I$1400))&gt;0,1,""),0)</f>
        <v>0</v>
      </c>
    </row>
    <row r="52" spans="1:16" ht="15" customHeight="1">
      <c r="A52" s="704" t="s">
        <v>1209</v>
      </c>
      <c r="B52" s="684" t="s">
        <v>3235</v>
      </c>
      <c r="C52" s="685" t="s">
        <v>3336</v>
      </c>
      <c r="D52" s="686">
        <v>0</v>
      </c>
      <c r="E52" s="552">
        <f t="shared" si="0"/>
        <v>0</v>
      </c>
      <c r="F52" s="452">
        <v>616680.63641107001</v>
      </c>
      <c r="G52" s="687" t="s">
        <v>314</v>
      </c>
      <c r="H52" s="655" t="s">
        <v>3253</v>
      </c>
      <c r="I52" s="424" t="s">
        <v>3254</v>
      </c>
      <c r="J52" s="424" t="s">
        <v>3332</v>
      </c>
      <c r="K52" s="688" t="str">
        <f t="shared" si="2"/>
        <v>no price, 0 count</v>
      </c>
      <c r="L52" s="310">
        <f>SUMIFS('Bilateral assistance, MAIN DATA'!M:M,'Bilateral assistance, MAIN DATA'!I:I,'Price List, Weapons &amp; Items'!A52)</f>
        <v>0</v>
      </c>
      <c r="M52" s="46">
        <f>COUNTIFS('Bilateral assistance, MAIN DATA'!M:M,"undisclosed",'Bilateral assistance, MAIN DATA'!I:I,'Price List, Weapons &amp; Items'!A52)</f>
        <v>1</v>
      </c>
      <c r="N52" s="689">
        <f t="shared" si="4"/>
        <v>0</v>
      </c>
      <c r="O52" s="1">
        <f>IFERROR(IF(SEARCH(A52,_xlfn.ARRAYTOTEXT('Bilateral assistance, MAIN DATA'!I$1:I$1408))&gt;0,1,""),0)</f>
        <v>1</v>
      </c>
      <c r="P52" s="46">
        <f>IFERROR(IF(SEARCH(A52,_xlfn.ARRAYTOTEXT('Commercial assistance'!I$1:I$1400))&gt;0,1,""),0)</f>
        <v>0</v>
      </c>
    </row>
    <row r="53" spans="1:16" ht="15" customHeight="1">
      <c r="A53" s="595" t="s">
        <v>3337</v>
      </c>
      <c r="B53" s="684" t="s">
        <v>3235</v>
      </c>
      <c r="C53" s="685" t="s">
        <v>3338</v>
      </c>
      <c r="D53" s="552">
        <v>0</v>
      </c>
      <c r="E53" s="686">
        <f t="shared" si="0"/>
        <v>1</v>
      </c>
      <c r="F53" s="452">
        <v>625000</v>
      </c>
      <c r="G53" s="687" t="str">
        <f t="shared" ref="G53:G84" si="6">IF(F53&lt;&gt;".","USD",".")</f>
        <v>USD</v>
      </c>
      <c r="H53" s="656" t="s">
        <v>3316</v>
      </c>
      <c r="I53" s="424" t="s">
        <v>3308</v>
      </c>
      <c r="J53" s="595" t="s">
        <v>3339</v>
      </c>
      <c r="K53" s="688" t="str">
        <f t="shared" si="2"/>
        <v>no price, 0 count</v>
      </c>
      <c r="L53" s="310">
        <f>SUMIFS('Bilateral assistance, MAIN DATA'!M:M,'Bilateral assistance, MAIN DATA'!I:I,'Price List, Weapons &amp; Items'!A53)</f>
        <v>0</v>
      </c>
      <c r="M53" s="46">
        <f>COUNTIFS('Bilateral assistance, MAIN DATA'!M:M,"undisclosed",'Bilateral assistance, MAIN DATA'!I:I,'Price List, Weapons &amp; Items'!A53)</f>
        <v>1</v>
      </c>
      <c r="N53" s="689">
        <f t="shared" si="4"/>
        <v>0</v>
      </c>
      <c r="O53" s="1">
        <f>IFERROR(IF(SEARCH(A53,_xlfn.ARRAYTOTEXT('Bilateral assistance, MAIN DATA'!I$1:I$1408))&gt;0,1,""),0)</f>
        <v>1</v>
      </c>
      <c r="P53" s="46">
        <f>IFERROR(IF(SEARCH(A53,_xlfn.ARRAYTOTEXT('Commercial assistance'!I$1:I$1400))&gt;0,1,""),0)</f>
        <v>0</v>
      </c>
    </row>
    <row r="54" spans="1:16" s="705" customFormat="1" ht="15" customHeight="1">
      <c r="A54" s="424" t="s">
        <v>1447</v>
      </c>
      <c r="B54" s="684" t="s">
        <v>3239</v>
      </c>
      <c r="C54" s="685" t="s">
        <v>3340</v>
      </c>
      <c r="D54" s="686">
        <v>0</v>
      </c>
      <c r="E54" s="686">
        <f t="shared" si="0"/>
        <v>1</v>
      </c>
      <c r="F54" s="452">
        <v>533100</v>
      </c>
      <c r="G54" s="589" t="str">
        <f t="shared" si="6"/>
        <v>USD</v>
      </c>
      <c r="H54" s="652" t="s">
        <v>3341</v>
      </c>
      <c r="I54" s="424" t="s">
        <v>3254</v>
      </c>
      <c r="J54" s="512" t="s">
        <v>3342</v>
      </c>
      <c r="K54" s="688" t="str">
        <f t="shared" si="2"/>
        <v>no price, 0 count</v>
      </c>
      <c r="L54" s="310">
        <f>SUMIFS('Bilateral assistance, MAIN DATA'!M:M,'Bilateral assistance, MAIN DATA'!I:I,'Price List, Weapons &amp; Items'!A54)</f>
        <v>0</v>
      </c>
      <c r="M54" s="46">
        <f>COUNTIFS('Bilateral assistance, MAIN DATA'!M:M,"undisclosed",'Bilateral assistance, MAIN DATA'!I:I,'Price List, Weapons &amp; Items'!A54)</f>
        <v>1</v>
      </c>
      <c r="N54" s="689">
        <f t="shared" si="4"/>
        <v>0</v>
      </c>
      <c r="O54" s="1">
        <f>IFERROR(IF(SEARCH(A54,_xlfn.ARRAYTOTEXT('Bilateral assistance, MAIN DATA'!I$1:I$1408))&gt;0,1,""),0)</f>
        <v>1</v>
      </c>
      <c r="P54" s="46">
        <f>IFERROR(IF(SEARCH(A54,_xlfn.ARRAYTOTEXT('Commercial assistance'!I$1:I$1400))&gt;0,1,""),0)</f>
        <v>0</v>
      </c>
    </row>
    <row r="55" spans="1:16" ht="15" customHeight="1">
      <c r="A55" s="706" t="s">
        <v>1708</v>
      </c>
      <c r="B55" s="684" t="s">
        <v>3239</v>
      </c>
      <c r="C55" s="276" t="s">
        <v>3343</v>
      </c>
      <c r="D55" s="686">
        <v>0</v>
      </c>
      <c r="E55" s="686">
        <f t="shared" si="0"/>
        <v>1</v>
      </c>
      <c r="F55" s="452">
        <v>334029</v>
      </c>
      <c r="G55" s="687" t="str">
        <f t="shared" si="6"/>
        <v>USD</v>
      </c>
      <c r="H55" s="652" t="s">
        <v>3344</v>
      </c>
      <c r="I55" s="424" t="s">
        <v>3254</v>
      </c>
      <c r="J55" s="424" t="s">
        <v>3345</v>
      </c>
      <c r="K55" s="688" t="str">
        <f t="shared" si="2"/>
        <v>no price, 0 count</v>
      </c>
      <c r="L55" s="310">
        <f>SUMIFS('Bilateral assistance, MAIN DATA'!M:M,'Bilateral assistance, MAIN DATA'!I:I,'Price List, Weapons &amp; Items'!A55)</f>
        <v>0</v>
      </c>
      <c r="M55" s="46">
        <f>COUNTIFS('Bilateral assistance, MAIN DATA'!M:M,"undisclosed",'Bilateral assistance, MAIN DATA'!I:I,'Price List, Weapons &amp; Items'!A55)</f>
        <v>2</v>
      </c>
      <c r="N55" s="689">
        <f t="shared" si="4"/>
        <v>0</v>
      </c>
      <c r="O55" s="1">
        <f>IFERROR(IF(SEARCH(A55,_xlfn.ARRAYTOTEXT('Bilateral assistance, MAIN DATA'!I$1:I$1408))&gt;0,1,""),0)</f>
        <v>1</v>
      </c>
      <c r="P55" s="46">
        <f>IFERROR(IF(SEARCH(A55,_xlfn.ARRAYTOTEXT('Commercial assistance'!I$1:I$1400))&gt;0,1,""),0)</f>
        <v>0</v>
      </c>
    </row>
    <row r="56" spans="1:16" ht="15" customHeight="1">
      <c r="A56" s="697" t="s">
        <v>1595</v>
      </c>
      <c r="B56" s="684" t="s">
        <v>3239</v>
      </c>
      <c r="C56" s="685" t="s">
        <v>3346</v>
      </c>
      <c r="D56" s="552">
        <v>0</v>
      </c>
      <c r="E56" s="686">
        <f t="shared" si="0"/>
        <v>1</v>
      </c>
      <c r="F56" s="452">
        <v>326778</v>
      </c>
      <c r="G56" s="687" t="str">
        <f t="shared" si="6"/>
        <v>USD</v>
      </c>
      <c r="H56" s="651" t="s">
        <v>3347</v>
      </c>
      <c r="I56" s="424" t="s">
        <v>3254</v>
      </c>
      <c r="J56" s="698" t="s">
        <v>3348</v>
      </c>
      <c r="K56" s="688" t="str">
        <f t="shared" si="2"/>
        <v>no price, 0 count</v>
      </c>
      <c r="L56" s="310">
        <f>SUMIFS('Bilateral assistance, MAIN DATA'!M:M,'Bilateral assistance, MAIN DATA'!I:I,'Price List, Weapons &amp; Items'!A56)</f>
        <v>0</v>
      </c>
      <c r="M56" s="46">
        <f>COUNTIFS('Bilateral assistance, MAIN DATA'!M:M,"undisclosed",'Bilateral assistance, MAIN DATA'!I:I,'Price List, Weapons &amp; Items'!A56)</f>
        <v>1</v>
      </c>
      <c r="N56" s="689">
        <f t="shared" si="4"/>
        <v>0</v>
      </c>
      <c r="O56" s="1">
        <f>IFERROR(IF(SEARCH(A56,_xlfn.ARRAYTOTEXT('Bilateral assistance, MAIN DATA'!I$1:I$1408))&gt;0,1,""),0)</f>
        <v>1</v>
      </c>
      <c r="P56" s="46">
        <f>IFERROR(IF(SEARCH(A56,_xlfn.ARRAYTOTEXT('Commercial assistance'!I$1:I$1400))&gt;0,1,""),0)</f>
        <v>0</v>
      </c>
    </row>
    <row r="57" spans="1:16" ht="15" customHeight="1">
      <c r="A57" s="424" t="s">
        <v>1446</v>
      </c>
      <c r="B57" s="684" t="s">
        <v>3239</v>
      </c>
      <c r="C57" s="685" t="s">
        <v>3346</v>
      </c>
      <c r="D57" s="686">
        <v>0</v>
      </c>
      <c r="E57" s="686">
        <f t="shared" si="0"/>
        <v>1</v>
      </c>
      <c r="F57" s="452">
        <v>300000</v>
      </c>
      <c r="G57" s="687" t="str">
        <f t="shared" si="6"/>
        <v>USD</v>
      </c>
      <c r="H57" s="652" t="s">
        <v>3349</v>
      </c>
      <c r="I57" s="424" t="s">
        <v>3270</v>
      </c>
      <c r="J57" s="424" t="s">
        <v>3350</v>
      </c>
      <c r="K57" s="688" t="str">
        <f t="shared" si="2"/>
        <v>no price, 0 count</v>
      </c>
      <c r="L57" s="310">
        <f>SUMIFS('Bilateral assistance, MAIN DATA'!M:M,'Bilateral assistance, MAIN DATA'!I:I,'Price List, Weapons &amp; Items'!A57)</f>
        <v>0</v>
      </c>
      <c r="M57" s="46">
        <f>COUNTIFS('Bilateral assistance, MAIN DATA'!M:M,"undisclosed",'Bilateral assistance, MAIN DATA'!I:I,'Price List, Weapons &amp; Items'!A57)</f>
        <v>1</v>
      </c>
      <c r="N57" s="689">
        <f t="shared" si="4"/>
        <v>0</v>
      </c>
      <c r="O57" s="1">
        <f>IFERROR(IF(SEARCH(A57,_xlfn.ARRAYTOTEXT('Bilateral assistance, MAIN DATA'!I$1:I$1408))&gt;0,1,""),0)</f>
        <v>1</v>
      </c>
      <c r="P57" s="46">
        <f>IFERROR(IF(SEARCH(A57,_xlfn.ARRAYTOTEXT('Commercial assistance'!I$1:I$1400))&gt;0,1,""),0)</f>
        <v>0</v>
      </c>
    </row>
    <row r="58" spans="1:16" s="18" customFormat="1" ht="15" customHeight="1">
      <c r="A58" s="691" t="s">
        <v>2729</v>
      </c>
      <c r="B58" s="684" t="s">
        <v>3235</v>
      </c>
      <c r="C58" s="685" t="s">
        <v>3351</v>
      </c>
      <c r="D58" s="686">
        <v>0</v>
      </c>
      <c r="E58" s="686">
        <f t="shared" si="0"/>
        <v>1</v>
      </c>
      <c r="F58" s="452">
        <v>625000</v>
      </c>
      <c r="G58" s="687" t="str">
        <f t="shared" si="6"/>
        <v>USD</v>
      </c>
      <c r="H58" s="657" t="s">
        <v>3316</v>
      </c>
      <c r="I58" s="424" t="s">
        <v>3308</v>
      </c>
      <c r="J58" s="424" t="s">
        <v>3352</v>
      </c>
      <c r="K58" s="688" t="str">
        <f t="shared" si="2"/>
        <v>no price, 0 count</v>
      </c>
      <c r="L58" s="310">
        <f>SUMIFS('Bilateral assistance, MAIN DATA'!M:M,'Bilateral assistance, MAIN DATA'!I:I,'Price List, Weapons &amp; Items'!A58)</f>
        <v>0</v>
      </c>
      <c r="M58" s="46">
        <f>COUNTIFS('Bilateral assistance, MAIN DATA'!M:M,"undisclosed",'Bilateral assistance, MAIN DATA'!I:I,'Price List, Weapons &amp; Items'!A58)</f>
        <v>1</v>
      </c>
      <c r="N58" s="689">
        <f t="shared" si="4"/>
        <v>0</v>
      </c>
      <c r="O58" s="1">
        <f>IFERROR(IF(SEARCH(A58,_xlfn.ARRAYTOTEXT('Bilateral assistance, MAIN DATA'!I$1:I$1408))&gt;0,1,""),0)</f>
        <v>1</v>
      </c>
      <c r="P58" s="46">
        <f>IFERROR(IF(SEARCH(A58,_xlfn.ARRAYTOTEXT('Commercial assistance'!I$1:I$1400))&gt;0,1,""),0)</f>
        <v>0</v>
      </c>
    </row>
    <row r="59" spans="1:16" ht="15" customHeight="1">
      <c r="A59" s="691" t="s">
        <v>2745</v>
      </c>
      <c r="B59" s="684" t="s">
        <v>3249</v>
      </c>
      <c r="C59" s="685" t="s">
        <v>3261</v>
      </c>
      <c r="D59" s="686">
        <v>0</v>
      </c>
      <c r="E59" s="686">
        <f t="shared" si="0"/>
        <v>0</v>
      </c>
      <c r="F59" s="452">
        <v>250000</v>
      </c>
      <c r="G59" s="687" t="str">
        <f t="shared" si="6"/>
        <v>USD</v>
      </c>
      <c r="H59" s="652" t="s">
        <v>3353</v>
      </c>
      <c r="I59" s="424" t="s">
        <v>3259</v>
      </c>
      <c r="J59" s="424" t="s">
        <v>3354</v>
      </c>
      <c r="K59" s="688" t="str">
        <f t="shared" si="2"/>
        <v>no price, 0 count</v>
      </c>
      <c r="L59" s="310">
        <f>SUMIFS('Bilateral assistance, MAIN DATA'!M:M,'Bilateral assistance, MAIN DATA'!I:I,'Price List, Weapons &amp; Items'!A59)</f>
        <v>0</v>
      </c>
      <c r="M59" s="46">
        <f>COUNTIFS('Bilateral assistance, MAIN DATA'!M:M,"undisclosed",'Bilateral assistance, MAIN DATA'!I:I,'Price List, Weapons &amp; Items'!A59)</f>
        <v>2</v>
      </c>
      <c r="N59" s="689">
        <f t="shared" si="4"/>
        <v>0</v>
      </c>
      <c r="O59" s="1">
        <f>IFERROR(IF(SEARCH(A59,_xlfn.ARRAYTOTEXT('Bilateral assistance, MAIN DATA'!I$1:I$1408))&gt;0,1,""),0)</f>
        <v>1</v>
      </c>
      <c r="P59" s="46">
        <f>IFERROR(IF(SEARCH(A59,_xlfn.ARRAYTOTEXT('Commercial assistance'!I$1:I$1400))&gt;0,1,""),0)</f>
        <v>0</v>
      </c>
    </row>
    <row r="60" spans="1:16" ht="15" customHeight="1">
      <c r="A60" s="424" t="s">
        <v>2478</v>
      </c>
      <c r="B60" s="684" t="s">
        <v>3355</v>
      </c>
      <c r="C60" s="685" t="s">
        <v>3356</v>
      </c>
      <c r="D60" s="686">
        <v>0</v>
      </c>
      <c r="E60" s="686">
        <f t="shared" si="0"/>
        <v>0</v>
      </c>
      <c r="F60" s="452">
        <v>220000</v>
      </c>
      <c r="G60" s="687" t="str">
        <f t="shared" si="6"/>
        <v>USD</v>
      </c>
      <c r="H60" s="701" t="s">
        <v>3357</v>
      </c>
      <c r="I60" s="424" t="s">
        <v>3308</v>
      </c>
      <c r="J60" s="424" t="s">
        <v>3358</v>
      </c>
      <c r="K60" s="688" t="str">
        <f t="shared" si="2"/>
        <v>no price, 0 count</v>
      </c>
      <c r="L60" s="310">
        <f>SUMIFS('Bilateral assistance, MAIN DATA'!M:M,'Bilateral assistance, MAIN DATA'!I:I,'Price List, Weapons &amp; Items'!A60)</f>
        <v>0</v>
      </c>
      <c r="M60" s="46">
        <f>COUNTIFS('Bilateral assistance, MAIN DATA'!M:M,"undisclosed",'Bilateral assistance, MAIN DATA'!I:I,'Price List, Weapons &amp; Items'!A60)</f>
        <v>1</v>
      </c>
      <c r="N60" s="689">
        <f t="shared" si="4"/>
        <v>0</v>
      </c>
      <c r="O60" s="1">
        <f>IFERROR(IF(SEARCH(A60,_xlfn.ARRAYTOTEXT('Bilateral assistance, MAIN DATA'!I$1:I$1408))&gt;0,1,""),0)</f>
        <v>1</v>
      </c>
      <c r="P60" s="46">
        <f>IFERROR(IF(SEARCH(A60,_xlfn.ARRAYTOTEXT('Commercial assistance'!I$1:I$1400))&gt;0,1,""),0)</f>
        <v>0</v>
      </c>
    </row>
    <row r="61" spans="1:16" ht="15" customHeight="1">
      <c r="A61" s="424" t="s">
        <v>809</v>
      </c>
      <c r="B61" s="684" t="s">
        <v>3248</v>
      </c>
      <c r="C61" s="685" t="s">
        <v>3359</v>
      </c>
      <c r="D61" s="686">
        <v>0</v>
      </c>
      <c r="E61" s="686">
        <f t="shared" si="0"/>
        <v>0</v>
      </c>
      <c r="F61" s="452">
        <v>10658</v>
      </c>
      <c r="G61" s="687" t="str">
        <f t="shared" si="6"/>
        <v>USD</v>
      </c>
      <c r="H61" s="652" t="s">
        <v>3360</v>
      </c>
      <c r="I61" s="424" t="s">
        <v>3262</v>
      </c>
      <c r="J61" s="424" t="s">
        <v>3361</v>
      </c>
      <c r="K61" s="688" t="str">
        <f t="shared" si="2"/>
        <v>no price, 0 count</v>
      </c>
      <c r="L61" s="310">
        <f>SUMIFS('Bilateral assistance, MAIN DATA'!M:M,'Bilateral assistance, MAIN DATA'!I:I,'Price List, Weapons &amp; Items'!A61)</f>
        <v>0</v>
      </c>
      <c r="M61" s="46">
        <f>COUNTIFS('Bilateral assistance, MAIN DATA'!M:M,"undisclosed",'Bilateral assistance, MAIN DATA'!I:I,'Price List, Weapons &amp; Items'!A61)</f>
        <v>1</v>
      </c>
      <c r="N61" s="689">
        <f t="shared" si="4"/>
        <v>0</v>
      </c>
      <c r="O61" s="1">
        <f>IFERROR(IF(SEARCH(A61,_xlfn.ARRAYTOTEXT('Bilateral assistance, MAIN DATA'!I$1:I$1408))&gt;0,1,""),0)</f>
        <v>1</v>
      </c>
      <c r="P61" s="46">
        <f>IFERROR(IF(SEARCH(A61,_xlfn.ARRAYTOTEXT('Commercial assistance'!I$1:I$1400))&gt;0,1,""),0)</f>
        <v>0</v>
      </c>
    </row>
    <row r="62" spans="1:16" ht="15" customHeight="1">
      <c r="A62" s="424" t="s">
        <v>2643</v>
      </c>
      <c r="B62" s="684" t="s">
        <v>3235</v>
      </c>
      <c r="C62" s="685" t="s">
        <v>3319</v>
      </c>
      <c r="D62" s="686">
        <v>0</v>
      </c>
      <c r="E62" s="686">
        <f t="shared" si="0"/>
        <v>1</v>
      </c>
      <c r="F62" s="452">
        <v>168000</v>
      </c>
      <c r="G62" s="687" t="str">
        <f t="shared" si="6"/>
        <v>USD</v>
      </c>
      <c r="H62" s="652" t="s">
        <v>3362</v>
      </c>
      <c r="I62" s="424" t="s">
        <v>3262</v>
      </c>
      <c r="J62" s="424" t="s">
        <v>3363</v>
      </c>
      <c r="K62" s="688" t="str">
        <f t="shared" si="2"/>
        <v>no price, 0 count</v>
      </c>
      <c r="L62" s="310">
        <f>SUMIFS('Bilateral assistance, MAIN DATA'!M:M,'Bilateral assistance, MAIN DATA'!I:I,'Price List, Weapons &amp; Items'!A62)</f>
        <v>0</v>
      </c>
      <c r="M62" s="46">
        <f>COUNTIFS('Bilateral assistance, MAIN DATA'!M:M,"undisclosed",'Bilateral assistance, MAIN DATA'!I:I,'Price List, Weapons &amp; Items'!A62)</f>
        <v>1</v>
      </c>
      <c r="N62" s="689">
        <f t="shared" si="4"/>
        <v>0</v>
      </c>
      <c r="O62" s="1">
        <f>IFERROR(IF(SEARCH(A62,_xlfn.ARRAYTOTEXT('Bilateral assistance, MAIN DATA'!I$1:I$1408))&gt;0,1,""),0)</f>
        <v>1</v>
      </c>
      <c r="P62" s="46">
        <f>IFERROR(IF(SEARCH(A62,_xlfn.ARRAYTOTEXT('Commercial assistance'!I$1:I$1400))&gt;0,1,""),0)</f>
        <v>0</v>
      </c>
    </row>
    <row r="63" spans="1:16" ht="15" customHeight="1">
      <c r="A63" s="512" t="s">
        <v>1916</v>
      </c>
      <c r="B63" s="684" t="s">
        <v>3284</v>
      </c>
      <c r="C63" s="685" t="s">
        <v>3364</v>
      </c>
      <c r="D63" s="552">
        <v>0</v>
      </c>
      <c r="E63" s="686">
        <f t="shared" si="0"/>
        <v>0</v>
      </c>
      <c r="F63" s="452">
        <v>155476</v>
      </c>
      <c r="G63" s="687" t="str">
        <f t="shared" si="6"/>
        <v>USD</v>
      </c>
      <c r="H63" s="653" t="s">
        <v>3365</v>
      </c>
      <c r="I63" s="424" t="s">
        <v>3262</v>
      </c>
      <c r="J63" s="424" t="s">
        <v>3366</v>
      </c>
      <c r="K63" s="688" t="str">
        <f t="shared" si="2"/>
        <v>no price, 0 count</v>
      </c>
      <c r="L63" s="310">
        <f>SUMIFS('Bilateral assistance, MAIN DATA'!M:M,'Bilateral assistance, MAIN DATA'!I:I,'Price List, Weapons &amp; Items'!A63)</f>
        <v>0</v>
      </c>
      <c r="M63" s="46">
        <f>COUNTIFS('Bilateral assistance, MAIN DATA'!M:M,"undisclosed",'Bilateral assistance, MAIN DATA'!I:I,'Price List, Weapons &amp; Items'!A63)</f>
        <v>1</v>
      </c>
      <c r="N63" s="689">
        <f t="shared" si="4"/>
        <v>0</v>
      </c>
      <c r="O63" s="1">
        <f>IFERROR(IF(SEARCH(A63,_xlfn.ARRAYTOTEXT('Bilateral assistance, MAIN DATA'!I$1:I$1408))&gt;0,1,""),0)</f>
        <v>1</v>
      </c>
      <c r="P63" s="46">
        <f>IFERROR(IF(SEARCH(A63,_xlfn.ARRAYTOTEXT('Commercial assistance'!I$1:I$1400))&gt;0,1,""),0)</f>
        <v>0</v>
      </c>
    </row>
    <row r="64" spans="1:16" ht="15" customHeight="1">
      <c r="A64" s="707" t="s">
        <v>3367</v>
      </c>
      <c r="B64" s="684" t="s">
        <v>3300</v>
      </c>
      <c r="C64" s="685" t="s">
        <v>3368</v>
      </c>
      <c r="D64" s="686">
        <v>0</v>
      </c>
      <c r="E64" s="686">
        <f t="shared" si="0"/>
        <v>0</v>
      </c>
      <c r="F64" s="452">
        <v>194000</v>
      </c>
      <c r="G64" s="687" t="str">
        <f t="shared" si="6"/>
        <v>USD</v>
      </c>
      <c r="H64" s="653" t="s">
        <v>3253</v>
      </c>
      <c r="I64" s="424" t="s">
        <v>3254</v>
      </c>
      <c r="J64" s="707" t="s">
        <v>3369</v>
      </c>
      <c r="K64" s="688" t="str">
        <f t="shared" si="2"/>
        <v>no price, 0 count</v>
      </c>
      <c r="L64" s="310">
        <f>SUMIFS('Bilateral assistance, MAIN DATA'!M:M,'Bilateral assistance, MAIN DATA'!I:I,'Price List, Weapons &amp; Items'!A64)</f>
        <v>0</v>
      </c>
      <c r="M64" s="46">
        <f>COUNTIFS('Bilateral assistance, MAIN DATA'!M:M,"undisclosed",'Bilateral assistance, MAIN DATA'!I:I,'Price List, Weapons &amp; Items'!A64)</f>
        <v>1</v>
      </c>
      <c r="N64" s="689">
        <f t="shared" si="4"/>
        <v>0</v>
      </c>
      <c r="O64" s="1">
        <f>IFERROR(IF(SEARCH(A64,_xlfn.ARRAYTOTEXT('Bilateral assistance, MAIN DATA'!I$1:I$1408))&gt;0,1,""),0)</f>
        <v>1</v>
      </c>
      <c r="P64" s="46">
        <f>IFERROR(IF(SEARCH(A64,_xlfn.ARRAYTOTEXT('Commercial assistance'!I$1:I$1400))&gt;0,1,""),0)</f>
        <v>0</v>
      </c>
    </row>
    <row r="65" spans="1:16" ht="15" customHeight="1">
      <c r="A65" s="512" t="s">
        <v>2218</v>
      </c>
      <c r="B65" s="684" t="s">
        <v>3235</v>
      </c>
      <c r="C65" s="685" t="s">
        <v>3336</v>
      </c>
      <c r="D65" s="686">
        <v>0</v>
      </c>
      <c r="E65" s="686">
        <f t="shared" si="0"/>
        <v>0</v>
      </c>
      <c r="F65" s="452">
        <v>100000</v>
      </c>
      <c r="G65" s="687" t="str">
        <f t="shared" si="6"/>
        <v>USD</v>
      </c>
      <c r="H65" s="652" t="s">
        <v>3370</v>
      </c>
      <c r="I65" s="424" t="s">
        <v>3262</v>
      </c>
      <c r="J65" s="512" t="s">
        <v>3371</v>
      </c>
      <c r="K65" s="688" t="str">
        <f t="shared" si="2"/>
        <v>no price, 0 count</v>
      </c>
      <c r="L65" s="310">
        <f>SUMIFS('Bilateral assistance, MAIN DATA'!M:M,'Bilateral assistance, MAIN DATA'!I:I,'Price List, Weapons &amp; Items'!A65)</f>
        <v>0</v>
      </c>
      <c r="M65" s="46">
        <f>COUNTIFS('Bilateral assistance, MAIN DATA'!M:M,"undisclosed",'Bilateral assistance, MAIN DATA'!I:I,'Price List, Weapons &amp; Items'!A65)</f>
        <v>2</v>
      </c>
      <c r="N65" s="689">
        <f t="shared" si="4"/>
        <v>0</v>
      </c>
      <c r="O65" s="1">
        <f>IFERROR(IF(SEARCH(A65,_xlfn.ARRAYTOTEXT('Bilateral assistance, MAIN DATA'!I$1:I$1408))&gt;0,1,""),0)</f>
        <v>1</v>
      </c>
      <c r="P65" s="46">
        <f>IFERROR(IF(SEARCH(A65,_xlfn.ARRAYTOTEXT('Commercial assistance'!I$1:I$1400))&gt;0,1,""),0)</f>
        <v>0</v>
      </c>
    </row>
    <row r="66" spans="1:16" ht="15" customHeight="1">
      <c r="A66" s="424" t="s">
        <v>3372</v>
      </c>
      <c r="B66" s="684" t="s">
        <v>3239</v>
      </c>
      <c r="C66" s="685" t="s">
        <v>3373</v>
      </c>
      <c r="D66" s="686">
        <v>1</v>
      </c>
      <c r="E66" s="686">
        <f t="shared" ref="E66:E129" si="7">IF(OR(C66="Armoured Personnel Carrier (APC)",C66="Armoured Recovery Vehicle (ARV)",C66="Armoured Utility Vehicle (AUV)",C66="152mm howitzer ammunition",C66="155mm howitzer ammunition",C66="300mm MLRS ammunition",C66="155mm howitzer",C66="227mm MLRS ammunition",C66="Infantry fighting vehicle (IFV)",C66="152mm howitzer",C66="227mm MLRS",C66="Main Battle Tank (MBT)",C66="Protected Patrol Vehicle (PPV)",C66="127mm MLRS",C66="122mm MLRS",C66="122mm MLRS ammunition",C66="122mm MLRS",C66="127mm MLRS",C66="127mm MLRS ammunition")=TRUE,1,0)</f>
        <v>0</v>
      </c>
      <c r="F66" s="452">
        <v>80503.62</v>
      </c>
      <c r="G66" s="687" t="str">
        <f t="shared" si="6"/>
        <v>USD</v>
      </c>
      <c r="H66" s="652" t="s">
        <v>3253</v>
      </c>
      <c r="I66" s="424" t="s">
        <v>3254</v>
      </c>
      <c r="J66" s="424" t="s">
        <v>3332</v>
      </c>
      <c r="K66" s="688" t="str">
        <f t="shared" ref="K66:K129" si="8">IF(B66="Humanitarian",0,IF(L66&gt;0,IF(TYPE(N66)=1,IF(N66&gt;MEDIAN(N:N),2,1),0),"no price, 0 count"))</f>
        <v>no price, 0 count</v>
      </c>
      <c r="L66" s="310">
        <f>SUMIFS('Bilateral assistance, MAIN DATA'!M:M,'Bilateral assistance, MAIN DATA'!I:I,'Price List, Weapons &amp; Items'!A66)</f>
        <v>0</v>
      </c>
      <c r="M66" s="46">
        <f>COUNTIFS('Bilateral assistance, MAIN DATA'!M:M,"undisclosed",'Bilateral assistance, MAIN DATA'!I:I,'Price List, Weapons &amp; Items'!A66)</f>
        <v>1</v>
      </c>
      <c r="N66" s="689">
        <f t="shared" ref="N66:N129" si="9">IFERROR(L66*F66,"no price")</f>
        <v>0</v>
      </c>
      <c r="O66" s="1">
        <f>IFERROR(IF(SEARCH(A66,_xlfn.ARRAYTOTEXT('Bilateral assistance, MAIN DATA'!I$1:I$1408))&gt;0,1,""),0)</f>
        <v>1</v>
      </c>
      <c r="P66" s="46">
        <f>IFERROR(IF(SEARCH(A66,_xlfn.ARRAYTOTEXT('Commercial assistance'!I$1:I$1400))&gt;0,1,""),0)</f>
        <v>0</v>
      </c>
    </row>
    <row r="67" spans="1:16" ht="15" customHeight="1">
      <c r="A67" s="691" t="s">
        <v>2735</v>
      </c>
      <c r="B67" s="684" t="s">
        <v>3235</v>
      </c>
      <c r="C67" s="685" t="s">
        <v>3374</v>
      </c>
      <c r="D67" s="552">
        <v>1</v>
      </c>
      <c r="E67" s="686">
        <f t="shared" si="7"/>
        <v>0</v>
      </c>
      <c r="F67" s="452">
        <v>71120.78</v>
      </c>
      <c r="G67" s="687" t="str">
        <f t="shared" si="6"/>
        <v>USD</v>
      </c>
      <c r="H67" s="652" t="s">
        <v>3375</v>
      </c>
      <c r="I67" s="424" t="s">
        <v>3270</v>
      </c>
      <c r="J67" s="424" t="s">
        <v>3376</v>
      </c>
      <c r="K67" s="688" t="str">
        <f t="shared" si="8"/>
        <v>no price, 0 count</v>
      </c>
      <c r="L67" s="310">
        <f>SUMIFS('Bilateral assistance, MAIN DATA'!M:M,'Bilateral assistance, MAIN DATA'!I:I,'Price List, Weapons &amp; Items'!A67)</f>
        <v>0</v>
      </c>
      <c r="M67" s="46">
        <f>COUNTIFS('Bilateral assistance, MAIN DATA'!M:M,"undisclosed",'Bilateral assistance, MAIN DATA'!I:I,'Price List, Weapons &amp; Items'!A67)</f>
        <v>1</v>
      </c>
      <c r="N67" s="689">
        <f t="shared" si="9"/>
        <v>0</v>
      </c>
      <c r="O67" s="1">
        <f>IFERROR(IF(SEARCH(A67,_xlfn.ARRAYTOTEXT('Bilateral assistance, MAIN DATA'!I$1:I$1408))&gt;0,1,""),0)</f>
        <v>1</v>
      </c>
      <c r="P67" s="46">
        <f>IFERROR(IF(SEARCH(A67,_xlfn.ARRAYTOTEXT('Commercial assistance'!I$1:I$1400))&gt;0,1,""),0)</f>
        <v>0</v>
      </c>
    </row>
    <row r="68" spans="1:16" ht="15" customHeight="1">
      <c r="A68" s="691" t="s">
        <v>3377</v>
      </c>
      <c r="B68" s="684" t="s">
        <v>3248</v>
      </c>
      <c r="C68" s="685" t="s">
        <v>3268</v>
      </c>
      <c r="D68" s="686">
        <v>0</v>
      </c>
      <c r="E68" s="686">
        <f t="shared" si="7"/>
        <v>0</v>
      </c>
      <c r="F68" s="452">
        <v>5300</v>
      </c>
      <c r="G68" s="687" t="str">
        <f t="shared" si="6"/>
        <v>USD</v>
      </c>
      <c r="H68" s="658" t="s">
        <v>3269</v>
      </c>
      <c r="I68" s="424" t="s">
        <v>3270</v>
      </c>
      <c r="J68" s="424" t="s">
        <v>3378</v>
      </c>
      <c r="K68" s="688" t="str">
        <f t="shared" si="8"/>
        <v>no price, 0 count</v>
      </c>
      <c r="L68" s="310">
        <f>SUMIFS('Bilateral assistance, MAIN DATA'!M:M,'Bilateral assistance, MAIN DATA'!I:I,'Price List, Weapons &amp; Items'!A68)</f>
        <v>0</v>
      </c>
      <c r="M68" s="46">
        <f>COUNTIFS('Bilateral assistance, MAIN DATA'!M:M,"undisclosed",'Bilateral assistance, MAIN DATA'!I:I,'Price List, Weapons &amp; Items'!A68)</f>
        <v>1</v>
      </c>
      <c r="N68" s="689">
        <f t="shared" si="9"/>
        <v>0</v>
      </c>
      <c r="O68" s="1">
        <f>IFERROR(IF(SEARCH(A68,_xlfn.ARRAYTOTEXT('Bilateral assistance, MAIN DATA'!I$1:I$1408))&gt;0,1,""),0)</f>
        <v>1</v>
      </c>
      <c r="P68" s="46">
        <f>IFERROR(IF(SEARCH(A68,_xlfn.ARRAYTOTEXT('Commercial assistance'!I$1:I$1400))&gt;0,1,""),0)</f>
        <v>0</v>
      </c>
    </row>
    <row r="69" spans="1:16" ht="15" customHeight="1">
      <c r="A69" s="424" t="s">
        <v>1660</v>
      </c>
      <c r="B69" s="684" t="s">
        <v>729</v>
      </c>
      <c r="C69" s="685" t="s">
        <v>3340</v>
      </c>
      <c r="D69" s="686">
        <v>0</v>
      </c>
      <c r="E69" s="686">
        <f t="shared" si="7"/>
        <v>1</v>
      </c>
      <c r="F69" s="452">
        <v>35000</v>
      </c>
      <c r="G69" s="687" t="str">
        <f t="shared" si="6"/>
        <v>USD</v>
      </c>
      <c r="H69" s="658" t="s">
        <v>3379</v>
      </c>
      <c r="I69" s="424" t="s">
        <v>3380</v>
      </c>
      <c r="J69" s="512" t="s">
        <v>3381</v>
      </c>
      <c r="K69" s="688" t="str">
        <f t="shared" si="8"/>
        <v>no price, 0 count</v>
      </c>
      <c r="L69" s="310">
        <f>SUMIFS('Bilateral assistance, MAIN DATA'!M:M,'Bilateral assistance, MAIN DATA'!I:I,'Price List, Weapons &amp; Items'!A69)</f>
        <v>0</v>
      </c>
      <c r="M69" s="46">
        <f>COUNTIFS('Bilateral assistance, MAIN DATA'!M:M,"undisclosed",'Bilateral assistance, MAIN DATA'!I:I,'Price List, Weapons &amp; Items'!A69)</f>
        <v>1</v>
      </c>
      <c r="N69" s="689">
        <f t="shared" si="9"/>
        <v>0</v>
      </c>
      <c r="O69" s="1">
        <f>IFERROR(IF(SEARCH(A69,_xlfn.ARRAYTOTEXT('Bilateral assistance, MAIN DATA'!I$1:I$1408))&gt;0,1,""),0)</f>
        <v>1</v>
      </c>
      <c r="P69" s="46">
        <f>IFERROR(IF(SEARCH(A69,_xlfn.ARRAYTOTEXT('Commercial assistance'!I$1:I$1400))&gt;0,1,""),0)</f>
        <v>0</v>
      </c>
    </row>
    <row r="70" spans="1:16" ht="15" customHeight="1">
      <c r="A70" s="512" t="s">
        <v>810</v>
      </c>
      <c r="B70" s="684" t="s">
        <v>3243</v>
      </c>
      <c r="C70" s="685" t="s">
        <v>3382</v>
      </c>
      <c r="D70" s="686">
        <v>0</v>
      </c>
      <c r="E70" s="686">
        <f t="shared" si="7"/>
        <v>0</v>
      </c>
      <c r="F70" s="452">
        <v>33000</v>
      </c>
      <c r="G70" s="687" t="str">
        <f t="shared" si="6"/>
        <v>USD</v>
      </c>
      <c r="H70" s="652" t="s">
        <v>3383</v>
      </c>
      <c r="I70" s="424" t="s">
        <v>3259</v>
      </c>
      <c r="J70" s="424" t="s">
        <v>3384</v>
      </c>
      <c r="K70" s="688" t="str">
        <f t="shared" si="8"/>
        <v>no price, 0 count</v>
      </c>
      <c r="L70" s="310">
        <f>SUMIFS('Bilateral assistance, MAIN DATA'!M:M,'Bilateral assistance, MAIN DATA'!I:I,'Price List, Weapons &amp; Items'!A70)</f>
        <v>0</v>
      </c>
      <c r="M70" s="46">
        <f>COUNTIFS('Bilateral assistance, MAIN DATA'!M:M,"undisclosed",'Bilateral assistance, MAIN DATA'!I:I,'Price List, Weapons &amp; Items'!A70)</f>
        <v>1</v>
      </c>
      <c r="N70" s="689">
        <f t="shared" si="9"/>
        <v>0</v>
      </c>
      <c r="O70" s="1">
        <f>IFERROR(IF(SEARCH(A70,_xlfn.ARRAYTOTEXT('Bilateral assistance, MAIN DATA'!I$1:I$1408))&gt;0,1,""),0)</f>
        <v>1</v>
      </c>
      <c r="P70" s="46">
        <f>IFERROR(IF(SEARCH(A70,_xlfn.ARRAYTOTEXT('Commercial assistance'!I$1:I$1400))&gt;0,1,""),0)</f>
        <v>0</v>
      </c>
    </row>
    <row r="71" spans="1:16" ht="15" customHeight="1">
      <c r="A71" s="528" t="s">
        <v>3385</v>
      </c>
      <c r="B71" s="684" t="s">
        <v>3248</v>
      </c>
      <c r="C71" s="685" t="s">
        <v>3268</v>
      </c>
      <c r="D71" s="686">
        <v>0</v>
      </c>
      <c r="E71" s="686">
        <f t="shared" si="7"/>
        <v>0</v>
      </c>
      <c r="F71" s="452">
        <v>5300</v>
      </c>
      <c r="G71" s="687" t="str">
        <f t="shared" si="6"/>
        <v>USD</v>
      </c>
      <c r="H71" s="653" t="s">
        <v>3269</v>
      </c>
      <c r="I71" s="424" t="s">
        <v>3270</v>
      </c>
      <c r="J71" s="424" t="s">
        <v>3386</v>
      </c>
      <c r="K71" s="688" t="str">
        <f t="shared" si="8"/>
        <v>no price, 0 count</v>
      </c>
      <c r="L71" s="310">
        <f>SUMIFS('Bilateral assistance, MAIN DATA'!M:M,'Bilateral assistance, MAIN DATA'!I:I,'Price List, Weapons &amp; Items'!A71)</f>
        <v>0</v>
      </c>
      <c r="M71" s="46">
        <f>COUNTIFS('Bilateral assistance, MAIN DATA'!M:M,"undisclosed",'Bilateral assistance, MAIN DATA'!I:I,'Price List, Weapons &amp; Items'!A71)</f>
        <v>1</v>
      </c>
      <c r="N71" s="689">
        <f t="shared" si="9"/>
        <v>0</v>
      </c>
      <c r="O71" s="1">
        <f>IFERROR(IF(SEARCH(A71,_xlfn.ARRAYTOTEXT('Bilateral assistance, MAIN DATA'!I$1:I$1408))&gt;0,1,""),0)</f>
        <v>1</v>
      </c>
      <c r="P71" s="46">
        <f>IFERROR(IF(SEARCH(A71,_xlfn.ARRAYTOTEXT('Commercial assistance'!I$1:I$1400))&gt;0,1,""),0)</f>
        <v>0</v>
      </c>
    </row>
    <row r="72" spans="1:16" ht="15" customHeight="1">
      <c r="A72" s="424" t="s">
        <v>2761</v>
      </c>
      <c r="B72" s="684" t="s">
        <v>3284</v>
      </c>
      <c r="C72" s="685" t="s">
        <v>3364</v>
      </c>
      <c r="D72" s="708">
        <v>0</v>
      </c>
      <c r="E72" s="686">
        <f t="shared" si="7"/>
        <v>0</v>
      </c>
      <c r="F72" s="452">
        <v>22000</v>
      </c>
      <c r="G72" s="687" t="str">
        <f t="shared" si="6"/>
        <v>USD</v>
      </c>
      <c r="H72" s="652" t="s">
        <v>3387</v>
      </c>
      <c r="I72" s="424" t="s">
        <v>3254</v>
      </c>
      <c r="J72" s="424" t="s">
        <v>3388</v>
      </c>
      <c r="K72" s="688" t="str">
        <f t="shared" si="8"/>
        <v>no price, 0 count</v>
      </c>
      <c r="L72" s="310">
        <f>SUMIFS('Bilateral assistance, MAIN DATA'!M:M,'Bilateral assistance, MAIN DATA'!I:I,'Price List, Weapons &amp; Items'!A72)</f>
        <v>0</v>
      </c>
      <c r="M72" s="46">
        <f>COUNTIFS('Bilateral assistance, MAIN DATA'!M:M,"undisclosed",'Bilateral assistance, MAIN DATA'!I:I,'Price List, Weapons &amp; Items'!A72)</f>
        <v>2</v>
      </c>
      <c r="N72" s="689">
        <f t="shared" si="9"/>
        <v>0</v>
      </c>
      <c r="O72" s="1">
        <f>IFERROR(IF(SEARCH(A72,_xlfn.ARRAYTOTEXT('Bilateral assistance, MAIN DATA'!I$1:I$1408))&gt;0,1,""),0)</f>
        <v>1</v>
      </c>
      <c r="P72" s="46">
        <f>IFERROR(IF(SEARCH(A72,_xlfn.ARRAYTOTEXT('Commercial assistance'!I$1:I$1400))&gt;0,1,""),0)</f>
        <v>0</v>
      </c>
    </row>
    <row r="73" spans="1:16" ht="15" customHeight="1">
      <c r="A73" s="424" t="s">
        <v>3389</v>
      </c>
      <c r="B73" s="684" t="s">
        <v>3248</v>
      </c>
      <c r="C73" s="685" t="s">
        <v>3390</v>
      </c>
      <c r="D73" s="686">
        <v>0</v>
      </c>
      <c r="E73" s="686">
        <f t="shared" si="7"/>
        <v>0</v>
      </c>
      <c r="F73" s="452">
        <v>20000</v>
      </c>
      <c r="G73" s="687" t="str">
        <f t="shared" si="6"/>
        <v>USD</v>
      </c>
      <c r="H73" s="652" t="s">
        <v>3391</v>
      </c>
      <c r="I73" s="424" t="s">
        <v>3270</v>
      </c>
      <c r="J73" s="424" t="s">
        <v>3392</v>
      </c>
      <c r="K73" s="688" t="str">
        <f t="shared" si="8"/>
        <v>no price, 0 count</v>
      </c>
      <c r="L73" s="310">
        <f>SUMIFS('Bilateral assistance, MAIN DATA'!M:M,'Bilateral assistance, MAIN DATA'!I:I,'Price List, Weapons &amp; Items'!A73)</f>
        <v>0</v>
      </c>
      <c r="M73" s="46">
        <f>COUNTIFS('Bilateral assistance, MAIN DATA'!M:M,"undisclosed",'Bilateral assistance, MAIN DATA'!I:I,'Price List, Weapons &amp; Items'!A73)</f>
        <v>1</v>
      </c>
      <c r="N73" s="689">
        <f t="shared" si="9"/>
        <v>0</v>
      </c>
      <c r="O73" s="1">
        <f>IFERROR(IF(SEARCH(A73,_xlfn.ARRAYTOTEXT('Bilateral assistance, MAIN DATA'!I$1:I$1408))&gt;0,1,""),0)</f>
        <v>1</v>
      </c>
      <c r="P73" s="46">
        <f>IFERROR(IF(SEARCH(A73,_xlfn.ARRAYTOTEXT('Commercial assistance'!I$1:I$1400))&gt;0,1,""),0)</f>
        <v>0</v>
      </c>
    </row>
    <row r="74" spans="1:16" ht="15" customHeight="1">
      <c r="A74" s="424" t="s">
        <v>1931</v>
      </c>
      <c r="B74" s="684" t="s">
        <v>3249</v>
      </c>
      <c r="C74" s="276" t="s">
        <v>3393</v>
      </c>
      <c r="D74" s="686">
        <v>0</v>
      </c>
      <c r="E74" s="686">
        <f t="shared" si="7"/>
        <v>0</v>
      </c>
      <c r="F74" s="452">
        <v>12000</v>
      </c>
      <c r="G74" s="687" t="str">
        <f t="shared" si="6"/>
        <v>USD</v>
      </c>
      <c r="H74" s="652" t="s">
        <v>3394</v>
      </c>
      <c r="I74" s="424" t="s">
        <v>3259</v>
      </c>
      <c r="J74" s="424" t="s">
        <v>3395</v>
      </c>
      <c r="K74" s="688" t="str">
        <f t="shared" si="8"/>
        <v>no price, 0 count</v>
      </c>
      <c r="L74" s="310">
        <f>SUMIFS('Bilateral assistance, MAIN DATA'!M:M,'Bilateral assistance, MAIN DATA'!I:I,'Price List, Weapons &amp; Items'!A74)</f>
        <v>0</v>
      </c>
      <c r="M74" s="46">
        <f>COUNTIFS('Bilateral assistance, MAIN DATA'!M:M,"undisclosed",'Bilateral assistance, MAIN DATA'!I:I,'Price List, Weapons &amp; Items'!A74)</f>
        <v>1</v>
      </c>
      <c r="N74" s="689">
        <f t="shared" si="9"/>
        <v>0</v>
      </c>
      <c r="O74" s="1">
        <f>IFERROR(IF(SEARCH(A74,_xlfn.ARRAYTOTEXT('Bilateral assistance, MAIN DATA'!I$1:I$1408))&gt;0,1,""),0)</f>
        <v>1</v>
      </c>
      <c r="P74" s="46">
        <f>IFERROR(IF(SEARCH(A74,_xlfn.ARRAYTOTEXT('Commercial assistance'!I$1:I$1400))&gt;0,1,""),0)</f>
        <v>0</v>
      </c>
    </row>
    <row r="75" spans="1:16" ht="15" customHeight="1">
      <c r="A75" s="424" t="s">
        <v>2303</v>
      </c>
      <c r="B75" s="684" t="s">
        <v>3248</v>
      </c>
      <c r="C75" s="685" t="s">
        <v>3396</v>
      </c>
      <c r="D75" s="686">
        <v>0</v>
      </c>
      <c r="E75" s="686">
        <f t="shared" si="7"/>
        <v>0</v>
      </c>
      <c r="F75" s="452">
        <v>12807.38</v>
      </c>
      <c r="G75" s="687" t="str">
        <f t="shared" si="6"/>
        <v>USD</v>
      </c>
      <c r="H75" s="652" t="s">
        <v>3397</v>
      </c>
      <c r="I75" s="424" t="s">
        <v>3262</v>
      </c>
      <c r="J75" s="424" t="s">
        <v>3398</v>
      </c>
      <c r="K75" s="688" t="str">
        <f t="shared" si="8"/>
        <v>no price, 0 count</v>
      </c>
      <c r="L75" s="310">
        <f>SUMIFS('Bilateral assistance, MAIN DATA'!M:M,'Bilateral assistance, MAIN DATA'!I:I,'Price List, Weapons &amp; Items'!A75)</f>
        <v>0</v>
      </c>
      <c r="M75" s="46">
        <f>COUNTIFS('Bilateral assistance, MAIN DATA'!M:M,"undisclosed",'Bilateral assistance, MAIN DATA'!I:I,'Price List, Weapons &amp; Items'!A75)</f>
        <v>1</v>
      </c>
      <c r="N75" s="689">
        <f t="shared" si="9"/>
        <v>0</v>
      </c>
      <c r="O75" s="1">
        <f>IFERROR(IF(SEARCH(A75,_xlfn.ARRAYTOTEXT('Bilateral assistance, MAIN DATA'!I$1:I$1408))&gt;0,1,""),0)</f>
        <v>1</v>
      </c>
      <c r="P75" s="46">
        <f>IFERROR(IF(SEARCH(A75,_xlfn.ARRAYTOTEXT('Commercial assistance'!I$1:I$1400))&gt;0,1,""),0)</f>
        <v>0</v>
      </c>
    </row>
    <row r="76" spans="1:16" ht="15" customHeight="1">
      <c r="A76" s="424" t="s">
        <v>3399</v>
      </c>
      <c r="B76" s="684" t="s">
        <v>3249</v>
      </c>
      <c r="C76" s="685" t="s">
        <v>3400</v>
      </c>
      <c r="D76" s="686">
        <v>0</v>
      </c>
      <c r="E76" s="686">
        <f t="shared" si="7"/>
        <v>0</v>
      </c>
      <c r="F76" s="452">
        <v>64000</v>
      </c>
      <c r="G76" s="687" t="str">
        <f t="shared" si="6"/>
        <v>USD</v>
      </c>
      <c r="H76" s="652" t="s">
        <v>3401</v>
      </c>
      <c r="I76" s="424" t="s">
        <v>3270</v>
      </c>
      <c r="J76" s="424" t="s">
        <v>3402</v>
      </c>
      <c r="K76" s="688" t="str">
        <f t="shared" si="8"/>
        <v>no price, 0 count</v>
      </c>
      <c r="L76" s="310">
        <f>SUMIFS('Bilateral assistance, MAIN DATA'!M:M,'Bilateral assistance, MAIN DATA'!I:I,'Price List, Weapons &amp; Items'!A76)</f>
        <v>0</v>
      </c>
      <c r="M76" s="46">
        <f>COUNTIFS('Bilateral assistance, MAIN DATA'!M:M,"undisclosed",'Bilateral assistance, MAIN DATA'!I:I,'Price List, Weapons &amp; Items'!A76)</f>
        <v>1</v>
      </c>
      <c r="N76" s="689">
        <f t="shared" si="9"/>
        <v>0</v>
      </c>
      <c r="O76" s="1">
        <f>IFERROR(IF(SEARCH(A76,_xlfn.ARRAYTOTEXT('Bilateral assistance, MAIN DATA'!I$1:I$1408))&gt;0,1,""),0)</f>
        <v>1</v>
      </c>
      <c r="P76" s="46">
        <f>IFERROR(IF(SEARCH(A76,_xlfn.ARRAYTOTEXT('Commercial assistance'!I$1:I$1400))&gt;0,1,""),0)</f>
        <v>0</v>
      </c>
    </row>
    <row r="77" spans="1:16" ht="15" customHeight="1">
      <c r="A77" s="424" t="s">
        <v>3403</v>
      </c>
      <c r="B77" s="684" t="s">
        <v>3284</v>
      </c>
      <c r="C77" s="685" t="s">
        <v>3404</v>
      </c>
      <c r="D77" s="686">
        <v>0</v>
      </c>
      <c r="E77" s="686">
        <f t="shared" si="7"/>
        <v>0</v>
      </c>
      <c r="F77" s="452">
        <v>12000</v>
      </c>
      <c r="G77" s="687" t="str">
        <f t="shared" si="6"/>
        <v>USD</v>
      </c>
      <c r="H77" s="653" t="s">
        <v>3405</v>
      </c>
      <c r="I77" s="424" t="s">
        <v>3259</v>
      </c>
      <c r="J77" s="424" t="s">
        <v>3406</v>
      </c>
      <c r="K77" s="688" t="str">
        <f t="shared" si="8"/>
        <v>no price, 0 count</v>
      </c>
      <c r="L77" s="310">
        <f>SUMIFS('Bilateral assistance, MAIN DATA'!M:M,'Bilateral assistance, MAIN DATA'!I:I,'Price List, Weapons &amp; Items'!A77)</f>
        <v>0</v>
      </c>
      <c r="M77" s="46">
        <f>COUNTIFS('Bilateral assistance, MAIN DATA'!M:M,"undisclosed",'Bilateral assistance, MAIN DATA'!I:I,'Price List, Weapons &amp; Items'!A77)</f>
        <v>1</v>
      </c>
      <c r="N77" s="689">
        <f t="shared" si="9"/>
        <v>0</v>
      </c>
      <c r="O77" s="1">
        <f>IFERROR(IF(SEARCH(A77,_xlfn.ARRAYTOTEXT('Bilateral assistance, MAIN DATA'!I$1:I$1408))&gt;0,1,""),0)</f>
        <v>1</v>
      </c>
      <c r="P77" s="46">
        <f>IFERROR(IF(SEARCH(A77,_xlfn.ARRAYTOTEXT('Commercial assistance'!I$1:I$1400))&gt;0,1,""),0)</f>
        <v>0</v>
      </c>
    </row>
    <row r="78" spans="1:16" ht="15" customHeight="1">
      <c r="A78" s="512" t="s">
        <v>3407</v>
      </c>
      <c r="B78" s="684" t="s">
        <v>3248</v>
      </c>
      <c r="C78" s="685" t="s">
        <v>3268</v>
      </c>
      <c r="D78" s="686">
        <v>0</v>
      </c>
      <c r="E78" s="686">
        <f t="shared" si="7"/>
        <v>0</v>
      </c>
      <c r="F78" s="452">
        <v>5300</v>
      </c>
      <c r="G78" s="687" t="str">
        <f t="shared" si="6"/>
        <v>USD</v>
      </c>
      <c r="H78" s="653" t="s">
        <v>3269</v>
      </c>
      <c r="I78" s="424" t="s">
        <v>3270</v>
      </c>
      <c r="J78" s="424" t="s">
        <v>3271</v>
      </c>
      <c r="K78" s="688" t="str">
        <f t="shared" si="8"/>
        <v>no price, 0 count</v>
      </c>
      <c r="L78" s="310">
        <f>SUMIFS('Bilateral assistance, MAIN DATA'!M:M,'Bilateral assistance, MAIN DATA'!I:I,'Price List, Weapons &amp; Items'!A78)</f>
        <v>0</v>
      </c>
      <c r="M78" s="46">
        <f>COUNTIFS('Bilateral assistance, MAIN DATA'!M:M,"undisclosed",'Bilateral assistance, MAIN DATA'!I:I,'Price List, Weapons &amp; Items'!A78)</f>
        <v>1</v>
      </c>
      <c r="N78" s="689">
        <f t="shared" si="9"/>
        <v>0</v>
      </c>
      <c r="O78" s="1">
        <f>IFERROR(IF(SEARCH(A78,_xlfn.ARRAYTOTEXT('Bilateral assistance, MAIN DATA'!I$1:I$1408))&gt;0,1,""),0)</f>
        <v>1</v>
      </c>
      <c r="P78" s="46">
        <f>IFERROR(IF(SEARCH(A78,_xlfn.ARRAYTOTEXT('Commercial assistance'!I$1:I$1400))&gt;0,1,""),0)</f>
        <v>0</v>
      </c>
    </row>
    <row r="79" spans="1:16" ht="15" customHeight="1">
      <c r="A79" s="528" t="s">
        <v>3408</v>
      </c>
      <c r="B79" s="684" t="s">
        <v>729</v>
      </c>
      <c r="C79" s="685" t="s">
        <v>3409</v>
      </c>
      <c r="D79" s="686">
        <v>0</v>
      </c>
      <c r="E79" s="686">
        <f t="shared" si="7"/>
        <v>0</v>
      </c>
      <c r="F79" s="452">
        <v>5000</v>
      </c>
      <c r="G79" s="687" t="str">
        <f t="shared" si="6"/>
        <v>USD</v>
      </c>
      <c r="H79" s="652" t="s">
        <v>3410</v>
      </c>
      <c r="I79" s="424" t="s">
        <v>3270</v>
      </c>
      <c r="J79" s="424" t="s">
        <v>3411</v>
      </c>
      <c r="K79" s="688">
        <f t="shared" si="8"/>
        <v>1</v>
      </c>
      <c r="L79" s="310">
        <f>SUMIFS('Bilateral assistance, MAIN DATA'!M:M,'Bilateral assistance, MAIN DATA'!I:I,'Price List, Weapons &amp; Items'!A79)</f>
        <v>4</v>
      </c>
      <c r="M79" s="46">
        <f>COUNTIFS('Bilateral assistance, MAIN DATA'!M:M,"undisclosed",'Bilateral assistance, MAIN DATA'!I:I,'Price List, Weapons &amp; Items'!A79)</f>
        <v>1</v>
      </c>
      <c r="N79" s="689">
        <f t="shared" si="9"/>
        <v>20000</v>
      </c>
      <c r="O79" s="1">
        <f>IFERROR(IF(SEARCH(A79,_xlfn.ARRAYTOTEXT('Bilateral assistance, MAIN DATA'!I$1:I$1408))&gt;0,1,""),0)</f>
        <v>1</v>
      </c>
      <c r="P79" s="46">
        <f>IFERROR(IF(SEARCH(A79,_xlfn.ARRAYTOTEXT('Commercial assistance'!I$1:I$1400))&gt;0,1,""),0)</f>
        <v>0</v>
      </c>
    </row>
    <row r="80" spans="1:16" ht="15" customHeight="1">
      <c r="A80" s="691" t="s">
        <v>1625</v>
      </c>
      <c r="B80" s="684" t="s">
        <v>729</v>
      </c>
      <c r="C80" s="685" t="s">
        <v>3409</v>
      </c>
      <c r="D80" s="686">
        <v>0</v>
      </c>
      <c r="E80" s="686">
        <f t="shared" si="7"/>
        <v>0</v>
      </c>
      <c r="F80" s="452">
        <v>5000</v>
      </c>
      <c r="G80" s="687" t="str">
        <f t="shared" si="6"/>
        <v>USD</v>
      </c>
      <c r="H80" s="652" t="s">
        <v>3410</v>
      </c>
      <c r="I80" s="424" t="s">
        <v>3270</v>
      </c>
      <c r="J80" s="424" t="s">
        <v>3411</v>
      </c>
      <c r="K80" s="688" t="str">
        <f t="shared" si="8"/>
        <v>no price, 0 count</v>
      </c>
      <c r="L80" s="310">
        <f>SUMIFS('Bilateral assistance, MAIN DATA'!M:M,'Bilateral assistance, MAIN DATA'!I:I,'Price List, Weapons &amp; Items'!A80)</f>
        <v>0</v>
      </c>
      <c r="M80" s="46">
        <f>COUNTIFS('Bilateral assistance, MAIN DATA'!M:M,"undisclosed",'Bilateral assistance, MAIN DATA'!I:I,'Price List, Weapons &amp; Items'!A80)</f>
        <v>5</v>
      </c>
      <c r="N80" s="689">
        <f t="shared" si="9"/>
        <v>0</v>
      </c>
      <c r="O80" s="1">
        <f>IFERROR(IF(SEARCH(A80,_xlfn.ARRAYTOTEXT('Bilateral assistance, MAIN DATA'!I$1:I$1408))&gt;0,1,""),0)</f>
        <v>1</v>
      </c>
      <c r="P80" s="46">
        <f>IFERROR(IF(SEARCH(A80,_xlfn.ARRAYTOTEXT('Commercial assistance'!I$1:I$1400))&gt;0,1,""),0)</f>
        <v>0</v>
      </c>
    </row>
    <row r="81" spans="1:16" ht="15" customHeight="1">
      <c r="A81" s="691" t="s">
        <v>2717</v>
      </c>
      <c r="B81" s="684" t="s">
        <v>3235</v>
      </c>
      <c r="C81" s="685" t="s">
        <v>3412</v>
      </c>
      <c r="D81" s="552">
        <v>0</v>
      </c>
      <c r="E81" s="686">
        <f t="shared" si="7"/>
        <v>1</v>
      </c>
      <c r="F81" s="452">
        <v>3800</v>
      </c>
      <c r="G81" s="687" t="str">
        <f t="shared" si="6"/>
        <v>USD</v>
      </c>
      <c r="H81" s="652" t="s">
        <v>557</v>
      </c>
      <c r="I81" s="424" t="s">
        <v>3254</v>
      </c>
      <c r="J81" s="424" t="s">
        <v>3413</v>
      </c>
      <c r="K81" s="688" t="str">
        <f t="shared" si="8"/>
        <v>no price, 0 count</v>
      </c>
      <c r="L81" s="310">
        <f>SUMIFS('Bilateral assistance, MAIN DATA'!M:M,'Bilateral assistance, MAIN DATA'!I:I,'Price List, Weapons &amp; Items'!A81)</f>
        <v>0</v>
      </c>
      <c r="M81" s="46">
        <f>COUNTIFS('Bilateral assistance, MAIN DATA'!M:M,"undisclosed",'Bilateral assistance, MAIN DATA'!I:I,'Price List, Weapons &amp; Items'!A81)</f>
        <v>1</v>
      </c>
      <c r="N81" s="689">
        <f t="shared" si="9"/>
        <v>0</v>
      </c>
      <c r="O81" s="1">
        <f>IFERROR(IF(SEARCH(A81,_xlfn.ARRAYTOTEXT('Bilateral assistance, MAIN DATA'!I$1:I$1408))&gt;0,1,""),0)</f>
        <v>1</v>
      </c>
      <c r="P81" s="46">
        <f>IFERROR(IF(SEARCH(A81,_xlfn.ARRAYTOTEXT('Commercial assistance'!I$1:I$1400))&gt;0,1,""),0)</f>
        <v>0</v>
      </c>
    </row>
    <row r="82" spans="1:16" ht="15" customHeight="1">
      <c r="A82" s="691" t="s">
        <v>2737</v>
      </c>
      <c r="B82" s="684" t="s">
        <v>3235</v>
      </c>
      <c r="C82" s="685" t="s">
        <v>3412</v>
      </c>
      <c r="D82" s="552">
        <v>0</v>
      </c>
      <c r="E82" s="686">
        <f t="shared" si="7"/>
        <v>1</v>
      </c>
      <c r="F82" s="452">
        <v>3800</v>
      </c>
      <c r="G82" s="687" t="str">
        <f t="shared" si="6"/>
        <v>USD</v>
      </c>
      <c r="H82" s="652" t="s">
        <v>557</v>
      </c>
      <c r="I82" s="424" t="s">
        <v>3254</v>
      </c>
      <c r="J82" s="424" t="s">
        <v>3413</v>
      </c>
      <c r="K82" s="688" t="str">
        <f t="shared" si="8"/>
        <v>no price, 0 count</v>
      </c>
      <c r="L82" s="310">
        <f>SUMIFS('Bilateral assistance, MAIN DATA'!M:M,'Bilateral assistance, MAIN DATA'!I:I,'Price List, Weapons &amp; Items'!A82)</f>
        <v>0</v>
      </c>
      <c r="M82" s="46">
        <f>COUNTIFS('Bilateral assistance, MAIN DATA'!M:M,"undisclosed",'Bilateral assistance, MAIN DATA'!I:I,'Price List, Weapons &amp; Items'!A82)</f>
        <v>1</v>
      </c>
      <c r="N82" s="689">
        <f t="shared" si="9"/>
        <v>0</v>
      </c>
      <c r="O82" s="1">
        <f>IFERROR(IF(SEARCH(A82,_xlfn.ARRAYTOTEXT('Bilateral assistance, MAIN DATA'!I$1:I$1408))&gt;0,1,""),0)</f>
        <v>1</v>
      </c>
      <c r="P82" s="46">
        <f>IFERROR(IF(SEARCH(A82,_xlfn.ARRAYTOTEXT('Commercial assistance'!I$1:I$1400))&gt;0,1,""),0)</f>
        <v>0</v>
      </c>
    </row>
    <row r="83" spans="1:16" ht="15" customHeight="1">
      <c r="A83" s="691" t="s">
        <v>2719</v>
      </c>
      <c r="B83" s="684" t="s">
        <v>3235</v>
      </c>
      <c r="C83" s="685" t="s">
        <v>3412</v>
      </c>
      <c r="D83" s="552">
        <v>1</v>
      </c>
      <c r="E83" s="686">
        <f t="shared" si="7"/>
        <v>1</v>
      </c>
      <c r="F83" s="452">
        <v>3800</v>
      </c>
      <c r="G83" s="687" t="str">
        <f t="shared" si="6"/>
        <v>USD</v>
      </c>
      <c r="H83" s="652" t="s">
        <v>557</v>
      </c>
      <c r="I83" s="424" t="s">
        <v>3254</v>
      </c>
      <c r="J83" s="424" t="s">
        <v>3413</v>
      </c>
      <c r="K83" s="688" t="str">
        <f t="shared" si="8"/>
        <v>no price, 0 count</v>
      </c>
      <c r="L83" s="310">
        <f>SUMIFS('Bilateral assistance, MAIN DATA'!M:M,'Bilateral assistance, MAIN DATA'!I:I,'Price List, Weapons &amp; Items'!A83)</f>
        <v>0</v>
      </c>
      <c r="M83" s="46">
        <f>COUNTIFS('Bilateral assistance, MAIN DATA'!M:M,"undisclosed",'Bilateral assistance, MAIN DATA'!I:I,'Price List, Weapons &amp; Items'!A83)</f>
        <v>1</v>
      </c>
      <c r="N83" s="689">
        <f t="shared" si="9"/>
        <v>0</v>
      </c>
      <c r="O83" s="1">
        <f>IFERROR(IF(SEARCH(A83,_xlfn.ARRAYTOTEXT('Bilateral assistance, MAIN DATA'!I$1:I$1408))&gt;0,1,""),0)</f>
        <v>1</v>
      </c>
      <c r="P83" s="46">
        <f>IFERROR(IF(SEARCH(A83,_xlfn.ARRAYTOTEXT('Commercial assistance'!I$1:I$1400))&gt;0,1,""),0)</f>
        <v>0</v>
      </c>
    </row>
    <row r="84" spans="1:16" ht="15" customHeight="1">
      <c r="A84" s="424" t="s">
        <v>3414</v>
      </c>
      <c r="B84" s="709" t="s">
        <v>3235</v>
      </c>
      <c r="C84" s="710" t="s">
        <v>3236</v>
      </c>
      <c r="D84" s="711">
        <v>0</v>
      </c>
      <c r="E84" s="686">
        <f t="shared" si="7"/>
        <v>1</v>
      </c>
      <c r="F84" s="452">
        <v>3800</v>
      </c>
      <c r="G84" s="687" t="str">
        <f t="shared" si="6"/>
        <v>USD</v>
      </c>
      <c r="H84" s="652" t="s">
        <v>3415</v>
      </c>
      <c r="I84" s="424" t="s">
        <v>3308</v>
      </c>
      <c r="J84" s="424" t="s">
        <v>3416</v>
      </c>
      <c r="K84" s="688" t="str">
        <f t="shared" si="8"/>
        <v>no price, 0 count</v>
      </c>
      <c r="L84" s="310">
        <f>SUMIFS('Bilateral assistance, MAIN DATA'!M:M,'Bilateral assistance, MAIN DATA'!I:I,'Price List, Weapons &amp; Items'!A84)</f>
        <v>0</v>
      </c>
      <c r="M84" s="46">
        <f>COUNTIFS('Bilateral assistance, MAIN DATA'!M:M,"undisclosed",'Bilateral assistance, MAIN DATA'!I:I,'Price List, Weapons &amp; Items'!A84)</f>
        <v>2</v>
      </c>
      <c r="N84" s="689">
        <f t="shared" si="9"/>
        <v>0</v>
      </c>
      <c r="O84" s="1">
        <f>IFERROR(IF(SEARCH(A84,_xlfn.ARRAYTOTEXT('Bilateral assistance, MAIN DATA'!I$1:I$1408))&gt;0,1,""),0)</f>
        <v>1</v>
      </c>
      <c r="P84" s="46">
        <f>IFERROR(IF(SEARCH(A84,_xlfn.ARRAYTOTEXT('Commercial assistance'!I$1:I$1400))&gt;0,1,""),0)</f>
        <v>0</v>
      </c>
    </row>
    <row r="85" spans="1:16" ht="15" customHeight="1">
      <c r="A85" s="424" t="s">
        <v>3417</v>
      </c>
      <c r="B85" s="684" t="s">
        <v>3300</v>
      </c>
      <c r="C85" s="685" t="s">
        <v>3418</v>
      </c>
      <c r="D85" s="686">
        <v>0</v>
      </c>
      <c r="E85" s="686">
        <f t="shared" si="7"/>
        <v>0</v>
      </c>
      <c r="F85" s="452">
        <v>3661.76</v>
      </c>
      <c r="G85" s="687" t="str">
        <f t="shared" ref="G85:G105" si="10">IF(F85&lt;&gt;".","USD",".")</f>
        <v>USD</v>
      </c>
      <c r="H85" s="652" t="s">
        <v>3419</v>
      </c>
      <c r="I85" s="424" t="s">
        <v>3270</v>
      </c>
      <c r="J85" s="424" t="s">
        <v>3420</v>
      </c>
      <c r="K85" s="688" t="str">
        <f t="shared" si="8"/>
        <v>no price, 0 count</v>
      </c>
      <c r="L85" s="310">
        <f>SUMIFS('Bilateral assistance, MAIN DATA'!M:M,'Bilateral assistance, MAIN DATA'!I:I,'Price List, Weapons &amp; Items'!A85)</f>
        <v>0</v>
      </c>
      <c r="M85" s="46">
        <f>COUNTIFS('Bilateral assistance, MAIN DATA'!M:M,"undisclosed",'Bilateral assistance, MAIN DATA'!I:I,'Price List, Weapons &amp; Items'!A85)</f>
        <v>1</v>
      </c>
      <c r="N85" s="689">
        <f t="shared" si="9"/>
        <v>0</v>
      </c>
      <c r="O85" s="1">
        <f>IFERROR(IF(SEARCH(A85,_xlfn.ARRAYTOTEXT('Bilateral assistance, MAIN DATA'!I$1:I$1408))&gt;0,1,""),0)</f>
        <v>1</v>
      </c>
      <c r="P85" s="46">
        <f>IFERROR(IF(SEARCH(A85,_xlfn.ARRAYTOTEXT('Commercial assistance'!I$1:I$1400))&gt;0,1,""),0)</f>
        <v>0</v>
      </c>
    </row>
    <row r="86" spans="1:16" ht="15" customHeight="1">
      <c r="A86" s="691" t="s">
        <v>2723</v>
      </c>
      <c r="B86" s="709" t="s">
        <v>3235</v>
      </c>
      <c r="C86" s="710" t="s">
        <v>3374</v>
      </c>
      <c r="D86" s="712">
        <v>0</v>
      </c>
      <c r="E86" s="686">
        <f t="shared" si="7"/>
        <v>0</v>
      </c>
      <c r="F86" s="452">
        <v>2000</v>
      </c>
      <c r="G86" s="687" t="str">
        <f t="shared" si="10"/>
        <v>USD</v>
      </c>
      <c r="H86" s="653" t="s">
        <v>3421</v>
      </c>
      <c r="I86" s="692" t="s">
        <v>3259</v>
      </c>
      <c r="J86" s="424" t="s">
        <v>3422</v>
      </c>
      <c r="K86" s="688" t="str">
        <f t="shared" si="8"/>
        <v>no price, 0 count</v>
      </c>
      <c r="L86" s="310">
        <f>SUMIFS('Bilateral assistance, MAIN DATA'!M:M,'Bilateral assistance, MAIN DATA'!I:I,'Price List, Weapons &amp; Items'!A86)</f>
        <v>0</v>
      </c>
      <c r="M86" s="46">
        <f>COUNTIFS('Bilateral assistance, MAIN DATA'!M:M,"undisclosed",'Bilateral assistance, MAIN DATA'!I:I,'Price List, Weapons &amp; Items'!A86)</f>
        <v>1</v>
      </c>
      <c r="N86" s="689">
        <f t="shared" si="9"/>
        <v>0</v>
      </c>
      <c r="O86" s="1">
        <f>IFERROR(IF(SEARCH(A86,_xlfn.ARRAYTOTEXT('Bilateral assistance, MAIN DATA'!I$1:I$1408))&gt;0,1,""),0)</f>
        <v>1</v>
      </c>
      <c r="P86" s="46">
        <f>IFERROR(IF(SEARCH(A86,_xlfn.ARRAYTOTEXT('Commercial assistance'!I$1:I$1400))&gt;0,1,""),0)</f>
        <v>0</v>
      </c>
    </row>
    <row r="87" spans="1:16" ht="15" customHeight="1">
      <c r="A87" s="691" t="s">
        <v>2725</v>
      </c>
      <c r="B87" s="684" t="s">
        <v>3235</v>
      </c>
      <c r="C87" s="685" t="s">
        <v>3374</v>
      </c>
      <c r="D87" s="552">
        <v>1</v>
      </c>
      <c r="E87" s="686">
        <f t="shared" si="7"/>
        <v>0</v>
      </c>
      <c r="F87" s="452">
        <v>2000</v>
      </c>
      <c r="G87" s="687" t="str">
        <f t="shared" si="10"/>
        <v>USD</v>
      </c>
      <c r="H87" s="653" t="s">
        <v>3421</v>
      </c>
      <c r="I87" s="424" t="s">
        <v>3259</v>
      </c>
      <c r="J87" s="424" t="s">
        <v>3422</v>
      </c>
      <c r="K87" s="688" t="str">
        <f t="shared" si="8"/>
        <v>no price, 0 count</v>
      </c>
      <c r="L87" s="310">
        <f>SUMIFS('Bilateral assistance, MAIN DATA'!M:M,'Bilateral assistance, MAIN DATA'!I:I,'Price List, Weapons &amp; Items'!A87)</f>
        <v>0</v>
      </c>
      <c r="M87" s="46">
        <f>COUNTIFS('Bilateral assistance, MAIN DATA'!M:M,"undisclosed",'Bilateral assistance, MAIN DATA'!I:I,'Price List, Weapons &amp; Items'!A87)</f>
        <v>1</v>
      </c>
      <c r="N87" s="689">
        <f t="shared" si="9"/>
        <v>0</v>
      </c>
      <c r="O87" s="1">
        <f>IFERROR(IF(SEARCH(A87,_xlfn.ARRAYTOTEXT('Bilateral assistance, MAIN DATA'!I$1:I$1408))&gt;0,1,""),0)</f>
        <v>1</v>
      </c>
      <c r="P87" s="46">
        <f>IFERROR(IF(SEARCH(A87,_xlfn.ARRAYTOTEXT('Commercial assistance'!I$1:I$1400))&gt;0,1,""),0)</f>
        <v>0</v>
      </c>
    </row>
    <row r="88" spans="1:16" ht="15" customHeight="1">
      <c r="A88" s="691" t="s">
        <v>889</v>
      </c>
      <c r="B88" s="684" t="s">
        <v>3235</v>
      </c>
      <c r="C88" s="685" t="s">
        <v>3423</v>
      </c>
      <c r="D88" s="552">
        <v>0</v>
      </c>
      <c r="E88" s="686">
        <f t="shared" si="7"/>
        <v>0</v>
      </c>
      <c r="F88" s="452">
        <v>2000</v>
      </c>
      <c r="G88" s="687" t="str">
        <f t="shared" si="10"/>
        <v>USD</v>
      </c>
      <c r="H88" s="653" t="s">
        <v>3421</v>
      </c>
      <c r="I88" s="424" t="s">
        <v>3259</v>
      </c>
      <c r="J88" s="424" t="s">
        <v>3424</v>
      </c>
      <c r="K88" s="688" t="str">
        <f t="shared" si="8"/>
        <v>no price, 0 count</v>
      </c>
      <c r="L88" s="310">
        <f>SUMIFS('Bilateral assistance, MAIN DATA'!M:M,'Bilateral assistance, MAIN DATA'!I:I,'Price List, Weapons &amp; Items'!A88)</f>
        <v>0</v>
      </c>
      <c r="M88" s="46">
        <f>COUNTIFS('Bilateral assistance, MAIN DATA'!M:M,"undisclosed",'Bilateral assistance, MAIN DATA'!I:I,'Price List, Weapons &amp; Items'!A88)</f>
        <v>1</v>
      </c>
      <c r="N88" s="689">
        <f t="shared" si="9"/>
        <v>0</v>
      </c>
      <c r="O88" s="1">
        <f>IFERROR(IF(SEARCH(A88,_xlfn.ARRAYTOTEXT('Bilateral assistance, MAIN DATA'!I$1:I$1408))&gt;0,1,""),0)</f>
        <v>1</v>
      </c>
      <c r="P88" s="46">
        <f>IFERROR(IF(SEARCH(A88,_xlfn.ARRAYTOTEXT('Commercial assistance'!I$1:I$1400))&gt;0,1,""),0)</f>
        <v>0</v>
      </c>
    </row>
    <row r="89" spans="1:16" ht="15" customHeight="1">
      <c r="A89" s="424" t="s">
        <v>3425</v>
      </c>
      <c r="B89" s="684" t="s">
        <v>3284</v>
      </c>
      <c r="C89" s="685" t="s">
        <v>3364</v>
      </c>
      <c r="D89" s="686">
        <v>0</v>
      </c>
      <c r="E89" s="686">
        <f t="shared" si="7"/>
        <v>0</v>
      </c>
      <c r="F89" s="452">
        <v>1475</v>
      </c>
      <c r="G89" s="687" t="str">
        <f t="shared" si="10"/>
        <v>USD</v>
      </c>
      <c r="H89" s="653" t="s">
        <v>3426</v>
      </c>
      <c r="I89" s="424" t="s">
        <v>3262</v>
      </c>
      <c r="J89" s="424" t="s">
        <v>3427</v>
      </c>
      <c r="K89" s="688" t="str">
        <f t="shared" si="8"/>
        <v>no price, 0 count</v>
      </c>
      <c r="L89" s="310">
        <f>SUMIFS('Bilateral assistance, MAIN DATA'!M:M,'Bilateral assistance, MAIN DATA'!I:I,'Price List, Weapons &amp; Items'!A89)</f>
        <v>0</v>
      </c>
      <c r="M89" s="46">
        <f>COUNTIFS('Bilateral assistance, MAIN DATA'!M:M,"undisclosed",'Bilateral assistance, MAIN DATA'!I:I,'Price List, Weapons &amp; Items'!A89)</f>
        <v>1</v>
      </c>
      <c r="N89" s="689">
        <f t="shared" si="9"/>
        <v>0</v>
      </c>
      <c r="O89" s="1">
        <f>IFERROR(IF(SEARCH(A89,_xlfn.ARRAYTOTEXT('Bilateral assistance, MAIN DATA'!I$1:I$1408))&gt;0,1,""),0)</f>
        <v>1</v>
      </c>
      <c r="P89" s="46">
        <f>IFERROR(IF(SEARCH(A89,_xlfn.ARRAYTOTEXT('Commercial assistance'!I$1:I$1400))&gt;0,1,""),0)</f>
        <v>0</v>
      </c>
    </row>
    <row r="90" spans="1:16" ht="15" customHeight="1">
      <c r="A90" s="424" t="s">
        <v>1975</v>
      </c>
      <c r="B90" s="684" t="s">
        <v>3248</v>
      </c>
      <c r="C90" s="685" t="s">
        <v>3364</v>
      </c>
      <c r="D90" s="686">
        <v>0</v>
      </c>
      <c r="E90" s="686">
        <f t="shared" si="7"/>
        <v>0</v>
      </c>
      <c r="F90" s="452">
        <v>2462.4299999999998</v>
      </c>
      <c r="G90" s="687" t="str">
        <f t="shared" si="10"/>
        <v>USD</v>
      </c>
      <c r="H90" s="652" t="s">
        <v>3428</v>
      </c>
      <c r="I90" s="424" t="s">
        <v>3266</v>
      </c>
      <c r="J90" s="424" t="s">
        <v>3429</v>
      </c>
      <c r="K90" s="688" t="str">
        <f t="shared" si="8"/>
        <v>no price, 0 count</v>
      </c>
      <c r="L90" s="310">
        <f>SUMIFS('Bilateral assistance, MAIN DATA'!M:M,'Bilateral assistance, MAIN DATA'!I:I,'Price List, Weapons &amp; Items'!A90)</f>
        <v>0</v>
      </c>
      <c r="M90" s="46">
        <f>COUNTIFS('Bilateral assistance, MAIN DATA'!M:M,"undisclosed",'Bilateral assistance, MAIN DATA'!I:I,'Price List, Weapons &amp; Items'!A90)</f>
        <v>1</v>
      </c>
      <c r="N90" s="689">
        <f t="shared" si="9"/>
        <v>0</v>
      </c>
      <c r="O90" s="1">
        <f>IFERROR(IF(SEARCH(A90,_xlfn.ARRAYTOTEXT('Bilateral assistance, MAIN DATA'!I$1:I$1408))&gt;0,1,""),0)</f>
        <v>1</v>
      </c>
      <c r="P90" s="46">
        <f>IFERROR(IF(SEARCH(A90,_xlfn.ARRAYTOTEXT('Commercial assistance'!I$1:I$1400))&gt;0,1,""),0)</f>
        <v>0</v>
      </c>
    </row>
    <row r="91" spans="1:16" ht="15" customHeight="1">
      <c r="A91" s="691" t="s">
        <v>2721</v>
      </c>
      <c r="B91" s="684" t="s">
        <v>3284</v>
      </c>
      <c r="C91" s="685" t="s">
        <v>3364</v>
      </c>
      <c r="D91" s="552">
        <v>0</v>
      </c>
      <c r="E91" s="686">
        <f t="shared" si="7"/>
        <v>0</v>
      </c>
      <c r="F91" s="452">
        <v>1100</v>
      </c>
      <c r="G91" s="687" t="str">
        <f t="shared" si="10"/>
        <v>USD</v>
      </c>
      <c r="H91" s="653" t="s">
        <v>3430</v>
      </c>
      <c r="I91" s="424" t="s">
        <v>3259</v>
      </c>
      <c r="J91" s="424" t="s">
        <v>3431</v>
      </c>
      <c r="K91" s="688" t="str">
        <f t="shared" si="8"/>
        <v>no price, 0 count</v>
      </c>
      <c r="L91" s="310">
        <f>SUMIFS('Bilateral assistance, MAIN DATA'!M:M,'Bilateral assistance, MAIN DATA'!I:I,'Price List, Weapons &amp; Items'!A91)</f>
        <v>0</v>
      </c>
      <c r="M91" s="46">
        <f>COUNTIFS('Bilateral assistance, MAIN DATA'!M:M,"undisclosed",'Bilateral assistance, MAIN DATA'!I:I,'Price List, Weapons &amp; Items'!A91)</f>
        <v>1</v>
      </c>
      <c r="N91" s="689">
        <f t="shared" si="9"/>
        <v>0</v>
      </c>
      <c r="O91" s="1">
        <f>IFERROR(IF(SEARCH(A91,_xlfn.ARRAYTOTEXT('Bilateral assistance, MAIN DATA'!I$1:I$1408))&gt;0,1,""),0)</f>
        <v>1</v>
      </c>
      <c r="P91" s="46">
        <f>IFERROR(IF(SEARCH(A91,_xlfn.ARRAYTOTEXT('Commercial assistance'!I$1:I$1400))&gt;0,1,""),0)</f>
        <v>0</v>
      </c>
    </row>
    <row r="92" spans="1:16" ht="15" customHeight="1">
      <c r="A92" s="691" t="s">
        <v>2731</v>
      </c>
      <c r="B92" s="684" t="s">
        <v>3300</v>
      </c>
      <c r="C92" s="685" t="s">
        <v>3418</v>
      </c>
      <c r="D92" s="552">
        <v>0</v>
      </c>
      <c r="E92" s="686">
        <f t="shared" si="7"/>
        <v>0</v>
      </c>
      <c r="F92" s="452">
        <v>1082</v>
      </c>
      <c r="G92" s="687" t="str">
        <f t="shared" si="10"/>
        <v>USD</v>
      </c>
      <c r="H92" s="653" t="s">
        <v>3432</v>
      </c>
      <c r="I92" s="424" t="s">
        <v>3270</v>
      </c>
      <c r="J92" s="424" t="s">
        <v>3433</v>
      </c>
      <c r="K92" s="688" t="str">
        <f t="shared" si="8"/>
        <v>no price, 0 count</v>
      </c>
      <c r="L92" s="310">
        <f>SUMIFS('Bilateral assistance, MAIN DATA'!M:M,'Bilateral assistance, MAIN DATA'!I:I,'Price List, Weapons &amp; Items'!A92)</f>
        <v>0</v>
      </c>
      <c r="M92" s="46">
        <f>COUNTIFS('Bilateral assistance, MAIN DATA'!M:M,"undisclosed",'Bilateral assistance, MAIN DATA'!I:I,'Price List, Weapons &amp; Items'!A92)</f>
        <v>1</v>
      </c>
      <c r="N92" s="689">
        <f t="shared" si="9"/>
        <v>0</v>
      </c>
      <c r="O92" s="1">
        <f>IFERROR(IF(SEARCH(A92,_xlfn.ARRAYTOTEXT('Bilateral assistance, MAIN DATA'!I$1:I$1408))&gt;0,1,""),0)</f>
        <v>1</v>
      </c>
      <c r="P92" s="46">
        <f>IFERROR(IF(SEARCH(A92,_xlfn.ARRAYTOTEXT('Commercial assistance'!I$1:I$1400))&gt;0,1,""),0)</f>
        <v>0</v>
      </c>
    </row>
    <row r="93" spans="1:16" ht="15" customHeight="1">
      <c r="A93" s="424" t="s">
        <v>3434</v>
      </c>
      <c r="B93" s="684" t="s">
        <v>3248</v>
      </c>
      <c r="C93" s="685" t="s">
        <v>3268</v>
      </c>
      <c r="D93" s="686">
        <v>0</v>
      </c>
      <c r="E93" s="686">
        <f t="shared" si="7"/>
        <v>0</v>
      </c>
      <c r="F93" s="452">
        <v>800</v>
      </c>
      <c r="G93" s="687" t="str">
        <f t="shared" si="10"/>
        <v>USD</v>
      </c>
      <c r="H93" s="653" t="s">
        <v>3435</v>
      </c>
      <c r="I93" s="424" t="s">
        <v>3262</v>
      </c>
      <c r="J93" s="698" t="s">
        <v>3436</v>
      </c>
      <c r="K93" s="688" t="str">
        <f t="shared" si="8"/>
        <v>no price, 0 count</v>
      </c>
      <c r="L93" s="310">
        <f>SUMIFS('Bilateral assistance, MAIN DATA'!M:M,'Bilateral assistance, MAIN DATA'!I:I,'Price List, Weapons &amp; Items'!A93)</f>
        <v>0</v>
      </c>
      <c r="M93" s="46">
        <f>COUNTIFS('Bilateral assistance, MAIN DATA'!M:M,"undisclosed",'Bilateral assistance, MAIN DATA'!I:I,'Price List, Weapons &amp; Items'!A93)</f>
        <v>1</v>
      </c>
      <c r="N93" s="689">
        <f t="shared" si="9"/>
        <v>0</v>
      </c>
      <c r="O93" s="1">
        <f>IFERROR(IF(SEARCH(A93,_xlfn.ARRAYTOTEXT('Bilateral assistance, MAIN DATA'!I$1:I$1408))&gt;0,1,""),0)</f>
        <v>1</v>
      </c>
      <c r="P93" s="46">
        <f>IFERROR(IF(SEARCH(A93,_xlfn.ARRAYTOTEXT('Commercial assistance'!I$1:I$1400))&gt;0,1,""),0)</f>
        <v>0</v>
      </c>
    </row>
    <row r="94" spans="1:16" ht="15" customHeight="1">
      <c r="A94" s="691" t="s">
        <v>2727</v>
      </c>
      <c r="B94" s="684" t="s">
        <v>3235</v>
      </c>
      <c r="C94" s="685" t="s">
        <v>3437</v>
      </c>
      <c r="D94" s="552">
        <v>1</v>
      </c>
      <c r="E94" s="686">
        <f t="shared" si="7"/>
        <v>1</v>
      </c>
      <c r="F94" s="452">
        <v>1000</v>
      </c>
      <c r="G94" s="687" t="str">
        <f t="shared" si="10"/>
        <v>USD</v>
      </c>
      <c r="H94" s="653" t="s">
        <v>3438</v>
      </c>
      <c r="I94" s="424" t="s">
        <v>3259</v>
      </c>
      <c r="J94" s="424" t="s">
        <v>3439</v>
      </c>
      <c r="K94" s="688" t="str">
        <f t="shared" si="8"/>
        <v>no price, 0 count</v>
      </c>
      <c r="L94" s="310">
        <f>SUMIFS('Bilateral assistance, MAIN DATA'!M:M,'Bilateral assistance, MAIN DATA'!I:I,'Price List, Weapons &amp; Items'!A94)</f>
        <v>0</v>
      </c>
      <c r="M94" s="46">
        <f>COUNTIFS('Bilateral assistance, MAIN DATA'!M:M,"undisclosed",'Bilateral assistance, MAIN DATA'!I:I,'Price List, Weapons &amp; Items'!A94)</f>
        <v>1</v>
      </c>
      <c r="N94" s="689">
        <f t="shared" si="9"/>
        <v>0</v>
      </c>
      <c r="O94" s="1">
        <f>IFERROR(IF(SEARCH(A94,_xlfn.ARRAYTOTEXT('Bilateral assistance, MAIN DATA'!I$1:I$1408))&gt;0,1,""),0)</f>
        <v>1</v>
      </c>
      <c r="P94" s="46">
        <f>IFERROR(IF(SEARCH(A94,_xlfn.ARRAYTOTEXT('Commercial assistance'!I$1:I$1400))&gt;0,1,""),0)</f>
        <v>0</v>
      </c>
    </row>
    <row r="95" spans="1:16" ht="15" customHeight="1">
      <c r="A95" s="691" t="s">
        <v>2617</v>
      </c>
      <c r="B95" s="684" t="s">
        <v>3248</v>
      </c>
      <c r="C95" s="685" t="s">
        <v>3275</v>
      </c>
      <c r="D95" s="686">
        <v>0</v>
      </c>
      <c r="E95" s="686">
        <f t="shared" si="7"/>
        <v>0</v>
      </c>
      <c r="F95" s="452">
        <v>223.15</v>
      </c>
      <c r="G95" s="687" t="str">
        <f t="shared" si="10"/>
        <v>USD</v>
      </c>
      <c r="H95" s="653" t="s">
        <v>3276</v>
      </c>
      <c r="I95" s="424" t="s">
        <v>3270</v>
      </c>
      <c r="J95" s="424" t="s">
        <v>3277</v>
      </c>
      <c r="K95" s="688" t="str">
        <f t="shared" si="8"/>
        <v>no price, 0 count</v>
      </c>
      <c r="L95" s="310">
        <f>SUMIFS('Bilateral assistance, MAIN DATA'!M:M,'Bilateral assistance, MAIN DATA'!I:I,'Price List, Weapons &amp; Items'!A95)</f>
        <v>0</v>
      </c>
      <c r="M95" s="46">
        <f>COUNTIFS('Bilateral assistance, MAIN DATA'!M:M,"undisclosed",'Bilateral assistance, MAIN DATA'!I:I,'Price List, Weapons &amp; Items'!A95)</f>
        <v>3</v>
      </c>
      <c r="N95" s="689">
        <f t="shared" si="9"/>
        <v>0</v>
      </c>
      <c r="O95" s="1">
        <f>IFERROR(IF(SEARCH(A95,_xlfn.ARRAYTOTEXT('Bilateral assistance, MAIN DATA'!I$1:I$1408))&gt;0,1,""),0)</f>
        <v>1</v>
      </c>
      <c r="P95" s="46">
        <f>IFERROR(IF(SEARCH(A95,_xlfn.ARRAYTOTEXT('Commercial assistance'!I$1:I$1400))&gt;0,1,""),0)</f>
        <v>0</v>
      </c>
    </row>
    <row r="96" spans="1:16" ht="15" customHeight="1">
      <c r="A96" s="424" t="s">
        <v>1925</v>
      </c>
      <c r="B96" s="684" t="s">
        <v>3249</v>
      </c>
      <c r="C96" s="685" t="s">
        <v>3261</v>
      </c>
      <c r="D96" s="686">
        <v>0</v>
      </c>
      <c r="E96" s="686">
        <f t="shared" si="7"/>
        <v>0</v>
      </c>
      <c r="F96" s="452">
        <v>150</v>
      </c>
      <c r="G96" s="687" t="str">
        <f t="shared" si="10"/>
        <v>USD</v>
      </c>
      <c r="H96" s="653" t="s">
        <v>3440</v>
      </c>
      <c r="I96" s="424" t="s">
        <v>3270</v>
      </c>
      <c r="J96" s="424" t="s">
        <v>3441</v>
      </c>
      <c r="K96" s="688" t="str">
        <f t="shared" si="8"/>
        <v>no price, 0 count</v>
      </c>
      <c r="L96" s="310">
        <f>SUMIFS('Bilateral assistance, MAIN DATA'!M:M,'Bilateral assistance, MAIN DATA'!I:I,'Price List, Weapons &amp; Items'!A96)</f>
        <v>0</v>
      </c>
      <c r="M96" s="46">
        <f>COUNTIFS('Bilateral assistance, MAIN DATA'!M:M,"undisclosed",'Bilateral assistance, MAIN DATA'!I:I,'Price List, Weapons &amp; Items'!A96)</f>
        <v>1</v>
      </c>
      <c r="N96" s="689">
        <f t="shared" si="9"/>
        <v>0</v>
      </c>
      <c r="O96" s="1">
        <f>IFERROR(IF(SEARCH(A96,_xlfn.ARRAYTOTEXT('Bilateral assistance, MAIN DATA'!I$1:I$1408))&gt;0,1,""),0)</f>
        <v>1</v>
      </c>
      <c r="P96" s="46">
        <f>IFERROR(IF(SEARCH(A96,_xlfn.ARRAYTOTEXT('Commercial assistance'!I$1:I$1400))&gt;0,1,""),0)</f>
        <v>0</v>
      </c>
    </row>
    <row r="97" spans="1:16" ht="15" customHeight="1">
      <c r="A97" s="707" t="s">
        <v>3442</v>
      </c>
      <c r="B97" s="684" t="s">
        <v>729</v>
      </c>
      <c r="C97" s="685" t="s">
        <v>232</v>
      </c>
      <c r="D97" s="686">
        <v>0</v>
      </c>
      <c r="E97" s="686">
        <f t="shared" si="7"/>
        <v>0</v>
      </c>
      <c r="F97" s="452">
        <v>99.18</v>
      </c>
      <c r="G97" s="687" t="str">
        <f t="shared" si="10"/>
        <v>USD</v>
      </c>
      <c r="H97" s="658" t="s">
        <v>3443</v>
      </c>
      <c r="I97" s="424" t="s">
        <v>3380</v>
      </c>
      <c r="J97" s="707" t="s">
        <v>3444</v>
      </c>
      <c r="K97" s="688" t="str">
        <f t="shared" si="8"/>
        <v>no price, 0 count</v>
      </c>
      <c r="L97" s="310">
        <f>SUMIFS('Bilateral assistance, MAIN DATA'!M:M,'Bilateral assistance, MAIN DATA'!I:I,'Price List, Weapons &amp; Items'!A97)</f>
        <v>0</v>
      </c>
      <c r="M97" s="46">
        <f>COUNTIFS('Bilateral assistance, MAIN DATA'!M:M,"undisclosed",'Bilateral assistance, MAIN DATA'!I:I,'Price List, Weapons &amp; Items'!A97)</f>
        <v>1</v>
      </c>
      <c r="N97" s="689">
        <f t="shared" si="9"/>
        <v>0</v>
      </c>
      <c r="O97" s="1">
        <f>IFERROR(IF(SEARCH(A97,_xlfn.ARRAYTOTEXT('Bilateral assistance, MAIN DATA'!I$1:I$1408))&gt;0,1,""),0)</f>
        <v>1</v>
      </c>
      <c r="P97" s="46">
        <f>IFERROR(IF(SEARCH(A97,_xlfn.ARRAYTOTEXT('Commercial assistance'!I$1:I$1400))&gt;0,1,""),0)</f>
        <v>0</v>
      </c>
    </row>
    <row r="98" spans="1:16" ht="15" customHeight="1">
      <c r="A98" s="691" t="s">
        <v>2616</v>
      </c>
      <c r="B98" s="684" t="s">
        <v>729</v>
      </c>
      <c r="C98" s="685" t="s">
        <v>232</v>
      </c>
      <c r="D98" s="686">
        <v>0</v>
      </c>
      <c r="E98" s="686">
        <f t="shared" si="7"/>
        <v>0</v>
      </c>
      <c r="F98" s="452">
        <v>90</v>
      </c>
      <c r="G98" s="687" t="str">
        <f t="shared" si="10"/>
        <v>USD</v>
      </c>
      <c r="H98" s="652" t="s">
        <v>3278</v>
      </c>
      <c r="I98" s="424" t="s">
        <v>3259</v>
      </c>
      <c r="J98" s="424" t="s">
        <v>3279</v>
      </c>
      <c r="K98" s="688" t="str">
        <f t="shared" si="8"/>
        <v>no price, 0 count</v>
      </c>
      <c r="L98" s="310">
        <f>SUMIFS('Bilateral assistance, MAIN DATA'!M:M,'Bilateral assistance, MAIN DATA'!I:I,'Price List, Weapons &amp; Items'!A98)</f>
        <v>0</v>
      </c>
      <c r="M98" s="46">
        <f>COUNTIFS('Bilateral assistance, MAIN DATA'!M:M,"undisclosed",'Bilateral assistance, MAIN DATA'!I:I,'Price List, Weapons &amp; Items'!A98)</f>
        <v>2</v>
      </c>
      <c r="N98" s="689">
        <f t="shared" si="9"/>
        <v>0</v>
      </c>
      <c r="O98" s="1">
        <f>IFERROR(IF(SEARCH(A98,_xlfn.ARRAYTOTEXT('Bilateral assistance, MAIN DATA'!I$1:I$1408))&gt;0,1,""),0)</f>
        <v>1</v>
      </c>
      <c r="P98" s="46">
        <f>IFERROR(IF(SEARCH(A98,_xlfn.ARRAYTOTEXT('Commercial assistance'!I$1:I$1400))&gt;0,1,""),0)</f>
        <v>0</v>
      </c>
    </row>
    <row r="99" spans="1:16" ht="15" customHeight="1">
      <c r="A99" s="699" t="s">
        <v>2697</v>
      </c>
      <c r="B99" s="684" t="s">
        <v>729</v>
      </c>
      <c r="C99" s="41" t="s">
        <v>232</v>
      </c>
      <c r="D99" s="708">
        <v>0</v>
      </c>
      <c r="E99" s="686">
        <f t="shared" si="7"/>
        <v>0</v>
      </c>
      <c r="F99" s="452">
        <v>90</v>
      </c>
      <c r="G99" s="687" t="str">
        <f t="shared" si="10"/>
        <v>USD</v>
      </c>
      <c r="H99" s="653" t="s">
        <v>3278</v>
      </c>
      <c r="I99" s="424" t="s">
        <v>3259</v>
      </c>
      <c r="J99" s="424" t="s">
        <v>3445</v>
      </c>
      <c r="K99" s="688" t="str">
        <f t="shared" si="8"/>
        <v>no price, 0 count</v>
      </c>
      <c r="L99" s="310">
        <f>SUMIFS('Bilateral assistance, MAIN DATA'!M:M,'Bilateral assistance, MAIN DATA'!I:I,'Price List, Weapons &amp; Items'!A99)</f>
        <v>0</v>
      </c>
      <c r="M99" s="46">
        <f>COUNTIFS('Bilateral assistance, MAIN DATA'!M:M,"undisclosed",'Bilateral assistance, MAIN DATA'!I:I,'Price List, Weapons &amp; Items'!A99)</f>
        <v>3</v>
      </c>
      <c r="N99" s="689">
        <f t="shared" si="9"/>
        <v>0</v>
      </c>
      <c r="O99" s="1">
        <f>IFERROR(IF(SEARCH(A99,_xlfn.ARRAYTOTEXT('Bilateral assistance, MAIN DATA'!I$1:I$1408))&gt;0,1,""),0)</f>
        <v>1</v>
      </c>
      <c r="P99" s="46">
        <f>IFERROR(IF(SEARCH(A99,_xlfn.ARRAYTOTEXT('Commercial assistance'!I$1:I$1400))&gt;0,1,""),0)</f>
        <v>0</v>
      </c>
    </row>
    <row r="100" spans="1:16" ht="15" customHeight="1">
      <c r="A100" s="424" t="s">
        <v>3446</v>
      </c>
      <c r="B100" s="684" t="s">
        <v>729</v>
      </c>
      <c r="C100" s="685" t="s">
        <v>232</v>
      </c>
      <c r="D100" s="686">
        <v>0</v>
      </c>
      <c r="E100" s="686">
        <f t="shared" si="7"/>
        <v>0</v>
      </c>
      <c r="F100" s="452">
        <v>62</v>
      </c>
      <c r="G100" s="687" t="str">
        <f t="shared" si="10"/>
        <v>USD</v>
      </c>
      <c r="H100" s="652" t="s">
        <v>3447</v>
      </c>
      <c r="I100" s="424" t="s">
        <v>3266</v>
      </c>
      <c r="J100" s="424" t="s">
        <v>3448</v>
      </c>
      <c r="K100" s="688" t="str">
        <f t="shared" si="8"/>
        <v>no price, 0 count</v>
      </c>
      <c r="L100" s="310">
        <f>SUMIFS('Bilateral assistance, MAIN DATA'!M:M,'Bilateral assistance, MAIN DATA'!I:I,'Price List, Weapons &amp; Items'!A100)</f>
        <v>0</v>
      </c>
      <c r="M100" s="46">
        <f>COUNTIFS('Bilateral assistance, MAIN DATA'!M:M,"undisclosed",'Bilateral assistance, MAIN DATA'!I:I,'Price List, Weapons &amp; Items'!A100)</f>
        <v>2</v>
      </c>
      <c r="N100" s="689">
        <f t="shared" si="9"/>
        <v>0</v>
      </c>
      <c r="O100" s="1">
        <f>IFERROR(IF(SEARCH(A100,_xlfn.ARRAYTOTEXT('Bilateral assistance, MAIN DATA'!I$1:I$1408))&gt;0,1,""),0)</f>
        <v>1</v>
      </c>
      <c r="P100" s="46">
        <f>IFERROR(IF(SEARCH(A100,_xlfn.ARRAYTOTEXT('Commercial assistance'!I$1:I$1400))&gt;0,1,""),0)</f>
        <v>0</v>
      </c>
    </row>
    <row r="101" spans="1:16" ht="15" customHeight="1">
      <c r="A101" s="424" t="s">
        <v>3449</v>
      </c>
      <c r="B101" s="684" t="s">
        <v>729</v>
      </c>
      <c r="C101" s="685" t="s">
        <v>232</v>
      </c>
      <c r="D101" s="552">
        <v>0</v>
      </c>
      <c r="E101" s="686">
        <f t="shared" si="7"/>
        <v>0</v>
      </c>
      <c r="F101" s="452">
        <v>40</v>
      </c>
      <c r="G101" s="687" t="str">
        <f t="shared" si="10"/>
        <v>USD</v>
      </c>
      <c r="H101" s="652" t="s">
        <v>3450</v>
      </c>
      <c r="I101" s="424" t="s">
        <v>3266</v>
      </c>
      <c r="J101" s="424" t="s">
        <v>3451</v>
      </c>
      <c r="K101" s="688" t="str">
        <f t="shared" si="8"/>
        <v>no price, 0 count</v>
      </c>
      <c r="L101" s="310">
        <f>SUMIFS('Bilateral assistance, MAIN DATA'!M:M,'Bilateral assistance, MAIN DATA'!I:I,'Price List, Weapons &amp; Items'!A101)</f>
        <v>0</v>
      </c>
      <c r="M101" s="46">
        <f>COUNTIFS('Bilateral assistance, MAIN DATA'!M:M,"undisclosed",'Bilateral assistance, MAIN DATA'!I:I,'Price List, Weapons &amp; Items'!A101)</f>
        <v>1</v>
      </c>
      <c r="N101" s="689">
        <f t="shared" si="9"/>
        <v>0</v>
      </c>
      <c r="O101" s="1">
        <f>IFERROR(IF(SEARCH(A101,_xlfn.ARRAYTOTEXT('Bilateral assistance, MAIN DATA'!I$1:I$1408))&gt;0,1,""),0)</f>
        <v>1</v>
      </c>
      <c r="P101" s="46">
        <f>IFERROR(IF(SEARCH(A101,_xlfn.ARRAYTOTEXT('Commercial assistance'!I$1:I$1400))&gt;0,1,""),0)</f>
        <v>0</v>
      </c>
    </row>
    <row r="102" spans="1:16" ht="15" customHeight="1">
      <c r="A102" s="691" t="s">
        <v>3452</v>
      </c>
      <c r="B102" s="684" t="s">
        <v>729</v>
      </c>
      <c r="C102" s="685" t="s">
        <v>232</v>
      </c>
      <c r="D102" s="686">
        <v>0</v>
      </c>
      <c r="E102" s="686">
        <f t="shared" si="7"/>
        <v>0</v>
      </c>
      <c r="F102" s="452">
        <v>35</v>
      </c>
      <c r="G102" s="687" t="str">
        <f t="shared" si="10"/>
        <v>USD</v>
      </c>
      <c r="H102" s="652" t="s">
        <v>3453</v>
      </c>
      <c r="I102" s="424" t="s">
        <v>3266</v>
      </c>
      <c r="J102" s="424" t="s">
        <v>3454</v>
      </c>
      <c r="K102" s="688" t="str">
        <f t="shared" si="8"/>
        <v>no price, 0 count</v>
      </c>
      <c r="L102" s="310">
        <f>SUMIFS('Bilateral assistance, MAIN DATA'!M:M,'Bilateral assistance, MAIN DATA'!I:I,'Price List, Weapons &amp; Items'!A102)</f>
        <v>0</v>
      </c>
      <c r="M102" s="46">
        <f>COUNTIFS('Bilateral assistance, MAIN DATA'!M:M,"undisclosed",'Bilateral assistance, MAIN DATA'!I:I,'Price List, Weapons &amp; Items'!A102)</f>
        <v>1</v>
      </c>
      <c r="N102" s="689">
        <f t="shared" si="9"/>
        <v>0</v>
      </c>
      <c r="O102" s="1">
        <f>IFERROR(IF(SEARCH(A102,_xlfn.ARRAYTOTEXT('Bilateral assistance, MAIN DATA'!I$1:I$1408))&gt;0,1,""),0)</f>
        <v>1</v>
      </c>
      <c r="P102" s="46">
        <f>IFERROR(IF(SEARCH(A102,_xlfn.ARRAYTOTEXT('Commercial assistance'!I$1:I$1400))&gt;0,1,""),0)</f>
        <v>0</v>
      </c>
    </row>
    <row r="103" spans="1:16" ht="15" customHeight="1">
      <c r="A103" s="424" t="s">
        <v>3455</v>
      </c>
      <c r="B103" s="684" t="s">
        <v>3243</v>
      </c>
      <c r="C103" s="685" t="s">
        <v>232</v>
      </c>
      <c r="D103" s="686">
        <v>0</v>
      </c>
      <c r="E103" s="686">
        <f t="shared" si="7"/>
        <v>0</v>
      </c>
      <c r="F103" s="452">
        <v>16.5</v>
      </c>
      <c r="G103" s="687" t="str">
        <f t="shared" si="10"/>
        <v>USD</v>
      </c>
      <c r="H103" s="653" t="s">
        <v>3456</v>
      </c>
      <c r="I103" s="424" t="s">
        <v>3270</v>
      </c>
      <c r="J103" s="424" t="s">
        <v>3457</v>
      </c>
      <c r="K103" s="688" t="str">
        <f t="shared" si="8"/>
        <v>no price, 0 count</v>
      </c>
      <c r="L103" s="310">
        <f>SUMIFS('Bilateral assistance, MAIN DATA'!M:M,'Bilateral assistance, MAIN DATA'!I:I,'Price List, Weapons &amp; Items'!A103)</f>
        <v>0</v>
      </c>
      <c r="M103" s="46">
        <f>COUNTIFS('Bilateral assistance, MAIN DATA'!M:M,"undisclosed",'Bilateral assistance, MAIN DATA'!I:I,'Price List, Weapons &amp; Items'!A103)</f>
        <v>2</v>
      </c>
      <c r="N103" s="689">
        <f t="shared" si="9"/>
        <v>0</v>
      </c>
      <c r="O103" s="1">
        <f>IFERROR(IF(SEARCH(A103,_xlfn.ARRAYTOTEXT('Bilateral assistance, MAIN DATA'!I$1:I$1408))&gt;0,1,""),0)</f>
        <v>1</v>
      </c>
      <c r="P103" s="46">
        <f>IFERROR(IF(SEARCH(A103,_xlfn.ARRAYTOTEXT('Commercial assistance'!I$1:I$1400))&gt;0,1,""),0)</f>
        <v>0</v>
      </c>
    </row>
    <row r="104" spans="1:16" ht="15" customHeight="1">
      <c r="A104" s="424" t="s">
        <v>3458</v>
      </c>
      <c r="B104" s="684" t="s">
        <v>729</v>
      </c>
      <c r="C104" s="685" t="s">
        <v>232</v>
      </c>
      <c r="D104" s="686">
        <v>0</v>
      </c>
      <c r="E104" s="686">
        <f t="shared" si="7"/>
        <v>0</v>
      </c>
      <c r="F104" s="452">
        <v>1.29</v>
      </c>
      <c r="G104" s="687" t="str">
        <f t="shared" si="10"/>
        <v>USD</v>
      </c>
      <c r="H104" s="653" t="s">
        <v>3459</v>
      </c>
      <c r="I104" s="424" t="s">
        <v>3270</v>
      </c>
      <c r="J104" s="424" t="s">
        <v>3460</v>
      </c>
      <c r="K104" s="688" t="str">
        <f t="shared" si="8"/>
        <v>no price, 0 count</v>
      </c>
      <c r="L104" s="310">
        <f>SUMIFS('Bilateral assistance, MAIN DATA'!M:M,'Bilateral assistance, MAIN DATA'!I:I,'Price List, Weapons &amp; Items'!A104)</f>
        <v>0</v>
      </c>
      <c r="M104" s="46">
        <f>COUNTIFS('Bilateral assistance, MAIN DATA'!M:M,"undisclosed",'Bilateral assistance, MAIN DATA'!I:I,'Price List, Weapons &amp; Items'!A104)</f>
        <v>1</v>
      </c>
      <c r="N104" s="689">
        <f t="shared" si="9"/>
        <v>0</v>
      </c>
      <c r="O104" s="1">
        <f>IFERROR(IF(SEARCH(A104,_xlfn.ARRAYTOTEXT('Bilateral assistance, MAIN DATA'!I$1:I$1408))&gt;0,1,""),0)</f>
        <v>1</v>
      </c>
      <c r="P104" s="46">
        <f>IFERROR(IF(SEARCH(A104,_xlfn.ARRAYTOTEXT('Commercial assistance'!I$1:I$1400))&gt;0,1,""),0)</f>
        <v>0</v>
      </c>
    </row>
    <row r="105" spans="1:16" ht="15" customHeight="1">
      <c r="A105" s="691" t="s">
        <v>3461</v>
      </c>
      <c r="B105" s="684" t="s">
        <v>3243</v>
      </c>
      <c r="C105" s="685" t="s">
        <v>3244</v>
      </c>
      <c r="D105" s="686">
        <v>0</v>
      </c>
      <c r="E105" s="686">
        <f t="shared" si="7"/>
        <v>0</v>
      </c>
      <c r="F105" s="452">
        <v>0.41799999999999998</v>
      </c>
      <c r="G105" s="687" t="str">
        <f t="shared" si="10"/>
        <v>USD</v>
      </c>
      <c r="H105" s="652" t="s">
        <v>3462</v>
      </c>
      <c r="I105" s="424" t="s">
        <v>3266</v>
      </c>
      <c r="J105" s="424" t="s">
        <v>3463</v>
      </c>
      <c r="K105" s="688" t="str">
        <f t="shared" si="8"/>
        <v>no price, 0 count</v>
      </c>
      <c r="L105" s="310">
        <f>SUMIFS('Bilateral assistance, MAIN DATA'!M:M,'Bilateral assistance, MAIN DATA'!I:I,'Price List, Weapons &amp; Items'!A105)</f>
        <v>0</v>
      </c>
      <c r="M105" s="46">
        <f>COUNTIFS('Bilateral assistance, MAIN DATA'!M:M,"undisclosed",'Bilateral assistance, MAIN DATA'!I:I,'Price List, Weapons &amp; Items'!A105)</f>
        <v>1</v>
      </c>
      <c r="N105" s="689">
        <f t="shared" si="9"/>
        <v>0</v>
      </c>
      <c r="O105" s="1">
        <f>IFERROR(IF(SEARCH(A105,_xlfn.ARRAYTOTEXT('Bilateral assistance, MAIN DATA'!I$1:I$1408))&gt;0,1,""),0)</f>
        <v>1</v>
      </c>
      <c r="P105" s="46">
        <f>IFERROR(IF(SEARCH(A105,_xlfn.ARRAYTOTEXT('Commercial assistance'!I$1:I$1400))&gt;0,1,""),0)</f>
        <v>0</v>
      </c>
    </row>
    <row r="106" spans="1:16" ht="15" customHeight="1">
      <c r="A106" s="424" t="s">
        <v>1604</v>
      </c>
      <c r="B106" s="684" t="s">
        <v>3239</v>
      </c>
      <c r="C106" s="685" t="s">
        <v>2687</v>
      </c>
      <c r="D106" s="552">
        <v>0</v>
      </c>
      <c r="E106" s="552">
        <f t="shared" si="7"/>
        <v>0</v>
      </c>
      <c r="F106" s="452">
        <v>291771.32972527831</v>
      </c>
      <c r="G106" s="88" t="s">
        <v>314</v>
      </c>
      <c r="H106" s="655" t="s">
        <v>3253</v>
      </c>
      <c r="I106" s="424" t="s">
        <v>3254</v>
      </c>
      <c r="J106" s="424" t="s">
        <v>3464</v>
      </c>
      <c r="K106" s="688" t="str">
        <f t="shared" si="8"/>
        <v>no price, 0 count</v>
      </c>
      <c r="L106" s="310">
        <f>SUMIFS('Bilateral assistance, MAIN DATA'!M:M,'Bilateral assistance, MAIN DATA'!I:I,'Price List, Weapons &amp; Items'!A106)</f>
        <v>0</v>
      </c>
      <c r="M106" s="46">
        <f>COUNTIFS('Bilateral assistance, MAIN DATA'!M:M,"undisclosed",'Bilateral assistance, MAIN DATA'!I:I,'Price List, Weapons &amp; Items'!A106)</f>
        <v>1</v>
      </c>
      <c r="N106" s="689">
        <f t="shared" si="9"/>
        <v>0</v>
      </c>
      <c r="O106" s="1">
        <f>IFERROR(IF(SEARCH(A106,_xlfn.ARRAYTOTEXT('Bilateral assistance, MAIN DATA'!I$1:I$1408))&gt;0,1,""),0)</f>
        <v>1</v>
      </c>
      <c r="P106" s="46">
        <f>IFERROR(IF(SEARCH(A106,_xlfn.ARRAYTOTEXT('Commercial assistance'!I$1:I$1400))&gt;0,1,""),0)</f>
        <v>0</v>
      </c>
    </row>
    <row r="107" spans="1:16" ht="15" customHeight="1">
      <c r="A107" s="424" t="s">
        <v>1607</v>
      </c>
      <c r="B107" s="684" t="s">
        <v>3239</v>
      </c>
      <c r="C107" s="685" t="s">
        <v>2687</v>
      </c>
      <c r="D107" s="552">
        <v>0</v>
      </c>
      <c r="E107" s="552">
        <f t="shared" si="7"/>
        <v>0</v>
      </c>
      <c r="F107" s="452">
        <v>291771.32972527831</v>
      </c>
      <c r="G107" s="88" t="s">
        <v>314</v>
      </c>
      <c r="H107" s="655" t="s">
        <v>3253</v>
      </c>
      <c r="I107" s="424" t="s">
        <v>3254</v>
      </c>
      <c r="J107" s="424" t="s">
        <v>3332</v>
      </c>
      <c r="K107" s="688" t="str">
        <f t="shared" si="8"/>
        <v>no price, 0 count</v>
      </c>
      <c r="L107" s="310">
        <f>SUMIFS('Bilateral assistance, MAIN DATA'!M:M,'Bilateral assistance, MAIN DATA'!I:I,'Price List, Weapons &amp; Items'!A107)</f>
        <v>0</v>
      </c>
      <c r="M107" s="46">
        <f>COUNTIFS('Bilateral assistance, MAIN DATA'!M:M,"undisclosed",'Bilateral assistance, MAIN DATA'!I:I,'Price List, Weapons &amp; Items'!A107)</f>
        <v>1</v>
      </c>
      <c r="N107" s="689">
        <f t="shared" si="9"/>
        <v>0</v>
      </c>
      <c r="O107" s="1">
        <f>IFERROR(IF(SEARCH(A107,_xlfn.ARRAYTOTEXT('Bilateral assistance, MAIN DATA'!I$1:I$1408))&gt;0,1,""),0)</f>
        <v>1</v>
      </c>
      <c r="P107" s="46">
        <f>IFERROR(IF(SEARCH(A107,_xlfn.ARRAYTOTEXT('Commercial assistance'!I$1:I$1400))&gt;0,1,""),0)</f>
        <v>0</v>
      </c>
    </row>
    <row r="108" spans="1:16" ht="15" customHeight="1">
      <c r="A108" s="46" t="s">
        <v>2706</v>
      </c>
      <c r="B108" s="684" t="s">
        <v>3248</v>
      </c>
      <c r="C108" s="685" t="s">
        <v>3364</v>
      </c>
      <c r="D108" s="686">
        <v>0</v>
      </c>
      <c r="E108" s="552">
        <f t="shared" si="7"/>
        <v>0</v>
      </c>
      <c r="F108" s="452">
        <v>2099</v>
      </c>
      <c r="G108" s="687" t="str">
        <f>IF(F108&lt;&gt;".","USD",".")</f>
        <v>USD</v>
      </c>
      <c r="H108" s="652" t="s">
        <v>3465</v>
      </c>
      <c r="I108" s="424" t="s">
        <v>3259</v>
      </c>
      <c r="J108" s="424" t="s">
        <v>3466</v>
      </c>
      <c r="K108" s="688" t="str">
        <f t="shared" si="8"/>
        <v>no price, 0 count</v>
      </c>
      <c r="L108" s="310">
        <f>SUMIFS('Bilateral assistance, MAIN DATA'!M:M,'Bilateral assistance, MAIN DATA'!I:I,'Price List, Weapons &amp; Items'!A108)</f>
        <v>0</v>
      </c>
      <c r="M108" s="46">
        <f>COUNTIFS('Bilateral assistance, MAIN DATA'!M:M,"undisclosed",'Bilateral assistance, MAIN DATA'!I:I,'Price List, Weapons &amp; Items'!A108)</f>
        <v>1</v>
      </c>
      <c r="N108" s="689">
        <f t="shared" si="9"/>
        <v>0</v>
      </c>
      <c r="O108" s="1">
        <f>IFERROR(IF(SEARCH(A108,_xlfn.ARRAYTOTEXT('Bilateral assistance, MAIN DATA'!I$1:I$1408))&gt;0,1,""),0)</f>
        <v>1</v>
      </c>
      <c r="P108" s="46">
        <f>IFERROR(IF(SEARCH(A108,_xlfn.ARRAYTOTEXT('Commercial assistance'!I$1:I$1400))&gt;0,1,""),0)</f>
        <v>0</v>
      </c>
    </row>
    <row r="109" spans="1:16" ht="15" customHeight="1">
      <c r="A109" s="41" t="s">
        <v>2794</v>
      </c>
      <c r="B109" s="684" t="s">
        <v>3235</v>
      </c>
      <c r="C109" s="685" t="s">
        <v>3331</v>
      </c>
      <c r="D109" s="552">
        <v>0</v>
      </c>
      <c r="E109" s="552">
        <f t="shared" si="7"/>
        <v>0</v>
      </c>
      <c r="F109" s="452">
        <v>97800</v>
      </c>
      <c r="G109" s="88" t="s">
        <v>314</v>
      </c>
      <c r="H109" s="701" t="s">
        <v>3467</v>
      </c>
      <c r="I109" s="692" t="s">
        <v>3308</v>
      </c>
      <c r="J109" s="424" t="s">
        <v>3468</v>
      </c>
      <c r="K109" s="688" t="str">
        <f t="shared" si="8"/>
        <v>no price, 0 count</v>
      </c>
      <c r="L109" s="310">
        <f>SUMIFS('Bilateral assistance, MAIN DATA'!M:M,'Bilateral assistance, MAIN DATA'!I:I,'Price List, Weapons &amp; Items'!A109)</f>
        <v>0</v>
      </c>
      <c r="M109" s="46">
        <f>COUNTIFS('Bilateral assistance, MAIN DATA'!M:M,"undisclosed",'Bilateral assistance, MAIN DATA'!I:I,'Price List, Weapons &amp; Items'!A109)</f>
        <v>1</v>
      </c>
      <c r="N109" s="689">
        <f t="shared" si="9"/>
        <v>0</v>
      </c>
      <c r="O109" s="1">
        <f>IFERROR(IF(SEARCH(A109,_xlfn.ARRAYTOTEXT('Bilateral assistance, MAIN DATA'!I$1:I$1408))&gt;0,1,""),0)</f>
        <v>1</v>
      </c>
      <c r="P109" s="46">
        <f>IFERROR(IF(SEARCH(A109,_xlfn.ARRAYTOTEXT('Commercial assistance'!I$1:I$1400))&gt;0,1,""),0)</f>
        <v>0</v>
      </c>
    </row>
    <row r="110" spans="1:16" ht="15" customHeight="1">
      <c r="A110" s="524" t="s">
        <v>1251</v>
      </c>
      <c r="B110" s="684" t="s">
        <v>3469</v>
      </c>
      <c r="C110" s="685" t="s">
        <v>2648</v>
      </c>
      <c r="D110" s="552">
        <v>0</v>
      </c>
      <c r="E110" s="552">
        <f t="shared" si="7"/>
        <v>0</v>
      </c>
      <c r="F110" s="452">
        <v>22000</v>
      </c>
      <c r="G110" s="88" t="s">
        <v>314</v>
      </c>
      <c r="H110" s="652" t="s">
        <v>3470</v>
      </c>
      <c r="I110" s="692" t="s">
        <v>3259</v>
      </c>
      <c r="J110" s="424" t="s">
        <v>3471</v>
      </c>
      <c r="K110" s="688">
        <f t="shared" si="8"/>
        <v>1</v>
      </c>
      <c r="L110" s="310">
        <f>SUMIFS('Bilateral assistance, MAIN DATA'!M:M,'Bilateral assistance, MAIN DATA'!I:I,'Price List, Weapons &amp; Items'!A110)</f>
        <v>20</v>
      </c>
      <c r="M110" s="46">
        <f>COUNTIFS('Bilateral assistance, MAIN DATA'!M:M,"undisclosed",'Bilateral assistance, MAIN DATA'!I:I,'Price List, Weapons &amp; Items'!A110)</f>
        <v>0</v>
      </c>
      <c r="N110" s="689">
        <f t="shared" si="9"/>
        <v>440000</v>
      </c>
      <c r="O110" s="1">
        <f>IFERROR(IF(SEARCH(A110,_xlfn.ARRAYTOTEXT('Bilateral assistance, MAIN DATA'!I$1:I$1408))&gt;0,1,""),0)</f>
        <v>1</v>
      </c>
      <c r="P110" s="46">
        <f>IFERROR(IF(SEARCH(A110,_xlfn.ARRAYTOTEXT('Commercial assistance'!I$1:I$1400))&gt;0,1,""),0)</f>
        <v>0</v>
      </c>
    </row>
    <row r="111" spans="1:16" ht="15" customHeight="1">
      <c r="A111" s="512" t="s">
        <v>1252</v>
      </c>
      <c r="B111" s="684" t="s">
        <v>3472</v>
      </c>
      <c r="C111" s="685" t="s">
        <v>232</v>
      </c>
      <c r="D111" s="552">
        <v>0</v>
      </c>
      <c r="E111" s="552">
        <f t="shared" si="7"/>
        <v>0</v>
      </c>
      <c r="F111" s="452">
        <v>2799</v>
      </c>
      <c r="G111" s="88" t="s">
        <v>314</v>
      </c>
      <c r="H111" s="652" t="s">
        <v>3473</v>
      </c>
      <c r="I111" s="692" t="s">
        <v>3259</v>
      </c>
      <c r="J111" s="424" t="s">
        <v>3474</v>
      </c>
      <c r="K111" s="688">
        <f t="shared" si="8"/>
        <v>2</v>
      </c>
      <c r="L111" s="310">
        <f>SUMIFS('Bilateral assistance, MAIN DATA'!M:M,'Bilateral assistance, MAIN DATA'!I:I,'Price List, Weapons &amp; Items'!A111)</f>
        <v>2000</v>
      </c>
      <c r="M111" s="46">
        <f>COUNTIFS('Bilateral assistance, MAIN DATA'!M:M,"undisclosed",'Bilateral assistance, MAIN DATA'!I:I,'Price List, Weapons &amp; Items'!A111)</f>
        <v>0</v>
      </c>
      <c r="N111" s="689">
        <f t="shared" si="9"/>
        <v>5598000</v>
      </c>
      <c r="O111" s="1">
        <f>IFERROR(IF(SEARCH(A111,_xlfn.ARRAYTOTEXT('Bilateral assistance, MAIN DATA'!I$1:I$1408))&gt;0,1,""),0)</f>
        <v>1</v>
      </c>
      <c r="P111" s="46">
        <f>IFERROR(IF(SEARCH(A111,_xlfn.ARRAYTOTEXT('Commercial assistance'!I$1:I$1400))&gt;0,1,""),0)</f>
        <v>0</v>
      </c>
    </row>
    <row r="112" spans="1:16" ht="15" customHeight="1">
      <c r="A112" s="46" t="s">
        <v>2236</v>
      </c>
      <c r="B112" s="39" t="s">
        <v>3239</v>
      </c>
      <c r="C112" s="46" t="s">
        <v>3169</v>
      </c>
      <c r="D112" s="46">
        <v>0</v>
      </c>
      <c r="E112" s="552">
        <f t="shared" si="7"/>
        <v>0</v>
      </c>
      <c r="F112" s="713">
        <v>325604.28000000003</v>
      </c>
      <c r="G112" s="699" t="s">
        <v>314</v>
      </c>
      <c r="H112" s="655" t="s">
        <v>3253</v>
      </c>
      <c r="I112" s="699" t="s">
        <v>3254</v>
      </c>
      <c r="J112" s="699" t="s">
        <v>3475</v>
      </c>
      <c r="K112" s="688" t="str">
        <f t="shared" si="8"/>
        <v>no price, 0 count</v>
      </c>
      <c r="L112" s="310">
        <f>SUMIFS('Bilateral assistance, MAIN DATA'!M:M,'Bilateral assistance, MAIN DATA'!I:I,'Price List, Weapons &amp; Items'!A112)</f>
        <v>0</v>
      </c>
      <c r="M112" s="46">
        <f>COUNTIFS('Bilateral assistance, MAIN DATA'!M:M,"undisclosed",'Bilateral assistance, MAIN DATA'!I:I,'Price List, Weapons &amp; Items'!A112)</f>
        <v>1</v>
      </c>
      <c r="N112" s="689">
        <f t="shared" si="9"/>
        <v>0</v>
      </c>
      <c r="O112" s="1">
        <f>IFERROR(IF(SEARCH(A112,_xlfn.ARRAYTOTEXT('Bilateral assistance, MAIN DATA'!I$1:I$1408))&gt;0,1,""),0)</f>
        <v>1</v>
      </c>
      <c r="P112" s="46">
        <f>IFERROR(IF(SEARCH(A112,_xlfn.ARRAYTOTEXT('Commercial assistance'!I$1:I$1400))&gt;0,1,""),0)</f>
        <v>0</v>
      </c>
    </row>
    <row r="113" spans="1:16" ht="15" customHeight="1">
      <c r="A113" s="528" t="s">
        <v>2733</v>
      </c>
      <c r="B113" s="684" t="s">
        <v>3243</v>
      </c>
      <c r="C113" s="685" t="s">
        <v>3382</v>
      </c>
      <c r="D113" s="552">
        <v>0</v>
      </c>
      <c r="E113" s="686">
        <f t="shared" si="7"/>
        <v>0</v>
      </c>
      <c r="F113" s="452" t="s">
        <v>232</v>
      </c>
      <c r="G113" s="687" t="str">
        <f t="shared" ref="G113:G126" si="11">IF(F113&lt;&gt;".","USD",".")</f>
        <v>.</v>
      </c>
      <c r="H113" s="424" t="s">
        <v>232</v>
      </c>
      <c r="I113" s="424" t="str">
        <f t="shared" ref="I113:I126" si="12">IF(H113&lt;&gt;".",".",".")</f>
        <v>.</v>
      </c>
      <c r="J113" s="424" t="s">
        <v>232</v>
      </c>
      <c r="K113" s="688" t="str">
        <f t="shared" si="8"/>
        <v>no price, 0 count</v>
      </c>
      <c r="L113" s="310">
        <f>SUMIFS('Bilateral assistance, MAIN DATA'!M:M,'Bilateral assistance, MAIN DATA'!I:I,'Price List, Weapons &amp; Items'!A113)</f>
        <v>0</v>
      </c>
      <c r="M113" s="46">
        <f>COUNTIFS('Bilateral assistance, MAIN DATA'!M:M,"undisclosed",'Bilateral assistance, MAIN DATA'!I:I,'Price List, Weapons &amp; Items'!A113)</f>
        <v>1</v>
      </c>
      <c r="N113" s="689" t="str">
        <f t="shared" si="9"/>
        <v>no price</v>
      </c>
      <c r="O113" s="1">
        <f>IFERROR(IF(SEARCH(A113,_xlfn.ARRAYTOTEXT('Bilateral assistance, MAIN DATA'!I$1:I$1408))&gt;0,1,""),0)</f>
        <v>1</v>
      </c>
      <c r="P113" s="46">
        <f>IFERROR(IF(SEARCH(A113,_xlfn.ARRAYTOTEXT('Commercial assistance'!I$1:I$1400))&gt;0,1,""),0)</f>
        <v>0</v>
      </c>
    </row>
    <row r="114" spans="1:16" ht="15" customHeight="1">
      <c r="A114" s="528" t="s">
        <v>3476</v>
      </c>
      <c r="B114" s="684" t="s">
        <v>729</v>
      </c>
      <c r="C114" s="685" t="s">
        <v>232</v>
      </c>
      <c r="D114" s="686">
        <v>0</v>
      </c>
      <c r="E114" s="686">
        <f t="shared" si="7"/>
        <v>0</v>
      </c>
      <c r="F114" s="452" t="s">
        <v>232</v>
      </c>
      <c r="G114" s="687" t="str">
        <f t="shared" si="11"/>
        <v>.</v>
      </c>
      <c r="H114" s="424" t="s">
        <v>232</v>
      </c>
      <c r="I114" s="424" t="str">
        <f t="shared" si="12"/>
        <v>.</v>
      </c>
      <c r="J114" s="424" t="s">
        <v>232</v>
      </c>
      <c r="K114" s="688" t="str">
        <f t="shared" si="8"/>
        <v>no price, 0 count</v>
      </c>
      <c r="L114" s="310">
        <f>SUMIFS('Bilateral assistance, MAIN DATA'!M:M,'Bilateral assistance, MAIN DATA'!I:I,'Price List, Weapons &amp; Items'!A114)</f>
        <v>0</v>
      </c>
      <c r="M114" s="46">
        <f>COUNTIFS('Bilateral assistance, MAIN DATA'!M:M,"undisclosed",'Bilateral assistance, MAIN DATA'!I:I,'Price List, Weapons &amp; Items'!A114)</f>
        <v>1</v>
      </c>
      <c r="N114" s="689" t="str">
        <f t="shared" si="9"/>
        <v>no price</v>
      </c>
      <c r="O114" s="1">
        <f>IFERROR(IF(SEARCH(A114,_xlfn.ARRAYTOTEXT('Bilateral assistance, MAIN DATA'!I$1:I$1408))&gt;0,1,""),0)</f>
        <v>1</v>
      </c>
      <c r="P114" s="46">
        <f>IFERROR(IF(SEARCH(A114,_xlfn.ARRAYTOTEXT('Commercial assistance'!I$1:I$1400))&gt;0,1,""),0)</f>
        <v>0</v>
      </c>
    </row>
    <row r="115" spans="1:16" ht="15" customHeight="1">
      <c r="A115" s="512" t="s">
        <v>3477</v>
      </c>
      <c r="B115" s="684" t="s">
        <v>729</v>
      </c>
      <c r="C115" s="685" t="s">
        <v>232</v>
      </c>
      <c r="D115" s="686">
        <v>0</v>
      </c>
      <c r="E115" s="686">
        <f t="shared" si="7"/>
        <v>0</v>
      </c>
      <c r="F115" s="452" t="s">
        <v>232</v>
      </c>
      <c r="G115" s="687" t="str">
        <f t="shared" si="11"/>
        <v>.</v>
      </c>
      <c r="H115" s="424" t="s">
        <v>232</v>
      </c>
      <c r="I115" s="424" t="str">
        <f t="shared" si="12"/>
        <v>.</v>
      </c>
      <c r="J115" s="424" t="s">
        <v>232</v>
      </c>
      <c r="K115" s="688" t="str">
        <f t="shared" si="8"/>
        <v>no price, 0 count</v>
      </c>
      <c r="L115" s="310">
        <f>SUMIFS('Bilateral assistance, MAIN DATA'!M:M,'Bilateral assistance, MAIN DATA'!I:I,'Price List, Weapons &amp; Items'!A115)</f>
        <v>0</v>
      </c>
      <c r="M115" s="46">
        <f>COUNTIFS('Bilateral assistance, MAIN DATA'!M:M,"undisclosed",'Bilateral assistance, MAIN DATA'!I:I,'Price List, Weapons &amp; Items'!A115)</f>
        <v>1</v>
      </c>
      <c r="N115" s="689" t="str">
        <f t="shared" si="9"/>
        <v>no price</v>
      </c>
      <c r="O115" s="1">
        <f>IFERROR(IF(SEARCH(A115,_xlfn.ARRAYTOTEXT('Bilateral assistance, MAIN DATA'!I$1:I$1408))&gt;0,1,""),0)</f>
        <v>1</v>
      </c>
      <c r="P115" s="46">
        <f>IFERROR(IF(SEARCH(A115,_xlfn.ARRAYTOTEXT('Commercial assistance'!I$1:I$1400))&gt;0,1,""),0)</f>
        <v>0</v>
      </c>
    </row>
    <row r="116" spans="1:16" ht="15" customHeight="1">
      <c r="A116" s="512" t="s">
        <v>3478</v>
      </c>
      <c r="B116" s="684" t="s">
        <v>3235</v>
      </c>
      <c r="C116" s="685" t="s">
        <v>232</v>
      </c>
      <c r="D116" s="686">
        <v>0</v>
      </c>
      <c r="E116" s="686">
        <f t="shared" si="7"/>
        <v>0</v>
      </c>
      <c r="F116" s="452" t="s">
        <v>232</v>
      </c>
      <c r="G116" s="687" t="str">
        <f t="shared" si="11"/>
        <v>.</v>
      </c>
      <c r="H116" s="692" t="s">
        <v>232</v>
      </c>
      <c r="I116" s="424" t="str">
        <f t="shared" si="12"/>
        <v>.</v>
      </c>
      <c r="J116" s="424" t="s">
        <v>232</v>
      </c>
      <c r="K116" s="688" t="str">
        <f t="shared" si="8"/>
        <v>no price, 0 count</v>
      </c>
      <c r="L116" s="310">
        <f>SUMIFS('Bilateral assistance, MAIN DATA'!M:M,'Bilateral assistance, MAIN DATA'!I:I,'Price List, Weapons &amp; Items'!A116)</f>
        <v>0</v>
      </c>
      <c r="M116" s="46">
        <f>COUNTIFS('Bilateral assistance, MAIN DATA'!M:M,"undisclosed",'Bilateral assistance, MAIN DATA'!I:I,'Price List, Weapons &amp; Items'!A116)</f>
        <v>1</v>
      </c>
      <c r="N116" s="689" t="str">
        <f t="shared" si="9"/>
        <v>no price</v>
      </c>
      <c r="O116" s="1">
        <f>IFERROR(IF(SEARCH(A116,_xlfn.ARRAYTOTEXT('Bilateral assistance, MAIN DATA'!I$1:I$1408))&gt;0,1,""),0)</f>
        <v>1</v>
      </c>
      <c r="P116" s="46">
        <f>IFERROR(IF(SEARCH(A116,_xlfn.ARRAYTOTEXT('Commercial assistance'!I$1:I$1400))&gt;0,1,""),0)</f>
        <v>0</v>
      </c>
    </row>
    <row r="117" spans="1:16" ht="15" customHeight="1">
      <c r="A117" s="512" t="s">
        <v>2477</v>
      </c>
      <c r="B117" s="684" t="s">
        <v>729</v>
      </c>
      <c r="C117" s="685" t="s">
        <v>3233</v>
      </c>
      <c r="D117" s="552">
        <v>0</v>
      </c>
      <c r="E117" s="686">
        <f t="shared" si="7"/>
        <v>0</v>
      </c>
      <c r="F117" s="452" t="s">
        <v>232</v>
      </c>
      <c r="G117" s="687" t="str">
        <f t="shared" si="11"/>
        <v>.</v>
      </c>
      <c r="H117" s="692" t="s">
        <v>232</v>
      </c>
      <c r="I117" s="424" t="str">
        <f t="shared" si="12"/>
        <v>.</v>
      </c>
      <c r="J117" s="424" t="s">
        <v>232</v>
      </c>
      <c r="K117" s="688" t="str">
        <f t="shared" si="8"/>
        <v>no price, 0 count</v>
      </c>
      <c r="L117" s="310">
        <f>SUMIFS('Bilateral assistance, MAIN DATA'!M:M,'Bilateral assistance, MAIN DATA'!I:I,'Price List, Weapons &amp; Items'!A117)</f>
        <v>0</v>
      </c>
      <c r="M117" s="46">
        <f>COUNTIFS('Bilateral assistance, MAIN DATA'!M:M,"undisclosed",'Bilateral assistance, MAIN DATA'!I:I,'Price List, Weapons &amp; Items'!A117)</f>
        <v>1</v>
      </c>
      <c r="N117" s="689" t="str">
        <f t="shared" si="9"/>
        <v>no price</v>
      </c>
      <c r="O117" s="1">
        <f>IFERROR(IF(SEARCH(A117,_xlfn.ARRAYTOTEXT('Bilateral assistance, MAIN DATA'!I$1:I$1408))&gt;0,1,""),0)</f>
        <v>1</v>
      </c>
      <c r="P117" s="46">
        <f>IFERROR(IF(SEARCH(A117,_xlfn.ARRAYTOTEXT('Commercial assistance'!I$1:I$1400))&gt;0,1,""),0)</f>
        <v>0</v>
      </c>
    </row>
    <row r="118" spans="1:16" ht="15" customHeight="1">
      <c r="A118" s="512" t="s">
        <v>1541</v>
      </c>
      <c r="B118" s="684" t="s">
        <v>729</v>
      </c>
      <c r="C118" s="685" t="s">
        <v>232</v>
      </c>
      <c r="D118" s="686">
        <v>0</v>
      </c>
      <c r="E118" s="686">
        <f t="shared" si="7"/>
        <v>0</v>
      </c>
      <c r="F118" s="452" t="s">
        <v>232</v>
      </c>
      <c r="G118" s="687" t="str">
        <f t="shared" si="11"/>
        <v>.</v>
      </c>
      <c r="H118" s="424" t="s">
        <v>232</v>
      </c>
      <c r="I118" s="424" t="str">
        <f t="shared" si="12"/>
        <v>.</v>
      </c>
      <c r="J118" s="424" t="s">
        <v>232</v>
      </c>
      <c r="K118" s="688" t="str">
        <f t="shared" si="8"/>
        <v>no price, 0 count</v>
      </c>
      <c r="L118" s="310">
        <f>SUMIFS('Bilateral assistance, MAIN DATA'!M:M,'Bilateral assistance, MAIN DATA'!I:I,'Price List, Weapons &amp; Items'!A118)</f>
        <v>0</v>
      </c>
      <c r="M118" s="46">
        <f>COUNTIFS('Bilateral assistance, MAIN DATA'!M:M,"undisclosed",'Bilateral assistance, MAIN DATA'!I:I,'Price List, Weapons &amp; Items'!A118)</f>
        <v>2</v>
      </c>
      <c r="N118" s="689" t="str">
        <f t="shared" si="9"/>
        <v>no price</v>
      </c>
      <c r="O118" s="1">
        <f>IFERROR(IF(SEARCH(A118,_xlfn.ARRAYTOTEXT('Bilateral assistance, MAIN DATA'!I$1:I$1408))&gt;0,1,""),0)</f>
        <v>1</v>
      </c>
      <c r="P118" s="46">
        <f>IFERROR(IF(SEARCH(A118,_xlfn.ARRAYTOTEXT('Commercial assistance'!I$1:I$1400))&gt;0,1,""),0)</f>
        <v>0</v>
      </c>
    </row>
    <row r="119" spans="1:16" ht="15" customHeight="1">
      <c r="A119" s="512" t="s">
        <v>3479</v>
      </c>
      <c r="B119" s="684" t="s">
        <v>729</v>
      </c>
      <c r="C119" s="685" t="s">
        <v>232</v>
      </c>
      <c r="D119" s="686">
        <v>0</v>
      </c>
      <c r="E119" s="686">
        <f t="shared" si="7"/>
        <v>0</v>
      </c>
      <c r="F119" s="452" t="s">
        <v>232</v>
      </c>
      <c r="G119" s="687" t="str">
        <f t="shared" si="11"/>
        <v>.</v>
      </c>
      <c r="H119" s="692" t="s">
        <v>232</v>
      </c>
      <c r="I119" s="424" t="str">
        <f t="shared" si="12"/>
        <v>.</v>
      </c>
      <c r="J119" s="424" t="s">
        <v>232</v>
      </c>
      <c r="K119" s="688" t="str">
        <f t="shared" si="8"/>
        <v>no price, 0 count</v>
      </c>
      <c r="L119" s="310">
        <f>SUMIFS('Bilateral assistance, MAIN DATA'!M:M,'Bilateral assistance, MAIN DATA'!I:I,'Price List, Weapons &amp; Items'!A119)</f>
        <v>0</v>
      </c>
      <c r="M119" s="46">
        <f>COUNTIFS('Bilateral assistance, MAIN DATA'!M:M,"undisclosed",'Bilateral assistance, MAIN DATA'!I:I,'Price List, Weapons &amp; Items'!A119)</f>
        <v>2</v>
      </c>
      <c r="N119" s="689" t="str">
        <f t="shared" si="9"/>
        <v>no price</v>
      </c>
      <c r="O119" s="1">
        <f>IFERROR(IF(SEARCH(A119,_xlfn.ARRAYTOTEXT('Bilateral assistance, MAIN DATA'!I$1:I$1408))&gt;0,1,""),0)</f>
        <v>1</v>
      </c>
      <c r="P119" s="46">
        <f>IFERROR(IF(SEARCH(A119,_xlfn.ARRAYTOTEXT('Commercial assistance'!I$1:I$1400))&gt;0,1,""),0)</f>
        <v>0</v>
      </c>
    </row>
    <row r="120" spans="1:16" s="18" customFormat="1" ht="15" customHeight="1">
      <c r="A120" s="528" t="s">
        <v>3480</v>
      </c>
      <c r="B120" s="684" t="s">
        <v>3243</v>
      </c>
      <c r="C120" s="685" t="s">
        <v>3244</v>
      </c>
      <c r="D120" s="686">
        <v>0</v>
      </c>
      <c r="E120" s="686">
        <f t="shared" si="7"/>
        <v>0</v>
      </c>
      <c r="F120" s="452" t="s">
        <v>232</v>
      </c>
      <c r="G120" s="687" t="str">
        <f t="shared" si="11"/>
        <v>.</v>
      </c>
      <c r="H120" s="694" t="s">
        <v>232</v>
      </c>
      <c r="I120" s="424" t="str">
        <f t="shared" si="12"/>
        <v>.</v>
      </c>
      <c r="J120" s="707" t="s">
        <v>232</v>
      </c>
      <c r="K120" s="688" t="str">
        <f t="shared" si="8"/>
        <v>no price, 0 count</v>
      </c>
      <c r="L120" s="310">
        <f>SUMIFS('Bilateral assistance, MAIN DATA'!M:M,'Bilateral assistance, MAIN DATA'!I:I,'Price List, Weapons &amp; Items'!A120)</f>
        <v>0</v>
      </c>
      <c r="M120" s="46">
        <f>COUNTIFS('Bilateral assistance, MAIN DATA'!M:M,"undisclosed",'Bilateral assistance, MAIN DATA'!I:I,'Price List, Weapons &amp; Items'!A120)</f>
        <v>1</v>
      </c>
      <c r="N120" s="689" t="str">
        <f t="shared" si="9"/>
        <v>no price</v>
      </c>
      <c r="O120" s="1">
        <f>IFERROR(IF(SEARCH(A120,_xlfn.ARRAYTOTEXT('Bilateral assistance, MAIN DATA'!I$1:I$1408))&gt;0,1,""),0)</f>
        <v>1</v>
      </c>
      <c r="P120" s="46">
        <f>IFERROR(IF(SEARCH(A120,_xlfn.ARRAYTOTEXT('Commercial assistance'!I$1:I$1400))&gt;0,1,""),0)</f>
        <v>0</v>
      </c>
    </row>
    <row r="121" spans="1:16" ht="15" customHeight="1">
      <c r="A121" s="587" t="s">
        <v>3481</v>
      </c>
      <c r="B121" s="684" t="s">
        <v>729</v>
      </c>
      <c r="C121" s="685" t="s">
        <v>232</v>
      </c>
      <c r="D121" s="552">
        <v>0</v>
      </c>
      <c r="E121" s="686">
        <f t="shared" si="7"/>
        <v>0</v>
      </c>
      <c r="F121" s="452" t="s">
        <v>232</v>
      </c>
      <c r="G121" s="687" t="str">
        <f t="shared" si="11"/>
        <v>.</v>
      </c>
      <c r="H121" s="692" t="s">
        <v>232</v>
      </c>
      <c r="I121" s="424" t="str">
        <f t="shared" si="12"/>
        <v>.</v>
      </c>
      <c r="J121" s="424" t="s">
        <v>232</v>
      </c>
      <c r="K121" s="688" t="str">
        <f t="shared" si="8"/>
        <v>no price, 0 count</v>
      </c>
      <c r="L121" s="310">
        <f>SUMIFS('Bilateral assistance, MAIN DATA'!M:M,'Bilateral assistance, MAIN DATA'!I:I,'Price List, Weapons &amp; Items'!A121)</f>
        <v>0</v>
      </c>
      <c r="M121" s="46">
        <f>COUNTIFS('Bilateral assistance, MAIN DATA'!M:M,"undisclosed",'Bilateral assistance, MAIN DATA'!I:I,'Price List, Weapons &amp; Items'!A121)</f>
        <v>1</v>
      </c>
      <c r="N121" s="689" t="str">
        <f t="shared" si="9"/>
        <v>no price</v>
      </c>
      <c r="O121" s="1">
        <f>IFERROR(IF(SEARCH(A121,_xlfn.ARRAYTOTEXT('Bilateral assistance, MAIN DATA'!I$1:I$1408))&gt;0,1,""),0)</f>
        <v>1</v>
      </c>
      <c r="P121" s="46">
        <f>IFERROR(IF(SEARCH(A121,_xlfn.ARRAYTOTEXT('Commercial assistance'!I$1:I$1400))&gt;0,1,""),0)</f>
        <v>0</v>
      </c>
    </row>
    <row r="122" spans="1:16" ht="15" customHeight="1">
      <c r="A122" s="528" t="s">
        <v>2698</v>
      </c>
      <c r="B122" s="684" t="s">
        <v>729</v>
      </c>
      <c r="C122" s="685" t="s">
        <v>232</v>
      </c>
      <c r="D122" s="686">
        <v>0</v>
      </c>
      <c r="E122" s="686">
        <f t="shared" si="7"/>
        <v>0</v>
      </c>
      <c r="F122" s="452" t="s">
        <v>232</v>
      </c>
      <c r="G122" s="687" t="str">
        <f t="shared" si="11"/>
        <v>.</v>
      </c>
      <c r="H122" s="696" t="s">
        <v>232</v>
      </c>
      <c r="I122" s="424" t="str">
        <f t="shared" si="12"/>
        <v>.</v>
      </c>
      <c r="J122" s="707" t="s">
        <v>232</v>
      </c>
      <c r="K122" s="688" t="str">
        <f t="shared" si="8"/>
        <v>no price, 0 count</v>
      </c>
      <c r="L122" s="310">
        <f>SUMIFS('Bilateral assistance, MAIN DATA'!M:M,'Bilateral assistance, MAIN DATA'!I:I,'Price List, Weapons &amp; Items'!A122)</f>
        <v>0</v>
      </c>
      <c r="M122" s="46">
        <f>COUNTIFS('Bilateral assistance, MAIN DATA'!M:M,"undisclosed",'Bilateral assistance, MAIN DATA'!I:I,'Price List, Weapons &amp; Items'!A122)</f>
        <v>2</v>
      </c>
      <c r="N122" s="689" t="str">
        <f t="shared" si="9"/>
        <v>no price</v>
      </c>
      <c r="O122" s="1">
        <f>IFERROR(IF(SEARCH(A122,_xlfn.ARRAYTOTEXT('Bilateral assistance, MAIN DATA'!I$1:I$1408))&gt;0,1,""),0)</f>
        <v>1</v>
      </c>
      <c r="P122" s="46">
        <f>IFERROR(IF(SEARCH(A122,_xlfn.ARRAYTOTEXT('Commercial assistance'!I$1:I$1400))&gt;0,1,""),0)</f>
        <v>0</v>
      </c>
    </row>
    <row r="123" spans="1:16" ht="15" customHeight="1">
      <c r="A123" s="587" t="s">
        <v>3482</v>
      </c>
      <c r="B123" s="684" t="s">
        <v>3249</v>
      </c>
      <c r="C123" s="685" t="s">
        <v>3293</v>
      </c>
      <c r="D123" s="686">
        <v>0</v>
      </c>
      <c r="E123" s="686">
        <f t="shared" si="7"/>
        <v>0</v>
      </c>
      <c r="F123" s="452" t="s">
        <v>232</v>
      </c>
      <c r="G123" s="687" t="str">
        <f t="shared" si="11"/>
        <v>.</v>
      </c>
      <c r="H123" s="696" t="s">
        <v>232</v>
      </c>
      <c r="I123" s="424" t="str">
        <f t="shared" si="12"/>
        <v>.</v>
      </c>
      <c r="J123" s="424" t="s">
        <v>232</v>
      </c>
      <c r="K123" s="688" t="str">
        <f t="shared" si="8"/>
        <v>no price, 0 count</v>
      </c>
      <c r="L123" s="310">
        <f>SUMIFS('Bilateral assistance, MAIN DATA'!M:M,'Bilateral assistance, MAIN DATA'!I:I,'Price List, Weapons &amp; Items'!A123)</f>
        <v>0</v>
      </c>
      <c r="M123" s="46">
        <f>COUNTIFS('Bilateral assistance, MAIN DATA'!M:M,"undisclosed",'Bilateral assistance, MAIN DATA'!I:I,'Price List, Weapons &amp; Items'!A123)</f>
        <v>1</v>
      </c>
      <c r="N123" s="689" t="str">
        <f t="shared" si="9"/>
        <v>no price</v>
      </c>
      <c r="O123" s="1">
        <f>IFERROR(IF(SEARCH(A123,_xlfn.ARRAYTOTEXT('Bilateral assistance, MAIN DATA'!I$1:I$1408))&gt;0,1,""),0)</f>
        <v>1</v>
      </c>
      <c r="P123" s="46">
        <f>IFERROR(IF(SEARCH(A123,_xlfn.ARRAYTOTEXT('Commercial assistance'!I$1:I$1400))&gt;0,1,""),0)</f>
        <v>0</v>
      </c>
    </row>
    <row r="124" spans="1:16" ht="15" customHeight="1">
      <c r="A124" s="587" t="s">
        <v>3483</v>
      </c>
      <c r="B124" s="684" t="s">
        <v>3284</v>
      </c>
      <c r="C124" s="685" t="s">
        <v>3293</v>
      </c>
      <c r="D124" s="686">
        <v>0</v>
      </c>
      <c r="E124" s="686">
        <f t="shared" si="7"/>
        <v>0</v>
      </c>
      <c r="F124" s="452" t="s">
        <v>232</v>
      </c>
      <c r="G124" s="687" t="str">
        <f t="shared" si="11"/>
        <v>.</v>
      </c>
      <c r="H124" s="692" t="s">
        <v>232</v>
      </c>
      <c r="I124" s="424" t="str">
        <f t="shared" si="12"/>
        <v>.</v>
      </c>
      <c r="J124" s="424" t="s">
        <v>232</v>
      </c>
      <c r="K124" s="688" t="str">
        <f t="shared" si="8"/>
        <v>no price, 0 count</v>
      </c>
      <c r="L124" s="310">
        <f>SUMIFS('Bilateral assistance, MAIN DATA'!M:M,'Bilateral assistance, MAIN DATA'!I:I,'Price List, Weapons &amp; Items'!A124)</f>
        <v>0</v>
      </c>
      <c r="M124" s="46">
        <f>COUNTIFS('Bilateral assistance, MAIN DATA'!M:M,"undisclosed",'Bilateral assistance, MAIN DATA'!I:I,'Price List, Weapons &amp; Items'!A124)</f>
        <v>1</v>
      </c>
      <c r="N124" s="689" t="str">
        <f t="shared" si="9"/>
        <v>no price</v>
      </c>
      <c r="O124" s="1">
        <f>IFERROR(IF(SEARCH(A124,_xlfn.ARRAYTOTEXT('Bilateral assistance, MAIN DATA'!I$1:I$1408))&gt;0,1,""),0)</f>
        <v>1</v>
      </c>
      <c r="P124" s="46">
        <f>IFERROR(IF(SEARCH(A124,_xlfn.ARRAYTOTEXT('Commercial assistance'!I$1:I$1400))&gt;0,1,""),0)</f>
        <v>0</v>
      </c>
    </row>
    <row r="125" spans="1:16" ht="15" customHeight="1">
      <c r="A125" s="512" t="s">
        <v>3484</v>
      </c>
      <c r="B125" s="684" t="s">
        <v>729</v>
      </c>
      <c r="C125" s="685" t="s">
        <v>3238</v>
      </c>
      <c r="D125" s="686">
        <v>0</v>
      </c>
      <c r="E125" s="686">
        <f t="shared" si="7"/>
        <v>0</v>
      </c>
      <c r="F125" s="452" t="s">
        <v>232</v>
      </c>
      <c r="G125" s="687" t="str">
        <f t="shared" si="11"/>
        <v>.</v>
      </c>
      <c r="H125" s="696" t="s">
        <v>232</v>
      </c>
      <c r="I125" s="424" t="str">
        <f t="shared" si="12"/>
        <v>.</v>
      </c>
      <c r="J125" s="707" t="s">
        <v>232</v>
      </c>
      <c r="K125" s="688" t="str">
        <f t="shared" si="8"/>
        <v>no price, 0 count</v>
      </c>
      <c r="L125" s="310">
        <f>SUMIFS('Bilateral assistance, MAIN DATA'!M:M,'Bilateral assistance, MAIN DATA'!I:I,'Price List, Weapons &amp; Items'!A125)</f>
        <v>0</v>
      </c>
      <c r="M125" s="46">
        <f>COUNTIFS('Bilateral assistance, MAIN DATA'!M:M,"undisclosed",'Bilateral assistance, MAIN DATA'!I:I,'Price List, Weapons &amp; Items'!A125)</f>
        <v>1</v>
      </c>
      <c r="N125" s="689" t="str">
        <f t="shared" si="9"/>
        <v>no price</v>
      </c>
      <c r="O125" s="1">
        <f>IFERROR(IF(SEARCH(A125,_xlfn.ARRAYTOTEXT('Bilateral assistance, MAIN DATA'!I$1:I$1408))&gt;0,1,""),0)</f>
        <v>1</v>
      </c>
      <c r="P125" s="46">
        <f>IFERROR(IF(SEARCH(A125,_xlfn.ARRAYTOTEXT('Commercial assistance'!I$1:I$1400))&gt;0,1,""),0)</f>
        <v>0</v>
      </c>
    </row>
    <row r="126" spans="1:16" ht="15" customHeight="1">
      <c r="A126" s="46" t="s">
        <v>3485</v>
      </c>
      <c r="B126" s="39" t="s">
        <v>3248</v>
      </c>
      <c r="C126" s="685" t="s">
        <v>3244</v>
      </c>
      <c r="D126" s="552">
        <v>0</v>
      </c>
      <c r="E126" s="686">
        <f t="shared" si="7"/>
        <v>0</v>
      </c>
      <c r="F126" s="452" t="s">
        <v>232</v>
      </c>
      <c r="G126" s="687" t="str">
        <f t="shared" si="11"/>
        <v>.</v>
      </c>
      <c r="H126" s="698" t="s">
        <v>232</v>
      </c>
      <c r="I126" s="424" t="str">
        <f t="shared" si="12"/>
        <v>.</v>
      </c>
      <c r="J126" s="698" t="s">
        <v>232</v>
      </c>
      <c r="K126" s="688" t="str">
        <f t="shared" si="8"/>
        <v>no price, 0 count</v>
      </c>
      <c r="L126" s="310">
        <f>SUMIFS('Bilateral assistance, MAIN DATA'!M:M,'Bilateral assistance, MAIN DATA'!I:I,'Price List, Weapons &amp; Items'!A126)</f>
        <v>0</v>
      </c>
      <c r="M126" s="46">
        <f>COUNTIFS('Bilateral assistance, MAIN DATA'!M:M,"undisclosed",'Bilateral assistance, MAIN DATA'!I:I,'Price List, Weapons &amp; Items'!A126)</f>
        <v>1</v>
      </c>
      <c r="N126" s="689" t="str">
        <f t="shared" si="9"/>
        <v>no price</v>
      </c>
      <c r="O126" s="1">
        <f>IFERROR(IF(SEARCH(A126,_xlfn.ARRAYTOTEXT('Bilateral assistance, MAIN DATA'!I$1:I$1408))&gt;0,1,""),0)</f>
        <v>1</v>
      </c>
      <c r="P126" s="46">
        <f>IFERROR(IF(SEARCH(A126,_xlfn.ARRAYTOTEXT('Commercial assistance'!I$1:I$1400))&gt;0,1,""),0)</f>
        <v>0</v>
      </c>
    </row>
    <row r="127" spans="1:16" ht="15" customHeight="1">
      <c r="A127" s="512" t="s">
        <v>1857</v>
      </c>
      <c r="B127" s="684" t="s">
        <v>3284</v>
      </c>
      <c r="C127" s="685" t="s">
        <v>3285</v>
      </c>
      <c r="D127" s="552">
        <v>0</v>
      </c>
      <c r="E127" s="552">
        <f t="shared" si="7"/>
        <v>0</v>
      </c>
      <c r="F127" s="452" t="s">
        <v>232</v>
      </c>
      <c r="G127" s="88" t="s">
        <v>314</v>
      </c>
      <c r="H127" s="692" t="s">
        <v>232</v>
      </c>
      <c r="I127" s="692" t="s">
        <v>232</v>
      </c>
      <c r="J127" s="424" t="s">
        <v>232</v>
      </c>
      <c r="K127" s="688" t="str">
        <f t="shared" si="8"/>
        <v>no price, 0 count</v>
      </c>
      <c r="L127" s="310">
        <f>SUMIFS('Bilateral assistance, MAIN DATA'!M:M,'Bilateral assistance, MAIN DATA'!I:I,'Price List, Weapons &amp; Items'!A127)</f>
        <v>0</v>
      </c>
      <c r="M127" s="46">
        <f>COUNTIFS('Bilateral assistance, MAIN DATA'!M:M,"undisclosed",'Bilateral assistance, MAIN DATA'!I:I,'Price List, Weapons &amp; Items'!A127)</f>
        <v>1</v>
      </c>
      <c r="N127" s="689" t="str">
        <f t="shared" si="9"/>
        <v>no price</v>
      </c>
      <c r="O127" s="1">
        <f>IFERROR(IF(SEARCH(A127,_xlfn.ARRAYTOTEXT('Bilateral assistance, MAIN DATA'!I$1:I$1408))&gt;0,1,""),0)</f>
        <v>1</v>
      </c>
      <c r="P127" s="46">
        <f>IFERROR(IF(SEARCH(A127,_xlfn.ARRAYTOTEXT('Commercial assistance'!I$1:I$1400))&gt;0,1,""),0)</f>
        <v>0</v>
      </c>
    </row>
    <row r="128" spans="1:16" ht="15" customHeight="1">
      <c r="A128" s="424" t="s">
        <v>2684</v>
      </c>
      <c r="B128" s="684" t="s">
        <v>729</v>
      </c>
      <c r="C128" s="685" t="s">
        <v>232</v>
      </c>
      <c r="D128" s="552">
        <v>0</v>
      </c>
      <c r="E128" s="552">
        <f t="shared" si="7"/>
        <v>0</v>
      </c>
      <c r="F128" s="452" t="s">
        <v>232</v>
      </c>
      <c r="G128" s="88" t="s">
        <v>232</v>
      </c>
      <c r="H128" s="692" t="s">
        <v>232</v>
      </c>
      <c r="I128" s="692" t="s">
        <v>232</v>
      </c>
      <c r="J128" s="424" t="s">
        <v>232</v>
      </c>
      <c r="K128" s="688" t="str">
        <f t="shared" si="8"/>
        <v>no price, 0 count</v>
      </c>
      <c r="L128" s="310">
        <f>SUMIFS('Bilateral assistance, MAIN DATA'!M:M,'Bilateral assistance, MAIN DATA'!I:I,'Price List, Weapons &amp; Items'!A128)</f>
        <v>0</v>
      </c>
      <c r="M128" s="46">
        <f>COUNTIFS('Bilateral assistance, MAIN DATA'!M:M,"undisclosed",'Bilateral assistance, MAIN DATA'!I:I,'Price List, Weapons &amp; Items'!A128)</f>
        <v>1</v>
      </c>
      <c r="N128" s="689" t="str">
        <f t="shared" si="9"/>
        <v>no price</v>
      </c>
      <c r="O128" s="1">
        <f>IFERROR(IF(SEARCH(A128,_xlfn.ARRAYTOTEXT('Bilateral assistance, MAIN DATA'!I$1:I$1408))&gt;0,1,""),0)</f>
        <v>1</v>
      </c>
      <c r="P128" s="46">
        <f>IFERROR(IF(SEARCH(A128,_xlfn.ARRAYTOTEXT('Commercial assistance'!I$1:I$1400))&gt;0,1,""),0)</f>
        <v>0</v>
      </c>
    </row>
    <row r="129" spans="1:16" ht="15" customHeight="1">
      <c r="A129" s="512" t="s">
        <v>3486</v>
      </c>
      <c r="B129" s="684" t="s">
        <v>729</v>
      </c>
      <c r="C129" s="685" t="s">
        <v>232</v>
      </c>
      <c r="D129" s="552">
        <v>0</v>
      </c>
      <c r="E129" s="552">
        <f t="shared" si="7"/>
        <v>0</v>
      </c>
      <c r="F129" s="452" t="s">
        <v>232</v>
      </c>
      <c r="G129" s="88" t="s">
        <v>232</v>
      </c>
      <c r="H129" s="692" t="s">
        <v>232</v>
      </c>
      <c r="I129" s="692" t="s">
        <v>232</v>
      </c>
      <c r="J129" s="424" t="s">
        <v>232</v>
      </c>
      <c r="K129" s="688" t="str">
        <f t="shared" si="8"/>
        <v>no price, 0 count</v>
      </c>
      <c r="L129" s="310">
        <f>SUMIFS('Bilateral assistance, MAIN DATA'!M:M,'Bilateral assistance, MAIN DATA'!I:I,'Price List, Weapons &amp; Items'!A129)</f>
        <v>0</v>
      </c>
      <c r="M129" s="46">
        <f>COUNTIFS('Bilateral assistance, MAIN DATA'!M:M,"undisclosed",'Bilateral assistance, MAIN DATA'!I:I,'Price List, Weapons &amp; Items'!A129)</f>
        <v>2</v>
      </c>
      <c r="N129" s="689" t="str">
        <f t="shared" si="9"/>
        <v>no price</v>
      </c>
      <c r="O129" s="1">
        <f>IFERROR(IF(SEARCH(A129,_xlfn.ARRAYTOTEXT('Bilateral assistance, MAIN DATA'!I$1:I$1408))&gt;0,1,""),0)</f>
        <v>1</v>
      </c>
      <c r="P129" s="46">
        <f>IFERROR(IF(SEARCH(A129,_xlfn.ARRAYTOTEXT('Commercial assistance'!I$1:I$1400))&gt;0,1,""),0)</f>
        <v>0</v>
      </c>
    </row>
    <row r="130" spans="1:16" ht="15" customHeight="1">
      <c r="A130" s="46" t="s">
        <v>2767</v>
      </c>
      <c r="B130" s="684" t="s">
        <v>729</v>
      </c>
      <c r="C130" s="685" t="s">
        <v>232</v>
      </c>
      <c r="D130" s="552">
        <v>0</v>
      </c>
      <c r="E130" s="552">
        <f t="shared" ref="E130:E193" si="13">IF(OR(C130="Armoured Personnel Carrier (APC)",C130="Armoured Recovery Vehicle (ARV)",C130="Armoured Utility Vehicle (AUV)",C130="152mm howitzer ammunition",C130="155mm howitzer ammunition",C130="300mm MLRS ammunition",C130="155mm howitzer",C130="227mm MLRS ammunition",C130="Infantry fighting vehicle (IFV)",C130="152mm howitzer",C130="227mm MLRS",C130="Main Battle Tank (MBT)",C130="Protected Patrol Vehicle (PPV)",C130="127mm MLRS",C130="122mm MLRS",C130="122mm MLRS ammunition",C130="122mm MLRS",C130="127mm MLRS",C130="127mm MLRS ammunition")=TRUE,1,0)</f>
        <v>0</v>
      </c>
      <c r="F130" s="452" t="s">
        <v>232</v>
      </c>
      <c r="G130" s="88" t="s">
        <v>232</v>
      </c>
      <c r="H130" s="692" t="s">
        <v>232</v>
      </c>
      <c r="I130" s="692" t="s">
        <v>232</v>
      </c>
      <c r="J130" s="424" t="s">
        <v>232</v>
      </c>
      <c r="K130" s="688" t="str">
        <f t="shared" ref="K130:K193" si="14">IF(B130="Humanitarian",0,IF(L130&gt;0,IF(TYPE(N130)=1,IF(N130&gt;MEDIAN(N:N),2,1),0),"no price, 0 count"))</f>
        <v>no price, 0 count</v>
      </c>
      <c r="L130" s="310">
        <f>SUMIFS('Bilateral assistance, MAIN DATA'!M:M,'Bilateral assistance, MAIN DATA'!I:I,'Price List, Weapons &amp; Items'!A130)</f>
        <v>0</v>
      </c>
      <c r="M130" s="46">
        <f>COUNTIFS('Bilateral assistance, MAIN DATA'!M:M,"undisclosed",'Bilateral assistance, MAIN DATA'!I:I,'Price List, Weapons &amp; Items'!A130)</f>
        <v>2</v>
      </c>
      <c r="N130" s="689" t="str">
        <f t="shared" ref="N130:N193" si="15">IFERROR(L130*F130,"no price")</f>
        <v>no price</v>
      </c>
      <c r="O130" s="1">
        <f>IFERROR(IF(SEARCH(A130,_xlfn.ARRAYTOTEXT('Bilateral assistance, MAIN DATA'!I$1:I$1408))&gt;0,1,""),0)</f>
        <v>1</v>
      </c>
      <c r="P130" s="46">
        <f>IFERROR(IF(SEARCH(A130,_xlfn.ARRAYTOTEXT('Commercial assistance'!I$1:I$1400))&gt;0,1,""),0)</f>
        <v>0</v>
      </c>
    </row>
    <row r="131" spans="1:16" ht="15" customHeight="1">
      <c r="A131" s="46" t="s">
        <v>2769</v>
      </c>
      <c r="B131" s="684" t="s">
        <v>729</v>
      </c>
      <c r="C131" s="685" t="s">
        <v>232</v>
      </c>
      <c r="D131" s="552">
        <v>0</v>
      </c>
      <c r="E131" s="552">
        <f t="shared" si="13"/>
        <v>0</v>
      </c>
      <c r="F131" s="452" t="s">
        <v>232</v>
      </c>
      <c r="G131" s="88" t="s">
        <v>232</v>
      </c>
      <c r="H131" s="692" t="s">
        <v>232</v>
      </c>
      <c r="I131" s="692" t="s">
        <v>232</v>
      </c>
      <c r="J131" s="424" t="s">
        <v>232</v>
      </c>
      <c r="K131" s="688" t="str">
        <f t="shared" si="14"/>
        <v>no price, 0 count</v>
      </c>
      <c r="L131" s="310">
        <f>SUMIFS('Bilateral assistance, MAIN DATA'!M:M,'Bilateral assistance, MAIN DATA'!I:I,'Price List, Weapons &amp; Items'!A131)</f>
        <v>0</v>
      </c>
      <c r="M131" s="46">
        <f>COUNTIFS('Bilateral assistance, MAIN DATA'!M:M,"undisclosed",'Bilateral assistance, MAIN DATA'!I:I,'Price List, Weapons &amp; Items'!A131)</f>
        <v>1</v>
      </c>
      <c r="N131" s="689" t="str">
        <f t="shared" si="15"/>
        <v>no price</v>
      </c>
      <c r="O131" s="1">
        <f>IFERROR(IF(SEARCH(A131,_xlfn.ARRAYTOTEXT('Bilateral assistance, MAIN DATA'!I$1:I$1408))&gt;0,1,""),0)</f>
        <v>1</v>
      </c>
      <c r="P131" s="46">
        <f>IFERROR(IF(SEARCH(A131,_xlfn.ARRAYTOTEXT('Commercial assistance'!I$1:I$1400))&gt;0,1,""),0)</f>
        <v>0</v>
      </c>
    </row>
    <row r="132" spans="1:16" ht="15" customHeight="1">
      <c r="A132" s="46" t="s">
        <v>2759</v>
      </c>
      <c r="B132" s="684" t="s">
        <v>729</v>
      </c>
      <c r="C132" s="685" t="s">
        <v>232</v>
      </c>
      <c r="D132" s="552">
        <v>0</v>
      </c>
      <c r="E132" s="552">
        <f t="shared" si="13"/>
        <v>0</v>
      </c>
      <c r="F132" s="452" t="s">
        <v>232</v>
      </c>
      <c r="G132" s="88" t="s">
        <v>232</v>
      </c>
      <c r="H132" s="692" t="s">
        <v>232</v>
      </c>
      <c r="I132" s="692" t="s">
        <v>232</v>
      </c>
      <c r="J132" s="424" t="s">
        <v>232</v>
      </c>
      <c r="K132" s="688" t="str">
        <f t="shared" si="14"/>
        <v>no price, 0 count</v>
      </c>
      <c r="L132" s="310">
        <f>SUMIFS('Bilateral assistance, MAIN DATA'!M:M,'Bilateral assistance, MAIN DATA'!I:I,'Price List, Weapons &amp; Items'!A132)</f>
        <v>0</v>
      </c>
      <c r="M132" s="46">
        <f>COUNTIFS('Bilateral assistance, MAIN DATA'!M:M,"undisclosed",'Bilateral assistance, MAIN DATA'!I:I,'Price List, Weapons &amp; Items'!A132)</f>
        <v>1</v>
      </c>
      <c r="N132" s="689" t="str">
        <f t="shared" si="15"/>
        <v>no price</v>
      </c>
      <c r="O132" s="1">
        <f>IFERROR(IF(SEARCH(A132,_xlfn.ARRAYTOTEXT('Bilateral assistance, MAIN DATA'!I$1:I$1408))&gt;0,1,""),0)</f>
        <v>1</v>
      </c>
      <c r="P132" s="46">
        <f>IFERROR(IF(SEARCH(A132,_xlfn.ARRAYTOTEXT('Commercial assistance'!I$1:I$1400))&gt;0,1,""),0)</f>
        <v>0</v>
      </c>
    </row>
    <row r="133" spans="1:16" ht="15" customHeight="1">
      <c r="A133" s="512" t="s">
        <v>882</v>
      </c>
      <c r="B133" s="684" t="s">
        <v>3239</v>
      </c>
      <c r="C133" s="685" t="s">
        <v>3359</v>
      </c>
      <c r="D133" s="686">
        <v>0</v>
      </c>
      <c r="E133" s="552">
        <f t="shared" si="13"/>
        <v>0</v>
      </c>
      <c r="F133" s="452" t="s">
        <v>232</v>
      </c>
      <c r="G133" s="687" t="str">
        <f>IF(F133&lt;&gt;".","USD",".")</f>
        <v>.</v>
      </c>
      <c r="H133" s="714" t="s">
        <v>232</v>
      </c>
      <c r="I133" s="424" t="str">
        <f>IF(H133&lt;&gt;".",".",".")</f>
        <v>.</v>
      </c>
      <c r="J133" s="424" t="s">
        <v>232</v>
      </c>
      <c r="K133" s="688" t="str">
        <f t="shared" si="14"/>
        <v>no price, 0 count</v>
      </c>
      <c r="L133" s="310">
        <f>SUMIFS('Bilateral assistance, MAIN DATA'!M:M,'Bilateral assistance, MAIN DATA'!I:I,'Price List, Weapons &amp; Items'!A133)</f>
        <v>0</v>
      </c>
      <c r="M133" s="46">
        <f>COUNTIFS('Bilateral assistance, MAIN DATA'!M:M,"undisclosed",'Bilateral assistance, MAIN DATA'!I:I,'Price List, Weapons &amp; Items'!A133)</f>
        <v>1</v>
      </c>
      <c r="N133" s="689" t="str">
        <f t="shared" si="15"/>
        <v>no price</v>
      </c>
      <c r="O133" s="1">
        <f>IFERROR(IF(SEARCH(A133,_xlfn.ARRAYTOTEXT('Bilateral assistance, MAIN DATA'!I$1:I$1408))&gt;0,1,""),0)</f>
        <v>1</v>
      </c>
      <c r="P133" s="46">
        <f>IFERROR(IF(SEARCH(A133,_xlfn.ARRAYTOTEXT('Commercial assistance'!I$1:I$1400))&gt;0,1,""),0)</f>
        <v>0</v>
      </c>
    </row>
    <row r="134" spans="1:16" ht="15" customHeight="1">
      <c r="A134" s="512" t="s">
        <v>1134</v>
      </c>
      <c r="B134" s="684" t="s">
        <v>252</v>
      </c>
      <c r="C134" s="685" t="s">
        <v>3273</v>
      </c>
      <c r="D134" s="552">
        <v>0</v>
      </c>
      <c r="E134" s="552">
        <f t="shared" si="13"/>
        <v>0</v>
      </c>
      <c r="F134" s="452" t="s">
        <v>232</v>
      </c>
      <c r="G134" s="88" t="s">
        <v>232</v>
      </c>
      <c r="H134" s="692" t="s">
        <v>232</v>
      </c>
      <c r="I134" s="692" t="s">
        <v>232</v>
      </c>
      <c r="J134" s="424" t="s">
        <v>3487</v>
      </c>
      <c r="K134" s="688" t="str">
        <f t="shared" si="14"/>
        <v>no price, 0 count</v>
      </c>
      <c r="L134" s="310">
        <f>SUMIFS('Bilateral assistance, MAIN DATA'!M:M,'Bilateral assistance, MAIN DATA'!I:I,'Price List, Weapons &amp; Items'!A134)</f>
        <v>0</v>
      </c>
      <c r="M134" s="46">
        <f>COUNTIFS('Bilateral assistance, MAIN DATA'!M:M,"undisclosed",'Bilateral assistance, MAIN DATA'!I:I,'Price List, Weapons &amp; Items'!A134)</f>
        <v>1</v>
      </c>
      <c r="N134" s="689" t="str">
        <f t="shared" si="15"/>
        <v>no price</v>
      </c>
      <c r="O134" s="1">
        <f>IFERROR(IF(SEARCH(A134,_xlfn.ARRAYTOTEXT('Bilateral assistance, MAIN DATA'!I$1:I$1408))&gt;0,1,""),0)</f>
        <v>1</v>
      </c>
      <c r="P134" s="46">
        <f>IFERROR(IF(SEARCH(A134,_xlfn.ARRAYTOTEXT('Commercial assistance'!I$1:I$1400))&gt;0,1,""),0)</f>
        <v>0</v>
      </c>
    </row>
    <row r="135" spans="1:16" ht="15" customHeight="1">
      <c r="A135" s="512" t="s">
        <v>2247</v>
      </c>
      <c r="B135" s="684" t="s">
        <v>3239</v>
      </c>
      <c r="C135" s="685" t="s">
        <v>3169</v>
      </c>
      <c r="D135" s="552">
        <v>0</v>
      </c>
      <c r="E135" s="552">
        <f t="shared" si="13"/>
        <v>0</v>
      </c>
      <c r="F135" s="838" t="s">
        <v>232</v>
      </c>
      <c r="G135" s="88" t="s">
        <v>314</v>
      </c>
      <c r="H135" s="655" t="s">
        <v>232</v>
      </c>
      <c r="I135" s="424" t="s">
        <v>232</v>
      </c>
      <c r="J135" s="424" t="s">
        <v>232</v>
      </c>
      <c r="K135" s="688" t="str">
        <f t="shared" si="14"/>
        <v>no price, 0 count</v>
      </c>
      <c r="L135" s="310">
        <f>SUMIFS('Bilateral assistance, MAIN DATA'!M:M,'Bilateral assistance, MAIN DATA'!I:I,'Price List, Weapons &amp; Items'!A135)</f>
        <v>0</v>
      </c>
      <c r="M135" s="46">
        <f>COUNTIFS('Bilateral assistance, MAIN DATA'!M:M,"undisclosed",'Bilateral assistance, MAIN DATA'!I:I,'Price List, Weapons &amp; Items'!A135)</f>
        <v>1</v>
      </c>
      <c r="N135" s="689" t="str">
        <f t="shared" si="15"/>
        <v>no price</v>
      </c>
      <c r="O135" s="1">
        <f>IFERROR(IF(SEARCH(A135,_xlfn.ARRAYTOTEXT('Bilateral assistance, MAIN DATA'!I$1:I$1408))&gt;0,1,""),0)</f>
        <v>1</v>
      </c>
      <c r="P135" s="46">
        <f>IFERROR(IF(SEARCH(A135,_xlfn.ARRAYTOTEXT('Commercial assistance'!I$1:I$1400))&gt;0,1,""),0)</f>
        <v>0</v>
      </c>
    </row>
    <row r="136" spans="1:16" ht="15" customHeight="1">
      <c r="A136" s="704" t="s">
        <v>1190</v>
      </c>
      <c r="B136" s="684" t="s">
        <v>729</v>
      </c>
      <c r="C136" s="685" t="s">
        <v>3488</v>
      </c>
      <c r="D136" s="552">
        <v>0</v>
      </c>
      <c r="E136" s="552">
        <f t="shared" si="13"/>
        <v>0</v>
      </c>
      <c r="F136" s="452" t="s">
        <v>232</v>
      </c>
      <c r="G136" s="687" t="str">
        <f t="shared" ref="G136:G141" si="16">IF(F136&lt;&gt;".","USD",".")</f>
        <v>.</v>
      </c>
      <c r="H136" s="692" t="s">
        <v>232</v>
      </c>
      <c r="I136" s="692" t="s">
        <v>232</v>
      </c>
      <c r="J136" s="424" t="s">
        <v>232</v>
      </c>
      <c r="K136" s="688" t="str">
        <f t="shared" si="14"/>
        <v>no price, 0 count</v>
      </c>
      <c r="L136" s="310">
        <f>SUMIFS('Bilateral assistance, MAIN DATA'!M:M,'Bilateral assistance, MAIN DATA'!I:I,'Price List, Weapons &amp; Items'!A136)</f>
        <v>0</v>
      </c>
      <c r="M136" s="46">
        <f>COUNTIFS('Bilateral assistance, MAIN DATA'!M:M,"undisclosed",'Bilateral assistance, MAIN DATA'!I:I,'Price List, Weapons &amp; Items'!A136)</f>
        <v>1</v>
      </c>
      <c r="N136" s="689" t="str">
        <f t="shared" si="15"/>
        <v>no price</v>
      </c>
      <c r="O136" s="1">
        <f>IFERROR(IF(SEARCH(A136,_xlfn.ARRAYTOTEXT('Bilateral assistance, MAIN DATA'!I$1:I$1408))&gt;0,1,""),0)</f>
        <v>1</v>
      </c>
      <c r="P136" s="46">
        <f>IFERROR(IF(SEARCH(A136,_xlfn.ARRAYTOTEXT('Commercial assistance'!I$1:I$1400))&gt;0,1,""),0)</f>
        <v>0</v>
      </c>
    </row>
    <row r="137" spans="1:16" ht="15" customHeight="1">
      <c r="A137" s="704" t="s">
        <v>1224</v>
      </c>
      <c r="B137" s="684" t="s">
        <v>3333</v>
      </c>
      <c r="C137" s="685" t="s">
        <v>2633</v>
      </c>
      <c r="D137" s="552">
        <v>0</v>
      </c>
      <c r="E137" s="552">
        <f t="shared" si="13"/>
        <v>0</v>
      </c>
      <c r="F137" s="452" t="s">
        <v>232</v>
      </c>
      <c r="G137" s="687" t="str">
        <f t="shared" si="16"/>
        <v>.</v>
      </c>
      <c r="H137" s="692" t="s">
        <v>232</v>
      </c>
      <c r="I137" s="692" t="s">
        <v>232</v>
      </c>
      <c r="J137" s="424" t="s">
        <v>232</v>
      </c>
      <c r="K137" s="688" t="str">
        <f t="shared" si="14"/>
        <v>no price, 0 count</v>
      </c>
      <c r="L137" s="310">
        <f>SUMIFS('Bilateral assistance, MAIN DATA'!M:M,'Bilateral assistance, MAIN DATA'!I:I,'Price List, Weapons &amp; Items'!A137)</f>
        <v>0</v>
      </c>
      <c r="M137" s="46">
        <f>COUNTIFS('Bilateral assistance, MAIN DATA'!M:M,"undisclosed",'Bilateral assistance, MAIN DATA'!I:I,'Price List, Weapons &amp; Items'!A137)</f>
        <v>1</v>
      </c>
      <c r="N137" s="689" t="str">
        <f t="shared" si="15"/>
        <v>no price</v>
      </c>
      <c r="O137" s="1">
        <f>IFERROR(IF(SEARCH(A137,_xlfn.ARRAYTOTEXT('Bilateral assistance, MAIN DATA'!I$1:I$1408))&gt;0,1,""),0)</f>
        <v>1</v>
      </c>
      <c r="P137" s="46">
        <f>IFERROR(IF(SEARCH(A137,_xlfn.ARRAYTOTEXT('Commercial assistance'!I$1:I$1400))&gt;0,1,""),0)</f>
        <v>0</v>
      </c>
    </row>
    <row r="138" spans="1:16" ht="15" customHeight="1">
      <c r="A138" s="704" t="s">
        <v>1236</v>
      </c>
      <c r="B138" s="684" t="s">
        <v>3333</v>
      </c>
      <c r="C138" s="685" t="s">
        <v>232</v>
      </c>
      <c r="D138" s="552">
        <v>0</v>
      </c>
      <c r="E138" s="552">
        <f t="shared" si="13"/>
        <v>0</v>
      </c>
      <c r="F138" s="452" t="s">
        <v>232</v>
      </c>
      <c r="G138" s="687" t="str">
        <f t="shared" si="16"/>
        <v>.</v>
      </c>
      <c r="H138" s="692" t="s">
        <v>232</v>
      </c>
      <c r="I138" s="692" t="s">
        <v>232</v>
      </c>
      <c r="J138" s="424" t="s">
        <v>232</v>
      </c>
      <c r="K138" s="688" t="str">
        <f t="shared" si="14"/>
        <v>no price, 0 count</v>
      </c>
      <c r="L138" s="310">
        <f>SUMIFS('Bilateral assistance, MAIN DATA'!M:M,'Bilateral assistance, MAIN DATA'!I:I,'Price List, Weapons &amp; Items'!A138)</f>
        <v>0</v>
      </c>
      <c r="M138" s="46">
        <f>COUNTIFS('Bilateral assistance, MAIN DATA'!M:M,"undisclosed",'Bilateral assistance, MAIN DATA'!I:I,'Price List, Weapons &amp; Items'!A138)</f>
        <v>1</v>
      </c>
      <c r="N138" s="689" t="str">
        <f t="shared" si="15"/>
        <v>no price</v>
      </c>
      <c r="O138" s="1">
        <f>IFERROR(IF(SEARCH(A138,_xlfn.ARRAYTOTEXT('Bilateral assistance, MAIN DATA'!I$1:I$1408))&gt;0,1,""),0)</f>
        <v>1</v>
      </c>
      <c r="P138" s="46">
        <f>IFERROR(IF(SEARCH(A138,_xlfn.ARRAYTOTEXT('Commercial assistance'!I$1:I$1400))&gt;0,1,""),0)</f>
        <v>0</v>
      </c>
    </row>
    <row r="139" spans="1:16" ht="15" customHeight="1">
      <c r="A139" s="704" t="s">
        <v>1238</v>
      </c>
      <c r="B139" s="684" t="s">
        <v>3333</v>
      </c>
      <c r="C139" s="685" t="s">
        <v>232</v>
      </c>
      <c r="D139" s="552">
        <v>0</v>
      </c>
      <c r="E139" s="552">
        <f t="shared" si="13"/>
        <v>0</v>
      </c>
      <c r="F139" s="452" t="s">
        <v>232</v>
      </c>
      <c r="G139" s="687" t="str">
        <f t="shared" si="16"/>
        <v>.</v>
      </c>
      <c r="H139" s="692" t="s">
        <v>232</v>
      </c>
      <c r="I139" s="692" t="s">
        <v>232</v>
      </c>
      <c r="J139" s="424" t="s">
        <v>232</v>
      </c>
      <c r="K139" s="688" t="str">
        <f t="shared" si="14"/>
        <v>no price, 0 count</v>
      </c>
      <c r="L139" s="310">
        <f>SUMIFS('Bilateral assistance, MAIN DATA'!M:M,'Bilateral assistance, MAIN DATA'!I:I,'Price List, Weapons &amp; Items'!A139)</f>
        <v>0</v>
      </c>
      <c r="M139" s="46">
        <f>COUNTIFS('Bilateral assistance, MAIN DATA'!M:M,"undisclosed",'Bilateral assistance, MAIN DATA'!I:I,'Price List, Weapons &amp; Items'!A139)</f>
        <v>1</v>
      </c>
      <c r="N139" s="689" t="str">
        <f t="shared" si="15"/>
        <v>no price</v>
      </c>
      <c r="O139" s="1">
        <f>IFERROR(IF(SEARCH(A139,_xlfn.ARRAYTOTEXT('Bilateral assistance, MAIN DATA'!I$1:I$1408))&gt;0,1,""),0)</f>
        <v>1</v>
      </c>
      <c r="P139" s="46">
        <f>IFERROR(IF(SEARCH(A139,_xlfn.ARRAYTOTEXT('Commercial assistance'!I$1:I$1400))&gt;0,1,""),0)</f>
        <v>0</v>
      </c>
    </row>
    <row r="140" spans="1:16" ht="15" customHeight="1">
      <c r="A140" s="704" t="s">
        <v>1260</v>
      </c>
      <c r="B140" s="684" t="s">
        <v>3333</v>
      </c>
      <c r="C140" s="685" t="s">
        <v>2633</v>
      </c>
      <c r="D140" s="552">
        <v>0</v>
      </c>
      <c r="E140" s="552">
        <f t="shared" si="13"/>
        <v>0</v>
      </c>
      <c r="F140" s="452" t="s">
        <v>232</v>
      </c>
      <c r="G140" s="687" t="str">
        <f t="shared" si="16"/>
        <v>.</v>
      </c>
      <c r="H140" s="692" t="s">
        <v>232</v>
      </c>
      <c r="I140" s="692" t="s">
        <v>232</v>
      </c>
      <c r="J140" s="424" t="s">
        <v>232</v>
      </c>
      <c r="K140" s="688">
        <f t="shared" si="14"/>
        <v>0</v>
      </c>
      <c r="L140" s="310">
        <f>SUMIFS('Bilateral assistance, MAIN DATA'!M:M,'Bilateral assistance, MAIN DATA'!I:I,'Price List, Weapons &amp; Items'!A140)</f>
        <v>500</v>
      </c>
      <c r="M140" s="46">
        <f>COUNTIFS('Bilateral assistance, MAIN DATA'!M:M,"undisclosed",'Bilateral assistance, MAIN DATA'!I:I,'Price List, Weapons &amp; Items'!A140)</f>
        <v>0</v>
      </c>
      <c r="N140" s="689" t="str">
        <f t="shared" si="15"/>
        <v>no price</v>
      </c>
      <c r="O140" s="1">
        <f>IFERROR(IF(SEARCH(A140,_xlfn.ARRAYTOTEXT('Bilateral assistance, MAIN DATA'!I$1:I$1408))&gt;0,1,""),0)</f>
        <v>1</v>
      </c>
      <c r="P140" s="46">
        <f>IFERROR(IF(SEARCH(A140,_xlfn.ARRAYTOTEXT('Commercial assistance'!I$1:I$1400))&gt;0,1,""),0)</f>
        <v>0</v>
      </c>
    </row>
    <row r="141" spans="1:16" ht="15" customHeight="1">
      <c r="A141" s="704" t="s">
        <v>1261</v>
      </c>
      <c r="B141" s="684" t="s">
        <v>3333</v>
      </c>
      <c r="C141" s="685" t="s">
        <v>2633</v>
      </c>
      <c r="D141" s="552">
        <v>0</v>
      </c>
      <c r="E141" s="552">
        <f t="shared" si="13"/>
        <v>0</v>
      </c>
      <c r="F141" s="452" t="s">
        <v>232</v>
      </c>
      <c r="G141" s="687" t="str">
        <f t="shared" si="16"/>
        <v>.</v>
      </c>
      <c r="H141" s="692" t="s">
        <v>232</v>
      </c>
      <c r="I141" s="692" t="s">
        <v>232</v>
      </c>
      <c r="J141" s="424" t="s">
        <v>232</v>
      </c>
      <c r="K141" s="688" t="str">
        <f t="shared" si="14"/>
        <v>no price, 0 count</v>
      </c>
      <c r="L141" s="310">
        <f>SUMIFS('Bilateral assistance, MAIN DATA'!M:M,'Bilateral assistance, MAIN DATA'!I:I,'Price List, Weapons &amp; Items'!A141)</f>
        <v>0</v>
      </c>
      <c r="M141" s="46">
        <f>COUNTIFS('Bilateral assistance, MAIN DATA'!M:M,"undisclosed",'Bilateral assistance, MAIN DATA'!I:I,'Price List, Weapons &amp; Items'!A141)</f>
        <v>1</v>
      </c>
      <c r="N141" s="689" t="str">
        <f t="shared" si="15"/>
        <v>no price</v>
      </c>
      <c r="O141" s="1">
        <f>IFERROR(IF(SEARCH(A141,_xlfn.ARRAYTOTEXT('Bilateral assistance, MAIN DATA'!I$1:I$1408))&gt;0,1,""),0)</f>
        <v>1</v>
      </c>
      <c r="P141" s="46">
        <f>IFERROR(IF(SEARCH(A141,_xlfn.ARRAYTOTEXT('Commercial assistance'!I$1:I$1400))&gt;0,1,""),0)</f>
        <v>0</v>
      </c>
    </row>
    <row r="142" spans="1:16" ht="15" customHeight="1">
      <c r="A142" s="424" t="s">
        <v>1574</v>
      </c>
      <c r="B142" s="684" t="s">
        <v>3239</v>
      </c>
      <c r="C142" s="685" t="s">
        <v>3359</v>
      </c>
      <c r="D142" s="686">
        <v>0</v>
      </c>
      <c r="E142" s="686">
        <f t="shared" si="13"/>
        <v>0</v>
      </c>
      <c r="F142" s="452">
        <f>370000*1.181*1.06</f>
        <v>463188.2</v>
      </c>
      <c r="G142" s="687" t="s">
        <v>314</v>
      </c>
      <c r="H142" s="651" t="s">
        <v>3489</v>
      </c>
      <c r="I142" s="424" t="s">
        <v>3262</v>
      </c>
      <c r="J142" s="424" t="s">
        <v>3490</v>
      </c>
      <c r="K142" s="688">
        <f t="shared" si="14"/>
        <v>2</v>
      </c>
      <c r="L142" s="310">
        <f>SUMIFS('Bilateral assistance, MAIN DATA'!M:M,'Bilateral assistance, MAIN DATA'!I:I,'Price List, Weapons &amp; Items'!A142)</f>
        <v>10</v>
      </c>
      <c r="M142" s="46">
        <f>COUNTIFS('Bilateral assistance, MAIN DATA'!M:M,"undisclosed",'Bilateral assistance, MAIN DATA'!I:I,'Price List, Weapons &amp; Items'!A142)</f>
        <v>1</v>
      </c>
      <c r="N142" s="689">
        <f t="shared" si="15"/>
        <v>4631882</v>
      </c>
      <c r="O142" s="1">
        <f>IFERROR(IF(SEARCH(A142,_xlfn.ARRAYTOTEXT('Bilateral assistance, MAIN DATA'!I$1:I$1408))&gt;0,1,""),0)</f>
        <v>1</v>
      </c>
      <c r="P142" s="46">
        <f>IFERROR(IF(SEARCH(A142,_xlfn.ARRAYTOTEXT('Commercial assistance'!I$1:I$1400))&gt;0,1,""),0)</f>
        <v>0</v>
      </c>
    </row>
    <row r="143" spans="1:16" ht="15" customHeight="1">
      <c r="A143" s="691" t="s">
        <v>1179</v>
      </c>
      <c r="B143" s="684" t="s">
        <v>729</v>
      </c>
      <c r="C143" s="685" t="s">
        <v>232</v>
      </c>
      <c r="D143" s="552">
        <v>0</v>
      </c>
      <c r="E143" s="686">
        <f t="shared" si="13"/>
        <v>0</v>
      </c>
      <c r="F143" s="452">
        <v>350000</v>
      </c>
      <c r="G143" s="687" t="s">
        <v>314</v>
      </c>
      <c r="H143" s="653" t="s">
        <v>3491</v>
      </c>
      <c r="I143" s="424" t="s">
        <v>3259</v>
      </c>
      <c r="J143" s="703" t="s">
        <v>3492</v>
      </c>
      <c r="K143" s="688">
        <f t="shared" si="14"/>
        <v>2</v>
      </c>
      <c r="L143" s="310">
        <f>SUMIFS('Bilateral assistance, MAIN DATA'!M:M,'Bilateral assistance, MAIN DATA'!I:I,'Price List, Weapons &amp; Items'!A143)</f>
        <v>500</v>
      </c>
      <c r="M143" s="46">
        <f>COUNTIFS('Bilateral assistance, MAIN DATA'!M:M,"undisclosed",'Bilateral assistance, MAIN DATA'!I:I,'Price List, Weapons &amp; Items'!A143)</f>
        <v>0</v>
      </c>
      <c r="N143" s="689">
        <f t="shared" si="15"/>
        <v>175000000</v>
      </c>
      <c r="O143" s="1">
        <f>IFERROR(IF(SEARCH(A143,_xlfn.ARRAYTOTEXT('Bilateral assistance, MAIN DATA'!I$1:I$1408))&gt;0,1,""),0)</f>
        <v>1</v>
      </c>
      <c r="P143" s="46">
        <f>IFERROR(IF(SEARCH(A143,_xlfn.ARRAYTOTEXT('Commercial assistance'!I$1:I$1400))&gt;0,1,""),0)</f>
        <v>0</v>
      </c>
    </row>
    <row r="144" spans="1:16" ht="15" customHeight="1">
      <c r="A144" s="691" t="s">
        <v>3493</v>
      </c>
      <c r="B144" s="684" t="s">
        <v>729</v>
      </c>
      <c r="C144" s="685" t="s">
        <v>232</v>
      </c>
      <c r="D144" s="552">
        <v>0</v>
      </c>
      <c r="E144" s="686">
        <f t="shared" si="13"/>
        <v>0</v>
      </c>
      <c r="F144" s="452">
        <f>AVERAGE(15000,35000)</f>
        <v>25000</v>
      </c>
      <c r="G144" s="687" t="s">
        <v>314</v>
      </c>
      <c r="H144" s="653" t="s">
        <v>3494</v>
      </c>
      <c r="I144" s="424" t="s">
        <v>3266</v>
      </c>
      <c r="J144" s="703" t="s">
        <v>3495</v>
      </c>
      <c r="K144" s="688">
        <f t="shared" si="14"/>
        <v>2</v>
      </c>
      <c r="L144" s="310">
        <f>SUMIFS('Bilateral assistance, MAIN DATA'!M:M,'Bilateral assistance, MAIN DATA'!I:I,'Price List, Weapons &amp; Items'!A144)</f>
        <v>80</v>
      </c>
      <c r="M144" s="46">
        <f>COUNTIFS('Bilateral assistance, MAIN DATA'!M:M,"undisclosed",'Bilateral assistance, MAIN DATA'!I:I,'Price List, Weapons &amp; Items'!A144)</f>
        <v>0</v>
      </c>
      <c r="N144" s="689">
        <f t="shared" si="15"/>
        <v>2000000</v>
      </c>
      <c r="O144" s="1">
        <f>IFERROR(IF(SEARCH(A144,_xlfn.ARRAYTOTEXT('Bilateral assistance, MAIN DATA'!I$1:I$1408))&gt;0,1,""),0)</f>
        <v>1</v>
      </c>
      <c r="P144" s="46">
        <f>IFERROR(IF(SEARCH(A144,_xlfn.ARRAYTOTEXT('Commercial assistance'!I$1:I$1400))&gt;0,1,""),0)</f>
        <v>0</v>
      </c>
    </row>
    <row r="145" spans="1:16" ht="15" customHeight="1">
      <c r="A145" s="704" t="s">
        <v>1270</v>
      </c>
      <c r="B145" s="684" t="s">
        <v>729</v>
      </c>
      <c r="C145" s="685" t="s">
        <v>3340</v>
      </c>
      <c r="D145" s="552">
        <v>0</v>
      </c>
      <c r="E145" s="686">
        <f t="shared" si="13"/>
        <v>1</v>
      </c>
      <c r="F145" s="452">
        <v>120000</v>
      </c>
      <c r="G145" s="687" t="s">
        <v>314</v>
      </c>
      <c r="H145" s="652" t="s">
        <v>3496</v>
      </c>
      <c r="I145" s="424" t="s">
        <v>3266</v>
      </c>
      <c r="J145" s="424" t="s">
        <v>3497</v>
      </c>
      <c r="K145" s="688">
        <f t="shared" si="14"/>
        <v>2</v>
      </c>
      <c r="L145" s="310">
        <f>SUMIFS('Bilateral assistance, MAIN DATA'!M:M,'Bilateral assistance, MAIN DATA'!I:I,'Price List, Weapons &amp; Items'!A145)</f>
        <v>14</v>
      </c>
      <c r="M145" s="46">
        <f>COUNTIFS('Bilateral assistance, MAIN DATA'!M:M,"undisclosed",'Bilateral assistance, MAIN DATA'!I:I,'Price List, Weapons &amp; Items'!A145)</f>
        <v>0</v>
      </c>
      <c r="N145" s="689">
        <f t="shared" si="15"/>
        <v>1680000</v>
      </c>
      <c r="O145" s="1">
        <f>IFERROR(IF(SEARCH(A145,_xlfn.ARRAYTOTEXT('Bilateral assistance, MAIN DATA'!I$1:I$1408))&gt;0,1,""),0)</f>
        <v>1</v>
      </c>
      <c r="P145" s="46">
        <f>IFERROR(IF(SEARCH(A145,_xlfn.ARRAYTOTEXT('Commercial assistance'!I$1:I$1400))&gt;0,1,""),0)</f>
        <v>0</v>
      </c>
    </row>
    <row r="146" spans="1:16" ht="15" customHeight="1">
      <c r="A146" s="424" t="s">
        <v>2090</v>
      </c>
      <c r="B146" s="684" t="s">
        <v>3239</v>
      </c>
      <c r="C146" s="715" t="s">
        <v>3167</v>
      </c>
      <c r="D146" s="686">
        <v>1</v>
      </c>
      <c r="E146" s="686">
        <f t="shared" si="13"/>
        <v>0</v>
      </c>
      <c r="F146" s="452">
        <v>208817599.13</v>
      </c>
      <c r="G146" s="687" t="str">
        <f>IF(F146&lt;&gt;".","USD",".")</f>
        <v>USD</v>
      </c>
      <c r="H146" s="655" t="s">
        <v>3253</v>
      </c>
      <c r="I146" s="424" t="s">
        <v>3254</v>
      </c>
      <c r="J146" s="424" t="s">
        <v>3332</v>
      </c>
      <c r="K146" s="688">
        <f t="shared" si="14"/>
        <v>2</v>
      </c>
      <c r="L146" s="310">
        <f>SUMIFS('Bilateral assistance, MAIN DATA'!M:M,'Bilateral assistance, MAIN DATA'!I:I,'Price List, Weapons &amp; Items'!A146)</f>
        <v>1</v>
      </c>
      <c r="M146" s="46">
        <f>COUNTIFS('Bilateral assistance, MAIN DATA'!M:M,"undisclosed",'Bilateral assistance, MAIN DATA'!I:I,'Price List, Weapons &amp; Items'!A146)</f>
        <v>0</v>
      </c>
      <c r="N146" s="689">
        <f t="shared" si="15"/>
        <v>208817599.13</v>
      </c>
      <c r="O146" s="1">
        <f>IFERROR(IF(SEARCH(A146,_xlfn.ARRAYTOTEXT('Bilateral assistance, MAIN DATA'!I$1:I$1408))&gt;0,1,""),0)</f>
        <v>1</v>
      </c>
      <c r="P146" s="46">
        <f>IFERROR(IF(SEARCH(A146,_xlfn.ARRAYTOTEXT('Commercial assistance'!I$1:I$1400))&gt;0,1,""),0)</f>
        <v>0</v>
      </c>
    </row>
    <row r="147" spans="1:16" ht="15" customHeight="1">
      <c r="A147" s="704" t="s">
        <v>1208</v>
      </c>
      <c r="B147" s="684" t="s">
        <v>3239</v>
      </c>
      <c r="C147" s="685" t="s">
        <v>3168</v>
      </c>
      <c r="D147" s="686">
        <v>0</v>
      </c>
      <c r="E147" s="686">
        <f t="shared" si="13"/>
        <v>0</v>
      </c>
      <c r="F147" s="452">
        <f>140000000*VLOOKUP("USD",'Exchange rates'!B:C,2,0)</f>
        <v>140490000</v>
      </c>
      <c r="G147" s="687" t="s">
        <v>314</v>
      </c>
      <c r="H147" s="653" t="s">
        <v>3498</v>
      </c>
      <c r="I147" s="424" t="s">
        <v>3259</v>
      </c>
      <c r="J147" s="703" t="s">
        <v>3499</v>
      </c>
      <c r="K147" s="688">
        <f t="shared" si="14"/>
        <v>2</v>
      </c>
      <c r="L147" s="310">
        <f>SUMIFS('Bilateral assistance, MAIN DATA'!M:M,'Bilateral assistance, MAIN DATA'!I:I,'Price List, Weapons &amp; Items'!A147)</f>
        <v>4</v>
      </c>
      <c r="M147" s="46">
        <f>COUNTIFS('Bilateral assistance, MAIN DATA'!M:M,"undisclosed",'Bilateral assistance, MAIN DATA'!I:I,'Price List, Weapons &amp; Items'!A147)</f>
        <v>0</v>
      </c>
      <c r="N147" s="689">
        <f t="shared" si="15"/>
        <v>561960000</v>
      </c>
      <c r="O147" s="1">
        <f>IFERROR(IF(SEARCH(A147,_xlfn.ARRAYTOTEXT('Bilateral assistance, MAIN DATA'!I$1:I$1408))&gt;0,1,""),0)</f>
        <v>1</v>
      </c>
      <c r="P147" s="46">
        <f>IFERROR(IF(SEARCH(A147,_xlfn.ARRAYTOTEXT('Commercial assistance'!I$1:I$1400))&gt;0,1,""),0)</f>
        <v>0</v>
      </c>
    </row>
    <row r="148" spans="1:16" ht="15" customHeight="1">
      <c r="A148" s="699" t="s">
        <v>2509</v>
      </c>
      <c r="B148" s="39" t="s">
        <v>3239</v>
      </c>
      <c r="C148" s="685" t="s">
        <v>3288</v>
      </c>
      <c r="D148" s="552">
        <v>0</v>
      </c>
      <c r="E148" s="686">
        <f t="shared" si="13"/>
        <v>0</v>
      </c>
      <c r="F148" s="452">
        <v>87000000</v>
      </c>
      <c r="G148" s="687" t="str">
        <f>IF(F148&lt;&gt;".","USD",".")</f>
        <v>USD</v>
      </c>
      <c r="H148" s="655" t="s">
        <v>3253</v>
      </c>
      <c r="I148" s="424" t="s">
        <v>3254</v>
      </c>
      <c r="J148" s="424" t="s">
        <v>3500</v>
      </c>
      <c r="K148" s="688">
        <f t="shared" si="14"/>
        <v>2</v>
      </c>
      <c r="L148" s="310">
        <f>SUMIFS('Bilateral assistance, MAIN DATA'!M:M,'Bilateral assistance, MAIN DATA'!I:I,'Price List, Weapons &amp; Items'!A148)</f>
        <v>2</v>
      </c>
      <c r="M148" s="46">
        <f>COUNTIFS('Bilateral assistance, MAIN DATA'!M:M,"undisclosed",'Bilateral assistance, MAIN DATA'!I:I,'Price List, Weapons &amp; Items'!A148)</f>
        <v>0</v>
      </c>
      <c r="N148" s="689">
        <f t="shared" si="15"/>
        <v>174000000</v>
      </c>
      <c r="O148" s="1">
        <f>IFERROR(IF(SEARCH(A148,_xlfn.ARRAYTOTEXT('Bilateral assistance, MAIN DATA'!I$1:I$1408))&gt;0,1,""),0)</f>
        <v>1</v>
      </c>
      <c r="P148" s="46">
        <f>IFERROR(IF(SEARCH(A148,_xlfn.ARRAYTOTEXT('Commercial assistance'!I$1:I$1400))&gt;0,1,""),0)</f>
        <v>0</v>
      </c>
    </row>
    <row r="149" spans="1:16" ht="15" customHeight="1">
      <c r="A149" s="691" t="s">
        <v>3501</v>
      </c>
      <c r="B149" s="684" t="s">
        <v>729</v>
      </c>
      <c r="C149" s="685" t="s">
        <v>232</v>
      </c>
      <c r="D149" s="686">
        <v>0</v>
      </c>
      <c r="E149" s="686">
        <f t="shared" si="13"/>
        <v>0</v>
      </c>
      <c r="F149" s="452">
        <v>70000000</v>
      </c>
      <c r="G149" s="687" t="str">
        <f>IF(F149&lt;&gt;".","USD",".")</f>
        <v>USD</v>
      </c>
      <c r="H149" s="652" t="s">
        <v>3502</v>
      </c>
      <c r="I149" s="424" t="s">
        <v>3262</v>
      </c>
      <c r="J149" s="424" t="s">
        <v>3503</v>
      </c>
      <c r="K149" s="688">
        <f t="shared" si="14"/>
        <v>2</v>
      </c>
      <c r="L149" s="310">
        <f>SUMIFS('Bilateral assistance, MAIN DATA'!M:M,'Bilateral assistance, MAIN DATA'!I:I,'Price List, Weapons &amp; Items'!A149)</f>
        <v>2</v>
      </c>
      <c r="M149" s="46">
        <f>COUNTIFS('Bilateral assistance, MAIN DATA'!M:M,"undisclosed",'Bilateral assistance, MAIN DATA'!I:I,'Price List, Weapons &amp; Items'!A149)</f>
        <v>0</v>
      </c>
      <c r="N149" s="689">
        <f t="shared" si="15"/>
        <v>140000000</v>
      </c>
      <c r="O149" s="1">
        <f>IFERROR(IF(SEARCH(A149,_xlfn.ARRAYTOTEXT('Bilateral assistance, MAIN DATA'!I$1:I$1408))&gt;0,1,""),0)</f>
        <v>1</v>
      </c>
      <c r="P149" s="46">
        <f>IFERROR(IF(SEARCH(A149,_xlfn.ARRAYTOTEXT('Commercial assistance'!I$1:I$1400))&gt;0,1,""),0)</f>
        <v>0</v>
      </c>
    </row>
    <row r="150" spans="1:16" ht="15" customHeight="1">
      <c r="A150" s="691" t="s">
        <v>2608</v>
      </c>
      <c r="B150" s="684" t="s">
        <v>729</v>
      </c>
      <c r="C150" s="685" t="s">
        <v>3238</v>
      </c>
      <c r="D150" s="686">
        <v>0</v>
      </c>
      <c r="E150" s="686">
        <f t="shared" si="13"/>
        <v>0</v>
      </c>
      <c r="F150" s="452">
        <v>70000000</v>
      </c>
      <c r="G150" s="687" t="str">
        <f>IF(F150&lt;&gt;".","USD",".")</f>
        <v>USD</v>
      </c>
      <c r="H150" s="652" t="s">
        <v>3502</v>
      </c>
      <c r="I150" s="424" t="s">
        <v>3262</v>
      </c>
      <c r="J150" s="424" t="s">
        <v>3504</v>
      </c>
      <c r="K150" s="688">
        <f t="shared" si="14"/>
        <v>2</v>
      </c>
      <c r="L150" s="310">
        <f>SUMIFS('Bilateral assistance, MAIN DATA'!M:M,'Bilateral assistance, MAIN DATA'!I:I,'Price List, Weapons &amp; Items'!A150)</f>
        <v>2</v>
      </c>
      <c r="M150" s="46">
        <f>COUNTIFS('Bilateral assistance, MAIN DATA'!M:M,"undisclosed",'Bilateral assistance, MAIN DATA'!I:I,'Price List, Weapons &amp; Items'!A150)</f>
        <v>0</v>
      </c>
      <c r="N150" s="689">
        <f t="shared" si="15"/>
        <v>140000000</v>
      </c>
      <c r="O150" s="1">
        <f>IFERROR(IF(SEARCH(A150,_xlfn.ARRAYTOTEXT('Bilateral assistance, MAIN DATA'!I$1:I$1408))&gt;0,1,""),0)</f>
        <v>1</v>
      </c>
      <c r="P150" s="46">
        <f>IFERROR(IF(SEARCH(A150,_xlfn.ARRAYTOTEXT('Commercial assistance'!I$1:I$1400))&gt;0,1,""),0)</f>
        <v>0</v>
      </c>
    </row>
    <row r="151" spans="1:16" ht="15" customHeight="1">
      <c r="A151" s="716" t="s">
        <v>3505</v>
      </c>
      <c r="B151" s="684" t="s">
        <v>729</v>
      </c>
      <c r="C151" s="685" t="s">
        <v>3238</v>
      </c>
      <c r="D151" s="686">
        <v>0</v>
      </c>
      <c r="E151" s="686">
        <f t="shared" si="13"/>
        <v>0</v>
      </c>
      <c r="F151" s="452">
        <v>19354990.843713053</v>
      </c>
      <c r="G151" s="687" t="s">
        <v>314</v>
      </c>
      <c r="H151" s="655" t="s">
        <v>3253</v>
      </c>
      <c r="I151" s="424" t="s">
        <v>3262</v>
      </c>
      <c r="J151" s="703" t="s">
        <v>3506</v>
      </c>
      <c r="K151" s="688">
        <f t="shared" si="14"/>
        <v>2</v>
      </c>
      <c r="L151" s="310">
        <f>SUMIFS('Bilateral assistance, MAIN DATA'!M:M,'Bilateral assistance, MAIN DATA'!I:I,'Price List, Weapons &amp; Items'!A151)</f>
        <v>5</v>
      </c>
      <c r="M151" s="46">
        <f>COUNTIFS('Bilateral assistance, MAIN DATA'!M:M,"undisclosed",'Bilateral assistance, MAIN DATA'!I:I,'Price List, Weapons &amp; Items'!A151)</f>
        <v>0</v>
      </c>
      <c r="N151" s="689">
        <f t="shared" si="15"/>
        <v>96774954.218565255</v>
      </c>
      <c r="O151" s="1">
        <f>IFERROR(IF(SEARCH(A151,_xlfn.ARRAYTOTEXT('Bilateral assistance, MAIN DATA'!I$1:I$1408))&gt;0,1,""),0)</f>
        <v>1</v>
      </c>
      <c r="P151" s="46">
        <f>IFERROR(IF(SEARCH(A151,_xlfn.ARRAYTOTEXT('Commercial assistance'!I$1:I$1400))&gt;0,1,""),0)</f>
        <v>0</v>
      </c>
    </row>
    <row r="152" spans="1:16" ht="15" customHeight="1">
      <c r="A152" s="424" t="s">
        <v>2753</v>
      </c>
      <c r="B152" s="684" t="s">
        <v>3239</v>
      </c>
      <c r="C152" s="276" t="s">
        <v>3169</v>
      </c>
      <c r="D152" s="39">
        <v>0</v>
      </c>
      <c r="E152" s="686">
        <f t="shared" si="13"/>
        <v>0</v>
      </c>
      <c r="F152" s="452">
        <v>50000000</v>
      </c>
      <c r="G152" s="687" t="str">
        <f t="shared" ref="G152:G163" si="17">IF(F152&lt;&gt;".","USD",".")</f>
        <v>USD</v>
      </c>
      <c r="H152" s="659" t="s">
        <v>3507</v>
      </c>
      <c r="I152" s="424" t="s">
        <v>3262</v>
      </c>
      <c r="J152" s="424" t="s">
        <v>3508</v>
      </c>
      <c r="K152" s="688">
        <f t="shared" si="14"/>
        <v>2</v>
      </c>
      <c r="L152" s="310">
        <f>SUMIFS('Bilateral assistance, MAIN DATA'!M:M,'Bilateral assistance, MAIN DATA'!I:I,'Price List, Weapons &amp; Items'!A152)</f>
        <v>8</v>
      </c>
      <c r="M152" s="46">
        <f>COUNTIFS('Bilateral assistance, MAIN DATA'!M:M,"undisclosed",'Bilateral assistance, MAIN DATA'!I:I,'Price List, Weapons &amp; Items'!A152)</f>
        <v>0</v>
      </c>
      <c r="N152" s="689">
        <f t="shared" si="15"/>
        <v>400000000</v>
      </c>
      <c r="O152" s="1">
        <f>IFERROR(IF(SEARCH(A152,_xlfn.ARRAYTOTEXT('Bilateral assistance, MAIN DATA'!I$1:I$1408))&gt;0,1,""),0)</f>
        <v>1</v>
      </c>
      <c r="P152" s="46">
        <f>IFERROR(IF(SEARCH(A152,_xlfn.ARRAYTOTEXT('Commercial assistance'!I$1:I$1400))&gt;0,1,""),0)</f>
        <v>0</v>
      </c>
    </row>
    <row r="153" spans="1:16" ht="15" customHeight="1">
      <c r="A153" s="691" t="s">
        <v>2801</v>
      </c>
      <c r="B153" s="684" t="s">
        <v>3239</v>
      </c>
      <c r="C153" s="685" t="s">
        <v>3306</v>
      </c>
      <c r="D153" s="552">
        <v>0</v>
      </c>
      <c r="E153" s="686">
        <f t="shared" si="13"/>
        <v>0</v>
      </c>
      <c r="F153" s="452">
        <v>39916727.899999999</v>
      </c>
      <c r="G153" s="687" t="str">
        <f t="shared" si="17"/>
        <v>USD</v>
      </c>
      <c r="H153" s="660" t="s">
        <v>3509</v>
      </c>
      <c r="I153" s="424" t="s">
        <v>3262</v>
      </c>
      <c r="J153" s="424" t="s">
        <v>3510</v>
      </c>
      <c r="K153" s="688">
        <f t="shared" si="14"/>
        <v>2</v>
      </c>
      <c r="L153" s="310">
        <f>SUMIFS('Bilateral assistance, MAIN DATA'!M:M,'Bilateral assistance, MAIN DATA'!I:I,'Price List, Weapons &amp; Items'!A153)</f>
        <v>58</v>
      </c>
      <c r="M153" s="46">
        <f>COUNTIFS('Bilateral assistance, MAIN DATA'!M:M,"undisclosed",'Bilateral assistance, MAIN DATA'!I:I,'Price List, Weapons &amp; Items'!A153)</f>
        <v>0</v>
      </c>
      <c r="N153" s="689">
        <f t="shared" si="15"/>
        <v>2315170218.1999998</v>
      </c>
      <c r="O153" s="1">
        <f>IFERROR(IF(SEARCH(A153,_xlfn.ARRAYTOTEXT('Bilateral assistance, MAIN DATA'!I$1:I$1408))&gt;0,1,""),0)</f>
        <v>1</v>
      </c>
      <c r="P153" s="46">
        <f>IFERROR(IF(SEARCH(A153,_xlfn.ARRAYTOTEXT('Commercial assistance'!I$1:I$1400))&gt;0,1,""),0)</f>
        <v>0</v>
      </c>
    </row>
    <row r="154" spans="1:16" ht="15" customHeight="1">
      <c r="A154" s="512" t="s">
        <v>814</v>
      </c>
      <c r="B154" s="684" t="s">
        <v>3239</v>
      </c>
      <c r="C154" s="276" t="s">
        <v>3511</v>
      </c>
      <c r="D154" s="708">
        <v>0</v>
      </c>
      <c r="E154" s="686">
        <f t="shared" si="13"/>
        <v>0</v>
      </c>
      <c r="F154" s="452">
        <v>35411360.630000003</v>
      </c>
      <c r="G154" s="687" t="str">
        <f t="shared" si="17"/>
        <v>USD</v>
      </c>
      <c r="H154" s="653" t="s">
        <v>3512</v>
      </c>
      <c r="I154" s="424" t="s">
        <v>3308</v>
      </c>
      <c r="J154" s="424" t="s">
        <v>3513</v>
      </c>
      <c r="K154" s="688">
        <f t="shared" si="14"/>
        <v>2</v>
      </c>
      <c r="L154" s="310">
        <f>SUMIFS('Bilateral assistance, MAIN DATA'!M:M,'Bilateral assistance, MAIN DATA'!I:I,'Price List, Weapons &amp; Items'!A154)</f>
        <v>3</v>
      </c>
      <c r="M154" s="46">
        <f>COUNTIFS('Bilateral assistance, MAIN DATA'!M:M,"undisclosed",'Bilateral assistance, MAIN DATA'!I:I,'Price List, Weapons &amp; Items'!A154)</f>
        <v>0</v>
      </c>
      <c r="N154" s="689">
        <f t="shared" si="15"/>
        <v>106234081.89000002</v>
      </c>
      <c r="O154" s="1">
        <f>IFERROR(IF(SEARCH(A154,_xlfn.ARRAYTOTEXT('Bilateral assistance, MAIN DATA'!I$1:I$1408))&gt;0,1,""),0)</f>
        <v>1</v>
      </c>
      <c r="P154" s="46">
        <f>IFERROR(IF(SEARCH(A154,_xlfn.ARRAYTOTEXT('Commercial assistance'!I$1:I$1400))&gt;0,1,""),0)</f>
        <v>0</v>
      </c>
    </row>
    <row r="155" spans="1:16" ht="15" customHeight="1">
      <c r="A155" s="424" t="s">
        <v>1548</v>
      </c>
      <c r="B155" s="684" t="s">
        <v>3249</v>
      </c>
      <c r="C155" s="685" t="s">
        <v>3514</v>
      </c>
      <c r="D155" s="552">
        <v>1</v>
      </c>
      <c r="E155" s="686">
        <f t="shared" si="13"/>
        <v>0</v>
      </c>
      <c r="F155" s="452">
        <v>18400000</v>
      </c>
      <c r="G155" s="687" t="str">
        <f t="shared" si="17"/>
        <v>USD</v>
      </c>
      <c r="H155" s="661" t="s">
        <v>3515</v>
      </c>
      <c r="I155" s="424" t="s">
        <v>3259</v>
      </c>
      <c r="J155" s="424" t="s">
        <v>3516</v>
      </c>
      <c r="K155" s="688">
        <f t="shared" si="14"/>
        <v>2</v>
      </c>
      <c r="L155" s="310">
        <f>SUMIFS('Bilateral assistance, MAIN DATA'!M:M,'Bilateral assistance, MAIN DATA'!I:I,'Price List, Weapons &amp; Items'!A155)</f>
        <v>21</v>
      </c>
      <c r="M155" s="46">
        <f>COUNTIFS('Bilateral assistance, MAIN DATA'!M:M,"undisclosed",'Bilateral assistance, MAIN DATA'!I:I,'Price List, Weapons &amp; Items'!A155)</f>
        <v>0</v>
      </c>
      <c r="N155" s="689">
        <f t="shared" si="15"/>
        <v>386400000</v>
      </c>
      <c r="O155" s="1">
        <f>IFERROR(IF(SEARCH(A155,_xlfn.ARRAYTOTEXT('Bilateral assistance, MAIN DATA'!I$1:I$1408))&gt;0,1,""),0)</f>
        <v>1</v>
      </c>
      <c r="P155" s="46">
        <f>IFERROR(IF(SEARCH(A155,_xlfn.ARRAYTOTEXT('Commercial assistance'!I$1:I$1400))&gt;0,1,""),0)</f>
        <v>0</v>
      </c>
    </row>
    <row r="156" spans="1:16" ht="15" customHeight="1">
      <c r="A156" s="697" t="s">
        <v>1240</v>
      </c>
      <c r="B156" s="684" t="s">
        <v>3239</v>
      </c>
      <c r="C156" s="685" t="s">
        <v>3281</v>
      </c>
      <c r="D156" s="686">
        <v>0</v>
      </c>
      <c r="E156" s="686">
        <f t="shared" si="13"/>
        <v>1</v>
      </c>
      <c r="F156" s="452">
        <v>13778907.188501142</v>
      </c>
      <c r="G156" s="687" t="str">
        <f t="shared" si="17"/>
        <v>USD</v>
      </c>
      <c r="H156" s="651" t="s">
        <v>2977</v>
      </c>
      <c r="I156" s="424" t="s">
        <v>3254</v>
      </c>
      <c r="J156" s="424" t="s">
        <v>3517</v>
      </c>
      <c r="K156" s="688">
        <f t="shared" si="14"/>
        <v>2</v>
      </c>
      <c r="L156" s="310">
        <f>SUMIFS('Bilateral assistance, MAIN DATA'!M:M,'Bilateral assistance, MAIN DATA'!I:I,'Price List, Weapons &amp; Items'!A156)</f>
        <v>28</v>
      </c>
      <c r="M156" s="46">
        <f>COUNTIFS('Bilateral assistance, MAIN DATA'!M:M,"undisclosed",'Bilateral assistance, MAIN DATA'!I:I,'Price List, Weapons &amp; Items'!A156)</f>
        <v>0</v>
      </c>
      <c r="N156" s="689">
        <f t="shared" si="15"/>
        <v>385809401.27803195</v>
      </c>
      <c r="O156" s="1">
        <f>IFERROR(IF(SEARCH(A156,_xlfn.ARRAYTOTEXT('Bilateral assistance, MAIN DATA'!I$1:I$1408))&gt;0,1,""),0)</f>
        <v>1</v>
      </c>
      <c r="P156" s="46">
        <f>IFERROR(IF(SEARCH(A156,_xlfn.ARRAYTOTEXT('Commercial assistance'!I$1:I$1400))&gt;0,1,""),0)</f>
        <v>1</v>
      </c>
    </row>
    <row r="157" spans="1:16" ht="15" customHeight="1">
      <c r="A157" s="424" t="s">
        <v>2638</v>
      </c>
      <c r="B157" s="684" t="s">
        <v>3239</v>
      </c>
      <c r="C157" s="685" t="s">
        <v>3518</v>
      </c>
      <c r="D157" s="686">
        <v>0</v>
      </c>
      <c r="E157" s="686">
        <f t="shared" si="13"/>
        <v>1</v>
      </c>
      <c r="F157" s="452">
        <v>15076313.029999999</v>
      </c>
      <c r="G157" s="687" t="str">
        <f t="shared" si="17"/>
        <v>USD</v>
      </c>
      <c r="H157" s="655" t="s">
        <v>3253</v>
      </c>
      <c r="I157" s="424" t="s">
        <v>3254</v>
      </c>
      <c r="J157" s="424" t="s">
        <v>3519</v>
      </c>
      <c r="K157" s="688">
        <f t="shared" si="14"/>
        <v>2</v>
      </c>
      <c r="L157" s="310">
        <f>SUMIFS('Bilateral assistance, MAIN DATA'!M:M,'Bilateral assistance, MAIN DATA'!I:I,'Price List, Weapons &amp; Items'!A157)</f>
        <v>38</v>
      </c>
      <c r="M157" s="46">
        <f>COUNTIFS('Bilateral assistance, MAIN DATA'!M:M,"undisclosed",'Bilateral assistance, MAIN DATA'!I:I,'Price List, Weapons &amp; Items'!A157)</f>
        <v>0</v>
      </c>
      <c r="N157" s="689">
        <f t="shared" si="15"/>
        <v>572899895.13999999</v>
      </c>
      <c r="O157" s="1">
        <f>IFERROR(IF(SEARCH(A157,_xlfn.ARRAYTOTEXT('Bilateral assistance, MAIN DATA'!I$1:I$1408))&gt;0,1,""),0)</f>
        <v>1</v>
      </c>
      <c r="P157" s="46">
        <f>IFERROR(IF(SEARCH(A157,_xlfn.ARRAYTOTEXT('Commercial assistance'!I$1:I$1400))&gt;0,1,""),0)</f>
        <v>0</v>
      </c>
    </row>
    <row r="158" spans="1:16" ht="15" customHeight="1">
      <c r="A158" s="528" t="s">
        <v>2772</v>
      </c>
      <c r="B158" s="684" t="s">
        <v>3239</v>
      </c>
      <c r="C158" s="685" t="s">
        <v>3306</v>
      </c>
      <c r="D158" s="552">
        <v>0</v>
      </c>
      <c r="E158" s="686">
        <f t="shared" si="13"/>
        <v>0</v>
      </c>
      <c r="F158" s="452">
        <v>15000000</v>
      </c>
      <c r="G158" s="687" t="str">
        <f t="shared" si="17"/>
        <v>USD</v>
      </c>
      <c r="H158" s="653" t="s">
        <v>3509</v>
      </c>
      <c r="I158" s="424" t="s">
        <v>3262</v>
      </c>
      <c r="J158" s="424" t="s">
        <v>3520</v>
      </c>
      <c r="K158" s="688">
        <f t="shared" si="14"/>
        <v>2</v>
      </c>
      <c r="L158" s="310">
        <f>SUMIFS('Bilateral assistance, MAIN DATA'!M:M,'Bilateral assistance, MAIN DATA'!I:I,'Price List, Weapons &amp; Items'!A158)</f>
        <v>16</v>
      </c>
      <c r="M158" s="46">
        <f>COUNTIFS('Bilateral assistance, MAIN DATA'!M:M,"undisclosed",'Bilateral assistance, MAIN DATA'!I:I,'Price List, Weapons &amp; Items'!A158)</f>
        <v>0</v>
      </c>
      <c r="N158" s="689">
        <f t="shared" si="15"/>
        <v>240000000</v>
      </c>
      <c r="O158" s="1">
        <f>IFERROR(IF(SEARCH(A158,_xlfn.ARRAYTOTEXT('Bilateral assistance, MAIN DATA'!I$1:I$1408))&gt;0,1,""),0)</f>
        <v>1</v>
      </c>
      <c r="P158" s="46">
        <f>IFERROR(IF(SEARCH(A158,_xlfn.ARRAYTOTEXT('Commercial assistance'!I$1:I$1400))&gt;0,1,""),0)</f>
        <v>0</v>
      </c>
    </row>
    <row r="159" spans="1:16" ht="15" customHeight="1">
      <c r="A159" s="528" t="s">
        <v>1933</v>
      </c>
      <c r="B159" s="684" t="s">
        <v>3239</v>
      </c>
      <c r="C159" s="685" t="s">
        <v>3281</v>
      </c>
      <c r="D159" s="686">
        <v>0</v>
      </c>
      <c r="E159" s="686">
        <f t="shared" si="13"/>
        <v>1</v>
      </c>
      <c r="F159" s="452">
        <v>12781188.5</v>
      </c>
      <c r="G159" s="687" t="str">
        <f t="shared" si="17"/>
        <v>USD</v>
      </c>
      <c r="H159" s="652" t="s">
        <v>3521</v>
      </c>
      <c r="I159" s="424" t="s">
        <v>3308</v>
      </c>
      <c r="J159" s="424" t="s">
        <v>3522</v>
      </c>
      <c r="K159" s="688">
        <f t="shared" si="14"/>
        <v>2</v>
      </c>
      <c r="L159" s="310">
        <f>SUMIFS('Bilateral assistance, MAIN DATA'!M:M,'Bilateral assistance, MAIN DATA'!I:I,'Price List, Weapons &amp; Items'!A159)</f>
        <v>18</v>
      </c>
      <c r="M159" s="46">
        <f>COUNTIFS('Bilateral assistance, MAIN DATA'!M:M,"undisclosed",'Bilateral assistance, MAIN DATA'!I:I,'Price List, Weapons &amp; Items'!A159)</f>
        <v>0</v>
      </c>
      <c r="N159" s="689">
        <f t="shared" si="15"/>
        <v>230061393</v>
      </c>
      <c r="O159" s="1">
        <f>IFERROR(IF(SEARCH(A159,_xlfn.ARRAYTOTEXT('Bilateral assistance, MAIN DATA'!I$1:I$1408))&gt;0,1,""),0)</f>
        <v>1</v>
      </c>
      <c r="P159" s="46">
        <f>IFERROR(IF(SEARCH(A159,_xlfn.ARRAYTOTEXT('Commercial assistance'!I$1:I$1400))&gt;0,1,""),0)</f>
        <v>1</v>
      </c>
    </row>
    <row r="160" spans="1:16" ht="15" customHeight="1">
      <c r="A160" s="512" t="s">
        <v>714</v>
      </c>
      <c r="B160" s="684" t="s">
        <v>3249</v>
      </c>
      <c r="C160" s="685" t="s">
        <v>3514</v>
      </c>
      <c r="D160" s="686">
        <v>1</v>
      </c>
      <c r="E160" s="686">
        <f t="shared" si="13"/>
        <v>0</v>
      </c>
      <c r="F160" s="452">
        <v>12000000</v>
      </c>
      <c r="G160" s="687" t="str">
        <f t="shared" si="17"/>
        <v>USD</v>
      </c>
      <c r="H160" s="653" t="s">
        <v>3523</v>
      </c>
      <c r="I160" s="424" t="s">
        <v>3262</v>
      </c>
      <c r="J160" s="424" t="s">
        <v>3524</v>
      </c>
      <c r="K160" s="688">
        <f t="shared" si="14"/>
        <v>2</v>
      </c>
      <c r="L160" s="310">
        <f>SUMIFS('Bilateral assistance, MAIN DATA'!M:M,'Bilateral assistance, MAIN DATA'!I:I,'Price List, Weapons &amp; Items'!A160)</f>
        <v>7</v>
      </c>
      <c r="M160" s="46">
        <f>COUNTIFS('Bilateral assistance, MAIN DATA'!M:M,"undisclosed",'Bilateral assistance, MAIN DATA'!I:I,'Price List, Weapons &amp; Items'!A160)</f>
        <v>0</v>
      </c>
      <c r="N160" s="689">
        <f t="shared" si="15"/>
        <v>84000000</v>
      </c>
      <c r="O160" s="1">
        <f>IFERROR(IF(SEARCH(A160,_xlfn.ARRAYTOTEXT('Bilateral assistance, MAIN DATA'!I$1:I$1408))&gt;0,1,""),0)</f>
        <v>1</v>
      </c>
      <c r="P160" s="46">
        <f>IFERROR(IF(SEARCH(A160,_xlfn.ARRAYTOTEXT('Commercial assistance'!I$1:I$1400))&gt;0,1,""),0)</f>
        <v>0</v>
      </c>
    </row>
    <row r="161" spans="1:16" ht="15" customHeight="1">
      <c r="A161" s="691" t="s">
        <v>1696</v>
      </c>
      <c r="B161" s="684" t="s">
        <v>729</v>
      </c>
      <c r="C161" s="685" t="s">
        <v>3238</v>
      </c>
      <c r="D161" s="686">
        <v>0</v>
      </c>
      <c r="E161" s="686">
        <f t="shared" si="13"/>
        <v>0</v>
      </c>
      <c r="F161" s="452">
        <v>8888888</v>
      </c>
      <c r="G161" s="687" t="str">
        <f t="shared" si="17"/>
        <v>USD</v>
      </c>
      <c r="H161" s="653" t="s">
        <v>3525</v>
      </c>
      <c r="I161" s="424" t="s">
        <v>3262</v>
      </c>
      <c r="J161" s="424" t="s">
        <v>3526</v>
      </c>
      <c r="K161" s="688">
        <f t="shared" si="14"/>
        <v>2</v>
      </c>
      <c r="L161" s="310">
        <f>SUMIFS('Bilateral assistance, MAIN DATA'!M:M,'Bilateral assistance, MAIN DATA'!I:I,'Price List, Weapons &amp; Items'!A161)</f>
        <v>25</v>
      </c>
      <c r="M161" s="46">
        <f>COUNTIFS('Bilateral assistance, MAIN DATA'!M:M,"undisclosed",'Bilateral assistance, MAIN DATA'!I:I,'Price List, Weapons &amp; Items'!A161)</f>
        <v>0</v>
      </c>
      <c r="N161" s="689">
        <f t="shared" si="15"/>
        <v>222222200</v>
      </c>
      <c r="O161" s="1">
        <f>IFERROR(IF(SEARCH(A161,_xlfn.ARRAYTOTEXT('Bilateral assistance, MAIN DATA'!I$1:I$1408))&gt;0,1,""),0)</f>
        <v>1</v>
      </c>
      <c r="P161" s="46">
        <f>IFERROR(IF(SEARCH(A161,_xlfn.ARRAYTOTEXT('Commercial assistance'!I$1:I$1400))&gt;0,1,""),0)</f>
        <v>0</v>
      </c>
    </row>
    <row r="162" spans="1:16" ht="15" customHeight="1">
      <c r="A162" s="424" t="s">
        <v>1108</v>
      </c>
      <c r="B162" s="684" t="s">
        <v>3239</v>
      </c>
      <c r="C162" s="685" t="s">
        <v>3281</v>
      </c>
      <c r="D162" s="686">
        <v>0</v>
      </c>
      <c r="E162" s="686">
        <f t="shared" si="13"/>
        <v>1</v>
      </c>
      <c r="F162" s="452">
        <v>6345668.5229201708</v>
      </c>
      <c r="G162" s="687" t="str">
        <f t="shared" si="17"/>
        <v>USD</v>
      </c>
      <c r="H162" s="655" t="s">
        <v>3253</v>
      </c>
      <c r="I162" s="424" t="s">
        <v>3254</v>
      </c>
      <c r="J162" s="424" t="s">
        <v>3527</v>
      </c>
      <c r="K162" s="688">
        <f t="shared" si="14"/>
        <v>2</v>
      </c>
      <c r="L162" s="310">
        <f>SUMIFS('Bilateral assistance, MAIN DATA'!M:M,'Bilateral assistance, MAIN DATA'!I:I,'Price List, Weapons &amp; Items'!A162)</f>
        <v>24</v>
      </c>
      <c r="M162" s="46">
        <f>COUNTIFS('Bilateral assistance, MAIN DATA'!M:M,"undisclosed",'Bilateral assistance, MAIN DATA'!I:I,'Price List, Weapons &amp; Items'!A162)</f>
        <v>0</v>
      </c>
      <c r="N162" s="689">
        <f t="shared" si="15"/>
        <v>152296044.55008411</v>
      </c>
      <c r="O162" s="1">
        <f>IFERROR(IF(SEARCH(A162,_xlfn.ARRAYTOTEXT('Bilateral assistance, MAIN DATA'!I$1:I$1408))&gt;0,1,""),0)</f>
        <v>1</v>
      </c>
      <c r="P162" s="46">
        <f>IFERROR(IF(SEARCH(A162,_xlfn.ARRAYTOTEXT('Commercial assistance'!I$1:I$1400))&gt;0,1,""),0)</f>
        <v>0</v>
      </c>
    </row>
    <row r="163" spans="1:16" ht="15" customHeight="1">
      <c r="A163" s="512" t="s">
        <v>824</v>
      </c>
      <c r="B163" s="684" t="s">
        <v>3239</v>
      </c>
      <c r="C163" s="685" t="s">
        <v>3281</v>
      </c>
      <c r="D163" s="552">
        <v>1</v>
      </c>
      <c r="E163" s="686">
        <f t="shared" si="13"/>
        <v>1</v>
      </c>
      <c r="F163" s="452">
        <v>8661378.4511823338</v>
      </c>
      <c r="G163" s="687" t="str">
        <f t="shared" si="17"/>
        <v>USD</v>
      </c>
      <c r="H163" s="657" t="s">
        <v>3528</v>
      </c>
      <c r="I163" s="424" t="s">
        <v>3308</v>
      </c>
      <c r="J163" s="424" t="s">
        <v>3529</v>
      </c>
      <c r="K163" s="688">
        <f t="shared" si="14"/>
        <v>2</v>
      </c>
      <c r="L163" s="310">
        <f>SUMIFS('Bilateral assistance, MAIN DATA'!M:M,'Bilateral assistance, MAIN DATA'!I:I,'Price List, Weapons &amp; Items'!A163)</f>
        <v>15</v>
      </c>
      <c r="M163" s="46">
        <f>COUNTIFS('Bilateral assistance, MAIN DATA'!M:M,"undisclosed",'Bilateral assistance, MAIN DATA'!I:I,'Price List, Weapons &amp; Items'!A163)</f>
        <v>0</v>
      </c>
      <c r="N163" s="689">
        <f t="shared" si="15"/>
        <v>129920676.767735</v>
      </c>
      <c r="O163" s="1">
        <f>IFERROR(IF(SEARCH(A163,_xlfn.ARRAYTOTEXT('Bilateral assistance, MAIN DATA'!I$1:I$1408))&gt;0,1,""),0)</f>
        <v>1</v>
      </c>
      <c r="P163" s="46">
        <f>IFERROR(IF(SEARCH(A163,_xlfn.ARRAYTOTEXT('Commercial assistance'!I$1:I$1400))&gt;0,1,""),0)</f>
        <v>1</v>
      </c>
    </row>
    <row r="164" spans="1:16" ht="15" customHeight="1">
      <c r="A164" s="691" t="s">
        <v>871</v>
      </c>
      <c r="B164" s="684" t="s">
        <v>729</v>
      </c>
      <c r="C164" s="685" t="s">
        <v>232</v>
      </c>
      <c r="D164" s="552">
        <v>0</v>
      </c>
      <c r="E164" s="686">
        <f t="shared" si="13"/>
        <v>0</v>
      </c>
      <c r="F164" s="452">
        <f>5300000*1.1435</f>
        <v>6060550</v>
      </c>
      <c r="G164" s="687" t="s">
        <v>314</v>
      </c>
      <c r="H164" s="653" t="s">
        <v>872</v>
      </c>
      <c r="I164" s="424" t="s">
        <v>3259</v>
      </c>
      <c r="J164" s="424" t="s">
        <v>3530</v>
      </c>
      <c r="K164" s="688">
        <f t="shared" si="14"/>
        <v>2</v>
      </c>
      <c r="L164" s="310">
        <f>SUMIFS('Bilateral assistance, MAIN DATA'!M:M,'Bilateral assistance, MAIN DATA'!I:I,'Price List, Weapons &amp; Items'!A164)</f>
        <v>4</v>
      </c>
      <c r="M164" s="46">
        <f>COUNTIFS('Bilateral assistance, MAIN DATA'!M:M,"undisclosed",'Bilateral assistance, MAIN DATA'!I:I,'Price List, Weapons &amp; Items'!A164)</f>
        <v>0</v>
      </c>
      <c r="N164" s="689">
        <f t="shared" si="15"/>
        <v>24242200</v>
      </c>
      <c r="O164" s="1">
        <f>IFERROR(IF(SEARCH(A164,_xlfn.ARRAYTOTEXT('Bilateral assistance, MAIN DATA'!I$1:I$1408))&gt;0,1,""),0)</f>
        <v>1</v>
      </c>
      <c r="P164" s="46">
        <f>IFERROR(IF(SEARCH(A164,_xlfn.ARRAYTOTEXT('Commercial assistance'!I$1:I$1400))&gt;0,1,""),0)</f>
        <v>0</v>
      </c>
    </row>
    <row r="165" spans="1:16" ht="15" customHeight="1">
      <c r="A165" s="424" t="s">
        <v>2987</v>
      </c>
      <c r="B165" s="684" t="s">
        <v>3249</v>
      </c>
      <c r="C165" s="685" t="s">
        <v>3531</v>
      </c>
      <c r="D165" s="686">
        <v>0</v>
      </c>
      <c r="E165" s="686">
        <f t="shared" si="13"/>
        <v>0</v>
      </c>
      <c r="F165" s="452">
        <v>9530000</v>
      </c>
      <c r="G165" s="687" t="str">
        <f t="shared" ref="G165:G170" si="18">IF(F165&lt;&gt;".","USD",".")</f>
        <v>USD</v>
      </c>
      <c r="H165" s="652" t="s">
        <v>3253</v>
      </c>
      <c r="I165" s="424" t="s">
        <v>3254</v>
      </c>
      <c r="J165" s="424" t="s">
        <v>3532</v>
      </c>
      <c r="K165" s="688">
        <f t="shared" si="14"/>
        <v>2</v>
      </c>
      <c r="L165" s="310">
        <f>SUMIFS('Bilateral assistance, MAIN DATA'!M:M,'Bilateral assistance, MAIN DATA'!I:I,'Price List, Weapons &amp; Items'!A165)</f>
        <v>5</v>
      </c>
      <c r="M165" s="46">
        <f>COUNTIFS('Bilateral assistance, MAIN DATA'!M:M,"undisclosed",'Bilateral assistance, MAIN DATA'!I:I,'Price List, Weapons &amp; Items'!A165)</f>
        <v>0</v>
      </c>
      <c r="N165" s="689">
        <f t="shared" si="15"/>
        <v>47650000</v>
      </c>
      <c r="O165" s="1">
        <f>IFERROR(IF(SEARCH(A165,_xlfn.ARRAYTOTEXT('Bilateral assistance, MAIN DATA'!I$1:I$1408))&gt;0,1,""),0)</f>
        <v>1</v>
      </c>
      <c r="P165" s="46">
        <f>IFERROR(IF(SEARCH(A165,_xlfn.ARRAYTOTEXT('Commercial assistance'!I$1:I$1400))&gt;0,1,""),0)</f>
        <v>1</v>
      </c>
    </row>
    <row r="166" spans="1:16" ht="15" customHeight="1">
      <c r="A166" s="424" t="s">
        <v>708</v>
      </c>
      <c r="B166" s="684" t="s">
        <v>3239</v>
      </c>
      <c r="C166" s="685" t="s">
        <v>3533</v>
      </c>
      <c r="D166" s="552">
        <v>1</v>
      </c>
      <c r="E166" s="686">
        <f t="shared" si="13"/>
        <v>1</v>
      </c>
      <c r="F166" s="452">
        <v>1637933.8716107793</v>
      </c>
      <c r="G166" s="717" t="str">
        <f t="shared" si="18"/>
        <v>USD</v>
      </c>
      <c r="H166" s="661" t="s">
        <v>3253</v>
      </c>
      <c r="I166" s="424" t="s">
        <v>3254</v>
      </c>
      <c r="J166" s="717" t="s">
        <v>3534</v>
      </c>
      <c r="K166" s="688">
        <f t="shared" si="14"/>
        <v>2</v>
      </c>
      <c r="L166" s="310">
        <f>SUMIFS('Bilateral assistance, MAIN DATA'!M:M,'Bilateral assistance, MAIN DATA'!I:I,'Price List, Weapons &amp; Items'!A166)</f>
        <v>20</v>
      </c>
      <c r="M166" s="46">
        <f>COUNTIFS('Bilateral assistance, MAIN DATA'!M:M,"undisclosed",'Bilateral assistance, MAIN DATA'!I:I,'Price List, Weapons &amp; Items'!A166)</f>
        <v>0</v>
      </c>
      <c r="N166" s="689">
        <f t="shared" si="15"/>
        <v>32758677.432215586</v>
      </c>
      <c r="O166" s="1">
        <f>IFERROR(IF(SEARCH(A166,_xlfn.ARRAYTOTEXT('Bilateral assistance, MAIN DATA'!I$1:I$1408))&gt;0,1,""),0)</f>
        <v>1</v>
      </c>
      <c r="P166" s="46">
        <f>IFERROR(IF(SEARCH(A166,_xlfn.ARRAYTOTEXT('Commercial assistance'!I$1:I$1400))&gt;0,1,""),0)</f>
        <v>0</v>
      </c>
    </row>
    <row r="167" spans="1:16" ht="15" customHeight="1">
      <c r="A167" s="424" t="s">
        <v>571</v>
      </c>
      <c r="B167" s="684" t="s">
        <v>3239</v>
      </c>
      <c r="C167" s="685" t="s">
        <v>3346</v>
      </c>
      <c r="D167" s="552">
        <v>0</v>
      </c>
      <c r="E167" s="686">
        <f t="shared" si="13"/>
        <v>1</v>
      </c>
      <c r="F167" s="452">
        <v>4346586.3370000003</v>
      </c>
      <c r="G167" s="687" t="str">
        <f t="shared" si="18"/>
        <v>USD</v>
      </c>
      <c r="H167" s="652" t="s">
        <v>3535</v>
      </c>
      <c r="I167" s="424" t="s">
        <v>3308</v>
      </c>
      <c r="J167" s="424" t="s">
        <v>3536</v>
      </c>
      <c r="K167" s="688">
        <f t="shared" si="14"/>
        <v>2</v>
      </c>
      <c r="L167" s="310">
        <f>SUMIFS('Bilateral assistance, MAIN DATA'!M:M,'Bilateral assistance, MAIN DATA'!I:I,'Price List, Weapons &amp; Items'!A167)</f>
        <v>39</v>
      </c>
      <c r="M167" s="46">
        <f>COUNTIFS('Bilateral assistance, MAIN DATA'!M:M,"undisclosed",'Bilateral assistance, MAIN DATA'!I:I,'Price List, Weapons &amp; Items'!A167)</f>
        <v>0</v>
      </c>
      <c r="N167" s="689">
        <f t="shared" si="15"/>
        <v>169516867.14300001</v>
      </c>
      <c r="O167" s="1">
        <f>IFERROR(IF(SEARCH(A167,_xlfn.ARRAYTOTEXT('Bilateral assistance, MAIN DATA'!I$1:I$1408))&gt;0,1,""),0)</f>
        <v>1</v>
      </c>
      <c r="P167" s="46">
        <f>IFERROR(IF(SEARCH(A167,_xlfn.ARRAYTOTEXT('Commercial assistance'!I$1:I$1400))&gt;0,1,""),0)</f>
        <v>0</v>
      </c>
    </row>
    <row r="168" spans="1:16" ht="15" customHeight="1">
      <c r="A168" s="718" t="s">
        <v>1220</v>
      </c>
      <c r="B168" s="684" t="s">
        <v>3239</v>
      </c>
      <c r="C168" s="685" t="s">
        <v>3537</v>
      </c>
      <c r="D168" s="686">
        <v>0</v>
      </c>
      <c r="E168" s="686">
        <f t="shared" si="13"/>
        <v>1</v>
      </c>
      <c r="F168" s="452">
        <f>AVERAGE(F153,F175)</f>
        <v>20783363.949999999</v>
      </c>
      <c r="G168" s="687" t="str">
        <f t="shared" si="18"/>
        <v>USD</v>
      </c>
      <c r="H168" s="655" t="s">
        <v>3253</v>
      </c>
      <c r="I168" s="424" t="s">
        <v>3254</v>
      </c>
      <c r="J168" s="703" t="s">
        <v>3538</v>
      </c>
      <c r="K168" s="688">
        <f t="shared" si="14"/>
        <v>2</v>
      </c>
      <c r="L168" s="310">
        <f>SUMIFS('Bilateral assistance, MAIN DATA'!M:M,'Bilateral assistance, MAIN DATA'!I:I,'Price List, Weapons &amp; Items'!A168)</f>
        <v>5</v>
      </c>
      <c r="M168" s="46">
        <f>COUNTIFS('Bilateral assistance, MAIN DATA'!M:M,"undisclosed",'Bilateral assistance, MAIN DATA'!I:I,'Price List, Weapons &amp; Items'!A168)</f>
        <v>0</v>
      </c>
      <c r="N168" s="689">
        <f t="shared" si="15"/>
        <v>103916819.75</v>
      </c>
      <c r="O168" s="1">
        <f>IFERROR(IF(SEARCH(A168,_xlfn.ARRAYTOTEXT('Bilateral assistance, MAIN DATA'!I$1:I$1408))&gt;0,1,""),0)</f>
        <v>1</v>
      </c>
      <c r="P168" s="46">
        <f>IFERROR(IF(SEARCH(A168,_xlfn.ARRAYTOTEXT('Commercial assistance'!I$1:I$1400))&gt;0,1,""),0)</f>
        <v>0</v>
      </c>
    </row>
    <row r="169" spans="1:16" ht="15" customHeight="1">
      <c r="A169" s="524" t="s">
        <v>1176</v>
      </c>
      <c r="B169" s="684" t="s">
        <v>3239</v>
      </c>
      <c r="C169" s="685" t="s">
        <v>3539</v>
      </c>
      <c r="D169" s="552">
        <v>0</v>
      </c>
      <c r="E169" s="686">
        <f t="shared" si="13"/>
        <v>0</v>
      </c>
      <c r="F169" s="452">
        <v>2528458.11</v>
      </c>
      <c r="G169" s="687" t="str">
        <f t="shared" si="18"/>
        <v>USD</v>
      </c>
      <c r="H169" s="652" t="s">
        <v>3253</v>
      </c>
      <c r="I169" s="424" t="s">
        <v>3254</v>
      </c>
      <c r="J169" s="424" t="s">
        <v>3540</v>
      </c>
      <c r="K169" s="688">
        <f t="shared" si="14"/>
        <v>2</v>
      </c>
      <c r="L169" s="310">
        <f>SUMIFS('Bilateral assistance, MAIN DATA'!M:M,'Bilateral assistance, MAIN DATA'!I:I,'Price List, Weapons &amp; Items'!A169)</f>
        <v>16</v>
      </c>
      <c r="M169" s="46">
        <f>COUNTIFS('Bilateral assistance, MAIN DATA'!M:M,"undisclosed",'Bilateral assistance, MAIN DATA'!I:I,'Price List, Weapons &amp; Items'!A169)</f>
        <v>0</v>
      </c>
      <c r="N169" s="689">
        <f t="shared" si="15"/>
        <v>40455329.759999998</v>
      </c>
      <c r="O169" s="1">
        <f>IFERROR(IF(SEARCH(A169,_xlfn.ARRAYTOTEXT('Bilateral assistance, MAIN DATA'!I$1:I$1408))&gt;0,1,""),0)</f>
        <v>1</v>
      </c>
      <c r="P169" s="46">
        <f>IFERROR(IF(SEARCH(A169,_xlfn.ARRAYTOTEXT('Commercial assistance'!I$1:I$1400))&gt;0,1,""),0)</f>
        <v>0</v>
      </c>
    </row>
    <row r="170" spans="1:16" ht="15" customHeight="1">
      <c r="A170" s="424" t="s">
        <v>1133</v>
      </c>
      <c r="B170" s="684" t="s">
        <v>3239</v>
      </c>
      <c r="C170" s="685" t="s">
        <v>3518</v>
      </c>
      <c r="D170" s="686">
        <v>0</v>
      </c>
      <c r="E170" s="686">
        <f t="shared" si="13"/>
        <v>1</v>
      </c>
      <c r="F170" s="452">
        <v>13615659.128881287</v>
      </c>
      <c r="G170" s="687" t="str">
        <f t="shared" si="18"/>
        <v>USD</v>
      </c>
      <c r="H170" s="655" t="s">
        <v>3253</v>
      </c>
      <c r="I170" s="424" t="s">
        <v>3254</v>
      </c>
      <c r="J170" s="703" t="s">
        <v>3541</v>
      </c>
      <c r="K170" s="688">
        <f t="shared" si="14"/>
        <v>2</v>
      </c>
      <c r="L170" s="310">
        <f>SUMIFS('Bilateral assistance, MAIN DATA'!M:M,'Bilateral assistance, MAIN DATA'!I:I,'Price List, Weapons &amp; Items'!A170)</f>
        <v>10</v>
      </c>
      <c r="M170" s="46">
        <f>COUNTIFS('Bilateral assistance, MAIN DATA'!M:M,"undisclosed",'Bilateral assistance, MAIN DATA'!I:I,'Price List, Weapons &amp; Items'!A170)</f>
        <v>0</v>
      </c>
      <c r="N170" s="689">
        <f t="shared" si="15"/>
        <v>136156591.28881288</v>
      </c>
      <c r="O170" s="1">
        <f>IFERROR(IF(SEARCH(A170,_xlfn.ARRAYTOTEXT('Bilateral assistance, MAIN DATA'!I$1:I$1408))&gt;0,1,""),0)</f>
        <v>1</v>
      </c>
      <c r="P170" s="46">
        <f>IFERROR(IF(SEARCH(A170,_xlfn.ARRAYTOTEXT('Commercial assistance'!I$1:I$1400))&gt;0,1,""),0)</f>
        <v>0</v>
      </c>
    </row>
    <row r="171" spans="1:16" ht="15" customHeight="1">
      <c r="A171" s="424" t="s">
        <v>1840</v>
      </c>
      <c r="B171" s="684" t="s">
        <v>3239</v>
      </c>
      <c r="C171" s="685" t="s">
        <v>3518</v>
      </c>
      <c r="D171" s="686">
        <v>0</v>
      </c>
      <c r="E171" s="686">
        <f t="shared" si="13"/>
        <v>1</v>
      </c>
      <c r="F171" s="452">
        <v>3193503.68</v>
      </c>
      <c r="G171" s="687" t="s">
        <v>314</v>
      </c>
      <c r="H171" s="655" t="s">
        <v>3253</v>
      </c>
      <c r="I171" s="424" t="s">
        <v>3254</v>
      </c>
      <c r="J171" s="703" t="s">
        <v>3542</v>
      </c>
      <c r="K171" s="688">
        <f t="shared" si="14"/>
        <v>2</v>
      </c>
      <c r="L171" s="310">
        <f>SUMIFS('Bilateral assistance, MAIN DATA'!M:M,'Bilateral assistance, MAIN DATA'!I:I,'Price List, Weapons &amp; Items'!A171)</f>
        <v>3</v>
      </c>
      <c r="M171" s="46">
        <f>COUNTIFS('Bilateral assistance, MAIN DATA'!M:M,"undisclosed",'Bilateral assistance, MAIN DATA'!I:I,'Price List, Weapons &amp; Items'!A171)</f>
        <v>0</v>
      </c>
      <c r="N171" s="689">
        <f t="shared" si="15"/>
        <v>9580511.040000001</v>
      </c>
      <c r="O171" s="1">
        <f>IFERROR(IF(SEARCH(A171,_xlfn.ARRAYTOTEXT('Bilateral assistance, MAIN DATA'!I$1:I$1408))&gt;0,1,""),0)</f>
        <v>1</v>
      </c>
      <c r="P171" s="46">
        <f>IFERROR(IF(SEARCH(A171,_xlfn.ARRAYTOTEXT('Commercial assistance'!I$1:I$1400))&gt;0,1,""),0)</f>
        <v>0</v>
      </c>
    </row>
    <row r="172" spans="1:16" ht="15" customHeight="1">
      <c r="A172" s="697" t="s">
        <v>2490</v>
      </c>
      <c r="B172" s="684" t="s">
        <v>3239</v>
      </c>
      <c r="C172" s="685" t="s">
        <v>2687</v>
      </c>
      <c r="D172" s="552">
        <v>0</v>
      </c>
      <c r="E172" s="686">
        <f t="shared" si="13"/>
        <v>0</v>
      </c>
      <c r="F172" s="452">
        <v>1272482.2760025531</v>
      </c>
      <c r="G172" s="687" t="str">
        <f t="shared" ref="G172:G185" si="19">IF(F172&lt;&gt;".","USD",".")</f>
        <v>USD</v>
      </c>
      <c r="H172" s="655" t="s">
        <v>3253</v>
      </c>
      <c r="I172" s="424" t="s">
        <v>3254</v>
      </c>
      <c r="J172" s="424" t="s">
        <v>3543</v>
      </c>
      <c r="K172" s="688">
        <f t="shared" si="14"/>
        <v>2</v>
      </c>
      <c r="L172" s="310">
        <f>SUMIFS('Bilateral assistance, MAIN DATA'!M:M,'Bilateral assistance, MAIN DATA'!I:I,'Price List, Weapons &amp; Items'!A172)</f>
        <v>54</v>
      </c>
      <c r="M172" s="46">
        <f>COUNTIFS('Bilateral assistance, MAIN DATA'!M:M,"undisclosed",'Bilateral assistance, MAIN DATA'!I:I,'Price List, Weapons &amp; Items'!A172)</f>
        <v>0</v>
      </c>
      <c r="N172" s="689">
        <f t="shared" si="15"/>
        <v>68714042.904137865</v>
      </c>
      <c r="O172" s="1">
        <f>IFERROR(IF(SEARCH(A172,_xlfn.ARRAYTOTEXT('Bilateral assistance, MAIN DATA'!I$1:I$1408))&gt;0,1,""),0)</f>
        <v>1</v>
      </c>
      <c r="P172" s="46">
        <f>IFERROR(IF(SEARCH(A172,_xlfn.ARRAYTOTEXT('Commercial assistance'!I$1:I$1400))&gt;0,1,""),0)</f>
        <v>0</v>
      </c>
    </row>
    <row r="173" spans="1:16" ht="15" customHeight="1">
      <c r="A173" s="691" t="s">
        <v>1462</v>
      </c>
      <c r="B173" s="684" t="s">
        <v>3239</v>
      </c>
      <c r="C173" s="685" t="s">
        <v>3281</v>
      </c>
      <c r="D173" s="686">
        <v>0</v>
      </c>
      <c r="E173" s="686">
        <f t="shared" si="13"/>
        <v>1</v>
      </c>
      <c r="F173" s="452">
        <v>1734787.30789614</v>
      </c>
      <c r="G173" s="687" t="str">
        <f t="shared" si="19"/>
        <v>USD</v>
      </c>
      <c r="H173" s="652" t="s">
        <v>3253</v>
      </c>
      <c r="I173" s="424" t="s">
        <v>3254</v>
      </c>
      <c r="J173" s="424" t="s">
        <v>3544</v>
      </c>
      <c r="K173" s="688">
        <f t="shared" si="14"/>
        <v>2</v>
      </c>
      <c r="L173" s="310">
        <f>SUMIFS('Bilateral assistance, MAIN DATA'!M:M,'Bilateral assistance, MAIN DATA'!I:I,'Price List, Weapons &amp; Items'!A173)</f>
        <v>86</v>
      </c>
      <c r="M173" s="46">
        <f>COUNTIFS('Bilateral assistance, MAIN DATA'!M:M,"undisclosed",'Bilateral assistance, MAIN DATA'!I:I,'Price List, Weapons &amp; Items'!A173)</f>
        <v>0</v>
      </c>
      <c r="N173" s="689">
        <f t="shared" si="15"/>
        <v>149191708.47906804</v>
      </c>
      <c r="O173" s="1">
        <f>IFERROR(IF(SEARCH(A173,_xlfn.ARRAYTOTEXT('Bilateral assistance, MAIN DATA'!I$1:I$1408))&gt;0,1,""),0)</f>
        <v>1</v>
      </c>
      <c r="P173" s="46">
        <f>IFERROR(IF(SEARCH(A173,_xlfn.ARRAYTOTEXT('Commercial assistance'!I$1:I$1400))&gt;0,1,""),0)</f>
        <v>0</v>
      </c>
    </row>
    <row r="174" spans="1:16" ht="15" customHeight="1">
      <c r="A174" s="704" t="s">
        <v>1243</v>
      </c>
      <c r="B174" s="684" t="s">
        <v>3239</v>
      </c>
      <c r="C174" s="685" t="s">
        <v>3340</v>
      </c>
      <c r="D174" s="686">
        <v>0</v>
      </c>
      <c r="E174" s="686">
        <f t="shared" si="13"/>
        <v>1</v>
      </c>
      <c r="F174" s="452">
        <v>1650000</v>
      </c>
      <c r="G174" s="687" t="str">
        <f t="shared" si="19"/>
        <v>USD</v>
      </c>
      <c r="H174" s="652" t="s">
        <v>3545</v>
      </c>
      <c r="I174" s="424" t="s">
        <v>3270</v>
      </c>
      <c r="J174" s="424" t="s">
        <v>3546</v>
      </c>
      <c r="K174" s="688">
        <f t="shared" si="14"/>
        <v>2</v>
      </c>
      <c r="L174" s="310">
        <f>SUMIFS('Bilateral assistance, MAIN DATA'!M:M,'Bilateral assistance, MAIN DATA'!I:I,'Price List, Weapons &amp; Items'!A174)</f>
        <v>40</v>
      </c>
      <c r="M174" s="46">
        <f>COUNTIFS('Bilateral assistance, MAIN DATA'!M:M,"undisclosed",'Bilateral assistance, MAIN DATA'!I:I,'Price List, Weapons &amp; Items'!A174)</f>
        <v>0</v>
      </c>
      <c r="N174" s="689">
        <f t="shared" si="15"/>
        <v>66000000</v>
      </c>
      <c r="O174" s="1">
        <f>IFERROR(IF(SEARCH(A174,_xlfn.ARRAYTOTEXT('Bilateral assistance, MAIN DATA'!I$1:I$1408))&gt;0,1,""),0)</f>
        <v>1</v>
      </c>
      <c r="P174" s="46">
        <f>IFERROR(IF(SEARCH(A174,_xlfn.ARRAYTOTEXT('Commercial assistance'!I$1:I$1400))&gt;0,1,""),0)</f>
        <v>0</v>
      </c>
    </row>
    <row r="175" spans="1:16" ht="15" customHeight="1">
      <c r="A175" s="691" t="s">
        <v>274</v>
      </c>
      <c r="B175" s="684" t="s">
        <v>3239</v>
      </c>
      <c r="C175" s="685" t="s">
        <v>3340</v>
      </c>
      <c r="D175" s="686">
        <v>0</v>
      </c>
      <c r="E175" s="686">
        <f t="shared" si="13"/>
        <v>1</v>
      </c>
      <c r="F175" s="452">
        <v>1650000</v>
      </c>
      <c r="G175" s="687" t="str">
        <f t="shared" si="19"/>
        <v>USD</v>
      </c>
      <c r="H175" s="652" t="s">
        <v>3545</v>
      </c>
      <c r="I175" s="424" t="s">
        <v>3270</v>
      </c>
      <c r="J175" s="424" t="s">
        <v>3547</v>
      </c>
      <c r="K175" s="688">
        <f t="shared" si="14"/>
        <v>2</v>
      </c>
      <c r="L175" s="310">
        <f>SUMIFS('Bilateral assistance, MAIN DATA'!M:M,'Bilateral assistance, MAIN DATA'!I:I,'Price List, Weapons &amp; Items'!A175)</f>
        <v>90</v>
      </c>
      <c r="M175" s="46">
        <f>COUNTIFS('Bilateral assistance, MAIN DATA'!M:M,"undisclosed",'Bilateral assistance, MAIN DATA'!I:I,'Price List, Weapons &amp; Items'!A175)</f>
        <v>0</v>
      </c>
      <c r="N175" s="689">
        <f t="shared" si="15"/>
        <v>148500000</v>
      </c>
      <c r="O175" s="1">
        <f>IFERROR(IF(SEARCH(A175,_xlfn.ARRAYTOTEXT('Bilateral assistance, MAIN DATA'!I$1:I$1408))&gt;0,1,""),0)</f>
        <v>1</v>
      </c>
      <c r="P175" s="46">
        <f>IFERROR(IF(SEARCH(A175,_xlfn.ARRAYTOTEXT('Commercial assistance'!I$1:I$1400))&gt;0,1,""),0)</f>
        <v>0</v>
      </c>
    </row>
    <row r="176" spans="1:16" ht="15" customHeight="1">
      <c r="A176" s="697" t="s">
        <v>697</v>
      </c>
      <c r="B176" s="684" t="s">
        <v>3239</v>
      </c>
      <c r="C176" s="685" t="s">
        <v>3257</v>
      </c>
      <c r="D176" s="686">
        <v>1</v>
      </c>
      <c r="E176" s="686">
        <f t="shared" si="13"/>
        <v>1</v>
      </c>
      <c r="F176" s="452">
        <v>1616065.9562782401</v>
      </c>
      <c r="G176" s="687" t="str">
        <f t="shared" si="19"/>
        <v>USD</v>
      </c>
      <c r="H176" s="653" t="s">
        <v>3253</v>
      </c>
      <c r="I176" s="424" t="s">
        <v>3254</v>
      </c>
      <c r="J176" s="424" t="s">
        <v>3548</v>
      </c>
      <c r="K176" s="688">
        <f t="shared" si="14"/>
        <v>2</v>
      </c>
      <c r="L176" s="310">
        <f>SUMIFS('Bilateral assistance, MAIN DATA'!M:M,'Bilateral assistance, MAIN DATA'!I:I,'Price List, Weapons &amp; Items'!A176)</f>
        <v>280</v>
      </c>
      <c r="M176" s="46">
        <f>COUNTIFS('Bilateral assistance, MAIN DATA'!M:M,"undisclosed",'Bilateral assistance, MAIN DATA'!I:I,'Price List, Weapons &amp; Items'!A176)</f>
        <v>0</v>
      </c>
      <c r="N176" s="689">
        <f t="shared" si="15"/>
        <v>452498467.75790721</v>
      </c>
      <c r="O176" s="1">
        <f>IFERROR(IF(SEARCH(A176,_xlfn.ARRAYTOTEXT('Bilateral assistance, MAIN DATA'!I$1:I$1408))&gt;0,1,""),0)</f>
        <v>1</v>
      </c>
      <c r="P176" s="46">
        <f>IFERROR(IF(SEARCH(A176,_xlfn.ARRAYTOTEXT('Commercial assistance'!I$1:I$1400))&gt;0,1,""),0)</f>
        <v>0</v>
      </c>
    </row>
    <row r="177" spans="1:16" ht="15" customHeight="1">
      <c r="A177" s="719" t="s">
        <v>711</v>
      </c>
      <c r="B177" s="684" t="s">
        <v>3239</v>
      </c>
      <c r="C177" s="276" t="s">
        <v>3549</v>
      </c>
      <c r="D177" s="708">
        <v>1</v>
      </c>
      <c r="E177" s="686">
        <f t="shared" si="13"/>
        <v>1</v>
      </c>
      <c r="F177" s="452">
        <v>1550000</v>
      </c>
      <c r="G177" s="687" t="str">
        <f t="shared" si="19"/>
        <v>USD</v>
      </c>
      <c r="H177" s="652" t="s">
        <v>3550</v>
      </c>
      <c r="I177" s="424" t="s">
        <v>3262</v>
      </c>
      <c r="J177" s="698" t="s">
        <v>3551</v>
      </c>
      <c r="K177" s="688">
        <f t="shared" si="14"/>
        <v>2</v>
      </c>
      <c r="L177" s="310">
        <f>SUMIFS('Bilateral assistance, MAIN DATA'!M:M,'Bilateral assistance, MAIN DATA'!I:I,'Price List, Weapons &amp; Items'!A177)</f>
        <v>20</v>
      </c>
      <c r="M177" s="46">
        <f>COUNTIFS('Bilateral assistance, MAIN DATA'!M:M,"undisclosed",'Bilateral assistance, MAIN DATA'!I:I,'Price List, Weapons &amp; Items'!A177)</f>
        <v>0</v>
      </c>
      <c r="N177" s="689">
        <f t="shared" si="15"/>
        <v>31000000</v>
      </c>
      <c r="O177" s="1">
        <f>IFERROR(IF(SEARCH(A177,_xlfn.ARRAYTOTEXT('Bilateral assistance, MAIN DATA'!I$1:I$1408))&gt;0,1,""),0)</f>
        <v>1</v>
      </c>
      <c r="P177" s="46">
        <f>IFERROR(IF(SEARCH(A177,_xlfn.ARRAYTOTEXT('Commercial assistance'!I$1:I$1400))&gt;0,1,""),0)</f>
        <v>0</v>
      </c>
    </row>
    <row r="178" spans="1:16" ht="15" customHeight="1">
      <c r="A178" s="528" t="s">
        <v>1257</v>
      </c>
      <c r="B178" s="684" t="s">
        <v>3239</v>
      </c>
      <c r="C178" s="685" t="s">
        <v>3552</v>
      </c>
      <c r="D178" s="686">
        <v>0</v>
      </c>
      <c r="E178" s="686">
        <f t="shared" si="13"/>
        <v>0</v>
      </c>
      <c r="F178" s="452">
        <v>1190651.93</v>
      </c>
      <c r="G178" s="687" t="str">
        <f t="shared" si="19"/>
        <v>USD</v>
      </c>
      <c r="H178" s="652" t="s">
        <v>3553</v>
      </c>
      <c r="I178" s="424" t="s">
        <v>3262</v>
      </c>
      <c r="J178" s="424" t="s">
        <v>3554</v>
      </c>
      <c r="K178" s="688">
        <f t="shared" si="14"/>
        <v>2</v>
      </c>
      <c r="L178" s="310">
        <f>SUMIFS('Bilateral assistance, MAIN DATA'!M:M,'Bilateral assistance, MAIN DATA'!I:I,'Price List, Weapons &amp; Items'!A178)</f>
        <v>30</v>
      </c>
      <c r="M178" s="46">
        <f>COUNTIFS('Bilateral assistance, MAIN DATA'!M:M,"undisclosed",'Bilateral assistance, MAIN DATA'!I:I,'Price List, Weapons &amp; Items'!A178)</f>
        <v>0</v>
      </c>
      <c r="N178" s="689">
        <f t="shared" si="15"/>
        <v>35719557.899999999</v>
      </c>
      <c r="O178" s="1">
        <f>IFERROR(IF(SEARCH(A178,_xlfn.ARRAYTOTEXT('Bilateral assistance, MAIN DATA'!I$1:I$1408))&gt;0,1,""),0)</f>
        <v>1</v>
      </c>
      <c r="P178" s="46">
        <f>IFERROR(IF(SEARCH(A178,_xlfn.ARRAYTOTEXT('Commercial assistance'!I$1:I$1400))&gt;0,1,""),0)</f>
        <v>0</v>
      </c>
    </row>
    <row r="179" spans="1:16" ht="15" customHeight="1">
      <c r="A179" s="699" t="s">
        <v>1845</v>
      </c>
      <c r="B179" s="39" t="s">
        <v>3239</v>
      </c>
      <c r="C179" s="524" t="s">
        <v>3340</v>
      </c>
      <c r="D179" s="552">
        <v>0</v>
      </c>
      <c r="E179" s="686">
        <f t="shared" si="13"/>
        <v>1</v>
      </c>
      <c r="F179" s="452">
        <v>1187362.3799999999</v>
      </c>
      <c r="G179" s="687" t="str">
        <f t="shared" si="19"/>
        <v>USD</v>
      </c>
      <c r="H179" s="653" t="s">
        <v>3253</v>
      </c>
      <c r="I179" s="424" t="s">
        <v>3254</v>
      </c>
      <c r="J179" s="424" t="s">
        <v>3519</v>
      </c>
      <c r="K179" s="688">
        <f t="shared" si="14"/>
        <v>2</v>
      </c>
      <c r="L179" s="310">
        <f>SUMIFS('Bilateral assistance, MAIN DATA'!M:M,'Bilateral assistance, MAIN DATA'!I:I,'Price List, Weapons &amp; Items'!A179)</f>
        <v>14</v>
      </c>
      <c r="M179" s="46">
        <f>COUNTIFS('Bilateral assistance, MAIN DATA'!M:M,"undisclosed",'Bilateral assistance, MAIN DATA'!I:I,'Price List, Weapons &amp; Items'!A179)</f>
        <v>0</v>
      </c>
      <c r="N179" s="689">
        <f t="shared" si="15"/>
        <v>16623073.319999998</v>
      </c>
      <c r="O179" s="1">
        <f>IFERROR(IF(SEARCH(A179,_xlfn.ARRAYTOTEXT('Bilateral assistance, MAIN DATA'!I$1:I$1408))&gt;0,1,""),0)</f>
        <v>1</v>
      </c>
      <c r="P179" s="46">
        <f>IFERROR(IF(SEARCH(A179,_xlfn.ARRAYTOTEXT('Commercial assistance'!I$1:I$1400))&gt;0,1,""),0)</f>
        <v>0</v>
      </c>
    </row>
    <row r="180" spans="1:16" ht="15" customHeight="1">
      <c r="A180" s="524" t="s">
        <v>1232</v>
      </c>
      <c r="B180" s="684" t="s">
        <v>3249</v>
      </c>
      <c r="C180" s="685" t="s">
        <v>3261</v>
      </c>
      <c r="D180" s="552">
        <v>0</v>
      </c>
      <c r="E180" s="686">
        <f t="shared" si="13"/>
        <v>0</v>
      </c>
      <c r="F180" s="452">
        <f>1090071*0.95</f>
        <v>1035567.45</v>
      </c>
      <c r="G180" s="687" t="str">
        <f t="shared" si="19"/>
        <v>USD</v>
      </c>
      <c r="H180" s="653" t="s">
        <v>3555</v>
      </c>
      <c r="I180" s="424" t="s">
        <v>3270</v>
      </c>
      <c r="J180" s="424" t="s">
        <v>3556</v>
      </c>
      <c r="K180" s="688">
        <f t="shared" si="14"/>
        <v>2</v>
      </c>
      <c r="L180" s="310">
        <f>SUMIFS('Bilateral assistance, MAIN DATA'!M:M,'Bilateral assistance, MAIN DATA'!I:I,'Price List, Weapons &amp; Items'!A180)</f>
        <v>5</v>
      </c>
      <c r="M180" s="46">
        <f>COUNTIFS('Bilateral assistance, MAIN DATA'!M:M,"undisclosed",'Bilateral assistance, MAIN DATA'!I:I,'Price List, Weapons &amp; Items'!A180)</f>
        <v>0</v>
      </c>
      <c r="N180" s="689">
        <f t="shared" si="15"/>
        <v>5177837.25</v>
      </c>
      <c r="O180" s="1">
        <f>IFERROR(IF(SEARCH(A180,_xlfn.ARRAYTOTEXT('Bilateral assistance, MAIN DATA'!I$1:I$1408))&gt;0,1,""),0)</f>
        <v>1</v>
      </c>
      <c r="P180" s="46">
        <f>IFERROR(IF(SEARCH(A180,_xlfn.ARRAYTOTEXT('Commercial assistance'!I$1:I$1400))&gt;0,1,""),0)</f>
        <v>0</v>
      </c>
    </row>
    <row r="181" spans="1:16" ht="15" customHeight="1">
      <c r="A181" s="704" t="s">
        <v>1249</v>
      </c>
      <c r="B181" s="684" t="s">
        <v>3249</v>
      </c>
      <c r="C181" s="685" t="s">
        <v>3261</v>
      </c>
      <c r="D181" s="552">
        <v>0</v>
      </c>
      <c r="E181" s="686">
        <f t="shared" si="13"/>
        <v>0</v>
      </c>
      <c r="F181" s="452">
        <f>1090071*0.95</f>
        <v>1035567.45</v>
      </c>
      <c r="G181" s="687" t="str">
        <f t="shared" si="19"/>
        <v>USD</v>
      </c>
      <c r="H181" s="653" t="s">
        <v>3555</v>
      </c>
      <c r="I181" s="424" t="s">
        <v>3270</v>
      </c>
      <c r="J181" s="424" t="s">
        <v>3557</v>
      </c>
      <c r="K181" s="688">
        <f t="shared" si="14"/>
        <v>2</v>
      </c>
      <c r="L181" s="310">
        <f>SUMIFS('Bilateral assistance, MAIN DATA'!M:M,'Bilateral assistance, MAIN DATA'!I:I,'Price List, Weapons &amp; Items'!A181)</f>
        <v>240</v>
      </c>
      <c r="M181" s="46">
        <f>COUNTIFS('Bilateral assistance, MAIN DATA'!M:M,"undisclosed",'Bilateral assistance, MAIN DATA'!I:I,'Price List, Weapons &amp; Items'!A181)</f>
        <v>0</v>
      </c>
      <c r="N181" s="689">
        <f t="shared" si="15"/>
        <v>248536188</v>
      </c>
      <c r="O181" s="1">
        <f>IFERROR(IF(SEARCH(A181,_xlfn.ARRAYTOTEXT('Bilateral assistance, MAIN DATA'!I$1:I$1408))&gt;0,1,""),0)</f>
        <v>1</v>
      </c>
      <c r="P181" s="46">
        <f>IFERROR(IF(SEARCH(A181,_xlfn.ARRAYTOTEXT('Commercial assistance'!I$1:I$1400))&gt;0,1,""),0)</f>
        <v>0</v>
      </c>
    </row>
    <row r="182" spans="1:16" ht="15" customHeight="1">
      <c r="A182" s="424" t="s">
        <v>1174</v>
      </c>
      <c r="B182" s="684" t="s">
        <v>3239</v>
      </c>
      <c r="C182" s="685" t="s">
        <v>3558</v>
      </c>
      <c r="D182" s="552">
        <v>0</v>
      </c>
      <c r="E182" s="686">
        <f t="shared" si="13"/>
        <v>1</v>
      </c>
      <c r="F182" s="452">
        <v>934237.75</v>
      </c>
      <c r="G182" s="687" t="str">
        <f t="shared" si="19"/>
        <v>USD</v>
      </c>
      <c r="H182" s="652" t="s">
        <v>3253</v>
      </c>
      <c r="I182" s="424" t="s">
        <v>3254</v>
      </c>
      <c r="J182" s="424" t="s">
        <v>3519</v>
      </c>
      <c r="K182" s="688">
        <f t="shared" si="14"/>
        <v>2</v>
      </c>
      <c r="L182" s="310">
        <f>SUMIFS('Bilateral assistance, MAIN DATA'!M:M,'Bilateral assistance, MAIN DATA'!I:I,'Price List, Weapons &amp; Items'!A182)</f>
        <v>15</v>
      </c>
      <c r="M182" s="46">
        <f>COUNTIFS('Bilateral assistance, MAIN DATA'!M:M,"undisclosed",'Bilateral assistance, MAIN DATA'!I:I,'Price List, Weapons &amp; Items'!A182)</f>
        <v>0</v>
      </c>
      <c r="N182" s="689">
        <f t="shared" si="15"/>
        <v>14013566.25</v>
      </c>
      <c r="O182" s="1">
        <f>IFERROR(IF(SEARCH(A182,_xlfn.ARRAYTOTEXT('Bilateral assistance, MAIN DATA'!I$1:I$1408))&gt;0,1,""),0)</f>
        <v>1</v>
      </c>
      <c r="P182" s="46">
        <f>IFERROR(IF(SEARCH(A182,_xlfn.ARRAYTOTEXT('Commercial assistance'!I$1:I$1400))&gt;0,1,""),0)</f>
        <v>0</v>
      </c>
    </row>
    <row r="183" spans="1:16" ht="15" customHeight="1">
      <c r="A183" s="691" t="s">
        <v>1990</v>
      </c>
      <c r="B183" s="684" t="s">
        <v>3239</v>
      </c>
      <c r="C183" s="685" t="s">
        <v>3281</v>
      </c>
      <c r="D183" s="686">
        <v>0</v>
      </c>
      <c r="E183" s="686">
        <f t="shared" si="13"/>
        <v>1</v>
      </c>
      <c r="F183" s="452">
        <v>865844.75623838219</v>
      </c>
      <c r="G183" s="687" t="str">
        <f t="shared" si="19"/>
        <v>USD</v>
      </c>
      <c r="H183" s="662" t="s">
        <v>3253</v>
      </c>
      <c r="I183" s="424" t="s">
        <v>3254</v>
      </c>
      <c r="J183" s="698" t="s">
        <v>3559</v>
      </c>
      <c r="K183" s="688">
        <f t="shared" si="14"/>
        <v>2</v>
      </c>
      <c r="L183" s="310">
        <f>SUMIFS('Bilateral assistance, MAIN DATA'!M:M,'Bilateral assistance, MAIN DATA'!I:I,'Price List, Weapons &amp; Items'!A183)</f>
        <v>5</v>
      </c>
      <c r="M183" s="46">
        <f>COUNTIFS('Bilateral assistance, MAIN DATA'!M:M,"undisclosed",'Bilateral assistance, MAIN DATA'!I:I,'Price List, Weapons &amp; Items'!A183)</f>
        <v>0</v>
      </c>
      <c r="N183" s="689">
        <f t="shared" si="15"/>
        <v>4329223.7811919106</v>
      </c>
      <c r="O183" s="1">
        <f>IFERROR(IF(SEARCH(A183,_xlfn.ARRAYTOTEXT('Bilateral assistance, MAIN DATA'!I$1:I$1408))&gt;0,1,""),0)</f>
        <v>1</v>
      </c>
      <c r="P183" s="46">
        <f>IFERROR(IF(SEARCH(A183,_xlfn.ARRAYTOTEXT('Commercial assistance'!I$1:I$1400))&gt;0,1,""),0)</f>
        <v>0</v>
      </c>
    </row>
    <row r="184" spans="1:16" ht="15" customHeight="1">
      <c r="A184" s="707" t="s">
        <v>805</v>
      </c>
      <c r="B184" s="684" t="s">
        <v>3249</v>
      </c>
      <c r="C184" s="685" t="s">
        <v>3261</v>
      </c>
      <c r="D184" s="686">
        <v>0</v>
      </c>
      <c r="E184" s="686">
        <f t="shared" si="13"/>
        <v>0</v>
      </c>
      <c r="F184" s="452">
        <v>850000</v>
      </c>
      <c r="G184" s="687" t="str">
        <f t="shared" si="19"/>
        <v>USD</v>
      </c>
      <c r="H184" s="652" t="s">
        <v>3560</v>
      </c>
      <c r="I184" s="424" t="s">
        <v>3262</v>
      </c>
      <c r="J184" s="695" t="s">
        <v>3561</v>
      </c>
      <c r="K184" s="688">
        <f t="shared" si="14"/>
        <v>2</v>
      </c>
      <c r="L184" s="310">
        <f>SUMIFS('Bilateral assistance, MAIN DATA'!M:M,'Bilateral assistance, MAIN DATA'!I:I,'Price List, Weapons &amp; Items'!A184)</f>
        <v>25</v>
      </c>
      <c r="M184" s="46">
        <f>COUNTIFS('Bilateral assistance, MAIN DATA'!M:M,"undisclosed",'Bilateral assistance, MAIN DATA'!I:I,'Price List, Weapons &amp; Items'!A184)</f>
        <v>0</v>
      </c>
      <c r="N184" s="689">
        <f t="shared" si="15"/>
        <v>21250000</v>
      </c>
      <c r="O184" s="1">
        <f>IFERROR(IF(SEARCH(A184,_xlfn.ARRAYTOTEXT('Bilateral assistance, MAIN DATA'!I$1:I$1408))&gt;0,1,""),0)</f>
        <v>1</v>
      </c>
      <c r="P184" s="46">
        <f>IFERROR(IF(SEARCH(A184,_xlfn.ARRAYTOTEXT('Commercial assistance'!I$1:I$1400))&gt;0,1,""),0)</f>
        <v>0</v>
      </c>
    </row>
    <row r="185" spans="1:16" ht="15" customHeight="1">
      <c r="A185" s="691" t="s">
        <v>2458</v>
      </c>
      <c r="B185" s="684" t="s">
        <v>3239</v>
      </c>
      <c r="C185" s="276" t="s">
        <v>3252</v>
      </c>
      <c r="D185" s="39">
        <v>0</v>
      </c>
      <c r="E185" s="686">
        <f t="shared" si="13"/>
        <v>1</v>
      </c>
      <c r="F185" s="452">
        <v>743989.18081292231</v>
      </c>
      <c r="G185" s="687" t="str">
        <f t="shared" si="19"/>
        <v>USD</v>
      </c>
      <c r="H185" s="651" t="s">
        <v>3253</v>
      </c>
      <c r="I185" s="424" t="s">
        <v>3254</v>
      </c>
      <c r="J185" s="698" t="s">
        <v>3255</v>
      </c>
      <c r="K185" s="688">
        <f t="shared" si="14"/>
        <v>2</v>
      </c>
      <c r="L185" s="310">
        <f>SUMIFS('Bilateral assistance, MAIN DATA'!M:M,'Bilateral assistance, MAIN DATA'!I:I,'Price List, Weapons &amp; Items'!A185)</f>
        <v>80</v>
      </c>
      <c r="M185" s="46">
        <f>COUNTIFS('Bilateral assistance, MAIN DATA'!M:M,"undisclosed",'Bilateral assistance, MAIN DATA'!I:I,'Price List, Weapons &amp; Items'!A185)</f>
        <v>0</v>
      </c>
      <c r="N185" s="689">
        <f t="shared" si="15"/>
        <v>59519134.465033785</v>
      </c>
      <c r="O185" s="1">
        <f>IFERROR(IF(SEARCH(A185,_xlfn.ARRAYTOTEXT('Bilateral assistance, MAIN DATA'!I$1:I$1408))&gt;0,1,""),0)</f>
        <v>1</v>
      </c>
      <c r="P185" s="46">
        <f>IFERROR(IF(SEARCH(A185,_xlfn.ARRAYTOTEXT('Commercial assistance'!I$1:I$1400))&gt;0,1,""),0)</f>
        <v>0</v>
      </c>
    </row>
    <row r="186" spans="1:16" ht="15" customHeight="1">
      <c r="A186" s="424" t="s">
        <v>2148</v>
      </c>
      <c r="B186" s="684" t="s">
        <v>3239</v>
      </c>
      <c r="C186" s="276" t="s">
        <v>3343</v>
      </c>
      <c r="D186" s="686">
        <v>1</v>
      </c>
      <c r="E186" s="686">
        <f t="shared" si="13"/>
        <v>1</v>
      </c>
      <c r="F186" s="452">
        <v>709034.8872</v>
      </c>
      <c r="G186" s="88" t="s">
        <v>314</v>
      </c>
      <c r="H186" s="655" t="s">
        <v>3253</v>
      </c>
      <c r="I186" s="424" t="s">
        <v>3254</v>
      </c>
      <c r="J186" s="720" t="s">
        <v>3332</v>
      </c>
      <c r="K186" s="688">
        <f t="shared" si="14"/>
        <v>2</v>
      </c>
      <c r="L186" s="310">
        <f>SUMIFS('Bilateral assistance, MAIN DATA'!M:M,'Bilateral assistance, MAIN DATA'!I:I,'Price List, Weapons &amp; Items'!A186)</f>
        <v>35</v>
      </c>
      <c r="M186" s="46">
        <f>COUNTIFS('Bilateral assistance, MAIN DATA'!M:M,"undisclosed",'Bilateral assistance, MAIN DATA'!I:I,'Price List, Weapons &amp; Items'!A186)</f>
        <v>0</v>
      </c>
      <c r="N186" s="689">
        <f t="shared" si="15"/>
        <v>24816221.052000001</v>
      </c>
      <c r="O186" s="1">
        <f>IFERROR(IF(SEARCH(A186,_xlfn.ARRAYTOTEXT('Bilateral assistance, MAIN DATA'!I$1:I$1408))&gt;0,1,""),0)</f>
        <v>1</v>
      </c>
      <c r="P186" s="46">
        <f>IFERROR(IF(SEARCH(A186,_xlfn.ARRAYTOTEXT('Commercial assistance'!I$1:I$1400))&gt;0,1,""),0)</f>
        <v>0</v>
      </c>
    </row>
    <row r="187" spans="1:16" ht="15" customHeight="1">
      <c r="A187" s="512" t="s">
        <v>3562</v>
      </c>
      <c r="B187" s="684" t="s">
        <v>3235</v>
      </c>
      <c r="C187" s="685" t="s">
        <v>3236</v>
      </c>
      <c r="D187" s="552">
        <v>0</v>
      </c>
      <c r="E187" s="686">
        <f t="shared" si="13"/>
        <v>1</v>
      </c>
      <c r="F187" s="452">
        <v>704613.12</v>
      </c>
      <c r="G187" s="687" t="str">
        <f>IF(F187&lt;&gt;".","USD",".")</f>
        <v>USD</v>
      </c>
      <c r="H187" s="652" t="s">
        <v>3563</v>
      </c>
      <c r="I187" s="424" t="s">
        <v>3308</v>
      </c>
      <c r="J187" s="424" t="s">
        <v>3564</v>
      </c>
      <c r="K187" s="688">
        <f t="shared" si="14"/>
        <v>2</v>
      </c>
      <c r="L187" s="310">
        <f>SUMIFS('Bilateral assistance, MAIN DATA'!M:M,'Bilateral assistance, MAIN DATA'!I:I,'Price List, Weapons &amp; Items'!A187)</f>
        <v>10</v>
      </c>
      <c r="M187" s="46">
        <f>COUNTIFS('Bilateral assistance, MAIN DATA'!M:M,"undisclosed",'Bilateral assistance, MAIN DATA'!I:I,'Price List, Weapons &amp; Items'!A187)</f>
        <v>0</v>
      </c>
      <c r="N187" s="689">
        <f t="shared" si="15"/>
        <v>7046131.2000000002</v>
      </c>
      <c r="O187" s="1">
        <f>IFERROR(IF(SEARCH(A187,_xlfn.ARRAYTOTEXT('Bilateral assistance, MAIN DATA'!I$1:I$1408))&gt;0,1,""),0)</f>
        <v>1</v>
      </c>
      <c r="P187" s="46">
        <f>IFERROR(IF(SEARCH(A187,_xlfn.ARRAYTOTEXT('Commercial assistance'!I$1:I$1400))&gt;0,1,""),0)</f>
        <v>0</v>
      </c>
    </row>
    <row r="188" spans="1:16" ht="15" customHeight="1">
      <c r="A188" s="697" t="s">
        <v>1817</v>
      </c>
      <c r="B188" s="684" t="s">
        <v>3235</v>
      </c>
      <c r="C188" s="685" t="s">
        <v>3418</v>
      </c>
      <c r="D188" s="708">
        <v>0</v>
      </c>
      <c r="E188" s="686">
        <f t="shared" si="13"/>
        <v>0</v>
      </c>
      <c r="F188" s="452">
        <v>692355.45178616967</v>
      </c>
      <c r="G188" s="687" t="str">
        <f>IF(F188&lt;&gt;".","USD",".")</f>
        <v>USD</v>
      </c>
      <c r="H188" s="663" t="s">
        <v>3253</v>
      </c>
      <c r="I188" s="424" t="s">
        <v>3254</v>
      </c>
      <c r="J188" s="698" t="s">
        <v>3565</v>
      </c>
      <c r="K188" s="688">
        <f t="shared" si="14"/>
        <v>2</v>
      </c>
      <c r="L188" s="310">
        <f>SUMIFS('Bilateral assistance, MAIN DATA'!M:M,'Bilateral assistance, MAIN DATA'!I:I,'Price List, Weapons &amp; Items'!A188)</f>
        <v>100</v>
      </c>
      <c r="M188" s="46">
        <f>COUNTIFS('Bilateral assistance, MAIN DATA'!M:M,"undisclosed",'Bilateral assistance, MAIN DATA'!I:I,'Price List, Weapons &amp; Items'!A188)</f>
        <v>0</v>
      </c>
      <c r="N188" s="689">
        <f t="shared" si="15"/>
        <v>69235545.178616971</v>
      </c>
      <c r="O188" s="1">
        <f>IFERROR(IF(SEARCH(A188,_xlfn.ARRAYTOTEXT('Bilateral assistance, MAIN DATA'!I$1:I$1408))&gt;0,1,""),0)</f>
        <v>1</v>
      </c>
      <c r="P188" s="46">
        <f>IFERROR(IF(SEARCH(A188,_xlfn.ARRAYTOTEXT('Commercial assistance'!I$1:I$1400))&gt;0,1,""),0)</f>
        <v>0</v>
      </c>
    </row>
    <row r="189" spans="1:16" ht="15" customHeight="1">
      <c r="A189" s="424" t="s">
        <v>1551</v>
      </c>
      <c r="B189" s="684" t="s">
        <v>3249</v>
      </c>
      <c r="C189" s="685" t="s">
        <v>3566</v>
      </c>
      <c r="D189" s="552">
        <v>1</v>
      </c>
      <c r="E189" s="686">
        <f t="shared" si="13"/>
        <v>0</v>
      </c>
      <c r="F189" s="452">
        <v>650000</v>
      </c>
      <c r="G189" s="687" t="str">
        <f>IF(F189&lt;&gt;".","USD",".")</f>
        <v>USD</v>
      </c>
      <c r="H189" s="664" t="s">
        <v>3567</v>
      </c>
      <c r="I189" s="424" t="s">
        <v>3266</v>
      </c>
      <c r="J189" s="424" t="s">
        <v>3568</v>
      </c>
      <c r="K189" s="688">
        <f t="shared" si="14"/>
        <v>2</v>
      </c>
      <c r="L189" s="310">
        <f>SUMIFS('Bilateral assistance, MAIN DATA'!M:M,'Bilateral assistance, MAIN DATA'!I:I,'Price List, Weapons &amp; Items'!A189)</f>
        <v>3</v>
      </c>
      <c r="M189" s="46">
        <f>COUNTIFS('Bilateral assistance, MAIN DATA'!M:M,"undisclosed",'Bilateral assistance, MAIN DATA'!I:I,'Price List, Weapons &amp; Items'!A189)</f>
        <v>0</v>
      </c>
      <c r="N189" s="689">
        <f t="shared" si="15"/>
        <v>1950000</v>
      </c>
      <c r="O189" s="1">
        <f>IFERROR(IF(SEARCH(A189,_xlfn.ARRAYTOTEXT('Bilateral assistance, MAIN DATA'!I$1:I$1408))&gt;0,1,""),0)</f>
        <v>1</v>
      </c>
      <c r="P189" s="46">
        <f>IFERROR(IF(SEARCH(A189,_xlfn.ARRAYTOTEXT('Commercial assistance'!I$1:I$1400))&gt;0,1,""),0)</f>
        <v>0</v>
      </c>
    </row>
    <row r="190" spans="1:16" ht="15" customHeight="1">
      <c r="A190" s="697" t="s">
        <v>1330</v>
      </c>
      <c r="B190" s="684" t="s">
        <v>3239</v>
      </c>
      <c r="C190" s="276" t="s">
        <v>3343</v>
      </c>
      <c r="D190" s="708">
        <v>1</v>
      </c>
      <c r="E190" s="686">
        <f t="shared" si="13"/>
        <v>1</v>
      </c>
      <c r="F190" s="452">
        <v>561542.53</v>
      </c>
      <c r="G190" s="687" t="str">
        <f>IF(F190&lt;&gt;".","USD",".")</f>
        <v>USD</v>
      </c>
      <c r="H190" s="651" t="s">
        <v>3253</v>
      </c>
      <c r="I190" s="424" t="s">
        <v>3254</v>
      </c>
      <c r="J190" s="698" t="s">
        <v>3569</v>
      </c>
      <c r="K190" s="688">
        <f t="shared" si="14"/>
        <v>2</v>
      </c>
      <c r="L190" s="310">
        <f>SUMIFS('Bilateral assistance, MAIN DATA'!M:M,'Bilateral assistance, MAIN DATA'!I:I,'Price List, Weapons &amp; Items'!A190)</f>
        <v>110</v>
      </c>
      <c r="M190" s="46">
        <f>COUNTIFS('Bilateral assistance, MAIN DATA'!M:M,"undisclosed",'Bilateral assistance, MAIN DATA'!I:I,'Price List, Weapons &amp; Items'!A190)</f>
        <v>0</v>
      </c>
      <c r="N190" s="689">
        <f t="shared" si="15"/>
        <v>61769678.300000004</v>
      </c>
      <c r="O190" s="1">
        <f>IFERROR(IF(SEARCH(A190,_xlfn.ARRAYTOTEXT('Bilateral assistance, MAIN DATA'!I$1:I$1408))&gt;0,1,""),0)</f>
        <v>1</v>
      </c>
      <c r="P190" s="46">
        <f>IFERROR(IF(SEARCH(A190,_xlfn.ARRAYTOTEXT('Commercial assistance'!I$1:I$1400))&gt;0,1,""),0)</f>
        <v>0</v>
      </c>
    </row>
    <row r="191" spans="1:16" ht="15" customHeight="1">
      <c r="A191" s="424" t="s">
        <v>1982</v>
      </c>
      <c r="B191" s="684" t="s">
        <v>729</v>
      </c>
      <c r="C191" s="685" t="s">
        <v>3340</v>
      </c>
      <c r="D191" s="686">
        <v>0</v>
      </c>
      <c r="E191" s="686">
        <f t="shared" si="13"/>
        <v>1</v>
      </c>
      <c r="F191" s="452">
        <f>500000*1.2114</f>
        <v>605700</v>
      </c>
      <c r="G191" s="687" t="s">
        <v>314</v>
      </c>
      <c r="H191" s="652" t="s">
        <v>3341</v>
      </c>
      <c r="I191" s="424" t="s">
        <v>3262</v>
      </c>
      <c r="J191" s="424" t="s">
        <v>3570</v>
      </c>
      <c r="K191" s="688">
        <f t="shared" si="14"/>
        <v>2</v>
      </c>
      <c r="L191" s="310">
        <f>SUMIFS('Bilateral assistance, MAIN DATA'!M:M,'Bilateral assistance, MAIN DATA'!I:I,'Price List, Weapons &amp; Items'!A191)</f>
        <v>4</v>
      </c>
      <c r="M191" s="46">
        <f>COUNTIFS('Bilateral assistance, MAIN DATA'!M:M,"undisclosed",'Bilateral assistance, MAIN DATA'!I:I,'Price List, Weapons &amp; Items'!A191)</f>
        <v>0</v>
      </c>
      <c r="N191" s="689">
        <f t="shared" si="15"/>
        <v>2422800</v>
      </c>
      <c r="O191" s="1">
        <f>IFERROR(IF(SEARCH(A191,_xlfn.ARRAYTOTEXT('Bilateral assistance, MAIN DATA'!I$1:I$1408))&gt;0,1,""),0)</f>
        <v>1</v>
      </c>
      <c r="P191" s="46">
        <f>IFERROR(IF(SEARCH(A191,_xlfn.ARRAYTOTEXT('Commercial assistance'!I$1:I$1400))&gt;0,1,""),0)</f>
        <v>0</v>
      </c>
    </row>
    <row r="192" spans="1:16" ht="15" customHeight="1">
      <c r="A192" s="424" t="s">
        <v>2234</v>
      </c>
      <c r="B192" s="684" t="s">
        <v>3239</v>
      </c>
      <c r="C192" s="685" t="s">
        <v>3571</v>
      </c>
      <c r="D192" s="686">
        <v>0</v>
      </c>
      <c r="E192" s="686">
        <f t="shared" si="13"/>
        <v>0</v>
      </c>
      <c r="F192" s="452" t="s">
        <v>232</v>
      </c>
      <c r="G192" s="687" t="str">
        <f t="shared" ref="G192:G201" si="20">IF(F192&lt;&gt;".","USD",".")</f>
        <v>.</v>
      </c>
      <c r="H192" s="652" t="s">
        <v>232</v>
      </c>
      <c r="I192" s="424" t="s">
        <v>232</v>
      </c>
      <c r="J192" s="424" t="s">
        <v>3572</v>
      </c>
      <c r="K192" s="688">
        <f t="shared" si="14"/>
        <v>0</v>
      </c>
      <c r="L192" s="310">
        <f>SUMIFS('Bilateral assistance, MAIN DATA'!M:M,'Bilateral assistance, MAIN DATA'!I:I,'Price List, Weapons &amp; Items'!A192)</f>
        <v>32</v>
      </c>
      <c r="M192" s="46">
        <f>COUNTIFS('Bilateral assistance, MAIN DATA'!M:M,"undisclosed",'Bilateral assistance, MAIN DATA'!I:I,'Price List, Weapons &amp; Items'!A192)</f>
        <v>1</v>
      </c>
      <c r="N192" s="689" t="str">
        <f t="shared" si="15"/>
        <v>no price</v>
      </c>
      <c r="O192" s="1">
        <f>IFERROR(IF(SEARCH(A192,_xlfn.ARRAYTOTEXT('Bilateral assistance, MAIN DATA'!I$1:I$1408))&gt;0,1,""),0)</f>
        <v>1</v>
      </c>
      <c r="P192" s="46">
        <f>IFERROR(IF(SEARCH(A192,_xlfn.ARRAYTOTEXT('Commercial assistance'!I$1:I$1400))&gt;0,1,""),0)</f>
        <v>1</v>
      </c>
    </row>
    <row r="193" spans="1:16" ht="15" customHeight="1">
      <c r="A193" s="424" t="s">
        <v>286</v>
      </c>
      <c r="B193" s="684" t="s">
        <v>3239</v>
      </c>
      <c r="C193" s="685" t="s">
        <v>3281</v>
      </c>
      <c r="D193" s="686">
        <v>0</v>
      </c>
      <c r="E193" s="686">
        <f t="shared" si="13"/>
        <v>1</v>
      </c>
      <c r="F193" s="452">
        <v>5170000</v>
      </c>
      <c r="G193" s="687" t="str">
        <f t="shared" si="20"/>
        <v>USD</v>
      </c>
      <c r="H193" s="653" t="s">
        <v>3282</v>
      </c>
      <c r="I193" s="424" t="s">
        <v>3262</v>
      </c>
      <c r="J193" s="424" t="s">
        <v>3573</v>
      </c>
      <c r="K193" s="688">
        <f t="shared" si="14"/>
        <v>2</v>
      </c>
      <c r="L193" s="310">
        <f>SUMIFS('Bilateral assistance, MAIN DATA'!M:M,'Bilateral assistance, MAIN DATA'!I:I,'Price List, Weapons &amp; Items'!A193)</f>
        <v>136</v>
      </c>
      <c r="M193" s="46">
        <f>COUNTIFS('Bilateral assistance, MAIN DATA'!M:M,"undisclosed",'Bilateral assistance, MAIN DATA'!I:I,'Price List, Weapons &amp; Items'!A193)</f>
        <v>0</v>
      </c>
      <c r="N193" s="689">
        <f t="shared" si="15"/>
        <v>703120000</v>
      </c>
      <c r="O193" s="1">
        <f>IFERROR(IF(SEARCH(A193,_xlfn.ARRAYTOTEXT('Bilateral assistance, MAIN DATA'!I$1:I$1408))&gt;0,1,""),0)</f>
        <v>1</v>
      </c>
      <c r="P193" s="46">
        <f>IFERROR(IF(SEARCH(A193,_xlfn.ARRAYTOTEXT('Commercial assistance'!I$1:I$1400))&gt;0,1,""),0)</f>
        <v>0</v>
      </c>
    </row>
    <row r="194" spans="1:16" ht="15" customHeight="1">
      <c r="A194" s="424" t="s">
        <v>2214</v>
      </c>
      <c r="B194" s="684" t="s">
        <v>729</v>
      </c>
      <c r="C194" s="685" t="s">
        <v>3340</v>
      </c>
      <c r="D194" s="686">
        <v>0</v>
      </c>
      <c r="E194" s="686">
        <f t="shared" ref="E194:E224" si="21">IF(OR(C194="Armoured Personnel Carrier (APC)",C194="Armoured Recovery Vehicle (ARV)",C194="Armoured Utility Vehicle (AUV)",C194="152mm howitzer ammunition",C194="155mm howitzer ammunition",C194="300mm MLRS ammunition",C194="155mm howitzer",C194="227mm MLRS ammunition",C194="Infantry fighting vehicle (IFV)",C194="152mm howitzer",C194="227mm MLRS",C194="Main Battle Tank (MBT)",C194="Protected Patrol Vehicle (PPV)",C194="127mm MLRS",C194="122mm MLRS",C194="122mm MLRS ammunition",C194="122mm MLRS",C194="127mm MLRS",C194="127mm MLRS ammunition")=TRUE,1,0)</f>
        <v>1</v>
      </c>
      <c r="F194" s="452">
        <v>461730</v>
      </c>
      <c r="G194" s="687" t="str">
        <f t="shared" si="20"/>
        <v>USD</v>
      </c>
      <c r="H194" s="652" t="s">
        <v>3574</v>
      </c>
      <c r="I194" s="424" t="s">
        <v>3259</v>
      </c>
      <c r="J194" s="424" t="s">
        <v>3575</v>
      </c>
      <c r="K194" s="688">
        <f t="shared" ref="K194:K257" si="22">IF(B194="Humanitarian",0,IF(L194&gt;0,IF(TYPE(N194)=1,IF(N194&gt;MEDIAN(N:N),2,1),0),"no price, 0 count"))</f>
        <v>2</v>
      </c>
      <c r="L194" s="310">
        <f>SUMIFS('Bilateral assistance, MAIN DATA'!M:M,'Bilateral assistance, MAIN DATA'!I:I,'Price List, Weapons &amp; Items'!A194)</f>
        <v>21</v>
      </c>
      <c r="M194" s="46">
        <f>COUNTIFS('Bilateral assistance, MAIN DATA'!M:M,"undisclosed",'Bilateral assistance, MAIN DATA'!I:I,'Price List, Weapons &amp; Items'!A194)</f>
        <v>0</v>
      </c>
      <c r="N194" s="689">
        <f t="shared" ref="N194:N257" si="23">IFERROR(L194*F194,"no price")</f>
        <v>9696330</v>
      </c>
      <c r="O194" s="1">
        <f>IFERROR(IF(SEARCH(A194,_xlfn.ARRAYTOTEXT('Bilateral assistance, MAIN DATA'!I$1:I$1408))&gt;0,1,""),0)</f>
        <v>1</v>
      </c>
      <c r="P194" s="46">
        <f>IFERROR(IF(SEARCH(A194,_xlfn.ARRAYTOTEXT('Commercial assistance'!I$1:I$1400))&gt;0,1,""),0)</f>
        <v>0</v>
      </c>
    </row>
    <row r="195" spans="1:16" ht="15" customHeight="1">
      <c r="A195" s="691" t="s">
        <v>2779</v>
      </c>
      <c r="B195" s="684" t="s">
        <v>3248</v>
      </c>
      <c r="C195" s="685" t="s">
        <v>232</v>
      </c>
      <c r="D195" s="552">
        <v>0</v>
      </c>
      <c r="E195" s="686">
        <f t="shared" si="21"/>
        <v>0</v>
      </c>
      <c r="F195" s="452">
        <v>390000</v>
      </c>
      <c r="G195" s="687" t="str">
        <f t="shared" si="20"/>
        <v>USD</v>
      </c>
      <c r="H195" s="653" t="s">
        <v>3576</v>
      </c>
      <c r="I195" s="424" t="s">
        <v>3262</v>
      </c>
      <c r="J195" s="424" t="s">
        <v>3577</v>
      </c>
      <c r="K195" s="688">
        <f t="shared" si="22"/>
        <v>2</v>
      </c>
      <c r="L195" s="310">
        <f>SUMIFS('Bilateral assistance, MAIN DATA'!M:M,'Bilateral assistance, MAIN DATA'!I:I,'Price List, Weapons &amp; Items'!A195)</f>
        <v>40</v>
      </c>
      <c r="M195" s="46">
        <f>COUNTIFS('Bilateral assistance, MAIN DATA'!M:M,"undisclosed",'Bilateral assistance, MAIN DATA'!I:I,'Price List, Weapons &amp; Items'!A195)</f>
        <v>0</v>
      </c>
      <c r="N195" s="689">
        <f t="shared" si="23"/>
        <v>15600000</v>
      </c>
      <c r="O195" s="1">
        <f>IFERROR(IF(SEARCH(A195,_xlfn.ARRAYTOTEXT('Bilateral assistance, MAIN DATA'!I$1:I$1408))&gt;0,1,""),0)</f>
        <v>1</v>
      </c>
      <c r="P195" s="46">
        <f>IFERROR(IF(SEARCH(A195,_xlfn.ARRAYTOTEXT('Commercial assistance'!I$1:I$1400))&gt;0,1,""),0)</f>
        <v>0</v>
      </c>
    </row>
    <row r="196" spans="1:16" ht="15" customHeight="1">
      <c r="A196" s="691" t="s">
        <v>2775</v>
      </c>
      <c r="B196" s="684" t="s">
        <v>3248</v>
      </c>
      <c r="C196" s="685" t="s">
        <v>232</v>
      </c>
      <c r="D196" s="552">
        <v>0</v>
      </c>
      <c r="E196" s="686">
        <f t="shared" si="21"/>
        <v>0</v>
      </c>
      <c r="F196" s="452">
        <v>390000</v>
      </c>
      <c r="G196" s="687" t="str">
        <f t="shared" si="20"/>
        <v>USD</v>
      </c>
      <c r="H196" s="653" t="s">
        <v>3578</v>
      </c>
      <c r="I196" s="424" t="s">
        <v>3262</v>
      </c>
      <c r="J196" s="424" t="s">
        <v>3579</v>
      </c>
      <c r="K196" s="688">
        <f t="shared" si="22"/>
        <v>2</v>
      </c>
      <c r="L196" s="310">
        <f>SUMIFS('Bilateral assistance, MAIN DATA'!M:M,'Bilateral assistance, MAIN DATA'!I:I,'Price List, Weapons &amp; Items'!A196)</f>
        <v>32</v>
      </c>
      <c r="M196" s="46">
        <f>COUNTIFS('Bilateral assistance, MAIN DATA'!M:M,"undisclosed",'Bilateral assistance, MAIN DATA'!I:I,'Price List, Weapons &amp; Items'!A196)</f>
        <v>0</v>
      </c>
      <c r="N196" s="689">
        <f t="shared" si="23"/>
        <v>12480000</v>
      </c>
      <c r="O196" s="1">
        <f>IFERROR(IF(SEARCH(A196,_xlfn.ARRAYTOTEXT('Bilateral assistance, MAIN DATA'!I$1:I$1408))&gt;0,1,""),0)</f>
        <v>1</v>
      </c>
      <c r="P196" s="46">
        <f>IFERROR(IF(SEARCH(A196,_xlfn.ARRAYTOTEXT('Commercial assistance'!I$1:I$1400))&gt;0,1,""),0)</f>
        <v>0</v>
      </c>
    </row>
    <row r="197" spans="1:16" ht="15" customHeight="1">
      <c r="A197" s="718" t="s">
        <v>3580</v>
      </c>
      <c r="B197" s="684" t="s">
        <v>729</v>
      </c>
      <c r="C197" s="685" t="s">
        <v>232</v>
      </c>
      <c r="D197" s="686">
        <v>0</v>
      </c>
      <c r="E197" s="686">
        <f t="shared" si="21"/>
        <v>0</v>
      </c>
      <c r="F197" s="452">
        <v>365200</v>
      </c>
      <c r="G197" s="687" t="str">
        <f t="shared" si="20"/>
        <v>USD</v>
      </c>
      <c r="H197" s="658" t="s">
        <v>2070</v>
      </c>
      <c r="I197" s="424" t="s">
        <v>3259</v>
      </c>
      <c r="J197" s="703" t="s">
        <v>3581</v>
      </c>
      <c r="K197" s="688">
        <f t="shared" si="22"/>
        <v>2</v>
      </c>
      <c r="L197" s="310">
        <f>SUMIFS('Bilateral assistance, MAIN DATA'!M:M,'Bilateral assistance, MAIN DATA'!I:I,'Price List, Weapons &amp; Items'!A197)</f>
        <v>5</v>
      </c>
      <c r="M197" s="46">
        <f>COUNTIFS('Bilateral assistance, MAIN DATA'!M:M,"undisclosed",'Bilateral assistance, MAIN DATA'!I:I,'Price List, Weapons &amp; Items'!A197)</f>
        <v>1</v>
      </c>
      <c r="N197" s="689">
        <f t="shared" si="23"/>
        <v>1826000</v>
      </c>
      <c r="O197" s="1">
        <f>IFERROR(IF(SEARCH(A197,_xlfn.ARRAYTOTEXT('Bilateral assistance, MAIN DATA'!I$1:I$1408))&gt;0,1,""),0)</f>
        <v>1</v>
      </c>
      <c r="P197" s="46">
        <f>IFERROR(IF(SEARCH(A197,_xlfn.ARRAYTOTEXT('Commercial assistance'!I$1:I$1400))&gt;0,1,""),0)</f>
        <v>0</v>
      </c>
    </row>
    <row r="198" spans="1:16" ht="15" customHeight="1">
      <c r="A198" s="512" t="s">
        <v>1586</v>
      </c>
      <c r="B198" s="684" t="s">
        <v>729</v>
      </c>
      <c r="C198" s="685" t="s">
        <v>232</v>
      </c>
      <c r="D198" s="686">
        <v>0</v>
      </c>
      <c r="E198" s="686">
        <f t="shared" si="21"/>
        <v>0</v>
      </c>
      <c r="F198" s="452">
        <v>350000</v>
      </c>
      <c r="G198" s="687" t="str">
        <f t="shared" si="20"/>
        <v>USD</v>
      </c>
      <c r="H198" s="658" t="s">
        <v>3582</v>
      </c>
      <c r="I198" s="424" t="s">
        <v>3259</v>
      </c>
      <c r="J198" s="703" t="s">
        <v>3583</v>
      </c>
      <c r="K198" s="688">
        <f t="shared" si="22"/>
        <v>2</v>
      </c>
      <c r="L198" s="310">
        <f>SUMIFS('Bilateral assistance, MAIN DATA'!M:M,'Bilateral assistance, MAIN DATA'!I:I,'Price List, Weapons &amp; Items'!A198)</f>
        <v>19</v>
      </c>
      <c r="M198" s="46">
        <f>COUNTIFS('Bilateral assistance, MAIN DATA'!M:M,"undisclosed",'Bilateral assistance, MAIN DATA'!I:I,'Price List, Weapons &amp; Items'!A198)</f>
        <v>0</v>
      </c>
      <c r="N198" s="689">
        <f t="shared" si="23"/>
        <v>6650000</v>
      </c>
      <c r="O198" s="1">
        <f>IFERROR(IF(SEARCH(A198,_xlfn.ARRAYTOTEXT('Bilateral assistance, MAIN DATA'!I$1:I$1408))&gt;0,1,""),0)</f>
        <v>1</v>
      </c>
      <c r="P198" s="46">
        <f>IFERROR(IF(SEARCH(A198,_xlfn.ARRAYTOTEXT('Commercial assistance'!I$1:I$1400))&gt;0,1,""),0)</f>
        <v>0</v>
      </c>
    </row>
    <row r="199" spans="1:16" ht="15" customHeight="1">
      <c r="A199" s="512" t="s">
        <v>551</v>
      </c>
      <c r="B199" s="684" t="s">
        <v>729</v>
      </c>
      <c r="C199" s="685" t="s">
        <v>3346</v>
      </c>
      <c r="D199" s="686">
        <v>0</v>
      </c>
      <c r="E199" s="686">
        <f t="shared" si="21"/>
        <v>1</v>
      </c>
      <c r="F199" s="452">
        <v>350000</v>
      </c>
      <c r="G199" s="687" t="str">
        <f t="shared" si="20"/>
        <v>USD</v>
      </c>
      <c r="H199" s="652" t="s">
        <v>3584</v>
      </c>
      <c r="I199" s="424" t="s">
        <v>3259</v>
      </c>
      <c r="J199" s="424" t="s">
        <v>3585</v>
      </c>
      <c r="K199" s="688">
        <f t="shared" si="22"/>
        <v>2</v>
      </c>
      <c r="L199" s="310">
        <f>SUMIFS('Bilateral assistance, MAIN DATA'!M:M,'Bilateral assistance, MAIN DATA'!I:I,'Price List, Weapons &amp; Items'!A199)</f>
        <v>8</v>
      </c>
      <c r="M199" s="46">
        <f>COUNTIFS('Bilateral assistance, MAIN DATA'!M:M,"undisclosed",'Bilateral assistance, MAIN DATA'!I:I,'Price List, Weapons &amp; Items'!A199)</f>
        <v>0</v>
      </c>
      <c r="N199" s="689">
        <f t="shared" si="23"/>
        <v>2800000</v>
      </c>
      <c r="O199" s="1">
        <f>IFERROR(IF(SEARCH(A199,_xlfn.ARRAYTOTEXT('Bilateral assistance, MAIN DATA'!I$1:I$1408))&gt;0,1,""),0)</f>
        <v>1</v>
      </c>
      <c r="P199" s="46">
        <f>IFERROR(IF(SEARCH(A199,_xlfn.ARRAYTOTEXT('Commercial assistance'!I$1:I$1400))&gt;0,1,""),0)</f>
        <v>0</v>
      </c>
    </row>
    <row r="200" spans="1:16" ht="15" customHeight="1">
      <c r="A200" s="691" t="s">
        <v>2656</v>
      </c>
      <c r="B200" s="684" t="s">
        <v>729</v>
      </c>
      <c r="C200" s="685" t="s">
        <v>232</v>
      </c>
      <c r="D200" s="686">
        <v>0</v>
      </c>
      <c r="E200" s="686">
        <f t="shared" si="21"/>
        <v>0</v>
      </c>
      <c r="F200" s="452">
        <v>350000</v>
      </c>
      <c r="G200" s="687" t="str">
        <f t="shared" si="20"/>
        <v>USD</v>
      </c>
      <c r="H200" s="653" t="s">
        <v>3582</v>
      </c>
      <c r="I200" s="424" t="s">
        <v>3259</v>
      </c>
      <c r="J200" s="703" t="s">
        <v>3586</v>
      </c>
      <c r="K200" s="688">
        <f t="shared" si="22"/>
        <v>2</v>
      </c>
      <c r="L200" s="310">
        <f>SUMIFS('Bilateral assistance, MAIN DATA'!M:M,'Bilateral assistance, MAIN DATA'!I:I,'Price List, Weapons &amp; Items'!A200)</f>
        <v>172</v>
      </c>
      <c r="M200" s="46">
        <f>COUNTIFS('Bilateral assistance, MAIN DATA'!M:M,"undisclosed",'Bilateral assistance, MAIN DATA'!I:I,'Price List, Weapons &amp; Items'!A200)</f>
        <v>0</v>
      </c>
      <c r="N200" s="689">
        <f t="shared" si="23"/>
        <v>60200000</v>
      </c>
      <c r="O200" s="1">
        <f>IFERROR(IF(SEARCH(A200,_xlfn.ARRAYTOTEXT('Bilateral assistance, MAIN DATA'!I$1:I$1408))&gt;0,1,""),0)</f>
        <v>1</v>
      </c>
      <c r="P200" s="46">
        <f>IFERROR(IF(SEARCH(A200,_xlfn.ARRAYTOTEXT('Commercial assistance'!I$1:I$1400))&gt;0,1,""),0)</f>
        <v>0</v>
      </c>
    </row>
    <row r="201" spans="1:16" ht="15" customHeight="1">
      <c r="A201" s="691" t="s">
        <v>2621</v>
      </c>
      <c r="B201" s="684" t="s">
        <v>729</v>
      </c>
      <c r="C201" s="685" t="s">
        <v>232</v>
      </c>
      <c r="D201" s="686">
        <v>0</v>
      </c>
      <c r="E201" s="686">
        <f t="shared" si="21"/>
        <v>0</v>
      </c>
      <c r="F201" s="452">
        <v>350000</v>
      </c>
      <c r="G201" s="687" t="str">
        <f t="shared" si="20"/>
        <v>USD</v>
      </c>
      <c r="H201" s="653" t="s">
        <v>3582</v>
      </c>
      <c r="I201" s="424" t="s">
        <v>3259</v>
      </c>
      <c r="J201" s="691" t="s">
        <v>3587</v>
      </c>
      <c r="K201" s="688">
        <f t="shared" si="22"/>
        <v>2</v>
      </c>
      <c r="L201" s="310">
        <f>SUMIFS('Bilateral assistance, MAIN DATA'!M:M,'Bilateral assistance, MAIN DATA'!I:I,'Price List, Weapons &amp; Items'!A201)</f>
        <v>126</v>
      </c>
      <c r="M201" s="46">
        <f>COUNTIFS('Bilateral assistance, MAIN DATA'!M:M,"undisclosed",'Bilateral assistance, MAIN DATA'!I:I,'Price List, Weapons &amp; Items'!A201)</f>
        <v>0</v>
      </c>
      <c r="N201" s="689">
        <f t="shared" si="23"/>
        <v>44100000</v>
      </c>
      <c r="O201" s="1">
        <f>IFERROR(IF(SEARCH(A201,_xlfn.ARRAYTOTEXT('Bilateral assistance, MAIN DATA'!I$1:I$1408))&gt;0,1,""),0)</f>
        <v>1</v>
      </c>
      <c r="P201" s="46">
        <f>IFERROR(IF(SEARCH(A201,_xlfn.ARRAYTOTEXT('Commercial assistance'!I$1:I$1400))&gt;0,1,""),0)</f>
        <v>0</v>
      </c>
    </row>
    <row r="202" spans="1:16" ht="15" customHeight="1">
      <c r="A202" s="512" t="s">
        <v>2672</v>
      </c>
      <c r="B202" s="684" t="s">
        <v>3239</v>
      </c>
      <c r="C202" s="685" t="s">
        <v>3346</v>
      </c>
      <c r="D202" s="552">
        <v>0</v>
      </c>
      <c r="E202" s="686">
        <f t="shared" si="21"/>
        <v>1</v>
      </c>
      <c r="F202" s="452">
        <v>326778</v>
      </c>
      <c r="G202" s="88" t="s">
        <v>314</v>
      </c>
      <c r="H202" s="665" t="s">
        <v>3347</v>
      </c>
      <c r="I202" s="424" t="s">
        <v>3254</v>
      </c>
      <c r="J202" s="625" t="s">
        <v>3588</v>
      </c>
      <c r="K202" s="688">
        <f t="shared" si="22"/>
        <v>2</v>
      </c>
      <c r="L202" s="310">
        <f>SUMIFS('Bilateral assistance, MAIN DATA'!M:M,'Bilateral assistance, MAIN DATA'!I:I,'Price List, Weapons &amp; Items'!A202)</f>
        <v>4</v>
      </c>
      <c r="M202" s="46">
        <f>COUNTIFS('Bilateral assistance, MAIN DATA'!M:M,"undisclosed",'Bilateral assistance, MAIN DATA'!I:I,'Price List, Weapons &amp; Items'!A202)</f>
        <v>0</v>
      </c>
      <c r="N202" s="689">
        <f t="shared" si="23"/>
        <v>1307112</v>
      </c>
      <c r="O202" s="1">
        <f>IFERROR(IF(SEARCH(A202,_xlfn.ARRAYTOTEXT('Bilateral assistance, MAIN DATA'!I$1:I$1408))&gt;0,1,""),0)</f>
        <v>1</v>
      </c>
      <c r="P202" s="46">
        <f>IFERROR(IF(SEARCH(A202,_xlfn.ARRAYTOTEXT('Commercial assistance'!I$1:I$1400))&gt;0,1,""),0)</f>
        <v>0</v>
      </c>
    </row>
    <row r="203" spans="1:16" ht="15" customHeight="1">
      <c r="A203" s="691" t="s">
        <v>292</v>
      </c>
      <c r="B203" s="684" t="s">
        <v>3239</v>
      </c>
      <c r="C203" s="685" t="s">
        <v>3346</v>
      </c>
      <c r="D203" s="686">
        <v>0</v>
      </c>
      <c r="E203" s="686">
        <f t="shared" si="21"/>
        <v>1</v>
      </c>
      <c r="F203" s="452">
        <v>300000</v>
      </c>
      <c r="G203" s="687" t="str">
        <f t="shared" ref="G203:G224" si="24">IF(F203&lt;&gt;".","USD",".")</f>
        <v>USD</v>
      </c>
      <c r="H203" s="652" t="s">
        <v>3589</v>
      </c>
      <c r="I203" s="424" t="s">
        <v>3262</v>
      </c>
      <c r="J203" s="424" t="s">
        <v>3590</v>
      </c>
      <c r="K203" s="688">
        <f t="shared" si="22"/>
        <v>2</v>
      </c>
      <c r="L203" s="310">
        <f>SUMIFS('Bilateral assistance, MAIN DATA'!M:M,'Bilateral assistance, MAIN DATA'!I:I,'Price List, Weapons &amp; Items'!A203)</f>
        <v>409</v>
      </c>
      <c r="M203" s="46">
        <f>COUNTIFS('Bilateral assistance, MAIN DATA'!M:M,"undisclosed",'Bilateral assistance, MAIN DATA'!I:I,'Price List, Weapons &amp; Items'!A203)</f>
        <v>2</v>
      </c>
      <c r="N203" s="689">
        <f t="shared" si="23"/>
        <v>122700000</v>
      </c>
      <c r="O203" s="1">
        <f>IFERROR(IF(SEARCH(A203,_xlfn.ARRAYTOTEXT('Bilateral assistance, MAIN DATA'!I$1:I$1408))&gt;0,1,""),0)</f>
        <v>1</v>
      </c>
      <c r="P203" s="46">
        <f>IFERROR(IF(SEARCH(A203,_xlfn.ARRAYTOTEXT('Commercial assistance'!I$1:I$1400))&gt;0,1,""),0)</f>
        <v>0</v>
      </c>
    </row>
    <row r="204" spans="1:16" ht="15" customHeight="1">
      <c r="A204" s="424" t="s">
        <v>2594</v>
      </c>
      <c r="B204" s="684" t="s">
        <v>3284</v>
      </c>
      <c r="C204" s="685" t="s">
        <v>3364</v>
      </c>
      <c r="D204" s="686">
        <v>0</v>
      </c>
      <c r="E204" s="686">
        <f t="shared" si="21"/>
        <v>0</v>
      </c>
      <c r="F204" s="452">
        <v>256000</v>
      </c>
      <c r="G204" s="687" t="str">
        <f t="shared" si="24"/>
        <v>USD</v>
      </c>
      <c r="H204" s="653" t="s">
        <v>3322</v>
      </c>
      <c r="I204" s="424" t="s">
        <v>3308</v>
      </c>
      <c r="J204" s="424" t="s">
        <v>3591</v>
      </c>
      <c r="K204" s="688">
        <f t="shared" si="22"/>
        <v>2</v>
      </c>
      <c r="L204" s="310">
        <f>SUMIFS('Bilateral assistance, MAIN DATA'!M:M,'Bilateral assistance, MAIN DATA'!I:I,'Price List, Weapons &amp; Items'!A204)</f>
        <v>5950</v>
      </c>
      <c r="M204" s="46">
        <f>COUNTIFS('Bilateral assistance, MAIN DATA'!M:M,"undisclosed",'Bilateral assistance, MAIN DATA'!I:I,'Price List, Weapons &amp; Items'!A204)</f>
        <v>0</v>
      </c>
      <c r="N204" s="689">
        <f t="shared" si="23"/>
        <v>1523200000</v>
      </c>
      <c r="O204" s="1">
        <f>IFERROR(IF(SEARCH(A204,_xlfn.ARRAYTOTEXT('Bilateral assistance, MAIN DATA'!I$1:I$1408))&gt;0,1,""),0)</f>
        <v>1</v>
      </c>
      <c r="P204" s="46">
        <f>IFERROR(IF(SEARCH(A204,_xlfn.ARRAYTOTEXT('Commercial assistance'!I$1:I$1400))&gt;0,1,""),0)</f>
        <v>0</v>
      </c>
    </row>
    <row r="205" spans="1:16" ht="15" customHeight="1">
      <c r="A205" s="424" t="s">
        <v>702</v>
      </c>
      <c r="B205" s="684" t="s">
        <v>3239</v>
      </c>
      <c r="C205" s="685" t="s">
        <v>3343</v>
      </c>
      <c r="D205" s="686">
        <v>1</v>
      </c>
      <c r="E205" s="686">
        <f t="shared" si="21"/>
        <v>1</v>
      </c>
      <c r="F205" s="452">
        <v>250000</v>
      </c>
      <c r="G205" s="687" t="str">
        <f t="shared" si="24"/>
        <v>USD</v>
      </c>
      <c r="H205" s="658" t="s">
        <v>3592</v>
      </c>
      <c r="I205" s="424" t="s">
        <v>3262</v>
      </c>
      <c r="J205" s="512" t="s">
        <v>3593</v>
      </c>
      <c r="K205" s="688">
        <f t="shared" si="22"/>
        <v>2</v>
      </c>
      <c r="L205" s="310">
        <f>SUMIFS('Bilateral assistance, MAIN DATA'!M:M,'Bilateral assistance, MAIN DATA'!I:I,'Price List, Weapons &amp; Items'!A205)</f>
        <v>5</v>
      </c>
      <c r="M205" s="46">
        <f>COUNTIFS('Bilateral assistance, MAIN DATA'!M:M,"undisclosed",'Bilateral assistance, MAIN DATA'!I:I,'Price List, Weapons &amp; Items'!A205)</f>
        <v>0</v>
      </c>
      <c r="N205" s="689">
        <f t="shared" si="23"/>
        <v>1250000</v>
      </c>
      <c r="O205" s="1">
        <f>IFERROR(IF(SEARCH(A205,_xlfn.ARRAYTOTEXT('Bilateral assistance, MAIN DATA'!I$1:I$1408))&gt;0,1,""),0)</f>
        <v>1</v>
      </c>
      <c r="P205" s="46">
        <f>IFERROR(IF(SEARCH(A205,_xlfn.ARRAYTOTEXT('Commercial assistance'!I$1:I$1400))&gt;0,1,""),0)</f>
        <v>0</v>
      </c>
    </row>
    <row r="206" spans="1:16" ht="15" customHeight="1">
      <c r="A206" s="512" t="s">
        <v>2647</v>
      </c>
      <c r="B206" s="684" t="s">
        <v>3284</v>
      </c>
      <c r="C206" s="685" t="s">
        <v>3364</v>
      </c>
      <c r="D206" s="686">
        <v>0</v>
      </c>
      <c r="E206" s="686">
        <f t="shared" si="21"/>
        <v>0</v>
      </c>
      <c r="F206" s="452">
        <v>178000</v>
      </c>
      <c r="G206" s="687" t="str">
        <f t="shared" si="24"/>
        <v>USD</v>
      </c>
      <c r="H206" s="658" t="s">
        <v>3322</v>
      </c>
      <c r="I206" s="424" t="s">
        <v>3308</v>
      </c>
      <c r="J206" s="703" t="s">
        <v>3594</v>
      </c>
      <c r="K206" s="688">
        <f t="shared" si="22"/>
        <v>2</v>
      </c>
      <c r="L206" s="310">
        <f>SUMIFS('Bilateral assistance, MAIN DATA'!M:M,'Bilateral assistance, MAIN DATA'!I:I,'Price List, Weapons &amp; Items'!A206)</f>
        <v>50</v>
      </c>
      <c r="M206" s="46">
        <f>COUNTIFS('Bilateral assistance, MAIN DATA'!M:M,"undisclosed",'Bilateral assistance, MAIN DATA'!I:I,'Price List, Weapons &amp; Items'!A206)</f>
        <v>0</v>
      </c>
      <c r="N206" s="689">
        <f t="shared" si="23"/>
        <v>8900000</v>
      </c>
      <c r="O206" s="1">
        <f>IFERROR(IF(SEARCH(A206,_xlfn.ARRAYTOTEXT('Bilateral assistance, MAIN DATA'!I$1:I$1408))&gt;0,1,""),0)</f>
        <v>1</v>
      </c>
      <c r="P206" s="46">
        <f>IFERROR(IF(SEARCH(A206,_xlfn.ARRAYTOTEXT('Commercial assistance'!I$1:I$1400))&gt;0,1,""),0)</f>
        <v>0</v>
      </c>
    </row>
    <row r="207" spans="1:16" ht="15" customHeight="1">
      <c r="A207" s="691" t="s">
        <v>2623</v>
      </c>
      <c r="B207" s="684" t="s">
        <v>3249</v>
      </c>
      <c r="C207" s="685" t="s">
        <v>3393</v>
      </c>
      <c r="D207" s="552">
        <v>0</v>
      </c>
      <c r="E207" s="686">
        <f t="shared" si="21"/>
        <v>0</v>
      </c>
      <c r="F207" s="452">
        <v>163793</v>
      </c>
      <c r="G207" s="687" t="str">
        <f t="shared" si="24"/>
        <v>USD</v>
      </c>
      <c r="H207" s="653" t="s">
        <v>2670</v>
      </c>
      <c r="I207" s="424" t="s">
        <v>3308</v>
      </c>
      <c r="J207" s="424" t="s">
        <v>3595</v>
      </c>
      <c r="K207" s="688">
        <f t="shared" si="22"/>
        <v>2</v>
      </c>
      <c r="L207" s="310">
        <f>SUMIFS('Bilateral assistance, MAIN DATA'!M:M,'Bilateral assistance, MAIN DATA'!I:I,'Price List, Weapons &amp; Items'!A207)</f>
        <v>1801</v>
      </c>
      <c r="M207" s="46">
        <f>COUNTIFS('Bilateral assistance, MAIN DATA'!M:M,"undisclosed",'Bilateral assistance, MAIN DATA'!I:I,'Price List, Weapons &amp; Items'!A207)</f>
        <v>0</v>
      </c>
      <c r="N207" s="689">
        <f t="shared" si="23"/>
        <v>294991193</v>
      </c>
      <c r="O207" s="1">
        <f>IFERROR(IF(SEARCH(A207,_xlfn.ARRAYTOTEXT('Bilateral assistance, MAIN DATA'!I$1:I$1408))&gt;0,1,""),0)</f>
        <v>1</v>
      </c>
      <c r="P207" s="46">
        <f>IFERROR(IF(SEARCH(A207,_xlfn.ARRAYTOTEXT('Commercial assistance'!I$1:I$1400))&gt;0,1,""),0)</f>
        <v>0</v>
      </c>
    </row>
    <row r="208" spans="1:16" ht="15" customHeight="1">
      <c r="A208" s="424" t="s">
        <v>1101</v>
      </c>
      <c r="B208" s="684" t="s">
        <v>3300</v>
      </c>
      <c r="C208" s="685" t="s">
        <v>3364</v>
      </c>
      <c r="D208" s="686">
        <v>0</v>
      </c>
      <c r="E208" s="686">
        <f t="shared" si="21"/>
        <v>0</v>
      </c>
      <c r="F208" s="452">
        <v>122527.7</v>
      </c>
      <c r="G208" s="687" t="str">
        <f t="shared" si="24"/>
        <v>USD</v>
      </c>
      <c r="H208" s="666" t="s">
        <v>3253</v>
      </c>
      <c r="I208" s="424" t="s">
        <v>3254</v>
      </c>
      <c r="J208" s="721" t="s">
        <v>3332</v>
      </c>
      <c r="K208" s="688">
        <f t="shared" si="22"/>
        <v>2</v>
      </c>
      <c r="L208" s="310">
        <f>SUMIFS('Bilateral assistance, MAIN DATA'!M:M,'Bilateral assistance, MAIN DATA'!I:I,'Price List, Weapons &amp; Items'!A208)</f>
        <v>24</v>
      </c>
      <c r="M208" s="46">
        <f>COUNTIFS('Bilateral assistance, MAIN DATA'!M:M,"undisclosed",'Bilateral assistance, MAIN DATA'!I:I,'Price List, Weapons &amp; Items'!A208)</f>
        <v>0</v>
      </c>
      <c r="N208" s="689">
        <f t="shared" si="23"/>
        <v>2940664.8</v>
      </c>
      <c r="O208" s="1">
        <f>IFERROR(IF(SEARCH(A208,_xlfn.ARRAYTOTEXT('Bilateral assistance, MAIN DATA'!I$1:I$1408))&gt;0,1,""),0)</f>
        <v>1</v>
      </c>
      <c r="P208" s="46">
        <f>IFERROR(IF(SEARCH(A208,_xlfn.ARRAYTOTEXT('Commercial assistance'!I$1:I$1400))&gt;0,1,""),0)</f>
        <v>0</v>
      </c>
    </row>
    <row r="209" spans="1:16" ht="15" customHeight="1">
      <c r="A209" s="691" t="s">
        <v>3596</v>
      </c>
      <c r="B209" s="684" t="s">
        <v>3284</v>
      </c>
      <c r="C209" s="685" t="s">
        <v>3597</v>
      </c>
      <c r="D209" s="686">
        <v>0</v>
      </c>
      <c r="E209" s="686">
        <f t="shared" si="21"/>
        <v>0</v>
      </c>
      <c r="F209" s="452">
        <v>119000</v>
      </c>
      <c r="G209" s="687" t="str">
        <f t="shared" si="24"/>
        <v>USD</v>
      </c>
      <c r="H209" s="653" t="s">
        <v>3598</v>
      </c>
      <c r="I209" s="424" t="s">
        <v>3270</v>
      </c>
      <c r="J209" s="424" t="s">
        <v>3599</v>
      </c>
      <c r="K209" s="688">
        <f t="shared" si="22"/>
        <v>2</v>
      </c>
      <c r="L209" s="310">
        <f>SUMIFS('Bilateral assistance, MAIN DATA'!M:M,'Bilateral assistance, MAIN DATA'!I:I,'Price List, Weapons &amp; Items'!A209)</f>
        <v>100</v>
      </c>
      <c r="M209" s="46">
        <f>COUNTIFS('Bilateral assistance, MAIN DATA'!M:M,"undisclosed",'Bilateral assistance, MAIN DATA'!I:I,'Price List, Weapons &amp; Items'!A209)</f>
        <v>0</v>
      </c>
      <c r="N209" s="689">
        <f t="shared" si="23"/>
        <v>11900000</v>
      </c>
      <c r="O209" s="1">
        <f>IFERROR(IF(SEARCH(A209,_xlfn.ARRAYTOTEXT('Bilateral assistance, MAIN DATA'!I$1:I$1408))&gt;0,1,""),0)</f>
        <v>1</v>
      </c>
      <c r="P209" s="46">
        <f>IFERROR(IF(SEARCH(A209,_xlfn.ARRAYTOTEXT('Commercial assistance'!I$1:I$1400))&gt;0,1,""),0)</f>
        <v>0</v>
      </c>
    </row>
    <row r="210" spans="1:16" ht="15" customHeight="1">
      <c r="A210" s="587" t="s">
        <v>3600</v>
      </c>
      <c r="B210" s="684" t="s">
        <v>3284</v>
      </c>
      <c r="C210" s="685" t="s">
        <v>3364</v>
      </c>
      <c r="D210" s="686">
        <v>0</v>
      </c>
      <c r="E210" s="686">
        <f t="shared" si="21"/>
        <v>0</v>
      </c>
      <c r="F210" s="452">
        <v>119000</v>
      </c>
      <c r="G210" s="687" t="str">
        <f t="shared" si="24"/>
        <v>USD</v>
      </c>
      <c r="H210" s="653" t="s">
        <v>3598</v>
      </c>
      <c r="I210" s="424" t="s">
        <v>3270</v>
      </c>
      <c r="J210" s="424" t="s">
        <v>3601</v>
      </c>
      <c r="K210" s="688">
        <f t="shared" si="22"/>
        <v>2</v>
      </c>
      <c r="L210" s="310">
        <f>SUMIFS('Bilateral assistance, MAIN DATA'!M:M,'Bilateral assistance, MAIN DATA'!I:I,'Price List, Weapons &amp; Items'!A210)</f>
        <v>160</v>
      </c>
      <c r="M210" s="46">
        <f>COUNTIFS('Bilateral assistance, MAIN DATA'!M:M,"undisclosed",'Bilateral assistance, MAIN DATA'!I:I,'Price List, Weapons &amp; Items'!A210)</f>
        <v>0</v>
      </c>
      <c r="N210" s="689">
        <f t="shared" si="23"/>
        <v>19040000</v>
      </c>
      <c r="O210" s="1">
        <f>IFERROR(IF(SEARCH(A210,_xlfn.ARRAYTOTEXT('Bilateral assistance, MAIN DATA'!I$1:I$1408))&gt;0,1,""),0)</f>
        <v>1</v>
      </c>
      <c r="P210" s="46">
        <f>IFERROR(IF(SEARCH(A210,_xlfn.ARRAYTOTEXT('Commercial assistance'!I$1:I$1400))&gt;0,1,""),0)</f>
        <v>0</v>
      </c>
    </row>
    <row r="211" spans="1:16" ht="15" customHeight="1">
      <c r="A211" s="512" t="s">
        <v>803</v>
      </c>
      <c r="B211" s="684" t="s">
        <v>3284</v>
      </c>
      <c r="C211" s="685" t="s">
        <v>3285</v>
      </c>
      <c r="D211" s="686">
        <v>0</v>
      </c>
      <c r="E211" s="686">
        <f t="shared" si="21"/>
        <v>0</v>
      </c>
      <c r="F211" s="452">
        <v>119000</v>
      </c>
      <c r="G211" s="687" t="str">
        <f t="shared" si="24"/>
        <v>USD</v>
      </c>
      <c r="H211" s="653" t="s">
        <v>3598</v>
      </c>
      <c r="I211" s="424" t="s">
        <v>3270</v>
      </c>
      <c r="J211" s="424" t="s">
        <v>3602</v>
      </c>
      <c r="K211" s="688">
        <f t="shared" si="22"/>
        <v>2</v>
      </c>
      <c r="L211" s="310">
        <f>SUMIFS('Bilateral assistance, MAIN DATA'!M:M,'Bilateral assistance, MAIN DATA'!I:I,'Price List, Weapons &amp; Items'!A211)</f>
        <v>1650</v>
      </c>
      <c r="M211" s="46">
        <f>COUNTIFS('Bilateral assistance, MAIN DATA'!M:M,"undisclosed",'Bilateral assistance, MAIN DATA'!I:I,'Price List, Weapons &amp; Items'!A211)</f>
        <v>1</v>
      </c>
      <c r="N211" s="689">
        <f t="shared" si="23"/>
        <v>196350000</v>
      </c>
      <c r="O211" s="1">
        <f>IFERROR(IF(SEARCH(A211,_xlfn.ARRAYTOTEXT('Bilateral assistance, MAIN DATA'!I$1:I$1408))&gt;0,1,""),0)</f>
        <v>1</v>
      </c>
      <c r="P211" s="46">
        <f>IFERROR(IF(SEARCH(A211,_xlfn.ARRAYTOTEXT('Commercial assistance'!I$1:I$1400))&gt;0,1,""),0)</f>
        <v>0</v>
      </c>
    </row>
    <row r="212" spans="1:16" ht="15" customHeight="1">
      <c r="A212" s="691" t="s">
        <v>2777</v>
      </c>
      <c r="B212" s="684" t="s">
        <v>729</v>
      </c>
      <c r="C212" s="685" t="s">
        <v>232</v>
      </c>
      <c r="D212" s="552">
        <v>0</v>
      </c>
      <c r="E212" s="686">
        <f t="shared" si="21"/>
        <v>0</v>
      </c>
      <c r="F212" s="452">
        <v>97500</v>
      </c>
      <c r="G212" s="687" t="str">
        <f t="shared" si="24"/>
        <v>USD</v>
      </c>
      <c r="H212" s="653" t="s">
        <v>3603</v>
      </c>
      <c r="I212" s="424" t="s">
        <v>3259</v>
      </c>
      <c r="J212" s="424" t="s">
        <v>3604</v>
      </c>
      <c r="K212" s="688">
        <f t="shared" si="22"/>
        <v>2</v>
      </c>
      <c r="L212" s="310">
        <f>SUMIFS('Bilateral assistance, MAIN DATA'!M:M,'Bilateral assistance, MAIN DATA'!I:I,'Price List, Weapons &amp; Items'!A212)</f>
        <v>16</v>
      </c>
      <c r="M212" s="46">
        <f>COUNTIFS('Bilateral assistance, MAIN DATA'!M:M,"undisclosed",'Bilateral assistance, MAIN DATA'!I:I,'Price List, Weapons &amp; Items'!A212)</f>
        <v>0</v>
      </c>
      <c r="N212" s="689">
        <f t="shared" si="23"/>
        <v>1560000</v>
      </c>
      <c r="O212" s="1">
        <f>IFERROR(IF(SEARCH(A212,_xlfn.ARRAYTOTEXT('Bilateral assistance, MAIN DATA'!I$1:I$1408))&gt;0,1,""),0)</f>
        <v>1</v>
      </c>
      <c r="P212" s="46">
        <f>IFERROR(IF(SEARCH(A212,_xlfn.ARRAYTOTEXT('Commercial assistance'!I$1:I$1400))&gt;0,1,""),0)</f>
        <v>0</v>
      </c>
    </row>
    <row r="213" spans="1:16" ht="15" customHeight="1">
      <c r="A213" s="512" t="s">
        <v>3605</v>
      </c>
      <c r="B213" s="684" t="s">
        <v>3243</v>
      </c>
      <c r="C213" s="685" t="s">
        <v>3244</v>
      </c>
      <c r="D213" s="686">
        <v>0</v>
      </c>
      <c r="E213" s="686">
        <f t="shared" si="21"/>
        <v>0</v>
      </c>
      <c r="F213" s="452">
        <v>85000</v>
      </c>
      <c r="G213" s="687" t="str">
        <f t="shared" si="24"/>
        <v>USD</v>
      </c>
      <c r="H213" s="653" t="s">
        <v>3606</v>
      </c>
      <c r="I213" s="424" t="s">
        <v>3266</v>
      </c>
      <c r="J213" s="424" t="s">
        <v>3607</v>
      </c>
      <c r="K213" s="688">
        <f t="shared" si="22"/>
        <v>2</v>
      </c>
      <c r="L213" s="310">
        <f>SUMIFS('Bilateral assistance, MAIN DATA'!M:M,'Bilateral assistance, MAIN DATA'!I:I,'Price List, Weapons &amp; Items'!A213)</f>
        <v>200</v>
      </c>
      <c r="M213" s="46">
        <f>COUNTIFS('Bilateral assistance, MAIN DATA'!M:M,"undisclosed",'Bilateral assistance, MAIN DATA'!I:I,'Price List, Weapons &amp; Items'!A213)</f>
        <v>0</v>
      </c>
      <c r="N213" s="689">
        <f t="shared" si="23"/>
        <v>17000000</v>
      </c>
      <c r="O213" s="1">
        <f>IFERROR(IF(SEARCH(A213,_xlfn.ARRAYTOTEXT('Bilateral assistance, MAIN DATA'!I$1:I$1408))&gt;0,1,""),0)</f>
        <v>1</v>
      </c>
      <c r="P213" s="46">
        <f>IFERROR(IF(SEARCH(A213,_xlfn.ARRAYTOTEXT('Commercial assistance'!I$1:I$1400))&gt;0,1,""),0)</f>
        <v>0</v>
      </c>
    </row>
    <row r="214" spans="1:16" ht="15" customHeight="1">
      <c r="A214" s="691" t="s">
        <v>3608</v>
      </c>
      <c r="B214" s="684" t="s">
        <v>3284</v>
      </c>
      <c r="C214" s="685" t="s">
        <v>3364</v>
      </c>
      <c r="D214" s="686">
        <v>0</v>
      </c>
      <c r="E214" s="686">
        <f t="shared" si="21"/>
        <v>0</v>
      </c>
      <c r="F214" s="452">
        <v>78000</v>
      </c>
      <c r="G214" s="687" t="str">
        <f t="shared" si="24"/>
        <v>USD</v>
      </c>
      <c r="H214" s="653" t="s">
        <v>3609</v>
      </c>
      <c r="I214" s="424" t="s">
        <v>3262</v>
      </c>
      <c r="J214" s="424" t="s">
        <v>3610</v>
      </c>
      <c r="K214" s="688">
        <f t="shared" si="22"/>
        <v>2</v>
      </c>
      <c r="L214" s="310">
        <f>SUMIFS('Bilateral assistance, MAIN DATA'!M:M,'Bilateral assistance, MAIN DATA'!I:I,'Price List, Weapons &amp; Items'!A214)</f>
        <v>10867</v>
      </c>
      <c r="M214" s="46">
        <f>COUNTIFS('Bilateral assistance, MAIN DATA'!M:M,"undisclosed",'Bilateral assistance, MAIN DATA'!I:I,'Price List, Weapons &amp; Items'!A214)</f>
        <v>0</v>
      </c>
      <c r="N214" s="689">
        <f t="shared" si="23"/>
        <v>847626000</v>
      </c>
      <c r="O214" s="1">
        <f>IFERROR(IF(SEARCH(A214,_xlfn.ARRAYTOTEXT('Bilateral assistance, MAIN DATA'!I$1:I$1408))&gt;0,1,""),0)</f>
        <v>1</v>
      </c>
      <c r="P214" s="46">
        <f>IFERROR(IF(SEARCH(A214,_xlfn.ARRAYTOTEXT('Commercial assistance'!I$1:I$1400))&gt;0,1,""),0)</f>
        <v>0</v>
      </c>
    </row>
    <row r="215" spans="1:16" ht="15" customHeight="1">
      <c r="A215" s="528" t="s">
        <v>893</v>
      </c>
      <c r="B215" s="684" t="s">
        <v>3284</v>
      </c>
      <c r="C215" s="685" t="s">
        <v>3364</v>
      </c>
      <c r="D215" s="686">
        <v>0</v>
      </c>
      <c r="E215" s="686">
        <f t="shared" si="21"/>
        <v>0</v>
      </c>
      <c r="F215" s="452">
        <v>78000</v>
      </c>
      <c r="G215" s="687" t="str">
        <f t="shared" si="24"/>
        <v>USD</v>
      </c>
      <c r="H215" s="653" t="s">
        <v>3609</v>
      </c>
      <c r="I215" s="424" t="s">
        <v>3262</v>
      </c>
      <c r="J215" s="424" t="s">
        <v>3611</v>
      </c>
      <c r="K215" s="688">
        <f t="shared" si="22"/>
        <v>2</v>
      </c>
      <c r="L215" s="310">
        <f>SUMIFS('Bilateral assistance, MAIN DATA'!M:M,'Bilateral assistance, MAIN DATA'!I:I,'Price List, Weapons &amp; Items'!A215)</f>
        <v>486</v>
      </c>
      <c r="M215" s="46">
        <f>COUNTIFS('Bilateral assistance, MAIN DATA'!M:M,"undisclosed",'Bilateral assistance, MAIN DATA'!I:I,'Price List, Weapons &amp; Items'!A215)</f>
        <v>1</v>
      </c>
      <c r="N215" s="689">
        <f t="shared" si="23"/>
        <v>37908000</v>
      </c>
      <c r="O215" s="1">
        <f>IFERROR(IF(SEARCH(A215,_xlfn.ARRAYTOTEXT('Bilateral assistance, MAIN DATA'!I$1:I$1408))&gt;0,1,""),0)</f>
        <v>1</v>
      </c>
      <c r="P215" s="46">
        <f>IFERROR(IF(SEARCH(A215,_xlfn.ARRAYTOTEXT('Commercial assistance'!I$1:I$1400))&gt;0,1,""),0)</f>
        <v>0</v>
      </c>
    </row>
    <row r="216" spans="1:16" ht="15" customHeight="1">
      <c r="A216" s="512" t="s">
        <v>849</v>
      </c>
      <c r="B216" s="684" t="s">
        <v>3300</v>
      </c>
      <c r="C216" s="685" t="s">
        <v>3418</v>
      </c>
      <c r="D216" s="686">
        <v>0</v>
      </c>
      <c r="E216" s="686">
        <f t="shared" si="21"/>
        <v>0</v>
      </c>
      <c r="F216" s="452">
        <v>78000</v>
      </c>
      <c r="G216" s="687" t="str">
        <f t="shared" si="24"/>
        <v>USD</v>
      </c>
      <c r="H216" s="653" t="s">
        <v>3609</v>
      </c>
      <c r="I216" s="424" t="s">
        <v>3262</v>
      </c>
      <c r="J216" s="424" t="s">
        <v>3612</v>
      </c>
      <c r="K216" s="688">
        <f t="shared" si="22"/>
        <v>2</v>
      </c>
      <c r="L216" s="310">
        <f>SUMIFS('Bilateral assistance, MAIN DATA'!M:M,'Bilateral assistance, MAIN DATA'!I:I,'Price List, Weapons &amp; Items'!A216)</f>
        <v>1500</v>
      </c>
      <c r="M216" s="46">
        <f>COUNTIFS('Bilateral assistance, MAIN DATA'!M:M,"undisclosed",'Bilateral assistance, MAIN DATA'!I:I,'Price List, Weapons &amp; Items'!A216)</f>
        <v>3</v>
      </c>
      <c r="N216" s="689">
        <f t="shared" si="23"/>
        <v>117000000</v>
      </c>
      <c r="O216" s="1">
        <f>IFERROR(IF(SEARCH(A216,_xlfn.ARRAYTOTEXT('Bilateral assistance, MAIN DATA'!I$1:I$1408))&gt;0,1,""),0)</f>
        <v>1</v>
      </c>
      <c r="P216" s="46">
        <f>IFERROR(IF(SEARCH(A216,_xlfn.ARRAYTOTEXT('Commercial assistance'!I$1:I$1400))&gt;0,1,""),0)</f>
        <v>0</v>
      </c>
    </row>
    <row r="217" spans="1:16" s="41" customFormat="1" ht="15" customHeight="1">
      <c r="A217" s="424" t="s">
        <v>3613</v>
      </c>
      <c r="B217" s="684" t="s">
        <v>3300</v>
      </c>
      <c r="C217" s="685" t="s">
        <v>3418</v>
      </c>
      <c r="D217" s="686">
        <v>0</v>
      </c>
      <c r="E217" s="686">
        <f t="shared" si="21"/>
        <v>0</v>
      </c>
      <c r="F217" s="452">
        <v>78000</v>
      </c>
      <c r="G217" s="687" t="str">
        <f t="shared" si="24"/>
        <v>USD</v>
      </c>
      <c r="H217" s="658" t="s">
        <v>3609</v>
      </c>
      <c r="I217" s="424" t="s">
        <v>3262</v>
      </c>
      <c r="J217" s="512" t="s">
        <v>3614</v>
      </c>
      <c r="K217" s="688">
        <f t="shared" si="22"/>
        <v>2</v>
      </c>
      <c r="L217" s="310">
        <f>SUMIFS('Bilateral assistance, MAIN DATA'!M:M,'Bilateral assistance, MAIN DATA'!I:I,'Price List, Weapons &amp; Items'!A217)</f>
        <v>6000</v>
      </c>
      <c r="M217" s="46">
        <f>COUNTIFS('Bilateral assistance, MAIN DATA'!M:M,"undisclosed",'Bilateral assistance, MAIN DATA'!I:I,'Price List, Weapons &amp; Items'!A217)</f>
        <v>0</v>
      </c>
      <c r="N217" s="689">
        <f t="shared" si="23"/>
        <v>468000000</v>
      </c>
      <c r="O217" s="1">
        <f>IFERROR(IF(SEARCH(A217,_xlfn.ARRAYTOTEXT('Bilateral assistance, MAIN DATA'!I$1:I$1408))&gt;0,1,""),0)</f>
        <v>1</v>
      </c>
      <c r="P217" s="46">
        <f>IFERROR(IF(SEARCH(A217,_xlfn.ARRAYTOTEXT('Commercial assistance'!I$1:I$1400))&gt;0,1,""),0)</f>
        <v>0</v>
      </c>
    </row>
    <row r="218" spans="1:16" ht="15" customHeight="1">
      <c r="A218" s="41" t="s">
        <v>2495</v>
      </c>
      <c r="B218" s="684" t="s">
        <v>3249</v>
      </c>
      <c r="C218" s="685" t="s">
        <v>3261</v>
      </c>
      <c r="D218" s="552">
        <v>0</v>
      </c>
      <c r="E218" s="686">
        <f t="shared" si="21"/>
        <v>0</v>
      </c>
      <c r="F218" s="452">
        <f>(((11800000/221)*1.2888)/104.306)*114.086</f>
        <v>75265.911143968755</v>
      </c>
      <c r="G218" s="687" t="str">
        <f t="shared" si="24"/>
        <v>USD</v>
      </c>
      <c r="H218" s="657" t="s">
        <v>3615</v>
      </c>
      <c r="I218" s="424" t="s">
        <v>3259</v>
      </c>
      <c r="J218" s="512" t="s">
        <v>3616</v>
      </c>
      <c r="K218" s="688">
        <f t="shared" si="22"/>
        <v>2</v>
      </c>
      <c r="L218" s="310">
        <f>SUMIFS('Bilateral assistance, MAIN DATA'!M:M,'Bilateral assistance, MAIN DATA'!I:I,'Price List, Weapons &amp; Items'!A218)</f>
        <v>200</v>
      </c>
      <c r="M218" s="46">
        <f>COUNTIFS('Bilateral assistance, MAIN DATA'!M:M,"undisclosed",'Bilateral assistance, MAIN DATA'!I:I,'Price List, Weapons &amp; Items'!A218)</f>
        <v>0</v>
      </c>
      <c r="N218" s="689">
        <f t="shared" si="23"/>
        <v>15053182.228793751</v>
      </c>
      <c r="O218" s="1">
        <f>IFERROR(IF(SEARCH(A218,_xlfn.ARRAYTOTEXT('Bilateral assistance, MAIN DATA'!I$1:I$1408))&gt;0,1,""),0)</f>
        <v>1</v>
      </c>
      <c r="P218" s="46">
        <f>IFERROR(IF(SEARCH(A218,_xlfn.ARRAYTOTEXT('Commercial assistance'!I$1:I$1400))&gt;0,1,""),0)</f>
        <v>0</v>
      </c>
    </row>
    <row r="219" spans="1:16" ht="15" customHeight="1">
      <c r="A219" s="691" t="s">
        <v>1206</v>
      </c>
      <c r="B219" s="684" t="s">
        <v>3239</v>
      </c>
      <c r="C219" s="685" t="s">
        <v>3340</v>
      </c>
      <c r="D219" s="686">
        <v>0</v>
      </c>
      <c r="E219" s="686">
        <f t="shared" si="21"/>
        <v>1</v>
      </c>
      <c r="F219" s="452">
        <v>254717</v>
      </c>
      <c r="G219" s="687" t="str">
        <f t="shared" si="24"/>
        <v>USD</v>
      </c>
      <c r="H219" s="657" t="s">
        <v>3617</v>
      </c>
      <c r="I219" s="424" t="s">
        <v>3262</v>
      </c>
      <c r="J219" s="512" t="s">
        <v>3618</v>
      </c>
      <c r="K219" s="688">
        <f t="shared" si="22"/>
        <v>2</v>
      </c>
      <c r="L219" s="310">
        <f>SUMIFS('Bilateral assistance, MAIN DATA'!M:M,'Bilateral assistance, MAIN DATA'!I:I,'Price List, Weapons &amp; Items'!A219)</f>
        <v>10</v>
      </c>
      <c r="M219" s="46">
        <f>COUNTIFS('Bilateral assistance, MAIN DATA'!M:M,"undisclosed",'Bilateral assistance, MAIN DATA'!I:I,'Price List, Weapons &amp; Items'!A219)</f>
        <v>0</v>
      </c>
      <c r="N219" s="689">
        <f t="shared" si="23"/>
        <v>2547170</v>
      </c>
      <c r="O219" s="1">
        <f>IFERROR(IF(SEARCH(A219,_xlfn.ARRAYTOTEXT('Bilateral assistance, MAIN DATA'!I$1:I$1408))&gt;0,1,""),0)</f>
        <v>1</v>
      </c>
      <c r="P219" s="46">
        <f>IFERROR(IF(SEARCH(A219,_xlfn.ARRAYTOTEXT('Commercial assistance'!I$1:I$1400))&gt;0,1,""),0)</f>
        <v>0</v>
      </c>
    </row>
    <row r="220" spans="1:16" ht="15" customHeight="1">
      <c r="A220" s="691" t="s">
        <v>2692</v>
      </c>
      <c r="B220" s="684" t="s">
        <v>3239</v>
      </c>
      <c r="C220" s="685" t="s">
        <v>3340</v>
      </c>
      <c r="D220" s="686">
        <v>0</v>
      </c>
      <c r="E220" s="686">
        <f t="shared" si="21"/>
        <v>1</v>
      </c>
      <c r="F220" s="452">
        <v>254717</v>
      </c>
      <c r="G220" s="687" t="str">
        <f t="shared" si="24"/>
        <v>USD</v>
      </c>
      <c r="H220" s="657" t="s">
        <v>3617</v>
      </c>
      <c r="I220" s="424" t="s">
        <v>3262</v>
      </c>
      <c r="J220" s="512" t="s">
        <v>3618</v>
      </c>
      <c r="K220" s="688">
        <f t="shared" si="22"/>
        <v>2</v>
      </c>
      <c r="L220" s="310">
        <f>SUMIFS('Bilateral assistance, MAIN DATA'!M:M,'Bilateral assistance, MAIN DATA'!I:I,'Price List, Weapons &amp; Items'!A220)</f>
        <v>825</v>
      </c>
      <c r="M220" s="46">
        <f>COUNTIFS('Bilateral assistance, MAIN DATA'!M:M,"undisclosed",'Bilateral assistance, MAIN DATA'!I:I,'Price List, Weapons &amp; Items'!A220)</f>
        <v>1</v>
      </c>
      <c r="N220" s="689">
        <f t="shared" si="23"/>
        <v>210141525</v>
      </c>
      <c r="O220" s="1">
        <f>IFERROR(IF(SEARCH(A220,_xlfn.ARRAYTOTEXT('Bilateral assistance, MAIN DATA'!I$1:I$1408))&gt;0,1,""),0)</f>
        <v>1</v>
      </c>
      <c r="P220" s="46">
        <f>IFERROR(IF(SEARCH(A220,_xlfn.ARRAYTOTEXT('Commercial assistance'!I$1:I$1400))&gt;0,1,""),0)</f>
        <v>0</v>
      </c>
    </row>
    <row r="221" spans="1:16" ht="15" customHeight="1">
      <c r="A221" s="424" t="s">
        <v>522</v>
      </c>
      <c r="B221" s="684" t="s">
        <v>3248</v>
      </c>
      <c r="C221" s="685" t="s">
        <v>3390</v>
      </c>
      <c r="D221" s="686">
        <v>0</v>
      </c>
      <c r="E221" s="686">
        <f t="shared" si="21"/>
        <v>0</v>
      </c>
      <c r="F221" s="452">
        <f>42589664.86/1111</f>
        <v>38334.53182718272</v>
      </c>
      <c r="G221" s="687" t="str">
        <f t="shared" si="24"/>
        <v>USD</v>
      </c>
      <c r="H221" s="653" t="s">
        <v>3619</v>
      </c>
      <c r="I221" s="424" t="s">
        <v>3262</v>
      </c>
      <c r="J221" s="424" t="s">
        <v>3620</v>
      </c>
      <c r="K221" s="688">
        <f t="shared" si="22"/>
        <v>2</v>
      </c>
      <c r="L221" s="310">
        <f>SUMIFS('Bilateral assistance, MAIN DATA'!M:M,'Bilateral assistance, MAIN DATA'!I:I,'Price List, Weapons &amp; Items'!A221)</f>
        <v>100</v>
      </c>
      <c r="M221" s="46">
        <f>COUNTIFS('Bilateral assistance, MAIN DATA'!M:M,"undisclosed",'Bilateral assistance, MAIN DATA'!I:I,'Price List, Weapons &amp; Items'!A221)</f>
        <v>1</v>
      </c>
      <c r="N221" s="689">
        <f t="shared" si="23"/>
        <v>3833453.1827182719</v>
      </c>
      <c r="O221" s="1">
        <f>IFERROR(IF(SEARCH(A221,_xlfn.ARRAYTOTEXT('Bilateral assistance, MAIN DATA'!I$1:I$1408))&gt;0,1,""),0)</f>
        <v>1</v>
      </c>
      <c r="P221" s="46">
        <f>IFERROR(IF(SEARCH(A221,_xlfn.ARRAYTOTEXT('Commercial assistance'!I$1:I$1400))&gt;0,1,""),0)</f>
        <v>0</v>
      </c>
    </row>
    <row r="222" spans="1:16" ht="15" customHeight="1">
      <c r="A222" s="512" t="s">
        <v>1327</v>
      </c>
      <c r="B222" s="684" t="s">
        <v>3300</v>
      </c>
      <c r="C222" s="685" t="s">
        <v>3368</v>
      </c>
      <c r="D222" s="39">
        <v>0</v>
      </c>
      <c r="E222" s="686">
        <f t="shared" si="21"/>
        <v>0</v>
      </c>
      <c r="F222" s="452">
        <v>480000</v>
      </c>
      <c r="G222" s="687" t="str">
        <f t="shared" si="24"/>
        <v>USD</v>
      </c>
      <c r="H222" s="658" t="s">
        <v>3621</v>
      </c>
      <c r="I222" s="424" t="s">
        <v>3259</v>
      </c>
      <c r="J222" s="512" t="s">
        <v>3622</v>
      </c>
      <c r="K222" s="688">
        <f t="shared" si="22"/>
        <v>2</v>
      </c>
      <c r="L222" s="310">
        <f>SUMIFS('Bilateral assistance, MAIN DATA'!M:M,'Bilateral assistance, MAIN DATA'!I:I,'Price List, Weapons &amp; Items'!A222)</f>
        <v>260</v>
      </c>
      <c r="M222" s="46">
        <f>COUNTIFS('Bilateral assistance, MAIN DATA'!M:M,"undisclosed",'Bilateral assistance, MAIN DATA'!I:I,'Price List, Weapons &amp; Items'!A222)</f>
        <v>1</v>
      </c>
      <c r="N222" s="689">
        <f t="shared" si="23"/>
        <v>124800000</v>
      </c>
      <c r="O222" s="1">
        <f>IFERROR(IF(SEARCH(A222,_xlfn.ARRAYTOTEXT('Bilateral assistance, MAIN DATA'!I$1:I$1408))&gt;0,1,""),0)</f>
        <v>1</v>
      </c>
      <c r="P222" s="46">
        <f>IFERROR(IF(SEARCH(A222,_xlfn.ARRAYTOTEXT('Commercial assistance'!I$1:I$1400))&gt;0,1,""),0)</f>
        <v>0</v>
      </c>
    </row>
    <row r="223" spans="1:16" ht="15" customHeight="1">
      <c r="A223" s="424" t="s">
        <v>3623</v>
      </c>
      <c r="B223" s="684" t="s">
        <v>3284</v>
      </c>
      <c r="C223" s="685" t="s">
        <v>3364</v>
      </c>
      <c r="D223" s="686">
        <v>0</v>
      </c>
      <c r="E223" s="686">
        <f t="shared" si="21"/>
        <v>0</v>
      </c>
      <c r="F223" s="452">
        <v>40000</v>
      </c>
      <c r="G223" s="687" t="str">
        <f t="shared" si="24"/>
        <v>USD</v>
      </c>
      <c r="H223" s="653" t="s">
        <v>3624</v>
      </c>
      <c r="I223" s="424" t="s">
        <v>3259</v>
      </c>
      <c r="J223" s="424" t="s">
        <v>3625</v>
      </c>
      <c r="K223" s="688">
        <f t="shared" si="22"/>
        <v>2</v>
      </c>
      <c r="L223" s="310">
        <f>SUMIFS('Bilateral assistance, MAIN DATA'!M:M,'Bilateral assistance, MAIN DATA'!I:I,'Price List, Weapons &amp; Items'!A223)</f>
        <v>5000</v>
      </c>
      <c r="M223" s="46">
        <f>COUNTIFS('Bilateral assistance, MAIN DATA'!M:M,"undisclosed",'Bilateral assistance, MAIN DATA'!I:I,'Price List, Weapons &amp; Items'!A223)</f>
        <v>3</v>
      </c>
      <c r="N223" s="689">
        <f t="shared" si="23"/>
        <v>200000000</v>
      </c>
      <c r="O223" s="1">
        <f>IFERROR(IF(SEARCH(A223,_xlfn.ARRAYTOTEXT('Bilateral assistance, MAIN DATA'!I$1:I$1408))&gt;0,1,""),0)</f>
        <v>1</v>
      </c>
      <c r="P223" s="46">
        <f>IFERROR(IF(SEARCH(A223,_xlfn.ARRAYTOTEXT('Commercial assistance'!I$1:I$1400))&gt;0,1,""),0)</f>
        <v>0</v>
      </c>
    </row>
    <row r="224" spans="1:16" ht="15" customHeight="1">
      <c r="A224" s="424" t="s">
        <v>1659</v>
      </c>
      <c r="B224" s="684" t="s">
        <v>3284</v>
      </c>
      <c r="C224" s="685" t="s">
        <v>3364</v>
      </c>
      <c r="D224" s="686">
        <v>0</v>
      </c>
      <c r="E224" s="686">
        <f t="shared" si="21"/>
        <v>0</v>
      </c>
      <c r="F224" s="452">
        <v>40000</v>
      </c>
      <c r="G224" s="687" t="str">
        <f t="shared" si="24"/>
        <v>USD</v>
      </c>
      <c r="H224" s="653" t="s">
        <v>3624</v>
      </c>
      <c r="I224" s="424" t="s">
        <v>3259</v>
      </c>
      <c r="J224" s="424" t="s">
        <v>3626</v>
      </c>
      <c r="K224" s="688">
        <f t="shared" si="22"/>
        <v>2</v>
      </c>
      <c r="L224" s="310">
        <f>SUMIFS('Bilateral assistance, MAIN DATA'!M:M,'Bilateral assistance, MAIN DATA'!I:I,'Price List, Weapons &amp; Items'!A224)</f>
        <v>7665</v>
      </c>
      <c r="M224" s="46">
        <f>COUNTIFS('Bilateral assistance, MAIN DATA'!M:M,"undisclosed",'Bilateral assistance, MAIN DATA'!I:I,'Price List, Weapons &amp; Items'!A224)</f>
        <v>0</v>
      </c>
      <c r="N224" s="689">
        <f t="shared" si="23"/>
        <v>306600000</v>
      </c>
      <c r="O224" s="1">
        <f>IFERROR(IF(SEARCH(A224,_xlfn.ARRAYTOTEXT('Bilateral assistance, MAIN DATA'!I$1:I$1408))&gt;0,1,""),0)</f>
        <v>1</v>
      </c>
      <c r="P224" s="46">
        <f>IFERROR(IF(SEARCH(A224,_xlfn.ARRAYTOTEXT('Commercial assistance'!I$1:I$1400))&gt;0,1,""),0)</f>
        <v>0</v>
      </c>
    </row>
    <row r="225" spans="1:16" ht="15" customHeight="1">
      <c r="A225" s="691" t="s">
        <v>3627</v>
      </c>
      <c r="B225" s="684" t="s">
        <v>3284</v>
      </c>
      <c r="C225" s="685" t="s">
        <v>3364</v>
      </c>
      <c r="D225" s="686">
        <v>0</v>
      </c>
      <c r="E225" s="686">
        <v>1</v>
      </c>
      <c r="F225" s="452">
        <v>120000</v>
      </c>
      <c r="G225" s="687" t="s">
        <v>314</v>
      </c>
      <c r="H225" s="653" t="s">
        <v>3628</v>
      </c>
      <c r="I225" s="424" t="s">
        <v>232</v>
      </c>
      <c r="J225" s="424" t="s">
        <v>232</v>
      </c>
      <c r="K225" s="688">
        <f t="shared" si="22"/>
        <v>2</v>
      </c>
      <c r="L225" s="310">
        <f>SUMIFS('Bilateral assistance, MAIN DATA'!M:M,'Bilateral assistance, MAIN DATA'!I:I,'Price List, Weapons &amp; Items'!A225)</f>
        <v>2700</v>
      </c>
      <c r="M225" s="46">
        <f>COUNTIFS('Bilateral assistance, MAIN DATA'!M:M,"undisclosed",'Bilateral assistance, MAIN DATA'!I:I,'Price List, Weapons &amp; Items'!A225)</f>
        <v>0</v>
      </c>
      <c r="N225" s="689">
        <f t="shared" si="23"/>
        <v>324000000</v>
      </c>
      <c r="O225" s="1">
        <f>IFERROR(IF(SEARCH(A225,_xlfn.ARRAYTOTEXT('Bilateral assistance, MAIN DATA'!I$1:I$1408))&gt;0,1,""),0)</f>
        <v>1</v>
      </c>
      <c r="P225" s="46">
        <f>IFERROR(IF(SEARCH(A225,_xlfn.ARRAYTOTEXT('Commercial assistance'!I$1:I$1400))&gt;0,1,""),0)</f>
        <v>0</v>
      </c>
    </row>
    <row r="226" spans="1:16" ht="15" customHeight="1">
      <c r="A226" s="424" t="s">
        <v>2438</v>
      </c>
      <c r="B226" s="684" t="s">
        <v>3300</v>
      </c>
      <c r="C226" s="685" t="s">
        <v>3418</v>
      </c>
      <c r="D226" s="686">
        <v>0</v>
      </c>
      <c r="E226" s="686">
        <f t="shared" ref="E226:E257" si="25">IF(OR(C226="Armoured Personnel Carrier (APC)",C226="Armoured Recovery Vehicle (ARV)",C226="Armoured Utility Vehicle (AUV)",C226="152mm howitzer ammunition",C226="155mm howitzer ammunition",C226="300mm MLRS ammunition",C226="155mm howitzer",C226="227mm MLRS ammunition",C226="Infantry fighting vehicle (IFV)",C226="152mm howitzer",C226="227mm MLRS",C226="Main Battle Tank (MBT)",C226="Protected Patrol Vehicle (PPV)",C226="127mm MLRS",C226="122mm MLRS",C226="122mm MLRS ammunition",C226="122mm MLRS",C226="127mm MLRS",C226="127mm MLRS ammunition")=TRUE,1,0)</f>
        <v>0</v>
      </c>
      <c r="F226" s="452">
        <v>20000</v>
      </c>
      <c r="G226" s="687" t="str">
        <f t="shared" ref="G226:G257" si="26">IF(F226&lt;&gt;".","USD",".")</f>
        <v>USD</v>
      </c>
      <c r="H226" s="653" t="s">
        <v>3629</v>
      </c>
      <c r="I226" s="424" t="s">
        <v>3259</v>
      </c>
      <c r="J226" s="424" t="s">
        <v>3630</v>
      </c>
      <c r="K226" s="688">
        <f t="shared" si="22"/>
        <v>2</v>
      </c>
      <c r="L226" s="310">
        <f>SUMIFS('Bilateral assistance, MAIN DATA'!M:M,'Bilateral assistance, MAIN DATA'!I:I,'Price List, Weapons &amp; Items'!A226)</f>
        <v>6000</v>
      </c>
      <c r="M226" s="46">
        <f>COUNTIFS('Bilateral assistance, MAIN DATA'!M:M,"undisclosed",'Bilateral assistance, MAIN DATA'!I:I,'Price List, Weapons &amp; Items'!A226)</f>
        <v>0</v>
      </c>
      <c r="N226" s="689">
        <f t="shared" si="23"/>
        <v>120000000</v>
      </c>
      <c r="O226" s="1">
        <f>IFERROR(IF(SEARCH(A226,_xlfn.ARRAYTOTEXT('Bilateral assistance, MAIN DATA'!I$1:I$1408))&gt;0,1,""),0)</f>
        <v>1</v>
      </c>
      <c r="P226" s="46">
        <f>IFERROR(IF(SEARCH(A226,_xlfn.ARRAYTOTEXT('Commercial assistance'!I$1:I$1400))&gt;0,1,""),0)</f>
        <v>0</v>
      </c>
    </row>
    <row r="227" spans="1:16" ht="15" customHeight="1">
      <c r="A227" s="697" t="s">
        <v>2191</v>
      </c>
      <c r="B227" s="684" t="s">
        <v>3284</v>
      </c>
      <c r="C227" s="685" t="s">
        <v>3631</v>
      </c>
      <c r="D227" s="552">
        <v>0</v>
      </c>
      <c r="E227" s="686">
        <f t="shared" si="25"/>
        <v>0</v>
      </c>
      <c r="F227" s="452">
        <v>20000</v>
      </c>
      <c r="G227" s="687" t="str">
        <f t="shared" si="26"/>
        <v>USD</v>
      </c>
      <c r="H227" s="652" t="s">
        <v>3632</v>
      </c>
      <c r="I227" s="424" t="s">
        <v>3270</v>
      </c>
      <c r="J227" s="424" t="s">
        <v>3633</v>
      </c>
      <c r="K227" s="688">
        <f t="shared" si="22"/>
        <v>2</v>
      </c>
      <c r="L227" s="310">
        <f>SUMIFS('Bilateral assistance, MAIN DATA'!M:M,'Bilateral assistance, MAIN DATA'!I:I,'Price List, Weapons &amp; Items'!A227)</f>
        <v>1370</v>
      </c>
      <c r="M227" s="46">
        <f>COUNTIFS('Bilateral assistance, MAIN DATA'!M:M,"undisclosed",'Bilateral assistance, MAIN DATA'!I:I,'Price List, Weapons &amp; Items'!A227)</f>
        <v>0</v>
      </c>
      <c r="N227" s="689">
        <f t="shared" si="23"/>
        <v>27400000</v>
      </c>
      <c r="O227" s="1">
        <f>IFERROR(IF(SEARCH(A227,_xlfn.ARRAYTOTEXT('Bilateral assistance, MAIN DATA'!I$1:I$1408))&gt;0,1,""),0)</f>
        <v>1</v>
      </c>
      <c r="P227" s="46">
        <f>IFERROR(IF(SEARCH(A227,_xlfn.ARRAYTOTEXT('Commercial assistance'!I$1:I$1400))&gt;0,1,""),0)</f>
        <v>0</v>
      </c>
    </row>
    <row r="228" spans="1:16" ht="15" customHeight="1">
      <c r="A228" s="424" t="s">
        <v>1924</v>
      </c>
      <c r="B228" s="684" t="s">
        <v>3248</v>
      </c>
      <c r="C228" s="685" t="s">
        <v>3359</v>
      </c>
      <c r="D228" s="686">
        <v>0</v>
      </c>
      <c r="E228" s="686">
        <f t="shared" si="25"/>
        <v>0</v>
      </c>
      <c r="F228" s="452">
        <v>10658</v>
      </c>
      <c r="G228" s="687" t="str">
        <f t="shared" si="26"/>
        <v>USD</v>
      </c>
      <c r="H228" s="653" t="s">
        <v>3634</v>
      </c>
      <c r="I228" s="424" t="s">
        <v>3262</v>
      </c>
      <c r="J228" s="424" t="s">
        <v>3635</v>
      </c>
      <c r="K228" s="688">
        <f t="shared" si="22"/>
        <v>2</v>
      </c>
      <c r="L228" s="310">
        <f>SUMIFS('Bilateral assistance, MAIN DATA'!M:M,'Bilateral assistance, MAIN DATA'!I:I,'Price List, Weapons &amp; Items'!A228)</f>
        <v>100</v>
      </c>
      <c r="M228" s="46">
        <f>COUNTIFS('Bilateral assistance, MAIN DATA'!M:M,"undisclosed",'Bilateral assistance, MAIN DATA'!I:I,'Price List, Weapons &amp; Items'!A228)</f>
        <v>0</v>
      </c>
      <c r="N228" s="689">
        <f t="shared" si="23"/>
        <v>1065800</v>
      </c>
      <c r="O228" s="1">
        <f>IFERROR(IF(SEARCH(A228,_xlfn.ARRAYTOTEXT('Bilateral assistance, MAIN DATA'!I$1:I$1408))&gt;0,1,""),0)</f>
        <v>1</v>
      </c>
      <c r="P228" s="46">
        <f>IFERROR(IF(SEARCH(A228,_xlfn.ARRAYTOTEXT('Commercial assistance'!I$1:I$1400))&gt;0,1,""),0)</f>
        <v>0</v>
      </c>
    </row>
    <row r="229" spans="1:16" ht="15" customHeight="1">
      <c r="A229" s="424" t="s">
        <v>1239</v>
      </c>
      <c r="B229" s="684" t="s">
        <v>3284</v>
      </c>
      <c r="C229" s="685" t="s">
        <v>3364</v>
      </c>
      <c r="D229" s="686">
        <v>0</v>
      </c>
      <c r="E229" s="686">
        <f t="shared" si="25"/>
        <v>0</v>
      </c>
      <c r="F229" s="452">
        <v>11108</v>
      </c>
      <c r="G229" s="687" t="str">
        <f t="shared" si="26"/>
        <v>USD</v>
      </c>
      <c r="H229" s="653" t="s">
        <v>3636</v>
      </c>
      <c r="I229" s="424" t="s">
        <v>3262</v>
      </c>
      <c r="J229" s="703" t="s">
        <v>3637</v>
      </c>
      <c r="K229" s="688">
        <f t="shared" si="22"/>
        <v>2</v>
      </c>
      <c r="L229" s="310">
        <f>SUMIFS('Bilateral assistance, MAIN DATA'!M:M,'Bilateral assistance, MAIN DATA'!I:I,'Price List, Weapons &amp; Items'!A229)</f>
        <v>3050</v>
      </c>
      <c r="M229" s="46">
        <f>COUNTIFS('Bilateral assistance, MAIN DATA'!M:M,"undisclosed",'Bilateral assistance, MAIN DATA'!I:I,'Price List, Weapons &amp; Items'!A229)</f>
        <v>0</v>
      </c>
      <c r="N229" s="689">
        <f t="shared" si="23"/>
        <v>33879400</v>
      </c>
      <c r="O229" s="1">
        <f>IFERROR(IF(SEARCH(A229,_xlfn.ARRAYTOTEXT('Bilateral assistance, MAIN DATA'!I$1:I$1408))&gt;0,1,""),0)</f>
        <v>1</v>
      </c>
      <c r="P229" s="46">
        <f>IFERROR(IF(SEARCH(A229,_xlfn.ARRAYTOTEXT('Commercial assistance'!I$1:I$1400))&gt;0,1,""),0)</f>
        <v>0</v>
      </c>
    </row>
    <row r="230" spans="1:16" ht="15" customHeight="1">
      <c r="A230" s="697" t="s">
        <v>1698</v>
      </c>
      <c r="B230" s="684" t="s">
        <v>3248</v>
      </c>
      <c r="C230" s="685" t="s">
        <v>3268</v>
      </c>
      <c r="D230" s="552">
        <v>0</v>
      </c>
      <c r="E230" s="686">
        <f t="shared" si="25"/>
        <v>0</v>
      </c>
      <c r="F230" s="452">
        <v>8374.57</v>
      </c>
      <c r="G230" s="687" t="str">
        <f t="shared" si="26"/>
        <v>USD</v>
      </c>
      <c r="H230" s="652" t="s">
        <v>3638</v>
      </c>
      <c r="I230" s="424" t="s">
        <v>3266</v>
      </c>
      <c r="J230" s="698" t="s">
        <v>3639</v>
      </c>
      <c r="K230" s="688">
        <f t="shared" si="22"/>
        <v>1</v>
      </c>
      <c r="L230" s="310">
        <f>SUMIFS('Bilateral assistance, MAIN DATA'!M:M,'Bilateral assistance, MAIN DATA'!I:I,'Price List, Weapons &amp; Items'!A230)</f>
        <v>90</v>
      </c>
      <c r="M230" s="46">
        <f>COUNTIFS('Bilateral assistance, MAIN DATA'!M:M,"undisclosed",'Bilateral assistance, MAIN DATA'!I:I,'Price List, Weapons &amp; Items'!A230)</f>
        <v>0</v>
      </c>
      <c r="N230" s="689">
        <f t="shared" si="23"/>
        <v>753711.29999999993</v>
      </c>
      <c r="O230" s="1">
        <f>IFERROR(IF(SEARCH(A230,_xlfn.ARRAYTOTEXT('Bilateral assistance, MAIN DATA'!I$1:I$1408))&gt;0,1,""),0)</f>
        <v>1</v>
      </c>
      <c r="P230" s="46">
        <f>IFERROR(IF(SEARCH(A230,_xlfn.ARRAYTOTEXT('Commercial assistance'!I$1:I$1400))&gt;0,1,""),0)</f>
        <v>0</v>
      </c>
    </row>
    <row r="231" spans="1:16" ht="15" customHeight="1">
      <c r="A231" s="691" t="s">
        <v>1858</v>
      </c>
      <c r="B231" s="684" t="s">
        <v>729</v>
      </c>
      <c r="C231" s="685" t="s">
        <v>232</v>
      </c>
      <c r="D231" s="686">
        <v>0</v>
      </c>
      <c r="E231" s="686">
        <f t="shared" si="25"/>
        <v>0</v>
      </c>
      <c r="F231" s="452">
        <v>2320</v>
      </c>
      <c r="G231" s="687" t="str">
        <f t="shared" si="26"/>
        <v>USD</v>
      </c>
      <c r="H231" s="701" t="s">
        <v>3640</v>
      </c>
      <c r="I231" s="424" t="s">
        <v>3259</v>
      </c>
      <c r="J231" s="703" t="s">
        <v>3641</v>
      </c>
      <c r="K231" s="688">
        <f t="shared" si="22"/>
        <v>2</v>
      </c>
      <c r="L231" s="310">
        <f>SUMIFS('Bilateral assistance, MAIN DATA'!M:M,'Bilateral assistance, MAIN DATA'!I:I,'Price List, Weapons &amp; Items'!A231)</f>
        <v>5000</v>
      </c>
      <c r="M231" s="46">
        <f>COUNTIFS('Bilateral assistance, MAIN DATA'!M:M,"undisclosed",'Bilateral assistance, MAIN DATA'!I:I,'Price List, Weapons &amp; Items'!A231)</f>
        <v>11</v>
      </c>
      <c r="N231" s="689">
        <f t="shared" si="23"/>
        <v>11600000</v>
      </c>
      <c r="O231" s="1">
        <f>IFERROR(IF(SEARCH(A231,_xlfn.ARRAYTOTEXT('Bilateral assistance, MAIN DATA'!I$1:I$1408))&gt;0,1,""),0)</f>
        <v>1</v>
      </c>
      <c r="P231" s="46">
        <f>IFERROR(IF(SEARCH(A231,_xlfn.ARRAYTOTEXT('Commercial assistance'!I$1:I$1400))&gt;0,1,""),0)</f>
        <v>0</v>
      </c>
    </row>
    <row r="232" spans="1:16" ht="15" customHeight="1">
      <c r="A232" s="691" t="s">
        <v>2700</v>
      </c>
      <c r="B232" s="684" t="s">
        <v>729</v>
      </c>
      <c r="C232" s="685" t="s">
        <v>232</v>
      </c>
      <c r="D232" s="686">
        <v>0</v>
      </c>
      <c r="E232" s="686">
        <f t="shared" si="25"/>
        <v>0</v>
      </c>
      <c r="F232" s="452">
        <v>51404</v>
      </c>
      <c r="G232" s="687" t="str">
        <f t="shared" si="26"/>
        <v>USD</v>
      </c>
      <c r="H232" s="652" t="s">
        <v>3642</v>
      </c>
      <c r="I232" s="424" t="s">
        <v>3254</v>
      </c>
      <c r="J232" s="424" t="s">
        <v>3643</v>
      </c>
      <c r="K232" s="688">
        <f t="shared" si="22"/>
        <v>2</v>
      </c>
      <c r="L232" s="310">
        <f>SUMIFS('Bilateral assistance, MAIN DATA'!M:M,'Bilateral assistance, MAIN DATA'!I:I,'Price List, Weapons &amp; Items'!A232)</f>
        <v>2038</v>
      </c>
      <c r="M232" s="46">
        <f>COUNTIFS('Bilateral assistance, MAIN DATA'!M:M,"undisclosed",'Bilateral assistance, MAIN DATA'!I:I,'Price List, Weapons &amp; Items'!A232)</f>
        <v>2</v>
      </c>
      <c r="N232" s="689">
        <f t="shared" si="23"/>
        <v>104761352</v>
      </c>
      <c r="O232" s="1">
        <f>IFERROR(IF(SEARCH(A232,_xlfn.ARRAYTOTEXT('Bilateral assistance, MAIN DATA'!I$1:I$1408))&gt;0,1,""),0)</f>
        <v>1</v>
      </c>
      <c r="P232" s="46">
        <f>IFERROR(IF(SEARCH(A232,_xlfn.ARRAYTOTEXT('Commercial assistance'!I$1:I$1400))&gt;0,1,""),0)</f>
        <v>0</v>
      </c>
    </row>
    <row r="233" spans="1:16" ht="15" customHeight="1">
      <c r="A233" s="424" t="s">
        <v>2504</v>
      </c>
      <c r="B233" s="684" t="s">
        <v>3249</v>
      </c>
      <c r="C233" s="685" t="s">
        <v>3393</v>
      </c>
      <c r="D233" s="686">
        <v>0</v>
      </c>
      <c r="E233" s="686">
        <f t="shared" si="25"/>
        <v>0</v>
      </c>
      <c r="F233" s="452">
        <v>6000</v>
      </c>
      <c r="G233" s="687" t="str">
        <f t="shared" si="26"/>
        <v>USD</v>
      </c>
      <c r="H233" s="653" t="s">
        <v>3644</v>
      </c>
      <c r="I233" s="424" t="s">
        <v>3270</v>
      </c>
      <c r="J233" s="424" t="s">
        <v>3645</v>
      </c>
      <c r="K233" s="688">
        <f t="shared" si="22"/>
        <v>2</v>
      </c>
      <c r="L233" s="310">
        <f>SUMIFS('Bilateral assistance, MAIN DATA'!M:M,'Bilateral assistance, MAIN DATA'!I:I,'Price List, Weapons &amp; Items'!A233)</f>
        <v>1350</v>
      </c>
      <c r="M233" s="46">
        <f>COUNTIFS('Bilateral assistance, MAIN DATA'!M:M,"undisclosed",'Bilateral assistance, MAIN DATA'!I:I,'Price List, Weapons &amp; Items'!A233)</f>
        <v>1</v>
      </c>
      <c r="N233" s="689">
        <f t="shared" si="23"/>
        <v>8100000</v>
      </c>
      <c r="O233" s="1">
        <f>IFERROR(IF(SEARCH(A233,_xlfn.ARRAYTOTEXT('Bilateral assistance, MAIN DATA'!I$1:I$1408))&gt;0,1,""),0)</f>
        <v>1</v>
      </c>
      <c r="P233" s="46">
        <f>IFERROR(IF(SEARCH(A233,_xlfn.ARRAYTOTEXT('Commercial assistance'!I$1:I$1400))&gt;0,1,""),0)</f>
        <v>0</v>
      </c>
    </row>
    <row r="234" spans="1:16" ht="15" customHeight="1">
      <c r="A234" s="691" t="s">
        <v>2609</v>
      </c>
      <c r="B234" s="684" t="s">
        <v>3249</v>
      </c>
      <c r="C234" s="276" t="s">
        <v>3393</v>
      </c>
      <c r="D234" s="708">
        <v>0</v>
      </c>
      <c r="E234" s="686">
        <f t="shared" si="25"/>
        <v>0</v>
      </c>
      <c r="F234" s="452">
        <v>6000</v>
      </c>
      <c r="G234" s="687" t="str">
        <f t="shared" si="26"/>
        <v>USD</v>
      </c>
      <c r="H234" s="653" t="s">
        <v>3644</v>
      </c>
      <c r="I234" s="424" t="s">
        <v>3270</v>
      </c>
      <c r="J234" s="424" t="s">
        <v>3645</v>
      </c>
      <c r="K234" s="688">
        <f t="shared" si="22"/>
        <v>2</v>
      </c>
      <c r="L234" s="310">
        <f>SUMIFS('Bilateral assistance, MAIN DATA'!M:M,'Bilateral assistance, MAIN DATA'!I:I,'Price List, Weapons &amp; Items'!A234)</f>
        <v>900</v>
      </c>
      <c r="M234" s="46">
        <f>COUNTIFS('Bilateral assistance, MAIN DATA'!M:M,"undisclosed",'Bilateral assistance, MAIN DATA'!I:I,'Price List, Weapons &amp; Items'!A234)</f>
        <v>0</v>
      </c>
      <c r="N234" s="689">
        <f t="shared" si="23"/>
        <v>5400000</v>
      </c>
      <c r="O234" s="1">
        <f>IFERROR(IF(SEARCH(A234,_xlfn.ARRAYTOTEXT('Bilateral assistance, MAIN DATA'!I$1:I$1408))&gt;0,1,""),0)</f>
        <v>1</v>
      </c>
      <c r="P234" s="46">
        <f>IFERROR(IF(SEARCH(A234,_xlfn.ARRAYTOTEXT('Commercial assistance'!I$1:I$1400))&gt;0,1,""),0)</f>
        <v>0</v>
      </c>
    </row>
    <row r="235" spans="1:16" ht="15" customHeight="1">
      <c r="A235" s="704" t="s">
        <v>1250</v>
      </c>
      <c r="B235" s="684" t="s">
        <v>3284</v>
      </c>
      <c r="C235" s="685" t="s">
        <v>3364</v>
      </c>
      <c r="D235" s="552">
        <v>0</v>
      </c>
      <c r="E235" s="686">
        <f t="shared" si="25"/>
        <v>0</v>
      </c>
      <c r="F235" s="452">
        <f>27400000/5100</f>
        <v>5372.5490196078435</v>
      </c>
      <c r="G235" s="687" t="str">
        <f t="shared" si="26"/>
        <v>USD</v>
      </c>
      <c r="H235" s="652" t="s">
        <v>3646</v>
      </c>
      <c r="I235" s="424" t="s">
        <v>3259</v>
      </c>
      <c r="J235" s="424" t="s">
        <v>3647</v>
      </c>
      <c r="K235" s="688">
        <f t="shared" si="22"/>
        <v>2</v>
      </c>
      <c r="L235" s="310">
        <f>SUMIFS('Bilateral assistance, MAIN DATA'!M:M,'Bilateral assistance, MAIN DATA'!I:I,'Price List, Weapons &amp; Items'!A235)</f>
        <v>7944</v>
      </c>
      <c r="M235" s="46">
        <f>COUNTIFS('Bilateral assistance, MAIN DATA'!M:M,"undisclosed",'Bilateral assistance, MAIN DATA'!I:I,'Price List, Weapons &amp; Items'!A235)</f>
        <v>0</v>
      </c>
      <c r="N235" s="689">
        <f t="shared" si="23"/>
        <v>42679529.411764711</v>
      </c>
      <c r="O235" s="1">
        <f>IFERROR(IF(SEARCH(A235,_xlfn.ARRAYTOTEXT('Bilateral assistance, MAIN DATA'!I$1:I$1408))&gt;0,1,""),0)</f>
        <v>1</v>
      </c>
      <c r="P235" s="46">
        <f>IFERROR(IF(SEARCH(A235,_xlfn.ARRAYTOTEXT('Commercial assistance'!I$1:I$1400))&gt;0,1,""),0)</f>
        <v>0</v>
      </c>
    </row>
    <row r="236" spans="1:16" ht="15" customHeight="1">
      <c r="A236" s="424" t="s">
        <v>3648</v>
      </c>
      <c r="B236" s="684" t="s">
        <v>3248</v>
      </c>
      <c r="C236" s="685" t="s">
        <v>3268</v>
      </c>
      <c r="D236" s="686">
        <v>0</v>
      </c>
      <c r="E236" s="686">
        <f t="shared" si="25"/>
        <v>0</v>
      </c>
      <c r="F236" s="452">
        <v>5300</v>
      </c>
      <c r="G236" s="687" t="str">
        <f t="shared" si="26"/>
        <v>USD</v>
      </c>
      <c r="H236" s="653" t="s">
        <v>3269</v>
      </c>
      <c r="I236" s="424" t="s">
        <v>3270</v>
      </c>
      <c r="J236" s="424" t="s">
        <v>3271</v>
      </c>
      <c r="K236" s="688">
        <f t="shared" si="22"/>
        <v>2</v>
      </c>
      <c r="L236" s="310">
        <f>SUMIFS('Bilateral assistance, MAIN DATA'!M:M,'Bilateral assistance, MAIN DATA'!I:I,'Price List, Weapons &amp; Items'!A236)</f>
        <v>2400</v>
      </c>
      <c r="M236" s="46">
        <f>COUNTIFS('Bilateral assistance, MAIN DATA'!M:M,"undisclosed",'Bilateral assistance, MAIN DATA'!I:I,'Price List, Weapons &amp; Items'!A236)</f>
        <v>0</v>
      </c>
      <c r="N236" s="689">
        <f t="shared" si="23"/>
        <v>12720000</v>
      </c>
      <c r="O236" s="1">
        <f>IFERROR(IF(SEARCH(A236,_xlfn.ARRAYTOTEXT('Bilateral assistance, MAIN DATA'!I$1:I$1408))&gt;0,1,""),0)</f>
        <v>1</v>
      </c>
      <c r="P236" s="46">
        <f>IFERROR(IF(SEARCH(A236,_xlfn.ARRAYTOTEXT('Commercial assistance'!I$1:I$1400))&gt;0,1,""),0)</f>
        <v>0</v>
      </c>
    </row>
    <row r="237" spans="1:16" ht="15" customHeight="1">
      <c r="A237" s="691" t="s">
        <v>646</v>
      </c>
      <c r="B237" s="684" t="s">
        <v>3248</v>
      </c>
      <c r="C237" s="685" t="s">
        <v>3268</v>
      </c>
      <c r="D237" s="686">
        <v>0</v>
      </c>
      <c r="E237" s="686">
        <f t="shared" si="25"/>
        <v>0</v>
      </c>
      <c r="F237" s="452">
        <v>5175</v>
      </c>
      <c r="G237" s="687" t="str">
        <f t="shared" si="26"/>
        <v>USD</v>
      </c>
      <c r="H237" s="653" t="s">
        <v>3649</v>
      </c>
      <c r="I237" s="424" t="s">
        <v>3266</v>
      </c>
      <c r="J237" s="424" t="s">
        <v>3650</v>
      </c>
      <c r="K237" s="688">
        <f t="shared" si="22"/>
        <v>2</v>
      </c>
      <c r="L237" s="310">
        <f>SUMIFS('Bilateral assistance, MAIN DATA'!M:M,'Bilateral assistance, MAIN DATA'!I:I,'Price List, Weapons &amp; Items'!A237)</f>
        <v>3200</v>
      </c>
      <c r="M237" s="46">
        <f>COUNTIFS('Bilateral assistance, MAIN DATA'!M:M,"undisclosed",'Bilateral assistance, MAIN DATA'!I:I,'Price List, Weapons &amp; Items'!A237)</f>
        <v>0</v>
      </c>
      <c r="N237" s="689">
        <f t="shared" si="23"/>
        <v>16560000</v>
      </c>
      <c r="O237" s="1">
        <f>IFERROR(IF(SEARCH(A237,_xlfn.ARRAYTOTEXT('Bilateral assistance, MAIN DATA'!I$1:I$1408))&gt;0,1,""),0)</f>
        <v>1</v>
      </c>
      <c r="P237" s="46">
        <f>IFERROR(IF(SEARCH(A237,_xlfn.ARRAYTOTEXT('Commercial assistance'!I$1:I$1400))&gt;0,1,""),0)</f>
        <v>0</v>
      </c>
    </row>
    <row r="238" spans="1:16" ht="15" customHeight="1">
      <c r="A238" s="697" t="s">
        <v>659</v>
      </c>
      <c r="B238" s="684" t="s">
        <v>3248</v>
      </c>
      <c r="C238" s="685" t="s">
        <v>3268</v>
      </c>
      <c r="D238" s="552">
        <v>0</v>
      </c>
      <c r="E238" s="686">
        <f t="shared" si="25"/>
        <v>0</v>
      </c>
      <c r="F238" s="452">
        <v>52687</v>
      </c>
      <c r="G238" s="687" t="str">
        <f t="shared" si="26"/>
        <v>USD</v>
      </c>
      <c r="H238" s="652" t="s">
        <v>3651</v>
      </c>
      <c r="I238" s="424" t="s">
        <v>3254</v>
      </c>
      <c r="J238" s="424" t="s">
        <v>3652</v>
      </c>
      <c r="K238" s="688">
        <f t="shared" si="22"/>
        <v>1</v>
      </c>
      <c r="L238" s="310">
        <f>SUMIFS('Bilateral assistance, MAIN DATA'!M:M,'Bilateral assistance, MAIN DATA'!I:I,'Price List, Weapons &amp; Items'!A238)</f>
        <v>20</v>
      </c>
      <c r="M238" s="46">
        <f>COUNTIFS('Bilateral assistance, MAIN DATA'!M:M,"undisclosed",'Bilateral assistance, MAIN DATA'!I:I,'Price List, Weapons &amp; Items'!A238)</f>
        <v>0</v>
      </c>
      <c r="N238" s="689">
        <f t="shared" si="23"/>
        <v>1053740</v>
      </c>
      <c r="O238" s="1">
        <f>IFERROR(IF(SEARCH(A238,_xlfn.ARRAYTOTEXT('Bilateral assistance, MAIN DATA'!I$1:I$1408))&gt;0,1,""),0)</f>
        <v>1</v>
      </c>
      <c r="P238" s="46">
        <f>IFERROR(IF(SEARCH(A238,_xlfn.ARRAYTOTEXT('Commercial assistance'!I$1:I$1400))&gt;0,1,""),0)</f>
        <v>0</v>
      </c>
    </row>
    <row r="239" spans="1:16" ht="15" customHeight="1">
      <c r="A239" s="424" t="s">
        <v>574</v>
      </c>
      <c r="B239" s="684" t="s">
        <v>3235</v>
      </c>
      <c r="C239" s="685" t="s">
        <v>3236</v>
      </c>
      <c r="D239" s="686">
        <v>0</v>
      </c>
      <c r="E239" s="686">
        <f t="shared" si="25"/>
        <v>1</v>
      </c>
      <c r="F239" s="452">
        <v>3800</v>
      </c>
      <c r="G239" s="687" t="str">
        <f t="shared" si="26"/>
        <v>USD</v>
      </c>
      <c r="H239" s="652" t="s">
        <v>3415</v>
      </c>
      <c r="I239" s="424" t="s">
        <v>3308</v>
      </c>
      <c r="J239" s="424" t="s">
        <v>3653</v>
      </c>
      <c r="K239" s="688">
        <f t="shared" si="22"/>
        <v>2</v>
      </c>
      <c r="L239" s="310">
        <f>SUMIFS('Bilateral assistance, MAIN DATA'!M:M,'Bilateral assistance, MAIN DATA'!I:I,'Price List, Weapons &amp; Items'!A239)</f>
        <v>725600</v>
      </c>
      <c r="M239" s="46">
        <f>COUNTIFS('Bilateral assistance, MAIN DATA'!M:M,"undisclosed",'Bilateral assistance, MAIN DATA'!I:I,'Price List, Weapons &amp; Items'!A239)</f>
        <v>1</v>
      </c>
      <c r="N239" s="689">
        <f t="shared" si="23"/>
        <v>2757280000</v>
      </c>
      <c r="O239" s="1">
        <f>IFERROR(IF(SEARCH(A239,_xlfn.ARRAYTOTEXT('Bilateral assistance, MAIN DATA'!I$1:I$1408))&gt;0,1,""),0)</f>
        <v>1</v>
      </c>
      <c r="P239" s="46">
        <f>IFERROR(IF(SEARCH(A239,_xlfn.ARRAYTOTEXT('Commercial assistance'!I$1:I$1400))&gt;0,1,""),0)</f>
        <v>0</v>
      </c>
    </row>
    <row r="240" spans="1:16" ht="15" customHeight="1">
      <c r="A240" s="424" t="s">
        <v>1123</v>
      </c>
      <c r="B240" s="684" t="s">
        <v>3235</v>
      </c>
      <c r="C240" s="685" t="s">
        <v>3236</v>
      </c>
      <c r="D240" s="686">
        <v>0</v>
      </c>
      <c r="E240" s="686">
        <f t="shared" si="25"/>
        <v>1</v>
      </c>
      <c r="F240" s="452">
        <v>3800</v>
      </c>
      <c r="G240" s="687" t="str">
        <f t="shared" si="26"/>
        <v>USD</v>
      </c>
      <c r="H240" s="652" t="s">
        <v>3415</v>
      </c>
      <c r="I240" s="424" t="s">
        <v>3308</v>
      </c>
      <c r="J240" s="424" t="s">
        <v>3653</v>
      </c>
      <c r="K240" s="688">
        <f t="shared" si="22"/>
        <v>2</v>
      </c>
      <c r="L240" s="310">
        <f>SUMIFS('Bilateral assistance, MAIN DATA'!M:M,'Bilateral assistance, MAIN DATA'!I:I,'Price List, Weapons &amp; Items'!A240)</f>
        <v>48000</v>
      </c>
      <c r="M240" s="46">
        <f>COUNTIFS('Bilateral assistance, MAIN DATA'!M:M,"undisclosed",'Bilateral assistance, MAIN DATA'!I:I,'Price List, Weapons &amp; Items'!A240)</f>
        <v>2</v>
      </c>
      <c r="N240" s="689">
        <f t="shared" si="23"/>
        <v>182400000</v>
      </c>
      <c r="O240" s="1">
        <f>IFERROR(IF(SEARCH(A240,_xlfn.ARRAYTOTEXT('Bilateral assistance, MAIN DATA'!I$1:I$1408))&gt;0,1,""),0)</f>
        <v>1</v>
      </c>
      <c r="P240" s="46">
        <f>IFERROR(IF(SEARCH(A240,_xlfn.ARRAYTOTEXT('Commercial assistance'!I$1:I$1400))&gt;0,1,""),0)</f>
        <v>0</v>
      </c>
    </row>
    <row r="241" spans="1:16" ht="15" customHeight="1">
      <c r="A241" s="424" t="s">
        <v>391</v>
      </c>
      <c r="B241" s="684" t="s">
        <v>3248</v>
      </c>
      <c r="C241" s="685" t="s">
        <v>3268</v>
      </c>
      <c r="D241" s="686">
        <v>0</v>
      </c>
      <c r="E241" s="686">
        <f t="shared" si="25"/>
        <v>0</v>
      </c>
      <c r="F241" s="452">
        <v>3000</v>
      </c>
      <c r="G241" s="687" t="str">
        <f t="shared" si="26"/>
        <v>USD</v>
      </c>
      <c r="H241" s="653" t="s">
        <v>3654</v>
      </c>
      <c r="I241" s="424" t="s">
        <v>3262</v>
      </c>
      <c r="J241" s="424" t="s">
        <v>3655</v>
      </c>
      <c r="K241" s="688">
        <f t="shared" si="22"/>
        <v>2</v>
      </c>
      <c r="L241" s="310">
        <f>SUMIFS('Bilateral assistance, MAIN DATA'!M:M,'Bilateral assistance, MAIN DATA'!I:I,'Price List, Weapons &amp; Items'!A241)</f>
        <v>5000</v>
      </c>
      <c r="M241" s="46">
        <f>COUNTIFS('Bilateral assistance, MAIN DATA'!M:M,"undisclosed",'Bilateral assistance, MAIN DATA'!I:I,'Price List, Weapons &amp; Items'!A241)</f>
        <v>0</v>
      </c>
      <c r="N241" s="689">
        <f t="shared" si="23"/>
        <v>15000000</v>
      </c>
      <c r="O241" s="1">
        <f>IFERROR(IF(SEARCH(A241,_xlfn.ARRAYTOTEXT('Bilateral assistance, MAIN DATA'!I$1:I$1408))&gt;0,1,""),0)</f>
        <v>1</v>
      </c>
      <c r="P241" s="46">
        <f>IFERROR(IF(SEARCH(A241,_xlfn.ARRAYTOTEXT('Commercial assistance'!I$1:I$1400))&gt;0,1,""),0)</f>
        <v>0</v>
      </c>
    </row>
    <row r="242" spans="1:16" ht="15" customHeight="1">
      <c r="A242" s="691" t="s">
        <v>1263</v>
      </c>
      <c r="B242" s="684" t="s">
        <v>729</v>
      </c>
      <c r="C242" s="685" t="s">
        <v>232</v>
      </c>
      <c r="D242" s="552">
        <v>0</v>
      </c>
      <c r="E242" s="686">
        <f t="shared" si="25"/>
        <v>0</v>
      </c>
      <c r="F242" s="452">
        <v>19500</v>
      </c>
      <c r="G242" s="687" t="str">
        <f t="shared" si="26"/>
        <v>USD</v>
      </c>
      <c r="H242" s="653" t="s">
        <v>3656</v>
      </c>
      <c r="I242" s="424" t="s">
        <v>3308</v>
      </c>
      <c r="J242" s="424" t="s">
        <v>3657</v>
      </c>
      <c r="K242" s="688">
        <f t="shared" si="22"/>
        <v>2</v>
      </c>
      <c r="L242" s="310">
        <f>SUMIFS('Bilateral assistance, MAIN DATA'!M:M,'Bilateral assistance, MAIN DATA'!I:I,'Price List, Weapons &amp; Items'!A242)</f>
        <v>60</v>
      </c>
      <c r="M242" s="46">
        <f>COUNTIFS('Bilateral assistance, MAIN DATA'!M:M,"undisclosed",'Bilateral assistance, MAIN DATA'!I:I,'Price List, Weapons &amp; Items'!A242)</f>
        <v>0</v>
      </c>
      <c r="N242" s="689">
        <f t="shared" si="23"/>
        <v>1170000</v>
      </c>
      <c r="O242" s="1">
        <f>IFERROR(IF(SEARCH(A242,_xlfn.ARRAYTOTEXT('Bilateral assistance, MAIN DATA'!I$1:I$1408))&gt;0,1,""),0)</f>
        <v>1</v>
      </c>
      <c r="P242" s="46">
        <f>IFERROR(IF(SEARCH(A242,_xlfn.ARRAYTOTEXT('Commercial assistance'!I$1:I$1400))&gt;0,1,""),0)</f>
        <v>0</v>
      </c>
    </row>
    <row r="243" spans="1:16" ht="15" customHeight="1">
      <c r="A243" s="424" t="s">
        <v>3658</v>
      </c>
      <c r="B243" s="684" t="s">
        <v>3243</v>
      </c>
      <c r="C243" s="685" t="s">
        <v>3659</v>
      </c>
      <c r="D243" s="686">
        <v>0</v>
      </c>
      <c r="E243" s="686">
        <f t="shared" si="25"/>
        <v>0</v>
      </c>
      <c r="F243" s="452">
        <v>1750</v>
      </c>
      <c r="G243" s="687" t="str">
        <f t="shared" si="26"/>
        <v>USD</v>
      </c>
      <c r="H243" s="653" t="s">
        <v>3391</v>
      </c>
      <c r="I243" s="424" t="s">
        <v>3262</v>
      </c>
      <c r="J243" s="424" t="s">
        <v>3660</v>
      </c>
      <c r="K243" s="688">
        <f t="shared" si="22"/>
        <v>2</v>
      </c>
      <c r="L243" s="310">
        <f>SUMIFS('Bilateral assistance, MAIN DATA'!M:M,'Bilateral assistance, MAIN DATA'!I:I,'Price List, Weapons &amp; Items'!A243)</f>
        <v>2000</v>
      </c>
      <c r="M243" s="46">
        <f>COUNTIFS('Bilateral assistance, MAIN DATA'!M:M,"undisclosed",'Bilateral assistance, MAIN DATA'!I:I,'Price List, Weapons &amp; Items'!A243)</f>
        <v>0</v>
      </c>
      <c r="N243" s="689">
        <f t="shared" si="23"/>
        <v>3500000</v>
      </c>
      <c r="O243" s="1">
        <f>IFERROR(IF(SEARCH(A243,_xlfn.ARRAYTOTEXT('Bilateral assistance, MAIN DATA'!I$1:I$1408))&gt;0,1,""),0)</f>
        <v>1</v>
      </c>
      <c r="P243" s="46">
        <f>IFERROR(IF(SEARCH(A243,_xlfn.ARRAYTOTEXT('Commercial assistance'!I$1:I$1400))&gt;0,1,""),0)</f>
        <v>0</v>
      </c>
    </row>
    <row r="244" spans="1:16" ht="15" customHeight="1">
      <c r="A244" s="697" t="s">
        <v>3661</v>
      </c>
      <c r="B244" s="684" t="s">
        <v>3284</v>
      </c>
      <c r="C244" s="685" t="s">
        <v>3364</v>
      </c>
      <c r="D244" s="686">
        <v>0</v>
      </c>
      <c r="E244" s="686">
        <f t="shared" si="25"/>
        <v>0</v>
      </c>
      <c r="F244" s="452">
        <v>3873.65</v>
      </c>
      <c r="G244" s="687" t="str">
        <f t="shared" si="26"/>
        <v>USD</v>
      </c>
      <c r="H244" s="652" t="s">
        <v>3662</v>
      </c>
      <c r="I244" s="424" t="s">
        <v>3262</v>
      </c>
      <c r="J244" s="424" t="s">
        <v>3663</v>
      </c>
      <c r="K244" s="688">
        <f t="shared" si="22"/>
        <v>2</v>
      </c>
      <c r="L244" s="310">
        <f>SUMIFS('Bilateral assistance, MAIN DATA'!M:M,'Bilateral assistance, MAIN DATA'!I:I,'Price List, Weapons &amp; Items'!A244)</f>
        <v>10567</v>
      </c>
      <c r="M244" s="46">
        <f>COUNTIFS('Bilateral assistance, MAIN DATA'!M:M,"undisclosed",'Bilateral assistance, MAIN DATA'!I:I,'Price List, Weapons &amp; Items'!A244)</f>
        <v>0</v>
      </c>
      <c r="N244" s="689">
        <f t="shared" si="23"/>
        <v>40932859.550000004</v>
      </c>
      <c r="O244" s="1">
        <f>IFERROR(IF(SEARCH(A244,_xlfn.ARRAYTOTEXT('Bilateral assistance, MAIN DATA'!I$1:I$1408))&gt;0,1,""),0)</f>
        <v>1</v>
      </c>
      <c r="P244" s="46">
        <f>IFERROR(IF(SEARCH(A244,_xlfn.ARRAYTOTEXT('Commercial assistance'!I$1:I$1400))&gt;0,1,""),0)</f>
        <v>0</v>
      </c>
    </row>
    <row r="245" spans="1:16" ht="15" customHeight="1">
      <c r="A245" s="424" t="s">
        <v>1322</v>
      </c>
      <c r="B245" s="684" t="s">
        <v>3300</v>
      </c>
      <c r="C245" s="685" t="s">
        <v>3368</v>
      </c>
      <c r="D245" s="686">
        <v>0</v>
      </c>
      <c r="E245" s="686">
        <f t="shared" si="25"/>
        <v>0</v>
      </c>
      <c r="F245" s="452">
        <v>2500</v>
      </c>
      <c r="G245" s="687" t="str">
        <f t="shared" si="26"/>
        <v>USD</v>
      </c>
      <c r="H245" s="652" t="s">
        <v>3664</v>
      </c>
      <c r="I245" s="424" t="s">
        <v>3270</v>
      </c>
      <c r="J245" s="424" t="s">
        <v>3665</v>
      </c>
      <c r="K245" s="688">
        <f t="shared" si="22"/>
        <v>2</v>
      </c>
      <c r="L245" s="310">
        <f>SUMIFS('Bilateral assistance, MAIN DATA'!M:M,'Bilateral assistance, MAIN DATA'!I:I,'Price List, Weapons &amp; Items'!A245)</f>
        <v>15000</v>
      </c>
      <c r="M245" s="46">
        <f>COUNTIFS('Bilateral assistance, MAIN DATA'!M:M,"undisclosed",'Bilateral assistance, MAIN DATA'!I:I,'Price List, Weapons &amp; Items'!A245)</f>
        <v>0</v>
      </c>
      <c r="N245" s="689">
        <f t="shared" si="23"/>
        <v>37500000</v>
      </c>
      <c r="O245" s="1">
        <f>IFERROR(IF(SEARCH(A245,_xlfn.ARRAYTOTEXT('Bilateral assistance, MAIN DATA'!I$1:I$1408))&gt;0,1,""),0)</f>
        <v>1</v>
      </c>
      <c r="P245" s="46">
        <f>IFERROR(IF(SEARCH(A245,_xlfn.ARRAYTOTEXT('Commercial assistance'!I$1:I$1400))&gt;0,1,""),0)</f>
        <v>0</v>
      </c>
    </row>
    <row r="246" spans="1:16" ht="15" customHeight="1">
      <c r="A246" s="697" t="s">
        <v>3666</v>
      </c>
      <c r="B246" s="684" t="s">
        <v>3284</v>
      </c>
      <c r="C246" s="685" t="s">
        <v>3667</v>
      </c>
      <c r="D246" s="552">
        <v>0</v>
      </c>
      <c r="E246" s="686">
        <f t="shared" si="25"/>
        <v>0</v>
      </c>
      <c r="F246" s="452">
        <f>AVERAGE(1082,3500)</f>
        <v>2291</v>
      </c>
      <c r="G246" s="687" t="str">
        <f t="shared" si="26"/>
        <v>USD</v>
      </c>
      <c r="H246" s="652" t="s">
        <v>3668</v>
      </c>
      <c r="I246" s="424" t="s">
        <v>3270</v>
      </c>
      <c r="J246" s="424" t="s">
        <v>3669</v>
      </c>
      <c r="K246" s="688">
        <f t="shared" si="22"/>
        <v>2</v>
      </c>
      <c r="L246" s="310">
        <f>SUMIFS('Bilateral assistance, MAIN DATA'!M:M,'Bilateral assistance, MAIN DATA'!I:I,'Price List, Weapons &amp; Items'!A246)</f>
        <v>1700</v>
      </c>
      <c r="M246" s="46">
        <f>COUNTIFS('Bilateral assistance, MAIN DATA'!M:M,"undisclosed",'Bilateral assistance, MAIN DATA'!I:I,'Price List, Weapons &amp; Items'!A246)</f>
        <v>0</v>
      </c>
      <c r="N246" s="689">
        <f t="shared" si="23"/>
        <v>3894700</v>
      </c>
      <c r="O246" s="1">
        <f>IFERROR(IF(SEARCH(A246,_xlfn.ARRAYTOTEXT('Bilateral assistance, MAIN DATA'!I$1:I$1408))&gt;0,1,""),0)</f>
        <v>1</v>
      </c>
      <c r="P246" s="46">
        <f>IFERROR(IF(SEARCH(A246,_xlfn.ARRAYTOTEXT('Commercial assistance'!I$1:I$1400))&gt;0,1,""),0)</f>
        <v>0</v>
      </c>
    </row>
    <row r="247" spans="1:16" ht="15" customHeight="1">
      <c r="A247" s="424" t="s">
        <v>1928</v>
      </c>
      <c r="B247" s="684" t="s">
        <v>3235</v>
      </c>
      <c r="C247" s="685" t="s">
        <v>3412</v>
      </c>
      <c r="D247" s="686">
        <v>0</v>
      </c>
      <c r="E247" s="686">
        <f t="shared" si="25"/>
        <v>1</v>
      </c>
      <c r="F247" s="452">
        <v>2000</v>
      </c>
      <c r="G247" s="687" t="str">
        <f t="shared" si="26"/>
        <v>USD</v>
      </c>
      <c r="H247" s="653" t="s">
        <v>3421</v>
      </c>
      <c r="I247" s="424" t="s">
        <v>3259</v>
      </c>
      <c r="J247" s="424" t="s">
        <v>3670</v>
      </c>
      <c r="K247" s="688">
        <f t="shared" si="22"/>
        <v>2</v>
      </c>
      <c r="L247" s="310">
        <f>SUMIFS('Bilateral assistance, MAIN DATA'!M:M,'Bilateral assistance, MAIN DATA'!I:I,'Price List, Weapons &amp; Items'!A247)</f>
        <v>1170</v>
      </c>
      <c r="M247" s="46">
        <f>COUNTIFS('Bilateral assistance, MAIN DATA'!M:M,"undisclosed",'Bilateral assistance, MAIN DATA'!I:I,'Price List, Weapons &amp; Items'!A247)</f>
        <v>0</v>
      </c>
      <c r="N247" s="689">
        <f t="shared" si="23"/>
        <v>2340000</v>
      </c>
      <c r="O247" s="1">
        <f>IFERROR(IF(SEARCH(A247,_xlfn.ARRAYTOTEXT('Bilateral assistance, MAIN DATA'!I$1:I$1408))&gt;0,1,""),0)</f>
        <v>1</v>
      </c>
      <c r="P247" s="46">
        <f>IFERROR(IF(SEARCH(A247,_xlfn.ARRAYTOTEXT('Commercial assistance'!I$1:I$1400))&gt;0,1,""),0)</f>
        <v>0</v>
      </c>
    </row>
    <row r="248" spans="1:16" ht="15" customHeight="1">
      <c r="A248" s="691" t="s">
        <v>3671</v>
      </c>
      <c r="B248" s="684" t="s">
        <v>3235</v>
      </c>
      <c r="C248" s="685" t="s">
        <v>3423</v>
      </c>
      <c r="D248" s="686">
        <v>0</v>
      </c>
      <c r="E248" s="686">
        <f t="shared" si="25"/>
        <v>0</v>
      </c>
      <c r="F248" s="452">
        <v>2000</v>
      </c>
      <c r="G248" s="687" t="str">
        <f t="shared" si="26"/>
        <v>USD</v>
      </c>
      <c r="H248" s="653" t="s">
        <v>3421</v>
      </c>
      <c r="I248" s="424" t="s">
        <v>3259</v>
      </c>
      <c r="J248" s="424" t="s">
        <v>3670</v>
      </c>
      <c r="K248" s="688">
        <f t="shared" si="22"/>
        <v>2</v>
      </c>
      <c r="L248" s="310">
        <f>SUMIFS('Bilateral assistance, MAIN DATA'!M:M,'Bilateral assistance, MAIN DATA'!I:I,'Price List, Weapons &amp; Items'!A248)</f>
        <v>66000</v>
      </c>
      <c r="M248" s="46">
        <f>COUNTIFS('Bilateral assistance, MAIN DATA'!M:M,"undisclosed",'Bilateral assistance, MAIN DATA'!I:I,'Price List, Weapons &amp; Items'!A248)</f>
        <v>1</v>
      </c>
      <c r="N248" s="689">
        <f t="shared" si="23"/>
        <v>132000000</v>
      </c>
      <c r="O248" s="1">
        <f>IFERROR(IF(SEARCH(A248,_xlfn.ARRAYTOTEXT('Bilateral assistance, MAIN DATA'!I$1:I$1408))&gt;0,1,""),0)</f>
        <v>1</v>
      </c>
      <c r="P248" s="46">
        <f>IFERROR(IF(SEARCH(A248,_xlfn.ARRAYTOTEXT('Commercial assistance'!I$1:I$1400))&gt;0,1,""),0)</f>
        <v>0</v>
      </c>
    </row>
    <row r="249" spans="1:16" ht="15" customHeight="1">
      <c r="A249" s="612" t="s">
        <v>3672</v>
      </c>
      <c r="B249" s="684" t="s">
        <v>3284</v>
      </c>
      <c r="C249" s="685" t="s">
        <v>3364</v>
      </c>
      <c r="D249" s="686">
        <v>0</v>
      </c>
      <c r="E249" s="686">
        <f t="shared" si="25"/>
        <v>0</v>
      </c>
      <c r="F249" s="452">
        <v>1475</v>
      </c>
      <c r="G249" s="687" t="str">
        <f t="shared" si="26"/>
        <v>USD</v>
      </c>
      <c r="H249" s="658" t="s">
        <v>3426</v>
      </c>
      <c r="I249" s="424" t="s">
        <v>3262</v>
      </c>
      <c r="J249" s="707" t="s">
        <v>3673</v>
      </c>
      <c r="K249" s="688">
        <f t="shared" si="22"/>
        <v>2</v>
      </c>
      <c r="L249" s="310">
        <f>SUMIFS('Bilateral assistance, MAIN DATA'!M:M,'Bilateral assistance, MAIN DATA'!I:I,'Price List, Weapons &amp; Items'!A249)</f>
        <v>1000</v>
      </c>
      <c r="M249" s="46">
        <f>COUNTIFS('Bilateral assistance, MAIN DATA'!M:M,"undisclosed",'Bilateral assistance, MAIN DATA'!I:I,'Price List, Weapons &amp; Items'!A249)</f>
        <v>1</v>
      </c>
      <c r="N249" s="689">
        <f t="shared" si="23"/>
        <v>1475000</v>
      </c>
      <c r="O249" s="1">
        <f>IFERROR(IF(SEARCH(A249,_xlfn.ARRAYTOTEXT('Bilateral assistance, MAIN DATA'!I$1:I$1408))&gt;0,1,""),0)</f>
        <v>1</v>
      </c>
      <c r="P249" s="46">
        <f>IFERROR(IF(SEARCH(A249,_xlfn.ARRAYTOTEXT('Commercial assistance'!I$1:I$1400))&gt;0,1,""),0)</f>
        <v>0</v>
      </c>
    </row>
    <row r="250" spans="1:16" ht="15" customHeight="1">
      <c r="A250" s="612" t="s">
        <v>398</v>
      </c>
      <c r="B250" s="684" t="s">
        <v>3284</v>
      </c>
      <c r="C250" s="685" t="s">
        <v>3364</v>
      </c>
      <c r="D250" s="686">
        <v>0</v>
      </c>
      <c r="E250" s="686">
        <f t="shared" si="25"/>
        <v>0</v>
      </c>
      <c r="F250" s="452">
        <v>1475</v>
      </c>
      <c r="G250" s="687" t="str">
        <f t="shared" si="26"/>
        <v>USD</v>
      </c>
      <c r="H250" s="653" t="s">
        <v>3426</v>
      </c>
      <c r="I250" s="424" t="s">
        <v>3262</v>
      </c>
      <c r="J250" s="424" t="s">
        <v>3674</v>
      </c>
      <c r="K250" s="688">
        <f t="shared" si="22"/>
        <v>2</v>
      </c>
      <c r="L250" s="310">
        <f>SUMIFS('Bilateral assistance, MAIN DATA'!M:M,'Bilateral assistance, MAIN DATA'!I:I,'Price List, Weapons &amp; Items'!A250)</f>
        <v>11400</v>
      </c>
      <c r="M250" s="46">
        <f>COUNTIFS('Bilateral assistance, MAIN DATA'!M:M,"undisclosed",'Bilateral assistance, MAIN DATA'!I:I,'Price List, Weapons &amp; Items'!A250)</f>
        <v>0</v>
      </c>
      <c r="N250" s="689">
        <f t="shared" si="23"/>
        <v>16815000</v>
      </c>
      <c r="O250" s="1">
        <f>IFERROR(IF(SEARCH(A250,_xlfn.ARRAYTOTEXT('Bilateral assistance, MAIN DATA'!I$1:I$1408))&gt;0,1,""),0)</f>
        <v>1</v>
      </c>
      <c r="P250" s="46">
        <f>IFERROR(IF(SEARCH(A250,_xlfn.ARRAYTOTEXT('Commercial assistance'!I$1:I$1400))&gt;0,1,""),0)</f>
        <v>0</v>
      </c>
    </row>
    <row r="251" spans="1:16" ht="15" customHeight="1">
      <c r="A251" s="612" t="s">
        <v>3675</v>
      </c>
      <c r="B251" s="684" t="s">
        <v>3284</v>
      </c>
      <c r="C251" s="685" t="s">
        <v>3364</v>
      </c>
      <c r="D251" s="686">
        <v>0</v>
      </c>
      <c r="E251" s="686">
        <f t="shared" si="25"/>
        <v>0</v>
      </c>
      <c r="F251" s="452">
        <v>1475</v>
      </c>
      <c r="G251" s="687" t="str">
        <f t="shared" si="26"/>
        <v>USD</v>
      </c>
      <c r="H251" s="653" t="s">
        <v>3426</v>
      </c>
      <c r="I251" s="424" t="s">
        <v>3262</v>
      </c>
      <c r="J251" s="424" t="s">
        <v>3427</v>
      </c>
      <c r="K251" s="688">
        <f t="shared" si="22"/>
        <v>2</v>
      </c>
      <c r="L251" s="310">
        <f>SUMIFS('Bilateral assistance, MAIN DATA'!M:M,'Bilateral assistance, MAIN DATA'!I:I,'Price List, Weapons &amp; Items'!A251)</f>
        <v>1500</v>
      </c>
      <c r="M251" s="46">
        <f>COUNTIFS('Bilateral assistance, MAIN DATA'!M:M,"undisclosed",'Bilateral assistance, MAIN DATA'!I:I,'Price List, Weapons &amp; Items'!A251)</f>
        <v>0</v>
      </c>
      <c r="N251" s="689">
        <f t="shared" si="23"/>
        <v>2212500</v>
      </c>
      <c r="O251" s="1">
        <f>IFERROR(IF(SEARCH(A251,_xlfn.ARRAYTOTEXT('Bilateral assistance, MAIN DATA'!I$1:I$1408))&gt;0,1,""),0)</f>
        <v>1</v>
      </c>
      <c r="P251" s="46">
        <f>IFERROR(IF(SEARCH(A251,_xlfn.ARRAYTOTEXT('Commercial assistance'!I$1:I$1400))&gt;0,1,""),0)</f>
        <v>0</v>
      </c>
    </row>
    <row r="252" spans="1:16" ht="15" customHeight="1">
      <c r="A252" s="612" t="s">
        <v>3676</v>
      </c>
      <c r="B252" s="684" t="s">
        <v>729</v>
      </c>
      <c r="C252" s="685" t="s">
        <v>232</v>
      </c>
      <c r="D252" s="686">
        <v>0</v>
      </c>
      <c r="E252" s="686">
        <f t="shared" si="25"/>
        <v>0</v>
      </c>
      <c r="F252" s="452">
        <v>1612.5</v>
      </c>
      <c r="G252" s="687" t="str">
        <f t="shared" si="26"/>
        <v>USD</v>
      </c>
      <c r="H252" s="653" t="s">
        <v>3677</v>
      </c>
      <c r="I252" s="424" t="s">
        <v>3270</v>
      </c>
      <c r="J252" s="424" t="s">
        <v>3678</v>
      </c>
      <c r="K252" s="688">
        <f t="shared" si="22"/>
        <v>2</v>
      </c>
      <c r="L252" s="310">
        <f>SUMIFS('Bilateral assistance, MAIN DATA'!M:M,'Bilateral assistance, MAIN DATA'!I:I,'Price List, Weapons &amp; Items'!A252)</f>
        <v>5700</v>
      </c>
      <c r="M252" s="46">
        <f>COUNTIFS('Bilateral assistance, MAIN DATA'!M:M,"undisclosed",'Bilateral assistance, MAIN DATA'!I:I,'Price List, Weapons &amp; Items'!A252)</f>
        <v>0</v>
      </c>
      <c r="N252" s="689">
        <f t="shared" si="23"/>
        <v>9191250</v>
      </c>
      <c r="O252" s="1">
        <f>IFERROR(IF(SEARCH(A252,_xlfn.ARRAYTOTEXT('Bilateral assistance, MAIN DATA'!I$1:I$1408))&gt;0,1,""),0)</f>
        <v>1</v>
      </c>
      <c r="P252" s="46">
        <f>IFERROR(IF(SEARCH(A252,_xlfn.ARRAYTOTEXT('Commercial assistance'!I$1:I$1400))&gt;0,1,""),0)</f>
        <v>0</v>
      </c>
    </row>
    <row r="253" spans="1:16" ht="15" customHeight="1">
      <c r="A253" s="697" t="s">
        <v>968</v>
      </c>
      <c r="B253" s="684" t="s">
        <v>3248</v>
      </c>
      <c r="C253" s="685" t="s">
        <v>3268</v>
      </c>
      <c r="D253" s="686">
        <v>0</v>
      </c>
      <c r="E253" s="686">
        <f t="shared" si="25"/>
        <v>0</v>
      </c>
      <c r="F253" s="452">
        <v>1500</v>
      </c>
      <c r="G253" s="687" t="str">
        <f t="shared" si="26"/>
        <v>USD</v>
      </c>
      <c r="H253" s="662" t="s">
        <v>3679</v>
      </c>
      <c r="I253" s="424" t="s">
        <v>3270</v>
      </c>
      <c r="J253" s="698" t="s">
        <v>3680</v>
      </c>
      <c r="K253" s="688">
        <f t="shared" si="22"/>
        <v>2</v>
      </c>
      <c r="L253" s="310">
        <f>SUMIFS('Bilateral assistance, MAIN DATA'!M:M,'Bilateral assistance, MAIN DATA'!I:I,'Price List, Weapons &amp; Items'!A253)</f>
        <v>2500</v>
      </c>
      <c r="M253" s="46">
        <f>COUNTIFS('Bilateral assistance, MAIN DATA'!M:M,"undisclosed",'Bilateral assistance, MAIN DATA'!I:I,'Price List, Weapons &amp; Items'!A253)</f>
        <v>0</v>
      </c>
      <c r="N253" s="689">
        <f t="shared" si="23"/>
        <v>3750000</v>
      </c>
      <c r="O253" s="1">
        <f>IFERROR(IF(SEARCH(A253,_xlfn.ARRAYTOTEXT('Bilateral assistance, MAIN DATA'!I$1:I$1408))&gt;0,1,""),0)</f>
        <v>1</v>
      </c>
      <c r="P253" s="46">
        <f>IFERROR(IF(SEARCH(A253,_xlfn.ARRAYTOTEXT('Commercial assistance'!I$1:I$1400))&gt;0,1,""),0)</f>
        <v>0</v>
      </c>
    </row>
    <row r="254" spans="1:16" ht="15" customHeight="1">
      <c r="A254" s="424" t="s">
        <v>2289</v>
      </c>
      <c r="B254" s="684" t="s">
        <v>3284</v>
      </c>
      <c r="C254" s="685" t="s">
        <v>3285</v>
      </c>
      <c r="D254" s="686">
        <v>0</v>
      </c>
      <c r="E254" s="686">
        <f t="shared" si="25"/>
        <v>0</v>
      </c>
      <c r="F254" s="452">
        <v>1480.64</v>
      </c>
      <c r="G254" s="687" t="str">
        <f t="shared" si="26"/>
        <v>USD</v>
      </c>
      <c r="H254" s="652" t="s">
        <v>3681</v>
      </c>
      <c r="I254" s="424" t="s">
        <v>3262</v>
      </c>
      <c r="J254" s="424" t="s">
        <v>3682</v>
      </c>
      <c r="K254" s="688">
        <f t="shared" si="22"/>
        <v>2</v>
      </c>
      <c r="L254" s="310">
        <f>SUMIFS('Bilateral assistance, MAIN DATA'!M:M,'Bilateral assistance, MAIN DATA'!I:I,'Price List, Weapons &amp; Items'!A254)</f>
        <v>25567</v>
      </c>
      <c r="M254" s="46">
        <f>COUNTIFS('Bilateral assistance, MAIN DATA'!M:M,"undisclosed",'Bilateral assistance, MAIN DATA'!I:I,'Price List, Weapons &amp; Items'!A254)</f>
        <v>0</v>
      </c>
      <c r="N254" s="689">
        <f t="shared" si="23"/>
        <v>37855522.880000003</v>
      </c>
      <c r="O254" s="1">
        <f>IFERROR(IF(SEARCH(A254,_xlfn.ARRAYTOTEXT('Bilateral assistance, MAIN DATA'!I$1:I$1408))&gt;0,1,""),0)</f>
        <v>1</v>
      </c>
      <c r="P254" s="46">
        <f>IFERROR(IF(SEARCH(A254,_xlfn.ARRAYTOTEXT('Commercial assistance'!I$1:I$1400))&gt;0,1,""),0)</f>
        <v>0</v>
      </c>
    </row>
    <row r="255" spans="1:16" ht="15" customHeight="1">
      <c r="A255" s="722" t="s">
        <v>3683</v>
      </c>
      <c r="B255" s="684" t="s">
        <v>729</v>
      </c>
      <c r="C255" s="685" t="s">
        <v>232</v>
      </c>
      <c r="D255" s="686">
        <v>0</v>
      </c>
      <c r="E255" s="686">
        <f t="shared" si="25"/>
        <v>0</v>
      </c>
      <c r="F255" s="452">
        <v>1400</v>
      </c>
      <c r="G255" s="687" t="str">
        <f t="shared" si="26"/>
        <v>USD</v>
      </c>
      <c r="H255" s="653" t="s">
        <v>3684</v>
      </c>
      <c r="I255" s="424" t="s">
        <v>3262</v>
      </c>
      <c r="J255" s="424" t="s">
        <v>3685</v>
      </c>
      <c r="K255" s="688">
        <f t="shared" si="22"/>
        <v>2</v>
      </c>
      <c r="L255" s="310">
        <f>SUMIFS('Bilateral assistance, MAIN DATA'!M:M,'Bilateral assistance, MAIN DATA'!I:I,'Price List, Weapons &amp; Items'!A255)</f>
        <v>28000</v>
      </c>
      <c r="M255" s="46">
        <f>COUNTIFS('Bilateral assistance, MAIN DATA'!M:M,"undisclosed",'Bilateral assistance, MAIN DATA'!I:I,'Price List, Weapons &amp; Items'!A255)</f>
        <v>0</v>
      </c>
      <c r="N255" s="689">
        <f t="shared" si="23"/>
        <v>39200000</v>
      </c>
      <c r="O255" s="1">
        <f>IFERROR(IF(SEARCH(A255,_xlfn.ARRAYTOTEXT('Bilateral assistance, MAIN DATA'!I$1:I$1408))&gt;0,1,""),0)</f>
        <v>1</v>
      </c>
      <c r="P255" s="46">
        <f>IFERROR(IF(SEARCH(A255,_xlfn.ARRAYTOTEXT('Commercial assistance'!I$1:I$1400))&gt;0,1,""),0)</f>
        <v>0</v>
      </c>
    </row>
    <row r="256" spans="1:16" ht="15" customHeight="1">
      <c r="A256" s="722" t="s">
        <v>3686</v>
      </c>
      <c r="B256" s="684" t="s">
        <v>729</v>
      </c>
      <c r="C256" s="685" t="s">
        <v>232</v>
      </c>
      <c r="D256" s="686">
        <v>0</v>
      </c>
      <c r="E256" s="686">
        <f t="shared" si="25"/>
        <v>0</v>
      </c>
      <c r="F256" s="452">
        <v>1400</v>
      </c>
      <c r="G256" s="687" t="str">
        <f t="shared" si="26"/>
        <v>USD</v>
      </c>
      <c r="H256" s="653" t="s">
        <v>3684</v>
      </c>
      <c r="I256" s="424" t="s">
        <v>3262</v>
      </c>
      <c r="J256" s="424" t="s">
        <v>3685</v>
      </c>
      <c r="K256" s="688">
        <f t="shared" si="22"/>
        <v>2</v>
      </c>
      <c r="L256" s="310">
        <f>SUMIFS('Bilateral assistance, MAIN DATA'!M:M,'Bilateral assistance, MAIN DATA'!I:I,'Price List, Weapons &amp; Items'!A256)</f>
        <v>196473</v>
      </c>
      <c r="M256" s="46">
        <f>COUNTIFS('Bilateral assistance, MAIN DATA'!M:M,"undisclosed",'Bilateral assistance, MAIN DATA'!I:I,'Price List, Weapons &amp; Items'!A256)</f>
        <v>7</v>
      </c>
      <c r="N256" s="689">
        <f t="shared" si="23"/>
        <v>275062200</v>
      </c>
      <c r="O256" s="1">
        <f>IFERROR(IF(SEARCH(A256,_xlfn.ARRAYTOTEXT('Bilateral assistance, MAIN DATA'!I$1:I$1408))&gt;0,1,""),0)</f>
        <v>1</v>
      </c>
      <c r="P256" s="46">
        <f>IFERROR(IF(SEARCH(A256,_xlfn.ARRAYTOTEXT('Commercial assistance'!I$1:I$1400))&gt;0,1,""),0)</f>
        <v>0</v>
      </c>
    </row>
    <row r="257" spans="1:16" ht="15" customHeight="1">
      <c r="A257" s="723" t="s">
        <v>641</v>
      </c>
      <c r="B257" s="684" t="s">
        <v>3248</v>
      </c>
      <c r="C257" s="685" t="s">
        <v>3268</v>
      </c>
      <c r="D257" s="686">
        <v>1</v>
      </c>
      <c r="E257" s="686">
        <f t="shared" si="25"/>
        <v>0</v>
      </c>
      <c r="F257" s="452">
        <v>1266</v>
      </c>
      <c r="G257" s="687" t="str">
        <f t="shared" si="26"/>
        <v>USD</v>
      </c>
      <c r="H257" s="653" t="s">
        <v>3687</v>
      </c>
      <c r="I257" s="424" t="s">
        <v>3270</v>
      </c>
      <c r="J257" s="424" t="s">
        <v>3688</v>
      </c>
      <c r="K257" s="688">
        <f t="shared" si="22"/>
        <v>2</v>
      </c>
      <c r="L257" s="310">
        <f>SUMIFS('Bilateral assistance, MAIN DATA'!M:M,'Bilateral assistance, MAIN DATA'!I:I,'Price List, Weapons &amp; Items'!A257)</f>
        <v>5000</v>
      </c>
      <c r="M257" s="46">
        <f>COUNTIFS('Bilateral assistance, MAIN DATA'!M:M,"undisclosed",'Bilateral assistance, MAIN DATA'!I:I,'Price List, Weapons &amp; Items'!A257)</f>
        <v>0</v>
      </c>
      <c r="N257" s="689">
        <f t="shared" si="23"/>
        <v>6330000</v>
      </c>
      <c r="O257" s="1">
        <f>IFERROR(IF(SEARCH(A257,_xlfn.ARRAYTOTEXT('Bilateral assistance, MAIN DATA'!I$1:I$1408))&gt;0,1,""),0)</f>
        <v>1</v>
      </c>
      <c r="P257" s="46">
        <f>IFERROR(IF(SEARCH(A257,_xlfn.ARRAYTOTEXT('Commercial assistance'!I$1:I$1400))&gt;0,1,""),0)</f>
        <v>0</v>
      </c>
    </row>
    <row r="258" spans="1:16" ht="15" customHeight="1">
      <c r="A258" s="723" t="s">
        <v>644</v>
      </c>
      <c r="B258" s="684" t="s">
        <v>3248</v>
      </c>
      <c r="C258" s="685" t="s">
        <v>3244</v>
      </c>
      <c r="D258" s="686">
        <v>1</v>
      </c>
      <c r="E258" s="686">
        <f t="shared" ref="E258:E289" si="27">IF(OR(C258="Armoured Personnel Carrier (APC)",C258="Armoured Recovery Vehicle (ARV)",C258="Armoured Utility Vehicle (AUV)",C258="152mm howitzer ammunition",C258="155mm howitzer ammunition",C258="300mm MLRS ammunition",C258="155mm howitzer",C258="227mm MLRS ammunition",C258="Infantry fighting vehicle (IFV)",C258="152mm howitzer",C258="227mm MLRS",C258="Main Battle Tank (MBT)",C258="Protected Patrol Vehicle (PPV)",C258="127mm MLRS",C258="122mm MLRS",C258="122mm MLRS ammunition",C258="122mm MLRS",C258="127mm MLRS",C258="127mm MLRS ammunition")=TRUE,1,0)</f>
        <v>0</v>
      </c>
      <c r="F258" s="452">
        <v>705</v>
      </c>
      <c r="G258" s="687" t="str">
        <f t="shared" ref="G258:G282" si="28">IF(F258&lt;&gt;".","USD",".")</f>
        <v>USD</v>
      </c>
      <c r="H258" s="653" t="s">
        <v>3689</v>
      </c>
      <c r="I258" s="424" t="s">
        <v>3266</v>
      </c>
      <c r="J258" s="424" t="s">
        <v>3690</v>
      </c>
      <c r="K258" s="688">
        <f t="shared" ref="K258:K321" si="29">IF(B258="Humanitarian",0,IF(L258&gt;0,IF(TYPE(N258)=1,IF(N258&gt;MEDIAN(N:N),2,1),0),"no price, 0 count"))</f>
        <v>2</v>
      </c>
      <c r="L258" s="310">
        <f>SUMIFS('Bilateral assistance, MAIN DATA'!M:M,'Bilateral assistance, MAIN DATA'!I:I,'Price List, Weapons &amp; Items'!A258)</f>
        <v>2085</v>
      </c>
      <c r="M258" s="46">
        <f>COUNTIFS('Bilateral assistance, MAIN DATA'!M:M,"undisclosed",'Bilateral assistance, MAIN DATA'!I:I,'Price List, Weapons &amp; Items'!A258)</f>
        <v>0</v>
      </c>
      <c r="N258" s="689">
        <f t="shared" ref="N258:N321" si="30">IFERROR(L258*F258,"no price")</f>
        <v>1469925</v>
      </c>
      <c r="O258" s="1">
        <f>IFERROR(IF(SEARCH(A258,_xlfn.ARRAYTOTEXT('Bilateral assistance, MAIN DATA'!I$1:I$1408))&gt;0,1,""),0)</f>
        <v>1</v>
      </c>
      <c r="P258" s="46">
        <f>IFERROR(IF(SEARCH(A258,_xlfn.ARRAYTOTEXT('Commercial assistance'!I$1:I$1400))&gt;0,1,""),0)</f>
        <v>0</v>
      </c>
    </row>
    <row r="259" spans="1:16" ht="15" customHeight="1">
      <c r="A259" s="691" t="s">
        <v>1663</v>
      </c>
      <c r="B259" s="684" t="s">
        <v>3235</v>
      </c>
      <c r="C259" s="685" t="s">
        <v>3437</v>
      </c>
      <c r="D259" s="552">
        <v>0</v>
      </c>
      <c r="E259" s="686">
        <f t="shared" si="27"/>
        <v>1</v>
      </c>
      <c r="F259" s="452">
        <v>1000</v>
      </c>
      <c r="G259" s="687" t="str">
        <f t="shared" si="28"/>
        <v>USD</v>
      </c>
      <c r="H259" s="653" t="s">
        <v>3438</v>
      </c>
      <c r="I259" s="424" t="s">
        <v>3259</v>
      </c>
      <c r="J259" s="424" t="s">
        <v>3439</v>
      </c>
      <c r="K259" s="688">
        <f t="shared" si="29"/>
        <v>2</v>
      </c>
      <c r="L259" s="310">
        <f>SUMIFS('Bilateral assistance, MAIN DATA'!M:M,'Bilateral assistance, MAIN DATA'!I:I,'Price List, Weapons &amp; Items'!A259)</f>
        <v>2200</v>
      </c>
      <c r="M259" s="46">
        <f>COUNTIFS('Bilateral assistance, MAIN DATA'!M:M,"undisclosed",'Bilateral assistance, MAIN DATA'!I:I,'Price List, Weapons &amp; Items'!A259)</f>
        <v>0</v>
      </c>
      <c r="N259" s="689">
        <f t="shared" si="30"/>
        <v>2200000</v>
      </c>
      <c r="O259" s="1">
        <f>IFERROR(IF(SEARCH(A259,_xlfn.ARRAYTOTEXT('Bilateral assistance, MAIN DATA'!I$1:I$1408))&gt;0,1,""),0)</f>
        <v>1</v>
      </c>
      <c r="P259" s="46">
        <f>IFERROR(IF(SEARCH(A259,_xlfn.ARRAYTOTEXT('Commercial assistance'!I$1:I$1400))&gt;0,1,""),0)</f>
        <v>0</v>
      </c>
    </row>
    <row r="260" spans="1:16" ht="15" customHeight="1">
      <c r="A260" s="424" t="s">
        <v>3691</v>
      </c>
      <c r="B260" s="684" t="s">
        <v>3248</v>
      </c>
      <c r="C260" s="685" t="s">
        <v>3268</v>
      </c>
      <c r="D260" s="686">
        <v>0</v>
      </c>
      <c r="E260" s="686">
        <f t="shared" si="27"/>
        <v>0</v>
      </c>
      <c r="F260" s="452">
        <v>1071.6400000000001</v>
      </c>
      <c r="G260" s="687" t="str">
        <f t="shared" si="28"/>
        <v>USD</v>
      </c>
      <c r="H260" s="653" t="s">
        <v>3692</v>
      </c>
      <c r="I260" s="424" t="s">
        <v>3266</v>
      </c>
      <c r="J260" s="424" t="s">
        <v>3693</v>
      </c>
      <c r="K260" s="688">
        <f t="shared" si="29"/>
        <v>2</v>
      </c>
      <c r="L260" s="310">
        <f>SUMIFS('Bilateral assistance, MAIN DATA'!M:M,'Bilateral assistance, MAIN DATA'!I:I,'Price List, Weapons &amp; Items'!A260)</f>
        <v>1000</v>
      </c>
      <c r="M260" s="46">
        <f>COUNTIFS('Bilateral assistance, MAIN DATA'!M:M,"undisclosed",'Bilateral assistance, MAIN DATA'!I:I,'Price List, Weapons &amp; Items'!A260)</f>
        <v>0</v>
      </c>
      <c r="N260" s="689">
        <f t="shared" si="30"/>
        <v>1071640</v>
      </c>
      <c r="O260" s="1">
        <f>IFERROR(IF(SEARCH(A260,_xlfn.ARRAYTOTEXT('Bilateral assistance, MAIN DATA'!I$1:I$1408))&gt;0,1,""),0)</f>
        <v>1</v>
      </c>
      <c r="P260" s="46">
        <f>IFERROR(IF(SEARCH(A260,_xlfn.ARRAYTOTEXT('Commercial assistance'!I$1:I$1400))&gt;0,1,""),0)</f>
        <v>0</v>
      </c>
    </row>
    <row r="261" spans="1:16" ht="15" customHeight="1">
      <c r="A261" s="424" t="s">
        <v>1312</v>
      </c>
      <c r="B261" s="684" t="s">
        <v>3248</v>
      </c>
      <c r="C261" s="685" t="s">
        <v>3268</v>
      </c>
      <c r="D261" s="686">
        <v>1</v>
      </c>
      <c r="E261" s="686">
        <f t="shared" si="27"/>
        <v>0</v>
      </c>
      <c r="F261" s="452">
        <v>850</v>
      </c>
      <c r="G261" s="687" t="str">
        <f t="shared" si="28"/>
        <v>USD</v>
      </c>
      <c r="H261" s="653" t="s">
        <v>3694</v>
      </c>
      <c r="I261" s="424" t="s">
        <v>3270</v>
      </c>
      <c r="J261" s="667" t="s">
        <v>3695</v>
      </c>
      <c r="K261" s="688">
        <f t="shared" si="29"/>
        <v>2</v>
      </c>
      <c r="L261" s="310">
        <f>SUMIFS('Bilateral assistance, MAIN DATA'!M:M,'Bilateral assistance, MAIN DATA'!I:I,'Price List, Weapons &amp; Items'!A261)</f>
        <v>40000</v>
      </c>
      <c r="M261" s="46">
        <f>COUNTIFS('Bilateral assistance, MAIN DATA'!M:M,"undisclosed",'Bilateral assistance, MAIN DATA'!I:I,'Price List, Weapons &amp; Items'!A261)</f>
        <v>0</v>
      </c>
      <c r="N261" s="689">
        <f t="shared" si="30"/>
        <v>34000000</v>
      </c>
      <c r="O261" s="1">
        <f>IFERROR(IF(SEARCH(A261,_xlfn.ARRAYTOTEXT('Bilateral assistance, MAIN DATA'!I$1:I$1408))&gt;0,1,""),0)</f>
        <v>1</v>
      </c>
      <c r="P261" s="46">
        <f>IFERROR(IF(SEARCH(A261,_xlfn.ARRAYTOTEXT('Commercial assistance'!I$1:I$1400))&gt;0,1,""),0)</f>
        <v>0</v>
      </c>
    </row>
    <row r="262" spans="1:16" ht="15" customHeight="1">
      <c r="A262" s="697" t="s">
        <v>2597</v>
      </c>
      <c r="B262" s="684" t="s">
        <v>3248</v>
      </c>
      <c r="C262" s="685" t="s">
        <v>3268</v>
      </c>
      <c r="D262" s="686">
        <v>0</v>
      </c>
      <c r="E262" s="686">
        <f t="shared" si="27"/>
        <v>0</v>
      </c>
      <c r="F262" s="452">
        <v>800</v>
      </c>
      <c r="G262" s="687" t="str">
        <f t="shared" si="28"/>
        <v>USD</v>
      </c>
      <c r="H262" s="662" t="s">
        <v>3435</v>
      </c>
      <c r="I262" s="424" t="s">
        <v>3262</v>
      </c>
      <c r="J262" s="698" t="s">
        <v>3436</v>
      </c>
      <c r="K262" s="688">
        <f t="shared" si="29"/>
        <v>2</v>
      </c>
      <c r="L262" s="310">
        <f>SUMIFS('Bilateral assistance, MAIN DATA'!M:M,'Bilateral assistance, MAIN DATA'!I:I,'Price List, Weapons &amp; Items'!A262)</f>
        <v>5000</v>
      </c>
      <c r="M262" s="46">
        <f>COUNTIFS('Bilateral assistance, MAIN DATA'!M:M,"undisclosed",'Bilateral assistance, MAIN DATA'!I:I,'Price List, Weapons &amp; Items'!A262)</f>
        <v>0</v>
      </c>
      <c r="N262" s="689">
        <f t="shared" si="30"/>
        <v>4000000</v>
      </c>
      <c r="O262" s="1">
        <f>IFERROR(IF(SEARCH(A262,_xlfn.ARRAYTOTEXT('Bilateral assistance, MAIN DATA'!I$1:I$1408))&gt;0,1,""),0)</f>
        <v>1</v>
      </c>
      <c r="P262" s="46">
        <f>IFERROR(IF(SEARCH(A262,_xlfn.ARRAYTOTEXT('Commercial assistance'!I$1:I$1400))&gt;0,1,""),0)</f>
        <v>0</v>
      </c>
    </row>
    <row r="263" spans="1:16" ht="15" customHeight="1">
      <c r="A263" s="693" t="s">
        <v>894</v>
      </c>
      <c r="B263" s="684" t="s">
        <v>729</v>
      </c>
      <c r="C263" s="685" t="s">
        <v>232</v>
      </c>
      <c r="D263" s="686">
        <v>0</v>
      </c>
      <c r="E263" s="686">
        <f t="shared" si="27"/>
        <v>0</v>
      </c>
      <c r="F263" s="452">
        <v>500</v>
      </c>
      <c r="G263" s="687" t="str">
        <f t="shared" si="28"/>
        <v>USD</v>
      </c>
      <c r="H263" s="653" t="s">
        <v>3696</v>
      </c>
      <c r="I263" s="424" t="s">
        <v>3262</v>
      </c>
      <c r="J263" s="424" t="s">
        <v>3697</v>
      </c>
      <c r="K263" s="688">
        <f t="shared" si="29"/>
        <v>2</v>
      </c>
      <c r="L263" s="310">
        <f>SUMIFS('Bilateral assistance, MAIN DATA'!M:M,'Bilateral assistance, MAIN DATA'!I:I,'Price List, Weapons &amp; Items'!A263)</f>
        <v>79090</v>
      </c>
      <c r="M263" s="46">
        <f>COUNTIFS('Bilateral assistance, MAIN DATA'!M:M,"undisclosed",'Bilateral assistance, MAIN DATA'!I:I,'Price List, Weapons &amp; Items'!A263)</f>
        <v>9</v>
      </c>
      <c r="N263" s="689">
        <f t="shared" si="30"/>
        <v>39545000</v>
      </c>
      <c r="O263" s="1">
        <f>IFERROR(IF(SEARCH(A263,_xlfn.ARRAYTOTEXT('Bilateral assistance, MAIN DATA'!I$1:I$1408))&gt;0,1,""),0)</f>
        <v>1</v>
      </c>
      <c r="P263" s="46">
        <f>IFERROR(IF(SEARCH(A263,_xlfn.ARRAYTOTEXT('Commercial assistance'!I$1:I$1400))&gt;0,1,""),0)</f>
        <v>0</v>
      </c>
    </row>
    <row r="264" spans="1:16" ht="15" customHeight="1">
      <c r="A264" s="697" t="s">
        <v>1448</v>
      </c>
      <c r="B264" s="684" t="s">
        <v>3235</v>
      </c>
      <c r="C264" s="685" t="s">
        <v>3698</v>
      </c>
      <c r="D264" s="686">
        <v>0</v>
      </c>
      <c r="E264" s="686">
        <f t="shared" si="27"/>
        <v>0</v>
      </c>
      <c r="F264" s="452">
        <v>400</v>
      </c>
      <c r="G264" s="687" t="str">
        <f t="shared" si="28"/>
        <v>USD</v>
      </c>
      <c r="H264" s="651" t="s">
        <v>3699</v>
      </c>
      <c r="I264" s="424" t="s">
        <v>3262</v>
      </c>
      <c r="J264" s="424" t="s">
        <v>3700</v>
      </c>
      <c r="K264" s="688">
        <f t="shared" si="29"/>
        <v>2</v>
      </c>
      <c r="L264" s="310">
        <f>SUMIFS('Bilateral assistance, MAIN DATA'!M:M,'Bilateral assistance, MAIN DATA'!I:I,'Price List, Weapons &amp; Items'!A264)</f>
        <v>72000</v>
      </c>
      <c r="M264" s="46">
        <f>COUNTIFS('Bilateral assistance, MAIN DATA'!M:M,"undisclosed",'Bilateral assistance, MAIN DATA'!I:I,'Price List, Weapons &amp; Items'!A264)</f>
        <v>2</v>
      </c>
      <c r="N264" s="689">
        <f t="shared" si="30"/>
        <v>28800000</v>
      </c>
      <c r="O264" s="1">
        <f>IFERROR(IF(SEARCH(A264,_xlfn.ARRAYTOTEXT('Bilateral assistance, MAIN DATA'!I$1:I$1408))&gt;0,1,""),0)</f>
        <v>1</v>
      </c>
      <c r="P264" s="46">
        <f>IFERROR(IF(SEARCH(A264,_xlfn.ARRAYTOTEXT('Commercial assistance'!I$1:I$1400))&gt;0,1,""),0)</f>
        <v>0</v>
      </c>
    </row>
    <row r="265" spans="1:16" ht="15" customHeight="1">
      <c r="A265" s="612" t="s">
        <v>3701</v>
      </c>
      <c r="B265" s="684" t="s">
        <v>729</v>
      </c>
      <c r="C265" s="685" t="s">
        <v>232</v>
      </c>
      <c r="D265" s="686">
        <v>0</v>
      </c>
      <c r="E265" s="686">
        <f t="shared" si="27"/>
        <v>0</v>
      </c>
      <c r="F265" s="452">
        <v>316.68</v>
      </c>
      <c r="G265" s="687" t="str">
        <f t="shared" si="28"/>
        <v>USD</v>
      </c>
      <c r="H265" s="652" t="s">
        <v>3702</v>
      </c>
      <c r="I265" s="424" t="s">
        <v>3266</v>
      </c>
      <c r="J265" s="424" t="s">
        <v>3703</v>
      </c>
      <c r="K265" s="688">
        <f t="shared" si="29"/>
        <v>2</v>
      </c>
      <c r="L265" s="310">
        <f>SUMIFS('Bilateral assistance, MAIN DATA'!M:M,'Bilateral assistance, MAIN DATA'!I:I,'Price List, Weapons &amp; Items'!A265)</f>
        <v>9300</v>
      </c>
      <c r="M265" s="46">
        <f>COUNTIFS('Bilateral assistance, MAIN DATA'!M:M,"undisclosed",'Bilateral assistance, MAIN DATA'!I:I,'Price List, Weapons &amp; Items'!A265)</f>
        <v>0</v>
      </c>
      <c r="N265" s="689">
        <f t="shared" si="30"/>
        <v>2945124</v>
      </c>
      <c r="O265" s="1">
        <f>IFERROR(IF(SEARCH(A265,_xlfn.ARRAYTOTEXT('Bilateral assistance, MAIN DATA'!I$1:I$1408))&gt;0,1,""),0)</f>
        <v>1</v>
      </c>
      <c r="P265" s="46">
        <f>IFERROR(IF(SEARCH(A265,_xlfn.ARRAYTOTEXT('Commercial assistance'!I$1:I$1400))&gt;0,1,""),0)</f>
        <v>0</v>
      </c>
    </row>
    <row r="266" spans="1:16" ht="15" customHeight="1">
      <c r="A266" s="424" t="s">
        <v>3704</v>
      </c>
      <c r="B266" s="684" t="s">
        <v>3235</v>
      </c>
      <c r="C266" s="685" t="s">
        <v>3437</v>
      </c>
      <c r="D266" s="686">
        <v>1</v>
      </c>
      <c r="E266" s="686">
        <f t="shared" si="27"/>
        <v>1</v>
      </c>
      <c r="F266" s="452">
        <v>1000</v>
      </c>
      <c r="G266" s="687" t="str">
        <f t="shared" si="28"/>
        <v>USD</v>
      </c>
      <c r="H266" s="653" t="s">
        <v>3438</v>
      </c>
      <c r="I266" s="424" t="s">
        <v>3259</v>
      </c>
      <c r="J266" s="424" t="s">
        <v>3705</v>
      </c>
      <c r="K266" s="688">
        <f t="shared" si="29"/>
        <v>2</v>
      </c>
      <c r="L266" s="310">
        <f>SUMIFS('Bilateral assistance, MAIN DATA'!M:M,'Bilateral assistance, MAIN DATA'!I:I,'Price List, Weapons &amp; Items'!A266)</f>
        <v>2222</v>
      </c>
      <c r="M266" s="46">
        <f>COUNTIFS('Bilateral assistance, MAIN DATA'!M:M,"undisclosed",'Bilateral assistance, MAIN DATA'!I:I,'Price List, Weapons &amp; Items'!A266)</f>
        <v>0</v>
      </c>
      <c r="N266" s="689">
        <f t="shared" si="30"/>
        <v>2222000</v>
      </c>
      <c r="O266" s="1">
        <f>IFERROR(IF(SEARCH(A266,_xlfn.ARRAYTOTEXT('Bilateral assistance, MAIN DATA'!I$1:I$1408))&gt;0,1,""),0)</f>
        <v>1</v>
      </c>
      <c r="P266" s="46">
        <f>IFERROR(IF(SEARCH(A266,_xlfn.ARRAYTOTEXT('Commercial assistance'!I$1:I$1400))&gt;0,1,""),0)</f>
        <v>0</v>
      </c>
    </row>
    <row r="267" spans="1:16" ht="15" customHeight="1">
      <c r="A267" s="691" t="s">
        <v>3706</v>
      </c>
      <c r="B267" s="684" t="s">
        <v>3235</v>
      </c>
      <c r="C267" s="685" t="s">
        <v>3707</v>
      </c>
      <c r="D267" s="552">
        <v>0</v>
      </c>
      <c r="E267" s="686">
        <f t="shared" si="27"/>
        <v>0</v>
      </c>
      <c r="F267" s="452">
        <v>266.94</v>
      </c>
      <c r="G267" s="687" t="str">
        <f t="shared" si="28"/>
        <v>USD</v>
      </c>
      <c r="H267" s="653" t="s">
        <v>3708</v>
      </c>
      <c r="I267" s="424" t="s">
        <v>3270</v>
      </c>
      <c r="J267" s="699" t="s">
        <v>3709</v>
      </c>
      <c r="K267" s="688">
        <f t="shared" si="29"/>
        <v>2</v>
      </c>
      <c r="L267" s="310">
        <f>SUMIFS('Bilateral assistance, MAIN DATA'!M:M,'Bilateral assistance, MAIN DATA'!I:I,'Price List, Weapons &amp; Items'!A267)</f>
        <v>6000</v>
      </c>
      <c r="M267" s="46">
        <f>COUNTIFS('Bilateral assistance, MAIN DATA'!M:M,"undisclosed",'Bilateral assistance, MAIN DATA'!I:I,'Price List, Weapons &amp; Items'!A267)</f>
        <v>0</v>
      </c>
      <c r="N267" s="689">
        <f t="shared" si="30"/>
        <v>1601640</v>
      </c>
      <c r="O267" s="1">
        <f>IFERROR(IF(SEARCH(A267,_xlfn.ARRAYTOTEXT('Bilateral assistance, MAIN DATA'!I$1:I$1408))&gt;0,1,""),0)</f>
        <v>1</v>
      </c>
      <c r="P267" s="46">
        <f>IFERROR(IF(SEARCH(A267,_xlfn.ARRAYTOTEXT('Commercial assistance'!I$1:I$1400))&gt;0,1,""),0)</f>
        <v>0</v>
      </c>
    </row>
    <row r="268" spans="1:16" ht="15" customHeight="1">
      <c r="A268" s="424" t="s">
        <v>1927</v>
      </c>
      <c r="B268" s="684" t="s">
        <v>3243</v>
      </c>
      <c r="C268" s="685" t="s">
        <v>3707</v>
      </c>
      <c r="D268" s="686">
        <v>1</v>
      </c>
      <c r="E268" s="686">
        <f t="shared" si="27"/>
        <v>0</v>
      </c>
      <c r="F268" s="452">
        <v>100</v>
      </c>
      <c r="G268" s="687" t="str">
        <f t="shared" si="28"/>
        <v>USD</v>
      </c>
      <c r="H268" s="653" t="s">
        <v>3710</v>
      </c>
      <c r="I268" s="424" t="s">
        <v>3259</v>
      </c>
      <c r="J268" s="424" t="s">
        <v>3711</v>
      </c>
      <c r="K268" s="688">
        <f t="shared" si="29"/>
        <v>2</v>
      </c>
      <c r="L268" s="310">
        <f>SUMIFS('Bilateral assistance, MAIN DATA'!M:M,'Bilateral assistance, MAIN DATA'!I:I,'Price List, Weapons &amp; Items'!A268)</f>
        <v>30000</v>
      </c>
      <c r="M268" s="46">
        <f>COUNTIFS('Bilateral assistance, MAIN DATA'!M:M,"undisclosed",'Bilateral assistance, MAIN DATA'!I:I,'Price List, Weapons &amp; Items'!A268)</f>
        <v>0</v>
      </c>
      <c r="N268" s="689">
        <f t="shared" si="30"/>
        <v>3000000</v>
      </c>
      <c r="O268" s="1">
        <f>IFERROR(IF(SEARCH(A268,_xlfn.ARRAYTOTEXT('Bilateral assistance, MAIN DATA'!I$1:I$1408))&gt;0,1,""),0)</f>
        <v>1</v>
      </c>
      <c r="P268" s="46">
        <f>IFERROR(IF(SEARCH(A268,_xlfn.ARRAYTOTEXT('Commercial assistance'!I$1:I$1400))&gt;0,1,""),0)</f>
        <v>0</v>
      </c>
    </row>
    <row r="269" spans="1:16" ht="15" customHeight="1">
      <c r="A269" s="424" t="s">
        <v>3712</v>
      </c>
      <c r="B269" s="684" t="s">
        <v>3248</v>
      </c>
      <c r="C269" s="685" t="s">
        <v>3275</v>
      </c>
      <c r="D269" s="686">
        <v>0</v>
      </c>
      <c r="E269" s="686">
        <f t="shared" si="27"/>
        <v>0</v>
      </c>
      <c r="F269" s="452">
        <v>45</v>
      </c>
      <c r="G269" s="687" t="str">
        <f t="shared" si="28"/>
        <v>USD</v>
      </c>
      <c r="H269" s="653" t="s">
        <v>3713</v>
      </c>
      <c r="I269" s="424" t="s">
        <v>3270</v>
      </c>
      <c r="J269" s="424" t="s">
        <v>3714</v>
      </c>
      <c r="K269" s="688">
        <f t="shared" si="29"/>
        <v>2</v>
      </c>
      <c r="L269" s="310">
        <f>SUMIFS('Bilateral assistance, MAIN DATA'!M:M,'Bilateral assistance, MAIN DATA'!I:I,'Price List, Weapons &amp; Items'!A269)</f>
        <v>107500</v>
      </c>
      <c r="M269" s="46">
        <f>COUNTIFS('Bilateral assistance, MAIN DATA'!M:M,"undisclosed",'Bilateral assistance, MAIN DATA'!I:I,'Price List, Weapons &amp; Items'!A269)</f>
        <v>2</v>
      </c>
      <c r="N269" s="689">
        <f t="shared" si="30"/>
        <v>4837500</v>
      </c>
      <c r="O269" s="1">
        <f>IFERROR(IF(SEARCH(A269,_xlfn.ARRAYTOTEXT('Bilateral assistance, MAIN DATA'!I$1:I$1408))&gt;0,1,""),0)</f>
        <v>1</v>
      </c>
      <c r="P269" s="46">
        <f>IFERROR(IF(SEARCH(A269,_xlfn.ARRAYTOTEXT('Commercial assistance'!I$1:I$1400))&gt;0,1,""),0)</f>
        <v>0</v>
      </c>
    </row>
    <row r="270" spans="1:16" ht="15" customHeight="1">
      <c r="A270" s="691" t="s">
        <v>404</v>
      </c>
      <c r="B270" s="684" t="s">
        <v>729</v>
      </c>
      <c r="C270" s="685" t="s">
        <v>232</v>
      </c>
      <c r="D270" s="552">
        <v>0</v>
      </c>
      <c r="E270" s="686">
        <f t="shared" si="27"/>
        <v>0</v>
      </c>
      <c r="F270" s="452">
        <v>37.82</v>
      </c>
      <c r="G270" s="687" t="str">
        <f t="shared" si="28"/>
        <v>USD</v>
      </c>
      <c r="H270" s="653" t="s">
        <v>3715</v>
      </c>
      <c r="I270" s="424" t="s">
        <v>3266</v>
      </c>
      <c r="J270" s="424" t="s">
        <v>3716</v>
      </c>
      <c r="K270" s="688">
        <f t="shared" si="29"/>
        <v>2</v>
      </c>
      <c r="L270" s="310">
        <f>SUMIFS('Bilateral assistance, MAIN DATA'!M:M,'Bilateral assistance, MAIN DATA'!I:I,'Price List, Weapons &amp; Items'!A270)</f>
        <v>100000</v>
      </c>
      <c r="M270" s="46">
        <f>COUNTIFS('Bilateral assistance, MAIN DATA'!M:M,"undisclosed",'Bilateral assistance, MAIN DATA'!I:I,'Price List, Weapons &amp; Items'!A270)</f>
        <v>0</v>
      </c>
      <c r="N270" s="689">
        <f t="shared" si="30"/>
        <v>3782000</v>
      </c>
      <c r="O270" s="1">
        <f>IFERROR(IF(SEARCH(A270,_xlfn.ARRAYTOTEXT('Bilateral assistance, MAIN DATA'!I$1:I$1408))&gt;0,1,""),0)</f>
        <v>1</v>
      </c>
      <c r="P270" s="46">
        <f>IFERROR(IF(SEARCH(A270,_xlfn.ARRAYTOTEXT('Commercial assistance'!I$1:I$1400))&gt;0,1,""),0)</f>
        <v>0</v>
      </c>
    </row>
    <row r="271" spans="1:16" ht="15" customHeight="1">
      <c r="A271" s="424" t="s">
        <v>3717</v>
      </c>
      <c r="B271" s="684" t="s">
        <v>729</v>
      </c>
      <c r="C271" s="685" t="s">
        <v>232</v>
      </c>
      <c r="D271" s="686">
        <v>0</v>
      </c>
      <c r="E271" s="686">
        <f t="shared" si="27"/>
        <v>0</v>
      </c>
      <c r="F271" s="452">
        <v>22</v>
      </c>
      <c r="G271" s="687" t="str">
        <f t="shared" si="28"/>
        <v>USD</v>
      </c>
      <c r="H271" s="668" t="s">
        <v>3718</v>
      </c>
      <c r="I271" s="424" t="s">
        <v>3266</v>
      </c>
      <c r="J271" s="424" t="s">
        <v>3719</v>
      </c>
      <c r="K271" s="688">
        <f t="shared" si="29"/>
        <v>2</v>
      </c>
      <c r="L271" s="310">
        <f>SUMIFS('Bilateral assistance, MAIN DATA'!M:M,'Bilateral assistance, MAIN DATA'!I:I,'Price List, Weapons &amp; Items'!A271)</f>
        <v>125000</v>
      </c>
      <c r="M271" s="46">
        <f>COUNTIFS('Bilateral assistance, MAIN DATA'!M:M,"undisclosed",'Bilateral assistance, MAIN DATA'!I:I,'Price List, Weapons &amp; Items'!A271)</f>
        <v>0</v>
      </c>
      <c r="N271" s="689">
        <f t="shared" si="30"/>
        <v>2750000</v>
      </c>
      <c r="O271" s="1">
        <f>IFERROR(IF(SEARCH(A271,_xlfn.ARRAYTOTEXT('Bilateral assistance, MAIN DATA'!I$1:I$1408))&gt;0,1,""),0)</f>
        <v>1</v>
      </c>
      <c r="P271" s="46">
        <f>IFERROR(IF(SEARCH(A271,_xlfn.ARRAYTOTEXT('Commercial assistance'!I$1:I$1400))&gt;0,1,""),0)</f>
        <v>0</v>
      </c>
    </row>
    <row r="272" spans="1:16" ht="15" customHeight="1">
      <c r="A272" s="424" t="s">
        <v>3720</v>
      </c>
      <c r="B272" s="684" t="s">
        <v>729</v>
      </c>
      <c r="C272" s="685" t="s">
        <v>232</v>
      </c>
      <c r="D272" s="686">
        <v>0</v>
      </c>
      <c r="E272" s="686">
        <f t="shared" si="27"/>
        <v>0</v>
      </c>
      <c r="F272" s="452">
        <v>22</v>
      </c>
      <c r="G272" s="687" t="str">
        <f t="shared" si="28"/>
        <v>USD</v>
      </c>
      <c r="H272" s="668" t="s">
        <v>3718</v>
      </c>
      <c r="I272" s="424" t="s">
        <v>3266</v>
      </c>
      <c r="J272" s="424" t="s">
        <v>3719</v>
      </c>
      <c r="K272" s="688">
        <f t="shared" si="29"/>
        <v>2</v>
      </c>
      <c r="L272" s="310">
        <f>SUMIFS('Bilateral assistance, MAIN DATA'!M:M,'Bilateral assistance, MAIN DATA'!I:I,'Price List, Weapons &amp; Items'!A272)</f>
        <v>85000</v>
      </c>
      <c r="M272" s="46">
        <f>COUNTIFS('Bilateral assistance, MAIN DATA'!M:M,"undisclosed",'Bilateral assistance, MAIN DATA'!I:I,'Price List, Weapons &amp; Items'!A272)</f>
        <v>0</v>
      </c>
      <c r="N272" s="689">
        <f t="shared" si="30"/>
        <v>1870000</v>
      </c>
      <c r="O272" s="1">
        <f>IFERROR(IF(SEARCH(A272,_xlfn.ARRAYTOTEXT('Bilateral assistance, MAIN DATA'!I$1:I$1408))&gt;0,1,""),0)</f>
        <v>1</v>
      </c>
      <c r="P272" s="46">
        <f>IFERROR(IF(SEARCH(A272,_xlfn.ARRAYTOTEXT('Commercial assistance'!I$1:I$1400))&gt;0,1,""),0)</f>
        <v>0</v>
      </c>
    </row>
    <row r="273" spans="1:16" ht="15" customHeight="1">
      <c r="A273" s="424" t="s">
        <v>3721</v>
      </c>
      <c r="B273" s="684" t="s">
        <v>729</v>
      </c>
      <c r="C273" s="685" t="s">
        <v>232</v>
      </c>
      <c r="D273" s="686">
        <v>0</v>
      </c>
      <c r="E273" s="686">
        <f t="shared" si="27"/>
        <v>0</v>
      </c>
      <c r="F273" s="452">
        <v>22</v>
      </c>
      <c r="G273" s="687" t="str">
        <f t="shared" si="28"/>
        <v>USD</v>
      </c>
      <c r="H273" s="668" t="s">
        <v>3718</v>
      </c>
      <c r="I273" s="424" t="s">
        <v>3266</v>
      </c>
      <c r="J273" s="424" t="s">
        <v>3719</v>
      </c>
      <c r="K273" s="688">
        <f t="shared" si="29"/>
        <v>2</v>
      </c>
      <c r="L273" s="310">
        <f>SUMIFS('Bilateral assistance, MAIN DATA'!M:M,'Bilateral assistance, MAIN DATA'!I:I,'Price List, Weapons &amp; Items'!A273)</f>
        <v>135000</v>
      </c>
      <c r="M273" s="46">
        <f>COUNTIFS('Bilateral assistance, MAIN DATA'!M:M,"undisclosed",'Bilateral assistance, MAIN DATA'!I:I,'Price List, Weapons &amp; Items'!A273)</f>
        <v>1</v>
      </c>
      <c r="N273" s="689">
        <f t="shared" si="30"/>
        <v>2970000</v>
      </c>
      <c r="O273" s="1">
        <f>IFERROR(IF(SEARCH(A273,_xlfn.ARRAYTOTEXT('Bilateral assistance, MAIN DATA'!I$1:I$1408))&gt;0,1,""),0)</f>
        <v>1</v>
      </c>
      <c r="P273" s="46">
        <f>IFERROR(IF(SEARCH(A273,_xlfn.ARRAYTOTEXT('Commercial assistance'!I$1:I$1400))&gt;0,1,""),0)</f>
        <v>0</v>
      </c>
    </row>
    <row r="274" spans="1:16" ht="15" customHeight="1">
      <c r="A274" s="704" t="s">
        <v>1242</v>
      </c>
      <c r="B274" s="684" t="s">
        <v>729</v>
      </c>
      <c r="C274" s="685" t="s">
        <v>232</v>
      </c>
      <c r="D274" s="686">
        <v>0</v>
      </c>
      <c r="E274" s="686">
        <f t="shared" si="27"/>
        <v>0</v>
      </c>
      <c r="F274" s="452">
        <v>22</v>
      </c>
      <c r="G274" s="687" t="str">
        <f t="shared" si="28"/>
        <v>USD</v>
      </c>
      <c r="H274" s="668" t="s">
        <v>3718</v>
      </c>
      <c r="I274" s="424" t="s">
        <v>3266</v>
      </c>
      <c r="J274" s="424" t="s">
        <v>3719</v>
      </c>
      <c r="K274" s="688">
        <f t="shared" si="29"/>
        <v>2</v>
      </c>
      <c r="L274" s="310">
        <f>SUMIFS('Bilateral assistance, MAIN DATA'!M:M,'Bilateral assistance, MAIN DATA'!I:I,'Price List, Weapons &amp; Items'!A274)</f>
        <v>405000</v>
      </c>
      <c r="M274" s="46">
        <f>COUNTIFS('Bilateral assistance, MAIN DATA'!M:M,"undisclosed",'Bilateral assistance, MAIN DATA'!I:I,'Price List, Weapons &amp; Items'!A274)</f>
        <v>0</v>
      </c>
      <c r="N274" s="689">
        <f t="shared" si="30"/>
        <v>8910000</v>
      </c>
      <c r="O274" s="1">
        <f>IFERROR(IF(SEARCH(A274,_xlfn.ARRAYTOTEXT('Bilateral assistance, MAIN DATA'!I$1:I$1408))&gt;0,1,""),0)</f>
        <v>1</v>
      </c>
      <c r="P274" s="46">
        <f>IFERROR(IF(SEARCH(A274,_xlfn.ARRAYTOTEXT('Commercial assistance'!I$1:I$1400))&gt;0,1,""),0)</f>
        <v>0</v>
      </c>
    </row>
    <row r="275" spans="1:16" ht="15" customHeight="1">
      <c r="A275" s="707" t="s">
        <v>3722</v>
      </c>
      <c r="B275" s="684" t="s">
        <v>729</v>
      </c>
      <c r="C275" s="685" t="s">
        <v>232</v>
      </c>
      <c r="D275" s="686">
        <v>0</v>
      </c>
      <c r="E275" s="686">
        <f t="shared" si="27"/>
        <v>0</v>
      </c>
      <c r="F275" s="452">
        <v>22</v>
      </c>
      <c r="G275" s="687" t="str">
        <f t="shared" si="28"/>
        <v>USD</v>
      </c>
      <c r="H275" s="669" t="s">
        <v>3718</v>
      </c>
      <c r="I275" s="424" t="s">
        <v>3266</v>
      </c>
      <c r="J275" s="695" t="s">
        <v>3719</v>
      </c>
      <c r="K275" s="688">
        <f t="shared" si="29"/>
        <v>2</v>
      </c>
      <c r="L275" s="310">
        <f>SUMIFS('Bilateral assistance, MAIN DATA'!M:M,'Bilateral assistance, MAIN DATA'!I:I,'Price List, Weapons &amp; Items'!A275)</f>
        <v>390000</v>
      </c>
      <c r="M275" s="46">
        <f>COUNTIFS('Bilateral assistance, MAIN DATA'!M:M,"undisclosed",'Bilateral assistance, MAIN DATA'!I:I,'Price List, Weapons &amp; Items'!A275)</f>
        <v>0</v>
      </c>
      <c r="N275" s="689">
        <f t="shared" si="30"/>
        <v>8580000</v>
      </c>
      <c r="O275" s="1">
        <f>IFERROR(IF(SEARCH(A275,_xlfn.ARRAYTOTEXT('Bilateral assistance, MAIN DATA'!I$1:I$1408))&gt;0,1,""),0)</f>
        <v>1</v>
      </c>
      <c r="P275" s="46">
        <f>IFERROR(IF(SEARCH(A275,_xlfn.ARRAYTOTEXT('Commercial assistance'!I$1:I$1400))&gt;0,1,""),0)</f>
        <v>0</v>
      </c>
    </row>
    <row r="276" spans="1:16" ht="15" customHeight="1">
      <c r="A276" s="724" t="s">
        <v>3723</v>
      </c>
      <c r="B276" s="684" t="s">
        <v>729</v>
      </c>
      <c r="C276" s="685" t="s">
        <v>232</v>
      </c>
      <c r="D276" s="686">
        <v>0</v>
      </c>
      <c r="E276" s="686">
        <f t="shared" si="27"/>
        <v>0</v>
      </c>
      <c r="F276" s="452">
        <v>8.76</v>
      </c>
      <c r="G276" s="687" t="str">
        <f t="shared" si="28"/>
        <v>USD</v>
      </c>
      <c r="H276" s="670" t="s">
        <v>3724</v>
      </c>
      <c r="I276" s="424" t="s">
        <v>3266</v>
      </c>
      <c r="J276" s="722" t="s">
        <v>3725</v>
      </c>
      <c r="K276" s="688">
        <f t="shared" si="29"/>
        <v>2</v>
      </c>
      <c r="L276" s="310">
        <f>SUMIFS('Bilateral assistance, MAIN DATA'!M:M,'Bilateral assistance, MAIN DATA'!I:I,'Price List, Weapons &amp; Items'!A276)</f>
        <v>450000</v>
      </c>
      <c r="M276" s="46">
        <f>COUNTIFS('Bilateral assistance, MAIN DATA'!M:M,"undisclosed",'Bilateral assistance, MAIN DATA'!I:I,'Price List, Weapons &amp; Items'!A276)</f>
        <v>0</v>
      </c>
      <c r="N276" s="689">
        <f t="shared" si="30"/>
        <v>3942000</v>
      </c>
      <c r="O276" s="1">
        <f>IFERROR(IF(SEARCH(A276,_xlfn.ARRAYTOTEXT('Bilateral assistance, MAIN DATA'!I$1:I$1408))&gt;0,1,""),0)</f>
        <v>1</v>
      </c>
      <c r="P276" s="46">
        <f>IFERROR(IF(SEARCH(A276,_xlfn.ARRAYTOTEXT('Commercial assistance'!I$1:I$1400))&gt;0,1,""),0)</f>
        <v>0</v>
      </c>
    </row>
    <row r="277" spans="1:16" ht="15" customHeight="1">
      <c r="A277" s="725" t="s">
        <v>1254</v>
      </c>
      <c r="B277" s="684" t="s">
        <v>3243</v>
      </c>
      <c r="C277" s="685" t="s">
        <v>3244</v>
      </c>
      <c r="D277" s="686">
        <v>0</v>
      </c>
      <c r="E277" s="686">
        <f t="shared" si="27"/>
        <v>0</v>
      </c>
      <c r="F277" s="452">
        <v>5</v>
      </c>
      <c r="G277" s="687" t="str">
        <f t="shared" si="28"/>
        <v>USD</v>
      </c>
      <c r="H277" s="722" t="s">
        <v>3726</v>
      </c>
      <c r="I277" s="424" t="s">
        <v>3270</v>
      </c>
      <c r="J277" s="722" t="s">
        <v>3727</v>
      </c>
      <c r="K277" s="688">
        <f t="shared" si="29"/>
        <v>2</v>
      </c>
      <c r="L277" s="310">
        <f>SUMIFS('Bilateral assistance, MAIN DATA'!M:M,'Bilateral assistance, MAIN DATA'!I:I,'Price List, Weapons &amp; Items'!A277)</f>
        <v>22000000</v>
      </c>
      <c r="M277" s="46">
        <f>COUNTIFS('Bilateral assistance, MAIN DATA'!M:M,"undisclosed",'Bilateral assistance, MAIN DATA'!I:I,'Price List, Weapons &amp; Items'!A277)</f>
        <v>0</v>
      </c>
      <c r="N277" s="689">
        <f t="shared" si="30"/>
        <v>110000000</v>
      </c>
      <c r="O277" s="1">
        <f>IFERROR(IF(SEARCH(A277,_xlfn.ARRAYTOTEXT('Bilateral assistance, MAIN DATA'!I$1:I$1408))&gt;0,1,""),0)</f>
        <v>1</v>
      </c>
      <c r="P277" s="46">
        <f>IFERROR(IF(SEARCH(A277,_xlfn.ARRAYTOTEXT('Commercial assistance'!I$1:I$1400))&gt;0,1,""),0)</f>
        <v>0</v>
      </c>
    </row>
    <row r="278" spans="1:16" ht="15" customHeight="1">
      <c r="A278" s="724" t="s">
        <v>3728</v>
      </c>
      <c r="B278" s="684" t="s">
        <v>3243</v>
      </c>
      <c r="C278" s="685" t="s">
        <v>3244</v>
      </c>
      <c r="D278" s="686">
        <v>0</v>
      </c>
      <c r="E278" s="686">
        <f t="shared" si="27"/>
        <v>0</v>
      </c>
      <c r="F278" s="452">
        <v>5</v>
      </c>
      <c r="G278" s="687" t="str">
        <f t="shared" si="28"/>
        <v>USD</v>
      </c>
      <c r="H278" s="722" t="s">
        <v>3726</v>
      </c>
      <c r="I278" s="424" t="s">
        <v>3270</v>
      </c>
      <c r="J278" s="722" t="s">
        <v>3727</v>
      </c>
      <c r="K278" s="688">
        <f t="shared" si="29"/>
        <v>2</v>
      </c>
      <c r="L278" s="310">
        <f>SUMIFS('Bilateral assistance, MAIN DATA'!M:M,'Bilateral assistance, MAIN DATA'!I:I,'Price List, Weapons &amp; Items'!A278)</f>
        <v>20000000</v>
      </c>
      <c r="M278" s="46">
        <f>COUNTIFS('Bilateral assistance, MAIN DATA'!M:M,"undisclosed",'Bilateral assistance, MAIN DATA'!I:I,'Price List, Weapons &amp; Items'!A278)</f>
        <v>0</v>
      </c>
      <c r="N278" s="689">
        <f t="shared" si="30"/>
        <v>100000000</v>
      </c>
      <c r="O278" s="1">
        <f>IFERROR(IF(SEARCH(A278,_xlfn.ARRAYTOTEXT('Bilateral assistance, MAIN DATA'!I$1:I$1408))&gt;0,1,""),0)</f>
        <v>1</v>
      </c>
      <c r="P278" s="46">
        <f>IFERROR(IF(SEARCH(A278,_xlfn.ARRAYTOTEXT('Commercial assistance'!I$1:I$1400))&gt;0,1,""),0)</f>
        <v>0</v>
      </c>
    </row>
    <row r="279" spans="1:16" ht="15" customHeight="1">
      <c r="A279" s="726" t="s">
        <v>3729</v>
      </c>
      <c r="B279" s="684" t="s">
        <v>3243</v>
      </c>
      <c r="C279" s="685" t="s">
        <v>3244</v>
      </c>
      <c r="D279" s="686">
        <v>1</v>
      </c>
      <c r="E279" s="686">
        <f t="shared" si="27"/>
        <v>0</v>
      </c>
      <c r="F279" s="452">
        <v>0.95</v>
      </c>
      <c r="G279" s="687" t="str">
        <f t="shared" si="28"/>
        <v>USD</v>
      </c>
      <c r="H279" s="670" t="s">
        <v>3730</v>
      </c>
      <c r="I279" s="424" t="s">
        <v>3266</v>
      </c>
      <c r="J279" s="722" t="s">
        <v>3731</v>
      </c>
      <c r="K279" s="688">
        <f t="shared" si="29"/>
        <v>1</v>
      </c>
      <c r="L279" s="310">
        <f>SUMIFS('Bilateral assistance, MAIN DATA'!M:M,'Bilateral assistance, MAIN DATA'!I:I,'Price List, Weapons &amp; Items'!A279)</f>
        <v>1000000</v>
      </c>
      <c r="M279" s="46">
        <f>COUNTIFS('Bilateral assistance, MAIN DATA'!M:M,"undisclosed",'Bilateral assistance, MAIN DATA'!I:I,'Price List, Weapons &amp; Items'!A279)</f>
        <v>0</v>
      </c>
      <c r="N279" s="689">
        <f t="shared" si="30"/>
        <v>950000</v>
      </c>
      <c r="O279" s="1">
        <f>IFERROR(IF(SEARCH(A279,_xlfn.ARRAYTOTEXT('Bilateral assistance, MAIN DATA'!I$1:I$1408))&gt;0,1,""),0)</f>
        <v>1</v>
      </c>
      <c r="P279" s="46">
        <f>IFERROR(IF(SEARCH(A279,_xlfn.ARRAYTOTEXT('Commercial assistance'!I$1:I$1400))&gt;0,1,""),0)</f>
        <v>0</v>
      </c>
    </row>
    <row r="280" spans="1:16" ht="15" customHeight="1">
      <c r="A280" s="726" t="s">
        <v>3732</v>
      </c>
      <c r="B280" s="684" t="s">
        <v>3243</v>
      </c>
      <c r="C280" s="685" t="s">
        <v>3244</v>
      </c>
      <c r="D280" s="686">
        <v>0</v>
      </c>
      <c r="E280" s="686">
        <f t="shared" si="27"/>
        <v>0</v>
      </c>
      <c r="F280" s="452">
        <v>0.95</v>
      </c>
      <c r="G280" s="687" t="str">
        <f t="shared" si="28"/>
        <v>USD</v>
      </c>
      <c r="H280" s="670" t="s">
        <v>3730</v>
      </c>
      <c r="I280" s="424" t="s">
        <v>3266</v>
      </c>
      <c r="J280" s="512" t="s">
        <v>3731</v>
      </c>
      <c r="K280" s="688">
        <f t="shared" si="29"/>
        <v>1</v>
      </c>
      <c r="L280" s="310">
        <f>SUMIFS('Bilateral assistance, MAIN DATA'!M:M,'Bilateral assistance, MAIN DATA'!I:I,'Price List, Weapons &amp; Items'!A280)</f>
        <v>1000000</v>
      </c>
      <c r="M280" s="46">
        <f>COUNTIFS('Bilateral assistance, MAIN DATA'!M:M,"undisclosed",'Bilateral assistance, MAIN DATA'!I:I,'Price List, Weapons &amp; Items'!A280)</f>
        <v>0</v>
      </c>
      <c r="N280" s="689">
        <f t="shared" si="30"/>
        <v>950000</v>
      </c>
      <c r="O280" s="1">
        <f>IFERROR(IF(SEARCH(A280,_xlfn.ARRAYTOTEXT('Bilateral assistance, MAIN DATA'!I$1:I$1408))&gt;0,1,""),0)</f>
        <v>1</v>
      </c>
      <c r="P280" s="46">
        <f>IFERROR(IF(SEARCH(A280,_xlfn.ARRAYTOTEXT('Commercial assistance'!I$1:I$1400))&gt;0,1,""),0)</f>
        <v>0</v>
      </c>
    </row>
    <row r="281" spans="1:16" ht="15" customHeight="1">
      <c r="A281" s="724" t="s">
        <v>1326</v>
      </c>
      <c r="B281" s="684" t="s">
        <v>3243</v>
      </c>
      <c r="C281" s="685" t="s">
        <v>3244</v>
      </c>
      <c r="D281" s="686">
        <v>0</v>
      </c>
      <c r="E281" s="686">
        <f t="shared" si="27"/>
        <v>0</v>
      </c>
      <c r="F281" s="452">
        <v>0.57999999999999996</v>
      </c>
      <c r="G281" s="687" t="str">
        <f t="shared" si="28"/>
        <v>USD</v>
      </c>
      <c r="H281" s="674" t="s">
        <v>3733</v>
      </c>
      <c r="I281" s="424" t="s">
        <v>3266</v>
      </c>
      <c r="J281" s="722" t="s">
        <v>3734</v>
      </c>
      <c r="K281" s="688">
        <f t="shared" si="29"/>
        <v>2</v>
      </c>
      <c r="L281" s="310">
        <f>SUMIFS('Bilateral assistance, MAIN DATA'!M:M,'Bilateral assistance, MAIN DATA'!I:I,'Price List, Weapons &amp; Items'!A281)</f>
        <v>3200000</v>
      </c>
      <c r="M281" s="46">
        <f>COUNTIFS('Bilateral assistance, MAIN DATA'!M:M,"undisclosed",'Bilateral assistance, MAIN DATA'!I:I,'Price List, Weapons &amp; Items'!A281)</f>
        <v>0</v>
      </c>
      <c r="N281" s="689">
        <f t="shared" si="30"/>
        <v>1855999.9999999998</v>
      </c>
      <c r="O281" s="1">
        <f>IFERROR(IF(SEARCH(A281,_xlfn.ARRAYTOTEXT('Bilateral assistance, MAIN DATA'!I$1:I$1408))&gt;0,1,""),0)</f>
        <v>1</v>
      </c>
      <c r="P281" s="46">
        <f>IFERROR(IF(SEARCH(A281,_xlfn.ARRAYTOTEXT('Commercial assistance'!I$1:I$1400))&gt;0,1,""),0)</f>
        <v>0</v>
      </c>
    </row>
    <row r="282" spans="1:16" ht="15" customHeight="1">
      <c r="A282" s="726" t="s">
        <v>1256</v>
      </c>
      <c r="B282" s="684" t="s">
        <v>3235</v>
      </c>
      <c r="C282" s="685" t="s">
        <v>3707</v>
      </c>
      <c r="D282" s="552">
        <v>0</v>
      </c>
      <c r="E282" s="686">
        <f t="shared" si="27"/>
        <v>0</v>
      </c>
      <c r="F282" s="452">
        <v>266.94</v>
      </c>
      <c r="G282" s="687" t="str">
        <f t="shared" si="28"/>
        <v>USD</v>
      </c>
      <c r="H282" s="670" t="s">
        <v>3708</v>
      </c>
      <c r="I282" s="424" t="s">
        <v>3270</v>
      </c>
      <c r="J282" s="722" t="s">
        <v>3709</v>
      </c>
      <c r="K282" s="688">
        <f t="shared" si="29"/>
        <v>2</v>
      </c>
      <c r="L282" s="310">
        <f>SUMIFS('Bilateral assistance, MAIN DATA'!M:M,'Bilateral assistance, MAIN DATA'!I:I,'Price List, Weapons &amp; Items'!A282)</f>
        <v>4000</v>
      </c>
      <c r="M282" s="46">
        <f>COUNTIFS('Bilateral assistance, MAIN DATA'!M:M,"undisclosed",'Bilateral assistance, MAIN DATA'!I:I,'Price List, Weapons &amp; Items'!A282)</f>
        <v>0</v>
      </c>
      <c r="N282" s="689">
        <f t="shared" si="30"/>
        <v>1067760</v>
      </c>
      <c r="O282" s="1">
        <f>IFERROR(IF(SEARCH(A282,_xlfn.ARRAYTOTEXT('Bilateral assistance, MAIN DATA'!I$1:I$1408))&gt;0,1,""),0)</f>
        <v>1</v>
      </c>
      <c r="P282" s="46">
        <f>IFERROR(IF(SEARCH(A282,_xlfn.ARRAYTOTEXT('Commercial assistance'!I$1:I$1400))&gt;0,1,""),0)</f>
        <v>0</v>
      </c>
    </row>
    <row r="283" spans="1:16" ht="15" customHeight="1">
      <c r="A283" s="724" t="s">
        <v>1253</v>
      </c>
      <c r="B283" s="684" t="s">
        <v>3243</v>
      </c>
      <c r="C283" s="685" t="s">
        <v>3244</v>
      </c>
      <c r="D283" s="552">
        <v>0</v>
      </c>
      <c r="E283" s="552">
        <f t="shared" si="27"/>
        <v>0</v>
      </c>
      <c r="F283" s="452">
        <v>55</v>
      </c>
      <c r="G283" s="88" t="s">
        <v>314</v>
      </c>
      <c r="H283" s="674" t="s">
        <v>3735</v>
      </c>
      <c r="I283" s="424" t="s">
        <v>3262</v>
      </c>
      <c r="J283" s="722" t="s">
        <v>3736</v>
      </c>
      <c r="K283" s="688">
        <f t="shared" si="29"/>
        <v>2</v>
      </c>
      <c r="L283" s="310">
        <f>SUMIFS('Bilateral assistance, MAIN DATA'!M:M,'Bilateral assistance, MAIN DATA'!I:I,'Price List, Weapons &amp; Items'!A283)</f>
        <v>216000</v>
      </c>
      <c r="M283" s="46">
        <f>COUNTIFS('Bilateral assistance, MAIN DATA'!M:M,"undisclosed",'Bilateral assistance, MAIN DATA'!I:I,'Price List, Weapons &amp; Items'!A283)</f>
        <v>0</v>
      </c>
      <c r="N283" s="689">
        <f t="shared" si="30"/>
        <v>11880000</v>
      </c>
      <c r="O283" s="1">
        <f>IFERROR(IF(SEARCH(A283,_xlfn.ARRAYTOTEXT('Bilateral assistance, MAIN DATA'!I$1:I$1408))&gt;0,1,""),0)</f>
        <v>1</v>
      </c>
      <c r="P283" s="46">
        <f>IFERROR(IF(SEARCH(A283,_xlfn.ARRAYTOTEXT('Commercial assistance'!I$1:I$1400))&gt;0,1,""),0)</f>
        <v>0</v>
      </c>
    </row>
    <row r="284" spans="1:16" ht="15" customHeight="1">
      <c r="A284" s="724" t="s">
        <v>1235</v>
      </c>
      <c r="B284" s="684" t="s">
        <v>3239</v>
      </c>
      <c r="C284" s="685" t="s">
        <v>3340</v>
      </c>
      <c r="D284" s="552">
        <v>0</v>
      </c>
      <c r="E284" s="552">
        <f t="shared" si="27"/>
        <v>1</v>
      </c>
      <c r="F284" s="452">
        <v>500000</v>
      </c>
      <c r="G284" s="88" t="s">
        <v>314</v>
      </c>
      <c r="H284" s="839" t="s">
        <v>3737</v>
      </c>
      <c r="I284" s="692" t="s">
        <v>3262</v>
      </c>
      <c r="J284" s="722" t="s">
        <v>3738</v>
      </c>
      <c r="K284" s="688">
        <f t="shared" si="29"/>
        <v>2</v>
      </c>
      <c r="L284" s="310">
        <f>SUMIFS('Bilateral assistance, MAIN DATA'!M:M,'Bilateral assistance, MAIN DATA'!I:I,'Price List, Weapons &amp; Items'!A284)</f>
        <v>50</v>
      </c>
      <c r="M284" s="46">
        <f>COUNTIFS('Bilateral assistance, MAIN DATA'!M:M,"undisclosed",'Bilateral assistance, MAIN DATA'!I:I,'Price List, Weapons &amp; Items'!A284)</f>
        <v>0</v>
      </c>
      <c r="N284" s="689">
        <f t="shared" si="30"/>
        <v>25000000</v>
      </c>
      <c r="O284" s="1">
        <f>IFERROR(IF(SEARCH(A284,_xlfn.ARRAYTOTEXT('Bilateral assistance, MAIN DATA'!I$1:I$1408))&gt;0,1,""),0)</f>
        <v>1</v>
      </c>
      <c r="P284" s="46">
        <f>IFERROR(IF(SEARCH(A284,_xlfn.ARRAYTOTEXT('Commercial assistance'!I$1:I$1400))&gt;0,1,""),0)</f>
        <v>0</v>
      </c>
    </row>
    <row r="285" spans="1:16" ht="15" customHeight="1">
      <c r="A285" s="724" t="s">
        <v>1265</v>
      </c>
      <c r="B285" s="684" t="s">
        <v>729</v>
      </c>
      <c r="C285" s="685" t="s">
        <v>3340</v>
      </c>
      <c r="D285" s="552">
        <v>0</v>
      </c>
      <c r="E285" s="552">
        <f t="shared" si="27"/>
        <v>1</v>
      </c>
      <c r="F285" s="452">
        <v>94550</v>
      </c>
      <c r="G285" s="88" t="s">
        <v>314</v>
      </c>
      <c r="H285" s="674" t="s">
        <v>3739</v>
      </c>
      <c r="I285" s="692" t="s">
        <v>3266</v>
      </c>
      <c r="J285" s="722" t="s">
        <v>3740</v>
      </c>
      <c r="K285" s="688">
        <f t="shared" si="29"/>
        <v>2</v>
      </c>
      <c r="L285" s="310">
        <f>SUMIFS('Bilateral assistance, MAIN DATA'!M:M,'Bilateral assistance, MAIN DATA'!I:I,'Price List, Weapons &amp; Items'!A285)</f>
        <v>12</v>
      </c>
      <c r="M285" s="46">
        <f>COUNTIFS('Bilateral assistance, MAIN DATA'!M:M,"undisclosed",'Bilateral assistance, MAIN DATA'!I:I,'Price List, Weapons &amp; Items'!A285)</f>
        <v>0</v>
      </c>
      <c r="N285" s="689">
        <f t="shared" si="30"/>
        <v>1134600</v>
      </c>
      <c r="O285" s="1">
        <f>IFERROR(IF(SEARCH(A285,_xlfn.ARRAYTOTEXT('Bilateral assistance, MAIN DATA'!I$1:I$1408))&gt;0,1,""),0)</f>
        <v>1</v>
      </c>
      <c r="P285" s="46">
        <f>IFERROR(IF(SEARCH(A285,_xlfn.ARRAYTOTEXT('Commercial assistance'!I$1:I$1400))&gt;0,1,""),0)</f>
        <v>0</v>
      </c>
    </row>
    <row r="286" spans="1:16" ht="15" customHeight="1">
      <c r="A286" s="724" t="s">
        <v>1854</v>
      </c>
      <c r="B286" s="684" t="s">
        <v>3300</v>
      </c>
      <c r="C286" s="685" t="s">
        <v>3368</v>
      </c>
      <c r="D286" s="552">
        <v>0</v>
      </c>
      <c r="E286" s="552">
        <f t="shared" si="27"/>
        <v>0</v>
      </c>
      <c r="F286" s="452">
        <v>93090</v>
      </c>
      <c r="G286" s="88" t="s">
        <v>314</v>
      </c>
      <c r="H286" s="673" t="s">
        <v>3322</v>
      </c>
      <c r="I286" s="424" t="s">
        <v>3308</v>
      </c>
      <c r="J286" s="722" t="s">
        <v>3741</v>
      </c>
      <c r="K286" s="688">
        <f t="shared" si="29"/>
        <v>2</v>
      </c>
      <c r="L286" s="310">
        <f>SUMIFS('Bilateral assistance, MAIN DATA'!M:M,'Bilateral assistance, MAIN DATA'!I:I,'Price List, Weapons &amp; Items'!A286)</f>
        <v>160</v>
      </c>
      <c r="M286" s="46">
        <f>COUNTIFS('Bilateral assistance, MAIN DATA'!M:M,"undisclosed",'Bilateral assistance, MAIN DATA'!I:I,'Price List, Weapons &amp; Items'!A286)</f>
        <v>0</v>
      </c>
      <c r="N286" s="689">
        <f t="shared" si="30"/>
        <v>14894400</v>
      </c>
      <c r="O286" s="1">
        <f>IFERROR(IF(SEARCH(A286,_xlfn.ARRAYTOTEXT('Bilateral assistance, MAIN DATA'!I$1:I$1408))&gt;0,1,""),0)</f>
        <v>1</v>
      </c>
      <c r="P286" s="46">
        <f>IFERROR(IF(SEARCH(A286,_xlfn.ARRAYTOTEXT('Commercial assistance'!I$1:I$1400))&gt;0,1,""),0)</f>
        <v>0</v>
      </c>
    </row>
    <row r="287" spans="1:16" ht="15" customHeight="1">
      <c r="A287" s="512" t="s">
        <v>410</v>
      </c>
      <c r="B287" s="684" t="s">
        <v>729</v>
      </c>
      <c r="C287" s="685" t="s">
        <v>232</v>
      </c>
      <c r="D287" s="686">
        <v>0</v>
      </c>
      <c r="E287" s="552">
        <f t="shared" si="27"/>
        <v>0</v>
      </c>
      <c r="F287" s="452">
        <v>2320</v>
      </c>
      <c r="G287" s="687" t="str">
        <f>IF(F287&lt;&gt;".","USD",".")</f>
        <v>USD</v>
      </c>
      <c r="H287" s="653" t="s">
        <v>3640</v>
      </c>
      <c r="I287" s="424" t="s">
        <v>3259</v>
      </c>
      <c r="J287" s="703" t="s">
        <v>3742</v>
      </c>
      <c r="K287" s="688">
        <f t="shared" si="29"/>
        <v>1</v>
      </c>
      <c r="L287" s="310">
        <f>SUMIFS('Bilateral assistance, MAIN DATA'!M:M,'Bilateral assistance, MAIN DATA'!I:I,'Price List, Weapons &amp; Items'!A287)</f>
        <v>353</v>
      </c>
      <c r="M287" s="46">
        <f>COUNTIFS('Bilateral assistance, MAIN DATA'!M:M,"undisclosed",'Bilateral assistance, MAIN DATA'!I:I,'Price List, Weapons &amp; Items'!A287)</f>
        <v>0</v>
      </c>
      <c r="N287" s="689">
        <f t="shared" si="30"/>
        <v>818960</v>
      </c>
      <c r="O287" s="1">
        <f>IFERROR(IF(SEARCH(A287,_xlfn.ARRAYTOTEXT('Bilateral assistance, MAIN DATA'!I$1:I$1408))&gt;0,1,""),0)</f>
        <v>1</v>
      </c>
      <c r="P287" s="46">
        <f>IFERROR(IF(SEARCH(A287,_xlfn.ARRAYTOTEXT('Commercial assistance'!I$1:I$1400))&gt;0,1,""),0)</f>
        <v>0</v>
      </c>
    </row>
    <row r="288" spans="1:16" ht="15" customHeight="1">
      <c r="A288" s="724" t="s">
        <v>2355</v>
      </c>
      <c r="B288" s="684" t="s">
        <v>3239</v>
      </c>
      <c r="C288" s="1" t="s">
        <v>3340</v>
      </c>
      <c r="D288" s="552">
        <v>0</v>
      </c>
      <c r="E288" s="552">
        <f t="shared" si="27"/>
        <v>1</v>
      </c>
      <c r="F288" s="452">
        <v>335470</v>
      </c>
      <c r="G288" s="88" t="s">
        <v>314</v>
      </c>
      <c r="H288" s="657" t="s">
        <v>3743</v>
      </c>
      <c r="I288" s="692" t="s">
        <v>3744</v>
      </c>
      <c r="J288" s="722" t="s">
        <v>3745</v>
      </c>
      <c r="K288" s="688">
        <f t="shared" si="29"/>
        <v>2</v>
      </c>
      <c r="L288" s="310">
        <f>SUMIFS('Bilateral assistance, MAIN DATA'!M:M,'Bilateral assistance, MAIN DATA'!I:I,'Price List, Weapons &amp; Items'!A288)</f>
        <v>50</v>
      </c>
      <c r="M288" s="46">
        <f>COUNTIFS('Bilateral assistance, MAIN DATA'!M:M,"undisclosed",'Bilateral assistance, MAIN DATA'!I:I,'Price List, Weapons &amp; Items'!A288)</f>
        <v>0</v>
      </c>
      <c r="N288" s="689">
        <f t="shared" si="30"/>
        <v>16773500</v>
      </c>
      <c r="O288" s="1">
        <f>IFERROR(IF(SEARCH(A288,_xlfn.ARRAYTOTEXT('Bilateral assistance, MAIN DATA'!I$1:I$1408))&gt;0,1,""),0)</f>
        <v>1</v>
      </c>
      <c r="P288" s="46">
        <f>IFERROR(IF(SEARCH(A288,_xlfn.ARRAYTOTEXT('Commercial assistance'!I$1:I$1400))&gt;0,1,""),0)</f>
        <v>0</v>
      </c>
    </row>
    <row r="289" spans="1:16" ht="15" customHeight="1">
      <c r="A289" s="512" t="s">
        <v>2687</v>
      </c>
      <c r="B289" s="684" t="s">
        <v>3239</v>
      </c>
      <c r="C289" s="685" t="s">
        <v>2687</v>
      </c>
      <c r="D289" s="552">
        <v>0</v>
      </c>
      <c r="E289" s="552">
        <f t="shared" si="27"/>
        <v>0</v>
      </c>
      <c r="F289" s="452">
        <v>1272482.2760025531</v>
      </c>
      <c r="G289" s="687" t="str">
        <f>IF(F289&lt;&gt;".","USD",".")</f>
        <v>USD</v>
      </c>
      <c r="H289" s="840" t="s">
        <v>3253</v>
      </c>
      <c r="I289" s="424" t="s">
        <v>3254</v>
      </c>
      <c r="J289" s="722" t="s">
        <v>3543</v>
      </c>
      <c r="K289" s="688">
        <f t="shared" si="29"/>
        <v>2</v>
      </c>
      <c r="L289" s="310">
        <f>SUMIFS('Bilateral assistance, MAIN DATA'!M:M,'Bilateral assistance, MAIN DATA'!I:I,'Price List, Weapons &amp; Items'!A289)</f>
        <v>20</v>
      </c>
      <c r="M289" s="46">
        <f>COUNTIFS('Bilateral assistance, MAIN DATA'!M:M,"undisclosed",'Bilateral assistance, MAIN DATA'!I:I,'Price List, Weapons &amp; Items'!A289)</f>
        <v>0</v>
      </c>
      <c r="N289" s="689">
        <f t="shared" si="30"/>
        <v>25449645.520051062</v>
      </c>
      <c r="O289" s="1">
        <f>IFERROR(IF(SEARCH(A289,_xlfn.ARRAYTOTEXT('Bilateral assistance, MAIN DATA'!I$1:I$1408))&gt;0,1,""),0)</f>
        <v>1</v>
      </c>
      <c r="P289" s="46">
        <f>IFERROR(IF(SEARCH(A289,_xlfn.ARRAYTOTEXT('Commercial assistance'!I$1:I$1400))&gt;0,1,""),0)</f>
        <v>0</v>
      </c>
    </row>
    <row r="290" spans="1:16" ht="15" customHeight="1">
      <c r="A290" s="724" t="s">
        <v>2688</v>
      </c>
      <c r="B290" s="684" t="s">
        <v>3235</v>
      </c>
      <c r="C290" s="685" t="s">
        <v>3698</v>
      </c>
      <c r="D290" s="686">
        <v>0</v>
      </c>
      <c r="E290" s="552">
        <f t="shared" ref="E290:E321" si="31">IF(OR(C290="Armoured Personnel Carrier (APC)",C290="Armoured Recovery Vehicle (ARV)",C290="Armoured Utility Vehicle (AUV)",C290="152mm howitzer ammunition",C290="155mm howitzer ammunition",C290="300mm MLRS ammunition",C290="155mm howitzer",C290="227mm MLRS ammunition",C290="Infantry fighting vehicle (IFV)",C290="152mm howitzer",C290="227mm MLRS",C290="Main Battle Tank (MBT)",C290="Protected Patrol Vehicle (PPV)",C290="127mm MLRS",C290="122mm MLRS",C290="122mm MLRS ammunition",C290="122mm MLRS",C290="127mm MLRS",C290="127mm MLRS ammunition")=TRUE,1,0)</f>
        <v>0</v>
      </c>
      <c r="F290" s="452">
        <v>400</v>
      </c>
      <c r="G290" s="687" t="str">
        <f>IF(F290&lt;&gt;".","USD",".")</f>
        <v>USD</v>
      </c>
      <c r="H290" s="841" t="s">
        <v>3699</v>
      </c>
      <c r="I290" s="424" t="s">
        <v>3262</v>
      </c>
      <c r="J290" s="722" t="s">
        <v>3700</v>
      </c>
      <c r="K290" s="688">
        <f t="shared" si="29"/>
        <v>2</v>
      </c>
      <c r="L290" s="310">
        <f>SUMIFS('Bilateral assistance, MAIN DATA'!M:M,'Bilateral assistance, MAIN DATA'!I:I,'Price List, Weapons &amp; Items'!A290)</f>
        <v>108000</v>
      </c>
      <c r="M290" s="46">
        <f>COUNTIFS('Bilateral assistance, MAIN DATA'!M:M,"undisclosed",'Bilateral assistance, MAIN DATA'!I:I,'Price List, Weapons &amp; Items'!A290)</f>
        <v>0</v>
      </c>
      <c r="N290" s="689">
        <f t="shared" si="30"/>
        <v>43200000</v>
      </c>
      <c r="O290" s="1">
        <f>IFERROR(IF(SEARCH(A290,_xlfn.ARRAYTOTEXT('Bilateral assistance, MAIN DATA'!I$1:I$1408))&gt;0,1,""),0)</f>
        <v>1</v>
      </c>
      <c r="P290" s="46">
        <f>IFERROR(IF(SEARCH(A290,_xlfn.ARRAYTOTEXT('Commercial assistance'!I$1:I$1400))&gt;0,1,""),0)</f>
        <v>0</v>
      </c>
    </row>
    <row r="291" spans="1:16" ht="15" customHeight="1">
      <c r="A291" s="727" t="s">
        <v>2689</v>
      </c>
      <c r="B291" s="684" t="s">
        <v>3746</v>
      </c>
      <c r="C291" s="685" t="s">
        <v>232</v>
      </c>
      <c r="D291" s="552">
        <v>0</v>
      </c>
      <c r="E291" s="552">
        <f t="shared" si="31"/>
        <v>0</v>
      </c>
      <c r="F291" s="452">
        <v>3200000</v>
      </c>
      <c r="G291" s="88" t="s">
        <v>314</v>
      </c>
      <c r="H291" s="674" t="s">
        <v>3747</v>
      </c>
      <c r="I291" s="692" t="s">
        <v>232</v>
      </c>
      <c r="J291" s="728" t="s">
        <v>3748</v>
      </c>
      <c r="K291" s="688">
        <f t="shared" si="29"/>
        <v>2</v>
      </c>
      <c r="L291" s="310">
        <f>SUMIFS('Bilateral assistance, MAIN DATA'!M:M,'Bilateral assistance, MAIN DATA'!I:I,'Price List, Weapons &amp; Items'!A291)</f>
        <v>15</v>
      </c>
      <c r="M291" s="46">
        <f>COUNTIFS('Bilateral assistance, MAIN DATA'!M:M,"undisclosed",'Bilateral assistance, MAIN DATA'!I:I,'Price List, Weapons &amp; Items'!A291)</f>
        <v>0</v>
      </c>
      <c r="N291" s="689">
        <f t="shared" si="30"/>
        <v>48000000</v>
      </c>
      <c r="O291" s="1">
        <f>IFERROR(IF(SEARCH(A291,_xlfn.ARRAYTOTEXT('Bilateral assistance, MAIN DATA'!I$1:I$1408))&gt;0,1,""),0)</f>
        <v>1</v>
      </c>
      <c r="P291" s="46">
        <f>IFERROR(IF(SEARCH(A291,_xlfn.ARRAYTOTEXT('Commercial assistance'!I$1:I$1400))&gt;0,1,""),0)</f>
        <v>0</v>
      </c>
    </row>
    <row r="292" spans="1:16" ht="15" customHeight="1">
      <c r="A292" s="727" t="s">
        <v>2690</v>
      </c>
      <c r="B292" s="684" t="s">
        <v>3749</v>
      </c>
      <c r="C292" s="685" t="s">
        <v>232</v>
      </c>
      <c r="D292" s="552">
        <v>0</v>
      </c>
      <c r="E292" s="552">
        <f t="shared" si="31"/>
        <v>0</v>
      </c>
      <c r="F292" s="452">
        <v>405530</v>
      </c>
      <c r="G292" s="88" t="s">
        <v>314</v>
      </c>
      <c r="H292" s="674" t="s">
        <v>3750</v>
      </c>
      <c r="I292" s="692" t="s">
        <v>3744</v>
      </c>
      <c r="J292" s="722" t="s">
        <v>3751</v>
      </c>
      <c r="K292" s="688">
        <f t="shared" si="29"/>
        <v>2</v>
      </c>
      <c r="L292" s="310">
        <f>SUMIFS('Bilateral assistance, MAIN DATA'!M:M,'Bilateral assistance, MAIN DATA'!I:I,'Price List, Weapons &amp; Items'!A292)</f>
        <v>240</v>
      </c>
      <c r="M292" s="46">
        <f>COUNTIFS('Bilateral assistance, MAIN DATA'!M:M,"undisclosed",'Bilateral assistance, MAIN DATA'!I:I,'Price List, Weapons &amp; Items'!A292)</f>
        <v>0</v>
      </c>
      <c r="N292" s="689">
        <f t="shared" si="30"/>
        <v>97327200</v>
      </c>
      <c r="O292" s="1">
        <f>IFERROR(IF(SEARCH(A292,_xlfn.ARRAYTOTEXT('Bilateral assistance, MAIN DATA'!I$1:I$1408))&gt;0,1,""),0)</f>
        <v>1</v>
      </c>
      <c r="P292" s="46">
        <f>IFERROR(IF(SEARCH(A292,_xlfn.ARRAYTOTEXT('Commercial assistance'!I$1:I$1400))&gt;0,1,""),0)</f>
        <v>0</v>
      </c>
    </row>
    <row r="293" spans="1:16" ht="15" customHeight="1">
      <c r="A293" s="727" t="s">
        <v>3752</v>
      </c>
      <c r="B293" s="684" t="s">
        <v>3300</v>
      </c>
      <c r="C293" s="685" t="s">
        <v>3418</v>
      </c>
      <c r="D293" s="686">
        <v>0</v>
      </c>
      <c r="E293" s="552">
        <f t="shared" si="31"/>
        <v>0</v>
      </c>
      <c r="F293" s="452">
        <v>93647</v>
      </c>
      <c r="G293" s="687" t="str">
        <f t="shared" ref="G293:G299" si="32">IF(F293&lt;&gt;".","USD",".")</f>
        <v>USD</v>
      </c>
      <c r="H293" s="670" t="s">
        <v>3322</v>
      </c>
      <c r="I293" s="424" t="s">
        <v>3262</v>
      </c>
      <c r="J293" s="545" t="s">
        <v>3753</v>
      </c>
      <c r="K293" s="688">
        <f t="shared" si="29"/>
        <v>2</v>
      </c>
      <c r="L293" s="310">
        <f>SUMIFS('Bilateral assistance, MAIN DATA'!M:M,'Bilateral assistance, MAIN DATA'!I:I,'Price List, Weapons &amp; Items'!A293)</f>
        <v>1500</v>
      </c>
      <c r="M293" s="46">
        <f>COUNTIFS('Bilateral assistance, MAIN DATA'!M:M,"undisclosed",'Bilateral assistance, MAIN DATA'!I:I,'Price List, Weapons &amp; Items'!A293)</f>
        <v>0</v>
      </c>
      <c r="N293" s="689">
        <f t="shared" si="30"/>
        <v>140470500</v>
      </c>
      <c r="O293" s="1">
        <f>IFERROR(IF(SEARCH(A293,_xlfn.ARRAYTOTEXT('Bilateral assistance, MAIN DATA'!I$1:I$1408))&gt;0,1,""),0)</f>
        <v>1</v>
      </c>
      <c r="P293" s="46">
        <f>IFERROR(IF(SEARCH(A293,_xlfn.ARRAYTOTEXT('Commercial assistance'!I$1:I$1400))&gt;0,1,""),0)</f>
        <v>0</v>
      </c>
    </row>
    <row r="294" spans="1:16" ht="15" customHeight="1">
      <c r="A294" s="727" t="s">
        <v>2694</v>
      </c>
      <c r="B294" s="684" t="s">
        <v>3284</v>
      </c>
      <c r="C294" s="685" t="s">
        <v>3364</v>
      </c>
      <c r="D294" s="686">
        <v>0</v>
      </c>
      <c r="E294" s="552">
        <f t="shared" si="31"/>
        <v>0</v>
      </c>
      <c r="F294" s="452">
        <v>246216</v>
      </c>
      <c r="G294" s="687" t="str">
        <f t="shared" si="32"/>
        <v>USD</v>
      </c>
      <c r="H294" s="670" t="s">
        <v>3322</v>
      </c>
      <c r="I294" s="424" t="s">
        <v>3308</v>
      </c>
      <c r="J294" s="545" t="s">
        <v>3754</v>
      </c>
      <c r="K294" s="688">
        <f t="shared" si="29"/>
        <v>2</v>
      </c>
      <c r="L294" s="310">
        <f>SUMIFS('Bilateral assistance, MAIN DATA'!M:M,'Bilateral assistance, MAIN DATA'!I:I,'Price List, Weapons &amp; Items'!A294)</f>
        <v>1000</v>
      </c>
      <c r="M294" s="46">
        <f>COUNTIFS('Bilateral assistance, MAIN DATA'!M:M,"undisclosed",'Bilateral assistance, MAIN DATA'!I:I,'Price List, Weapons &amp; Items'!A294)</f>
        <v>0</v>
      </c>
      <c r="N294" s="689">
        <f t="shared" si="30"/>
        <v>246216000</v>
      </c>
      <c r="O294" s="1">
        <f>IFERROR(IF(SEARCH(A294,_xlfn.ARRAYTOTEXT('Bilateral assistance, MAIN DATA'!I$1:I$1408))&gt;0,1,""),0)</f>
        <v>1</v>
      </c>
      <c r="P294" s="46">
        <f>IFERROR(IF(SEARCH(A294,_xlfn.ARRAYTOTEXT('Commercial assistance'!I$1:I$1400))&gt;0,1,""),0)</f>
        <v>0</v>
      </c>
    </row>
    <row r="295" spans="1:16" ht="15" customHeight="1">
      <c r="A295" s="727" t="s">
        <v>2695</v>
      </c>
      <c r="B295" s="684" t="s">
        <v>3300</v>
      </c>
      <c r="C295" s="685" t="s">
        <v>3418</v>
      </c>
      <c r="D295" s="686">
        <v>0</v>
      </c>
      <c r="E295" s="552">
        <f t="shared" si="31"/>
        <v>0</v>
      </c>
      <c r="F295" s="452">
        <v>78000</v>
      </c>
      <c r="G295" s="687" t="str">
        <f t="shared" si="32"/>
        <v>USD</v>
      </c>
      <c r="H295" s="670" t="s">
        <v>3609</v>
      </c>
      <c r="I295" s="424" t="s">
        <v>3262</v>
      </c>
      <c r="J295" s="722" t="s">
        <v>3755</v>
      </c>
      <c r="K295" s="688">
        <f t="shared" si="29"/>
        <v>2</v>
      </c>
      <c r="L295" s="310">
        <f>SUMIFS('Bilateral assistance, MAIN DATA'!M:M,'Bilateral assistance, MAIN DATA'!I:I,'Price List, Weapons &amp; Items'!A295)</f>
        <v>2000</v>
      </c>
      <c r="M295" s="46">
        <f>COUNTIFS('Bilateral assistance, MAIN DATA'!M:M,"undisclosed",'Bilateral assistance, MAIN DATA'!I:I,'Price List, Weapons &amp; Items'!A295)</f>
        <v>0</v>
      </c>
      <c r="N295" s="689">
        <f t="shared" si="30"/>
        <v>156000000</v>
      </c>
      <c r="O295" s="1">
        <f>IFERROR(IF(SEARCH(A295,_xlfn.ARRAYTOTEXT('Bilateral assistance, MAIN DATA'!I$1:I$1408))&gt;0,1,""),0)</f>
        <v>1</v>
      </c>
      <c r="P295" s="46">
        <f>IFERROR(IF(SEARCH(A295,_xlfn.ARRAYTOTEXT('Commercial assistance'!I$1:I$1400))&gt;0,1,""),0)</f>
        <v>0</v>
      </c>
    </row>
    <row r="296" spans="1:16" ht="15" customHeight="1">
      <c r="A296" s="725" t="s">
        <v>1202</v>
      </c>
      <c r="B296" s="684" t="s">
        <v>729</v>
      </c>
      <c r="C296" s="685" t="s">
        <v>232</v>
      </c>
      <c r="D296" s="686">
        <v>0</v>
      </c>
      <c r="E296" s="552">
        <f t="shared" si="31"/>
        <v>0</v>
      </c>
      <c r="F296" s="452">
        <v>350000</v>
      </c>
      <c r="G296" s="687" t="str">
        <f t="shared" si="32"/>
        <v>USD</v>
      </c>
      <c r="H296" s="670" t="s">
        <v>3582</v>
      </c>
      <c r="I296" s="424" t="s">
        <v>3259</v>
      </c>
      <c r="J296" s="729" t="s">
        <v>3583</v>
      </c>
      <c r="K296" s="688">
        <f t="shared" si="29"/>
        <v>2</v>
      </c>
      <c r="L296" s="310">
        <f>SUMIFS('Bilateral assistance, MAIN DATA'!M:M,'Bilateral assistance, MAIN DATA'!I:I,'Price List, Weapons &amp; Items'!A296)</f>
        <v>90</v>
      </c>
      <c r="M296" s="46">
        <f>COUNTIFS('Bilateral assistance, MAIN DATA'!M:M,"undisclosed",'Bilateral assistance, MAIN DATA'!I:I,'Price List, Weapons &amp; Items'!A296)</f>
        <v>0</v>
      </c>
      <c r="N296" s="689">
        <f t="shared" si="30"/>
        <v>31500000</v>
      </c>
      <c r="O296" s="1">
        <f>IFERROR(IF(SEARCH(A296,_xlfn.ARRAYTOTEXT('Bilateral assistance, MAIN DATA'!I$1:I$1408))&gt;0,1,""),0)</f>
        <v>1</v>
      </c>
      <c r="P296" s="46">
        <f>IFERROR(IF(SEARCH(A296,_xlfn.ARRAYTOTEXT('Commercial assistance'!I$1:I$1400))&gt;0,1,""),0)</f>
        <v>0</v>
      </c>
    </row>
    <row r="297" spans="1:16" ht="15" customHeight="1">
      <c r="A297" s="524" t="s">
        <v>1214</v>
      </c>
      <c r="B297" s="684" t="s">
        <v>729</v>
      </c>
      <c r="C297" s="685" t="s">
        <v>232</v>
      </c>
      <c r="D297" s="686">
        <v>0</v>
      </c>
      <c r="E297" s="552">
        <f t="shared" si="31"/>
        <v>0</v>
      </c>
      <c r="F297" s="452">
        <v>350000</v>
      </c>
      <c r="G297" s="687" t="str">
        <f t="shared" si="32"/>
        <v>USD</v>
      </c>
      <c r="H297" s="670" t="s">
        <v>3582</v>
      </c>
      <c r="I297" s="424" t="s">
        <v>3259</v>
      </c>
      <c r="J297" s="729" t="s">
        <v>3583</v>
      </c>
      <c r="K297" s="688">
        <f t="shared" si="29"/>
        <v>2</v>
      </c>
      <c r="L297" s="310">
        <f>SUMIFS('Bilateral assistance, MAIN DATA'!M:M,'Bilateral assistance, MAIN DATA'!I:I,'Price List, Weapons &amp; Items'!A297)</f>
        <v>35</v>
      </c>
      <c r="M297" s="46">
        <f>COUNTIFS('Bilateral assistance, MAIN DATA'!M:M,"undisclosed",'Bilateral assistance, MAIN DATA'!I:I,'Price List, Weapons &amp; Items'!A297)</f>
        <v>0</v>
      </c>
      <c r="N297" s="689">
        <f t="shared" si="30"/>
        <v>12250000</v>
      </c>
      <c r="O297" s="1">
        <f>IFERROR(IF(SEARCH(A297,_xlfn.ARRAYTOTEXT('Bilateral assistance, MAIN DATA'!I$1:I$1408))&gt;0,1,""),0)</f>
        <v>1</v>
      </c>
      <c r="P297" s="46">
        <f>IFERROR(IF(SEARCH(A297,_xlfn.ARRAYTOTEXT('Commercial assistance'!I$1:I$1400))&gt;0,1,""),0)</f>
        <v>0</v>
      </c>
    </row>
    <row r="298" spans="1:16" ht="15" customHeight="1">
      <c r="A298" s="512" t="s">
        <v>1035</v>
      </c>
      <c r="B298" s="684" t="s">
        <v>729</v>
      </c>
      <c r="C298" s="685" t="s">
        <v>232</v>
      </c>
      <c r="D298" s="686">
        <v>0</v>
      </c>
      <c r="E298" s="552">
        <f t="shared" si="31"/>
        <v>0</v>
      </c>
      <c r="F298" s="452">
        <v>350000</v>
      </c>
      <c r="G298" s="687" t="str">
        <f t="shared" si="32"/>
        <v>USD</v>
      </c>
      <c r="H298" s="670" t="s">
        <v>3582</v>
      </c>
      <c r="I298" s="424" t="s">
        <v>3259</v>
      </c>
      <c r="J298" s="729" t="s">
        <v>3583</v>
      </c>
      <c r="K298" s="688">
        <f t="shared" si="29"/>
        <v>2</v>
      </c>
      <c r="L298" s="310">
        <f>SUMIFS('Bilateral assistance, MAIN DATA'!M:M,'Bilateral assistance, MAIN DATA'!I:I,'Price List, Weapons &amp; Items'!A298)</f>
        <v>248</v>
      </c>
      <c r="M298" s="46">
        <f>COUNTIFS('Bilateral assistance, MAIN DATA'!M:M,"undisclosed",'Bilateral assistance, MAIN DATA'!I:I,'Price List, Weapons &amp; Items'!A298)</f>
        <v>0</v>
      </c>
      <c r="N298" s="689">
        <f t="shared" si="30"/>
        <v>86800000</v>
      </c>
      <c r="O298" s="1">
        <f>IFERROR(IF(SEARCH(A298,_xlfn.ARRAYTOTEXT('Bilateral assistance, MAIN DATA'!I$1:I$1408))&gt;0,1,""),0)</f>
        <v>1</v>
      </c>
      <c r="P298" s="46">
        <f>IFERROR(IF(SEARCH(A298,_xlfn.ARRAYTOTEXT('Commercial assistance'!I$1:I$1400))&gt;0,1,""),0)</f>
        <v>0</v>
      </c>
    </row>
    <row r="299" spans="1:16" ht="15" customHeight="1">
      <c r="A299" s="46" t="s">
        <v>2711</v>
      </c>
      <c r="B299" s="684" t="s">
        <v>729</v>
      </c>
      <c r="C299" s="685" t="s">
        <v>232</v>
      </c>
      <c r="D299" s="686">
        <v>0</v>
      </c>
      <c r="E299" s="552">
        <f t="shared" si="31"/>
        <v>0</v>
      </c>
      <c r="F299" s="452">
        <f>50000000*'Exchange rates'!C4</f>
        <v>50175000</v>
      </c>
      <c r="G299" s="687" t="str">
        <f t="shared" si="32"/>
        <v>USD</v>
      </c>
      <c r="H299" s="671" t="s">
        <v>3756</v>
      </c>
      <c r="I299" s="424" t="s">
        <v>3262</v>
      </c>
      <c r="J299" s="730" t="s">
        <v>3757</v>
      </c>
      <c r="K299" s="688">
        <f t="shared" si="29"/>
        <v>2</v>
      </c>
      <c r="L299" s="310">
        <f>SUMIFS('Bilateral assistance, MAIN DATA'!M:M,'Bilateral assistance, MAIN DATA'!I:I,'Price List, Weapons &amp; Items'!A299)</f>
        <v>28</v>
      </c>
      <c r="M299" s="46">
        <f>COUNTIFS('Bilateral assistance, MAIN DATA'!M:M,"undisclosed",'Bilateral assistance, MAIN DATA'!I:I,'Price List, Weapons &amp; Items'!A299)</f>
        <v>0</v>
      </c>
      <c r="N299" s="689">
        <f t="shared" si="30"/>
        <v>1404900000</v>
      </c>
      <c r="O299" s="1">
        <f>IFERROR(IF(SEARCH(A299,_xlfn.ARRAYTOTEXT('Bilateral assistance, MAIN DATA'!I$1:I$1408))&gt;0,1,""),0)</f>
        <v>1</v>
      </c>
      <c r="P299" s="46">
        <f>IFERROR(IF(SEARCH(A299,_xlfn.ARRAYTOTEXT('Commercial assistance'!I$1:I$1400))&gt;0,1,""),0)</f>
        <v>0</v>
      </c>
    </row>
    <row r="300" spans="1:16" ht="15" customHeight="1">
      <c r="A300" s="46" t="s">
        <v>2766</v>
      </c>
      <c r="B300" s="684" t="s">
        <v>729</v>
      </c>
      <c r="C300" s="685" t="s">
        <v>232</v>
      </c>
      <c r="D300" s="552">
        <v>0</v>
      </c>
      <c r="E300" s="552">
        <f t="shared" si="31"/>
        <v>0</v>
      </c>
      <c r="F300" s="452">
        <v>15625000</v>
      </c>
      <c r="G300" s="88" t="s">
        <v>314</v>
      </c>
      <c r="H300" s="657" t="s">
        <v>3758</v>
      </c>
      <c r="I300" s="692" t="s">
        <v>3744</v>
      </c>
      <c r="J300" s="731" t="s">
        <v>3759</v>
      </c>
      <c r="K300" s="688">
        <f t="shared" si="29"/>
        <v>2</v>
      </c>
      <c r="L300" s="310">
        <f>SUMIFS('Bilateral assistance, MAIN DATA'!M:M,'Bilateral assistance, MAIN DATA'!I:I,'Price List, Weapons &amp; Items'!A300)</f>
        <v>20</v>
      </c>
      <c r="M300" s="46">
        <f>COUNTIFS('Bilateral assistance, MAIN DATA'!M:M,"undisclosed",'Bilateral assistance, MAIN DATA'!I:I,'Price List, Weapons &amp; Items'!A300)</f>
        <v>0</v>
      </c>
      <c r="N300" s="689">
        <f t="shared" si="30"/>
        <v>312500000</v>
      </c>
      <c r="O300" s="1">
        <f>IFERROR(IF(SEARCH(A300,_xlfn.ARRAYTOTEXT('Bilateral assistance, MAIN DATA'!I$1:I$1408))&gt;0,1,""),0)</f>
        <v>1</v>
      </c>
      <c r="P300" s="46">
        <f>IFERROR(IF(SEARCH(A300,_xlfn.ARRAYTOTEXT('Commercial assistance'!I$1:I$1400))&gt;0,1,""),0)</f>
        <v>0</v>
      </c>
    </row>
    <row r="301" spans="1:16" ht="15" customHeight="1">
      <c r="A301" s="424" t="s">
        <v>2788</v>
      </c>
      <c r="B301" s="684" t="s">
        <v>3235</v>
      </c>
      <c r="C301" s="685" t="s">
        <v>232</v>
      </c>
      <c r="D301" s="552">
        <v>0</v>
      </c>
      <c r="E301" s="552">
        <f t="shared" si="31"/>
        <v>0</v>
      </c>
      <c r="F301" s="452">
        <v>112800</v>
      </c>
      <c r="G301" s="88" t="s">
        <v>314</v>
      </c>
      <c r="H301" s="652" t="s">
        <v>3760</v>
      </c>
      <c r="I301" s="692" t="s">
        <v>3270</v>
      </c>
      <c r="J301" s="424" t="s">
        <v>3761</v>
      </c>
      <c r="K301" s="688">
        <f t="shared" si="29"/>
        <v>2</v>
      </c>
      <c r="L301" s="310">
        <f>SUMIFS('Bilateral assistance, MAIN DATA'!M:M,'Bilateral assistance, MAIN DATA'!I:I,'Price List, Weapons &amp; Items'!A301)</f>
        <v>1500</v>
      </c>
      <c r="M301" s="46">
        <f>COUNTIFS('Bilateral assistance, MAIN DATA'!M:M,"undisclosed",'Bilateral assistance, MAIN DATA'!I:I,'Price List, Weapons &amp; Items'!A301)</f>
        <v>0</v>
      </c>
      <c r="N301" s="689">
        <f t="shared" si="30"/>
        <v>169200000</v>
      </c>
      <c r="O301" s="1">
        <f>IFERROR(IF(SEARCH(A301,_xlfn.ARRAYTOTEXT('Bilateral assistance, MAIN DATA'!I$1:I$1408))&gt;0,1,""),0)</f>
        <v>1</v>
      </c>
      <c r="P301" s="46">
        <f>IFERROR(IF(SEARCH(A301,_xlfn.ARRAYTOTEXT('Commercial assistance'!I$1:I$1400))&gt;0,1,""),0)</f>
        <v>0</v>
      </c>
    </row>
    <row r="302" spans="1:16" ht="15" customHeight="1">
      <c r="A302" s="512" t="s">
        <v>2158</v>
      </c>
      <c r="B302" s="684" t="s">
        <v>3239</v>
      </c>
      <c r="C302" s="685" t="s">
        <v>3762</v>
      </c>
      <c r="D302" s="552">
        <v>1</v>
      </c>
      <c r="E302" s="552">
        <f t="shared" si="31"/>
        <v>1</v>
      </c>
      <c r="F302" s="452">
        <f>820000*1.181</f>
        <v>968420</v>
      </c>
      <c r="G302" s="88" t="s">
        <v>314</v>
      </c>
      <c r="H302" s="842" t="s">
        <v>3763</v>
      </c>
      <c r="I302" s="424" t="s">
        <v>3259</v>
      </c>
      <c r="J302" s="512" t="s">
        <v>3764</v>
      </c>
      <c r="K302" s="688">
        <f t="shared" si="29"/>
        <v>2</v>
      </c>
      <c r="L302" s="310">
        <f>SUMIFS('Bilateral assistance, MAIN DATA'!M:M,'Bilateral assistance, MAIN DATA'!I:I,'Price List, Weapons &amp; Items'!A302)</f>
        <v>28</v>
      </c>
      <c r="M302" s="46">
        <f>COUNTIFS('Bilateral assistance, MAIN DATA'!M:M,"undisclosed",'Bilateral assistance, MAIN DATA'!I:I,'Price List, Weapons &amp; Items'!A302)</f>
        <v>0</v>
      </c>
      <c r="N302" s="689">
        <f t="shared" si="30"/>
        <v>27115760</v>
      </c>
      <c r="O302" s="1">
        <f>IFERROR(IF(SEARCH(A302,_xlfn.ARRAYTOTEXT('Bilateral assistance, MAIN DATA'!I$1:I$1408))&gt;0,1,""),0)</f>
        <v>1</v>
      </c>
      <c r="P302" s="46">
        <f>IFERROR(IF(SEARCH(A302,_xlfn.ARRAYTOTEXT('Commercial assistance'!I$1:I$1400))&gt;0,1,""),0)</f>
        <v>0</v>
      </c>
    </row>
    <row r="303" spans="1:16" ht="15" customHeight="1">
      <c r="A303" s="41" t="s">
        <v>733</v>
      </c>
      <c r="B303" s="684" t="s">
        <v>3239</v>
      </c>
      <c r="C303" s="685" t="s">
        <v>3257</v>
      </c>
      <c r="D303" s="552">
        <v>1</v>
      </c>
      <c r="E303" s="552">
        <f t="shared" si="31"/>
        <v>1</v>
      </c>
      <c r="F303" s="452">
        <v>500000</v>
      </c>
      <c r="G303" s="88" t="s">
        <v>314</v>
      </c>
      <c r="H303" s="696" t="s">
        <v>3765</v>
      </c>
      <c r="I303" s="692" t="s">
        <v>232</v>
      </c>
      <c r="J303" s="512" t="s">
        <v>232</v>
      </c>
      <c r="K303" s="688">
        <f t="shared" si="29"/>
        <v>2</v>
      </c>
      <c r="L303" s="310">
        <f>SUMIFS('Bilateral assistance, MAIN DATA'!M:M,'Bilateral assistance, MAIN DATA'!I:I,'Price List, Weapons &amp; Items'!A303)</f>
        <v>135</v>
      </c>
      <c r="M303" s="46">
        <f>COUNTIFS('Bilateral assistance, MAIN DATA'!M:M,"undisclosed",'Bilateral assistance, MAIN DATA'!I:I,'Price List, Weapons &amp; Items'!A303)</f>
        <v>0</v>
      </c>
      <c r="N303" s="689">
        <f t="shared" si="30"/>
        <v>67500000</v>
      </c>
      <c r="O303" s="1">
        <f>IFERROR(IF(SEARCH(A303,_xlfn.ARRAYTOTEXT('Bilateral assistance, MAIN DATA'!I$1:I$1408))&gt;0,1,""),0)</f>
        <v>1</v>
      </c>
      <c r="P303" s="46">
        <f>IFERROR(IF(SEARCH(A303,_xlfn.ARRAYTOTEXT('Commercial assistance'!I$1:I$1400))&gt;0,1,""),0)</f>
        <v>0</v>
      </c>
    </row>
    <row r="304" spans="1:16" ht="15" customHeight="1">
      <c r="A304" s="41" t="s">
        <v>1132</v>
      </c>
      <c r="B304" s="684" t="s">
        <v>252</v>
      </c>
      <c r="C304" s="685" t="s">
        <v>3169</v>
      </c>
      <c r="D304" s="552">
        <v>0</v>
      </c>
      <c r="E304" s="552">
        <f t="shared" si="31"/>
        <v>0</v>
      </c>
      <c r="F304" s="452">
        <v>10335642.57</v>
      </c>
      <c r="G304" s="88" t="s">
        <v>314</v>
      </c>
      <c r="H304" s="655" t="s">
        <v>3253</v>
      </c>
      <c r="I304" s="692" t="s">
        <v>232</v>
      </c>
      <c r="J304" s="424" t="s">
        <v>3766</v>
      </c>
      <c r="K304" s="688">
        <f t="shared" si="29"/>
        <v>2</v>
      </c>
      <c r="L304" s="310">
        <f>SUMIFS('Bilateral assistance, MAIN DATA'!M:M,'Bilateral assistance, MAIN DATA'!I:I,'Price List, Weapons &amp; Items'!A304)</f>
        <v>2</v>
      </c>
      <c r="M304" s="46">
        <f>COUNTIFS('Bilateral assistance, MAIN DATA'!M:M,"undisclosed",'Bilateral assistance, MAIN DATA'!I:I,'Price List, Weapons &amp; Items'!A304)</f>
        <v>0</v>
      </c>
      <c r="N304" s="689">
        <f t="shared" si="30"/>
        <v>20671285.140000001</v>
      </c>
      <c r="O304" s="1">
        <f>IFERROR(IF(SEARCH(A304,_xlfn.ARRAYTOTEXT('Bilateral assistance, MAIN DATA'!I$1:I$1408))&gt;0,1,""),0)</f>
        <v>1</v>
      </c>
      <c r="P304" s="46">
        <f>IFERROR(IF(SEARCH(A304,_xlfn.ARRAYTOTEXT('Commercial assistance'!I$1:I$1400))&gt;0,1,""),0)</f>
        <v>0</v>
      </c>
    </row>
    <row r="305" spans="1:16" ht="15" customHeight="1">
      <c r="A305" s="524" t="s">
        <v>1735</v>
      </c>
      <c r="B305" s="684" t="s">
        <v>3239</v>
      </c>
      <c r="C305" s="685" t="s">
        <v>3240</v>
      </c>
      <c r="D305" s="552">
        <v>0</v>
      </c>
      <c r="E305" s="552">
        <f t="shared" si="31"/>
        <v>0</v>
      </c>
      <c r="F305" s="452">
        <f>90000000/90</f>
        <v>1000000</v>
      </c>
      <c r="G305" s="88" t="s">
        <v>314</v>
      </c>
      <c r="H305" s="657" t="s">
        <v>734</v>
      </c>
      <c r="I305" s="692" t="s">
        <v>3308</v>
      </c>
      <c r="J305" s="512" t="s">
        <v>3767</v>
      </c>
      <c r="K305" s="688">
        <f t="shared" si="29"/>
        <v>2</v>
      </c>
      <c r="L305" s="310">
        <f>SUMIFS('Bilateral assistance, MAIN DATA'!M:M,'Bilateral assistance, MAIN DATA'!I:I,'Price List, Weapons &amp; Items'!A305)</f>
        <v>45</v>
      </c>
      <c r="M305" s="46">
        <f>COUNTIFS('Bilateral assistance, MAIN DATA'!M:M,"undisclosed",'Bilateral assistance, MAIN DATA'!I:I,'Price List, Weapons &amp; Items'!A305)</f>
        <v>0</v>
      </c>
      <c r="N305" s="689">
        <f t="shared" si="30"/>
        <v>45000000</v>
      </c>
      <c r="O305" s="1">
        <f>IFERROR(IF(SEARCH(A305,_xlfn.ARRAYTOTEXT('Bilateral assistance, MAIN DATA'!I$1:I$1408))&gt;0,1,""),0)</f>
        <v>1</v>
      </c>
      <c r="P305" s="46">
        <f>IFERROR(IF(SEARCH(A305,_xlfn.ARRAYTOTEXT('Commercial assistance'!I$1:I$1400))&gt;0,1,""),0)</f>
        <v>0</v>
      </c>
    </row>
    <row r="306" spans="1:16" ht="15" customHeight="1">
      <c r="A306" s="512" t="s">
        <v>2243</v>
      </c>
      <c r="B306" s="684" t="s">
        <v>3239</v>
      </c>
      <c r="C306" s="685" t="s">
        <v>3168</v>
      </c>
      <c r="D306" s="552">
        <v>0</v>
      </c>
      <c r="E306" s="552">
        <f t="shared" si="31"/>
        <v>0</v>
      </c>
      <c r="F306" s="838">
        <v>325604.28293370258</v>
      </c>
      <c r="G306" s="88" t="s">
        <v>314</v>
      </c>
      <c r="H306" s="672" t="s">
        <v>3253</v>
      </c>
      <c r="I306" s="424" t="s">
        <v>3254</v>
      </c>
      <c r="J306" s="512" t="s">
        <v>3332</v>
      </c>
      <c r="K306" s="688">
        <f t="shared" si="29"/>
        <v>2</v>
      </c>
      <c r="L306" s="310">
        <f>SUMIFS('Bilateral assistance, MAIN DATA'!M:M,'Bilateral assistance, MAIN DATA'!I:I,'Price List, Weapons &amp; Items'!A306)</f>
        <v>6</v>
      </c>
      <c r="M306" s="46">
        <f>COUNTIFS('Bilateral assistance, MAIN DATA'!M:M,"undisclosed",'Bilateral assistance, MAIN DATA'!I:I,'Price List, Weapons &amp; Items'!A306)</f>
        <v>0</v>
      </c>
      <c r="N306" s="689">
        <f t="shared" si="30"/>
        <v>1953625.6976022155</v>
      </c>
      <c r="O306" s="1">
        <f>IFERROR(IF(SEARCH(A306,_xlfn.ARRAYTOTEXT('Bilateral assistance, MAIN DATA'!I$1:I$1408))&gt;0,1,""),0)</f>
        <v>1</v>
      </c>
      <c r="P306" s="46">
        <f>IFERROR(IF(SEARCH(A306,_xlfn.ARRAYTOTEXT('Commercial assistance'!I$1:I$1400))&gt;0,1,""),0)</f>
        <v>0</v>
      </c>
    </row>
    <row r="307" spans="1:16" ht="15" customHeight="1">
      <c r="A307" s="512" t="s">
        <v>2252</v>
      </c>
      <c r="B307" s="684" t="s">
        <v>3239</v>
      </c>
      <c r="C307" s="685" t="s">
        <v>2687</v>
      </c>
      <c r="D307" s="552">
        <v>0</v>
      </c>
      <c r="E307" s="552">
        <f t="shared" si="31"/>
        <v>0</v>
      </c>
      <c r="F307" s="452">
        <v>1380129.0260143129</v>
      </c>
      <c r="G307" s="88" t="s">
        <v>314</v>
      </c>
      <c r="H307" s="696" t="s">
        <v>232</v>
      </c>
      <c r="I307" s="692" t="s">
        <v>232</v>
      </c>
      <c r="J307" s="512" t="s">
        <v>3768</v>
      </c>
      <c r="K307" s="688">
        <f t="shared" si="29"/>
        <v>2</v>
      </c>
      <c r="L307" s="310">
        <f>SUMIFS('Bilateral assistance, MAIN DATA'!M:M,'Bilateral assistance, MAIN DATA'!I:I,'Price List, Weapons &amp; Items'!A307)</f>
        <v>6</v>
      </c>
      <c r="M307" s="46">
        <f>COUNTIFS('Bilateral assistance, MAIN DATA'!M:M,"undisclosed",'Bilateral assistance, MAIN DATA'!I:I,'Price List, Weapons &amp; Items'!A307)</f>
        <v>0</v>
      </c>
      <c r="N307" s="689">
        <f t="shared" si="30"/>
        <v>8280774.1560858767</v>
      </c>
      <c r="O307" s="1">
        <f>IFERROR(IF(SEARCH(A307,_xlfn.ARRAYTOTEXT('Bilateral assistance, MAIN DATA'!I$1:I$1408))&gt;0,1,""),0)</f>
        <v>1</v>
      </c>
      <c r="P307" s="46">
        <f>IFERROR(IF(SEARCH(A307,_xlfn.ARRAYTOTEXT('Commercial assistance'!I$1:I$1400))&gt;0,1,""),0)</f>
        <v>0</v>
      </c>
    </row>
    <row r="308" spans="1:16" ht="15" customHeight="1">
      <c r="A308" s="41" t="s">
        <v>2463</v>
      </c>
      <c r="B308" s="684" t="s">
        <v>3239</v>
      </c>
      <c r="C308" s="685" t="s">
        <v>3346</v>
      </c>
      <c r="D308" s="552">
        <v>0</v>
      </c>
      <c r="E308" s="552">
        <f t="shared" si="31"/>
        <v>1</v>
      </c>
      <c r="F308" s="452">
        <f>5500000/50</f>
        <v>110000</v>
      </c>
      <c r="G308" s="88" t="s">
        <v>314</v>
      </c>
      <c r="H308" s="696" t="s">
        <v>3769</v>
      </c>
      <c r="I308" s="424" t="s">
        <v>3254</v>
      </c>
      <c r="J308" s="512" t="s">
        <v>3770</v>
      </c>
      <c r="K308" s="688">
        <f t="shared" si="29"/>
        <v>2</v>
      </c>
      <c r="L308" s="310">
        <f>SUMIFS('Bilateral assistance, MAIN DATA'!M:M,'Bilateral assistance, MAIN DATA'!I:I,'Price List, Weapons &amp; Items'!A308)</f>
        <v>35</v>
      </c>
      <c r="M308" s="46">
        <f>COUNTIFS('Bilateral assistance, MAIN DATA'!M:M,"undisclosed",'Bilateral assistance, MAIN DATA'!I:I,'Price List, Weapons &amp; Items'!A308)</f>
        <v>0</v>
      </c>
      <c r="N308" s="689">
        <f t="shared" si="30"/>
        <v>3850000</v>
      </c>
      <c r="O308" s="1">
        <f>IFERROR(IF(SEARCH(A308,_xlfn.ARRAYTOTEXT('Bilateral assistance, MAIN DATA'!I$1:I$1408))&gt;0,1,""),0)</f>
        <v>1</v>
      </c>
      <c r="P308" s="46">
        <f>IFERROR(IF(SEARCH(A308,_xlfn.ARRAYTOTEXT('Commercial assistance'!I$1:I$1400))&gt;0,1,""),0)</f>
        <v>0</v>
      </c>
    </row>
    <row r="309" spans="1:16" ht="15" customHeight="1">
      <c r="A309" s="512" t="s">
        <v>576</v>
      </c>
      <c r="B309" s="684" t="s">
        <v>729</v>
      </c>
      <c r="C309" s="685" t="s">
        <v>232</v>
      </c>
      <c r="D309" s="552">
        <v>0</v>
      </c>
      <c r="E309" s="552">
        <f t="shared" si="31"/>
        <v>0</v>
      </c>
      <c r="F309" s="452">
        <f>(15000000/400000)/1.29</f>
        <v>29.069767441860463</v>
      </c>
      <c r="G309" s="88" t="s">
        <v>314</v>
      </c>
      <c r="H309" s="657" t="s">
        <v>575</v>
      </c>
      <c r="I309" s="692" t="s">
        <v>3308</v>
      </c>
      <c r="J309" s="512" t="s">
        <v>3771</v>
      </c>
      <c r="K309" s="688">
        <f t="shared" si="29"/>
        <v>2</v>
      </c>
      <c r="L309" s="310">
        <f>SUMIFS('Bilateral assistance, MAIN DATA'!M:M,'Bilateral assistance, MAIN DATA'!I:I,'Price List, Weapons &amp; Items'!A309)</f>
        <v>500000</v>
      </c>
      <c r="M309" s="46">
        <f>COUNTIFS('Bilateral assistance, MAIN DATA'!M:M,"undisclosed",'Bilateral assistance, MAIN DATA'!I:I,'Price List, Weapons &amp; Items'!A309)</f>
        <v>0</v>
      </c>
      <c r="N309" s="689">
        <f t="shared" si="30"/>
        <v>14534883.720930232</v>
      </c>
      <c r="O309" s="1">
        <f>IFERROR(IF(SEARCH(A309,_xlfn.ARRAYTOTEXT('Bilateral assistance, MAIN DATA'!I$1:I$1408))&gt;0,1,""),0)</f>
        <v>1</v>
      </c>
      <c r="P309" s="46">
        <f>IFERROR(IF(SEARCH(A309,_xlfn.ARRAYTOTEXT('Commercial assistance'!I$1:I$1400))&gt;0,1,""),0)</f>
        <v>0</v>
      </c>
    </row>
    <row r="310" spans="1:16" ht="15" customHeight="1">
      <c r="A310" s="41" t="s">
        <v>2796</v>
      </c>
      <c r="B310" s="684" t="s">
        <v>3239</v>
      </c>
      <c r="C310" s="685" t="s">
        <v>3170</v>
      </c>
      <c r="D310" s="552">
        <v>0</v>
      </c>
      <c r="E310" s="552">
        <f t="shared" si="31"/>
        <v>0</v>
      </c>
      <c r="F310" s="452">
        <v>1866185.221792896</v>
      </c>
      <c r="G310" s="88" t="s">
        <v>314</v>
      </c>
      <c r="H310" s="672" t="s">
        <v>3253</v>
      </c>
      <c r="I310" s="692" t="s">
        <v>3254</v>
      </c>
      <c r="J310" s="512" t="s">
        <v>3332</v>
      </c>
      <c r="K310" s="688">
        <f t="shared" si="29"/>
        <v>2</v>
      </c>
      <c r="L310" s="310">
        <f>SUMIFS('Bilateral assistance, MAIN DATA'!M:M,'Bilateral assistance, MAIN DATA'!I:I,'Price List, Weapons &amp; Items'!A310)</f>
        <v>4</v>
      </c>
      <c r="M310" s="46">
        <f>COUNTIFS('Bilateral assistance, MAIN DATA'!M:M,"undisclosed",'Bilateral assistance, MAIN DATA'!I:I,'Price List, Weapons &amp; Items'!A310)</f>
        <v>0</v>
      </c>
      <c r="N310" s="689">
        <f t="shared" si="30"/>
        <v>7464740.8871715842</v>
      </c>
      <c r="O310" s="1">
        <f>IFERROR(IF(SEARCH(A310,_xlfn.ARRAYTOTEXT('Bilateral assistance, MAIN DATA'!I$1:I$1408))&gt;0,1,""),0)</f>
        <v>1</v>
      </c>
      <c r="P310" s="46">
        <f>IFERROR(IF(SEARCH(A310,_xlfn.ARRAYTOTEXT('Commercial assistance'!I$1:I$1400))&gt;0,1,""),0)</f>
        <v>0</v>
      </c>
    </row>
    <row r="311" spans="1:16" ht="15" customHeight="1">
      <c r="A311" s="41" t="s">
        <v>2789</v>
      </c>
      <c r="B311" s="684" t="s">
        <v>3235</v>
      </c>
      <c r="C311" s="685" t="s">
        <v>3236</v>
      </c>
      <c r="D311" s="552">
        <v>0</v>
      </c>
      <c r="E311" s="552">
        <f t="shared" si="31"/>
        <v>1</v>
      </c>
      <c r="F311" s="452">
        <v>98000</v>
      </c>
      <c r="G311" s="88" t="s">
        <v>314</v>
      </c>
      <c r="H311" s="843" t="s">
        <v>3467</v>
      </c>
      <c r="I311" s="692" t="s">
        <v>3308</v>
      </c>
      <c r="J311" s="512" t="s">
        <v>3468</v>
      </c>
      <c r="K311" s="688">
        <f t="shared" si="29"/>
        <v>2</v>
      </c>
      <c r="L311" s="310">
        <f>SUMIFS('Bilateral assistance, MAIN DATA'!M:M,'Bilateral assistance, MAIN DATA'!I:I,'Price List, Weapons &amp; Items'!A311)</f>
        <v>7000</v>
      </c>
      <c r="M311" s="46">
        <f>COUNTIFS('Bilateral assistance, MAIN DATA'!M:M,"undisclosed",'Bilateral assistance, MAIN DATA'!I:I,'Price List, Weapons &amp; Items'!A311)</f>
        <v>0</v>
      </c>
      <c r="N311" s="689">
        <f t="shared" si="30"/>
        <v>686000000</v>
      </c>
      <c r="O311" s="1">
        <f>IFERROR(IF(SEARCH(A311,_xlfn.ARRAYTOTEXT('Bilateral assistance, MAIN DATA'!I$1:I$1408))&gt;0,1,""),0)</f>
        <v>1</v>
      </c>
      <c r="P311" s="46">
        <f>IFERROR(IF(SEARCH(A311,_xlfn.ARRAYTOTEXT('Commercial assistance'!I$1:I$1400))&gt;0,1,""),0)</f>
        <v>0</v>
      </c>
    </row>
    <row r="312" spans="1:16" ht="15" customHeight="1">
      <c r="A312" s="512" t="s">
        <v>1170</v>
      </c>
      <c r="B312" s="684" t="s">
        <v>729</v>
      </c>
      <c r="C312" s="685" t="s">
        <v>808</v>
      </c>
      <c r="D312" s="552">
        <v>0</v>
      </c>
      <c r="E312" s="552">
        <f t="shared" si="31"/>
        <v>0</v>
      </c>
      <c r="F312" s="452">
        <v>1300</v>
      </c>
      <c r="G312" s="88" t="s">
        <v>314</v>
      </c>
      <c r="H312" s="657" t="s">
        <v>3772</v>
      </c>
      <c r="I312" s="692" t="s">
        <v>3773</v>
      </c>
      <c r="J312" s="512" t="s">
        <v>232</v>
      </c>
      <c r="K312" s="688">
        <f t="shared" si="29"/>
        <v>2</v>
      </c>
      <c r="L312" s="310">
        <f>SUMIFS('Bilateral assistance, MAIN DATA'!M:M,'Bilateral assistance, MAIN DATA'!I:I,'Price List, Weapons &amp; Items'!A312)</f>
        <v>14900</v>
      </c>
      <c r="M312" s="46">
        <f>COUNTIFS('Bilateral assistance, MAIN DATA'!M:M,"undisclosed",'Bilateral assistance, MAIN DATA'!I:I,'Price List, Weapons &amp; Items'!A312)</f>
        <v>0</v>
      </c>
      <c r="N312" s="689">
        <f t="shared" si="30"/>
        <v>19370000</v>
      </c>
      <c r="O312" s="1">
        <f>IFERROR(IF(SEARCH(A312,_xlfn.ARRAYTOTEXT('Bilateral assistance, MAIN DATA'!I$1:I$1408))&gt;0,1,""),0)</f>
        <v>1</v>
      </c>
      <c r="P312" s="46">
        <f>IFERROR(IF(SEARCH(A312,_xlfn.ARRAYTOTEXT('Commercial assistance'!I$1:I$1400))&gt;0,1,""),0)</f>
        <v>0</v>
      </c>
    </row>
    <row r="313" spans="1:16" ht="15" customHeight="1">
      <c r="A313" s="528" t="s">
        <v>1271</v>
      </c>
      <c r="B313" s="684" t="s">
        <v>3239</v>
      </c>
      <c r="C313" s="685" t="s">
        <v>3306</v>
      </c>
      <c r="D313" s="552">
        <v>0</v>
      </c>
      <c r="E313" s="552">
        <f t="shared" si="31"/>
        <v>0</v>
      </c>
      <c r="F313" s="452">
        <v>2548204.5789999999</v>
      </c>
      <c r="G313" s="687" t="str">
        <f>IF(F313&lt;&gt;".","USD",".")</f>
        <v>USD</v>
      </c>
      <c r="H313" s="657" t="s">
        <v>3307</v>
      </c>
      <c r="I313" s="424" t="s">
        <v>3308</v>
      </c>
      <c r="J313" s="512" t="s">
        <v>3774</v>
      </c>
      <c r="K313" s="688">
        <f t="shared" si="29"/>
        <v>2</v>
      </c>
      <c r="L313" s="310">
        <f>SUMIFS('Bilateral assistance, MAIN DATA'!M:M,'Bilateral assistance, MAIN DATA'!I:I,'Price List, Weapons &amp; Items'!A313)</f>
        <v>10</v>
      </c>
      <c r="M313" s="46">
        <f>COUNTIFS('Bilateral assistance, MAIN DATA'!M:M,"undisclosed",'Bilateral assistance, MAIN DATA'!I:I,'Price List, Weapons &amp; Items'!A313)</f>
        <v>0</v>
      </c>
      <c r="N313" s="689">
        <f t="shared" si="30"/>
        <v>25482045.789999999</v>
      </c>
      <c r="O313" s="1">
        <f>IFERROR(IF(SEARCH(A313,_xlfn.ARRAYTOTEXT('Bilateral assistance, MAIN DATA'!I$1:I$1408))&gt;0,1,""),0)</f>
        <v>1</v>
      </c>
      <c r="P313" s="46">
        <f>IFERROR(IF(SEARCH(A313,_xlfn.ARRAYTOTEXT('Commercial assistance'!I$1:I$1400))&gt;0,1,""),0)</f>
        <v>0</v>
      </c>
    </row>
    <row r="314" spans="1:16" ht="15" customHeight="1">
      <c r="A314" s="524" t="s">
        <v>1201</v>
      </c>
      <c r="B314" s="684" t="s">
        <v>3333</v>
      </c>
      <c r="C314" s="685" t="s">
        <v>232</v>
      </c>
      <c r="D314" s="552">
        <v>0</v>
      </c>
      <c r="E314" s="552">
        <f t="shared" si="31"/>
        <v>0</v>
      </c>
      <c r="F314" s="452">
        <v>2268127</v>
      </c>
      <c r="G314" s="88" t="s">
        <v>314</v>
      </c>
      <c r="H314" s="657" t="s">
        <v>3775</v>
      </c>
      <c r="I314" s="692" t="s">
        <v>3259</v>
      </c>
      <c r="J314" s="512" t="s">
        <v>3776</v>
      </c>
      <c r="K314" s="688">
        <f t="shared" si="29"/>
        <v>2</v>
      </c>
      <c r="L314" s="310">
        <f>SUMIFS('Bilateral assistance, MAIN DATA'!M:M,'Bilateral assistance, MAIN DATA'!I:I,'Price List, Weapons &amp; Items'!A314)</f>
        <v>20</v>
      </c>
      <c r="M314" s="46">
        <f>COUNTIFS('Bilateral assistance, MAIN DATA'!M:M,"undisclosed",'Bilateral assistance, MAIN DATA'!I:I,'Price List, Weapons &amp; Items'!A314)</f>
        <v>0</v>
      </c>
      <c r="N314" s="689">
        <f t="shared" si="30"/>
        <v>45362540</v>
      </c>
      <c r="O314" s="1">
        <f>IFERROR(IF(SEARCH(A314,_xlfn.ARRAYTOTEXT('Bilateral assistance, MAIN DATA'!I$1:I$1408))&gt;0,1,""),0)</f>
        <v>1</v>
      </c>
      <c r="P314" s="46">
        <f>IFERROR(IF(SEARCH(A314,_xlfn.ARRAYTOTEXT('Commercial assistance'!I$1:I$1400))&gt;0,1,""),0)</f>
        <v>0</v>
      </c>
    </row>
    <row r="315" spans="1:16" ht="15" customHeight="1">
      <c r="A315" s="524" t="s">
        <v>1171</v>
      </c>
      <c r="B315" s="684" t="s">
        <v>3333</v>
      </c>
      <c r="C315" s="685" t="s">
        <v>3340</v>
      </c>
      <c r="D315" s="552">
        <v>0</v>
      </c>
      <c r="E315" s="552">
        <f t="shared" si="31"/>
        <v>1</v>
      </c>
      <c r="F315" s="452">
        <v>1240159</v>
      </c>
      <c r="G315" s="88" t="s">
        <v>314</v>
      </c>
      <c r="H315" s="657" t="s">
        <v>3777</v>
      </c>
      <c r="I315" s="692" t="s">
        <v>3308</v>
      </c>
      <c r="J315" s="512" t="s">
        <v>3778</v>
      </c>
      <c r="K315" s="688">
        <f t="shared" si="29"/>
        <v>2</v>
      </c>
      <c r="L315" s="310">
        <f>SUMIFS('Bilateral assistance, MAIN DATA'!M:M,'Bilateral assistance, MAIN DATA'!I:I,'Price List, Weapons &amp; Items'!A315)</f>
        <v>5</v>
      </c>
      <c r="M315" s="46">
        <f>COUNTIFS('Bilateral assistance, MAIN DATA'!M:M,"undisclosed",'Bilateral assistance, MAIN DATA'!I:I,'Price List, Weapons &amp; Items'!A315)</f>
        <v>0</v>
      </c>
      <c r="N315" s="689">
        <f t="shared" si="30"/>
        <v>6200795</v>
      </c>
      <c r="O315" s="1">
        <f>IFERROR(IF(SEARCH(A315,_xlfn.ARRAYTOTEXT('Bilateral assistance, MAIN DATA'!I$1:I$1408))&gt;0,1,""),0)</f>
        <v>1</v>
      </c>
      <c r="P315" s="46">
        <f>IFERROR(IF(SEARCH(A315,_xlfn.ARRAYTOTEXT('Commercial assistance'!I$1:I$1400))&gt;0,1,""),0)</f>
        <v>0</v>
      </c>
    </row>
    <row r="316" spans="1:16" ht="15" customHeight="1">
      <c r="A316" s="700" t="s">
        <v>1226</v>
      </c>
      <c r="B316" s="684" t="s">
        <v>3333</v>
      </c>
      <c r="C316" s="685" t="s">
        <v>3558</v>
      </c>
      <c r="D316" s="552">
        <v>0</v>
      </c>
      <c r="E316" s="552">
        <f t="shared" si="31"/>
        <v>1</v>
      </c>
      <c r="F316" s="452">
        <v>405530</v>
      </c>
      <c r="G316" s="88" t="s">
        <v>314</v>
      </c>
      <c r="H316" s="657" t="s">
        <v>3750</v>
      </c>
      <c r="I316" s="692" t="s">
        <v>3744</v>
      </c>
      <c r="J316" s="512" t="s">
        <v>3779</v>
      </c>
      <c r="K316" s="688">
        <f t="shared" si="29"/>
        <v>2</v>
      </c>
      <c r="L316" s="310">
        <f>SUMIFS('Bilateral assistance, MAIN DATA'!M:M,'Bilateral assistance, MAIN DATA'!I:I,'Price List, Weapons &amp; Items'!A316)</f>
        <v>14</v>
      </c>
      <c r="M316" s="46">
        <f>COUNTIFS('Bilateral assistance, MAIN DATA'!M:M,"undisclosed",'Bilateral assistance, MAIN DATA'!I:I,'Price List, Weapons &amp; Items'!A316)</f>
        <v>0</v>
      </c>
      <c r="N316" s="689">
        <f t="shared" si="30"/>
        <v>5677420</v>
      </c>
      <c r="O316" s="1">
        <f>IFERROR(IF(SEARCH(A316,_xlfn.ARRAYTOTEXT('Bilateral assistance, MAIN DATA'!I$1:I$1408))&gt;0,1,""),0)</f>
        <v>1</v>
      </c>
      <c r="P316" s="46">
        <f>IFERROR(IF(SEARCH(A316,_xlfn.ARRAYTOTEXT('Commercial assistance'!I$1:I$1400))&gt;0,1,""),0)</f>
        <v>0</v>
      </c>
    </row>
    <row r="317" spans="1:16" ht="15" customHeight="1">
      <c r="A317" s="724" t="s">
        <v>1225</v>
      </c>
      <c r="B317" s="684" t="s">
        <v>3333</v>
      </c>
      <c r="C317" s="685" t="s">
        <v>3558</v>
      </c>
      <c r="D317" s="552">
        <v>0</v>
      </c>
      <c r="E317" s="552">
        <f t="shared" si="31"/>
        <v>1</v>
      </c>
      <c r="F317" s="452">
        <v>405530</v>
      </c>
      <c r="G317" s="88" t="s">
        <v>314</v>
      </c>
      <c r="H317" s="657" t="s">
        <v>3750</v>
      </c>
      <c r="I317" s="692" t="s">
        <v>3744</v>
      </c>
      <c r="J317" s="707" t="s">
        <v>3779</v>
      </c>
      <c r="K317" s="688">
        <f t="shared" si="29"/>
        <v>2</v>
      </c>
      <c r="L317" s="310">
        <f>SUMIFS('Bilateral assistance, MAIN DATA'!M:M,'Bilateral assistance, MAIN DATA'!I:I,'Price List, Weapons &amp; Items'!A317)</f>
        <v>42</v>
      </c>
      <c r="M317" s="46">
        <f>COUNTIFS('Bilateral assistance, MAIN DATA'!M:M,"undisclosed",'Bilateral assistance, MAIN DATA'!I:I,'Price List, Weapons &amp; Items'!A317)</f>
        <v>0</v>
      </c>
      <c r="N317" s="689">
        <f t="shared" si="30"/>
        <v>17032260</v>
      </c>
      <c r="O317" s="1">
        <f>IFERROR(IF(SEARCH(A317,_xlfn.ARRAYTOTEXT('Bilateral assistance, MAIN DATA'!I$1:I$1408))&gt;0,1,""),0)</f>
        <v>1</v>
      </c>
      <c r="P317" s="46">
        <f>IFERROR(IF(SEARCH(A317,_xlfn.ARRAYTOTEXT('Commercial assistance'!I$1:I$1400))&gt;0,1,""),0)</f>
        <v>0</v>
      </c>
    </row>
    <row r="318" spans="1:16" ht="15" customHeight="1">
      <c r="A318" s="724" t="s">
        <v>1124</v>
      </c>
      <c r="B318" s="39" t="s">
        <v>3239</v>
      </c>
      <c r="C318" s="685" t="s">
        <v>3346</v>
      </c>
      <c r="D318" s="552">
        <v>0</v>
      </c>
      <c r="E318" s="552">
        <f t="shared" si="31"/>
        <v>1</v>
      </c>
      <c r="F318" s="452">
        <v>1206834.1100000001</v>
      </c>
      <c r="G318" s="88" t="s">
        <v>314</v>
      </c>
      <c r="H318" s="844" t="s">
        <v>3253</v>
      </c>
      <c r="I318" s="699" t="s">
        <v>3254</v>
      </c>
      <c r="J318" s="732" t="s">
        <v>3780</v>
      </c>
      <c r="K318" s="688">
        <f t="shared" si="29"/>
        <v>2</v>
      </c>
      <c r="L318" s="310">
        <f>SUMIFS('Bilateral assistance, MAIN DATA'!M:M,'Bilateral assistance, MAIN DATA'!I:I,'Price List, Weapons &amp; Items'!A318)</f>
        <v>60</v>
      </c>
      <c r="M318" s="46">
        <f>COUNTIFS('Bilateral assistance, MAIN DATA'!M:M,"undisclosed",'Bilateral assistance, MAIN DATA'!I:I,'Price List, Weapons &amp; Items'!A318)</f>
        <v>0</v>
      </c>
      <c r="N318" s="689">
        <f t="shared" si="30"/>
        <v>72410046.600000009</v>
      </c>
      <c r="O318" s="1">
        <f>IFERROR(IF(SEARCH(A318,_xlfn.ARRAYTOTEXT('Bilateral assistance, MAIN DATA'!I$1:I$1408))&gt;0,1,""),0)</f>
        <v>1</v>
      </c>
      <c r="P318" s="46">
        <f>IFERROR(IF(SEARCH(A318,_xlfn.ARRAYTOTEXT('Commercial assistance'!I$1:I$1400))&gt;0,1,""),0)</f>
        <v>0</v>
      </c>
    </row>
    <row r="319" spans="1:16" ht="15" customHeight="1">
      <c r="A319" s="724" t="s">
        <v>409</v>
      </c>
      <c r="B319" s="733" t="s">
        <v>729</v>
      </c>
      <c r="C319" s="685" t="s">
        <v>232</v>
      </c>
      <c r="D319" s="552">
        <v>0</v>
      </c>
      <c r="E319" s="552">
        <f t="shared" si="31"/>
        <v>0</v>
      </c>
      <c r="F319" s="452">
        <f>AVERAGE(89.4,29.07)</f>
        <v>59.234999999999999</v>
      </c>
      <c r="G319" s="88" t="s">
        <v>314</v>
      </c>
      <c r="H319" s="696" t="s">
        <v>232</v>
      </c>
      <c r="I319" s="692" t="s">
        <v>3308</v>
      </c>
      <c r="J319" s="512" t="s">
        <v>3781</v>
      </c>
      <c r="K319" s="688">
        <f t="shared" si="29"/>
        <v>2</v>
      </c>
      <c r="L319" s="310">
        <f>SUMIFS('Bilateral assistance, MAIN DATA'!M:M,'Bilateral assistance, MAIN DATA'!I:I,'Price List, Weapons &amp; Items'!A319)</f>
        <v>77000</v>
      </c>
      <c r="M319" s="46">
        <f>COUNTIFS('Bilateral assistance, MAIN DATA'!M:M,"undisclosed",'Bilateral assistance, MAIN DATA'!I:I,'Price List, Weapons &amp; Items'!A319)</f>
        <v>2</v>
      </c>
      <c r="N319" s="689">
        <f t="shared" si="30"/>
        <v>4561095</v>
      </c>
      <c r="O319" s="1">
        <f>IFERROR(IF(SEARCH(A319,_xlfn.ARRAYTOTEXT('Bilateral assistance, MAIN DATA'!I$1:I$1408))&gt;0,1,""),0)</f>
        <v>1</v>
      </c>
      <c r="P319" s="46">
        <f>IFERROR(IF(SEARCH(A319,_xlfn.ARRAYTOTEXT('Commercial assistance'!I$1:I$1400))&gt;0,1,""),0)</f>
        <v>0</v>
      </c>
    </row>
    <row r="320" spans="1:16" ht="15" customHeight="1">
      <c r="A320" s="724" t="s">
        <v>862</v>
      </c>
      <c r="B320" s="734" t="s">
        <v>729</v>
      </c>
      <c r="C320" s="685" t="s">
        <v>3252</v>
      </c>
      <c r="D320" s="552">
        <v>0</v>
      </c>
      <c r="E320" s="686">
        <f t="shared" si="31"/>
        <v>1</v>
      </c>
      <c r="F320" s="452">
        <v>94462</v>
      </c>
      <c r="G320" s="687" t="str">
        <f t="shared" ref="G320:G328" si="33">IF(F320&lt;&gt;".","USD",".")</f>
        <v>USD</v>
      </c>
      <c r="H320" s="657" t="s">
        <v>3782</v>
      </c>
      <c r="I320" s="424" t="s">
        <v>3262</v>
      </c>
      <c r="J320" s="512" t="s">
        <v>3783</v>
      </c>
      <c r="K320" s="688">
        <f t="shared" si="29"/>
        <v>1</v>
      </c>
      <c r="L320" s="310">
        <f>SUMIFS('Bilateral assistance, MAIN DATA'!M:M,'Bilateral assistance, MAIN DATA'!I:I,'Price List, Weapons &amp; Items'!A320)</f>
        <v>7</v>
      </c>
      <c r="M320" s="46">
        <f>COUNTIFS('Bilateral assistance, MAIN DATA'!M:M,"undisclosed",'Bilateral assistance, MAIN DATA'!I:I,'Price List, Weapons &amp; Items'!A320)</f>
        <v>0</v>
      </c>
      <c r="N320" s="689">
        <f t="shared" si="30"/>
        <v>661234</v>
      </c>
      <c r="O320" s="1">
        <f>IFERROR(IF(SEARCH(A320,_xlfn.ARRAYTOTEXT('Bilateral assistance, MAIN DATA'!I$1:I$1408))&gt;0,1,""),0)</f>
        <v>1</v>
      </c>
      <c r="P320" s="46">
        <f>IFERROR(IF(SEARCH(A320,_xlfn.ARRAYTOTEXT('Commercial assistance'!I$1:I$1400))&gt;0,1,""),0)</f>
        <v>0</v>
      </c>
    </row>
    <row r="321" spans="1:16" ht="15" customHeight="1">
      <c r="A321" s="724" t="s">
        <v>3784</v>
      </c>
      <c r="B321" s="734" t="s">
        <v>3284</v>
      </c>
      <c r="C321" s="685" t="s">
        <v>3364</v>
      </c>
      <c r="D321" s="686">
        <v>0</v>
      </c>
      <c r="E321" s="686">
        <f t="shared" si="31"/>
        <v>0</v>
      </c>
      <c r="F321" s="452">
        <v>40000</v>
      </c>
      <c r="G321" s="687" t="str">
        <f t="shared" si="33"/>
        <v>USD</v>
      </c>
      <c r="H321" s="658" t="s">
        <v>3624</v>
      </c>
      <c r="I321" s="424" t="s">
        <v>3259</v>
      </c>
      <c r="J321" s="512" t="s">
        <v>3625</v>
      </c>
      <c r="K321" s="688">
        <f t="shared" si="29"/>
        <v>1</v>
      </c>
      <c r="L321" s="310">
        <f>SUMIFS('Bilateral assistance, MAIN DATA'!M:M,'Bilateral assistance, MAIN DATA'!I:I,'Price List, Weapons &amp; Items'!A321)</f>
        <v>12</v>
      </c>
      <c r="M321" s="46">
        <f>COUNTIFS('Bilateral assistance, MAIN DATA'!M:M,"undisclosed",'Bilateral assistance, MAIN DATA'!I:I,'Price List, Weapons &amp; Items'!A321)</f>
        <v>0</v>
      </c>
      <c r="N321" s="689">
        <f t="shared" si="30"/>
        <v>480000</v>
      </c>
      <c r="O321" s="1">
        <f>IFERROR(IF(SEARCH(A321,_xlfn.ARRAYTOTEXT('Bilateral assistance, MAIN DATA'!I$1:I$1408))&gt;0,1,""),0)</f>
        <v>1</v>
      </c>
      <c r="P321" s="46">
        <f>IFERROR(IF(SEARCH(A321,_xlfn.ARRAYTOTEXT('Commercial assistance'!I$1:I$1400))&gt;0,1,""),0)</f>
        <v>0</v>
      </c>
    </row>
    <row r="322" spans="1:16" ht="15" customHeight="1">
      <c r="A322" s="725" t="s">
        <v>1180</v>
      </c>
      <c r="B322" s="734" t="s">
        <v>3284</v>
      </c>
      <c r="C322" s="685" t="s">
        <v>3364</v>
      </c>
      <c r="D322" s="686">
        <v>0</v>
      </c>
      <c r="E322" s="686">
        <f t="shared" ref="E322:E353" si="34">IF(OR(C322="Armoured Personnel Carrier (APC)",C322="Armoured Recovery Vehicle (ARV)",C322="Armoured Utility Vehicle (AUV)",C322="152mm howitzer ammunition",C322="155mm howitzer ammunition",C322="300mm MLRS ammunition",C322="155mm howitzer",C322="227mm MLRS ammunition",C322="Infantry fighting vehicle (IFV)",C322="152mm howitzer",C322="227mm MLRS",C322="Main Battle Tank (MBT)",C322="Protected Patrol Vehicle (PPV)",C322="127mm MLRS",C322="122mm MLRS",C322="122mm MLRS ammunition",C322="122mm MLRS",C322="127mm MLRS",C322="127mm MLRS ammunition")=TRUE,1,0)</f>
        <v>0</v>
      </c>
      <c r="F322" s="452">
        <v>11108</v>
      </c>
      <c r="G322" s="687" t="str">
        <f t="shared" si="33"/>
        <v>USD</v>
      </c>
      <c r="H322" s="658" t="s">
        <v>3636</v>
      </c>
      <c r="I322" s="424" t="s">
        <v>3262</v>
      </c>
      <c r="J322" s="735" t="s">
        <v>3637</v>
      </c>
      <c r="K322" s="688">
        <f t="shared" ref="K322:K385" si="35">IF(B322="Humanitarian",0,IF(L322&gt;0,IF(TYPE(N322)=1,IF(N322&gt;MEDIAN(N:N),2,1),0),"no price, 0 count"))</f>
        <v>1</v>
      </c>
      <c r="L322" s="310">
        <f>SUMIFS('Bilateral assistance, MAIN DATA'!M:M,'Bilateral assistance, MAIN DATA'!I:I,'Price List, Weapons &amp; Items'!A322)</f>
        <v>50</v>
      </c>
      <c r="M322" s="46">
        <f>COUNTIFS('Bilateral assistance, MAIN DATA'!M:M,"undisclosed",'Bilateral assistance, MAIN DATA'!I:I,'Price List, Weapons &amp; Items'!A322)</f>
        <v>0</v>
      </c>
      <c r="N322" s="689">
        <f t="shared" ref="N322:N385" si="36">IFERROR(L322*F322,"no price")</f>
        <v>555400</v>
      </c>
      <c r="O322" s="1">
        <f>IFERROR(IF(SEARCH(A322,_xlfn.ARRAYTOTEXT('Bilateral assistance, MAIN DATA'!I$1:I$1408))&gt;0,1,""),0)</f>
        <v>1</v>
      </c>
      <c r="P322" s="46">
        <f>IFERROR(IF(SEARCH(A322,_xlfn.ARRAYTOTEXT('Commercial assistance'!I$1:I$1400))&gt;0,1,""),0)</f>
        <v>0</v>
      </c>
    </row>
    <row r="323" spans="1:16" ht="15" customHeight="1">
      <c r="A323" s="724" t="s">
        <v>2595</v>
      </c>
      <c r="B323" s="734" t="s">
        <v>3249</v>
      </c>
      <c r="C323" s="685" t="s">
        <v>3293</v>
      </c>
      <c r="D323" s="686">
        <v>0</v>
      </c>
      <c r="E323" s="686">
        <f t="shared" si="34"/>
        <v>0</v>
      </c>
      <c r="F323" s="452">
        <v>6000</v>
      </c>
      <c r="G323" s="687" t="str">
        <f t="shared" si="33"/>
        <v>USD</v>
      </c>
      <c r="H323" s="658" t="s">
        <v>3644</v>
      </c>
      <c r="I323" s="424" t="s">
        <v>3270</v>
      </c>
      <c r="J323" s="512" t="s">
        <v>3645</v>
      </c>
      <c r="K323" s="688">
        <f t="shared" si="35"/>
        <v>1</v>
      </c>
      <c r="L323" s="310">
        <f>SUMIFS('Bilateral assistance, MAIN DATA'!M:M,'Bilateral assistance, MAIN DATA'!I:I,'Price List, Weapons &amp; Items'!A323)</f>
        <v>100</v>
      </c>
      <c r="M323" s="46">
        <f>COUNTIFS('Bilateral assistance, MAIN DATA'!M:M,"undisclosed",'Bilateral assistance, MAIN DATA'!I:I,'Price List, Weapons &amp; Items'!A323)</f>
        <v>0</v>
      </c>
      <c r="N323" s="689">
        <f t="shared" si="36"/>
        <v>600000</v>
      </c>
      <c r="O323" s="1">
        <f>IFERROR(IF(SEARCH(A323,_xlfn.ARRAYTOTEXT('Bilateral assistance, MAIN DATA'!I$1:I$1408))&gt;0,1,""),0)</f>
        <v>1</v>
      </c>
      <c r="P323" s="46">
        <f>IFERROR(IF(SEARCH(A323,_xlfn.ARRAYTOTEXT('Commercial assistance'!I$1:I$1400))&gt;0,1,""),0)</f>
        <v>0</v>
      </c>
    </row>
    <row r="324" spans="1:16" ht="15" customHeight="1">
      <c r="A324" s="724" t="s">
        <v>3785</v>
      </c>
      <c r="B324" s="734" t="s">
        <v>3248</v>
      </c>
      <c r="C324" s="685" t="s">
        <v>3268</v>
      </c>
      <c r="D324" s="686">
        <v>0</v>
      </c>
      <c r="E324" s="686">
        <f t="shared" si="34"/>
        <v>0</v>
      </c>
      <c r="F324" s="452">
        <v>1100</v>
      </c>
      <c r="G324" s="687" t="str">
        <f t="shared" si="33"/>
        <v>USD</v>
      </c>
      <c r="H324" s="658" t="s">
        <v>3786</v>
      </c>
      <c r="I324" s="424" t="s">
        <v>3266</v>
      </c>
      <c r="J324" s="512" t="s">
        <v>3787</v>
      </c>
      <c r="K324" s="688">
        <f t="shared" si="35"/>
        <v>1</v>
      </c>
      <c r="L324" s="310">
        <f>SUMIFS('Bilateral assistance, MAIN DATA'!M:M,'Bilateral assistance, MAIN DATA'!I:I,'Price List, Weapons &amp; Items'!A324)</f>
        <v>400</v>
      </c>
      <c r="M324" s="46">
        <f>COUNTIFS('Bilateral assistance, MAIN DATA'!M:M,"undisclosed",'Bilateral assistance, MAIN DATA'!I:I,'Price List, Weapons &amp; Items'!A324)</f>
        <v>0</v>
      </c>
      <c r="N324" s="689">
        <f t="shared" si="36"/>
        <v>440000</v>
      </c>
      <c r="O324" s="1">
        <f>IFERROR(IF(SEARCH(A324,_xlfn.ARRAYTOTEXT('Bilateral assistance, MAIN DATA'!I$1:I$1408))&gt;0,1,""),0)</f>
        <v>1</v>
      </c>
      <c r="P324" s="46">
        <f>IFERROR(IF(SEARCH(A324,_xlfn.ARRAYTOTEXT('Commercial assistance'!I$1:I$1400))&gt;0,1,""),0)</f>
        <v>0</v>
      </c>
    </row>
    <row r="325" spans="1:16" ht="15" customHeight="1">
      <c r="A325" s="726" t="s">
        <v>3788</v>
      </c>
      <c r="B325" s="734" t="s">
        <v>3243</v>
      </c>
      <c r="C325" s="685" t="s">
        <v>3382</v>
      </c>
      <c r="D325" s="686">
        <v>0</v>
      </c>
      <c r="E325" s="686">
        <f t="shared" si="34"/>
        <v>0</v>
      </c>
      <c r="F325" s="452">
        <v>329</v>
      </c>
      <c r="G325" s="687" t="str">
        <f t="shared" si="33"/>
        <v>USD</v>
      </c>
      <c r="H325" s="658" t="s">
        <v>3789</v>
      </c>
      <c r="I325" s="424" t="s">
        <v>3262</v>
      </c>
      <c r="J325" s="735" t="s">
        <v>3790</v>
      </c>
      <c r="K325" s="688">
        <f t="shared" si="35"/>
        <v>1</v>
      </c>
      <c r="L325" s="310">
        <f>SUMIFS('Bilateral assistance, MAIN DATA'!M:M,'Bilateral assistance, MAIN DATA'!I:I,'Price List, Weapons &amp; Items'!A325)</f>
        <v>1500</v>
      </c>
      <c r="M325" s="46">
        <f>COUNTIFS('Bilateral assistance, MAIN DATA'!M:M,"undisclosed",'Bilateral assistance, MAIN DATA'!I:I,'Price List, Weapons &amp; Items'!A325)</f>
        <v>0</v>
      </c>
      <c r="N325" s="689">
        <f t="shared" si="36"/>
        <v>493500</v>
      </c>
      <c r="O325" s="1">
        <f>IFERROR(IF(SEARCH(A325,_xlfn.ARRAYTOTEXT('Bilateral assistance, MAIN DATA'!I$1:I$1408))&gt;0,1,""),0)</f>
        <v>1</v>
      </c>
      <c r="P325" s="46">
        <f>IFERROR(IF(SEARCH(A325,_xlfn.ARRAYTOTEXT('Commercial assistance'!I$1:I$1400))&gt;0,1,""),0)</f>
        <v>0</v>
      </c>
    </row>
    <row r="326" spans="1:16" ht="15" customHeight="1">
      <c r="A326" s="724" t="s">
        <v>3791</v>
      </c>
      <c r="B326" s="734" t="s">
        <v>3243</v>
      </c>
      <c r="C326" s="685" t="s">
        <v>3244</v>
      </c>
      <c r="D326" s="686">
        <v>0</v>
      </c>
      <c r="E326" s="686">
        <f t="shared" si="34"/>
        <v>0</v>
      </c>
      <c r="F326" s="452">
        <v>0.85</v>
      </c>
      <c r="G326" s="687" t="str">
        <f t="shared" si="33"/>
        <v>USD</v>
      </c>
      <c r="H326" s="658" t="s">
        <v>3606</v>
      </c>
      <c r="I326" s="424" t="s">
        <v>3266</v>
      </c>
      <c r="J326" s="512" t="s">
        <v>3792</v>
      </c>
      <c r="K326" s="688">
        <f t="shared" si="35"/>
        <v>1</v>
      </c>
      <c r="L326" s="310">
        <f>SUMIFS('Bilateral assistance, MAIN DATA'!M:M,'Bilateral assistance, MAIN DATA'!I:I,'Price List, Weapons &amp; Items'!A326)</f>
        <v>700000</v>
      </c>
      <c r="M326" s="46">
        <f>COUNTIFS('Bilateral assistance, MAIN DATA'!M:M,"undisclosed",'Bilateral assistance, MAIN DATA'!I:I,'Price List, Weapons &amp; Items'!A326)</f>
        <v>1</v>
      </c>
      <c r="N326" s="689">
        <f t="shared" si="36"/>
        <v>595000</v>
      </c>
      <c r="O326" s="1">
        <f>IFERROR(IF(SEARCH(A326,_xlfn.ARRAYTOTEXT('Bilateral assistance, MAIN DATA'!I$1:I$1408))&gt;0,1,""),0)</f>
        <v>1</v>
      </c>
      <c r="P326" s="46">
        <f>IFERROR(IF(SEARCH(A326,_xlfn.ARRAYTOTEXT('Commercial assistance'!I$1:I$1400))&gt;0,1,""),0)</f>
        <v>0</v>
      </c>
    </row>
    <row r="327" spans="1:16" ht="15" customHeight="1">
      <c r="A327" s="726" t="s">
        <v>3793</v>
      </c>
      <c r="B327" s="734" t="s">
        <v>3243</v>
      </c>
      <c r="C327" s="685" t="s">
        <v>3244</v>
      </c>
      <c r="D327" s="686">
        <v>0</v>
      </c>
      <c r="E327" s="686">
        <f t="shared" si="34"/>
        <v>0</v>
      </c>
      <c r="F327" s="452">
        <v>0.5</v>
      </c>
      <c r="G327" s="687" t="str">
        <f t="shared" si="33"/>
        <v>USD</v>
      </c>
      <c r="H327" s="658" t="s">
        <v>3794</v>
      </c>
      <c r="I327" s="424" t="s">
        <v>3266</v>
      </c>
      <c r="J327" s="512" t="s">
        <v>3795</v>
      </c>
      <c r="K327" s="688">
        <f t="shared" si="35"/>
        <v>1</v>
      </c>
      <c r="L327" s="310">
        <f>SUMIFS('Bilateral assistance, MAIN DATA'!M:M,'Bilateral assistance, MAIN DATA'!I:I,'Price List, Weapons &amp; Items'!A327)</f>
        <v>1000000</v>
      </c>
      <c r="M327" s="46">
        <f>COUNTIFS('Bilateral assistance, MAIN DATA'!M:M,"undisclosed",'Bilateral assistance, MAIN DATA'!I:I,'Price List, Weapons &amp; Items'!A327)</f>
        <v>0</v>
      </c>
      <c r="N327" s="689">
        <f t="shared" si="36"/>
        <v>500000</v>
      </c>
      <c r="O327" s="1">
        <f>IFERROR(IF(SEARCH(A327,_xlfn.ARRAYTOTEXT('Bilateral assistance, MAIN DATA'!I$1:I$1408))&gt;0,1,""),0)</f>
        <v>1</v>
      </c>
      <c r="P327" s="46">
        <f>IFERROR(IF(SEARCH(A327,_xlfn.ARRAYTOTEXT('Commercial assistance'!I$1:I$1400))&gt;0,1,""),0)</f>
        <v>0</v>
      </c>
    </row>
    <row r="328" spans="1:16" ht="15" customHeight="1">
      <c r="A328" s="724" t="s">
        <v>2239</v>
      </c>
      <c r="B328" s="734" t="s">
        <v>729</v>
      </c>
      <c r="C328" s="685" t="s">
        <v>3340</v>
      </c>
      <c r="D328" s="686">
        <v>0</v>
      </c>
      <c r="E328" s="552">
        <f t="shared" si="34"/>
        <v>1</v>
      </c>
      <c r="F328" s="452">
        <f>60000</f>
        <v>60000</v>
      </c>
      <c r="G328" s="687" t="str">
        <f t="shared" si="33"/>
        <v>USD</v>
      </c>
      <c r="H328" s="657" t="s">
        <v>3796</v>
      </c>
      <c r="I328" s="424" t="s">
        <v>3259</v>
      </c>
      <c r="J328" s="512" t="s">
        <v>3797</v>
      </c>
      <c r="K328" s="688">
        <f t="shared" si="35"/>
        <v>1</v>
      </c>
      <c r="L328" s="310">
        <f>SUMIFS('Bilateral assistance, MAIN DATA'!M:M,'Bilateral assistance, MAIN DATA'!I:I,'Price List, Weapons &amp; Items'!A328)</f>
        <v>8</v>
      </c>
      <c r="M328" s="46">
        <f>COUNTIFS('Bilateral assistance, MAIN DATA'!M:M,"undisclosed",'Bilateral assistance, MAIN DATA'!I:I,'Price List, Weapons &amp; Items'!A328)</f>
        <v>0</v>
      </c>
      <c r="N328" s="689">
        <f t="shared" si="36"/>
        <v>480000</v>
      </c>
      <c r="O328" s="1">
        <f>IFERROR(IF(SEARCH(A328,_xlfn.ARRAYTOTEXT('Bilateral assistance, MAIN DATA'!I$1:I$1408))&gt;0,1,""),0)</f>
        <v>1</v>
      </c>
      <c r="P328" s="46">
        <f>IFERROR(IF(SEARCH(A328,_xlfn.ARRAYTOTEXT('Commercial assistance'!I$1:I$1400))&gt;0,1,""),0)</f>
        <v>0</v>
      </c>
    </row>
    <row r="329" spans="1:16" ht="15" customHeight="1">
      <c r="A329" s="724" t="s">
        <v>2461</v>
      </c>
      <c r="B329" s="734" t="s">
        <v>3239</v>
      </c>
      <c r="C329" s="685" t="s">
        <v>3340</v>
      </c>
      <c r="D329" s="552">
        <v>0</v>
      </c>
      <c r="E329" s="552">
        <f t="shared" si="34"/>
        <v>1</v>
      </c>
      <c r="F329" s="452">
        <f>F330</f>
        <v>32540</v>
      </c>
      <c r="G329" s="88" t="s">
        <v>314</v>
      </c>
      <c r="H329" s="692" t="s">
        <v>232</v>
      </c>
      <c r="I329" s="692" t="s">
        <v>232</v>
      </c>
      <c r="J329" s="424" t="s">
        <v>3798</v>
      </c>
      <c r="K329" s="688">
        <f t="shared" si="35"/>
        <v>1</v>
      </c>
      <c r="L329" s="310">
        <f>SUMIFS('Bilateral assistance, MAIN DATA'!M:M,'Bilateral assistance, MAIN DATA'!I:I,'Price List, Weapons &amp; Items'!A329)</f>
        <v>5</v>
      </c>
      <c r="M329" s="46">
        <f>COUNTIFS('Bilateral assistance, MAIN DATA'!M:M,"undisclosed",'Bilateral assistance, MAIN DATA'!I:I,'Price List, Weapons &amp; Items'!A329)</f>
        <v>0</v>
      </c>
      <c r="N329" s="689">
        <f t="shared" si="36"/>
        <v>162700</v>
      </c>
      <c r="O329" s="1">
        <f>IFERROR(IF(SEARCH(A329,_xlfn.ARRAYTOTEXT('Bilateral assistance, MAIN DATA'!I$1:I$1408))&gt;0,1,""),0)</f>
        <v>1</v>
      </c>
      <c r="P329" s="46">
        <f>IFERROR(IF(SEARCH(A329,_xlfn.ARRAYTOTEXT('Commercial assistance'!I$1:I$1400))&gt;0,1,""),0)</f>
        <v>0</v>
      </c>
    </row>
    <row r="330" spans="1:16" ht="15" customHeight="1">
      <c r="A330" s="726" t="s">
        <v>3799</v>
      </c>
      <c r="B330" s="734" t="s">
        <v>729</v>
      </c>
      <c r="C330" s="736" t="s">
        <v>232</v>
      </c>
      <c r="D330" s="737">
        <v>0</v>
      </c>
      <c r="E330" s="686">
        <f t="shared" si="34"/>
        <v>0</v>
      </c>
      <c r="F330" s="452">
        <v>32540</v>
      </c>
      <c r="G330" s="687" t="str">
        <f t="shared" ref="G330:G373" si="37">IF(F330&lt;&gt;".","USD",".")</f>
        <v>USD</v>
      </c>
      <c r="H330" s="658" t="s">
        <v>3800</v>
      </c>
      <c r="I330" s="424" t="s">
        <v>3270</v>
      </c>
      <c r="J330" s="735" t="s">
        <v>3801</v>
      </c>
      <c r="K330" s="688">
        <f t="shared" si="35"/>
        <v>1</v>
      </c>
      <c r="L330" s="310">
        <f>SUMIFS('Bilateral assistance, MAIN DATA'!M:M,'Bilateral assistance, MAIN DATA'!I:I,'Price List, Weapons &amp; Items'!A330)</f>
        <v>10</v>
      </c>
      <c r="M330" s="46">
        <f>COUNTIFS('Bilateral assistance, MAIN DATA'!M:M,"undisclosed",'Bilateral assistance, MAIN DATA'!I:I,'Price List, Weapons &amp; Items'!A330)</f>
        <v>0</v>
      </c>
      <c r="N330" s="689">
        <f t="shared" si="36"/>
        <v>325400</v>
      </c>
      <c r="O330" s="1">
        <f>IFERROR(IF(SEARCH(A330,_xlfn.ARRAYTOTEXT('Bilateral assistance, MAIN DATA'!I$1:I$1408))&gt;0,1,""),0)</f>
        <v>1</v>
      </c>
      <c r="P330" s="46">
        <f>IFERROR(IF(SEARCH(A330,_xlfn.ARRAYTOTEXT('Commercial assistance'!I$1:I$1400))&gt;0,1,""),0)</f>
        <v>0</v>
      </c>
    </row>
    <row r="331" spans="1:16" ht="15" customHeight="1">
      <c r="A331" s="724" t="s">
        <v>1229</v>
      </c>
      <c r="B331" s="734" t="s">
        <v>729</v>
      </c>
      <c r="C331" s="736" t="s">
        <v>3409</v>
      </c>
      <c r="D331" s="738">
        <v>0</v>
      </c>
      <c r="E331" s="686">
        <f t="shared" si="34"/>
        <v>0</v>
      </c>
      <c r="F331" s="452">
        <v>25000</v>
      </c>
      <c r="G331" s="687" t="str">
        <f t="shared" si="37"/>
        <v>USD</v>
      </c>
      <c r="H331" s="660" t="s">
        <v>3802</v>
      </c>
      <c r="I331" s="424" t="s">
        <v>3266</v>
      </c>
      <c r="J331" s="512" t="s">
        <v>3803</v>
      </c>
      <c r="K331" s="688">
        <f t="shared" si="35"/>
        <v>1</v>
      </c>
      <c r="L331" s="310">
        <f>SUMIFS('Bilateral assistance, MAIN DATA'!M:M,'Bilateral assistance, MAIN DATA'!I:I,'Price List, Weapons &amp; Items'!A331)</f>
        <v>8</v>
      </c>
      <c r="M331" s="46">
        <f>COUNTIFS('Bilateral assistance, MAIN DATA'!M:M,"undisclosed",'Bilateral assistance, MAIN DATA'!I:I,'Price List, Weapons &amp; Items'!A331)</f>
        <v>0</v>
      </c>
      <c r="N331" s="689">
        <f t="shared" si="36"/>
        <v>200000</v>
      </c>
      <c r="O331" s="1">
        <f>IFERROR(IF(SEARCH(A331,_xlfn.ARRAYTOTEXT('Bilateral assistance, MAIN DATA'!I$1:I$1408))&gt;0,1,""),0)</f>
        <v>1</v>
      </c>
      <c r="P331" s="46">
        <f>IFERROR(IF(SEARCH(A331,_xlfn.ARRAYTOTEXT('Commercial assistance'!I$1:I$1400))&gt;0,1,""),0)</f>
        <v>0</v>
      </c>
    </row>
    <row r="332" spans="1:16" ht="15" customHeight="1">
      <c r="A332" s="724" t="s">
        <v>1695</v>
      </c>
      <c r="B332" s="734" t="s">
        <v>729</v>
      </c>
      <c r="C332" s="736" t="s">
        <v>3409</v>
      </c>
      <c r="D332" s="738">
        <v>0</v>
      </c>
      <c r="E332" s="686">
        <f t="shared" si="34"/>
        <v>0</v>
      </c>
      <c r="F332" s="452">
        <v>25000</v>
      </c>
      <c r="G332" s="687" t="str">
        <f t="shared" si="37"/>
        <v>USD</v>
      </c>
      <c r="H332" s="660" t="s">
        <v>3802</v>
      </c>
      <c r="I332" s="424" t="s">
        <v>3266</v>
      </c>
      <c r="J332" s="512" t="s">
        <v>3803</v>
      </c>
      <c r="K332" s="688">
        <f t="shared" si="35"/>
        <v>1</v>
      </c>
      <c r="L332" s="310">
        <f>SUMIFS('Bilateral assistance, MAIN DATA'!M:M,'Bilateral assistance, MAIN DATA'!I:I,'Price List, Weapons &amp; Items'!A332)</f>
        <v>2</v>
      </c>
      <c r="M332" s="46">
        <f>COUNTIFS('Bilateral assistance, MAIN DATA'!M:M,"undisclosed",'Bilateral assistance, MAIN DATA'!I:I,'Price List, Weapons &amp; Items'!A332)</f>
        <v>0</v>
      </c>
      <c r="N332" s="689">
        <f t="shared" si="36"/>
        <v>50000</v>
      </c>
      <c r="O332" s="1">
        <f>IFERROR(IF(SEARCH(A332,_xlfn.ARRAYTOTEXT('Bilateral assistance, MAIN DATA'!I$1:I$1408))&gt;0,1,""),0)</f>
        <v>1</v>
      </c>
      <c r="P332" s="46">
        <f>IFERROR(IF(SEARCH(A332,_xlfn.ARRAYTOTEXT('Commercial assistance'!I$1:I$1400))&gt;0,1,""),0)</f>
        <v>0</v>
      </c>
    </row>
    <row r="333" spans="1:16" ht="15" customHeight="1">
      <c r="A333" s="424" t="s">
        <v>2466</v>
      </c>
      <c r="B333" s="684" t="s">
        <v>3239</v>
      </c>
      <c r="C333" s="685" t="s">
        <v>3170</v>
      </c>
      <c r="D333" s="552">
        <v>0</v>
      </c>
      <c r="E333" s="686">
        <f t="shared" si="34"/>
        <v>0</v>
      </c>
      <c r="F333" s="452">
        <v>16000</v>
      </c>
      <c r="G333" s="687" t="str">
        <f t="shared" si="37"/>
        <v>USD</v>
      </c>
      <c r="H333" s="652" t="s">
        <v>3804</v>
      </c>
      <c r="I333" s="424" t="s">
        <v>3266</v>
      </c>
      <c r="J333" s="424" t="s">
        <v>3805</v>
      </c>
      <c r="K333" s="688">
        <f t="shared" si="35"/>
        <v>1</v>
      </c>
      <c r="L333" s="310">
        <f>SUMIFS('Bilateral assistance, MAIN DATA'!M:M,'Bilateral assistance, MAIN DATA'!I:I,'Price List, Weapons &amp; Items'!A333)</f>
        <v>6</v>
      </c>
      <c r="M333" s="46">
        <f>COUNTIFS('Bilateral assistance, MAIN DATA'!M:M,"undisclosed",'Bilateral assistance, MAIN DATA'!I:I,'Price List, Weapons &amp; Items'!A333)</f>
        <v>0</v>
      </c>
      <c r="N333" s="689">
        <f t="shared" si="36"/>
        <v>96000</v>
      </c>
      <c r="O333" s="1">
        <f>IFERROR(IF(SEARCH(A333,_xlfn.ARRAYTOTEXT('Bilateral assistance, MAIN DATA'!I$1:I$1408))&gt;0,1,""),0)</f>
        <v>1</v>
      </c>
      <c r="P333" s="46">
        <f>IFERROR(IF(SEARCH(A333,_xlfn.ARRAYTOTEXT('Commercial assistance'!I$1:I$1400))&gt;0,1,""),0)</f>
        <v>0</v>
      </c>
    </row>
    <row r="334" spans="1:16" ht="15" customHeight="1">
      <c r="A334" s="691" t="s">
        <v>3806</v>
      </c>
      <c r="B334" s="684" t="s">
        <v>729</v>
      </c>
      <c r="C334" s="685" t="s">
        <v>3404</v>
      </c>
      <c r="D334" s="552">
        <v>0</v>
      </c>
      <c r="E334" s="686">
        <f t="shared" si="34"/>
        <v>0</v>
      </c>
      <c r="F334" s="452">
        <v>10794.5</v>
      </c>
      <c r="G334" s="687" t="str">
        <f t="shared" si="37"/>
        <v>USD</v>
      </c>
      <c r="H334" s="653" t="s">
        <v>3807</v>
      </c>
      <c r="I334" s="424" t="s">
        <v>3266</v>
      </c>
      <c r="J334" s="424" t="s">
        <v>3808</v>
      </c>
      <c r="K334" s="688">
        <f t="shared" si="35"/>
        <v>1</v>
      </c>
      <c r="L334" s="310">
        <f>SUMIFS('Bilateral assistance, MAIN DATA'!M:M,'Bilateral assistance, MAIN DATA'!I:I,'Price List, Weapons &amp; Items'!A334)</f>
        <v>38</v>
      </c>
      <c r="M334" s="46">
        <f>COUNTIFS('Bilateral assistance, MAIN DATA'!M:M,"undisclosed",'Bilateral assistance, MAIN DATA'!I:I,'Price List, Weapons &amp; Items'!A334)</f>
        <v>0</v>
      </c>
      <c r="N334" s="689">
        <f t="shared" si="36"/>
        <v>410191</v>
      </c>
      <c r="O334" s="1">
        <f>IFERROR(IF(SEARCH(A334,_xlfn.ARRAYTOTEXT('Bilateral assistance, MAIN DATA'!I$1:I$1408))&gt;0,1,""),0)</f>
        <v>1</v>
      </c>
      <c r="P334" s="46">
        <f>IFERROR(IF(SEARCH(A334,_xlfn.ARRAYTOTEXT('Commercial assistance'!I$1:I$1400))&gt;0,1,""),0)</f>
        <v>0</v>
      </c>
    </row>
    <row r="335" spans="1:16" ht="15" customHeight="1">
      <c r="A335" s="697" t="s">
        <v>1697</v>
      </c>
      <c r="B335" s="684" t="s">
        <v>3248</v>
      </c>
      <c r="C335" s="685" t="s">
        <v>3268</v>
      </c>
      <c r="D335" s="686">
        <v>0</v>
      </c>
      <c r="E335" s="686">
        <f t="shared" si="34"/>
        <v>0</v>
      </c>
      <c r="F335" s="452">
        <v>12807.38</v>
      </c>
      <c r="G335" s="687" t="str">
        <f t="shared" si="37"/>
        <v>USD</v>
      </c>
      <c r="H335" s="652" t="s">
        <v>3397</v>
      </c>
      <c r="I335" s="424" t="s">
        <v>3262</v>
      </c>
      <c r="J335" s="424" t="s">
        <v>3809</v>
      </c>
      <c r="K335" s="688">
        <f t="shared" si="35"/>
        <v>1</v>
      </c>
      <c r="L335" s="310">
        <f>SUMIFS('Bilateral assistance, MAIN DATA'!M:M,'Bilateral assistance, MAIN DATA'!I:I,'Price List, Weapons &amp; Items'!A335)</f>
        <v>10</v>
      </c>
      <c r="M335" s="46">
        <f>COUNTIFS('Bilateral assistance, MAIN DATA'!M:M,"undisclosed",'Bilateral assistance, MAIN DATA'!I:I,'Price List, Weapons &amp; Items'!A335)</f>
        <v>0</v>
      </c>
      <c r="N335" s="689">
        <f t="shared" si="36"/>
        <v>128073.79999999999</v>
      </c>
      <c r="O335" s="1">
        <f>IFERROR(IF(SEARCH(A335,_xlfn.ARRAYTOTEXT('Bilateral assistance, MAIN DATA'!I$1:I$1408))&gt;0,1,""),0)</f>
        <v>1</v>
      </c>
      <c r="P335" s="46">
        <f>IFERROR(IF(SEARCH(A335,_xlfn.ARRAYTOTEXT('Commercial assistance'!I$1:I$1400))&gt;0,1,""),0)</f>
        <v>0</v>
      </c>
    </row>
    <row r="336" spans="1:16" ht="15" customHeight="1">
      <c r="A336" s="719" t="s">
        <v>651</v>
      </c>
      <c r="B336" s="684" t="s">
        <v>3248</v>
      </c>
      <c r="C336" s="685" t="s">
        <v>3396</v>
      </c>
      <c r="D336" s="686">
        <v>1</v>
      </c>
      <c r="E336" s="686">
        <f t="shared" si="34"/>
        <v>0</v>
      </c>
      <c r="F336" s="452">
        <v>8625</v>
      </c>
      <c r="G336" s="687" t="str">
        <f t="shared" si="37"/>
        <v>USD</v>
      </c>
      <c r="H336" s="653" t="s">
        <v>3810</v>
      </c>
      <c r="I336" s="424" t="s">
        <v>3380</v>
      </c>
      <c r="J336" s="424" t="s">
        <v>3811</v>
      </c>
      <c r="K336" s="688">
        <f t="shared" si="35"/>
        <v>1</v>
      </c>
      <c r="L336" s="310">
        <f>SUMIFS('Bilateral assistance, MAIN DATA'!M:M,'Bilateral assistance, MAIN DATA'!I:I,'Price List, Weapons &amp; Items'!A336)</f>
        <v>19</v>
      </c>
      <c r="M336" s="46">
        <f>COUNTIFS('Bilateral assistance, MAIN DATA'!M:M,"undisclosed",'Bilateral assistance, MAIN DATA'!I:I,'Price List, Weapons &amp; Items'!A336)</f>
        <v>0</v>
      </c>
      <c r="N336" s="689">
        <f t="shared" si="36"/>
        <v>163875</v>
      </c>
      <c r="O336" s="1">
        <f>IFERROR(IF(SEARCH(A336,_xlfn.ARRAYTOTEXT('Bilateral assistance, MAIN DATA'!I$1:I$1408))&gt;0,1,""),0)</f>
        <v>1</v>
      </c>
      <c r="P336" s="46">
        <f>IFERROR(IF(SEARCH(A336,_xlfn.ARRAYTOTEXT('Commercial assistance'!I$1:I$1400))&gt;0,1,""),0)</f>
        <v>0</v>
      </c>
    </row>
    <row r="337" spans="1:16" ht="15" customHeight="1">
      <c r="A337" s="691" t="s">
        <v>3812</v>
      </c>
      <c r="B337" s="684" t="s">
        <v>3249</v>
      </c>
      <c r="C337" s="685" t="s">
        <v>3813</v>
      </c>
      <c r="D337" s="686">
        <v>0</v>
      </c>
      <c r="E337" s="686">
        <f t="shared" si="34"/>
        <v>0</v>
      </c>
      <c r="F337" s="452">
        <v>6000</v>
      </c>
      <c r="G337" s="687" t="str">
        <f t="shared" si="37"/>
        <v>USD</v>
      </c>
      <c r="H337" s="653" t="s">
        <v>3644</v>
      </c>
      <c r="I337" s="424" t="s">
        <v>3270</v>
      </c>
      <c r="J337" s="424" t="s">
        <v>3645</v>
      </c>
      <c r="K337" s="688">
        <f t="shared" si="35"/>
        <v>1</v>
      </c>
      <c r="L337" s="310">
        <f>SUMIFS('Bilateral assistance, MAIN DATA'!M:M,'Bilateral assistance, MAIN DATA'!I:I,'Price List, Weapons &amp; Items'!A337)</f>
        <v>42</v>
      </c>
      <c r="M337" s="46">
        <f>COUNTIFS('Bilateral assistance, MAIN DATA'!M:M,"undisclosed",'Bilateral assistance, MAIN DATA'!I:I,'Price List, Weapons &amp; Items'!A337)</f>
        <v>3</v>
      </c>
      <c r="N337" s="689">
        <f t="shared" si="36"/>
        <v>252000</v>
      </c>
      <c r="O337" s="1">
        <f>IFERROR(IF(SEARCH(A337,_xlfn.ARRAYTOTEXT('Bilateral assistance, MAIN DATA'!I$1:I$1408))&gt;0,1,""),0)</f>
        <v>1</v>
      </c>
      <c r="P337" s="46">
        <f>IFERROR(IF(SEARCH(A337,_xlfn.ARRAYTOTEXT('Commercial assistance'!I$1:I$1400))&gt;0,1,""),0)</f>
        <v>1</v>
      </c>
    </row>
    <row r="338" spans="1:16" ht="15" customHeight="1">
      <c r="A338" s="699" t="s">
        <v>3814</v>
      </c>
      <c r="B338" s="684" t="s">
        <v>3284</v>
      </c>
      <c r="C338" s="685" t="s">
        <v>3404</v>
      </c>
      <c r="D338" s="552">
        <v>0</v>
      </c>
      <c r="E338" s="686">
        <f t="shared" si="34"/>
        <v>0</v>
      </c>
      <c r="F338" s="452">
        <v>12000</v>
      </c>
      <c r="G338" s="687" t="str">
        <f t="shared" si="37"/>
        <v>USD</v>
      </c>
      <c r="H338" s="653" t="s">
        <v>3405</v>
      </c>
      <c r="I338" s="424" t="s">
        <v>3259</v>
      </c>
      <c r="J338" s="424" t="s">
        <v>3406</v>
      </c>
      <c r="K338" s="688">
        <f t="shared" si="35"/>
        <v>1</v>
      </c>
      <c r="L338" s="310">
        <f>SUMIFS('Bilateral assistance, MAIN DATA'!M:M,'Bilateral assistance, MAIN DATA'!I:I,'Price List, Weapons &amp; Items'!A338)</f>
        <v>10</v>
      </c>
      <c r="M338" s="46">
        <f>COUNTIFS('Bilateral assistance, MAIN DATA'!M:M,"undisclosed",'Bilateral assistance, MAIN DATA'!I:I,'Price List, Weapons &amp; Items'!A338)</f>
        <v>0</v>
      </c>
      <c r="N338" s="689">
        <f t="shared" si="36"/>
        <v>120000</v>
      </c>
      <c r="O338" s="1">
        <f>IFERROR(IF(SEARCH(A338,_xlfn.ARRAYTOTEXT('Bilateral assistance, MAIN DATA'!I$1:I$1408))&gt;0,1,""),0)</f>
        <v>1</v>
      </c>
      <c r="P338" s="46">
        <f>IFERROR(IF(SEARCH(A338,_xlfn.ARRAYTOTEXT('Commercial assistance'!I$1:I$1400))&gt;0,1,""),0)</f>
        <v>0</v>
      </c>
    </row>
    <row r="339" spans="1:16" ht="15" customHeight="1">
      <c r="A339" s="424" t="s">
        <v>1223</v>
      </c>
      <c r="B339" s="684" t="s">
        <v>3248</v>
      </c>
      <c r="C339" s="685" t="s">
        <v>3268</v>
      </c>
      <c r="D339" s="686">
        <v>0</v>
      </c>
      <c r="E339" s="686">
        <f t="shared" si="34"/>
        <v>0</v>
      </c>
      <c r="F339" s="452">
        <v>3000</v>
      </c>
      <c r="G339" s="687" t="str">
        <f t="shared" si="37"/>
        <v>USD</v>
      </c>
      <c r="H339" s="658" t="s">
        <v>3815</v>
      </c>
      <c r="I339" s="424" t="s">
        <v>3262</v>
      </c>
      <c r="J339" s="512" t="s">
        <v>3816</v>
      </c>
      <c r="K339" s="688">
        <f t="shared" si="35"/>
        <v>1</v>
      </c>
      <c r="L339" s="310">
        <f>SUMIFS('Bilateral assistance, MAIN DATA'!M:M,'Bilateral assistance, MAIN DATA'!I:I,'Price List, Weapons &amp; Items'!A339)</f>
        <v>30</v>
      </c>
      <c r="M339" s="46">
        <f>COUNTIFS('Bilateral assistance, MAIN DATA'!M:M,"undisclosed",'Bilateral assistance, MAIN DATA'!I:I,'Price List, Weapons &amp; Items'!A339)</f>
        <v>0</v>
      </c>
      <c r="N339" s="689">
        <f t="shared" si="36"/>
        <v>90000</v>
      </c>
      <c r="O339" s="1">
        <f>IFERROR(IF(SEARCH(A339,_xlfn.ARRAYTOTEXT('Bilateral assistance, MAIN DATA'!I$1:I$1408))&gt;0,1,""),0)</f>
        <v>1</v>
      </c>
      <c r="P339" s="46">
        <f>IFERROR(IF(SEARCH(A339,_xlfn.ARRAYTOTEXT('Commercial assistance'!I$1:I$1400))&gt;0,1,""),0)</f>
        <v>0</v>
      </c>
    </row>
    <row r="340" spans="1:16" ht="15" customHeight="1">
      <c r="A340" s="424" t="s">
        <v>1218</v>
      </c>
      <c r="B340" s="684" t="s">
        <v>3248</v>
      </c>
      <c r="C340" s="685" t="s">
        <v>3268</v>
      </c>
      <c r="D340" s="686">
        <v>0</v>
      </c>
      <c r="E340" s="686">
        <f t="shared" si="34"/>
        <v>0</v>
      </c>
      <c r="F340" s="452">
        <v>3000</v>
      </c>
      <c r="G340" s="687" t="str">
        <f t="shared" si="37"/>
        <v>USD</v>
      </c>
      <c r="H340" s="658" t="s">
        <v>3815</v>
      </c>
      <c r="I340" s="424" t="s">
        <v>3262</v>
      </c>
      <c r="J340" s="512" t="s">
        <v>3816</v>
      </c>
      <c r="K340" s="688">
        <f t="shared" si="35"/>
        <v>1</v>
      </c>
      <c r="L340" s="310">
        <f>SUMIFS('Bilateral assistance, MAIN DATA'!M:M,'Bilateral assistance, MAIN DATA'!I:I,'Price List, Weapons &amp; Items'!A340)</f>
        <v>100</v>
      </c>
      <c r="M340" s="46">
        <f>COUNTIFS('Bilateral assistance, MAIN DATA'!M:M,"undisclosed",'Bilateral assistance, MAIN DATA'!I:I,'Price List, Weapons &amp; Items'!A340)</f>
        <v>0</v>
      </c>
      <c r="N340" s="689">
        <f t="shared" si="36"/>
        <v>300000</v>
      </c>
      <c r="O340" s="1">
        <f>IFERROR(IF(SEARCH(A340,_xlfn.ARRAYTOTEXT('Bilateral assistance, MAIN DATA'!I$1:I$1408))&gt;0,1,""),0)</f>
        <v>1</v>
      </c>
      <c r="P340" s="46">
        <f>IFERROR(IF(SEARCH(A340,_xlfn.ARRAYTOTEXT('Commercial assistance'!I$1:I$1400))&gt;0,1,""),0)</f>
        <v>0</v>
      </c>
    </row>
    <row r="341" spans="1:16" ht="15" customHeight="1">
      <c r="A341" s="528" t="s">
        <v>647</v>
      </c>
      <c r="B341" s="684" t="s">
        <v>3248</v>
      </c>
      <c r="C341" s="685" t="s">
        <v>3268</v>
      </c>
      <c r="D341" s="686">
        <v>1</v>
      </c>
      <c r="E341" s="686">
        <f t="shared" si="34"/>
        <v>0</v>
      </c>
      <c r="F341" s="452">
        <v>3832.65</v>
      </c>
      <c r="G341" s="687" t="str">
        <f t="shared" si="37"/>
        <v>USD</v>
      </c>
      <c r="H341" s="658" t="s">
        <v>3817</v>
      </c>
      <c r="I341" s="424" t="s">
        <v>3266</v>
      </c>
      <c r="J341" s="512" t="s">
        <v>3818</v>
      </c>
      <c r="K341" s="688">
        <f t="shared" si="35"/>
        <v>1</v>
      </c>
      <c r="L341" s="310">
        <f>SUMIFS('Bilateral assistance, MAIN DATA'!M:M,'Bilateral assistance, MAIN DATA'!I:I,'Price List, Weapons &amp; Items'!A341)</f>
        <v>12</v>
      </c>
      <c r="M341" s="46">
        <f>COUNTIFS('Bilateral assistance, MAIN DATA'!M:M,"undisclosed",'Bilateral assistance, MAIN DATA'!I:I,'Price List, Weapons &amp; Items'!A341)</f>
        <v>0</v>
      </c>
      <c r="N341" s="689">
        <f t="shared" si="36"/>
        <v>45991.8</v>
      </c>
      <c r="O341" s="1">
        <f>IFERROR(IF(SEARCH(A341,_xlfn.ARRAYTOTEXT('Bilateral assistance, MAIN DATA'!I$1:I$1408))&gt;0,1,""),0)</f>
        <v>1</v>
      </c>
      <c r="P341" s="46">
        <f>IFERROR(IF(SEARCH(A341,_xlfn.ARRAYTOTEXT('Commercial assistance'!I$1:I$1400))&gt;0,1,""),0)</f>
        <v>0</v>
      </c>
    </row>
    <row r="342" spans="1:16" ht="15" customHeight="1">
      <c r="A342" s="41" t="s">
        <v>660</v>
      </c>
      <c r="B342" s="684" t="s">
        <v>3248</v>
      </c>
      <c r="C342" s="685" t="s">
        <v>3418</v>
      </c>
      <c r="D342" s="552">
        <v>0</v>
      </c>
      <c r="E342" s="686">
        <f t="shared" si="34"/>
        <v>0</v>
      </c>
      <c r="F342" s="452">
        <v>1818.28</v>
      </c>
      <c r="G342" s="687" t="str">
        <f t="shared" si="37"/>
        <v>USD</v>
      </c>
      <c r="H342" s="657" t="s">
        <v>3819</v>
      </c>
      <c r="I342" s="424" t="s">
        <v>3266</v>
      </c>
      <c r="J342" s="512" t="s">
        <v>3820</v>
      </c>
      <c r="K342" s="688">
        <f t="shared" si="35"/>
        <v>1</v>
      </c>
      <c r="L342" s="310">
        <f>SUMIFS('Bilateral assistance, MAIN DATA'!M:M,'Bilateral assistance, MAIN DATA'!I:I,'Price List, Weapons &amp; Items'!A342)</f>
        <v>132</v>
      </c>
      <c r="M342" s="46">
        <f>COUNTIFS('Bilateral assistance, MAIN DATA'!M:M,"undisclosed",'Bilateral assistance, MAIN DATA'!I:I,'Price List, Weapons &amp; Items'!A342)</f>
        <v>0</v>
      </c>
      <c r="N342" s="689">
        <f t="shared" si="36"/>
        <v>240012.96</v>
      </c>
      <c r="O342" s="1">
        <f>IFERROR(IF(SEARCH(A342,_xlfn.ARRAYTOTEXT('Bilateral assistance, MAIN DATA'!I$1:I$1408))&gt;0,1,""),0)</f>
        <v>1</v>
      </c>
      <c r="P342" s="46">
        <f>IFERROR(IF(SEARCH(A342,_xlfn.ARRAYTOTEXT('Commercial assistance'!I$1:I$1400))&gt;0,1,""),0)</f>
        <v>0</v>
      </c>
    </row>
    <row r="343" spans="1:16" ht="15" customHeight="1">
      <c r="A343" s="691" t="s">
        <v>3821</v>
      </c>
      <c r="B343" s="684" t="s">
        <v>729</v>
      </c>
      <c r="C343" s="685" t="s">
        <v>232</v>
      </c>
      <c r="D343" s="552">
        <v>0</v>
      </c>
      <c r="E343" s="686">
        <f t="shared" si="34"/>
        <v>0</v>
      </c>
      <c r="F343" s="452">
        <v>1486.91</v>
      </c>
      <c r="G343" s="687" t="str">
        <f t="shared" si="37"/>
        <v>USD</v>
      </c>
      <c r="H343" s="653" t="s">
        <v>3822</v>
      </c>
      <c r="I343" s="424" t="s">
        <v>3266</v>
      </c>
      <c r="J343" s="424" t="s">
        <v>3823</v>
      </c>
      <c r="K343" s="688">
        <f t="shared" si="35"/>
        <v>1</v>
      </c>
      <c r="L343" s="310">
        <f>SUMIFS('Bilateral assistance, MAIN DATA'!M:M,'Bilateral assistance, MAIN DATA'!I:I,'Price List, Weapons &amp; Items'!A343)</f>
        <v>67</v>
      </c>
      <c r="M343" s="46">
        <f>COUNTIFS('Bilateral assistance, MAIN DATA'!M:M,"undisclosed",'Bilateral assistance, MAIN DATA'!I:I,'Price List, Weapons &amp; Items'!A343)</f>
        <v>0</v>
      </c>
      <c r="N343" s="689">
        <f t="shared" si="36"/>
        <v>99622.97</v>
      </c>
      <c r="O343" s="1">
        <f>IFERROR(IF(SEARCH(A343,_xlfn.ARRAYTOTEXT('Bilateral assistance, MAIN DATA'!I$1:I$1408))&gt;0,1,""),0)</f>
        <v>1</v>
      </c>
      <c r="P343" s="46">
        <f>IFERROR(IF(SEARCH(A343,_xlfn.ARRAYTOTEXT('Commercial assistance'!I$1:I$1400))&gt;0,1,""),0)</f>
        <v>0</v>
      </c>
    </row>
    <row r="344" spans="1:16" ht="15" customHeight="1">
      <c r="A344" s="424" t="s">
        <v>3824</v>
      </c>
      <c r="B344" s="684" t="s">
        <v>729</v>
      </c>
      <c r="C344" s="685" t="s">
        <v>232</v>
      </c>
      <c r="D344" s="686">
        <v>0</v>
      </c>
      <c r="E344" s="686">
        <f t="shared" si="34"/>
        <v>0</v>
      </c>
      <c r="F344" s="452">
        <v>1200</v>
      </c>
      <c r="G344" s="687" t="str">
        <f t="shared" si="37"/>
        <v>USD</v>
      </c>
      <c r="H344" s="653" t="s">
        <v>3825</v>
      </c>
      <c r="I344" s="424" t="s">
        <v>3270</v>
      </c>
      <c r="J344" s="424" t="s">
        <v>3826</v>
      </c>
      <c r="K344" s="688">
        <f t="shared" si="35"/>
        <v>1</v>
      </c>
      <c r="L344" s="310">
        <f>SUMIFS('Bilateral assistance, MAIN DATA'!M:M,'Bilateral assistance, MAIN DATA'!I:I,'Price List, Weapons &amp; Items'!A344)</f>
        <v>30</v>
      </c>
      <c r="M344" s="46">
        <f>COUNTIFS('Bilateral assistance, MAIN DATA'!M:M,"undisclosed",'Bilateral assistance, MAIN DATA'!I:I,'Price List, Weapons &amp; Items'!A344)</f>
        <v>0</v>
      </c>
      <c r="N344" s="689">
        <f t="shared" si="36"/>
        <v>36000</v>
      </c>
      <c r="O344" s="1">
        <f>IFERROR(IF(SEARCH(A344,_xlfn.ARRAYTOTEXT('Bilateral assistance, MAIN DATA'!I$1:I$1408))&gt;0,1,""),0)</f>
        <v>1</v>
      </c>
      <c r="P344" s="46">
        <f>IFERROR(IF(SEARCH(A344,_xlfn.ARRAYTOTEXT('Commercial assistance'!I$1:I$1400))&gt;0,1,""),0)</f>
        <v>0</v>
      </c>
    </row>
    <row r="345" spans="1:16" ht="15" customHeight="1">
      <c r="A345" s="691" t="s">
        <v>1164</v>
      </c>
      <c r="B345" s="684" t="s">
        <v>729</v>
      </c>
      <c r="C345" s="685" t="s">
        <v>232</v>
      </c>
      <c r="D345" s="552">
        <v>0</v>
      </c>
      <c r="E345" s="686">
        <f t="shared" si="34"/>
        <v>0</v>
      </c>
      <c r="F345" s="452">
        <v>1334</v>
      </c>
      <c r="G345" s="687" t="str">
        <f t="shared" si="37"/>
        <v>USD</v>
      </c>
      <c r="H345" s="653" t="s">
        <v>3827</v>
      </c>
      <c r="I345" s="424" t="s">
        <v>3266</v>
      </c>
      <c r="J345" s="424" t="s">
        <v>3828</v>
      </c>
      <c r="K345" s="688">
        <f t="shared" si="35"/>
        <v>1</v>
      </c>
      <c r="L345" s="310">
        <f>SUMIFS('Bilateral assistance, MAIN DATA'!M:M,'Bilateral assistance, MAIN DATA'!I:I,'Price List, Weapons &amp; Items'!A345)</f>
        <v>10</v>
      </c>
      <c r="M345" s="46">
        <f>COUNTIFS('Bilateral assistance, MAIN DATA'!M:M,"undisclosed",'Bilateral assistance, MAIN DATA'!I:I,'Price List, Weapons &amp; Items'!A345)</f>
        <v>0</v>
      </c>
      <c r="N345" s="689">
        <f t="shared" si="36"/>
        <v>13340</v>
      </c>
      <c r="O345" s="1">
        <f>IFERROR(IF(SEARCH(A345,_xlfn.ARRAYTOTEXT('Bilateral assistance, MAIN DATA'!I$1:I$1408))&gt;0,1,""),0)</f>
        <v>1</v>
      </c>
      <c r="P345" s="46">
        <f>IFERROR(IF(SEARCH(A345,_xlfn.ARRAYTOTEXT('Commercial assistance'!I$1:I$1400))&gt;0,1,""),0)</f>
        <v>0</v>
      </c>
    </row>
    <row r="346" spans="1:16" ht="15" customHeight="1">
      <c r="A346" s="697" t="s">
        <v>661</v>
      </c>
      <c r="B346" s="684" t="s">
        <v>3248</v>
      </c>
      <c r="C346" s="685" t="s">
        <v>3418</v>
      </c>
      <c r="D346" s="552">
        <v>0</v>
      </c>
      <c r="E346" s="686">
        <f t="shared" si="34"/>
        <v>0</v>
      </c>
      <c r="F346" s="452">
        <v>992.4</v>
      </c>
      <c r="G346" s="687" t="str">
        <f t="shared" si="37"/>
        <v>USD</v>
      </c>
      <c r="H346" s="652" t="s">
        <v>3829</v>
      </c>
      <c r="I346" s="424" t="s">
        <v>3266</v>
      </c>
      <c r="J346" s="424" t="s">
        <v>3830</v>
      </c>
      <c r="K346" s="688">
        <f t="shared" si="35"/>
        <v>1</v>
      </c>
      <c r="L346" s="310">
        <f>SUMIFS('Bilateral assistance, MAIN DATA'!M:M,'Bilateral assistance, MAIN DATA'!I:I,'Price List, Weapons &amp; Items'!A346)</f>
        <v>70</v>
      </c>
      <c r="M346" s="46">
        <f>COUNTIFS('Bilateral assistance, MAIN DATA'!M:M,"undisclosed",'Bilateral assistance, MAIN DATA'!I:I,'Price List, Weapons &amp; Items'!A346)</f>
        <v>0</v>
      </c>
      <c r="N346" s="689">
        <f t="shared" si="36"/>
        <v>69468</v>
      </c>
      <c r="O346" s="1">
        <f>IFERROR(IF(SEARCH(A346,_xlfn.ARRAYTOTEXT('Bilateral assistance, MAIN DATA'!I$1:I$1408))&gt;0,1,""),0)</f>
        <v>1</v>
      </c>
      <c r="P346" s="46">
        <f>IFERROR(IF(SEARCH(A346,_xlfn.ARRAYTOTEXT('Commercial assistance'!I$1:I$1400))&gt;0,1,""),0)</f>
        <v>0</v>
      </c>
    </row>
    <row r="347" spans="1:16" ht="15" customHeight="1">
      <c r="A347" s="528" t="s">
        <v>3831</v>
      </c>
      <c r="B347" s="684" t="s">
        <v>729</v>
      </c>
      <c r="C347" s="685" t="s">
        <v>3409</v>
      </c>
      <c r="D347" s="686">
        <v>0</v>
      </c>
      <c r="E347" s="686">
        <f t="shared" si="34"/>
        <v>0</v>
      </c>
      <c r="F347" s="452">
        <v>2000</v>
      </c>
      <c r="G347" s="687" t="str">
        <f t="shared" si="37"/>
        <v>USD</v>
      </c>
      <c r="H347" s="653" t="s">
        <v>3832</v>
      </c>
      <c r="I347" s="424" t="s">
        <v>3266</v>
      </c>
      <c r="J347" s="703" t="s">
        <v>3833</v>
      </c>
      <c r="K347" s="688">
        <f t="shared" si="35"/>
        <v>1</v>
      </c>
      <c r="L347" s="310">
        <f>SUMIFS('Bilateral assistance, MAIN DATA'!M:M,'Bilateral assistance, MAIN DATA'!I:I,'Price List, Weapons &amp; Items'!A347)</f>
        <v>24</v>
      </c>
      <c r="M347" s="46">
        <f>COUNTIFS('Bilateral assistance, MAIN DATA'!M:M,"undisclosed",'Bilateral assistance, MAIN DATA'!I:I,'Price List, Weapons &amp; Items'!A347)</f>
        <v>2</v>
      </c>
      <c r="N347" s="689">
        <f t="shared" si="36"/>
        <v>48000</v>
      </c>
      <c r="O347" s="1">
        <f>IFERROR(IF(SEARCH(A347,_xlfn.ARRAYTOTEXT('Bilateral assistance, MAIN DATA'!I$1:I$1408))&gt;0,1,""),0)</f>
        <v>1</v>
      </c>
      <c r="P347" s="46">
        <f>IFERROR(IF(SEARCH(A347,_xlfn.ARRAYTOTEXT('Commercial assistance'!I$1:I$1400))&gt;0,1,""),0)</f>
        <v>0</v>
      </c>
    </row>
    <row r="348" spans="1:16" ht="15" customHeight="1">
      <c r="A348" s="719" t="s">
        <v>639</v>
      </c>
      <c r="B348" s="684" t="s">
        <v>3248</v>
      </c>
      <c r="C348" s="685" t="s">
        <v>3268</v>
      </c>
      <c r="D348" s="686">
        <v>0</v>
      </c>
      <c r="E348" s="686">
        <f t="shared" si="34"/>
        <v>0</v>
      </c>
      <c r="F348" s="452">
        <v>368.75</v>
      </c>
      <c r="G348" s="687" t="str">
        <f t="shared" si="37"/>
        <v>USD</v>
      </c>
      <c r="H348" s="653" t="s">
        <v>3834</v>
      </c>
      <c r="I348" s="424" t="s">
        <v>3266</v>
      </c>
      <c r="J348" s="424" t="s">
        <v>3835</v>
      </c>
      <c r="K348" s="688">
        <f t="shared" si="35"/>
        <v>1</v>
      </c>
      <c r="L348" s="310">
        <f>SUMIFS('Bilateral assistance, MAIN DATA'!M:M,'Bilateral assistance, MAIN DATA'!I:I,'Price List, Weapons &amp; Items'!A348)</f>
        <v>150</v>
      </c>
      <c r="M348" s="46">
        <f>COUNTIFS('Bilateral assistance, MAIN DATA'!M:M,"undisclosed",'Bilateral assistance, MAIN DATA'!I:I,'Price List, Weapons &amp; Items'!A348)</f>
        <v>0</v>
      </c>
      <c r="N348" s="689">
        <f t="shared" si="36"/>
        <v>55312.5</v>
      </c>
      <c r="O348" s="1">
        <f>IFERROR(IF(SEARCH(A348,_xlfn.ARRAYTOTEXT('Bilateral assistance, MAIN DATA'!I$1:I$1408))&gt;0,1,""),0)</f>
        <v>1</v>
      </c>
      <c r="P348" s="46">
        <f>IFERROR(IF(SEARCH(A348,_xlfn.ARRAYTOTEXT('Commercial assistance'!I$1:I$1400))&gt;0,1,""),0)</f>
        <v>0</v>
      </c>
    </row>
    <row r="349" spans="1:16" ht="15" customHeight="1">
      <c r="A349" s="512" t="s">
        <v>3836</v>
      </c>
      <c r="B349" s="684" t="s">
        <v>3300</v>
      </c>
      <c r="C349" s="685" t="s">
        <v>3418</v>
      </c>
      <c r="D349" s="686">
        <v>0</v>
      </c>
      <c r="E349" s="686">
        <f t="shared" si="34"/>
        <v>0</v>
      </c>
      <c r="F349" s="452">
        <v>297</v>
      </c>
      <c r="G349" s="687" t="str">
        <f t="shared" si="37"/>
        <v>USD</v>
      </c>
      <c r="H349" s="653" t="s">
        <v>3837</v>
      </c>
      <c r="I349" s="424" t="s">
        <v>3270</v>
      </c>
      <c r="J349" s="424" t="s">
        <v>3838</v>
      </c>
      <c r="K349" s="688">
        <f t="shared" si="35"/>
        <v>1</v>
      </c>
      <c r="L349" s="310">
        <f>SUMIFS('Bilateral assistance, MAIN DATA'!M:M,'Bilateral assistance, MAIN DATA'!I:I,'Price List, Weapons &amp; Items'!A349)</f>
        <v>400</v>
      </c>
      <c r="M349" s="46">
        <f>COUNTIFS('Bilateral assistance, MAIN DATA'!M:M,"undisclosed",'Bilateral assistance, MAIN DATA'!I:I,'Price List, Weapons &amp; Items'!A349)</f>
        <v>0</v>
      </c>
      <c r="N349" s="689">
        <f t="shared" si="36"/>
        <v>118800</v>
      </c>
      <c r="O349" s="1">
        <f>IFERROR(IF(SEARCH(A349,_xlfn.ARRAYTOTEXT('Bilateral assistance, MAIN DATA'!I$1:I$1408))&gt;0,1,""),0)</f>
        <v>1</v>
      </c>
      <c r="P349" s="46">
        <f>IFERROR(IF(SEARCH(A349,_xlfn.ARRAYTOTEXT('Commercial assistance'!I$1:I$1400))&gt;0,1,""),0)</f>
        <v>0</v>
      </c>
    </row>
    <row r="350" spans="1:16" ht="15" customHeight="1">
      <c r="A350" s="424" t="s">
        <v>3839</v>
      </c>
      <c r="B350" s="684" t="s">
        <v>729</v>
      </c>
      <c r="C350" s="685" t="s">
        <v>232</v>
      </c>
      <c r="D350" s="686">
        <v>0</v>
      </c>
      <c r="E350" s="686">
        <f t="shared" si="34"/>
        <v>0</v>
      </c>
      <c r="F350" s="452">
        <v>219</v>
      </c>
      <c r="G350" s="687" t="str">
        <f t="shared" si="37"/>
        <v>USD</v>
      </c>
      <c r="H350" s="653" t="s">
        <v>3840</v>
      </c>
      <c r="I350" s="424" t="s">
        <v>3266</v>
      </c>
      <c r="J350" s="424" t="s">
        <v>3841</v>
      </c>
      <c r="K350" s="688">
        <f t="shared" si="35"/>
        <v>1</v>
      </c>
      <c r="L350" s="310">
        <f>SUMIFS('Bilateral assistance, MAIN DATA'!M:M,'Bilateral assistance, MAIN DATA'!I:I,'Price List, Weapons &amp; Items'!A350)</f>
        <v>1600</v>
      </c>
      <c r="M350" s="46">
        <f>COUNTIFS('Bilateral assistance, MAIN DATA'!M:M,"undisclosed",'Bilateral assistance, MAIN DATA'!I:I,'Price List, Weapons &amp; Items'!A350)</f>
        <v>0</v>
      </c>
      <c r="N350" s="689">
        <f t="shared" si="36"/>
        <v>350400</v>
      </c>
      <c r="O350" s="1">
        <f>IFERROR(IF(SEARCH(A350,_xlfn.ARRAYTOTEXT('Bilateral assistance, MAIN DATA'!I$1:I$1408))&gt;0,1,""),0)</f>
        <v>1</v>
      </c>
      <c r="P350" s="46">
        <f>IFERROR(IF(SEARCH(A350,_xlfn.ARRAYTOTEXT('Commercial assistance'!I$1:I$1400))&gt;0,1,""),0)</f>
        <v>0</v>
      </c>
    </row>
    <row r="351" spans="1:16" ht="15" customHeight="1">
      <c r="A351" s="424" t="s">
        <v>1316</v>
      </c>
      <c r="B351" s="684" t="s">
        <v>3284</v>
      </c>
      <c r="C351" s="685" t="s">
        <v>3364</v>
      </c>
      <c r="D351" s="686">
        <v>1</v>
      </c>
      <c r="E351" s="686">
        <f t="shared" si="34"/>
        <v>0</v>
      </c>
      <c r="F351" s="452">
        <v>207.68</v>
      </c>
      <c r="G351" s="687" t="str">
        <f t="shared" si="37"/>
        <v>USD</v>
      </c>
      <c r="H351" s="653" t="s">
        <v>3842</v>
      </c>
      <c r="I351" s="424" t="s">
        <v>3266</v>
      </c>
      <c r="J351" s="424" t="s">
        <v>3843</v>
      </c>
      <c r="K351" s="688">
        <f t="shared" si="35"/>
        <v>1</v>
      </c>
      <c r="L351" s="310">
        <f>SUMIFS('Bilateral assistance, MAIN DATA'!M:M,'Bilateral assistance, MAIN DATA'!I:I,'Price List, Weapons &amp; Items'!A351)</f>
        <v>1915</v>
      </c>
      <c r="M351" s="46">
        <f>COUNTIFS('Bilateral assistance, MAIN DATA'!M:M,"undisclosed",'Bilateral assistance, MAIN DATA'!I:I,'Price List, Weapons &amp; Items'!A351)</f>
        <v>0</v>
      </c>
      <c r="N351" s="689">
        <f t="shared" si="36"/>
        <v>397707.2</v>
      </c>
      <c r="O351" s="1">
        <f>IFERROR(IF(SEARCH(A351,_xlfn.ARRAYTOTEXT('Bilateral assistance, MAIN DATA'!I$1:I$1408))&gt;0,1,""),0)</f>
        <v>1</v>
      </c>
      <c r="P351" s="46">
        <f>IFERROR(IF(SEARCH(A351,_xlfn.ARRAYTOTEXT('Commercial assistance'!I$1:I$1400))&gt;0,1,""),0)</f>
        <v>0</v>
      </c>
    </row>
    <row r="352" spans="1:16" ht="15" customHeight="1">
      <c r="A352" s="704" t="s">
        <v>1247</v>
      </c>
      <c r="B352" s="684" t="s">
        <v>729</v>
      </c>
      <c r="C352" s="685" t="s">
        <v>3409</v>
      </c>
      <c r="D352" s="552">
        <v>0</v>
      </c>
      <c r="E352" s="686">
        <f t="shared" si="34"/>
        <v>0</v>
      </c>
      <c r="F352" s="452">
        <v>126.69</v>
      </c>
      <c r="G352" s="687" t="str">
        <f t="shared" si="37"/>
        <v>USD</v>
      </c>
      <c r="H352" s="653" t="s">
        <v>3844</v>
      </c>
      <c r="I352" s="424" t="s">
        <v>3266</v>
      </c>
      <c r="J352" s="512" t="s">
        <v>3845</v>
      </c>
      <c r="K352" s="688">
        <f t="shared" si="35"/>
        <v>1</v>
      </c>
      <c r="L352" s="310">
        <f>SUMIFS('Bilateral assistance, MAIN DATA'!M:M,'Bilateral assistance, MAIN DATA'!I:I,'Price List, Weapons &amp; Items'!A352)</f>
        <v>1</v>
      </c>
      <c r="M352" s="46">
        <f>COUNTIFS('Bilateral assistance, MAIN DATA'!M:M,"undisclosed",'Bilateral assistance, MAIN DATA'!I:I,'Price List, Weapons &amp; Items'!A352)</f>
        <v>0</v>
      </c>
      <c r="N352" s="689">
        <f t="shared" si="36"/>
        <v>126.69</v>
      </c>
      <c r="O352" s="1">
        <f>IFERROR(IF(SEARCH(A352,_xlfn.ARRAYTOTEXT('Bilateral assistance, MAIN DATA'!I$1:I$1408))&gt;0,1,""),0)</f>
        <v>1</v>
      </c>
      <c r="P352" s="46">
        <f>IFERROR(IF(SEARCH(A352,_xlfn.ARRAYTOTEXT('Commercial assistance'!I$1:I$1400))&gt;0,1,""),0)</f>
        <v>0</v>
      </c>
    </row>
    <row r="353" spans="1:16" ht="15" customHeight="1">
      <c r="A353" s="424" t="s">
        <v>3846</v>
      </c>
      <c r="B353" s="684" t="s">
        <v>729</v>
      </c>
      <c r="C353" s="685" t="s">
        <v>232</v>
      </c>
      <c r="D353" s="686">
        <v>0</v>
      </c>
      <c r="E353" s="686">
        <f t="shared" si="34"/>
        <v>0</v>
      </c>
      <c r="F353" s="452">
        <v>50</v>
      </c>
      <c r="G353" s="687" t="str">
        <f t="shared" si="37"/>
        <v>USD</v>
      </c>
      <c r="H353" s="653" t="s">
        <v>3847</v>
      </c>
      <c r="I353" s="424" t="s">
        <v>3266</v>
      </c>
      <c r="J353" s="424" t="s">
        <v>3848</v>
      </c>
      <c r="K353" s="688">
        <f t="shared" si="35"/>
        <v>1</v>
      </c>
      <c r="L353" s="310">
        <f>SUMIFS('Bilateral assistance, MAIN DATA'!M:M,'Bilateral assistance, MAIN DATA'!I:I,'Price List, Weapons &amp; Items'!A353)</f>
        <v>100</v>
      </c>
      <c r="M353" s="46">
        <f>COUNTIFS('Bilateral assistance, MAIN DATA'!M:M,"undisclosed",'Bilateral assistance, MAIN DATA'!I:I,'Price List, Weapons &amp; Items'!A353)</f>
        <v>0</v>
      </c>
      <c r="N353" s="689">
        <f t="shared" si="36"/>
        <v>5000</v>
      </c>
      <c r="O353" s="1">
        <f>IFERROR(IF(SEARCH(A353,_xlfn.ARRAYTOTEXT('Bilateral assistance, MAIN DATA'!I$1:I$1408))&gt;0,1,""),0)</f>
        <v>1</v>
      </c>
      <c r="P353" s="46">
        <f>IFERROR(IF(SEARCH(A353,_xlfn.ARRAYTOTEXT('Commercial assistance'!I$1:I$1400))&gt;0,1,""),0)</f>
        <v>0</v>
      </c>
    </row>
    <row r="354" spans="1:16" ht="15" customHeight="1">
      <c r="A354" s="424" t="s">
        <v>3849</v>
      </c>
      <c r="B354" s="684" t="s">
        <v>729</v>
      </c>
      <c r="C354" s="685" t="s">
        <v>232</v>
      </c>
      <c r="D354" s="686">
        <v>0</v>
      </c>
      <c r="E354" s="686">
        <f t="shared" ref="E354:E385" si="38">IF(OR(C354="Armoured Personnel Carrier (APC)",C354="Armoured Recovery Vehicle (ARV)",C354="Armoured Utility Vehicle (AUV)",C354="152mm howitzer ammunition",C354="155mm howitzer ammunition",C354="300mm MLRS ammunition",C354="155mm howitzer",C354="227mm MLRS ammunition",C354="Infantry fighting vehicle (IFV)",C354="152mm howitzer",C354="227mm MLRS",C354="Main Battle Tank (MBT)",C354="Protected Patrol Vehicle (PPV)",C354="127mm MLRS",C354="122mm MLRS",C354="122mm MLRS ammunition",C354="122mm MLRS",C354="127mm MLRS",C354="127mm MLRS ammunition")=TRUE,1,0)</f>
        <v>0</v>
      </c>
      <c r="F354" s="452">
        <v>70</v>
      </c>
      <c r="G354" s="687" t="str">
        <f t="shared" si="37"/>
        <v>USD</v>
      </c>
      <c r="H354" s="653" t="s">
        <v>3850</v>
      </c>
      <c r="I354" s="424" t="s">
        <v>3266</v>
      </c>
      <c r="J354" s="424" t="s">
        <v>3851</v>
      </c>
      <c r="K354" s="688">
        <f t="shared" si="35"/>
        <v>1</v>
      </c>
      <c r="L354" s="310">
        <f>SUMIFS('Bilateral assistance, MAIN DATA'!M:M,'Bilateral assistance, MAIN DATA'!I:I,'Price List, Weapons &amp; Items'!A354)</f>
        <v>215</v>
      </c>
      <c r="M354" s="46">
        <f>COUNTIFS('Bilateral assistance, MAIN DATA'!M:M,"undisclosed",'Bilateral assistance, MAIN DATA'!I:I,'Price List, Weapons &amp; Items'!A354)</f>
        <v>1</v>
      </c>
      <c r="N354" s="689">
        <f t="shared" si="36"/>
        <v>15050</v>
      </c>
      <c r="O354" s="1">
        <f>IFERROR(IF(SEARCH(A354,_xlfn.ARRAYTOTEXT('Bilateral assistance, MAIN DATA'!I$1:I$1408))&gt;0,1,""),0)</f>
        <v>1</v>
      </c>
      <c r="P354" s="46">
        <f>IFERROR(IF(SEARCH(A354,_xlfn.ARRAYTOTEXT('Commercial assistance'!I$1:I$1400))&gt;0,1,""),0)</f>
        <v>0</v>
      </c>
    </row>
    <row r="355" spans="1:16" ht="15" customHeight="1">
      <c r="A355" s="718" t="s">
        <v>3852</v>
      </c>
      <c r="B355" s="684" t="s">
        <v>729</v>
      </c>
      <c r="C355" s="685" t="s">
        <v>232</v>
      </c>
      <c r="D355" s="686">
        <v>0</v>
      </c>
      <c r="E355" s="686">
        <f t="shared" si="38"/>
        <v>0</v>
      </c>
      <c r="F355" s="452">
        <v>60</v>
      </c>
      <c r="G355" s="687" t="str">
        <f t="shared" si="37"/>
        <v>USD</v>
      </c>
      <c r="H355" s="673" t="s">
        <v>3853</v>
      </c>
      <c r="I355" s="424" t="s">
        <v>3270</v>
      </c>
      <c r="J355" s="739" t="s">
        <v>3854</v>
      </c>
      <c r="K355" s="688">
        <f t="shared" si="35"/>
        <v>1</v>
      </c>
      <c r="L355" s="310">
        <f>SUMIFS('Bilateral assistance, MAIN DATA'!M:M,'Bilateral assistance, MAIN DATA'!I:I,'Price List, Weapons &amp; Items'!A355)</f>
        <v>1000</v>
      </c>
      <c r="M355" s="46">
        <f>COUNTIFS('Bilateral assistance, MAIN DATA'!M:M,"undisclosed",'Bilateral assistance, MAIN DATA'!I:I,'Price List, Weapons &amp; Items'!A355)</f>
        <v>0</v>
      </c>
      <c r="N355" s="689">
        <f t="shared" si="36"/>
        <v>60000</v>
      </c>
      <c r="O355" s="1">
        <f>IFERROR(IF(SEARCH(A355,_xlfn.ARRAYTOTEXT('Bilateral assistance, MAIN DATA'!I$1:I$1408))&gt;0,1,""),0)</f>
        <v>1</v>
      </c>
      <c r="P355" s="46">
        <f>IFERROR(IF(SEARCH(A355,_xlfn.ARRAYTOTEXT('Commercial assistance'!I$1:I$1400))&gt;0,1,""),0)</f>
        <v>0</v>
      </c>
    </row>
    <row r="356" spans="1:16" ht="15" customHeight="1">
      <c r="A356" s="740" t="s">
        <v>3855</v>
      </c>
      <c r="B356" s="684" t="s">
        <v>729</v>
      </c>
      <c r="C356" s="685" t="s">
        <v>232</v>
      </c>
      <c r="D356" s="552">
        <v>0</v>
      </c>
      <c r="E356" s="686">
        <f t="shared" si="38"/>
        <v>0</v>
      </c>
      <c r="F356" s="452">
        <v>69</v>
      </c>
      <c r="G356" s="687" t="str">
        <f t="shared" si="37"/>
        <v>USD</v>
      </c>
      <c r="H356" s="660" t="s">
        <v>3856</v>
      </c>
      <c r="I356" s="424" t="s">
        <v>3266</v>
      </c>
      <c r="J356" s="695" t="s">
        <v>3857</v>
      </c>
      <c r="K356" s="688">
        <f t="shared" si="35"/>
        <v>1</v>
      </c>
      <c r="L356" s="310">
        <f>SUMIFS('Bilateral assistance, MAIN DATA'!M:M,'Bilateral assistance, MAIN DATA'!I:I,'Price List, Weapons &amp; Items'!A356)</f>
        <v>3000</v>
      </c>
      <c r="M356" s="46">
        <f>COUNTIFS('Bilateral assistance, MAIN DATA'!M:M,"undisclosed",'Bilateral assistance, MAIN DATA'!I:I,'Price List, Weapons &amp; Items'!A356)</f>
        <v>0</v>
      </c>
      <c r="N356" s="689">
        <f t="shared" si="36"/>
        <v>207000</v>
      </c>
      <c r="O356" s="1">
        <f>IFERROR(IF(SEARCH(A356,_xlfn.ARRAYTOTEXT('Bilateral assistance, MAIN DATA'!I$1:I$1408))&gt;0,1,""),0)</f>
        <v>1</v>
      </c>
      <c r="P356" s="46">
        <f>IFERROR(IF(SEARCH(A356,_xlfn.ARRAYTOTEXT('Commercial assistance'!I$1:I$1400))&gt;0,1,""),0)</f>
        <v>0</v>
      </c>
    </row>
    <row r="357" spans="1:16" ht="15" customHeight="1">
      <c r="A357" s="726" t="s">
        <v>3858</v>
      </c>
      <c r="B357" s="684" t="s">
        <v>729</v>
      </c>
      <c r="C357" s="685" t="s">
        <v>232</v>
      </c>
      <c r="D357" s="552">
        <v>0</v>
      </c>
      <c r="E357" s="686">
        <f t="shared" si="38"/>
        <v>0</v>
      </c>
      <c r="F357" s="452">
        <v>45</v>
      </c>
      <c r="G357" s="687" t="str">
        <f t="shared" si="37"/>
        <v>USD</v>
      </c>
      <c r="H357" s="670" t="s">
        <v>3859</v>
      </c>
      <c r="I357" s="424" t="s">
        <v>3266</v>
      </c>
      <c r="J357" s="722" t="s">
        <v>3860</v>
      </c>
      <c r="K357" s="688">
        <f t="shared" si="35"/>
        <v>1</v>
      </c>
      <c r="L357" s="310">
        <f>SUMIFS('Bilateral assistance, MAIN DATA'!M:M,'Bilateral assistance, MAIN DATA'!I:I,'Price List, Weapons &amp; Items'!A357)</f>
        <v>125</v>
      </c>
      <c r="M357" s="46">
        <f>COUNTIFS('Bilateral assistance, MAIN DATA'!M:M,"undisclosed",'Bilateral assistance, MAIN DATA'!I:I,'Price List, Weapons &amp; Items'!A357)</f>
        <v>0</v>
      </c>
      <c r="N357" s="689">
        <f t="shared" si="36"/>
        <v>5625</v>
      </c>
      <c r="O357" s="1">
        <f>IFERROR(IF(SEARCH(A357,_xlfn.ARRAYTOTEXT('Bilateral assistance, MAIN DATA'!I$1:I$1408))&gt;0,1,""),0)</f>
        <v>1</v>
      </c>
      <c r="P357" s="46">
        <f>IFERROR(IF(SEARCH(A357,_xlfn.ARRAYTOTEXT('Commercial assistance'!I$1:I$1400))&gt;0,1,""),0)</f>
        <v>0</v>
      </c>
    </row>
    <row r="358" spans="1:16" ht="15" customHeight="1">
      <c r="A358" s="724" t="s">
        <v>3861</v>
      </c>
      <c r="B358" s="684" t="s">
        <v>729</v>
      </c>
      <c r="C358" s="685" t="s">
        <v>232</v>
      </c>
      <c r="D358" s="686">
        <v>0</v>
      </c>
      <c r="E358" s="686">
        <f t="shared" si="38"/>
        <v>0</v>
      </c>
      <c r="F358" s="452">
        <v>36.950000000000003</v>
      </c>
      <c r="G358" s="687" t="str">
        <f t="shared" si="37"/>
        <v>USD</v>
      </c>
      <c r="H358" s="674" t="s">
        <v>360</v>
      </c>
      <c r="I358" s="424" t="s">
        <v>3308</v>
      </c>
      <c r="J358" s="722" t="s">
        <v>3862</v>
      </c>
      <c r="K358" s="688">
        <f t="shared" si="35"/>
        <v>1</v>
      </c>
      <c r="L358" s="310">
        <f>SUMIFS('Bilateral assistance, MAIN DATA'!M:M,'Bilateral assistance, MAIN DATA'!I:I,'Price List, Weapons &amp; Items'!A358)</f>
        <v>10059</v>
      </c>
      <c r="M358" s="46">
        <f>COUNTIFS('Bilateral assistance, MAIN DATA'!M:M,"undisclosed",'Bilateral assistance, MAIN DATA'!I:I,'Price List, Weapons &amp; Items'!A358)</f>
        <v>0</v>
      </c>
      <c r="N358" s="689">
        <f t="shared" si="36"/>
        <v>371680.05000000005</v>
      </c>
      <c r="O358" s="1">
        <f>IFERROR(IF(SEARCH(A358,_xlfn.ARRAYTOTEXT('Bilateral assistance, MAIN DATA'!I$1:I$1408))&gt;0,1,""),0)</f>
        <v>1</v>
      </c>
      <c r="P358" s="46">
        <f>IFERROR(IF(SEARCH(A358,_xlfn.ARRAYTOTEXT('Commercial assistance'!I$1:I$1400))&gt;0,1,""),0)</f>
        <v>0</v>
      </c>
    </row>
    <row r="359" spans="1:16" ht="15" customHeight="1">
      <c r="A359" s="704" t="s">
        <v>1181</v>
      </c>
      <c r="B359" s="684" t="s">
        <v>729</v>
      </c>
      <c r="C359" s="685" t="s">
        <v>232</v>
      </c>
      <c r="D359" s="552">
        <v>0</v>
      </c>
      <c r="E359" s="686">
        <f t="shared" si="38"/>
        <v>0</v>
      </c>
      <c r="F359" s="452">
        <f>34.99*'Exchange rates'!C3</f>
        <v>34.99</v>
      </c>
      <c r="G359" s="687" t="str">
        <f t="shared" si="37"/>
        <v>USD</v>
      </c>
      <c r="H359" s="653" t="s">
        <v>3863</v>
      </c>
      <c r="I359" s="424" t="s">
        <v>3266</v>
      </c>
      <c r="J359" s="424" t="s">
        <v>3864</v>
      </c>
      <c r="K359" s="688">
        <f t="shared" si="35"/>
        <v>1</v>
      </c>
      <c r="L359" s="310">
        <f>SUMIFS('Bilateral assistance, MAIN DATA'!M:M,'Bilateral assistance, MAIN DATA'!I:I,'Price List, Weapons &amp; Items'!A359)</f>
        <v>5000</v>
      </c>
      <c r="M359" s="46">
        <f>COUNTIFS('Bilateral assistance, MAIN DATA'!M:M,"undisclosed",'Bilateral assistance, MAIN DATA'!I:I,'Price List, Weapons &amp; Items'!A359)</f>
        <v>0</v>
      </c>
      <c r="N359" s="689">
        <f t="shared" si="36"/>
        <v>174950</v>
      </c>
      <c r="O359" s="1">
        <f>IFERROR(IF(SEARCH(A359,_xlfn.ARRAYTOTEXT('Bilateral assistance, MAIN DATA'!I$1:I$1408))&gt;0,1,""),0)</f>
        <v>1</v>
      </c>
      <c r="P359" s="46">
        <f>IFERROR(IF(SEARCH(A359,_xlfn.ARRAYTOTEXT('Commercial assistance'!I$1:I$1400))&gt;0,1,""),0)</f>
        <v>0</v>
      </c>
    </row>
    <row r="360" spans="1:16" ht="15" customHeight="1">
      <c r="A360" s="424" t="s">
        <v>3865</v>
      </c>
      <c r="B360" s="684" t="s">
        <v>729</v>
      </c>
      <c r="C360" s="685" t="s">
        <v>232</v>
      </c>
      <c r="D360" s="686">
        <v>0</v>
      </c>
      <c r="E360" s="686">
        <f t="shared" si="38"/>
        <v>0</v>
      </c>
      <c r="F360" s="452">
        <v>50</v>
      </c>
      <c r="G360" s="687" t="str">
        <f t="shared" si="37"/>
        <v>USD</v>
      </c>
      <c r="H360" s="652" t="s">
        <v>3866</v>
      </c>
      <c r="I360" s="424" t="s">
        <v>3266</v>
      </c>
      <c r="J360" s="424" t="s">
        <v>3867</v>
      </c>
      <c r="K360" s="688">
        <f t="shared" si="35"/>
        <v>1</v>
      </c>
      <c r="L360" s="310">
        <f>SUMIFS('Bilateral assistance, MAIN DATA'!M:M,'Bilateral assistance, MAIN DATA'!I:I,'Price List, Weapons &amp; Items'!A360)</f>
        <v>571</v>
      </c>
      <c r="M360" s="46">
        <f>COUNTIFS('Bilateral assistance, MAIN DATA'!M:M,"undisclosed",'Bilateral assistance, MAIN DATA'!I:I,'Price List, Weapons &amp; Items'!A360)</f>
        <v>0</v>
      </c>
      <c r="N360" s="689">
        <f t="shared" si="36"/>
        <v>28550</v>
      </c>
      <c r="O360" s="1">
        <f>IFERROR(IF(SEARCH(A360,_xlfn.ARRAYTOTEXT('Bilateral assistance, MAIN DATA'!I$1:I$1408))&gt;0,1,""),0)</f>
        <v>1</v>
      </c>
      <c r="P360" s="46">
        <f>IFERROR(IF(SEARCH(A360,_xlfn.ARRAYTOTEXT('Commercial assistance'!I$1:I$1400))&gt;0,1,""),0)</f>
        <v>0</v>
      </c>
    </row>
    <row r="361" spans="1:16" ht="15" customHeight="1">
      <c r="A361" s="424" t="s">
        <v>3868</v>
      </c>
      <c r="B361" s="684" t="s">
        <v>3243</v>
      </c>
      <c r="C361" s="685" t="s">
        <v>3275</v>
      </c>
      <c r="D361" s="686">
        <v>0</v>
      </c>
      <c r="E361" s="686">
        <f t="shared" si="38"/>
        <v>0</v>
      </c>
      <c r="F361" s="452">
        <v>15</v>
      </c>
      <c r="G361" s="687" t="str">
        <f t="shared" si="37"/>
        <v>USD</v>
      </c>
      <c r="H361" s="653" t="s">
        <v>3869</v>
      </c>
      <c r="I361" s="424" t="s">
        <v>3262</v>
      </c>
      <c r="J361" s="424" t="s">
        <v>3870</v>
      </c>
      <c r="K361" s="688">
        <f t="shared" si="35"/>
        <v>1</v>
      </c>
      <c r="L361" s="310">
        <f>SUMIFS('Bilateral assistance, MAIN DATA'!M:M,'Bilateral assistance, MAIN DATA'!I:I,'Price List, Weapons &amp; Items'!A361)</f>
        <v>5300</v>
      </c>
      <c r="M361" s="46">
        <f>COUNTIFS('Bilateral assistance, MAIN DATA'!M:M,"undisclosed",'Bilateral assistance, MAIN DATA'!I:I,'Price List, Weapons &amp; Items'!A361)</f>
        <v>0</v>
      </c>
      <c r="N361" s="689">
        <f t="shared" si="36"/>
        <v>79500</v>
      </c>
      <c r="O361" s="1">
        <f>IFERROR(IF(SEARCH(A361,_xlfn.ARRAYTOTEXT('Bilateral assistance, MAIN DATA'!I$1:I$1408))&gt;0,1,""),0)</f>
        <v>1</v>
      </c>
      <c r="P361" s="46">
        <f>IFERROR(IF(SEARCH(A361,_xlfn.ARRAYTOTEXT('Commercial assistance'!I$1:I$1400))&gt;0,1,""),0)</f>
        <v>0</v>
      </c>
    </row>
    <row r="362" spans="1:16" ht="15" customHeight="1">
      <c r="A362" s="691" t="s">
        <v>3871</v>
      </c>
      <c r="B362" s="684" t="s">
        <v>729</v>
      </c>
      <c r="C362" s="685" t="s">
        <v>232</v>
      </c>
      <c r="D362" s="552">
        <v>0</v>
      </c>
      <c r="E362" s="686">
        <f t="shared" si="38"/>
        <v>0</v>
      </c>
      <c r="F362" s="452">
        <v>11.99</v>
      </c>
      <c r="G362" s="687" t="str">
        <f t="shared" si="37"/>
        <v>USD</v>
      </c>
      <c r="H362" s="653" t="s">
        <v>3265</v>
      </c>
      <c r="I362" s="424" t="s">
        <v>3266</v>
      </c>
      <c r="J362" s="695" t="s">
        <v>3872</v>
      </c>
      <c r="K362" s="688">
        <f t="shared" si="35"/>
        <v>1</v>
      </c>
      <c r="L362" s="310">
        <f>SUMIFS('Bilateral assistance, MAIN DATA'!M:M,'Bilateral assistance, MAIN DATA'!I:I,'Price List, Weapons &amp; Items'!A362)</f>
        <v>165</v>
      </c>
      <c r="M362" s="46">
        <f>COUNTIFS('Bilateral assistance, MAIN DATA'!M:M,"undisclosed",'Bilateral assistance, MAIN DATA'!I:I,'Price List, Weapons &amp; Items'!A362)</f>
        <v>0</v>
      </c>
      <c r="N362" s="689">
        <f t="shared" si="36"/>
        <v>1978.3500000000001</v>
      </c>
      <c r="O362" s="1">
        <f>IFERROR(IF(SEARCH(A362,_xlfn.ARRAYTOTEXT('Bilateral assistance, MAIN DATA'!I$1:I$1408))&gt;0,1,""),0)</f>
        <v>1</v>
      </c>
      <c r="P362" s="46">
        <f>IFERROR(IF(SEARCH(A362,_xlfn.ARRAYTOTEXT('Commercial assistance'!I$1:I$1400))&gt;0,1,""),0)</f>
        <v>0</v>
      </c>
    </row>
    <row r="363" spans="1:16" ht="15" customHeight="1">
      <c r="A363" s="691" t="s">
        <v>3873</v>
      </c>
      <c r="B363" s="684" t="s">
        <v>729</v>
      </c>
      <c r="C363" s="685" t="s">
        <v>232</v>
      </c>
      <c r="D363" s="552">
        <v>0</v>
      </c>
      <c r="E363" s="686">
        <f t="shared" si="38"/>
        <v>0</v>
      </c>
      <c r="F363" s="452">
        <v>9.93</v>
      </c>
      <c r="G363" s="687" t="str">
        <f t="shared" si="37"/>
        <v>USD</v>
      </c>
      <c r="H363" s="653" t="s">
        <v>3874</v>
      </c>
      <c r="I363" s="424" t="s">
        <v>3266</v>
      </c>
      <c r="J363" s="695" t="s">
        <v>3875</v>
      </c>
      <c r="K363" s="688">
        <f t="shared" si="35"/>
        <v>1</v>
      </c>
      <c r="L363" s="310">
        <f>SUMIFS('Bilateral assistance, MAIN DATA'!M:M,'Bilateral assistance, MAIN DATA'!I:I,'Price List, Weapons &amp; Items'!A363)</f>
        <v>100</v>
      </c>
      <c r="M363" s="46">
        <f>COUNTIFS('Bilateral assistance, MAIN DATA'!M:M,"undisclosed",'Bilateral assistance, MAIN DATA'!I:I,'Price List, Weapons &amp; Items'!A363)</f>
        <v>0</v>
      </c>
      <c r="N363" s="689">
        <f t="shared" si="36"/>
        <v>993</v>
      </c>
      <c r="O363" s="1">
        <f>IFERROR(IF(SEARCH(A363,_xlfn.ARRAYTOTEXT('Bilateral assistance, MAIN DATA'!I$1:I$1408))&gt;0,1,""),0)</f>
        <v>1</v>
      </c>
      <c r="P363" s="46">
        <f>IFERROR(IF(SEARCH(A363,_xlfn.ARRAYTOTEXT('Commercial assistance'!I$1:I$1400))&gt;0,1,""),0)</f>
        <v>0</v>
      </c>
    </row>
    <row r="364" spans="1:16" ht="15" customHeight="1">
      <c r="A364" s="741" t="s">
        <v>3876</v>
      </c>
      <c r="B364" s="684" t="s">
        <v>729</v>
      </c>
      <c r="C364" s="685" t="s">
        <v>232</v>
      </c>
      <c r="D364" s="686">
        <v>0</v>
      </c>
      <c r="E364" s="686">
        <f t="shared" si="38"/>
        <v>0</v>
      </c>
      <c r="F364" s="452">
        <v>2.5</v>
      </c>
      <c r="G364" s="687" t="str">
        <f t="shared" si="37"/>
        <v>USD</v>
      </c>
      <c r="H364" s="660" t="s">
        <v>3877</v>
      </c>
      <c r="I364" s="424" t="s">
        <v>3266</v>
      </c>
      <c r="J364" s="739" t="s">
        <v>3878</v>
      </c>
      <c r="K364" s="688">
        <f t="shared" si="35"/>
        <v>1</v>
      </c>
      <c r="L364" s="310">
        <f>SUMIFS('Bilateral assistance, MAIN DATA'!M:M,'Bilateral assistance, MAIN DATA'!I:I,'Price List, Weapons &amp; Items'!A364)</f>
        <v>1700</v>
      </c>
      <c r="M364" s="46">
        <f>COUNTIFS('Bilateral assistance, MAIN DATA'!M:M,"undisclosed",'Bilateral assistance, MAIN DATA'!I:I,'Price List, Weapons &amp; Items'!A364)</f>
        <v>0</v>
      </c>
      <c r="N364" s="689">
        <f t="shared" si="36"/>
        <v>4250</v>
      </c>
      <c r="O364" s="1">
        <f>IFERROR(IF(SEARCH(A364,_xlfn.ARRAYTOTEXT('Bilateral assistance, MAIN DATA'!I$1:I$1408))&gt;0,1,""),0)</f>
        <v>1</v>
      </c>
      <c r="P364" s="46">
        <f>IFERROR(IF(SEARCH(A364,_xlfn.ARRAYTOTEXT('Commercial assistance'!I$1:I$1400))&gt;0,1,""),0)</f>
        <v>0</v>
      </c>
    </row>
    <row r="365" spans="1:16" ht="15" customHeight="1">
      <c r="A365" s="528" t="s">
        <v>3879</v>
      </c>
      <c r="B365" s="684" t="s">
        <v>3243</v>
      </c>
      <c r="C365" s="685" t="s">
        <v>3244</v>
      </c>
      <c r="D365" s="686">
        <v>1</v>
      </c>
      <c r="E365" s="686">
        <f t="shared" si="38"/>
        <v>0</v>
      </c>
      <c r="F365" s="452">
        <v>1.625</v>
      </c>
      <c r="G365" s="687" t="str">
        <f t="shared" si="37"/>
        <v>USD</v>
      </c>
      <c r="H365" s="653" t="s">
        <v>3880</v>
      </c>
      <c r="I365" s="424" t="s">
        <v>3266</v>
      </c>
      <c r="J365" s="424" t="s">
        <v>3881</v>
      </c>
      <c r="K365" s="688">
        <f t="shared" si="35"/>
        <v>1</v>
      </c>
      <c r="L365" s="310">
        <f>SUMIFS('Bilateral assistance, MAIN DATA'!M:M,'Bilateral assistance, MAIN DATA'!I:I,'Price List, Weapons &amp; Items'!A365)</f>
        <v>125000</v>
      </c>
      <c r="M365" s="46">
        <f>COUNTIFS('Bilateral assistance, MAIN DATA'!M:M,"undisclosed",'Bilateral assistance, MAIN DATA'!I:I,'Price List, Weapons &amp; Items'!A365)</f>
        <v>0</v>
      </c>
      <c r="N365" s="689">
        <f t="shared" si="36"/>
        <v>203125</v>
      </c>
      <c r="O365" s="1">
        <f>IFERROR(IF(SEARCH(A365,_xlfn.ARRAYTOTEXT('Bilateral assistance, MAIN DATA'!I$1:I$1408))&gt;0,1,""),0)</f>
        <v>1</v>
      </c>
      <c r="P365" s="46">
        <f>IFERROR(IF(SEARCH(A365,_xlfn.ARRAYTOTEXT('Commercial assistance'!I$1:I$1400))&gt;0,1,""),0)</f>
        <v>0</v>
      </c>
    </row>
    <row r="366" spans="1:16" ht="15" customHeight="1">
      <c r="A366" s="512" t="s">
        <v>3882</v>
      </c>
      <c r="B366" s="684" t="s">
        <v>729</v>
      </c>
      <c r="C366" s="685" t="s">
        <v>232</v>
      </c>
      <c r="D366" s="686">
        <v>0</v>
      </c>
      <c r="E366" s="686">
        <f t="shared" si="38"/>
        <v>0</v>
      </c>
      <c r="F366" s="452">
        <v>0.4</v>
      </c>
      <c r="G366" s="687" t="str">
        <f t="shared" si="37"/>
        <v>USD</v>
      </c>
      <c r="H366" s="652" t="s">
        <v>3883</v>
      </c>
      <c r="I366" s="424" t="s">
        <v>3266</v>
      </c>
      <c r="J366" s="424" t="s">
        <v>3884</v>
      </c>
      <c r="K366" s="688">
        <f t="shared" si="35"/>
        <v>1</v>
      </c>
      <c r="L366" s="310">
        <f>SUMIFS('Bilateral assistance, MAIN DATA'!M:M,'Bilateral assistance, MAIN DATA'!I:I,'Price List, Weapons &amp; Items'!A366)</f>
        <v>1000</v>
      </c>
      <c r="M366" s="46">
        <f>COUNTIFS('Bilateral assistance, MAIN DATA'!M:M,"undisclosed",'Bilateral assistance, MAIN DATA'!I:I,'Price List, Weapons &amp; Items'!A366)</f>
        <v>1</v>
      </c>
      <c r="N366" s="689">
        <f t="shared" si="36"/>
        <v>400</v>
      </c>
      <c r="O366" s="1">
        <f>IFERROR(IF(SEARCH(A366,_xlfn.ARRAYTOTEXT('Bilateral assistance, MAIN DATA'!I$1:I$1408))&gt;0,1,""),0)</f>
        <v>1</v>
      </c>
      <c r="P366" s="46">
        <f>IFERROR(IF(SEARCH(A366,_xlfn.ARRAYTOTEXT('Commercial assistance'!I$1:I$1400))&gt;0,1,""),0)</f>
        <v>0</v>
      </c>
    </row>
    <row r="367" spans="1:16" ht="15" customHeight="1">
      <c r="A367" s="512" t="s">
        <v>3885</v>
      </c>
      <c r="B367" s="684" t="s">
        <v>729</v>
      </c>
      <c r="C367" s="685" t="s">
        <v>232</v>
      </c>
      <c r="D367" s="686">
        <v>0</v>
      </c>
      <c r="E367" s="686">
        <f t="shared" si="38"/>
        <v>0</v>
      </c>
      <c r="F367" s="452">
        <v>1.35</v>
      </c>
      <c r="G367" s="687" t="str">
        <f t="shared" si="37"/>
        <v>USD</v>
      </c>
      <c r="H367" s="653" t="s">
        <v>3886</v>
      </c>
      <c r="I367" s="424" t="s">
        <v>3270</v>
      </c>
      <c r="J367" s="424" t="s">
        <v>3887</v>
      </c>
      <c r="K367" s="688">
        <f t="shared" si="35"/>
        <v>1</v>
      </c>
      <c r="L367" s="310">
        <f>SUMIFS('Bilateral assistance, MAIN DATA'!M:M,'Bilateral assistance, MAIN DATA'!I:I,'Price List, Weapons &amp; Items'!A367)</f>
        <v>200000</v>
      </c>
      <c r="M367" s="46">
        <f>COUNTIFS('Bilateral assistance, MAIN DATA'!M:M,"undisclosed",'Bilateral assistance, MAIN DATA'!I:I,'Price List, Weapons &amp; Items'!A367)</f>
        <v>0</v>
      </c>
      <c r="N367" s="689">
        <f t="shared" si="36"/>
        <v>270000</v>
      </c>
      <c r="O367" s="1">
        <f>IFERROR(IF(SEARCH(A367,_xlfn.ARRAYTOTEXT('Bilateral assistance, MAIN DATA'!I$1:I$1408))&gt;0,1,""),0)</f>
        <v>1</v>
      </c>
      <c r="P367" s="46">
        <f>IFERROR(IF(SEARCH(A367,_xlfn.ARRAYTOTEXT('Commercial assistance'!I$1:I$1400))&gt;0,1,""),0)</f>
        <v>0</v>
      </c>
    </row>
    <row r="368" spans="1:16" ht="15" customHeight="1">
      <c r="A368" s="740" t="s">
        <v>3888</v>
      </c>
      <c r="B368" s="684" t="s">
        <v>3243</v>
      </c>
      <c r="C368" s="685" t="s">
        <v>3244</v>
      </c>
      <c r="D368" s="686">
        <v>0</v>
      </c>
      <c r="E368" s="686">
        <f t="shared" si="38"/>
        <v>0</v>
      </c>
      <c r="F368" s="452">
        <v>0.95</v>
      </c>
      <c r="G368" s="687" t="str">
        <f t="shared" si="37"/>
        <v>USD</v>
      </c>
      <c r="H368" s="660" t="s">
        <v>3730</v>
      </c>
      <c r="I368" s="424" t="s">
        <v>3266</v>
      </c>
      <c r="J368" s="695" t="s">
        <v>3731</v>
      </c>
      <c r="K368" s="688">
        <f t="shared" si="35"/>
        <v>1</v>
      </c>
      <c r="L368" s="310">
        <f>SUMIFS('Bilateral assistance, MAIN DATA'!M:M,'Bilateral assistance, MAIN DATA'!I:I,'Price List, Weapons &amp; Items'!A368)</f>
        <v>150000</v>
      </c>
      <c r="M368" s="46">
        <f>COUNTIFS('Bilateral assistance, MAIN DATA'!M:M,"undisclosed",'Bilateral assistance, MAIN DATA'!I:I,'Price List, Weapons &amp; Items'!A368)</f>
        <v>0</v>
      </c>
      <c r="N368" s="689">
        <f t="shared" si="36"/>
        <v>142500</v>
      </c>
      <c r="O368" s="1">
        <f>IFERROR(IF(SEARCH(A368,_xlfn.ARRAYTOTEXT('Bilateral assistance, MAIN DATA'!I$1:I$1408))&gt;0,1,""),0)</f>
        <v>1</v>
      </c>
      <c r="P368" s="46">
        <f>IFERROR(IF(SEARCH(A368,_xlfn.ARRAYTOTEXT('Commercial assistance'!I$1:I$1400))&gt;0,1,""),0)</f>
        <v>0</v>
      </c>
    </row>
    <row r="369" spans="1:16" ht="15" customHeight="1">
      <c r="A369" s="742" t="s">
        <v>3889</v>
      </c>
      <c r="B369" s="684" t="s">
        <v>3243</v>
      </c>
      <c r="C369" s="685" t="s">
        <v>3244</v>
      </c>
      <c r="D369" s="686">
        <v>0</v>
      </c>
      <c r="E369" s="686">
        <f t="shared" si="38"/>
        <v>0</v>
      </c>
      <c r="F369" s="452">
        <v>0.9</v>
      </c>
      <c r="G369" s="687" t="str">
        <f t="shared" si="37"/>
        <v>USD</v>
      </c>
      <c r="H369" s="660" t="s">
        <v>3730</v>
      </c>
      <c r="I369" s="424" t="s">
        <v>3266</v>
      </c>
      <c r="J369" s="695" t="s">
        <v>3890</v>
      </c>
      <c r="K369" s="688">
        <f t="shared" si="35"/>
        <v>1</v>
      </c>
      <c r="L369" s="310">
        <f>SUMIFS('Bilateral assistance, MAIN DATA'!M:M,'Bilateral assistance, MAIN DATA'!I:I,'Price List, Weapons &amp; Items'!A369)</f>
        <v>30000</v>
      </c>
      <c r="M369" s="46">
        <f>COUNTIFS('Bilateral assistance, MAIN DATA'!M:M,"undisclosed",'Bilateral assistance, MAIN DATA'!I:I,'Price List, Weapons &amp; Items'!A369)</f>
        <v>0</v>
      </c>
      <c r="N369" s="689">
        <f t="shared" si="36"/>
        <v>27000</v>
      </c>
      <c r="O369" s="1">
        <f>IFERROR(IF(SEARCH(A369,_xlfn.ARRAYTOTEXT('Bilateral assistance, MAIN DATA'!I$1:I$1408))&gt;0,1,""),0)</f>
        <v>1</v>
      </c>
      <c r="P369" s="46">
        <f>IFERROR(IF(SEARCH(A369,_xlfn.ARRAYTOTEXT('Commercial assistance'!I$1:I$1400))&gt;0,1,""),0)</f>
        <v>0</v>
      </c>
    </row>
    <row r="370" spans="1:16" ht="15" customHeight="1">
      <c r="A370" s="424" t="s">
        <v>3891</v>
      </c>
      <c r="B370" s="684" t="s">
        <v>729</v>
      </c>
      <c r="C370" s="685" t="s">
        <v>232</v>
      </c>
      <c r="D370" s="686">
        <v>0</v>
      </c>
      <c r="E370" s="686">
        <f t="shared" si="38"/>
        <v>0</v>
      </c>
      <c r="F370" s="452">
        <v>0.38</v>
      </c>
      <c r="G370" s="687" t="str">
        <f t="shared" si="37"/>
        <v>USD</v>
      </c>
      <c r="H370" s="652" t="s">
        <v>3892</v>
      </c>
      <c r="I370" s="424" t="s">
        <v>3266</v>
      </c>
      <c r="J370" s="424" t="s">
        <v>3893</v>
      </c>
      <c r="K370" s="688">
        <f t="shared" si="35"/>
        <v>1</v>
      </c>
      <c r="L370" s="310">
        <f>SUMIFS('Bilateral assistance, MAIN DATA'!M:M,'Bilateral assistance, MAIN DATA'!I:I,'Price List, Weapons &amp; Items'!A370)</f>
        <v>1500</v>
      </c>
      <c r="M370" s="46">
        <f>COUNTIFS('Bilateral assistance, MAIN DATA'!M:M,"undisclosed",'Bilateral assistance, MAIN DATA'!I:I,'Price List, Weapons &amp; Items'!A370)</f>
        <v>0</v>
      </c>
      <c r="N370" s="689">
        <f t="shared" si="36"/>
        <v>570</v>
      </c>
      <c r="O370" s="1">
        <f>IFERROR(IF(SEARCH(A370,_xlfn.ARRAYTOTEXT('Bilateral assistance, MAIN DATA'!I$1:I$1408))&gt;0,1,""),0)</f>
        <v>1</v>
      </c>
      <c r="P370" s="46">
        <f>IFERROR(IF(SEARCH(A370,_xlfn.ARRAYTOTEXT('Commercial assistance'!I$1:I$1400))&gt;0,1,""),0)</f>
        <v>0</v>
      </c>
    </row>
    <row r="371" spans="1:16" ht="15" customHeight="1">
      <c r="A371" s="693" t="s">
        <v>3894</v>
      </c>
      <c r="B371" s="684" t="s">
        <v>3243</v>
      </c>
      <c r="C371" s="685" t="s">
        <v>3244</v>
      </c>
      <c r="D371" s="686">
        <v>0</v>
      </c>
      <c r="E371" s="686">
        <f t="shared" si="38"/>
        <v>0</v>
      </c>
      <c r="F371" s="452">
        <v>0.41799999999999998</v>
      </c>
      <c r="G371" s="687" t="str">
        <f t="shared" si="37"/>
        <v>USD</v>
      </c>
      <c r="H371" s="658" t="s">
        <v>3895</v>
      </c>
      <c r="I371" s="424" t="s">
        <v>3266</v>
      </c>
      <c r="J371" s="512" t="s">
        <v>3896</v>
      </c>
      <c r="K371" s="688">
        <f t="shared" si="35"/>
        <v>1</v>
      </c>
      <c r="L371" s="310">
        <f>SUMIFS('Bilateral assistance, MAIN DATA'!M:M,'Bilateral assistance, MAIN DATA'!I:I,'Price List, Weapons &amp; Items'!A371)</f>
        <v>108000</v>
      </c>
      <c r="M371" s="46">
        <f>COUNTIFS('Bilateral assistance, MAIN DATA'!M:M,"undisclosed",'Bilateral assistance, MAIN DATA'!I:I,'Price List, Weapons &amp; Items'!A371)</f>
        <v>0</v>
      </c>
      <c r="N371" s="689">
        <f t="shared" si="36"/>
        <v>45144</v>
      </c>
      <c r="O371" s="1">
        <f>IFERROR(IF(SEARCH(A371,_xlfn.ARRAYTOTEXT('Bilateral assistance, MAIN DATA'!I$1:I$1408))&gt;0,1,""),0)</f>
        <v>1</v>
      </c>
      <c r="P371" s="46">
        <f>IFERROR(IF(SEARCH(A371,_xlfn.ARRAYTOTEXT('Commercial assistance'!I$1:I$1400))&gt;0,1,""),0)</f>
        <v>0</v>
      </c>
    </row>
    <row r="372" spans="1:16" ht="15" customHeight="1">
      <c r="A372" s="697" t="s">
        <v>3897</v>
      </c>
      <c r="B372" s="684" t="s">
        <v>3243</v>
      </c>
      <c r="C372" s="685" t="s">
        <v>3418</v>
      </c>
      <c r="D372" s="686">
        <v>0</v>
      </c>
      <c r="E372" s="686">
        <f t="shared" si="38"/>
        <v>0</v>
      </c>
      <c r="F372" s="452">
        <v>0.4</v>
      </c>
      <c r="G372" s="687" t="str">
        <f t="shared" si="37"/>
        <v>USD</v>
      </c>
      <c r="H372" s="662" t="s">
        <v>3898</v>
      </c>
      <c r="I372" s="424" t="s">
        <v>3266</v>
      </c>
      <c r="J372" s="698" t="s">
        <v>3899</v>
      </c>
      <c r="K372" s="688">
        <f t="shared" si="35"/>
        <v>1</v>
      </c>
      <c r="L372" s="310">
        <f>SUMIFS('Bilateral assistance, MAIN DATA'!M:M,'Bilateral assistance, MAIN DATA'!I:I,'Price List, Weapons &amp; Items'!A372)</f>
        <v>150000</v>
      </c>
      <c r="M372" s="46">
        <f>COUNTIFS('Bilateral assistance, MAIN DATA'!M:M,"undisclosed",'Bilateral assistance, MAIN DATA'!I:I,'Price List, Weapons &amp; Items'!A372)</f>
        <v>0</v>
      </c>
      <c r="N372" s="689">
        <f t="shared" si="36"/>
        <v>60000</v>
      </c>
      <c r="O372" s="1">
        <f>IFERROR(IF(SEARCH(A372,_xlfn.ARRAYTOTEXT('Bilateral assistance, MAIN DATA'!I$1:I$1408))&gt;0,1,""),0)</f>
        <v>1</v>
      </c>
      <c r="P372" s="46">
        <f>IFERROR(IF(SEARCH(A372,_xlfn.ARRAYTOTEXT('Commercial assistance'!I$1:I$1400))&gt;0,1,""),0)</f>
        <v>0</v>
      </c>
    </row>
    <row r="373" spans="1:16" ht="15" customHeight="1">
      <c r="A373" s="691" t="s">
        <v>3900</v>
      </c>
      <c r="B373" s="684" t="s">
        <v>3243</v>
      </c>
      <c r="C373" s="685" t="s">
        <v>3244</v>
      </c>
      <c r="D373" s="686">
        <v>1</v>
      </c>
      <c r="E373" s="686">
        <f t="shared" si="38"/>
        <v>0</v>
      </c>
      <c r="F373" s="452">
        <v>0.4</v>
      </c>
      <c r="G373" s="687" t="str">
        <f t="shared" si="37"/>
        <v>USD</v>
      </c>
      <c r="H373" s="653" t="s">
        <v>3733</v>
      </c>
      <c r="I373" s="424" t="s">
        <v>3266</v>
      </c>
      <c r="J373" s="695" t="s">
        <v>3901</v>
      </c>
      <c r="K373" s="688">
        <f t="shared" si="35"/>
        <v>1</v>
      </c>
      <c r="L373" s="310">
        <f>SUMIFS('Bilateral assistance, MAIN DATA'!M:M,'Bilateral assistance, MAIN DATA'!I:I,'Price List, Weapons &amp; Items'!A373)</f>
        <v>500000</v>
      </c>
      <c r="M373" s="46">
        <f>COUNTIFS('Bilateral assistance, MAIN DATA'!M:M,"undisclosed",'Bilateral assistance, MAIN DATA'!I:I,'Price List, Weapons &amp; Items'!A373)</f>
        <v>0</v>
      </c>
      <c r="N373" s="689">
        <f t="shared" si="36"/>
        <v>200000</v>
      </c>
      <c r="O373" s="1">
        <f>IFERROR(IF(SEARCH(A373,_xlfn.ARRAYTOTEXT('Bilateral assistance, MAIN DATA'!I$1:I$1408))&gt;0,1,""),0)</f>
        <v>1</v>
      </c>
      <c r="P373" s="46">
        <f>IFERROR(IF(SEARCH(A373,_xlfn.ARRAYTOTEXT('Commercial assistance'!I$1:I$1400))&gt;0,1,""),0)</f>
        <v>0</v>
      </c>
    </row>
    <row r="374" spans="1:16" ht="15" customHeight="1">
      <c r="A374" s="424" t="s">
        <v>1212</v>
      </c>
      <c r="B374" s="684" t="s">
        <v>729</v>
      </c>
      <c r="C374" s="685" t="s">
        <v>232</v>
      </c>
      <c r="D374" s="552">
        <v>0</v>
      </c>
      <c r="E374" s="552">
        <f t="shared" si="38"/>
        <v>0</v>
      </c>
      <c r="F374" s="452">
        <v>32500</v>
      </c>
      <c r="G374" s="88" t="s">
        <v>314</v>
      </c>
      <c r="H374" s="692" t="s">
        <v>3902</v>
      </c>
      <c r="I374" s="692" t="s">
        <v>3266</v>
      </c>
      <c r="J374" s="424" t="s">
        <v>3903</v>
      </c>
      <c r="K374" s="688">
        <f t="shared" si="35"/>
        <v>1</v>
      </c>
      <c r="L374" s="310">
        <f>SUMIFS('Bilateral assistance, MAIN DATA'!M:M,'Bilateral assistance, MAIN DATA'!I:I,'Price List, Weapons &amp; Items'!A374)</f>
        <v>6</v>
      </c>
      <c r="M374" s="46">
        <f>COUNTIFS('Bilateral assistance, MAIN DATA'!M:M,"undisclosed",'Bilateral assistance, MAIN DATA'!I:I,'Price List, Weapons &amp; Items'!A374)</f>
        <v>0</v>
      </c>
      <c r="N374" s="689">
        <f t="shared" si="36"/>
        <v>195000</v>
      </c>
      <c r="O374" s="1">
        <f>IFERROR(IF(SEARCH(A374,_xlfn.ARRAYTOTEXT('Bilateral assistance, MAIN DATA'!I$1:I$1408))&gt;0,1,""),0)</f>
        <v>1</v>
      </c>
      <c r="P374" s="46">
        <f>IFERROR(IF(SEARCH(A374,_xlfn.ARRAYTOTEXT('Commercial assistance'!I$1:I$1400))&gt;0,1,""),0)</f>
        <v>0</v>
      </c>
    </row>
    <row r="375" spans="1:16" ht="15" customHeight="1">
      <c r="A375" s="691" t="s">
        <v>3904</v>
      </c>
      <c r="B375" s="684" t="s">
        <v>729</v>
      </c>
      <c r="C375" s="685" t="s">
        <v>232</v>
      </c>
      <c r="D375" s="552">
        <v>0</v>
      </c>
      <c r="E375" s="552">
        <f t="shared" si="38"/>
        <v>0</v>
      </c>
      <c r="F375" s="452">
        <v>45</v>
      </c>
      <c r="G375" s="687" t="str">
        <f>IF(F375&lt;&gt;".","USD",".")</f>
        <v>USD</v>
      </c>
      <c r="H375" s="653" t="s">
        <v>3859</v>
      </c>
      <c r="I375" s="424" t="s">
        <v>3266</v>
      </c>
      <c r="J375" s="424" t="s">
        <v>3860</v>
      </c>
      <c r="K375" s="688">
        <f t="shared" si="35"/>
        <v>1</v>
      </c>
      <c r="L375" s="310">
        <f>SUMIFS('Bilateral assistance, MAIN DATA'!M:M,'Bilateral assistance, MAIN DATA'!I:I,'Price List, Weapons &amp; Items'!A375)</f>
        <v>2000</v>
      </c>
      <c r="M375" s="46">
        <f>COUNTIFS('Bilateral assistance, MAIN DATA'!M:M,"undisclosed",'Bilateral assistance, MAIN DATA'!I:I,'Price List, Weapons &amp; Items'!A375)</f>
        <v>3</v>
      </c>
      <c r="N375" s="689">
        <f t="shared" si="36"/>
        <v>90000</v>
      </c>
      <c r="O375" s="1">
        <f>IFERROR(IF(SEARCH(A375,_xlfn.ARRAYTOTEXT('Bilateral assistance, MAIN DATA'!I$1:I$1408))&gt;0,1,""),0)</f>
        <v>1</v>
      </c>
      <c r="P375" s="46">
        <f>IFERROR(IF(SEARCH(A375,_xlfn.ARRAYTOTEXT('Commercial assistance'!I$1:I$1400))&gt;0,1,""),0)</f>
        <v>0</v>
      </c>
    </row>
    <row r="376" spans="1:16" ht="15" customHeight="1">
      <c r="A376" s="424" t="s">
        <v>1624</v>
      </c>
      <c r="B376" s="684" t="s">
        <v>729</v>
      </c>
      <c r="C376" s="685" t="s">
        <v>3340</v>
      </c>
      <c r="D376" s="686">
        <v>0</v>
      </c>
      <c r="E376" s="552">
        <f t="shared" si="38"/>
        <v>1</v>
      </c>
      <c r="F376" s="452">
        <f>60000</f>
        <v>60000</v>
      </c>
      <c r="G376" s="687" t="str">
        <f>IF(F376&lt;&gt;".","USD",".")</f>
        <v>USD</v>
      </c>
      <c r="H376" s="675" t="s">
        <v>3796</v>
      </c>
      <c r="I376" s="424" t="s">
        <v>3259</v>
      </c>
      <c r="J376" s="695" t="s">
        <v>3797</v>
      </c>
      <c r="K376" s="688">
        <f t="shared" si="35"/>
        <v>1</v>
      </c>
      <c r="L376" s="310">
        <f>SUMIFS('Bilateral assistance, MAIN DATA'!M:M,'Bilateral assistance, MAIN DATA'!I:I,'Price List, Weapons &amp; Items'!A376)</f>
        <v>7</v>
      </c>
      <c r="M376" s="46">
        <f>COUNTIFS('Bilateral assistance, MAIN DATA'!M:M,"undisclosed",'Bilateral assistance, MAIN DATA'!I:I,'Price List, Weapons &amp; Items'!A376)</f>
        <v>0</v>
      </c>
      <c r="N376" s="689">
        <f t="shared" si="36"/>
        <v>420000</v>
      </c>
      <c r="O376" s="1">
        <f>IFERROR(IF(SEARCH(A376,_xlfn.ARRAYTOTEXT('Bilateral assistance, MAIN DATA'!I$1:I$1408))&gt;0,1,""),0)</f>
        <v>1</v>
      </c>
      <c r="P376" s="46">
        <f>IFERROR(IF(SEARCH(A376,_xlfn.ARRAYTOTEXT('Commercial assistance'!I$1:I$1400))&gt;0,1,""),0)</f>
        <v>0</v>
      </c>
    </row>
    <row r="377" spans="1:16" ht="15" customHeight="1">
      <c r="A377" s="704" t="s">
        <v>1234</v>
      </c>
      <c r="B377" s="684" t="s">
        <v>3333</v>
      </c>
      <c r="C377" s="685" t="s">
        <v>3905</v>
      </c>
      <c r="D377" s="552">
        <v>0</v>
      </c>
      <c r="E377" s="552">
        <f t="shared" si="38"/>
        <v>0</v>
      </c>
      <c r="F377" s="452">
        <v>72000</v>
      </c>
      <c r="G377" s="88" t="s">
        <v>314</v>
      </c>
      <c r="H377" s="675" t="s">
        <v>3906</v>
      </c>
      <c r="I377" s="692" t="s">
        <v>3308</v>
      </c>
      <c r="J377" s="695" t="s">
        <v>3907</v>
      </c>
      <c r="K377" s="688">
        <f t="shared" si="35"/>
        <v>1</v>
      </c>
      <c r="L377" s="310">
        <f>SUMIFS('Bilateral assistance, MAIN DATA'!M:M,'Bilateral assistance, MAIN DATA'!I:I,'Price List, Weapons &amp; Items'!A377)</f>
        <v>4</v>
      </c>
      <c r="M377" s="46">
        <f>COUNTIFS('Bilateral assistance, MAIN DATA'!M:M,"undisclosed",'Bilateral assistance, MAIN DATA'!I:I,'Price List, Weapons &amp; Items'!A377)</f>
        <v>0</v>
      </c>
      <c r="N377" s="689">
        <f t="shared" si="36"/>
        <v>288000</v>
      </c>
      <c r="O377" s="1">
        <f>IFERROR(IF(SEARCH(A377,_xlfn.ARRAYTOTEXT('Bilateral assistance, MAIN DATA'!I$1:I$1408))&gt;0,1,""),0)</f>
        <v>1</v>
      </c>
      <c r="P377" s="46">
        <f>IFERROR(IF(SEARCH(A377,_xlfn.ARRAYTOTEXT('Commercial assistance'!I$1:I$1400))&gt;0,1,""),0)</f>
        <v>0</v>
      </c>
    </row>
    <row r="378" spans="1:16" ht="15" customHeight="1">
      <c r="A378" s="424" t="s">
        <v>3908</v>
      </c>
      <c r="B378" s="684" t="s">
        <v>228</v>
      </c>
      <c r="C378" s="685" t="s">
        <v>232</v>
      </c>
      <c r="D378" s="686">
        <v>0</v>
      </c>
      <c r="E378" s="686">
        <f t="shared" si="38"/>
        <v>0</v>
      </c>
      <c r="F378" s="452" t="s">
        <v>232</v>
      </c>
      <c r="G378" s="687" t="str">
        <f t="shared" ref="G378:G399" si="39">IF(F378&lt;&gt;".","USD",".")</f>
        <v>.</v>
      </c>
      <c r="H378" s="424" t="s">
        <v>232</v>
      </c>
      <c r="I378" s="424" t="str">
        <f t="shared" ref="I378:I391" si="40">IF(H378&lt;&gt;".",".",".")</f>
        <v>.</v>
      </c>
      <c r="J378" s="424" t="s">
        <v>3909</v>
      </c>
      <c r="K378" s="688">
        <f t="shared" si="35"/>
        <v>0</v>
      </c>
      <c r="L378" s="310">
        <f>SUMIFS('Bilateral assistance, MAIN DATA'!M:M,'Bilateral assistance, MAIN DATA'!I:I,'Price List, Weapons &amp; Items'!A378)</f>
        <v>4000</v>
      </c>
      <c r="M378" s="46">
        <f>COUNTIFS('Bilateral assistance, MAIN DATA'!M:M,"undisclosed",'Bilateral assistance, MAIN DATA'!I:I,'Price List, Weapons &amp; Items'!A378)</f>
        <v>0</v>
      </c>
      <c r="N378" s="689" t="str">
        <f t="shared" si="36"/>
        <v>no price</v>
      </c>
      <c r="O378" s="1">
        <f>IFERROR(IF(SEARCH(A378,_xlfn.ARRAYTOTEXT('Bilateral assistance, MAIN DATA'!I$1:I$1408))&gt;0,1,""),0)</f>
        <v>1</v>
      </c>
      <c r="P378" s="46">
        <f>IFERROR(IF(SEARCH(A378,_xlfn.ARRAYTOTEXT('Commercial assistance'!I$1:I$1400))&gt;0,1,""),0)</f>
        <v>0</v>
      </c>
    </row>
    <row r="379" spans="1:16" ht="15" customHeight="1">
      <c r="A379" s="512" t="s">
        <v>1825</v>
      </c>
      <c r="B379" s="684" t="s">
        <v>228</v>
      </c>
      <c r="C379" s="685" t="s">
        <v>232</v>
      </c>
      <c r="D379" s="686">
        <v>0</v>
      </c>
      <c r="E379" s="686">
        <f t="shared" si="38"/>
        <v>0</v>
      </c>
      <c r="F379" s="452" t="s">
        <v>232</v>
      </c>
      <c r="G379" s="687" t="str">
        <f t="shared" si="39"/>
        <v>.</v>
      </c>
      <c r="H379" s="692" t="s">
        <v>232</v>
      </c>
      <c r="I379" s="424" t="str">
        <f t="shared" si="40"/>
        <v>.</v>
      </c>
      <c r="J379" s="424" t="s">
        <v>232</v>
      </c>
      <c r="K379" s="688">
        <f t="shared" si="35"/>
        <v>0</v>
      </c>
      <c r="L379" s="310">
        <f>SUMIFS('Bilateral assistance, MAIN DATA'!M:M,'Bilateral assistance, MAIN DATA'!I:I,'Price List, Weapons &amp; Items'!A379)</f>
        <v>0</v>
      </c>
      <c r="M379" s="46">
        <f>COUNTIFS('Bilateral assistance, MAIN DATA'!M:M,"undisclosed",'Bilateral assistance, MAIN DATA'!I:I,'Price List, Weapons &amp; Items'!A379)</f>
        <v>0</v>
      </c>
      <c r="N379" s="689" t="str">
        <f t="shared" si="36"/>
        <v>no price</v>
      </c>
      <c r="O379" s="1">
        <f>IFERROR(IF(SEARCH(A379,_xlfn.ARRAYTOTEXT('Bilateral assistance, MAIN DATA'!I$1:I$1408))&gt;0,1,""),0)</f>
        <v>1</v>
      </c>
      <c r="P379" s="46">
        <f>IFERROR(IF(SEARCH(A379,_xlfn.ARRAYTOTEXT('Commercial assistance'!I$1:I$1400))&gt;0,1,""),0)</f>
        <v>0</v>
      </c>
    </row>
    <row r="380" spans="1:16" ht="15" customHeight="1">
      <c r="A380" s="424" t="s">
        <v>3910</v>
      </c>
      <c r="B380" s="684" t="s">
        <v>729</v>
      </c>
      <c r="C380" s="685" t="s">
        <v>3238</v>
      </c>
      <c r="D380" s="552">
        <v>0</v>
      </c>
      <c r="E380" s="686">
        <f t="shared" si="38"/>
        <v>0</v>
      </c>
      <c r="F380" s="452" t="s">
        <v>232</v>
      </c>
      <c r="G380" s="687" t="str">
        <f t="shared" si="39"/>
        <v>.</v>
      </c>
      <c r="H380" s="692" t="s">
        <v>232</v>
      </c>
      <c r="I380" s="424" t="str">
        <f t="shared" si="40"/>
        <v>.</v>
      </c>
      <c r="J380" s="424" t="s">
        <v>232</v>
      </c>
      <c r="K380" s="688">
        <f t="shared" si="35"/>
        <v>0</v>
      </c>
      <c r="L380" s="310">
        <f>SUMIFS('Bilateral assistance, MAIN DATA'!M:M,'Bilateral assistance, MAIN DATA'!I:I,'Price List, Weapons &amp; Items'!A380)</f>
        <v>2</v>
      </c>
      <c r="M380" s="46">
        <f>COUNTIFS('Bilateral assistance, MAIN DATA'!M:M,"undisclosed",'Bilateral assistance, MAIN DATA'!I:I,'Price List, Weapons &amp; Items'!A380)</f>
        <v>0</v>
      </c>
      <c r="N380" s="689" t="str">
        <f t="shared" si="36"/>
        <v>no price</v>
      </c>
      <c r="O380" s="1">
        <f>IFERROR(IF(SEARCH(A380,_xlfn.ARRAYTOTEXT('Bilateral assistance, MAIN DATA'!I$1:I$1408))&gt;0,1,""),0)</f>
        <v>1</v>
      </c>
      <c r="P380" s="46">
        <f>IFERROR(IF(SEARCH(A380,_xlfn.ARRAYTOTEXT('Commercial assistance'!I$1:I$1400))&gt;0,1,""),0)</f>
        <v>0</v>
      </c>
    </row>
    <row r="381" spans="1:16" ht="15" customHeight="1">
      <c r="A381" s="424" t="s">
        <v>1200</v>
      </c>
      <c r="B381" s="684" t="s">
        <v>729</v>
      </c>
      <c r="C381" s="685" t="s">
        <v>232</v>
      </c>
      <c r="D381" s="686">
        <v>0</v>
      </c>
      <c r="E381" s="686">
        <f t="shared" si="38"/>
        <v>0</v>
      </c>
      <c r="F381" s="452">
        <v>22216</v>
      </c>
      <c r="G381" s="687" t="s">
        <v>314</v>
      </c>
      <c r="H381" s="653" t="s">
        <v>3911</v>
      </c>
      <c r="I381" s="424" t="s">
        <v>3308</v>
      </c>
      <c r="J381" s="424" t="s">
        <v>3912</v>
      </c>
      <c r="K381" s="688">
        <f t="shared" si="35"/>
        <v>2</v>
      </c>
      <c r="L381" s="310">
        <f>SUMIFS('Bilateral assistance, MAIN DATA'!M:M,'Bilateral assistance, MAIN DATA'!I:I,'Price List, Weapons &amp; Items'!A381)</f>
        <v>195</v>
      </c>
      <c r="M381" s="46">
        <f>COUNTIFS('Bilateral assistance, MAIN DATA'!M:M,"undisclosed",'Bilateral assistance, MAIN DATA'!I:I,'Price List, Weapons &amp; Items'!A381)</f>
        <v>0</v>
      </c>
      <c r="N381" s="689">
        <f t="shared" si="36"/>
        <v>4332120</v>
      </c>
      <c r="O381" s="1">
        <f>IFERROR(IF(SEARCH(A381,_xlfn.ARRAYTOTEXT('Bilateral assistance, MAIN DATA'!I$1:I$1408))&gt;0,1,""),0)</f>
        <v>1</v>
      </c>
      <c r="P381" s="46">
        <f>IFERROR(IF(SEARCH(A381,_xlfn.ARRAYTOTEXT('Commercial assistance'!I$1:I$1400))&gt;0,1,""),0)</f>
        <v>0</v>
      </c>
    </row>
    <row r="382" spans="1:16" ht="15" customHeight="1">
      <c r="A382" s="424" t="s">
        <v>3913</v>
      </c>
      <c r="B382" s="684" t="s">
        <v>729</v>
      </c>
      <c r="C382" s="685" t="s">
        <v>232</v>
      </c>
      <c r="D382" s="686">
        <v>0</v>
      </c>
      <c r="E382" s="686">
        <f t="shared" si="38"/>
        <v>0</v>
      </c>
      <c r="F382" s="452" t="s">
        <v>232</v>
      </c>
      <c r="G382" s="687" t="str">
        <f t="shared" si="39"/>
        <v>.</v>
      </c>
      <c r="H382" s="424" t="s">
        <v>232</v>
      </c>
      <c r="I382" s="424" t="str">
        <f t="shared" si="40"/>
        <v>.</v>
      </c>
      <c r="J382" s="424" t="s">
        <v>232</v>
      </c>
      <c r="K382" s="688">
        <f t="shared" si="35"/>
        <v>0</v>
      </c>
      <c r="L382" s="310">
        <f>SUMIFS('Bilateral assistance, MAIN DATA'!M:M,'Bilateral assistance, MAIN DATA'!I:I,'Price List, Weapons &amp; Items'!A382)</f>
        <v>10</v>
      </c>
      <c r="M382" s="46">
        <f>COUNTIFS('Bilateral assistance, MAIN DATA'!M:M,"undisclosed",'Bilateral assistance, MAIN DATA'!I:I,'Price List, Weapons &amp; Items'!A382)</f>
        <v>0</v>
      </c>
      <c r="N382" s="689" t="str">
        <f t="shared" si="36"/>
        <v>no price</v>
      </c>
      <c r="O382" s="1">
        <f>IFERROR(IF(SEARCH(A382,_xlfn.ARRAYTOTEXT('Bilateral assistance, MAIN DATA'!I$1:I$1408))&gt;0,1,""),0)</f>
        <v>1</v>
      </c>
      <c r="P382" s="46">
        <f>IFERROR(IF(SEARCH(A382,_xlfn.ARRAYTOTEXT('Commercial assistance'!I$1:I$1400))&gt;0,1,""),0)</f>
        <v>0</v>
      </c>
    </row>
    <row r="383" spans="1:16" ht="15" customHeight="1">
      <c r="A383" s="724" t="s">
        <v>1248</v>
      </c>
      <c r="B383" s="684" t="s">
        <v>729</v>
      </c>
      <c r="C383" s="685" t="s">
        <v>3233</v>
      </c>
      <c r="D383" s="552">
        <v>0</v>
      </c>
      <c r="E383" s="686">
        <f t="shared" si="38"/>
        <v>0</v>
      </c>
      <c r="F383" s="452" t="s">
        <v>232</v>
      </c>
      <c r="G383" s="687" t="str">
        <f t="shared" si="39"/>
        <v>.</v>
      </c>
      <c r="H383" s="728" t="s">
        <v>232</v>
      </c>
      <c r="I383" s="424" t="str">
        <f t="shared" si="40"/>
        <v>.</v>
      </c>
      <c r="J383" s="722" t="s">
        <v>232</v>
      </c>
      <c r="K383" s="688">
        <f t="shared" si="35"/>
        <v>0</v>
      </c>
      <c r="L383" s="310">
        <f>SUMIFS('Bilateral assistance, MAIN DATA'!M:M,'Bilateral assistance, MAIN DATA'!I:I,'Price List, Weapons &amp; Items'!A383)</f>
        <v>7</v>
      </c>
      <c r="M383" s="46">
        <f>COUNTIFS('Bilateral assistance, MAIN DATA'!M:M,"undisclosed",'Bilateral assistance, MAIN DATA'!I:I,'Price List, Weapons &amp; Items'!A383)</f>
        <v>0</v>
      </c>
      <c r="N383" s="689" t="str">
        <f t="shared" si="36"/>
        <v>no price</v>
      </c>
      <c r="O383" s="1">
        <f>IFERROR(IF(SEARCH(A383,_xlfn.ARRAYTOTEXT('Bilateral assistance, MAIN DATA'!I$1:I$1408))&gt;0,1,""),0)</f>
        <v>1</v>
      </c>
      <c r="P383" s="46">
        <f>IFERROR(IF(SEARCH(A383,_xlfn.ARRAYTOTEXT('Commercial assistance'!I$1:I$1400))&gt;0,1,""),0)</f>
        <v>0</v>
      </c>
    </row>
    <row r="384" spans="1:16" ht="15" customHeight="1">
      <c r="A384" s="704" t="s">
        <v>1183</v>
      </c>
      <c r="B384" s="684" t="s">
        <v>729</v>
      </c>
      <c r="C384" s="685" t="s">
        <v>3233</v>
      </c>
      <c r="D384" s="552">
        <v>0</v>
      </c>
      <c r="E384" s="686">
        <f t="shared" si="38"/>
        <v>0</v>
      </c>
      <c r="F384" s="452" t="s">
        <v>232</v>
      </c>
      <c r="G384" s="687" t="str">
        <f t="shared" si="39"/>
        <v>.</v>
      </c>
      <c r="H384" s="692" t="s">
        <v>232</v>
      </c>
      <c r="I384" s="424" t="str">
        <f t="shared" si="40"/>
        <v>.</v>
      </c>
      <c r="J384" s="424" t="s">
        <v>3914</v>
      </c>
      <c r="K384" s="688">
        <f t="shared" si="35"/>
        <v>0</v>
      </c>
      <c r="L384" s="310">
        <f>SUMIFS('Bilateral assistance, MAIN DATA'!M:M,'Bilateral assistance, MAIN DATA'!I:I,'Price List, Weapons &amp; Items'!A384)</f>
        <v>12</v>
      </c>
      <c r="M384" s="46">
        <f>COUNTIFS('Bilateral assistance, MAIN DATA'!M:M,"undisclosed",'Bilateral assistance, MAIN DATA'!I:I,'Price List, Weapons &amp; Items'!A384)</f>
        <v>0</v>
      </c>
      <c r="N384" s="689" t="str">
        <f t="shared" si="36"/>
        <v>no price</v>
      </c>
      <c r="O384" s="1">
        <f>IFERROR(IF(SEARCH(A384,_xlfn.ARRAYTOTEXT('Bilateral assistance, MAIN DATA'!I$1:I$1408))&gt;0,1,""),0)</f>
        <v>1</v>
      </c>
      <c r="P384" s="46">
        <f>IFERROR(IF(SEARCH(A384,_xlfn.ARRAYTOTEXT('Commercial assistance'!I$1:I$1400))&gt;0,1,""),0)</f>
        <v>0</v>
      </c>
    </row>
    <row r="385" spans="1:16" ht="15" customHeight="1">
      <c r="A385" s="691" t="s">
        <v>2776</v>
      </c>
      <c r="B385" s="684" t="s">
        <v>729</v>
      </c>
      <c r="C385" s="685" t="s">
        <v>3238</v>
      </c>
      <c r="D385" s="552">
        <v>0</v>
      </c>
      <c r="E385" s="686">
        <f t="shared" si="38"/>
        <v>0</v>
      </c>
      <c r="F385" s="452" t="s">
        <v>232</v>
      </c>
      <c r="G385" s="687" t="str">
        <f t="shared" si="39"/>
        <v>.</v>
      </c>
      <c r="H385" s="424" t="s">
        <v>232</v>
      </c>
      <c r="I385" s="424" t="str">
        <f t="shared" si="40"/>
        <v>.</v>
      </c>
      <c r="J385" s="424" t="s">
        <v>232</v>
      </c>
      <c r="K385" s="688">
        <f t="shared" si="35"/>
        <v>0</v>
      </c>
      <c r="L385" s="310">
        <f>SUMIFS('Bilateral assistance, MAIN DATA'!M:M,'Bilateral assistance, MAIN DATA'!I:I,'Price List, Weapons &amp; Items'!A385)</f>
        <v>20</v>
      </c>
      <c r="M385" s="46">
        <f>COUNTIFS('Bilateral assistance, MAIN DATA'!M:M,"undisclosed",'Bilateral assistance, MAIN DATA'!I:I,'Price List, Weapons &amp; Items'!A385)</f>
        <v>0</v>
      </c>
      <c r="N385" s="689" t="str">
        <f t="shared" si="36"/>
        <v>no price</v>
      </c>
      <c r="O385" s="1">
        <f>IFERROR(IF(SEARCH(A385,_xlfn.ARRAYTOTEXT('Bilateral assistance, MAIN DATA'!I$1:I$1408))&gt;0,1,""),0)</f>
        <v>1</v>
      </c>
      <c r="P385" s="46">
        <f>IFERROR(IF(SEARCH(A385,_xlfn.ARRAYTOTEXT('Commercial assistance'!I$1:I$1400))&gt;0,1,""),0)</f>
        <v>0</v>
      </c>
    </row>
    <row r="386" spans="1:16" ht="15" customHeight="1">
      <c r="A386" s="512" t="s">
        <v>3915</v>
      </c>
      <c r="B386" s="684" t="s">
        <v>729</v>
      </c>
      <c r="C386" s="685" t="s">
        <v>232</v>
      </c>
      <c r="D386" s="686">
        <v>0</v>
      </c>
      <c r="E386" s="686">
        <f t="shared" ref="E386:E399" si="41">IF(OR(C386="Armoured Personnel Carrier (APC)",C386="Armoured Recovery Vehicle (ARV)",C386="Armoured Utility Vehicle (AUV)",C386="152mm howitzer ammunition",C386="155mm howitzer ammunition",C386="300mm MLRS ammunition",C386="155mm howitzer",C386="227mm MLRS ammunition",C386="Infantry fighting vehicle (IFV)",C386="152mm howitzer",C386="227mm MLRS",C386="Main Battle Tank (MBT)",C386="Protected Patrol Vehicle (PPV)",C386="127mm MLRS",C386="122mm MLRS",C386="122mm MLRS ammunition",C386="122mm MLRS",C386="127mm MLRS",C386="127mm MLRS ammunition")=TRUE,1,0)</f>
        <v>0</v>
      </c>
      <c r="F386" s="452" t="s">
        <v>232</v>
      </c>
      <c r="G386" s="687" t="str">
        <f t="shared" si="39"/>
        <v>.</v>
      </c>
      <c r="H386" s="692" t="s">
        <v>232</v>
      </c>
      <c r="I386" s="424" t="str">
        <f t="shared" si="40"/>
        <v>.</v>
      </c>
      <c r="J386" s="424" t="s">
        <v>3916</v>
      </c>
      <c r="K386" s="688">
        <f t="shared" ref="K386:K449" si="42">IF(B386="Humanitarian",0,IF(L386&gt;0,IF(TYPE(N386)=1,IF(N386&gt;MEDIAN(N:N),2,1),0),"no price, 0 count"))</f>
        <v>0</v>
      </c>
      <c r="L386" s="310">
        <f>SUMIFS('Bilateral assistance, MAIN DATA'!M:M,'Bilateral assistance, MAIN DATA'!I:I,'Price List, Weapons &amp; Items'!A386)</f>
        <v>40</v>
      </c>
      <c r="M386" s="46">
        <f>COUNTIFS('Bilateral assistance, MAIN DATA'!M:M,"undisclosed",'Bilateral assistance, MAIN DATA'!I:I,'Price List, Weapons &amp; Items'!A386)</f>
        <v>0</v>
      </c>
      <c r="N386" s="689" t="str">
        <f t="shared" ref="N386:N447" si="43">IFERROR(L386*F386,"no price")</f>
        <v>no price</v>
      </c>
      <c r="O386" s="1">
        <f>IFERROR(IF(SEARCH(A386,_xlfn.ARRAYTOTEXT('Bilateral assistance, MAIN DATA'!I$1:I$1408))&gt;0,1,""),0)</f>
        <v>1</v>
      </c>
      <c r="P386" s="46">
        <f>IFERROR(IF(SEARCH(A386,_xlfn.ARRAYTOTEXT('Commercial assistance'!I$1:I$1400))&gt;0,1,""),0)</f>
        <v>0</v>
      </c>
    </row>
    <row r="387" spans="1:16" ht="15" customHeight="1">
      <c r="A387" s="691" t="s">
        <v>2778</v>
      </c>
      <c r="B387" s="684" t="s">
        <v>729</v>
      </c>
      <c r="C387" s="685" t="s">
        <v>3238</v>
      </c>
      <c r="D387" s="552">
        <v>0</v>
      </c>
      <c r="E387" s="686">
        <f t="shared" si="41"/>
        <v>0</v>
      </c>
      <c r="F387" s="452" t="s">
        <v>232</v>
      </c>
      <c r="G387" s="687" t="str">
        <f t="shared" si="39"/>
        <v>.</v>
      </c>
      <c r="H387" s="424" t="s">
        <v>232</v>
      </c>
      <c r="I387" s="424" t="str">
        <f t="shared" si="40"/>
        <v>.</v>
      </c>
      <c r="J387" s="424" t="s">
        <v>232</v>
      </c>
      <c r="K387" s="688">
        <f t="shared" si="42"/>
        <v>0</v>
      </c>
      <c r="L387" s="310">
        <f>SUMIFS('Bilateral assistance, MAIN DATA'!M:M,'Bilateral assistance, MAIN DATA'!I:I,'Price List, Weapons &amp; Items'!A387)</f>
        <v>16</v>
      </c>
      <c r="M387" s="46">
        <f>COUNTIFS('Bilateral assistance, MAIN DATA'!M:M,"undisclosed",'Bilateral assistance, MAIN DATA'!I:I,'Price List, Weapons &amp; Items'!A387)</f>
        <v>0</v>
      </c>
      <c r="N387" s="689" t="str">
        <f t="shared" si="43"/>
        <v>no price</v>
      </c>
      <c r="O387" s="1">
        <f>IFERROR(IF(SEARCH(A387,_xlfn.ARRAYTOTEXT('Bilateral assistance, MAIN DATA'!I$1:I$1408))&gt;0,1,""),0)</f>
        <v>1</v>
      </c>
      <c r="P387" s="46">
        <f>IFERROR(IF(SEARCH(A387,_xlfn.ARRAYTOTEXT('Commercial assistance'!I$1:I$1400))&gt;0,1,""),0)</f>
        <v>0</v>
      </c>
    </row>
    <row r="388" spans="1:16" ht="15" customHeight="1">
      <c r="A388" s="424" t="s">
        <v>3917</v>
      </c>
      <c r="B388" s="684" t="s">
        <v>228</v>
      </c>
      <c r="C388" s="685" t="s">
        <v>232</v>
      </c>
      <c r="D388" s="686">
        <v>0</v>
      </c>
      <c r="E388" s="686">
        <f t="shared" si="41"/>
        <v>0</v>
      </c>
      <c r="F388" s="452" t="s">
        <v>232</v>
      </c>
      <c r="G388" s="687" t="str">
        <f t="shared" si="39"/>
        <v>.</v>
      </c>
      <c r="H388" s="512" t="s">
        <v>232</v>
      </c>
      <c r="I388" s="424" t="str">
        <f t="shared" si="40"/>
        <v>.</v>
      </c>
      <c r="J388" s="424" t="s">
        <v>232</v>
      </c>
      <c r="K388" s="688">
        <f t="shared" si="42"/>
        <v>0</v>
      </c>
      <c r="L388" s="310">
        <f>SUMIFS('Bilateral assistance, MAIN DATA'!M:M,'Bilateral assistance, MAIN DATA'!I:I,'Price List, Weapons &amp; Items'!A388)</f>
        <v>100</v>
      </c>
      <c r="M388" s="46">
        <f>COUNTIFS('Bilateral assistance, MAIN DATA'!M:M,"undisclosed",'Bilateral assistance, MAIN DATA'!I:I,'Price List, Weapons &amp; Items'!A388)</f>
        <v>0</v>
      </c>
      <c r="N388" s="689" t="str">
        <f t="shared" si="43"/>
        <v>no price</v>
      </c>
      <c r="O388" s="1">
        <f>IFERROR(IF(SEARCH(A388,_xlfn.ARRAYTOTEXT('Bilateral assistance, MAIN DATA'!I$1:I$1408))&gt;0,1,""),0)</f>
        <v>1</v>
      </c>
      <c r="P388" s="46">
        <f>IFERROR(IF(SEARCH(A388,_xlfn.ARRAYTOTEXT('Commercial assistance'!I$1:I$1400))&gt;0,1,""),0)</f>
        <v>0</v>
      </c>
    </row>
    <row r="389" spans="1:16" ht="15" customHeight="1">
      <c r="A389" s="424" t="s">
        <v>1028</v>
      </c>
      <c r="B389" s="684" t="s">
        <v>729</v>
      </c>
      <c r="C389" s="685" t="s">
        <v>232</v>
      </c>
      <c r="D389" s="686">
        <v>0</v>
      </c>
      <c r="E389" s="686">
        <f t="shared" si="41"/>
        <v>0</v>
      </c>
      <c r="F389" s="452" t="s">
        <v>232</v>
      </c>
      <c r="G389" s="687" t="str">
        <f t="shared" si="39"/>
        <v>.</v>
      </c>
      <c r="H389" s="424" t="s">
        <v>232</v>
      </c>
      <c r="I389" s="424" t="str">
        <f t="shared" si="40"/>
        <v>.</v>
      </c>
      <c r="J389" s="424" t="s">
        <v>3918</v>
      </c>
      <c r="K389" s="688">
        <f t="shared" si="42"/>
        <v>0</v>
      </c>
      <c r="L389" s="310">
        <f>SUMIFS('Bilateral assistance, MAIN DATA'!M:M,'Bilateral assistance, MAIN DATA'!I:I,'Price List, Weapons &amp; Items'!A389)</f>
        <v>53</v>
      </c>
      <c r="M389" s="46">
        <f>COUNTIFS('Bilateral assistance, MAIN DATA'!M:M,"undisclosed",'Bilateral assistance, MAIN DATA'!I:I,'Price List, Weapons &amp; Items'!A389)</f>
        <v>0</v>
      </c>
      <c r="N389" s="689" t="str">
        <f t="shared" si="43"/>
        <v>no price</v>
      </c>
      <c r="O389" s="1">
        <f>IFERROR(IF(SEARCH(A389,_xlfn.ARRAYTOTEXT('Bilateral assistance, MAIN DATA'!I$1:I$1408))&gt;0,1,""),0)</f>
        <v>1</v>
      </c>
      <c r="P389" s="46">
        <f>IFERROR(IF(SEARCH(A389,_xlfn.ARRAYTOTEXT('Commercial assistance'!I$1:I$1400))&gt;0,1,""),0)</f>
        <v>0</v>
      </c>
    </row>
    <row r="390" spans="1:16" ht="15" customHeight="1">
      <c r="A390" s="693" t="s">
        <v>3919</v>
      </c>
      <c r="B390" s="684" t="s">
        <v>228</v>
      </c>
      <c r="C390" s="685" t="s">
        <v>232</v>
      </c>
      <c r="D390" s="552">
        <v>0</v>
      </c>
      <c r="E390" s="686">
        <f t="shared" si="41"/>
        <v>0</v>
      </c>
      <c r="F390" s="452" t="s">
        <v>232</v>
      </c>
      <c r="G390" s="687" t="str">
        <f t="shared" si="39"/>
        <v>.</v>
      </c>
      <c r="H390" s="692" t="s">
        <v>232</v>
      </c>
      <c r="I390" s="424" t="str">
        <f t="shared" si="40"/>
        <v>.</v>
      </c>
      <c r="J390" s="424" t="s">
        <v>232</v>
      </c>
      <c r="K390" s="688">
        <f t="shared" si="42"/>
        <v>0</v>
      </c>
      <c r="L390" s="310">
        <f>SUMIFS('Bilateral assistance, MAIN DATA'!M:M,'Bilateral assistance, MAIN DATA'!I:I,'Price List, Weapons &amp; Items'!A390)</f>
        <v>0</v>
      </c>
      <c r="M390" s="46">
        <f>COUNTIFS('Bilateral assistance, MAIN DATA'!M:M,"undisclosed",'Bilateral assistance, MAIN DATA'!I:I,'Price List, Weapons &amp; Items'!A390)</f>
        <v>1</v>
      </c>
      <c r="N390" s="689" t="str">
        <f t="shared" si="43"/>
        <v>no price</v>
      </c>
      <c r="O390" s="1">
        <f>IFERROR(IF(SEARCH(A390,_xlfn.ARRAYTOTEXT('Bilateral assistance, MAIN DATA'!I$1:I$1408))&gt;0,1,""),0)</f>
        <v>1</v>
      </c>
      <c r="P390" s="46">
        <f>IFERROR(IF(SEARCH(A390,_xlfn.ARRAYTOTEXT('Commercial assistance'!I$1:I$1400))&gt;0,1,""),0)</f>
        <v>0</v>
      </c>
    </row>
    <row r="391" spans="1:16" ht="15" customHeight="1">
      <c r="A391" s="424" t="s">
        <v>3920</v>
      </c>
      <c r="B391" s="684" t="s">
        <v>228</v>
      </c>
      <c r="C391" s="685" t="s">
        <v>232</v>
      </c>
      <c r="D391" s="686">
        <v>0</v>
      </c>
      <c r="E391" s="686">
        <f t="shared" si="41"/>
        <v>0</v>
      </c>
      <c r="F391" s="452" t="s">
        <v>232</v>
      </c>
      <c r="G391" s="687" t="str">
        <f t="shared" si="39"/>
        <v>.</v>
      </c>
      <c r="H391" s="424" t="s">
        <v>232</v>
      </c>
      <c r="I391" s="424" t="str">
        <f t="shared" si="40"/>
        <v>.</v>
      </c>
      <c r="J391" s="424" t="s">
        <v>232</v>
      </c>
      <c r="K391" s="688">
        <f t="shared" si="42"/>
        <v>0</v>
      </c>
      <c r="L391" s="310">
        <f>SUMIFS('Bilateral assistance, MAIN DATA'!M:M,'Bilateral assistance, MAIN DATA'!I:I,'Price List, Weapons &amp; Items'!A391)</f>
        <v>5000</v>
      </c>
      <c r="M391" s="46">
        <f>COUNTIFS('Bilateral assistance, MAIN DATA'!M:M,"undisclosed",'Bilateral assistance, MAIN DATA'!I:I,'Price List, Weapons &amp; Items'!A391)</f>
        <v>0</v>
      </c>
      <c r="N391" s="689" t="str">
        <f t="shared" si="43"/>
        <v>no price</v>
      </c>
      <c r="O391" s="1">
        <f>IFERROR(IF(SEARCH(A391,_xlfn.ARRAYTOTEXT('Bilateral assistance, MAIN DATA'!I$1:I$1408))&gt;0,1,""),0)</f>
        <v>1</v>
      </c>
      <c r="P391" s="46">
        <f>IFERROR(IF(SEARCH(A391,_xlfn.ARRAYTOTEXT('Commercial assistance'!I$1:I$1400))&gt;0,1,""),0)</f>
        <v>0</v>
      </c>
    </row>
    <row r="392" spans="1:16" ht="15" customHeight="1">
      <c r="A392" s="512" t="s">
        <v>626</v>
      </c>
      <c r="B392" s="684" t="s">
        <v>228</v>
      </c>
      <c r="C392" s="685" t="s">
        <v>232</v>
      </c>
      <c r="D392" s="686">
        <v>0</v>
      </c>
      <c r="E392" s="686">
        <f t="shared" si="41"/>
        <v>0</v>
      </c>
      <c r="F392" s="452" t="s">
        <v>232</v>
      </c>
      <c r="G392" s="687" t="str">
        <f t="shared" si="39"/>
        <v>.</v>
      </c>
      <c r="H392" s="653" t="s">
        <v>3921</v>
      </c>
      <c r="I392" s="424" t="s">
        <v>3259</v>
      </c>
      <c r="J392" s="424" t="s">
        <v>3922</v>
      </c>
      <c r="K392" s="688">
        <f t="shared" si="42"/>
        <v>0</v>
      </c>
      <c r="L392" s="310">
        <f>SUMIFS('Bilateral assistance, MAIN DATA'!M:M,'Bilateral assistance, MAIN DATA'!I:I,'Price List, Weapons &amp; Items'!A392)</f>
        <v>867</v>
      </c>
      <c r="M392" s="46">
        <f>COUNTIFS('Bilateral assistance, MAIN DATA'!M:M,"undisclosed",'Bilateral assistance, MAIN DATA'!I:I,'Price List, Weapons &amp; Items'!A392)</f>
        <v>3</v>
      </c>
      <c r="N392" s="689" t="str">
        <f t="shared" si="43"/>
        <v>no price</v>
      </c>
      <c r="O392" s="1">
        <f>IFERROR(IF(SEARCH(A392,_xlfn.ARRAYTOTEXT('Bilateral assistance, MAIN DATA'!I$1:I$1408))&gt;0,1,""),0)</f>
        <v>1</v>
      </c>
      <c r="P392" s="46">
        <f>IFERROR(IF(SEARCH(A392,_xlfn.ARRAYTOTEXT('Commercial assistance'!I$1:I$1400))&gt;0,1,""),0)</f>
        <v>0</v>
      </c>
    </row>
    <row r="393" spans="1:16" ht="15" customHeight="1">
      <c r="A393" s="424" t="s">
        <v>3923</v>
      </c>
      <c r="B393" s="684" t="s">
        <v>729</v>
      </c>
      <c r="D393" s="686">
        <v>0</v>
      </c>
      <c r="E393" s="686">
        <f t="shared" si="41"/>
        <v>0</v>
      </c>
      <c r="F393" s="452" t="s">
        <v>232</v>
      </c>
      <c r="G393" s="687" t="str">
        <f t="shared" si="39"/>
        <v>.</v>
      </c>
      <c r="H393" s="692" t="s">
        <v>232</v>
      </c>
      <c r="I393" s="424" t="str">
        <f t="shared" ref="I393:I399" si="44">IF(H393&lt;&gt;".",".",".")</f>
        <v>.</v>
      </c>
      <c r="J393" s="424" t="s">
        <v>232</v>
      </c>
      <c r="K393" s="688">
        <f t="shared" si="42"/>
        <v>0</v>
      </c>
      <c r="L393" s="310">
        <f>SUMIFS('Bilateral assistance, MAIN DATA'!M:M,'Bilateral assistance, MAIN DATA'!I:I,'Price List, Weapons &amp; Items'!A393)</f>
        <v>2000</v>
      </c>
      <c r="M393" s="46">
        <f>COUNTIFS('Bilateral assistance, MAIN DATA'!M:M,"undisclosed",'Bilateral assistance, MAIN DATA'!I:I,'Price List, Weapons &amp; Items'!A393)</f>
        <v>1</v>
      </c>
      <c r="N393" s="689" t="str">
        <f t="shared" si="43"/>
        <v>no price</v>
      </c>
      <c r="O393" s="1">
        <f>IFERROR(IF(SEARCH(A393,_xlfn.ARRAYTOTEXT('Bilateral assistance, MAIN DATA'!I$1:I$1408))&gt;0,1,""),0)</f>
        <v>1</v>
      </c>
      <c r="P393" s="46">
        <f>IFERROR(IF(SEARCH(A393,_xlfn.ARRAYTOTEXT('Commercial assistance'!I$1:I$1400))&gt;0,1,""),0)</f>
        <v>0</v>
      </c>
    </row>
    <row r="394" spans="1:16" ht="15" customHeight="1">
      <c r="A394" s="424" t="s">
        <v>2302</v>
      </c>
      <c r="B394" s="684" t="s">
        <v>3239</v>
      </c>
      <c r="C394" s="685" t="s">
        <v>3511</v>
      </c>
      <c r="D394" s="686">
        <v>0</v>
      </c>
      <c r="E394" s="686">
        <f t="shared" si="41"/>
        <v>0</v>
      </c>
      <c r="F394" s="452" t="s">
        <v>232</v>
      </c>
      <c r="G394" s="687" t="str">
        <f t="shared" si="39"/>
        <v>.</v>
      </c>
      <c r="H394" s="692" t="s">
        <v>232</v>
      </c>
      <c r="I394" s="424" t="str">
        <f t="shared" si="44"/>
        <v>.</v>
      </c>
      <c r="J394" s="424" t="s">
        <v>232</v>
      </c>
      <c r="K394" s="688">
        <f t="shared" si="42"/>
        <v>0</v>
      </c>
      <c r="L394" s="310">
        <f>SUMIFS('Bilateral assistance, MAIN DATA'!M:M,'Bilateral assistance, MAIN DATA'!I:I,'Price List, Weapons &amp; Items'!A394)</f>
        <v>1</v>
      </c>
      <c r="M394" s="46">
        <f>COUNTIFS('Bilateral assistance, MAIN DATA'!M:M,"undisclosed",'Bilateral assistance, MAIN DATA'!I:I,'Price List, Weapons &amp; Items'!A394)</f>
        <v>0</v>
      </c>
      <c r="N394" s="689" t="str">
        <f t="shared" si="43"/>
        <v>no price</v>
      </c>
      <c r="O394" s="1">
        <f>IFERROR(IF(SEARCH(A394,_xlfn.ARRAYTOTEXT('Bilateral assistance, MAIN DATA'!I$1:I$1408))&gt;0,1,""),0)</f>
        <v>1</v>
      </c>
      <c r="P394" s="46">
        <f>IFERROR(IF(SEARCH(A394,_xlfn.ARRAYTOTEXT('Commercial assistance'!I$1:I$1400))&gt;0,1,""),0)</f>
        <v>0</v>
      </c>
    </row>
    <row r="395" spans="1:16" ht="15" customHeight="1">
      <c r="A395" s="424" t="s">
        <v>3924</v>
      </c>
      <c r="B395" s="684" t="s">
        <v>228</v>
      </c>
      <c r="C395" s="685" t="s">
        <v>232</v>
      </c>
      <c r="D395" s="552">
        <v>0</v>
      </c>
      <c r="E395" s="686">
        <f t="shared" si="41"/>
        <v>0</v>
      </c>
      <c r="F395" s="452" t="s">
        <v>232</v>
      </c>
      <c r="G395" s="687" t="str">
        <f t="shared" si="39"/>
        <v>.</v>
      </c>
      <c r="H395" s="692" t="s">
        <v>232</v>
      </c>
      <c r="I395" s="424" t="str">
        <f t="shared" si="44"/>
        <v>.</v>
      </c>
      <c r="J395" s="424" t="s">
        <v>232</v>
      </c>
      <c r="K395" s="688">
        <f t="shared" si="42"/>
        <v>0</v>
      </c>
      <c r="L395" s="310">
        <f>SUMIFS('Bilateral assistance, MAIN DATA'!M:M,'Bilateral assistance, MAIN DATA'!I:I,'Price List, Weapons &amp; Items'!A395)</f>
        <v>600000</v>
      </c>
      <c r="M395" s="46">
        <f>COUNTIFS('Bilateral assistance, MAIN DATA'!M:M,"undisclosed",'Bilateral assistance, MAIN DATA'!I:I,'Price List, Weapons &amp; Items'!A395)</f>
        <v>0</v>
      </c>
      <c r="N395" s="689" t="str">
        <f t="shared" si="43"/>
        <v>no price</v>
      </c>
      <c r="O395" s="1">
        <f>IFERROR(IF(SEARCH(A395,_xlfn.ARRAYTOTEXT('Bilateral assistance, MAIN DATA'!I$1:I$1408))&gt;0,1,""),0)</f>
        <v>1</v>
      </c>
      <c r="P395" s="46">
        <f>IFERROR(IF(SEARCH(A395,_xlfn.ARRAYTOTEXT('Commercial assistance'!I$1:I$1400))&gt;0,1,""),0)</f>
        <v>0</v>
      </c>
    </row>
    <row r="396" spans="1:16" ht="15" customHeight="1">
      <c r="A396" s="424" t="s">
        <v>3925</v>
      </c>
      <c r="B396" s="684" t="s">
        <v>228</v>
      </c>
      <c r="C396" s="685" t="s">
        <v>232</v>
      </c>
      <c r="D396" s="686">
        <v>0</v>
      </c>
      <c r="E396" s="686">
        <f t="shared" si="41"/>
        <v>0</v>
      </c>
      <c r="F396" s="452" t="s">
        <v>232</v>
      </c>
      <c r="G396" s="687" t="str">
        <f t="shared" si="39"/>
        <v>.</v>
      </c>
      <c r="H396" s="692" t="s">
        <v>232</v>
      </c>
      <c r="I396" s="424" t="str">
        <f t="shared" si="44"/>
        <v>.</v>
      </c>
      <c r="J396" s="424" t="s">
        <v>232</v>
      </c>
      <c r="K396" s="688">
        <f t="shared" si="42"/>
        <v>0</v>
      </c>
      <c r="L396" s="310">
        <f>SUMIFS('Bilateral assistance, MAIN DATA'!M:M,'Bilateral assistance, MAIN DATA'!I:I,'Price List, Weapons &amp; Items'!A396)</f>
        <v>2</v>
      </c>
      <c r="M396" s="46">
        <f>COUNTIFS('Bilateral assistance, MAIN DATA'!M:M,"undisclosed",'Bilateral assistance, MAIN DATA'!I:I,'Price List, Weapons &amp; Items'!A396)</f>
        <v>0</v>
      </c>
      <c r="N396" s="689" t="str">
        <f t="shared" si="43"/>
        <v>no price</v>
      </c>
      <c r="O396" s="1">
        <f>IFERROR(IF(SEARCH(A396,_xlfn.ARRAYTOTEXT('Bilateral assistance, MAIN DATA'!I$1:I$1408))&gt;0,1,""),0)</f>
        <v>1</v>
      </c>
      <c r="P396" s="46">
        <f>IFERROR(IF(SEARCH(A396,_xlfn.ARRAYTOTEXT('Commercial assistance'!I$1:I$1400))&gt;0,1,""),0)</f>
        <v>0</v>
      </c>
    </row>
    <row r="397" spans="1:16" ht="15" customHeight="1">
      <c r="A397" s="424" t="s">
        <v>1037</v>
      </c>
      <c r="B397" s="684" t="s">
        <v>228</v>
      </c>
      <c r="C397" s="685" t="s">
        <v>232</v>
      </c>
      <c r="D397" s="686">
        <v>0</v>
      </c>
      <c r="E397" s="686">
        <f t="shared" si="41"/>
        <v>0</v>
      </c>
      <c r="F397" s="452" t="s">
        <v>232</v>
      </c>
      <c r="G397" s="687" t="str">
        <f t="shared" si="39"/>
        <v>.</v>
      </c>
      <c r="H397" s="692" t="s">
        <v>232</v>
      </c>
      <c r="I397" s="424" t="str">
        <f t="shared" si="44"/>
        <v>.</v>
      </c>
      <c r="J397" s="424" t="s">
        <v>232</v>
      </c>
      <c r="K397" s="688">
        <f t="shared" si="42"/>
        <v>0</v>
      </c>
      <c r="L397" s="310">
        <f>SUMIFS('Bilateral assistance, MAIN DATA'!M:M,'Bilateral assistance, MAIN DATA'!I:I,'Price List, Weapons &amp; Items'!A397)</f>
        <v>50</v>
      </c>
      <c r="M397" s="46">
        <f>COUNTIFS('Bilateral assistance, MAIN DATA'!M:M,"undisclosed",'Bilateral assistance, MAIN DATA'!I:I,'Price List, Weapons &amp; Items'!A397)</f>
        <v>0</v>
      </c>
      <c r="N397" s="689" t="str">
        <f t="shared" si="43"/>
        <v>no price</v>
      </c>
      <c r="O397" s="1">
        <f>IFERROR(IF(SEARCH(A397,_xlfn.ARRAYTOTEXT('Bilateral assistance, MAIN DATA'!I$1:I$1408))&gt;0,1,""),0)</f>
        <v>1</v>
      </c>
      <c r="P397" s="46">
        <f>IFERROR(IF(SEARCH(A397,_xlfn.ARRAYTOTEXT('Commercial assistance'!I$1:I$1400))&gt;0,1,""),0)</f>
        <v>0</v>
      </c>
    </row>
    <row r="398" spans="1:16" ht="15" customHeight="1">
      <c r="A398" s="424" t="s">
        <v>3926</v>
      </c>
      <c r="B398" s="684" t="s">
        <v>729</v>
      </c>
      <c r="C398" s="685" t="s">
        <v>232</v>
      </c>
      <c r="D398" s="686">
        <v>0</v>
      </c>
      <c r="E398" s="686">
        <f t="shared" si="41"/>
        <v>0</v>
      </c>
      <c r="F398" s="452" t="s">
        <v>232</v>
      </c>
      <c r="G398" s="687" t="str">
        <f t="shared" si="39"/>
        <v>.</v>
      </c>
      <c r="H398" s="692" t="s">
        <v>232</v>
      </c>
      <c r="I398" s="424" t="str">
        <f t="shared" si="44"/>
        <v>.</v>
      </c>
      <c r="J398" s="424" t="s">
        <v>232</v>
      </c>
      <c r="K398" s="688">
        <f t="shared" si="42"/>
        <v>0</v>
      </c>
      <c r="L398" s="310">
        <f>SUMIFS('Bilateral assistance, MAIN DATA'!M:M,'Bilateral assistance, MAIN DATA'!I:I,'Price List, Weapons &amp; Items'!A398)</f>
        <v>2</v>
      </c>
      <c r="M398" s="46">
        <f>COUNTIFS('Bilateral assistance, MAIN DATA'!M:M,"undisclosed",'Bilateral assistance, MAIN DATA'!I:I,'Price List, Weapons &amp; Items'!A398)</f>
        <v>0</v>
      </c>
      <c r="N398" s="689" t="str">
        <f t="shared" si="43"/>
        <v>no price</v>
      </c>
      <c r="O398" s="1">
        <f>IFERROR(IF(SEARCH(A398,_xlfn.ARRAYTOTEXT('Bilateral assistance, MAIN DATA'!I$1:I$1408))&gt;0,1,""),0)</f>
        <v>1</v>
      </c>
      <c r="P398" s="46">
        <f>IFERROR(IF(SEARCH(A398,_xlfn.ARRAYTOTEXT('Commercial assistance'!I$1:I$1400))&gt;0,1,""),0)</f>
        <v>0</v>
      </c>
    </row>
    <row r="399" spans="1:16" ht="15" customHeight="1">
      <c r="A399" s="704" t="s">
        <v>1268</v>
      </c>
      <c r="B399" s="684" t="s">
        <v>729</v>
      </c>
      <c r="C399" s="685" t="s">
        <v>3340</v>
      </c>
      <c r="D399" s="552">
        <v>0</v>
      </c>
      <c r="E399" s="686">
        <f t="shared" si="41"/>
        <v>1</v>
      </c>
      <c r="F399" s="452" t="s">
        <v>232</v>
      </c>
      <c r="G399" s="687" t="str">
        <f t="shared" si="39"/>
        <v>.</v>
      </c>
      <c r="H399" s="696" t="s">
        <v>232</v>
      </c>
      <c r="I399" s="424" t="str">
        <f t="shared" si="44"/>
        <v>.</v>
      </c>
      <c r="J399" s="424" t="s">
        <v>232</v>
      </c>
      <c r="K399" s="688">
        <f t="shared" si="42"/>
        <v>0</v>
      </c>
      <c r="L399" s="310">
        <f>SUMIFS('Bilateral assistance, MAIN DATA'!M:M,'Bilateral assistance, MAIN DATA'!I:I,'Price List, Weapons &amp; Items'!A399)</f>
        <v>2</v>
      </c>
      <c r="M399" s="46">
        <f>COUNTIFS('Bilateral assistance, MAIN DATA'!M:M,"undisclosed",'Bilateral assistance, MAIN DATA'!I:I,'Price List, Weapons &amp; Items'!A399)</f>
        <v>0</v>
      </c>
      <c r="N399" s="689" t="str">
        <f t="shared" si="43"/>
        <v>no price</v>
      </c>
      <c r="O399" s="1">
        <f>IFERROR(IF(SEARCH(A399,_xlfn.ARRAYTOTEXT('Bilateral assistance, MAIN DATA'!I$1:I$1408))&gt;0,1,""),0)</f>
        <v>1</v>
      </c>
      <c r="P399" s="46">
        <f>IFERROR(IF(SEARCH(A399,_xlfn.ARRAYTOTEXT('Commercial assistance'!I$1:I$1400))&gt;0,1,""),0)</f>
        <v>0</v>
      </c>
    </row>
    <row r="400" spans="1:16" ht="15" customHeight="1">
      <c r="A400" s="424" t="s">
        <v>1258</v>
      </c>
      <c r="B400" s="684" t="s">
        <v>729</v>
      </c>
      <c r="C400" s="685" t="s">
        <v>232</v>
      </c>
      <c r="D400" s="552">
        <v>0</v>
      </c>
      <c r="E400" s="686">
        <f t="shared" ref="E400:E431" si="45">IF(OR(C400="Armoured Personnel Carrier (APC)",C400="Armoured Recovery Vehicle (ARV)",C400="Armoured Utility Vehicle (AUV)",C400="152mm howitzer ammunition",C400="155mm howitzer ammunition",C400="300mm MLRS ammunition",C400="155mm howitzer",C400="227mm MLRS ammunition",C400="Infantry fighting vehicle (IFV)",C400="152mm howitzer",C400="227mm MLRS",C400="Main Battle Tank (MBT)",C400="Protected Patrol Vehicle (PPV)",C400="127mm MLRS",C400="122mm MLRS",C400="122mm MLRS ammunition",C400="122mm MLRS",C400="127mm MLRS",C400="127mm MLRS ammunition")=TRUE,1,0)</f>
        <v>0</v>
      </c>
      <c r="F400" s="452" t="s">
        <v>232</v>
      </c>
      <c r="G400" s="687" t="str">
        <f>IF(F400&lt;&gt;".","USD",".")</f>
        <v>.</v>
      </c>
      <c r="H400" s="692" t="s">
        <v>232</v>
      </c>
      <c r="I400" s="424" t="str">
        <f>IF(H400&lt;&gt;".",".",".")</f>
        <v>.</v>
      </c>
      <c r="J400" s="424" t="s">
        <v>232</v>
      </c>
      <c r="K400" s="688">
        <f t="shared" si="42"/>
        <v>0</v>
      </c>
      <c r="L400" s="310">
        <f>SUMIFS('Bilateral assistance, MAIN DATA'!M:M,'Bilateral assistance, MAIN DATA'!I:I,'Price List, Weapons &amp; Items'!A400)</f>
        <v>14</v>
      </c>
      <c r="M400" s="46">
        <f>COUNTIFS('Bilateral assistance, MAIN DATA'!M:M,"undisclosed",'Bilateral assistance, MAIN DATA'!I:I,'Price List, Weapons &amp; Items'!A400)</f>
        <v>0</v>
      </c>
      <c r="N400" s="689" t="str">
        <f t="shared" si="43"/>
        <v>no price</v>
      </c>
      <c r="O400" s="1">
        <f>IFERROR(IF(SEARCH(A400,_xlfn.ARRAYTOTEXT('Bilateral assistance, MAIN DATA'!I$1:I$1408))&gt;0,1,""),0)</f>
        <v>1</v>
      </c>
      <c r="P400" s="46">
        <f>IFERROR(IF(SEARCH(A400,_xlfn.ARRAYTOTEXT('Commercial assistance'!I$1:I$1400))&gt;0,1,""),0)</f>
        <v>0</v>
      </c>
    </row>
    <row r="401" spans="1:16" ht="15" customHeight="1">
      <c r="A401" s="424" t="s">
        <v>3927</v>
      </c>
      <c r="B401" s="684" t="s">
        <v>729</v>
      </c>
      <c r="C401" s="685" t="s">
        <v>232</v>
      </c>
      <c r="D401" s="552">
        <v>0</v>
      </c>
      <c r="E401" s="686">
        <f t="shared" si="45"/>
        <v>0</v>
      </c>
      <c r="F401" s="452" t="s">
        <v>232</v>
      </c>
      <c r="G401" s="687" t="str">
        <f>IF(F401&lt;&gt;".","USD",".")</f>
        <v>.</v>
      </c>
      <c r="H401" s="692" t="s">
        <v>232</v>
      </c>
      <c r="I401" s="424" t="str">
        <f>IF(H401&lt;&gt;".",".",".")</f>
        <v>.</v>
      </c>
      <c r="J401" s="424" t="s">
        <v>232</v>
      </c>
      <c r="K401" s="688">
        <f t="shared" si="42"/>
        <v>0</v>
      </c>
      <c r="L401" s="310">
        <f>SUMIFS('Bilateral assistance, MAIN DATA'!M:M,'Bilateral assistance, MAIN DATA'!I:I,'Price List, Weapons &amp; Items'!A401)</f>
        <v>92</v>
      </c>
      <c r="M401" s="46">
        <f>COUNTIFS('Bilateral assistance, MAIN DATA'!M:M,"undisclosed",'Bilateral assistance, MAIN DATA'!I:I,'Price List, Weapons &amp; Items'!A401)</f>
        <v>0</v>
      </c>
      <c r="N401" s="689" t="str">
        <f t="shared" si="43"/>
        <v>no price</v>
      </c>
      <c r="O401" s="1">
        <f>IFERROR(IF(SEARCH(A401,_xlfn.ARRAYTOTEXT('Bilateral assistance, MAIN DATA'!I$1:I$1408))&gt;0,1,""),0)</f>
        <v>1</v>
      </c>
      <c r="P401" s="46">
        <f>IFERROR(IF(SEARCH(A401,_xlfn.ARRAYTOTEXT('Commercial assistance'!I$1:I$1400))&gt;0,1,""),0)</f>
        <v>0</v>
      </c>
    </row>
    <row r="402" spans="1:16" ht="15" customHeight="1">
      <c r="A402" s="424" t="s">
        <v>3928</v>
      </c>
      <c r="B402" s="684" t="s">
        <v>228</v>
      </c>
      <c r="C402" s="685" t="s">
        <v>232</v>
      </c>
      <c r="D402" s="552">
        <v>0</v>
      </c>
      <c r="E402" s="686">
        <f t="shared" si="45"/>
        <v>0</v>
      </c>
      <c r="F402" s="452" t="s">
        <v>232</v>
      </c>
      <c r="G402" s="88" t="s">
        <v>314</v>
      </c>
      <c r="H402" s="692" t="s">
        <v>232</v>
      </c>
      <c r="I402" s="424" t="str">
        <f>IF(H402&lt;&gt;".",".",".")</f>
        <v>.</v>
      </c>
      <c r="J402" s="424" t="s">
        <v>232</v>
      </c>
      <c r="K402" s="688">
        <f t="shared" si="42"/>
        <v>0</v>
      </c>
      <c r="L402" s="310">
        <f>SUMIFS('Bilateral assistance, MAIN DATA'!M:M,'Bilateral assistance, MAIN DATA'!I:I,'Price List, Weapons &amp; Items'!A402)</f>
        <v>1</v>
      </c>
      <c r="M402" s="46">
        <f>COUNTIFS('Bilateral assistance, MAIN DATA'!M:M,"undisclosed",'Bilateral assistance, MAIN DATA'!I:I,'Price List, Weapons &amp; Items'!A402)</f>
        <v>0</v>
      </c>
      <c r="N402" s="689" t="str">
        <f t="shared" si="43"/>
        <v>no price</v>
      </c>
      <c r="O402" s="1">
        <f>IFERROR(IF(SEARCH(A402,_xlfn.ARRAYTOTEXT('Bilateral assistance, MAIN DATA'!I$1:I$1408))&gt;0,1,""),0)</f>
        <v>1</v>
      </c>
      <c r="P402" s="46">
        <f>IFERROR(IF(SEARCH(A402,_xlfn.ARRAYTOTEXT('Commercial assistance'!I$1:I$1400))&gt;0,1,""),0)</f>
        <v>0</v>
      </c>
    </row>
    <row r="403" spans="1:16" ht="15" customHeight="1">
      <c r="A403" s="424" t="s">
        <v>3929</v>
      </c>
      <c r="B403" s="684" t="s">
        <v>228</v>
      </c>
      <c r="C403" s="685" t="s">
        <v>232</v>
      </c>
      <c r="D403" s="686">
        <v>0</v>
      </c>
      <c r="E403" s="686">
        <f t="shared" si="45"/>
        <v>0</v>
      </c>
      <c r="F403" s="452">
        <v>125000000</v>
      </c>
      <c r="G403" s="687" t="str">
        <f t="shared" ref="G403:G434" si="46">IF(F403&lt;&gt;".","USD",".")</f>
        <v>USD</v>
      </c>
      <c r="H403" s="652" t="s">
        <v>3930</v>
      </c>
      <c r="I403" s="424" t="s">
        <v>3259</v>
      </c>
      <c r="J403" s="424" t="s">
        <v>3931</v>
      </c>
      <c r="K403" s="688">
        <f t="shared" si="42"/>
        <v>0</v>
      </c>
      <c r="L403" s="310">
        <f>SUMIFS('Bilateral assistance, MAIN DATA'!M:M,'Bilateral assistance, MAIN DATA'!I:I,'Price List, Weapons &amp; Items'!A403)</f>
        <v>1</v>
      </c>
      <c r="M403" s="46">
        <f>COUNTIFS('Bilateral assistance, MAIN DATA'!M:M,"undisclosed",'Bilateral assistance, MAIN DATA'!I:I,'Price List, Weapons &amp; Items'!A403)</f>
        <v>0</v>
      </c>
      <c r="N403" s="689">
        <f t="shared" si="43"/>
        <v>125000000</v>
      </c>
      <c r="O403" s="1">
        <f>IFERROR(IF(SEARCH(A403,_xlfn.ARRAYTOTEXT('Bilateral assistance, MAIN DATA'!I$1:I$1408))&gt;0,1,""),0)</f>
        <v>1</v>
      </c>
      <c r="P403" s="46">
        <f>IFERROR(IF(SEARCH(A403,_xlfn.ARRAYTOTEXT('Commercial assistance'!I$1:I$1400))&gt;0,1,""),0)</f>
        <v>0</v>
      </c>
    </row>
    <row r="404" spans="1:16" ht="15" customHeight="1">
      <c r="A404" s="512" t="s">
        <v>3932</v>
      </c>
      <c r="B404" s="684" t="s">
        <v>228</v>
      </c>
      <c r="C404" s="685" t="s">
        <v>232</v>
      </c>
      <c r="D404" s="686">
        <v>0</v>
      </c>
      <c r="E404" s="686">
        <f t="shared" si="45"/>
        <v>0</v>
      </c>
      <c r="F404" s="452">
        <v>33960000</v>
      </c>
      <c r="G404" s="687" t="str">
        <f t="shared" si="46"/>
        <v>USD</v>
      </c>
      <c r="H404" s="652" t="s">
        <v>3933</v>
      </c>
      <c r="I404" s="424" t="s">
        <v>3259</v>
      </c>
      <c r="J404" s="424" t="s">
        <v>3934</v>
      </c>
      <c r="K404" s="688">
        <f t="shared" si="42"/>
        <v>0</v>
      </c>
      <c r="L404" s="310">
        <f>SUMIFS('Bilateral assistance, MAIN DATA'!M:M,'Bilateral assistance, MAIN DATA'!I:I,'Price List, Weapons &amp; Items'!A404)</f>
        <v>2</v>
      </c>
      <c r="M404" s="46">
        <f>COUNTIFS('Bilateral assistance, MAIN DATA'!M:M,"undisclosed",'Bilateral assistance, MAIN DATA'!I:I,'Price List, Weapons &amp; Items'!A404)</f>
        <v>0</v>
      </c>
      <c r="N404" s="689">
        <f t="shared" si="43"/>
        <v>67920000</v>
      </c>
      <c r="O404" s="1">
        <f>IFERROR(IF(SEARCH(A404,_xlfn.ARRAYTOTEXT('Bilateral assistance, MAIN DATA'!I$1:I$1408))&gt;0,1,""),0)</f>
        <v>1</v>
      </c>
      <c r="P404" s="46">
        <f>IFERROR(IF(SEARCH(A404,_xlfn.ARRAYTOTEXT('Commercial assistance'!I$1:I$1400))&gt;0,1,""),0)</f>
        <v>0</v>
      </c>
    </row>
    <row r="405" spans="1:16" ht="15" customHeight="1">
      <c r="A405" s="424" t="s">
        <v>2203</v>
      </c>
      <c r="B405" s="684" t="s">
        <v>228</v>
      </c>
      <c r="C405" s="685" t="s">
        <v>232</v>
      </c>
      <c r="D405" s="686">
        <v>0</v>
      </c>
      <c r="E405" s="686">
        <f t="shared" si="45"/>
        <v>0</v>
      </c>
      <c r="F405" s="452">
        <v>644000</v>
      </c>
      <c r="G405" s="687" t="str">
        <f t="shared" si="46"/>
        <v>USD</v>
      </c>
      <c r="H405" s="653" t="s">
        <v>3935</v>
      </c>
      <c r="I405" s="424" t="s">
        <v>3270</v>
      </c>
      <c r="J405" s="424" t="s">
        <v>3936</v>
      </c>
      <c r="K405" s="688">
        <f t="shared" si="42"/>
        <v>0</v>
      </c>
      <c r="L405" s="310">
        <f>SUMIFS('Bilateral assistance, MAIN DATA'!M:M,'Bilateral assistance, MAIN DATA'!I:I,'Price List, Weapons &amp; Items'!A405)</f>
        <v>3</v>
      </c>
      <c r="M405" s="46">
        <f>COUNTIFS('Bilateral assistance, MAIN DATA'!M:M,"undisclosed",'Bilateral assistance, MAIN DATA'!I:I,'Price List, Weapons &amp; Items'!A405)</f>
        <v>0</v>
      </c>
      <c r="N405" s="689">
        <f t="shared" si="43"/>
        <v>1932000</v>
      </c>
      <c r="O405" s="1">
        <f>IFERROR(IF(SEARCH(A405,_xlfn.ARRAYTOTEXT('Bilateral assistance, MAIN DATA'!I$1:I$1408))&gt;0,1,""),0)</f>
        <v>1</v>
      </c>
      <c r="P405" s="46">
        <f>IFERROR(IF(SEARCH(A405,_xlfn.ARRAYTOTEXT('Commercial assistance'!I$1:I$1400))&gt;0,1,""),0)</f>
        <v>0</v>
      </c>
    </row>
    <row r="406" spans="1:16" ht="15" customHeight="1">
      <c r="A406" s="424" t="s">
        <v>3937</v>
      </c>
      <c r="B406" s="684" t="s">
        <v>228</v>
      </c>
      <c r="C406" s="685" t="s">
        <v>232</v>
      </c>
      <c r="D406" s="686">
        <v>0</v>
      </c>
      <c r="E406" s="686">
        <f t="shared" si="45"/>
        <v>0</v>
      </c>
      <c r="F406" s="452">
        <v>400000</v>
      </c>
      <c r="G406" s="687" t="str">
        <f t="shared" si="46"/>
        <v>USD</v>
      </c>
      <c r="H406" s="653" t="s">
        <v>3938</v>
      </c>
      <c r="I406" s="424" t="s">
        <v>3259</v>
      </c>
      <c r="J406" s="424" t="s">
        <v>3939</v>
      </c>
      <c r="K406" s="688">
        <f t="shared" si="42"/>
        <v>0</v>
      </c>
      <c r="L406" s="310">
        <f>SUMIFS('Bilateral assistance, MAIN DATA'!M:M,'Bilateral assistance, MAIN DATA'!I:I,'Price List, Weapons &amp; Items'!A406)</f>
        <v>37</v>
      </c>
      <c r="M406" s="46">
        <f>COUNTIFS('Bilateral assistance, MAIN DATA'!M:M,"undisclosed",'Bilateral assistance, MAIN DATA'!I:I,'Price List, Weapons &amp; Items'!A406)</f>
        <v>0</v>
      </c>
      <c r="N406" s="689">
        <f t="shared" si="43"/>
        <v>14800000</v>
      </c>
      <c r="O406" s="1">
        <f>IFERROR(IF(SEARCH(A406,_xlfn.ARRAYTOTEXT('Bilateral assistance, MAIN DATA'!I$1:I$1408))&gt;0,1,""),0)</f>
        <v>1</v>
      </c>
      <c r="P406" s="46">
        <f>IFERROR(IF(SEARCH(A406,_xlfn.ARRAYTOTEXT('Commercial assistance'!I$1:I$1400))&gt;0,1,""),0)</f>
        <v>0</v>
      </c>
    </row>
    <row r="407" spans="1:16" ht="15" customHeight="1">
      <c r="A407" s="424" t="s">
        <v>1034</v>
      </c>
      <c r="B407" s="684" t="s">
        <v>228</v>
      </c>
      <c r="C407" s="685" t="s">
        <v>232</v>
      </c>
      <c r="D407" s="686">
        <v>0</v>
      </c>
      <c r="E407" s="686">
        <f t="shared" si="45"/>
        <v>0</v>
      </c>
      <c r="F407" s="452">
        <v>400000</v>
      </c>
      <c r="G407" s="687" t="str">
        <f t="shared" si="46"/>
        <v>USD</v>
      </c>
      <c r="H407" s="653" t="s">
        <v>3938</v>
      </c>
      <c r="I407" s="424" t="s">
        <v>3270</v>
      </c>
      <c r="J407" s="424" t="s">
        <v>3940</v>
      </c>
      <c r="K407" s="688">
        <f t="shared" si="42"/>
        <v>0</v>
      </c>
      <c r="L407" s="310">
        <f>SUMIFS('Bilateral assistance, MAIN DATA'!M:M,'Bilateral assistance, MAIN DATA'!I:I,'Price List, Weapons &amp; Items'!A407)</f>
        <v>28</v>
      </c>
      <c r="M407" s="46">
        <f>COUNTIFS('Bilateral assistance, MAIN DATA'!M:M,"undisclosed",'Bilateral assistance, MAIN DATA'!I:I,'Price List, Weapons &amp; Items'!A407)</f>
        <v>0</v>
      </c>
      <c r="N407" s="689">
        <f t="shared" si="43"/>
        <v>11200000</v>
      </c>
      <c r="O407" s="1">
        <f>IFERROR(IF(SEARCH(A407,_xlfn.ARRAYTOTEXT('Bilateral assistance, MAIN DATA'!I$1:I$1408))&gt;0,1,""),0)</f>
        <v>1</v>
      </c>
      <c r="P407" s="46">
        <f>IFERROR(IF(SEARCH(A407,_xlfn.ARRAYTOTEXT('Commercial assistance'!I$1:I$1400))&gt;0,1,""),0)</f>
        <v>0</v>
      </c>
    </row>
    <row r="408" spans="1:16" ht="15" customHeight="1">
      <c r="A408" s="424" t="s">
        <v>3941</v>
      </c>
      <c r="B408" s="684" t="s">
        <v>228</v>
      </c>
      <c r="C408" s="685" t="s">
        <v>232</v>
      </c>
      <c r="D408" s="686">
        <v>0</v>
      </c>
      <c r="E408" s="686">
        <f t="shared" si="45"/>
        <v>0</v>
      </c>
      <c r="F408" s="452">
        <v>317500</v>
      </c>
      <c r="G408" s="687" t="str">
        <f t="shared" si="46"/>
        <v>USD</v>
      </c>
      <c r="H408" s="653" t="s">
        <v>3942</v>
      </c>
      <c r="I408" s="424" t="s">
        <v>3259</v>
      </c>
      <c r="J408" s="424" t="s">
        <v>3943</v>
      </c>
      <c r="K408" s="688">
        <f t="shared" si="42"/>
        <v>0</v>
      </c>
      <c r="L408" s="310">
        <f>SUMIFS('Bilateral assistance, MAIN DATA'!M:M,'Bilateral assistance, MAIN DATA'!I:I,'Price List, Weapons &amp; Items'!A408)</f>
        <v>166</v>
      </c>
      <c r="M408" s="46">
        <f>COUNTIFS('Bilateral assistance, MAIN DATA'!M:M,"undisclosed",'Bilateral assistance, MAIN DATA'!I:I,'Price List, Weapons &amp; Items'!A408)</f>
        <v>0</v>
      </c>
      <c r="N408" s="689">
        <f t="shared" si="43"/>
        <v>52705000</v>
      </c>
      <c r="O408" s="1">
        <f>IFERROR(IF(SEARCH(A408,_xlfn.ARRAYTOTEXT('Bilateral assistance, MAIN DATA'!I$1:I$1408))&gt;0,1,""),0)</f>
        <v>1</v>
      </c>
      <c r="P408" s="46">
        <f>IFERROR(IF(SEARCH(A408,_xlfn.ARRAYTOTEXT('Commercial assistance'!I$1:I$1400))&gt;0,1,""),0)</f>
        <v>0</v>
      </c>
    </row>
    <row r="409" spans="1:16" ht="15" customHeight="1">
      <c r="A409" s="424" t="s">
        <v>341</v>
      </c>
      <c r="B409" s="684" t="s">
        <v>228</v>
      </c>
      <c r="C409" s="685" t="s">
        <v>232</v>
      </c>
      <c r="D409" s="686">
        <v>0</v>
      </c>
      <c r="E409" s="686">
        <f t="shared" si="45"/>
        <v>0</v>
      </c>
      <c r="F409" s="452">
        <v>400000</v>
      </c>
      <c r="G409" s="687" t="str">
        <f t="shared" si="46"/>
        <v>USD</v>
      </c>
      <c r="H409" s="653" t="s">
        <v>3938</v>
      </c>
      <c r="I409" s="424" t="s">
        <v>3259</v>
      </c>
      <c r="J409" s="424" t="s">
        <v>3939</v>
      </c>
      <c r="K409" s="688">
        <f t="shared" si="42"/>
        <v>0</v>
      </c>
      <c r="L409" s="310">
        <f>SUMIFS('Bilateral assistance, MAIN DATA'!M:M,'Bilateral assistance, MAIN DATA'!I:I,'Price List, Weapons &amp; Items'!A409)</f>
        <v>65</v>
      </c>
      <c r="M409" s="46">
        <f>COUNTIFS('Bilateral assistance, MAIN DATA'!M:M,"undisclosed",'Bilateral assistance, MAIN DATA'!I:I,'Price List, Weapons &amp; Items'!A409)</f>
        <v>0</v>
      </c>
      <c r="N409" s="689">
        <f t="shared" si="43"/>
        <v>26000000</v>
      </c>
      <c r="O409" s="1">
        <f>IFERROR(IF(SEARCH(A409,_xlfn.ARRAYTOTEXT('Bilateral assistance, MAIN DATA'!I$1:I$1408))&gt;0,1,""),0)</f>
        <v>1</v>
      </c>
      <c r="P409" s="46">
        <f>IFERROR(IF(SEARCH(A409,_xlfn.ARRAYTOTEXT('Commercial assistance'!I$1:I$1400))&gt;0,1,""),0)</f>
        <v>0</v>
      </c>
    </row>
    <row r="410" spans="1:16" ht="15" customHeight="1">
      <c r="A410" s="424" t="s">
        <v>3944</v>
      </c>
      <c r="B410" s="684" t="s">
        <v>228</v>
      </c>
      <c r="C410" s="685" t="s">
        <v>232</v>
      </c>
      <c r="D410" s="552">
        <v>0</v>
      </c>
      <c r="E410" s="686">
        <f t="shared" si="45"/>
        <v>0</v>
      </c>
      <c r="F410" s="452">
        <v>88347.31</v>
      </c>
      <c r="G410" s="687" t="str">
        <f t="shared" si="46"/>
        <v>USD</v>
      </c>
      <c r="H410" s="652" t="s">
        <v>1524</v>
      </c>
      <c r="I410" s="424" t="s">
        <v>3308</v>
      </c>
      <c r="J410" s="424" t="s">
        <v>3945</v>
      </c>
      <c r="K410" s="688">
        <f t="shared" si="42"/>
        <v>0</v>
      </c>
      <c r="L410" s="310">
        <f>SUMIFS('Bilateral assistance, MAIN DATA'!M:M,'Bilateral assistance, MAIN DATA'!I:I,'Price List, Weapons &amp; Items'!A410)</f>
        <v>2</v>
      </c>
      <c r="M410" s="46">
        <f>COUNTIFS('Bilateral assistance, MAIN DATA'!M:M,"undisclosed",'Bilateral assistance, MAIN DATA'!I:I,'Price List, Weapons &amp; Items'!A410)</f>
        <v>0</v>
      </c>
      <c r="N410" s="689">
        <f t="shared" si="43"/>
        <v>176694.62</v>
      </c>
      <c r="O410" s="1">
        <f>IFERROR(IF(SEARCH(A410,_xlfn.ARRAYTOTEXT('Bilateral assistance, MAIN DATA'!I$1:I$1408))&gt;0,1,""),0)</f>
        <v>1</v>
      </c>
      <c r="P410" s="46">
        <f>IFERROR(IF(SEARCH(A410,_xlfn.ARRAYTOTEXT('Commercial assistance'!I$1:I$1400))&gt;0,1,""),0)</f>
        <v>0</v>
      </c>
    </row>
    <row r="411" spans="1:16" ht="15" customHeight="1">
      <c r="A411" s="512" t="s">
        <v>3946</v>
      </c>
      <c r="B411" s="684" t="s">
        <v>228</v>
      </c>
      <c r="C411" s="685" t="s">
        <v>232</v>
      </c>
      <c r="D411" s="686">
        <v>0</v>
      </c>
      <c r="E411" s="686">
        <f t="shared" si="45"/>
        <v>0</v>
      </c>
      <c r="F411" s="452">
        <v>76400</v>
      </c>
      <c r="G411" s="687" t="str">
        <f t="shared" si="46"/>
        <v>USD</v>
      </c>
      <c r="H411" s="656" t="s">
        <v>3947</v>
      </c>
      <c r="I411" s="424" t="s">
        <v>3259</v>
      </c>
      <c r="J411" s="424" t="s">
        <v>3948</v>
      </c>
      <c r="K411" s="688">
        <f t="shared" si="42"/>
        <v>0</v>
      </c>
      <c r="L411" s="310">
        <f>SUMIFS('Bilateral assistance, MAIN DATA'!M:M,'Bilateral assistance, MAIN DATA'!I:I,'Price List, Weapons &amp; Items'!A411)</f>
        <v>0</v>
      </c>
      <c r="M411" s="46">
        <f>COUNTIFS('Bilateral assistance, MAIN DATA'!M:M,"undisclosed",'Bilateral assistance, MAIN DATA'!I:I,'Price List, Weapons &amp; Items'!A411)</f>
        <v>1</v>
      </c>
      <c r="N411" s="689">
        <f t="shared" si="43"/>
        <v>0</v>
      </c>
      <c r="O411" s="1">
        <f>IFERROR(IF(SEARCH(A411,_xlfn.ARRAYTOTEXT('Bilateral assistance, MAIN DATA'!I$1:I$1408))&gt;0,1,""),0)</f>
        <v>1</v>
      </c>
      <c r="P411" s="46">
        <f>IFERROR(IF(SEARCH(A411,_xlfn.ARRAYTOTEXT('Commercial assistance'!I$1:I$1400))&gt;0,1,""),0)</f>
        <v>0</v>
      </c>
    </row>
    <row r="412" spans="1:16" ht="15" customHeight="1">
      <c r="A412" s="424" t="s">
        <v>3949</v>
      </c>
      <c r="B412" s="684" t="s">
        <v>228</v>
      </c>
      <c r="C412" s="685" t="s">
        <v>232</v>
      </c>
      <c r="D412" s="686">
        <v>0</v>
      </c>
      <c r="E412" s="686">
        <f t="shared" si="45"/>
        <v>0</v>
      </c>
      <c r="F412" s="452">
        <v>27500</v>
      </c>
      <c r="G412" s="687" t="str">
        <f t="shared" si="46"/>
        <v>USD</v>
      </c>
      <c r="H412" s="653" t="s">
        <v>3950</v>
      </c>
      <c r="I412" s="424" t="s">
        <v>3270</v>
      </c>
      <c r="J412" s="667" t="s">
        <v>3951</v>
      </c>
      <c r="K412" s="688">
        <f t="shared" si="42"/>
        <v>0</v>
      </c>
      <c r="L412" s="310">
        <f>SUMIFS('Bilateral assistance, MAIN DATA'!M:M,'Bilateral assistance, MAIN DATA'!I:I,'Price List, Weapons &amp; Items'!A412)</f>
        <v>200</v>
      </c>
      <c r="M412" s="46">
        <f>COUNTIFS('Bilateral assistance, MAIN DATA'!M:M,"undisclosed",'Bilateral assistance, MAIN DATA'!I:I,'Price List, Weapons &amp; Items'!A412)</f>
        <v>0</v>
      </c>
      <c r="N412" s="689">
        <f t="shared" si="43"/>
        <v>5500000</v>
      </c>
      <c r="O412" s="1">
        <f>IFERROR(IF(SEARCH(A412,_xlfn.ARRAYTOTEXT('Bilateral assistance, MAIN DATA'!I$1:I$1408))&gt;0,1,""),0)</f>
        <v>1</v>
      </c>
      <c r="P412" s="46">
        <f>IFERROR(IF(SEARCH(A412,_xlfn.ARRAYTOTEXT('Commercial assistance'!I$1:I$1400))&gt;0,1,""),0)</f>
        <v>0</v>
      </c>
    </row>
    <row r="413" spans="1:16" ht="15" customHeight="1">
      <c r="A413" s="424" t="s">
        <v>3952</v>
      </c>
      <c r="B413" s="684" t="s">
        <v>228</v>
      </c>
      <c r="C413" s="685" t="s">
        <v>232</v>
      </c>
      <c r="D413" s="686">
        <v>0</v>
      </c>
      <c r="E413" s="686">
        <f t="shared" si="45"/>
        <v>0</v>
      </c>
      <c r="F413" s="452">
        <v>10000</v>
      </c>
      <c r="G413" s="687" t="str">
        <f t="shared" si="46"/>
        <v>USD</v>
      </c>
      <c r="H413" s="653" t="s">
        <v>3953</v>
      </c>
      <c r="I413" s="424" t="s">
        <v>3270</v>
      </c>
      <c r="J413" s="424" t="s">
        <v>3954</v>
      </c>
      <c r="K413" s="688">
        <f t="shared" si="42"/>
        <v>0</v>
      </c>
      <c r="L413" s="310">
        <f>SUMIFS('Bilateral assistance, MAIN DATA'!M:M,'Bilateral assistance, MAIN DATA'!I:I,'Price List, Weapons &amp; Items'!A413)</f>
        <v>49</v>
      </c>
      <c r="M413" s="46">
        <f>COUNTIFS('Bilateral assistance, MAIN DATA'!M:M,"undisclosed",'Bilateral assistance, MAIN DATA'!I:I,'Price List, Weapons &amp; Items'!A413)</f>
        <v>0</v>
      </c>
      <c r="N413" s="689">
        <f t="shared" si="43"/>
        <v>490000</v>
      </c>
      <c r="O413" s="1">
        <f>IFERROR(IF(SEARCH(A413,_xlfn.ARRAYTOTEXT('Bilateral assistance, MAIN DATA'!I$1:I$1408))&gt;0,1,""),0)</f>
        <v>1</v>
      </c>
      <c r="P413" s="46">
        <f>IFERROR(IF(SEARCH(A413,_xlfn.ARRAYTOTEXT('Commercial assistance'!I$1:I$1400))&gt;0,1,""),0)</f>
        <v>0</v>
      </c>
    </row>
    <row r="414" spans="1:16" ht="15" customHeight="1">
      <c r="A414" s="424" t="s">
        <v>1045</v>
      </c>
      <c r="B414" s="684" t="s">
        <v>228</v>
      </c>
      <c r="C414" s="685" t="s">
        <v>232</v>
      </c>
      <c r="D414" s="686">
        <v>0</v>
      </c>
      <c r="E414" s="686">
        <f t="shared" si="45"/>
        <v>0</v>
      </c>
      <c r="F414" s="452">
        <v>10000</v>
      </c>
      <c r="G414" s="687" t="str">
        <f t="shared" si="46"/>
        <v>USD</v>
      </c>
      <c r="H414" s="653" t="s">
        <v>3953</v>
      </c>
      <c r="I414" s="424" t="s">
        <v>3270</v>
      </c>
      <c r="J414" s="424" t="s">
        <v>3954</v>
      </c>
      <c r="K414" s="688">
        <f t="shared" si="42"/>
        <v>0</v>
      </c>
      <c r="L414" s="310">
        <f>SUMIFS('Bilateral assistance, MAIN DATA'!M:M,'Bilateral assistance, MAIN DATA'!I:I,'Price List, Weapons &amp; Items'!A414)</f>
        <v>435.72500000000002</v>
      </c>
      <c r="M414" s="46">
        <f>COUNTIFS('Bilateral assistance, MAIN DATA'!M:M,"undisclosed",'Bilateral assistance, MAIN DATA'!I:I,'Price List, Weapons &amp; Items'!A414)</f>
        <v>0</v>
      </c>
      <c r="N414" s="689">
        <f t="shared" si="43"/>
        <v>4357250</v>
      </c>
      <c r="O414" s="1">
        <f>IFERROR(IF(SEARCH(A414,_xlfn.ARRAYTOTEXT('Bilateral assistance, MAIN DATA'!I$1:I$1408))&gt;0,1,""),0)</f>
        <v>1</v>
      </c>
      <c r="P414" s="46">
        <f>IFERROR(IF(SEARCH(A414,_xlfn.ARRAYTOTEXT('Commercial assistance'!I$1:I$1400))&gt;0,1,""),0)</f>
        <v>0</v>
      </c>
    </row>
    <row r="415" spans="1:16" ht="15" customHeight="1">
      <c r="A415" s="424" t="s">
        <v>3955</v>
      </c>
      <c r="B415" s="684" t="s">
        <v>228</v>
      </c>
      <c r="C415" s="685" t="s">
        <v>232</v>
      </c>
      <c r="D415" s="686">
        <v>0</v>
      </c>
      <c r="E415" s="686">
        <f t="shared" si="45"/>
        <v>0</v>
      </c>
      <c r="F415" s="452">
        <v>10000</v>
      </c>
      <c r="G415" s="687" t="str">
        <f t="shared" si="46"/>
        <v>USD</v>
      </c>
      <c r="H415" s="653" t="s">
        <v>3956</v>
      </c>
      <c r="I415" s="424" t="s">
        <v>3270</v>
      </c>
      <c r="J415" s="424" t="s">
        <v>3957</v>
      </c>
      <c r="K415" s="688">
        <f t="shared" si="42"/>
        <v>0</v>
      </c>
      <c r="L415" s="310">
        <f>SUMIFS('Bilateral assistance, MAIN DATA'!M:M,'Bilateral assistance, MAIN DATA'!I:I,'Price List, Weapons &amp; Items'!A415)</f>
        <v>236.66666666666666</v>
      </c>
      <c r="M415" s="46">
        <f>COUNTIFS('Bilateral assistance, MAIN DATA'!M:M,"undisclosed",'Bilateral assistance, MAIN DATA'!I:I,'Price List, Weapons &amp; Items'!A415)</f>
        <v>0</v>
      </c>
      <c r="N415" s="689">
        <f t="shared" si="43"/>
        <v>2366666.6666666665</v>
      </c>
      <c r="O415" s="1">
        <f>IFERROR(IF(SEARCH(A415,_xlfn.ARRAYTOTEXT('Bilateral assistance, MAIN DATA'!I$1:I$1408))&gt;0,1,""),0)</f>
        <v>1</v>
      </c>
      <c r="P415" s="46">
        <f>IFERROR(IF(SEARCH(A415,_xlfn.ARRAYTOTEXT('Commercial assistance'!I$1:I$1400))&gt;0,1,""),0)</f>
        <v>0</v>
      </c>
    </row>
    <row r="416" spans="1:16" ht="15" customHeight="1">
      <c r="A416" s="424" t="s">
        <v>3958</v>
      </c>
      <c r="B416" s="684" t="s">
        <v>228</v>
      </c>
      <c r="C416" s="685" t="s">
        <v>232</v>
      </c>
      <c r="D416" s="686">
        <v>0</v>
      </c>
      <c r="E416" s="686">
        <f t="shared" si="45"/>
        <v>0</v>
      </c>
      <c r="F416" s="452">
        <v>4995</v>
      </c>
      <c r="G416" s="687" t="str">
        <f t="shared" si="46"/>
        <v>USD</v>
      </c>
      <c r="H416" s="652" t="s">
        <v>3959</v>
      </c>
      <c r="I416" s="424" t="s">
        <v>3266</v>
      </c>
      <c r="J416" s="424" t="s">
        <v>3960</v>
      </c>
      <c r="K416" s="688">
        <f t="shared" si="42"/>
        <v>0</v>
      </c>
      <c r="L416" s="310">
        <f>SUMIFS('Bilateral assistance, MAIN DATA'!M:M,'Bilateral assistance, MAIN DATA'!I:I,'Price List, Weapons &amp; Items'!A416)</f>
        <v>4</v>
      </c>
      <c r="M416" s="46">
        <f>COUNTIFS('Bilateral assistance, MAIN DATA'!M:M,"undisclosed",'Bilateral assistance, MAIN DATA'!I:I,'Price List, Weapons &amp; Items'!A416)</f>
        <v>0</v>
      </c>
      <c r="N416" s="689">
        <f t="shared" si="43"/>
        <v>19980</v>
      </c>
      <c r="O416" s="1">
        <f>IFERROR(IF(SEARCH(A416,_xlfn.ARRAYTOTEXT('Bilateral assistance, MAIN DATA'!I$1:I$1408))&gt;0,1,""),0)</f>
        <v>1</v>
      </c>
      <c r="P416" s="46">
        <f>IFERROR(IF(SEARCH(A416,_xlfn.ARRAYTOTEXT('Commercial assistance'!I$1:I$1400))&gt;0,1,""),0)</f>
        <v>0</v>
      </c>
    </row>
    <row r="417" spans="1:16" ht="15" customHeight="1">
      <c r="A417" s="424" t="s">
        <v>3961</v>
      </c>
      <c r="B417" s="684" t="s">
        <v>228</v>
      </c>
      <c r="C417" s="685" t="s">
        <v>232</v>
      </c>
      <c r="D417" s="686">
        <v>0</v>
      </c>
      <c r="E417" s="686">
        <f t="shared" si="45"/>
        <v>0</v>
      </c>
      <c r="F417" s="452">
        <v>4173</v>
      </c>
      <c r="G417" s="687" t="str">
        <f t="shared" si="46"/>
        <v>USD</v>
      </c>
      <c r="H417" s="653" t="s">
        <v>3962</v>
      </c>
      <c r="I417" s="424" t="s">
        <v>3270</v>
      </c>
      <c r="J417" s="424" t="s">
        <v>3963</v>
      </c>
      <c r="K417" s="688">
        <f t="shared" si="42"/>
        <v>0</v>
      </c>
      <c r="L417" s="310">
        <f>SUMIFS('Bilateral assistance, MAIN DATA'!M:M,'Bilateral assistance, MAIN DATA'!I:I,'Price List, Weapons &amp; Items'!A417)</f>
        <v>250</v>
      </c>
      <c r="M417" s="46">
        <f>COUNTIFS('Bilateral assistance, MAIN DATA'!M:M,"undisclosed",'Bilateral assistance, MAIN DATA'!I:I,'Price List, Weapons &amp; Items'!A417)</f>
        <v>0</v>
      </c>
      <c r="N417" s="689">
        <f t="shared" si="43"/>
        <v>1043250</v>
      </c>
      <c r="O417" s="1">
        <f>IFERROR(IF(SEARCH(A417,_xlfn.ARRAYTOTEXT('Bilateral assistance, MAIN DATA'!I$1:I$1408))&gt;0,1,""),0)</f>
        <v>1</v>
      </c>
      <c r="P417" s="46">
        <f>IFERROR(IF(SEARCH(A417,_xlfn.ARRAYTOTEXT('Commercial assistance'!I$1:I$1400))&gt;0,1,""),0)</f>
        <v>0</v>
      </c>
    </row>
    <row r="418" spans="1:16" ht="15" customHeight="1">
      <c r="A418" s="424" t="s">
        <v>3964</v>
      </c>
      <c r="B418" s="684" t="s">
        <v>228</v>
      </c>
      <c r="C418" s="685" t="s">
        <v>232</v>
      </c>
      <c r="D418" s="686">
        <v>0</v>
      </c>
      <c r="E418" s="686">
        <f t="shared" si="45"/>
        <v>0</v>
      </c>
      <c r="F418" s="452">
        <v>6000</v>
      </c>
      <c r="G418" s="687" t="str">
        <f t="shared" si="46"/>
        <v>USD</v>
      </c>
      <c r="H418" s="652" t="s">
        <v>3965</v>
      </c>
      <c r="I418" s="424" t="s">
        <v>3270</v>
      </c>
      <c r="J418" s="424" t="s">
        <v>3966</v>
      </c>
      <c r="K418" s="688">
        <f t="shared" si="42"/>
        <v>0</v>
      </c>
      <c r="L418" s="310">
        <f>SUMIFS('Bilateral assistance, MAIN DATA'!M:M,'Bilateral assistance, MAIN DATA'!I:I,'Price List, Weapons &amp; Items'!A418)</f>
        <v>5516</v>
      </c>
      <c r="M418" s="46">
        <f>COUNTIFS('Bilateral assistance, MAIN DATA'!M:M,"undisclosed",'Bilateral assistance, MAIN DATA'!I:I,'Price List, Weapons &amp; Items'!A418)</f>
        <v>0</v>
      </c>
      <c r="N418" s="689">
        <f t="shared" si="43"/>
        <v>33096000</v>
      </c>
      <c r="O418" s="1">
        <f>IFERROR(IF(SEARCH(A418,_xlfn.ARRAYTOTEXT('Bilateral assistance, MAIN DATA'!I$1:I$1408))&gt;0,1,""),0)</f>
        <v>1</v>
      </c>
      <c r="P418" s="46">
        <f>IFERROR(IF(SEARCH(A418,_xlfn.ARRAYTOTEXT('Commercial assistance'!I$1:I$1400))&gt;0,1,""),0)</f>
        <v>0</v>
      </c>
    </row>
    <row r="419" spans="1:16" ht="15" customHeight="1">
      <c r="A419" s="512" t="s">
        <v>3967</v>
      </c>
      <c r="B419" s="684" t="s">
        <v>228</v>
      </c>
      <c r="C419" s="685" t="s">
        <v>232</v>
      </c>
      <c r="D419" s="686">
        <v>0</v>
      </c>
      <c r="E419" s="686">
        <f t="shared" si="45"/>
        <v>0</v>
      </c>
      <c r="F419" s="452">
        <v>2430</v>
      </c>
      <c r="G419" s="687" t="str">
        <f t="shared" si="46"/>
        <v>USD</v>
      </c>
      <c r="H419" s="653" t="s">
        <v>3968</v>
      </c>
      <c r="I419" s="424" t="s">
        <v>3308</v>
      </c>
      <c r="J419" s="424" t="s">
        <v>3969</v>
      </c>
      <c r="K419" s="688">
        <f t="shared" si="42"/>
        <v>0</v>
      </c>
      <c r="L419" s="310">
        <f>SUMIFS('Bilateral assistance, MAIN DATA'!M:M,'Bilateral assistance, MAIN DATA'!I:I,'Price List, Weapons &amp; Items'!A419)</f>
        <v>1608</v>
      </c>
      <c r="M419" s="46">
        <f>COUNTIFS('Bilateral assistance, MAIN DATA'!M:M,"undisclosed",'Bilateral assistance, MAIN DATA'!I:I,'Price List, Weapons &amp; Items'!A419)</f>
        <v>0</v>
      </c>
      <c r="N419" s="689">
        <f t="shared" si="43"/>
        <v>3907440</v>
      </c>
      <c r="O419" s="1">
        <f>IFERROR(IF(SEARCH(A419,_xlfn.ARRAYTOTEXT('Bilateral assistance, MAIN DATA'!I$1:I$1408))&gt;0,1,""),0)</f>
        <v>1</v>
      </c>
      <c r="P419" s="46">
        <f>IFERROR(IF(SEARCH(A419,_xlfn.ARRAYTOTEXT('Commercial assistance'!I$1:I$1400))&gt;0,1,""),0)</f>
        <v>0</v>
      </c>
    </row>
    <row r="420" spans="1:16" ht="15" customHeight="1">
      <c r="A420" s="424" t="s">
        <v>3970</v>
      </c>
      <c r="B420" s="684" t="s">
        <v>228</v>
      </c>
      <c r="C420" s="685" t="s">
        <v>232</v>
      </c>
      <c r="D420" s="686">
        <v>0</v>
      </c>
      <c r="E420" s="686">
        <f t="shared" si="45"/>
        <v>0</v>
      </c>
      <c r="F420" s="452">
        <v>1500</v>
      </c>
      <c r="G420" s="687" t="str">
        <f t="shared" si="46"/>
        <v>USD</v>
      </c>
      <c r="H420" s="652" t="s">
        <v>3971</v>
      </c>
      <c r="I420" s="424" t="s">
        <v>3270</v>
      </c>
      <c r="J420" s="424" t="s">
        <v>3972</v>
      </c>
      <c r="K420" s="688">
        <f t="shared" si="42"/>
        <v>0</v>
      </c>
      <c r="L420" s="310">
        <f>SUMIFS('Bilateral assistance, MAIN DATA'!M:M,'Bilateral assistance, MAIN DATA'!I:I,'Price List, Weapons &amp; Items'!A420)</f>
        <v>0</v>
      </c>
      <c r="M420" s="46">
        <f>COUNTIFS('Bilateral assistance, MAIN DATA'!M:M,"undisclosed",'Bilateral assistance, MAIN DATA'!I:I,'Price List, Weapons &amp; Items'!A420)</f>
        <v>1</v>
      </c>
      <c r="N420" s="689">
        <f t="shared" si="43"/>
        <v>0</v>
      </c>
      <c r="O420" s="1">
        <f>IFERROR(IF(SEARCH(A420,_xlfn.ARRAYTOTEXT('Bilateral assistance, MAIN DATA'!I$1:I$1408))&gt;0,1,""),0)</f>
        <v>1</v>
      </c>
      <c r="P420" s="46">
        <f>IFERROR(IF(SEARCH(A420,_xlfn.ARRAYTOTEXT('Commercial assistance'!I$1:I$1400))&gt;0,1,""),0)</f>
        <v>0</v>
      </c>
    </row>
    <row r="421" spans="1:16" ht="15" customHeight="1">
      <c r="A421" s="512" t="s">
        <v>3973</v>
      </c>
      <c r="B421" s="684" t="s">
        <v>228</v>
      </c>
      <c r="C421" s="685" t="s">
        <v>232</v>
      </c>
      <c r="D421" s="686">
        <v>0</v>
      </c>
      <c r="E421" s="686">
        <f t="shared" si="45"/>
        <v>0</v>
      </c>
      <c r="F421" s="452">
        <v>675</v>
      </c>
      <c r="G421" s="687" t="str">
        <f t="shared" si="46"/>
        <v>USD</v>
      </c>
      <c r="H421" s="652" t="s">
        <v>3974</v>
      </c>
      <c r="I421" s="424" t="s">
        <v>3270</v>
      </c>
      <c r="J421" s="424" t="s">
        <v>3975</v>
      </c>
      <c r="K421" s="688">
        <f t="shared" si="42"/>
        <v>0</v>
      </c>
      <c r="L421" s="310">
        <f>SUMIFS('Bilateral assistance, MAIN DATA'!M:M,'Bilateral assistance, MAIN DATA'!I:I,'Price List, Weapons &amp; Items'!A421)</f>
        <v>40</v>
      </c>
      <c r="M421" s="46">
        <f>COUNTIFS('Bilateral assistance, MAIN DATA'!M:M,"undisclosed",'Bilateral assistance, MAIN DATA'!I:I,'Price List, Weapons &amp; Items'!A421)</f>
        <v>0</v>
      </c>
      <c r="N421" s="689">
        <f t="shared" si="43"/>
        <v>27000</v>
      </c>
      <c r="O421" s="1">
        <f>IFERROR(IF(SEARCH(A421,_xlfn.ARRAYTOTEXT('Bilateral assistance, MAIN DATA'!I$1:I$1408))&gt;0,1,""),0)</f>
        <v>1</v>
      </c>
      <c r="P421" s="46">
        <f>IFERROR(IF(SEARCH(A421,_xlfn.ARRAYTOTEXT('Commercial assistance'!I$1:I$1400))&gt;0,1,""),0)</f>
        <v>0</v>
      </c>
    </row>
    <row r="422" spans="1:16" ht="15" customHeight="1">
      <c r="A422" s="691" t="s">
        <v>3976</v>
      </c>
      <c r="B422" s="684" t="s">
        <v>228</v>
      </c>
      <c r="C422" s="685" t="s">
        <v>232</v>
      </c>
      <c r="D422" s="686">
        <v>0</v>
      </c>
      <c r="E422" s="686">
        <f t="shared" si="45"/>
        <v>0</v>
      </c>
      <c r="F422" s="452">
        <v>632</v>
      </c>
      <c r="G422" s="687" t="str">
        <f t="shared" si="46"/>
        <v>USD</v>
      </c>
      <c r="H422" s="652" t="s">
        <v>3977</v>
      </c>
      <c r="I422" s="424" t="s">
        <v>3270</v>
      </c>
      <c r="J422" s="424" t="s">
        <v>3978</v>
      </c>
      <c r="K422" s="688">
        <f t="shared" si="42"/>
        <v>0</v>
      </c>
      <c r="L422" s="310">
        <f>SUMIFS('Bilateral assistance, MAIN DATA'!M:M,'Bilateral assistance, MAIN DATA'!I:I,'Price List, Weapons &amp; Items'!A422)</f>
        <v>40</v>
      </c>
      <c r="M422" s="46">
        <f>COUNTIFS('Bilateral assistance, MAIN DATA'!M:M,"undisclosed",'Bilateral assistance, MAIN DATA'!I:I,'Price List, Weapons &amp; Items'!A422)</f>
        <v>0</v>
      </c>
      <c r="N422" s="689">
        <f t="shared" si="43"/>
        <v>25280</v>
      </c>
      <c r="O422" s="1">
        <f>IFERROR(IF(SEARCH(A422,_xlfn.ARRAYTOTEXT('Bilateral assistance, MAIN DATA'!I$1:I$1408))&gt;0,1,""),0)</f>
        <v>1</v>
      </c>
      <c r="P422" s="46">
        <f>IFERROR(IF(SEARCH(A422,_xlfn.ARRAYTOTEXT('Commercial assistance'!I$1:I$1400))&gt;0,1,""),0)</f>
        <v>0</v>
      </c>
    </row>
    <row r="423" spans="1:16" ht="15" customHeight="1">
      <c r="A423" s="424" t="s">
        <v>3979</v>
      </c>
      <c r="B423" s="684" t="s">
        <v>228</v>
      </c>
      <c r="C423" s="685" t="s">
        <v>232</v>
      </c>
      <c r="D423" s="686">
        <v>0</v>
      </c>
      <c r="E423" s="686">
        <f t="shared" si="45"/>
        <v>0</v>
      </c>
      <c r="F423" s="452">
        <v>329</v>
      </c>
      <c r="G423" s="687" t="str">
        <f t="shared" si="46"/>
        <v>USD</v>
      </c>
      <c r="H423" s="674" t="s">
        <v>244</v>
      </c>
      <c r="I423" s="424" t="s">
        <v>3259</v>
      </c>
      <c r="J423" s="722" t="s">
        <v>3980</v>
      </c>
      <c r="K423" s="688">
        <f t="shared" si="42"/>
        <v>0</v>
      </c>
      <c r="L423" s="310">
        <f>SUMIFS('Bilateral assistance, MAIN DATA'!M:M,'Bilateral assistance, MAIN DATA'!I:I,'Price List, Weapons &amp; Items'!A423)</f>
        <v>70000</v>
      </c>
      <c r="M423" s="46">
        <f>COUNTIFS('Bilateral assistance, MAIN DATA'!M:M,"undisclosed",'Bilateral assistance, MAIN DATA'!I:I,'Price List, Weapons &amp; Items'!A423)</f>
        <v>0</v>
      </c>
      <c r="N423" s="689">
        <f t="shared" si="43"/>
        <v>23030000</v>
      </c>
      <c r="O423" s="1">
        <f>IFERROR(IF(SEARCH(A423,_xlfn.ARRAYTOTEXT('Bilateral assistance, MAIN DATA'!I$1:I$1408))&gt;0,1,""),0)</f>
        <v>1</v>
      </c>
      <c r="P423" s="46">
        <f>IFERROR(IF(SEARCH(A423,_xlfn.ARRAYTOTEXT('Commercial assistance'!I$1:I$1400))&gt;0,1,""),0)</f>
        <v>0</v>
      </c>
    </row>
    <row r="424" spans="1:16" ht="15" customHeight="1">
      <c r="A424" s="424" t="s">
        <v>3981</v>
      </c>
      <c r="B424" s="684" t="s">
        <v>228</v>
      </c>
      <c r="C424" s="685" t="s">
        <v>3409</v>
      </c>
      <c r="D424" s="686">
        <v>0</v>
      </c>
      <c r="E424" s="686">
        <f t="shared" si="45"/>
        <v>0</v>
      </c>
      <c r="F424" s="452">
        <v>310</v>
      </c>
      <c r="G424" s="687" t="str">
        <f t="shared" si="46"/>
        <v>USD</v>
      </c>
      <c r="H424" s="674" t="s">
        <v>3982</v>
      </c>
      <c r="I424" s="424" t="s">
        <v>3259</v>
      </c>
      <c r="J424" s="722" t="s">
        <v>3983</v>
      </c>
      <c r="K424" s="688">
        <f t="shared" si="42"/>
        <v>0</v>
      </c>
      <c r="L424" s="310">
        <f>SUMIFS('Bilateral assistance, MAIN DATA'!M:M,'Bilateral assistance, MAIN DATA'!I:I,'Price List, Weapons &amp; Items'!A424)</f>
        <v>0</v>
      </c>
      <c r="M424" s="46">
        <f>COUNTIFS('Bilateral assistance, MAIN DATA'!M:M,"undisclosed",'Bilateral assistance, MAIN DATA'!I:I,'Price List, Weapons &amp; Items'!A424)</f>
        <v>1</v>
      </c>
      <c r="N424" s="689">
        <f t="shared" si="43"/>
        <v>0</v>
      </c>
      <c r="O424" s="1">
        <f>IFERROR(IF(SEARCH(A424,_xlfn.ARRAYTOTEXT('Bilateral assistance, MAIN DATA'!I$1:I$1408))&gt;0,1,""),0)</f>
        <v>1</v>
      </c>
      <c r="P424" s="46">
        <f>IFERROR(IF(SEARCH(A424,_xlfn.ARRAYTOTEXT('Commercial assistance'!I$1:I$1400))&gt;0,1,""),0)</f>
        <v>0</v>
      </c>
    </row>
    <row r="425" spans="1:16" ht="15" customHeight="1">
      <c r="A425" s="424" t="s">
        <v>3984</v>
      </c>
      <c r="B425" s="684" t="s">
        <v>228</v>
      </c>
      <c r="C425" s="685" t="s">
        <v>232</v>
      </c>
      <c r="D425" s="686">
        <v>0</v>
      </c>
      <c r="E425" s="686">
        <f t="shared" si="45"/>
        <v>0</v>
      </c>
      <c r="F425" s="452">
        <v>183</v>
      </c>
      <c r="G425" s="687" t="str">
        <f t="shared" si="46"/>
        <v>USD</v>
      </c>
      <c r="H425" s="653" t="s">
        <v>3985</v>
      </c>
      <c r="I425" s="424" t="s">
        <v>3270</v>
      </c>
      <c r="J425" s="424" t="s">
        <v>3986</v>
      </c>
      <c r="K425" s="688">
        <f t="shared" si="42"/>
        <v>0</v>
      </c>
      <c r="L425" s="310">
        <f>SUMIFS('Bilateral assistance, MAIN DATA'!M:M,'Bilateral assistance, MAIN DATA'!I:I,'Price List, Weapons &amp; Items'!A425)</f>
        <v>2000</v>
      </c>
      <c r="M425" s="46">
        <f>COUNTIFS('Bilateral assistance, MAIN DATA'!M:M,"undisclosed",'Bilateral assistance, MAIN DATA'!I:I,'Price List, Weapons &amp; Items'!A425)</f>
        <v>0</v>
      </c>
      <c r="N425" s="689">
        <f t="shared" si="43"/>
        <v>366000</v>
      </c>
      <c r="O425" s="1">
        <f>IFERROR(IF(SEARCH(A425,_xlfn.ARRAYTOTEXT('Bilateral assistance, MAIN DATA'!I$1:I$1408))&gt;0,1,""),0)</f>
        <v>1</v>
      </c>
      <c r="P425" s="46">
        <f>IFERROR(IF(SEARCH(A425,_xlfn.ARRAYTOTEXT('Commercial assistance'!I$1:I$1400))&gt;0,1,""),0)</f>
        <v>0</v>
      </c>
    </row>
    <row r="426" spans="1:16" ht="15" customHeight="1">
      <c r="A426" s="424" t="s">
        <v>3987</v>
      </c>
      <c r="B426" s="684" t="s">
        <v>228</v>
      </c>
      <c r="C426" s="685" t="s">
        <v>232</v>
      </c>
      <c r="D426" s="686">
        <v>0</v>
      </c>
      <c r="E426" s="686">
        <f t="shared" si="45"/>
        <v>0</v>
      </c>
      <c r="F426" s="452">
        <v>250</v>
      </c>
      <c r="G426" s="687" t="str">
        <f t="shared" si="46"/>
        <v>USD</v>
      </c>
      <c r="H426" s="653" t="s">
        <v>3988</v>
      </c>
      <c r="I426" s="424" t="s">
        <v>3270</v>
      </c>
      <c r="J426" s="424" t="s">
        <v>3989</v>
      </c>
      <c r="K426" s="688">
        <f t="shared" si="42"/>
        <v>0</v>
      </c>
      <c r="L426" s="310">
        <f>SUMIFS('Bilateral assistance, MAIN DATA'!M:M,'Bilateral assistance, MAIN DATA'!I:I,'Price List, Weapons &amp; Items'!A426)</f>
        <v>25</v>
      </c>
      <c r="M426" s="46">
        <f>COUNTIFS('Bilateral assistance, MAIN DATA'!M:M,"undisclosed",'Bilateral assistance, MAIN DATA'!I:I,'Price List, Weapons &amp; Items'!A426)</f>
        <v>0</v>
      </c>
      <c r="N426" s="689">
        <f t="shared" si="43"/>
        <v>6250</v>
      </c>
      <c r="O426" s="1">
        <f>IFERROR(IF(SEARCH(A426,_xlfn.ARRAYTOTEXT('Bilateral assistance, MAIN DATA'!I$1:I$1408))&gt;0,1,""),0)</f>
        <v>1</v>
      </c>
      <c r="P426" s="46">
        <f>IFERROR(IF(SEARCH(A426,_xlfn.ARRAYTOTEXT('Commercial assistance'!I$1:I$1400))&gt;0,1,""),0)</f>
        <v>0</v>
      </c>
    </row>
    <row r="427" spans="1:16" ht="15" customHeight="1">
      <c r="A427" s="512" t="s">
        <v>3990</v>
      </c>
      <c r="B427" s="684" t="s">
        <v>228</v>
      </c>
      <c r="C427" s="685" t="s">
        <v>232</v>
      </c>
      <c r="D427" s="686">
        <v>0</v>
      </c>
      <c r="E427" s="686">
        <f t="shared" si="45"/>
        <v>0</v>
      </c>
      <c r="F427" s="452">
        <v>200</v>
      </c>
      <c r="G427" s="687" t="str">
        <f t="shared" si="46"/>
        <v>USD</v>
      </c>
      <c r="H427" s="652" t="s">
        <v>3991</v>
      </c>
      <c r="I427" s="424" t="s">
        <v>3266</v>
      </c>
      <c r="J427" s="424" t="s">
        <v>3992</v>
      </c>
      <c r="K427" s="688">
        <f t="shared" si="42"/>
        <v>0</v>
      </c>
      <c r="L427" s="310">
        <f>SUMIFS('Bilateral assistance, MAIN DATA'!M:M,'Bilateral assistance, MAIN DATA'!I:I,'Price List, Weapons &amp; Items'!A427)</f>
        <v>1200</v>
      </c>
      <c r="M427" s="46">
        <f>COUNTIFS('Bilateral assistance, MAIN DATA'!M:M,"undisclosed",'Bilateral assistance, MAIN DATA'!I:I,'Price List, Weapons &amp; Items'!A427)</f>
        <v>0</v>
      </c>
      <c r="N427" s="689">
        <f t="shared" si="43"/>
        <v>240000</v>
      </c>
      <c r="O427" s="1">
        <f>IFERROR(IF(SEARCH(A427,_xlfn.ARRAYTOTEXT('Bilateral assistance, MAIN DATA'!I$1:I$1408))&gt;0,1,""),0)</f>
        <v>1</v>
      </c>
      <c r="P427" s="46">
        <f>IFERROR(IF(SEARCH(A427,_xlfn.ARRAYTOTEXT('Commercial assistance'!I$1:I$1400))&gt;0,1,""),0)</f>
        <v>0</v>
      </c>
    </row>
    <row r="428" spans="1:16" ht="15" customHeight="1">
      <c r="A428" s="512" t="s">
        <v>3993</v>
      </c>
      <c r="B428" s="684" t="s">
        <v>228</v>
      </c>
      <c r="C428" s="685" t="s">
        <v>232</v>
      </c>
      <c r="D428" s="686">
        <v>0</v>
      </c>
      <c r="E428" s="686">
        <f t="shared" si="45"/>
        <v>0</v>
      </c>
      <c r="F428" s="452">
        <v>200</v>
      </c>
      <c r="G428" s="687" t="str">
        <f t="shared" si="46"/>
        <v>USD</v>
      </c>
      <c r="H428" s="653" t="s">
        <v>3994</v>
      </c>
      <c r="I428" s="424" t="s">
        <v>3259</v>
      </c>
      <c r="J428" s="424" t="s">
        <v>3995</v>
      </c>
      <c r="K428" s="688">
        <f t="shared" si="42"/>
        <v>0</v>
      </c>
      <c r="L428" s="310">
        <f>SUMIFS('Bilateral assistance, MAIN DATA'!M:M,'Bilateral assistance, MAIN DATA'!I:I,'Price List, Weapons &amp; Items'!A428)</f>
        <v>10000</v>
      </c>
      <c r="M428" s="46">
        <f>COUNTIFS('Bilateral assistance, MAIN DATA'!M:M,"undisclosed",'Bilateral assistance, MAIN DATA'!I:I,'Price List, Weapons &amp; Items'!A428)</f>
        <v>0</v>
      </c>
      <c r="N428" s="689">
        <f t="shared" si="43"/>
        <v>2000000</v>
      </c>
      <c r="O428" s="1">
        <f>IFERROR(IF(SEARCH(A428,_xlfn.ARRAYTOTEXT('Bilateral assistance, MAIN DATA'!I$1:I$1408))&gt;0,1,""),0)</f>
        <v>1</v>
      </c>
      <c r="P428" s="46">
        <f>IFERROR(IF(SEARCH(A428,_xlfn.ARRAYTOTEXT('Commercial assistance'!I$1:I$1400))&gt;0,1,""),0)</f>
        <v>0</v>
      </c>
    </row>
    <row r="429" spans="1:16" ht="15" customHeight="1">
      <c r="A429" s="528" t="s">
        <v>3996</v>
      </c>
      <c r="B429" s="684" t="s">
        <v>228</v>
      </c>
      <c r="C429" s="685" t="s">
        <v>232</v>
      </c>
      <c r="D429" s="686">
        <v>0</v>
      </c>
      <c r="E429" s="686">
        <f t="shared" si="45"/>
        <v>0</v>
      </c>
      <c r="F429" s="452">
        <v>200</v>
      </c>
      <c r="G429" s="687" t="str">
        <f t="shared" si="46"/>
        <v>USD</v>
      </c>
      <c r="H429" s="653" t="s">
        <v>3997</v>
      </c>
      <c r="I429" s="424" t="s">
        <v>3259</v>
      </c>
      <c r="J429" s="424" t="s">
        <v>3998</v>
      </c>
      <c r="K429" s="688">
        <f t="shared" si="42"/>
        <v>0</v>
      </c>
      <c r="L429" s="310">
        <f>SUMIFS('Bilateral assistance, MAIN DATA'!M:M,'Bilateral assistance, MAIN DATA'!I:I,'Price List, Weapons &amp; Items'!A429)</f>
        <v>740</v>
      </c>
      <c r="M429" s="46">
        <f>COUNTIFS('Bilateral assistance, MAIN DATA'!M:M,"undisclosed",'Bilateral assistance, MAIN DATA'!I:I,'Price List, Weapons &amp; Items'!A429)</f>
        <v>0</v>
      </c>
      <c r="N429" s="689">
        <f t="shared" si="43"/>
        <v>148000</v>
      </c>
      <c r="O429" s="1">
        <f>IFERROR(IF(SEARCH(A429,_xlfn.ARRAYTOTEXT('Bilateral assistance, MAIN DATA'!I$1:I$1408))&gt;0,1,""),0)</f>
        <v>1</v>
      </c>
      <c r="P429" s="46">
        <f>IFERROR(IF(SEARCH(A429,_xlfn.ARRAYTOTEXT('Commercial assistance'!I$1:I$1400))&gt;0,1,""),0)</f>
        <v>0</v>
      </c>
    </row>
    <row r="430" spans="1:16" ht="15" customHeight="1">
      <c r="A430" s="512" t="s">
        <v>2129</v>
      </c>
      <c r="B430" s="684" t="s">
        <v>228</v>
      </c>
      <c r="C430" s="685" t="s">
        <v>232</v>
      </c>
      <c r="D430" s="686">
        <v>0</v>
      </c>
      <c r="E430" s="686">
        <f t="shared" si="45"/>
        <v>0</v>
      </c>
      <c r="F430" s="452">
        <v>150</v>
      </c>
      <c r="G430" s="687" t="str">
        <f t="shared" si="46"/>
        <v>USD</v>
      </c>
      <c r="H430" s="652" t="s">
        <v>3999</v>
      </c>
      <c r="I430" s="424" t="s">
        <v>3270</v>
      </c>
      <c r="J430" s="424" t="s">
        <v>4000</v>
      </c>
      <c r="K430" s="688">
        <f t="shared" si="42"/>
        <v>0</v>
      </c>
      <c r="L430" s="310">
        <f>SUMIFS('Bilateral assistance, MAIN DATA'!M:M,'Bilateral assistance, MAIN DATA'!I:I,'Price List, Weapons &amp; Items'!A430)</f>
        <v>100</v>
      </c>
      <c r="M430" s="46">
        <f>COUNTIFS('Bilateral assistance, MAIN DATA'!M:M,"undisclosed",'Bilateral assistance, MAIN DATA'!I:I,'Price List, Weapons &amp; Items'!A430)</f>
        <v>0</v>
      </c>
      <c r="N430" s="689">
        <f t="shared" si="43"/>
        <v>15000</v>
      </c>
      <c r="O430" s="1">
        <f>IFERROR(IF(SEARCH(A430,_xlfn.ARRAYTOTEXT('Bilateral assistance, MAIN DATA'!I$1:I$1408))&gt;0,1,""),0)</f>
        <v>1</v>
      </c>
      <c r="P430" s="46">
        <f>IFERROR(IF(SEARCH(A430,_xlfn.ARRAYTOTEXT('Commercial assistance'!I$1:I$1400))&gt;0,1,""),0)</f>
        <v>0</v>
      </c>
    </row>
    <row r="431" spans="1:16" ht="15" customHeight="1">
      <c r="A431" s="512" t="s">
        <v>4001</v>
      </c>
      <c r="B431" s="684" t="s">
        <v>228</v>
      </c>
      <c r="C431" s="685" t="s">
        <v>232</v>
      </c>
      <c r="D431" s="686">
        <v>0</v>
      </c>
      <c r="E431" s="686">
        <f t="shared" si="45"/>
        <v>0</v>
      </c>
      <c r="F431" s="452">
        <v>300</v>
      </c>
      <c r="G431" s="687" t="str">
        <f t="shared" si="46"/>
        <v>USD</v>
      </c>
      <c r="H431" s="652" t="s">
        <v>4002</v>
      </c>
      <c r="I431" s="424" t="s">
        <v>3266</v>
      </c>
      <c r="J431" s="424" t="s">
        <v>4003</v>
      </c>
      <c r="K431" s="688">
        <f t="shared" si="42"/>
        <v>0</v>
      </c>
      <c r="L431" s="310">
        <f>SUMIFS('Bilateral assistance, MAIN DATA'!M:M,'Bilateral assistance, MAIN DATA'!I:I,'Price List, Weapons &amp; Items'!A431)</f>
        <v>1184</v>
      </c>
      <c r="M431" s="46">
        <f>COUNTIFS('Bilateral assistance, MAIN DATA'!M:M,"undisclosed",'Bilateral assistance, MAIN DATA'!I:I,'Price List, Weapons &amp; Items'!A431)</f>
        <v>0</v>
      </c>
      <c r="N431" s="689">
        <f t="shared" si="43"/>
        <v>355200</v>
      </c>
      <c r="O431" s="1">
        <f>IFERROR(IF(SEARCH(A431,_xlfn.ARRAYTOTEXT('Bilateral assistance, MAIN DATA'!I$1:I$1408))&gt;0,1,""),0)</f>
        <v>1</v>
      </c>
      <c r="P431" s="46">
        <f>IFERROR(IF(SEARCH(A431,_xlfn.ARRAYTOTEXT('Commercial assistance'!I$1:I$1400))&gt;0,1,""),0)</f>
        <v>0</v>
      </c>
    </row>
    <row r="432" spans="1:16" ht="15" customHeight="1">
      <c r="A432" s="512" t="s">
        <v>4004</v>
      </c>
      <c r="B432" s="684" t="s">
        <v>228</v>
      </c>
      <c r="C432" s="685" t="s">
        <v>232</v>
      </c>
      <c r="D432" s="552">
        <v>0</v>
      </c>
      <c r="E432" s="686">
        <f t="shared" ref="E432:E463" si="47">IF(OR(C432="Armoured Personnel Carrier (APC)",C432="Armoured Recovery Vehicle (ARV)",C432="Armoured Utility Vehicle (AUV)",C432="152mm howitzer ammunition",C432="155mm howitzer ammunition",C432="300mm MLRS ammunition",C432="155mm howitzer",C432="227mm MLRS ammunition",C432="Infantry fighting vehicle (IFV)",C432="152mm howitzer",C432="227mm MLRS",C432="Main Battle Tank (MBT)",C432="Protected Patrol Vehicle (PPV)",C432="127mm MLRS",C432="122mm MLRS",C432="122mm MLRS ammunition",C432="122mm MLRS",C432="127mm MLRS",C432="127mm MLRS ammunition")=TRUE,1,0)</f>
        <v>0</v>
      </c>
      <c r="F432" s="452">
        <v>95</v>
      </c>
      <c r="G432" s="687" t="str">
        <f t="shared" si="46"/>
        <v>USD</v>
      </c>
      <c r="H432" s="652" t="s">
        <v>4005</v>
      </c>
      <c r="I432" s="424" t="s">
        <v>3266</v>
      </c>
      <c r="J432" s="424" t="s">
        <v>4006</v>
      </c>
      <c r="K432" s="688">
        <f t="shared" si="42"/>
        <v>0</v>
      </c>
      <c r="L432" s="310">
        <f>SUMIFS('Bilateral assistance, MAIN DATA'!M:M,'Bilateral assistance, MAIN DATA'!I:I,'Price List, Weapons &amp; Items'!A432)</f>
        <v>2</v>
      </c>
      <c r="M432" s="46">
        <f>COUNTIFS('Bilateral assistance, MAIN DATA'!M:M,"undisclosed",'Bilateral assistance, MAIN DATA'!I:I,'Price List, Weapons &amp; Items'!A432)</f>
        <v>0</v>
      </c>
      <c r="N432" s="689">
        <f t="shared" si="43"/>
        <v>190</v>
      </c>
      <c r="O432" s="1">
        <f>IFERROR(IF(SEARCH(A432,_xlfn.ARRAYTOTEXT('Bilateral assistance, MAIN DATA'!I$1:I$1408))&gt;0,1,""),0)</f>
        <v>1</v>
      </c>
      <c r="P432" s="46">
        <f>IFERROR(IF(SEARCH(A432,_xlfn.ARRAYTOTEXT('Commercial assistance'!I$1:I$1400))&gt;0,1,""),0)</f>
        <v>0</v>
      </c>
    </row>
    <row r="433" spans="1:16" ht="15" customHeight="1">
      <c r="A433" s="512" t="s">
        <v>4007</v>
      </c>
      <c r="B433" s="684" t="s">
        <v>228</v>
      </c>
      <c r="C433" s="685" t="s">
        <v>232</v>
      </c>
      <c r="D433" s="686">
        <v>0</v>
      </c>
      <c r="E433" s="686">
        <f t="shared" si="47"/>
        <v>0</v>
      </c>
      <c r="F433" s="452">
        <v>150</v>
      </c>
      <c r="G433" s="687" t="str">
        <f t="shared" si="46"/>
        <v>USD</v>
      </c>
      <c r="H433" s="653" t="s">
        <v>4008</v>
      </c>
      <c r="I433" s="424" t="s">
        <v>3270</v>
      </c>
      <c r="J433" s="424" t="s">
        <v>4009</v>
      </c>
      <c r="K433" s="688">
        <f t="shared" si="42"/>
        <v>0</v>
      </c>
      <c r="L433" s="310">
        <f>SUMIFS('Bilateral assistance, MAIN DATA'!M:M,'Bilateral assistance, MAIN DATA'!I:I,'Price List, Weapons &amp; Items'!A433)</f>
        <v>18200</v>
      </c>
      <c r="M433" s="46">
        <f>COUNTIFS('Bilateral assistance, MAIN DATA'!M:M,"undisclosed",'Bilateral assistance, MAIN DATA'!I:I,'Price List, Weapons &amp; Items'!A433)</f>
        <v>0</v>
      </c>
      <c r="N433" s="689">
        <f t="shared" si="43"/>
        <v>2730000</v>
      </c>
      <c r="O433" s="1">
        <f>IFERROR(IF(SEARCH(A433,_xlfn.ARRAYTOTEXT('Bilateral assistance, MAIN DATA'!I$1:I$1408))&gt;0,1,""),0)</f>
        <v>1</v>
      </c>
      <c r="P433" s="46">
        <f>IFERROR(IF(SEARCH(A433,_xlfn.ARRAYTOTEXT('Commercial assistance'!I$1:I$1400))&gt;0,1,""),0)</f>
        <v>0</v>
      </c>
    </row>
    <row r="434" spans="1:16" ht="15" customHeight="1">
      <c r="A434" s="512" t="s">
        <v>4010</v>
      </c>
      <c r="B434" s="684" t="s">
        <v>228</v>
      </c>
      <c r="C434" s="685" t="s">
        <v>232</v>
      </c>
      <c r="D434" s="686">
        <v>0</v>
      </c>
      <c r="E434" s="686">
        <f t="shared" si="47"/>
        <v>0</v>
      </c>
      <c r="F434" s="452">
        <v>50</v>
      </c>
      <c r="G434" s="687" t="str">
        <f t="shared" si="46"/>
        <v>USD</v>
      </c>
      <c r="H434" s="658" t="s">
        <v>4011</v>
      </c>
      <c r="I434" s="424" t="s">
        <v>3266</v>
      </c>
      <c r="J434" s="512" t="s">
        <v>4012</v>
      </c>
      <c r="K434" s="688">
        <f t="shared" si="42"/>
        <v>0</v>
      </c>
      <c r="L434" s="310">
        <f>SUMIFS('Bilateral assistance, MAIN DATA'!M:M,'Bilateral assistance, MAIN DATA'!I:I,'Price List, Weapons &amp; Items'!A434)</f>
        <v>200</v>
      </c>
      <c r="M434" s="46">
        <f>COUNTIFS('Bilateral assistance, MAIN DATA'!M:M,"undisclosed",'Bilateral assistance, MAIN DATA'!I:I,'Price List, Weapons &amp; Items'!A434)</f>
        <v>0</v>
      </c>
      <c r="N434" s="689">
        <f t="shared" si="43"/>
        <v>10000</v>
      </c>
      <c r="O434" s="1">
        <f>IFERROR(IF(SEARCH(A434,_xlfn.ARRAYTOTEXT('Bilateral assistance, MAIN DATA'!I$1:I$1408))&gt;0,1,""),0)</f>
        <v>1</v>
      </c>
      <c r="P434" s="46">
        <f>IFERROR(IF(SEARCH(A434,_xlfn.ARRAYTOTEXT('Commercial assistance'!I$1:I$1400))&gt;0,1,""),0)</f>
        <v>0</v>
      </c>
    </row>
    <row r="435" spans="1:16" ht="15" customHeight="1">
      <c r="A435" s="424" t="s">
        <v>4013</v>
      </c>
      <c r="B435" s="684" t="s">
        <v>228</v>
      </c>
      <c r="C435" s="685" t="s">
        <v>232</v>
      </c>
      <c r="D435" s="686">
        <v>0</v>
      </c>
      <c r="E435" s="686">
        <f t="shared" si="47"/>
        <v>0</v>
      </c>
      <c r="F435" s="452">
        <v>43</v>
      </c>
      <c r="G435" s="687" t="str">
        <f t="shared" ref="G435:G461" si="48">IF(F435&lt;&gt;".","USD",".")</f>
        <v>USD</v>
      </c>
      <c r="H435" s="676" t="s">
        <v>4014</v>
      </c>
      <c r="I435" s="424" t="s">
        <v>3259</v>
      </c>
      <c r="J435" s="424" t="s">
        <v>4015</v>
      </c>
      <c r="K435" s="688">
        <f t="shared" si="42"/>
        <v>0</v>
      </c>
      <c r="L435" s="310">
        <f>SUMIFS('Bilateral assistance, MAIN DATA'!M:M,'Bilateral assistance, MAIN DATA'!I:I,'Price List, Weapons &amp; Items'!A435)</f>
        <v>3980</v>
      </c>
      <c r="M435" s="46">
        <f>COUNTIFS('Bilateral assistance, MAIN DATA'!M:M,"undisclosed",'Bilateral assistance, MAIN DATA'!I:I,'Price List, Weapons &amp; Items'!A435)</f>
        <v>0</v>
      </c>
      <c r="N435" s="689">
        <f t="shared" si="43"/>
        <v>171140</v>
      </c>
      <c r="O435" s="1">
        <f>IFERROR(IF(SEARCH(A435,_xlfn.ARRAYTOTEXT('Bilateral assistance, MAIN DATA'!I$1:I$1408))&gt;0,1,""),0)</f>
        <v>1</v>
      </c>
      <c r="P435" s="46">
        <f>IFERROR(IF(SEARCH(A435,_xlfn.ARRAYTOTEXT('Commercial assistance'!I$1:I$1400))&gt;0,1,""),0)</f>
        <v>0</v>
      </c>
    </row>
    <row r="436" spans="1:16" ht="15" customHeight="1">
      <c r="A436" s="512" t="s">
        <v>4016</v>
      </c>
      <c r="B436" s="684" t="s">
        <v>228</v>
      </c>
      <c r="C436" s="685" t="s">
        <v>232</v>
      </c>
      <c r="D436" s="686">
        <v>0</v>
      </c>
      <c r="E436" s="686">
        <f t="shared" si="47"/>
        <v>0</v>
      </c>
      <c r="F436" s="452">
        <v>40</v>
      </c>
      <c r="G436" s="687" t="str">
        <f t="shared" si="48"/>
        <v>USD</v>
      </c>
      <c r="H436" s="657" t="s">
        <v>4017</v>
      </c>
      <c r="I436" s="424" t="s">
        <v>3266</v>
      </c>
      <c r="J436" s="424" t="s">
        <v>4018</v>
      </c>
      <c r="K436" s="688">
        <f t="shared" si="42"/>
        <v>0</v>
      </c>
      <c r="L436" s="310">
        <f>SUMIFS('Bilateral assistance, MAIN DATA'!M:M,'Bilateral assistance, MAIN DATA'!I:I,'Price List, Weapons &amp; Items'!A436)</f>
        <v>10000</v>
      </c>
      <c r="M436" s="46">
        <f>COUNTIFS('Bilateral assistance, MAIN DATA'!M:M,"undisclosed",'Bilateral assistance, MAIN DATA'!I:I,'Price List, Weapons &amp; Items'!A436)</f>
        <v>0</v>
      </c>
      <c r="N436" s="689">
        <f t="shared" si="43"/>
        <v>400000</v>
      </c>
      <c r="O436" s="1">
        <f>IFERROR(IF(SEARCH(A436,_xlfn.ARRAYTOTEXT('Bilateral assistance, MAIN DATA'!I$1:I$1408))&gt;0,1,""),0)</f>
        <v>1</v>
      </c>
      <c r="P436" s="46">
        <f>IFERROR(IF(SEARCH(A436,_xlfn.ARRAYTOTEXT('Commercial assistance'!I$1:I$1400))&gt;0,1,""),0)</f>
        <v>0</v>
      </c>
    </row>
    <row r="437" spans="1:16" ht="15" customHeight="1">
      <c r="A437" s="512" t="s">
        <v>4019</v>
      </c>
      <c r="B437" s="684" t="s">
        <v>228</v>
      </c>
      <c r="C437" s="685" t="s">
        <v>232</v>
      </c>
      <c r="D437" s="552">
        <v>0</v>
      </c>
      <c r="E437" s="686">
        <f t="shared" si="47"/>
        <v>0</v>
      </c>
      <c r="F437" s="452">
        <v>31.54</v>
      </c>
      <c r="G437" s="687" t="str">
        <f t="shared" si="48"/>
        <v>USD</v>
      </c>
      <c r="H437" s="652" t="s">
        <v>1524</v>
      </c>
      <c r="I437" s="424" t="s">
        <v>3308</v>
      </c>
      <c r="J437" s="424" t="s">
        <v>4020</v>
      </c>
      <c r="K437" s="688">
        <f t="shared" si="42"/>
        <v>0</v>
      </c>
      <c r="L437" s="310">
        <f>SUMIFS('Bilateral assistance, MAIN DATA'!M:M,'Bilateral assistance, MAIN DATA'!I:I,'Price List, Weapons &amp; Items'!A437)</f>
        <v>200</v>
      </c>
      <c r="M437" s="46">
        <f>COUNTIFS('Bilateral assistance, MAIN DATA'!M:M,"undisclosed",'Bilateral assistance, MAIN DATA'!I:I,'Price List, Weapons &amp; Items'!A437)</f>
        <v>0</v>
      </c>
      <c r="N437" s="689">
        <f t="shared" si="43"/>
        <v>6308</v>
      </c>
      <c r="O437" s="1">
        <f>IFERROR(IF(SEARCH(A437,_xlfn.ARRAYTOTEXT('Bilateral assistance, MAIN DATA'!I$1:I$1408))&gt;0,1,""),0)</f>
        <v>1</v>
      </c>
      <c r="P437" s="46">
        <f>IFERROR(IF(SEARCH(A437,_xlfn.ARRAYTOTEXT('Commercial assistance'!I$1:I$1400))&gt;0,1,""),0)</f>
        <v>0</v>
      </c>
    </row>
    <row r="438" spans="1:16" ht="15" customHeight="1">
      <c r="A438" s="528" t="s">
        <v>1059</v>
      </c>
      <c r="B438" s="684" t="s">
        <v>228</v>
      </c>
      <c r="C438" s="685" t="s">
        <v>232</v>
      </c>
      <c r="D438" s="552">
        <v>0</v>
      </c>
      <c r="E438" s="686">
        <f t="shared" si="47"/>
        <v>0</v>
      </c>
      <c r="F438" s="452">
        <v>37609.264000000003</v>
      </c>
      <c r="G438" s="687" t="str">
        <f t="shared" si="48"/>
        <v>USD</v>
      </c>
      <c r="H438" s="653" t="s">
        <v>4021</v>
      </c>
      <c r="I438" s="424" t="s">
        <v>3270</v>
      </c>
      <c r="J438" s="424" t="s">
        <v>4022</v>
      </c>
      <c r="K438" s="688">
        <f t="shared" si="42"/>
        <v>0</v>
      </c>
      <c r="L438" s="310">
        <f>SUMIFS('Bilateral assistance, MAIN DATA'!M:M,'Bilateral assistance, MAIN DATA'!I:I,'Price List, Weapons &amp; Items'!A438)</f>
        <v>31</v>
      </c>
      <c r="M438" s="46">
        <f>COUNTIFS('Bilateral assistance, MAIN DATA'!M:M,"undisclosed",'Bilateral assistance, MAIN DATA'!I:I,'Price List, Weapons &amp; Items'!A438)</f>
        <v>0</v>
      </c>
      <c r="N438" s="689">
        <f t="shared" si="43"/>
        <v>1165887.1840000001</v>
      </c>
      <c r="O438" s="1">
        <f>IFERROR(IF(SEARCH(A438,_xlfn.ARRAYTOTEXT('Bilateral assistance, MAIN DATA'!I$1:I$1408))&gt;0,1,""),0)</f>
        <v>1</v>
      </c>
      <c r="P438" s="46">
        <f>IFERROR(IF(SEARCH(A438,_xlfn.ARRAYTOTEXT('Commercial assistance'!I$1:I$1400))&gt;0,1,""),0)</f>
        <v>0</v>
      </c>
    </row>
    <row r="439" spans="1:16" ht="15" customHeight="1">
      <c r="A439" s="424" t="s">
        <v>4023</v>
      </c>
      <c r="B439" s="684" t="s">
        <v>228</v>
      </c>
      <c r="C439" s="685" t="s">
        <v>232</v>
      </c>
      <c r="D439" s="686">
        <v>0</v>
      </c>
      <c r="E439" s="686">
        <f t="shared" si="47"/>
        <v>0</v>
      </c>
      <c r="F439" s="452">
        <v>27.35</v>
      </c>
      <c r="G439" s="687" t="str">
        <f t="shared" si="48"/>
        <v>USD</v>
      </c>
      <c r="H439" s="652" t="s">
        <v>4024</v>
      </c>
      <c r="I439" s="424" t="s">
        <v>3266</v>
      </c>
      <c r="J439" s="424" t="s">
        <v>4025</v>
      </c>
      <c r="K439" s="688">
        <f t="shared" si="42"/>
        <v>0</v>
      </c>
      <c r="L439" s="310">
        <f>SUMIFS('Bilateral assistance, MAIN DATA'!M:M,'Bilateral assistance, MAIN DATA'!I:I,'Price List, Weapons &amp; Items'!A439)</f>
        <v>0</v>
      </c>
      <c r="M439" s="46">
        <f>COUNTIFS('Bilateral assistance, MAIN DATA'!M:M,"undisclosed",'Bilateral assistance, MAIN DATA'!I:I,'Price List, Weapons &amp; Items'!A439)</f>
        <v>1</v>
      </c>
      <c r="N439" s="689">
        <f t="shared" si="43"/>
        <v>0</v>
      </c>
      <c r="O439" s="1">
        <f>IFERROR(IF(SEARCH(A439,_xlfn.ARRAYTOTEXT('Bilateral assistance, MAIN DATA'!I$1:I$1408))&gt;0,1,""),0)</f>
        <v>1</v>
      </c>
      <c r="P439" s="46">
        <f>IFERROR(IF(SEARCH(A439,_xlfn.ARRAYTOTEXT('Commercial assistance'!I$1:I$1400))&gt;0,1,""),0)</f>
        <v>0</v>
      </c>
    </row>
    <row r="440" spans="1:16" ht="15" customHeight="1">
      <c r="A440" s="424" t="s">
        <v>4026</v>
      </c>
      <c r="B440" s="684" t="s">
        <v>228</v>
      </c>
      <c r="C440" s="685" t="s">
        <v>232</v>
      </c>
      <c r="D440" s="686">
        <v>0</v>
      </c>
      <c r="E440" s="686">
        <f t="shared" si="47"/>
        <v>0</v>
      </c>
      <c r="F440" s="452">
        <v>3000</v>
      </c>
      <c r="G440" s="687" t="str">
        <f t="shared" si="48"/>
        <v>USD</v>
      </c>
      <c r="H440" s="652" t="s">
        <v>4027</v>
      </c>
      <c r="I440" s="424" t="s">
        <v>3266</v>
      </c>
      <c r="J440" s="424" t="s">
        <v>4028</v>
      </c>
      <c r="K440" s="688">
        <f t="shared" si="42"/>
        <v>0</v>
      </c>
      <c r="L440" s="310">
        <f>SUMIFS('Bilateral assistance, MAIN DATA'!M:M,'Bilateral assistance, MAIN DATA'!I:I,'Price List, Weapons &amp; Items'!A440)</f>
        <v>223</v>
      </c>
      <c r="M440" s="46">
        <f>COUNTIFS('Bilateral assistance, MAIN DATA'!M:M,"undisclosed",'Bilateral assistance, MAIN DATA'!I:I,'Price List, Weapons &amp; Items'!A440)</f>
        <v>0</v>
      </c>
      <c r="N440" s="689">
        <f t="shared" si="43"/>
        <v>669000</v>
      </c>
      <c r="O440" s="1">
        <f>IFERROR(IF(SEARCH(A440,_xlfn.ARRAYTOTEXT('Bilateral assistance, MAIN DATA'!I$1:I$1408))&gt;0,1,""),0)</f>
        <v>1</v>
      </c>
      <c r="P440" s="46">
        <f>IFERROR(IF(SEARCH(A440,_xlfn.ARRAYTOTEXT('Commercial assistance'!I$1:I$1400))&gt;0,1,""),0)</f>
        <v>0</v>
      </c>
    </row>
    <row r="441" spans="1:16" ht="15" customHeight="1">
      <c r="A441" s="512" t="s">
        <v>4029</v>
      </c>
      <c r="B441" s="684" t="s">
        <v>228</v>
      </c>
      <c r="C441" s="685" t="s">
        <v>232</v>
      </c>
      <c r="D441" s="686">
        <v>0</v>
      </c>
      <c r="E441" s="686">
        <f t="shared" si="47"/>
        <v>0</v>
      </c>
      <c r="F441" s="452">
        <v>22</v>
      </c>
      <c r="G441" s="687" t="str">
        <f t="shared" si="48"/>
        <v>USD</v>
      </c>
      <c r="H441" s="668" t="s">
        <v>3718</v>
      </c>
      <c r="I441" s="424" t="s">
        <v>3266</v>
      </c>
      <c r="J441" s="424" t="s">
        <v>3719</v>
      </c>
      <c r="K441" s="688">
        <f t="shared" si="42"/>
        <v>0</v>
      </c>
      <c r="L441" s="310">
        <f>SUMIFS('Bilateral assistance, MAIN DATA'!M:M,'Bilateral assistance, MAIN DATA'!I:I,'Price List, Weapons &amp; Items'!A441)</f>
        <v>81536</v>
      </c>
      <c r="M441" s="46">
        <f>COUNTIFS('Bilateral assistance, MAIN DATA'!M:M,"undisclosed",'Bilateral assistance, MAIN DATA'!I:I,'Price List, Weapons &amp; Items'!A441)</f>
        <v>0</v>
      </c>
      <c r="N441" s="689">
        <f t="shared" si="43"/>
        <v>1793792</v>
      </c>
      <c r="O441" s="1">
        <f>IFERROR(IF(SEARCH(A441,_xlfn.ARRAYTOTEXT('Bilateral assistance, MAIN DATA'!I$1:I$1408))&gt;0,1,""),0)</f>
        <v>1</v>
      </c>
      <c r="P441" s="46">
        <f>IFERROR(IF(SEARCH(A441,_xlfn.ARRAYTOTEXT('Commercial assistance'!I$1:I$1400))&gt;0,1,""),0)</f>
        <v>0</v>
      </c>
    </row>
    <row r="442" spans="1:16" ht="15" customHeight="1">
      <c r="A442" s="512" t="s">
        <v>4030</v>
      </c>
      <c r="B442" s="684" t="s">
        <v>228</v>
      </c>
      <c r="C442" s="685" t="s">
        <v>232</v>
      </c>
      <c r="D442" s="686">
        <v>0</v>
      </c>
      <c r="E442" s="686">
        <f t="shared" si="47"/>
        <v>0</v>
      </c>
      <c r="F442" s="452">
        <v>22</v>
      </c>
      <c r="G442" s="687" t="str">
        <f t="shared" si="48"/>
        <v>USD</v>
      </c>
      <c r="H442" s="653" t="s">
        <v>4031</v>
      </c>
      <c r="I442" s="424" t="s">
        <v>3270</v>
      </c>
      <c r="J442" s="424" t="s">
        <v>4032</v>
      </c>
      <c r="K442" s="688">
        <f t="shared" si="42"/>
        <v>0</v>
      </c>
      <c r="L442" s="310">
        <f>SUMIFS('Bilateral assistance, MAIN DATA'!M:M,'Bilateral assistance, MAIN DATA'!I:I,'Price List, Weapons &amp; Items'!A442)</f>
        <v>5000</v>
      </c>
      <c r="M442" s="46">
        <f>COUNTIFS('Bilateral assistance, MAIN DATA'!M:M,"undisclosed",'Bilateral assistance, MAIN DATA'!I:I,'Price List, Weapons &amp; Items'!A442)</f>
        <v>0</v>
      </c>
      <c r="N442" s="689">
        <f t="shared" si="43"/>
        <v>110000</v>
      </c>
      <c r="O442" s="1">
        <f>IFERROR(IF(SEARCH(A442,_xlfn.ARRAYTOTEXT('Bilateral assistance, MAIN DATA'!I$1:I$1408))&gt;0,1,""),0)</f>
        <v>1</v>
      </c>
      <c r="P442" s="46">
        <f>IFERROR(IF(SEARCH(A442,_xlfn.ARRAYTOTEXT('Commercial assistance'!I$1:I$1400))&gt;0,1,""),0)</f>
        <v>0</v>
      </c>
    </row>
    <row r="443" spans="1:16" ht="15" customHeight="1">
      <c r="A443" s="424" t="s">
        <v>4033</v>
      </c>
      <c r="B443" s="684" t="s">
        <v>228</v>
      </c>
      <c r="C443" s="685" t="s">
        <v>232</v>
      </c>
      <c r="D443" s="686">
        <v>0</v>
      </c>
      <c r="E443" s="686">
        <f t="shared" si="47"/>
        <v>0</v>
      </c>
      <c r="F443" s="452">
        <v>20</v>
      </c>
      <c r="G443" s="687" t="str">
        <f t="shared" si="48"/>
        <v>USD</v>
      </c>
      <c r="H443" s="653" t="s">
        <v>4034</v>
      </c>
      <c r="I443" s="424" t="s">
        <v>3266</v>
      </c>
      <c r="J443" s="424" t="s">
        <v>4035</v>
      </c>
      <c r="K443" s="688">
        <f t="shared" si="42"/>
        <v>0</v>
      </c>
      <c r="L443" s="310">
        <f>SUMIFS('Bilateral assistance, MAIN DATA'!M:M,'Bilateral assistance, MAIN DATA'!I:I,'Price List, Weapons &amp; Items'!A443)</f>
        <v>5000</v>
      </c>
      <c r="M443" s="46">
        <f>COUNTIFS('Bilateral assistance, MAIN DATA'!M:M,"undisclosed",'Bilateral assistance, MAIN DATA'!I:I,'Price List, Weapons &amp; Items'!A443)</f>
        <v>0</v>
      </c>
      <c r="N443" s="689">
        <f t="shared" si="43"/>
        <v>100000</v>
      </c>
      <c r="O443" s="1">
        <f>IFERROR(IF(SEARCH(A443,_xlfn.ARRAYTOTEXT('Bilateral assistance, MAIN DATA'!I$1:I$1408))&gt;0,1,""),0)</f>
        <v>1</v>
      </c>
      <c r="P443" s="46">
        <f>IFERROR(IF(SEARCH(A443,_xlfn.ARRAYTOTEXT('Commercial assistance'!I$1:I$1400))&gt;0,1,""),0)</f>
        <v>0</v>
      </c>
    </row>
    <row r="444" spans="1:16" ht="15" customHeight="1">
      <c r="A444" s="512" t="s">
        <v>4036</v>
      </c>
      <c r="B444" s="684" t="s">
        <v>228</v>
      </c>
      <c r="C444" s="685" t="s">
        <v>232</v>
      </c>
      <c r="D444" s="686">
        <v>0</v>
      </c>
      <c r="E444" s="686">
        <f t="shared" si="47"/>
        <v>0</v>
      </c>
      <c r="F444" s="452">
        <v>0.32</v>
      </c>
      <c r="G444" s="687" t="str">
        <f t="shared" si="48"/>
        <v>USD</v>
      </c>
      <c r="H444" s="658" t="s">
        <v>4037</v>
      </c>
      <c r="I444" s="424" t="s">
        <v>3266</v>
      </c>
      <c r="J444" s="424" t="s">
        <v>4038</v>
      </c>
      <c r="K444" s="688">
        <f t="shared" si="42"/>
        <v>0</v>
      </c>
      <c r="L444" s="310">
        <f>SUMIFS('Bilateral assistance, MAIN DATA'!M:M,'Bilateral assistance, MAIN DATA'!I:I,'Price List, Weapons &amp; Items'!A444)</f>
        <v>250000</v>
      </c>
      <c r="M444" s="46">
        <f>COUNTIFS('Bilateral assistance, MAIN DATA'!M:M,"undisclosed",'Bilateral assistance, MAIN DATA'!I:I,'Price List, Weapons &amp; Items'!A444)</f>
        <v>0</v>
      </c>
      <c r="N444" s="689">
        <f t="shared" si="43"/>
        <v>80000</v>
      </c>
      <c r="O444" s="1">
        <f>IFERROR(IF(SEARCH(A444,_xlfn.ARRAYTOTEXT('Bilateral assistance, MAIN DATA'!I$1:I$1408))&gt;0,1,""),0)</f>
        <v>1</v>
      </c>
      <c r="P444" s="46">
        <f>IFERROR(IF(SEARCH(A444,_xlfn.ARRAYTOTEXT('Commercial assistance'!I$1:I$1400))&gt;0,1,""),0)</f>
        <v>0</v>
      </c>
    </row>
    <row r="445" spans="1:16" ht="15" customHeight="1">
      <c r="A445" s="512" t="s">
        <v>4039</v>
      </c>
      <c r="B445" s="684" t="s">
        <v>228</v>
      </c>
      <c r="C445" s="685" t="s">
        <v>232</v>
      </c>
      <c r="D445" s="686">
        <v>0</v>
      </c>
      <c r="E445" s="686">
        <f t="shared" si="47"/>
        <v>0</v>
      </c>
      <c r="F445" s="452">
        <v>0.26</v>
      </c>
      <c r="G445" s="687" t="str">
        <f t="shared" si="48"/>
        <v>USD</v>
      </c>
      <c r="H445" s="652" t="s">
        <v>4040</v>
      </c>
      <c r="I445" s="424" t="s">
        <v>3266</v>
      </c>
      <c r="J445" s="424" t="s">
        <v>4041</v>
      </c>
      <c r="K445" s="688">
        <f t="shared" si="42"/>
        <v>0</v>
      </c>
      <c r="L445" s="310">
        <f>SUMIFS('Bilateral assistance, MAIN DATA'!M:M,'Bilateral assistance, MAIN DATA'!I:I,'Price List, Weapons &amp; Items'!A445)</f>
        <v>250000</v>
      </c>
      <c r="M445" s="46">
        <f>COUNTIFS('Bilateral assistance, MAIN DATA'!M:M,"undisclosed",'Bilateral assistance, MAIN DATA'!I:I,'Price List, Weapons &amp; Items'!A445)</f>
        <v>0</v>
      </c>
      <c r="N445" s="689">
        <f t="shared" si="43"/>
        <v>65000</v>
      </c>
      <c r="O445" s="1">
        <f>IFERROR(IF(SEARCH(A445,_xlfn.ARRAYTOTEXT('Bilateral assistance, MAIN DATA'!I$1:I$1408))&gt;0,1,""),0)</f>
        <v>1</v>
      </c>
      <c r="P445" s="46">
        <f>IFERROR(IF(SEARCH(A445,_xlfn.ARRAYTOTEXT('Commercial assistance'!I$1:I$1400))&gt;0,1,""),0)</f>
        <v>0</v>
      </c>
    </row>
    <row r="446" spans="1:16" ht="15" customHeight="1">
      <c r="A446" s="424" t="s">
        <v>4042</v>
      </c>
      <c r="B446" s="684" t="s">
        <v>228</v>
      </c>
      <c r="C446" s="685" t="s">
        <v>232</v>
      </c>
      <c r="D446" s="552">
        <v>0</v>
      </c>
      <c r="E446" s="686">
        <f t="shared" si="47"/>
        <v>0</v>
      </c>
      <c r="F446" s="452">
        <v>13.5</v>
      </c>
      <c r="G446" s="687" t="str">
        <f t="shared" si="48"/>
        <v>USD</v>
      </c>
      <c r="H446" s="652" t="s">
        <v>4043</v>
      </c>
      <c r="I446" s="424" t="s">
        <v>3266</v>
      </c>
      <c r="J446" s="424" t="s">
        <v>4044</v>
      </c>
      <c r="K446" s="688">
        <f t="shared" si="42"/>
        <v>0</v>
      </c>
      <c r="L446" s="310">
        <f>SUMIFS('Bilateral assistance, MAIN DATA'!M:M,'Bilateral assistance, MAIN DATA'!I:I,'Price List, Weapons &amp; Items'!A446)</f>
        <v>500000</v>
      </c>
      <c r="M446" s="46">
        <f>COUNTIFS('Bilateral assistance, MAIN DATA'!M:M,"undisclosed",'Bilateral assistance, MAIN DATA'!I:I,'Price List, Weapons &amp; Items'!A446)</f>
        <v>0</v>
      </c>
      <c r="N446" s="689">
        <f t="shared" si="43"/>
        <v>6750000</v>
      </c>
      <c r="O446" s="1">
        <f>IFERROR(IF(SEARCH(A446,_xlfn.ARRAYTOTEXT('Bilateral assistance, MAIN DATA'!I$1:I$1408))&gt;0,1,""),0)</f>
        <v>1</v>
      </c>
      <c r="P446" s="46">
        <f>IFERROR(IF(SEARCH(A446,_xlfn.ARRAYTOTEXT('Commercial assistance'!I$1:I$1400))&gt;0,1,""),0)</f>
        <v>0</v>
      </c>
    </row>
    <row r="447" spans="1:16" ht="15" customHeight="1">
      <c r="A447" s="512" t="s">
        <v>4045</v>
      </c>
      <c r="B447" s="684" t="s">
        <v>228</v>
      </c>
      <c r="C447" s="685" t="s">
        <v>232</v>
      </c>
      <c r="D447" s="686">
        <v>0</v>
      </c>
      <c r="E447" s="686">
        <f t="shared" si="47"/>
        <v>0</v>
      </c>
      <c r="F447" s="452">
        <v>10</v>
      </c>
      <c r="G447" s="687" t="str">
        <f t="shared" si="48"/>
        <v>USD</v>
      </c>
      <c r="H447" s="653" t="s">
        <v>4046</v>
      </c>
      <c r="I447" s="424" t="s">
        <v>3266</v>
      </c>
      <c r="J447" s="424" t="s">
        <v>4047</v>
      </c>
      <c r="K447" s="688">
        <f t="shared" si="42"/>
        <v>0</v>
      </c>
      <c r="L447" s="310">
        <f>SUMIFS('Bilateral assistance, MAIN DATA'!M:M,'Bilateral assistance, MAIN DATA'!I:I,'Price List, Weapons &amp; Items'!A447)</f>
        <v>10000</v>
      </c>
      <c r="M447" s="46">
        <f>COUNTIFS('Bilateral assistance, MAIN DATA'!M:M,"undisclosed",'Bilateral assistance, MAIN DATA'!I:I,'Price List, Weapons &amp; Items'!A447)</f>
        <v>0</v>
      </c>
      <c r="N447" s="689">
        <f t="shared" si="43"/>
        <v>100000</v>
      </c>
      <c r="O447" s="1">
        <f>IFERROR(IF(SEARCH(A447,_xlfn.ARRAYTOTEXT('Bilateral assistance, MAIN DATA'!I$1:I$1408))&gt;0,1,""),0)</f>
        <v>1</v>
      </c>
      <c r="P447" s="46">
        <f>IFERROR(IF(SEARCH(A447,_xlfn.ARRAYTOTEXT('Commercial assistance'!I$1:I$1400))&gt;0,1,""),0)</f>
        <v>0</v>
      </c>
    </row>
    <row r="448" spans="1:16" ht="15" customHeight="1">
      <c r="A448" s="512" t="s">
        <v>4048</v>
      </c>
      <c r="B448" s="684" t="s">
        <v>228</v>
      </c>
      <c r="C448" s="685" t="s">
        <v>232</v>
      </c>
      <c r="D448" s="686">
        <v>0</v>
      </c>
      <c r="E448" s="686">
        <f t="shared" si="47"/>
        <v>0</v>
      </c>
      <c r="F448" s="452">
        <v>10</v>
      </c>
      <c r="G448" s="687" t="str">
        <f t="shared" si="48"/>
        <v>USD</v>
      </c>
      <c r="H448" s="653" t="s">
        <v>4049</v>
      </c>
      <c r="I448" s="424" t="s">
        <v>3266</v>
      </c>
      <c r="J448" s="424" t="s">
        <v>4050</v>
      </c>
      <c r="K448" s="688">
        <f t="shared" si="42"/>
        <v>0</v>
      </c>
      <c r="L448" s="310">
        <f>SUMIFS('Bilateral assistance, MAIN DATA'!M:M,'Bilateral assistance, MAIN DATA'!I:I,'Price List, Weapons &amp; Items'!A448)</f>
        <v>50600</v>
      </c>
      <c r="M448" s="46">
        <f>COUNTIFS('Bilateral assistance, MAIN DATA'!M:M,"undisclosed",'Bilateral assistance, MAIN DATA'!I:I,'Price List, Weapons &amp; Items'!A448)</f>
        <v>0</v>
      </c>
      <c r="N448" s="689">
        <f t="shared" ref="N448:N511" si="49">IFERROR(L448*F448,"no price")</f>
        <v>506000</v>
      </c>
      <c r="O448" s="1">
        <f>IFERROR(IF(SEARCH(A448,_xlfn.ARRAYTOTEXT('Bilateral assistance, MAIN DATA'!I$1:I$1408))&gt;0,1,""),0)</f>
        <v>1</v>
      </c>
      <c r="P448" s="46">
        <f>IFERROR(IF(SEARCH(A448,_xlfn.ARRAYTOTEXT('Commercial assistance'!I$1:I$1400))&gt;0,1,""),0)</f>
        <v>0</v>
      </c>
    </row>
    <row r="449" spans="1:16" ht="15" customHeight="1">
      <c r="A449" s="512" t="s">
        <v>4051</v>
      </c>
      <c r="B449" s="684" t="s">
        <v>228</v>
      </c>
      <c r="C449" s="685" t="s">
        <v>232</v>
      </c>
      <c r="D449" s="686">
        <v>0</v>
      </c>
      <c r="E449" s="686">
        <f t="shared" si="47"/>
        <v>0</v>
      </c>
      <c r="F449" s="452">
        <v>6.2</v>
      </c>
      <c r="G449" s="687" t="str">
        <f t="shared" si="48"/>
        <v>USD</v>
      </c>
      <c r="H449" s="653" t="s">
        <v>4052</v>
      </c>
      <c r="I449" s="424" t="s">
        <v>3266</v>
      </c>
      <c r="J449" s="424" t="s">
        <v>4053</v>
      </c>
      <c r="K449" s="688">
        <f t="shared" si="42"/>
        <v>0</v>
      </c>
      <c r="L449" s="310">
        <f>SUMIFS('Bilateral assistance, MAIN DATA'!M:M,'Bilateral assistance, MAIN DATA'!I:I,'Price List, Weapons &amp; Items'!A449)</f>
        <v>5000</v>
      </c>
      <c r="M449" s="46">
        <f>COUNTIFS('Bilateral assistance, MAIN DATA'!M:M,"undisclosed",'Bilateral assistance, MAIN DATA'!I:I,'Price List, Weapons &amp; Items'!A449)</f>
        <v>0</v>
      </c>
      <c r="N449" s="689">
        <f t="shared" si="49"/>
        <v>31000</v>
      </c>
      <c r="O449" s="1">
        <f>IFERROR(IF(SEARCH(A449,_xlfn.ARRAYTOTEXT('Bilateral assistance, MAIN DATA'!I$1:I$1408))&gt;0,1,""),0)</f>
        <v>1</v>
      </c>
      <c r="P449" s="46">
        <f>IFERROR(IF(SEARCH(A449,_xlfn.ARRAYTOTEXT('Commercial assistance'!I$1:I$1400))&gt;0,1,""),0)</f>
        <v>0</v>
      </c>
    </row>
    <row r="450" spans="1:16" ht="15" customHeight="1">
      <c r="A450" s="512" t="s">
        <v>4054</v>
      </c>
      <c r="B450" s="684" t="s">
        <v>228</v>
      </c>
      <c r="C450" s="685" t="s">
        <v>232</v>
      </c>
      <c r="D450" s="686">
        <v>0</v>
      </c>
      <c r="E450" s="686">
        <f t="shared" si="47"/>
        <v>0</v>
      </c>
      <c r="F450" s="452">
        <v>12</v>
      </c>
      <c r="G450" s="687" t="str">
        <f t="shared" si="48"/>
        <v>USD</v>
      </c>
      <c r="H450" s="653" t="s">
        <v>4055</v>
      </c>
      <c r="I450" s="424" t="s">
        <v>3266</v>
      </c>
      <c r="J450" s="424" t="s">
        <v>4056</v>
      </c>
      <c r="K450" s="688">
        <f t="shared" ref="K450:K513" si="50">IF(B450="Humanitarian",0,IF(L450&gt;0,IF(TYPE(N450)=1,IF(N450&gt;MEDIAN(N:N),2,1),0),"no price, 0 count"))</f>
        <v>0</v>
      </c>
      <c r="L450" s="310">
        <f>SUMIFS('Bilateral assistance, MAIN DATA'!M:M,'Bilateral assistance, MAIN DATA'!I:I,'Price List, Weapons &amp; Items'!A450)</f>
        <v>11583</v>
      </c>
      <c r="M450" s="46">
        <f>COUNTIFS('Bilateral assistance, MAIN DATA'!M:M,"undisclosed",'Bilateral assistance, MAIN DATA'!I:I,'Price List, Weapons &amp; Items'!A450)</f>
        <v>0</v>
      </c>
      <c r="N450" s="689">
        <f t="shared" si="49"/>
        <v>138996</v>
      </c>
      <c r="O450" s="1">
        <f>IFERROR(IF(SEARCH(A450,_xlfn.ARRAYTOTEXT('Bilateral assistance, MAIN DATA'!I$1:I$1408))&gt;0,1,""),0)</f>
        <v>1</v>
      </c>
      <c r="P450" s="46">
        <f>IFERROR(IF(SEARCH(A450,_xlfn.ARRAYTOTEXT('Commercial assistance'!I$1:I$1400))&gt;0,1,""),0)</f>
        <v>0</v>
      </c>
    </row>
    <row r="451" spans="1:16" ht="15" customHeight="1">
      <c r="A451" s="512" t="s">
        <v>4057</v>
      </c>
      <c r="B451" s="684" t="s">
        <v>228</v>
      </c>
      <c r="C451" s="685" t="s">
        <v>232</v>
      </c>
      <c r="D451" s="686">
        <v>0</v>
      </c>
      <c r="E451" s="686">
        <f t="shared" si="47"/>
        <v>0</v>
      </c>
      <c r="F451" s="452">
        <v>6.2309999999999999</v>
      </c>
      <c r="G451" s="687" t="str">
        <f t="shared" si="48"/>
        <v>USD</v>
      </c>
      <c r="H451" s="653" t="s">
        <v>4058</v>
      </c>
      <c r="I451" s="424" t="s">
        <v>3266</v>
      </c>
      <c r="J451" s="424" t="s">
        <v>4059</v>
      </c>
      <c r="K451" s="688">
        <f t="shared" si="50"/>
        <v>0</v>
      </c>
      <c r="L451" s="310">
        <f>SUMIFS('Bilateral assistance, MAIN DATA'!M:M,'Bilateral assistance, MAIN DATA'!I:I,'Price List, Weapons &amp; Items'!A451)</f>
        <v>50840</v>
      </c>
      <c r="M451" s="46">
        <f>COUNTIFS('Bilateral assistance, MAIN DATA'!M:M,"undisclosed",'Bilateral assistance, MAIN DATA'!I:I,'Price List, Weapons &amp; Items'!A451)</f>
        <v>0</v>
      </c>
      <c r="N451" s="689">
        <f t="shared" si="49"/>
        <v>316784.03999999998</v>
      </c>
      <c r="O451" s="1">
        <f>IFERROR(IF(SEARCH(A451,_xlfn.ARRAYTOTEXT('Bilateral assistance, MAIN DATA'!I$1:I$1408))&gt;0,1,""),0)</f>
        <v>1</v>
      </c>
      <c r="P451" s="46">
        <f>IFERROR(IF(SEARCH(A451,_xlfn.ARRAYTOTEXT('Commercial assistance'!I$1:I$1400))&gt;0,1,""),0)</f>
        <v>0</v>
      </c>
    </row>
    <row r="452" spans="1:16" ht="15" customHeight="1">
      <c r="A452" s="424" t="s">
        <v>4060</v>
      </c>
      <c r="B452" s="684" t="s">
        <v>228</v>
      </c>
      <c r="C452" s="685" t="s">
        <v>232</v>
      </c>
      <c r="D452" s="686">
        <v>0</v>
      </c>
      <c r="E452" s="686">
        <f t="shared" si="47"/>
        <v>0</v>
      </c>
      <c r="F452" s="452">
        <v>1.5</v>
      </c>
      <c r="G452" s="687" t="str">
        <f t="shared" si="48"/>
        <v>USD</v>
      </c>
      <c r="H452" s="653" t="s">
        <v>4061</v>
      </c>
      <c r="I452" s="512" t="s">
        <v>3266</v>
      </c>
      <c r="J452" s="743" t="s">
        <v>4062</v>
      </c>
      <c r="K452" s="688">
        <f t="shared" si="50"/>
        <v>0</v>
      </c>
      <c r="L452" s="310">
        <f>SUMIFS('Bilateral assistance, MAIN DATA'!M:M,'Bilateral assistance, MAIN DATA'!I:I,'Price List, Weapons &amp; Items'!A452)</f>
        <v>22500</v>
      </c>
      <c r="M452" s="46">
        <f>COUNTIFS('Bilateral assistance, MAIN DATA'!M:M,"undisclosed",'Bilateral assistance, MAIN DATA'!I:I,'Price List, Weapons &amp; Items'!A452)</f>
        <v>0</v>
      </c>
      <c r="N452" s="689">
        <f t="shared" si="49"/>
        <v>33750</v>
      </c>
      <c r="O452" s="1">
        <f>IFERROR(IF(SEARCH(A452,_xlfn.ARRAYTOTEXT('Bilateral assistance, MAIN DATA'!I$1:I$1408))&gt;0,1,""),0)</f>
        <v>1</v>
      </c>
      <c r="P452" s="46">
        <f>IFERROR(IF(SEARCH(A452,_xlfn.ARRAYTOTEXT('Commercial assistance'!I$1:I$1400))&gt;0,1,""),0)</f>
        <v>0</v>
      </c>
    </row>
    <row r="453" spans="1:16" ht="15" customHeight="1">
      <c r="A453" s="424" t="s">
        <v>4063</v>
      </c>
      <c r="B453" s="684" t="s">
        <v>228</v>
      </c>
      <c r="C453" s="685" t="s">
        <v>232</v>
      </c>
      <c r="D453" s="686">
        <v>0</v>
      </c>
      <c r="E453" s="686">
        <f t="shared" si="47"/>
        <v>0</v>
      </c>
      <c r="F453" s="452">
        <v>1.5</v>
      </c>
      <c r="G453" s="687" t="str">
        <f t="shared" si="48"/>
        <v>USD</v>
      </c>
      <c r="H453" s="653" t="s">
        <v>4061</v>
      </c>
      <c r="I453" s="424" t="s">
        <v>3266</v>
      </c>
      <c r="J453" s="424" t="s">
        <v>4064</v>
      </c>
      <c r="K453" s="688">
        <f t="shared" si="50"/>
        <v>0</v>
      </c>
      <c r="L453" s="310">
        <f>SUMIFS('Bilateral assistance, MAIN DATA'!M:M,'Bilateral assistance, MAIN DATA'!I:I,'Price List, Weapons &amp; Items'!A453)</f>
        <v>28000</v>
      </c>
      <c r="M453" s="46">
        <f>COUNTIFS('Bilateral assistance, MAIN DATA'!M:M,"undisclosed",'Bilateral assistance, MAIN DATA'!I:I,'Price List, Weapons &amp; Items'!A453)</f>
        <v>0</v>
      </c>
      <c r="N453" s="689">
        <f t="shared" si="49"/>
        <v>42000</v>
      </c>
      <c r="O453" s="1">
        <f>IFERROR(IF(SEARCH(A453,_xlfn.ARRAYTOTEXT('Bilateral assistance, MAIN DATA'!I$1:I$1408))&gt;0,1,""),0)</f>
        <v>1</v>
      </c>
      <c r="P453" s="46">
        <f>IFERROR(IF(SEARCH(A453,_xlfn.ARRAYTOTEXT('Commercial assistance'!I$1:I$1400))&gt;0,1,""),0)</f>
        <v>0</v>
      </c>
    </row>
    <row r="454" spans="1:16" ht="15" customHeight="1">
      <c r="A454" s="424" t="s">
        <v>4065</v>
      </c>
      <c r="B454" s="684" t="s">
        <v>228</v>
      </c>
      <c r="C454" s="685" t="s">
        <v>232</v>
      </c>
      <c r="D454" s="686">
        <v>0</v>
      </c>
      <c r="E454" s="686">
        <f t="shared" si="47"/>
        <v>0</v>
      </c>
      <c r="F454" s="452">
        <v>1.29</v>
      </c>
      <c r="G454" s="687" t="str">
        <f t="shared" si="48"/>
        <v>USD</v>
      </c>
      <c r="H454" s="653" t="s">
        <v>3459</v>
      </c>
      <c r="I454" s="424" t="s">
        <v>3270</v>
      </c>
      <c r="J454" s="424" t="s">
        <v>4066</v>
      </c>
      <c r="K454" s="688">
        <f t="shared" si="50"/>
        <v>0</v>
      </c>
      <c r="L454" s="310">
        <f>SUMIFS('Bilateral assistance, MAIN DATA'!M:M,'Bilateral assistance, MAIN DATA'!I:I,'Price List, Weapons &amp; Items'!A454)</f>
        <v>68000</v>
      </c>
      <c r="M454" s="46">
        <f>COUNTIFS('Bilateral assistance, MAIN DATA'!M:M,"undisclosed",'Bilateral assistance, MAIN DATA'!I:I,'Price List, Weapons &amp; Items'!A454)</f>
        <v>1</v>
      </c>
      <c r="N454" s="689">
        <f t="shared" si="49"/>
        <v>87720</v>
      </c>
      <c r="O454" s="1">
        <f>IFERROR(IF(SEARCH(A454,_xlfn.ARRAYTOTEXT('Bilateral assistance, MAIN DATA'!I$1:I$1408))&gt;0,1,""),0)</f>
        <v>1</v>
      </c>
      <c r="P454" s="46">
        <f>IFERROR(IF(SEARCH(A454,_xlfn.ARRAYTOTEXT('Commercial assistance'!I$1:I$1400))&gt;0,1,""),0)</f>
        <v>0</v>
      </c>
    </row>
    <row r="455" spans="1:16" ht="15" customHeight="1">
      <c r="A455" s="512" t="s">
        <v>4067</v>
      </c>
      <c r="B455" s="684" t="s">
        <v>228</v>
      </c>
      <c r="C455" s="685" t="s">
        <v>232</v>
      </c>
      <c r="D455" s="686">
        <v>0</v>
      </c>
      <c r="E455" s="686">
        <f t="shared" si="47"/>
        <v>0</v>
      </c>
      <c r="F455" s="452">
        <v>1.35</v>
      </c>
      <c r="G455" s="687" t="str">
        <f t="shared" si="48"/>
        <v>USD</v>
      </c>
      <c r="H455" s="676" t="s">
        <v>3886</v>
      </c>
      <c r="I455" s="424" t="s">
        <v>3270</v>
      </c>
      <c r="J455" s="424" t="s">
        <v>3887</v>
      </c>
      <c r="K455" s="688">
        <f t="shared" si="50"/>
        <v>0</v>
      </c>
      <c r="L455" s="310">
        <f>SUMIFS('Bilateral assistance, MAIN DATA'!M:M,'Bilateral assistance, MAIN DATA'!I:I,'Price List, Weapons &amp; Items'!A455)</f>
        <v>32000</v>
      </c>
      <c r="M455" s="46">
        <f>COUNTIFS('Bilateral assistance, MAIN DATA'!M:M,"undisclosed",'Bilateral assistance, MAIN DATA'!I:I,'Price List, Weapons &amp; Items'!A455)</f>
        <v>0</v>
      </c>
      <c r="N455" s="689">
        <f t="shared" si="49"/>
        <v>43200</v>
      </c>
      <c r="O455" s="1">
        <f>IFERROR(IF(SEARCH(A455,_xlfn.ARRAYTOTEXT('Bilateral assistance, MAIN DATA'!I$1:I$1408))&gt;0,1,""),0)</f>
        <v>1</v>
      </c>
      <c r="P455" s="46">
        <f>IFERROR(IF(SEARCH(A455,_xlfn.ARRAYTOTEXT('Commercial assistance'!I$1:I$1400))&gt;0,1,""),0)</f>
        <v>0</v>
      </c>
    </row>
    <row r="456" spans="1:16" ht="15" customHeight="1">
      <c r="A456" s="424" t="s">
        <v>4068</v>
      </c>
      <c r="B456" s="684" t="s">
        <v>228</v>
      </c>
      <c r="C456" s="685" t="s">
        <v>232</v>
      </c>
      <c r="D456" s="686">
        <v>0</v>
      </c>
      <c r="E456" s="686">
        <f t="shared" si="47"/>
        <v>0</v>
      </c>
      <c r="F456" s="452">
        <v>0.24</v>
      </c>
      <c r="G456" s="687" t="str">
        <f t="shared" si="48"/>
        <v>USD</v>
      </c>
      <c r="H456" s="653" t="s">
        <v>4069</v>
      </c>
      <c r="I456" s="424" t="s">
        <v>3266</v>
      </c>
      <c r="J456" s="424" t="s">
        <v>4070</v>
      </c>
      <c r="K456" s="688">
        <f t="shared" si="50"/>
        <v>0</v>
      </c>
      <c r="L456" s="310">
        <f>SUMIFS('Bilateral assistance, MAIN DATA'!M:M,'Bilateral assistance, MAIN DATA'!I:I,'Price List, Weapons &amp; Items'!A456)</f>
        <v>0</v>
      </c>
      <c r="M456" s="46">
        <f>COUNTIFS('Bilateral assistance, MAIN DATA'!M:M,"undisclosed",'Bilateral assistance, MAIN DATA'!I:I,'Price List, Weapons &amp; Items'!A456)</f>
        <v>1</v>
      </c>
      <c r="N456" s="689">
        <f t="shared" si="49"/>
        <v>0</v>
      </c>
      <c r="O456" s="1">
        <f>IFERROR(IF(SEARCH(A456,_xlfn.ARRAYTOTEXT('Bilateral assistance, MAIN DATA'!I$1:I$1408))&gt;0,1,""),0)</f>
        <v>1</v>
      </c>
      <c r="P456" s="46">
        <f>IFERROR(IF(SEARCH(A456,_xlfn.ARRAYTOTEXT('Commercial assistance'!I$1:I$1400))&gt;0,1,""),0)</f>
        <v>0</v>
      </c>
    </row>
    <row r="457" spans="1:16" ht="15" customHeight="1">
      <c r="A457" s="424" t="s">
        <v>4071</v>
      </c>
      <c r="B457" s="684" t="s">
        <v>228</v>
      </c>
      <c r="C457" s="685" t="s">
        <v>232</v>
      </c>
      <c r="D457" s="686">
        <v>0</v>
      </c>
      <c r="E457" s="686">
        <f t="shared" si="47"/>
        <v>0</v>
      </c>
      <c r="F457" s="452">
        <v>0.24</v>
      </c>
      <c r="G457" s="687" t="str">
        <f t="shared" si="48"/>
        <v>USD</v>
      </c>
      <c r="H457" s="653" t="s">
        <v>4069</v>
      </c>
      <c r="I457" s="424" t="s">
        <v>3266</v>
      </c>
      <c r="J457" s="424" t="s">
        <v>4070</v>
      </c>
      <c r="K457" s="688">
        <f t="shared" si="50"/>
        <v>0</v>
      </c>
      <c r="L457" s="310">
        <f>SUMIFS('Bilateral assistance, MAIN DATA'!M:M,'Bilateral assistance, MAIN DATA'!I:I,'Price List, Weapons &amp; Items'!A457)</f>
        <v>100000</v>
      </c>
      <c r="M457" s="46">
        <f>COUNTIFS('Bilateral assistance, MAIN DATA'!M:M,"undisclosed",'Bilateral assistance, MAIN DATA'!I:I,'Price List, Weapons &amp; Items'!A457)</f>
        <v>0</v>
      </c>
      <c r="N457" s="689">
        <f t="shared" si="49"/>
        <v>24000</v>
      </c>
      <c r="O457" s="1">
        <f>IFERROR(IF(SEARCH(A457,_xlfn.ARRAYTOTEXT('Bilateral assistance, MAIN DATA'!I$1:I$1408))&gt;0,1,""),0)</f>
        <v>1</v>
      </c>
      <c r="P457" s="46">
        <f>IFERROR(IF(SEARCH(A457,_xlfn.ARRAYTOTEXT('Commercial assistance'!I$1:I$1400))&gt;0,1,""),0)</f>
        <v>0</v>
      </c>
    </row>
    <row r="458" spans="1:16" ht="15" customHeight="1">
      <c r="A458" s="424" t="s">
        <v>4072</v>
      </c>
      <c r="B458" s="684" t="s">
        <v>228</v>
      </c>
      <c r="C458" s="685" t="s">
        <v>232</v>
      </c>
      <c r="D458" s="686">
        <v>0</v>
      </c>
      <c r="E458" s="686">
        <f t="shared" si="47"/>
        <v>0</v>
      </c>
      <c r="F458" s="452">
        <v>0.24</v>
      </c>
      <c r="G458" s="687" t="str">
        <f t="shared" si="48"/>
        <v>USD</v>
      </c>
      <c r="H458" s="653" t="s">
        <v>4069</v>
      </c>
      <c r="I458" s="424" t="s">
        <v>3266</v>
      </c>
      <c r="J458" s="424" t="s">
        <v>4073</v>
      </c>
      <c r="K458" s="688">
        <f t="shared" si="50"/>
        <v>0</v>
      </c>
      <c r="L458" s="310">
        <f>SUMIFS('Bilateral assistance, MAIN DATA'!M:M,'Bilateral assistance, MAIN DATA'!I:I,'Price List, Weapons &amp; Items'!A458)</f>
        <v>650000</v>
      </c>
      <c r="M458" s="46">
        <f>COUNTIFS('Bilateral assistance, MAIN DATA'!M:M,"undisclosed",'Bilateral assistance, MAIN DATA'!I:I,'Price List, Weapons &amp; Items'!A458)</f>
        <v>0</v>
      </c>
      <c r="N458" s="689">
        <f t="shared" si="49"/>
        <v>156000</v>
      </c>
      <c r="O458" s="1">
        <f>IFERROR(IF(SEARCH(A458,_xlfn.ARRAYTOTEXT('Bilateral assistance, MAIN DATA'!I$1:I$1408))&gt;0,1,""),0)</f>
        <v>1</v>
      </c>
      <c r="P458" s="46">
        <f>IFERROR(IF(SEARCH(A458,_xlfn.ARRAYTOTEXT('Commercial assistance'!I$1:I$1400))&gt;0,1,""),0)</f>
        <v>0</v>
      </c>
    </row>
    <row r="459" spans="1:16" ht="15" customHeight="1">
      <c r="A459" s="424" t="s">
        <v>4074</v>
      </c>
      <c r="B459" s="684" t="s">
        <v>228</v>
      </c>
      <c r="C459" s="685" t="s">
        <v>232</v>
      </c>
      <c r="D459" s="686">
        <v>0</v>
      </c>
      <c r="E459" s="686">
        <f t="shared" si="47"/>
        <v>0</v>
      </c>
      <c r="F459" s="452">
        <v>0.13</v>
      </c>
      <c r="G459" s="687" t="str">
        <f t="shared" si="48"/>
        <v>USD</v>
      </c>
      <c r="H459" s="653" t="s">
        <v>4040</v>
      </c>
      <c r="I459" s="424" t="s">
        <v>3266</v>
      </c>
      <c r="J459" s="424" t="s">
        <v>4075</v>
      </c>
      <c r="K459" s="688">
        <f t="shared" si="50"/>
        <v>0</v>
      </c>
      <c r="L459" s="310">
        <f>SUMIFS('Bilateral assistance, MAIN DATA'!M:M,'Bilateral assistance, MAIN DATA'!I:I,'Price List, Weapons &amp; Items'!A459)</f>
        <v>430000</v>
      </c>
      <c r="M459" s="46">
        <f>COUNTIFS('Bilateral assistance, MAIN DATA'!M:M,"undisclosed",'Bilateral assistance, MAIN DATA'!I:I,'Price List, Weapons &amp; Items'!A459)</f>
        <v>0</v>
      </c>
      <c r="N459" s="689">
        <f t="shared" si="49"/>
        <v>55900</v>
      </c>
      <c r="O459" s="1">
        <f>IFERROR(IF(SEARCH(A459,_xlfn.ARRAYTOTEXT('Bilateral assistance, MAIN DATA'!I$1:I$1408))&gt;0,1,""),0)</f>
        <v>1</v>
      </c>
      <c r="P459" s="46">
        <f>IFERROR(IF(SEARCH(A459,_xlfn.ARRAYTOTEXT('Commercial assistance'!I$1:I$1400))&gt;0,1,""),0)</f>
        <v>0</v>
      </c>
    </row>
    <row r="460" spans="1:16" ht="15" customHeight="1">
      <c r="A460" s="424" t="s">
        <v>4076</v>
      </c>
      <c r="B460" s="684" t="s">
        <v>228</v>
      </c>
      <c r="C460" s="685" t="s">
        <v>232</v>
      </c>
      <c r="D460" s="552">
        <v>0</v>
      </c>
      <c r="E460" s="686">
        <f t="shared" si="47"/>
        <v>0</v>
      </c>
      <c r="F460" s="452">
        <v>0.13</v>
      </c>
      <c r="G460" s="687" t="str">
        <f t="shared" si="48"/>
        <v>USD</v>
      </c>
      <c r="H460" s="652" t="s">
        <v>4040</v>
      </c>
      <c r="I460" s="424" t="s">
        <v>3266</v>
      </c>
      <c r="J460" s="424" t="s">
        <v>4077</v>
      </c>
      <c r="K460" s="688">
        <f t="shared" si="50"/>
        <v>0</v>
      </c>
      <c r="L460" s="310">
        <f>SUMIFS('Bilateral assistance, MAIN DATA'!M:M,'Bilateral assistance, MAIN DATA'!I:I,'Price List, Weapons &amp; Items'!A460)</f>
        <v>3640000</v>
      </c>
      <c r="M460" s="46">
        <f>COUNTIFS('Bilateral assistance, MAIN DATA'!M:M,"undisclosed",'Bilateral assistance, MAIN DATA'!I:I,'Price List, Weapons &amp; Items'!A460)</f>
        <v>0</v>
      </c>
      <c r="N460" s="689">
        <f t="shared" si="49"/>
        <v>473200</v>
      </c>
      <c r="O460" s="1">
        <f>IFERROR(IF(SEARCH(A460,_xlfn.ARRAYTOTEXT('Bilateral assistance, MAIN DATA'!I$1:I$1408))&gt;0,1,""),0)</f>
        <v>1</v>
      </c>
      <c r="P460" s="46">
        <f>IFERROR(IF(SEARCH(A460,_xlfn.ARRAYTOTEXT('Commercial assistance'!I$1:I$1400))&gt;0,1,""),0)</f>
        <v>0</v>
      </c>
    </row>
    <row r="461" spans="1:16" ht="15" customHeight="1">
      <c r="A461" s="424" t="s">
        <v>4078</v>
      </c>
      <c r="B461" s="684" t="s">
        <v>228</v>
      </c>
      <c r="C461" s="685" t="s">
        <v>232</v>
      </c>
      <c r="D461" s="552">
        <v>0</v>
      </c>
      <c r="E461" s="686">
        <f t="shared" si="47"/>
        <v>0</v>
      </c>
      <c r="F461" s="452">
        <v>4.4999999999999998E-2</v>
      </c>
      <c r="G461" s="687" t="str">
        <f t="shared" si="48"/>
        <v>USD</v>
      </c>
      <c r="H461" s="656" t="s">
        <v>4079</v>
      </c>
      <c r="I461" s="424" t="s">
        <v>3270</v>
      </c>
      <c r="J461" s="424" t="s">
        <v>4080</v>
      </c>
      <c r="K461" s="688">
        <f t="shared" si="50"/>
        <v>0</v>
      </c>
      <c r="L461" s="310">
        <f>SUMIFS('Bilateral assistance, MAIN DATA'!M:M,'Bilateral assistance, MAIN DATA'!I:I,'Price List, Weapons &amp; Items'!A461)</f>
        <v>10000000</v>
      </c>
      <c r="M461" s="46">
        <f>COUNTIFS('Bilateral assistance, MAIN DATA'!M:M,"undisclosed",'Bilateral assistance, MAIN DATA'!I:I,'Price List, Weapons &amp; Items'!A461)</f>
        <v>0</v>
      </c>
      <c r="N461" s="689">
        <f t="shared" si="49"/>
        <v>450000</v>
      </c>
      <c r="O461" s="1">
        <f>IFERROR(IF(SEARCH(A461,_xlfn.ARRAYTOTEXT('Bilateral assistance, MAIN DATA'!I$1:I$1408))&gt;0,1,""),0)</f>
        <v>1</v>
      </c>
      <c r="P461" s="46">
        <f>IFERROR(IF(SEARCH(A461,_xlfn.ARRAYTOTEXT('Commercial assistance'!I$1:I$1400))&gt;0,1,""),0)</f>
        <v>0</v>
      </c>
    </row>
    <row r="462" spans="1:16" ht="15" customHeight="1">
      <c r="A462" s="512" t="s">
        <v>4081</v>
      </c>
      <c r="B462" s="684" t="s">
        <v>729</v>
      </c>
      <c r="C462" s="685" t="s">
        <v>3273</v>
      </c>
      <c r="D462" s="552">
        <v>0</v>
      </c>
      <c r="E462" s="552">
        <f t="shared" si="47"/>
        <v>0</v>
      </c>
      <c r="F462" s="452">
        <v>102216.33</v>
      </c>
      <c r="G462" s="88" t="s">
        <v>314</v>
      </c>
      <c r="H462" s="652" t="s">
        <v>4082</v>
      </c>
      <c r="I462" s="692" t="s">
        <v>3308</v>
      </c>
      <c r="J462" s="424" t="s">
        <v>4083</v>
      </c>
      <c r="K462" s="688">
        <f t="shared" si="50"/>
        <v>2</v>
      </c>
      <c r="L462" s="310">
        <f>SUMIFS('Bilateral assistance, MAIN DATA'!M:M,'Bilateral assistance, MAIN DATA'!I:I,'Price List, Weapons &amp; Items'!A462)</f>
        <v>20</v>
      </c>
      <c r="M462" s="46">
        <f>COUNTIFS('Bilateral assistance, MAIN DATA'!M:M,"undisclosed",'Bilateral assistance, MAIN DATA'!I:I,'Price List, Weapons &amp; Items'!A462)</f>
        <v>0</v>
      </c>
      <c r="N462" s="689">
        <f t="shared" si="49"/>
        <v>2044326.6</v>
      </c>
      <c r="O462" s="1">
        <f>IFERROR(IF(SEARCH(A462,_xlfn.ARRAYTOTEXT('Bilateral assistance, MAIN DATA'!I$1:I$1408))&gt;0,1,""),0)</f>
        <v>1</v>
      </c>
      <c r="P462" s="46">
        <f>IFERROR(IF(SEARCH(A462,_xlfn.ARRAYTOTEXT('Commercial assistance'!I$1:I$1400))&gt;0,1,""),0)</f>
        <v>0</v>
      </c>
    </row>
    <row r="463" spans="1:16" ht="15" customHeight="1">
      <c r="A463" s="704" t="s">
        <v>1205</v>
      </c>
      <c r="B463" s="684" t="s">
        <v>729</v>
      </c>
      <c r="C463" s="685" t="s">
        <v>4084</v>
      </c>
      <c r="D463" s="552">
        <v>0</v>
      </c>
      <c r="E463" s="552">
        <f t="shared" si="47"/>
        <v>0</v>
      </c>
      <c r="F463" s="452" t="s">
        <v>232</v>
      </c>
      <c r="G463" s="88" t="s">
        <v>232</v>
      </c>
      <c r="H463" s="692" t="s">
        <v>232</v>
      </c>
      <c r="I463" s="692" t="s">
        <v>232</v>
      </c>
      <c r="J463" s="424" t="s">
        <v>4085</v>
      </c>
      <c r="K463" s="688">
        <f t="shared" si="50"/>
        <v>0</v>
      </c>
      <c r="L463" s="310">
        <f>SUMIFS('Bilateral assistance, MAIN DATA'!M:M,'Bilateral assistance, MAIN DATA'!I:I,'Price List, Weapons &amp; Items'!A463)</f>
        <v>1</v>
      </c>
      <c r="M463" s="46">
        <f>COUNTIFS('Bilateral assistance, MAIN DATA'!M:M,"undisclosed",'Bilateral assistance, MAIN DATA'!I:I,'Price List, Weapons &amp; Items'!A463)</f>
        <v>0</v>
      </c>
      <c r="N463" s="689" t="str">
        <f t="shared" si="49"/>
        <v>no price</v>
      </c>
      <c r="O463" s="1">
        <f>IFERROR(IF(SEARCH(A463,_xlfn.ARRAYTOTEXT('Bilateral assistance, MAIN DATA'!I$1:I$1408))&gt;0,1,""),0)</f>
        <v>1</v>
      </c>
      <c r="P463" s="46">
        <f>IFERROR(IF(SEARCH(A463,_xlfn.ARRAYTOTEXT('Commercial assistance'!I$1:I$1400))&gt;0,1,""),0)</f>
        <v>0</v>
      </c>
    </row>
    <row r="464" spans="1:16" ht="15" customHeight="1">
      <c r="A464" s="704" t="s">
        <v>1198</v>
      </c>
      <c r="B464" s="684" t="s">
        <v>729</v>
      </c>
      <c r="C464" s="685" t="s">
        <v>232</v>
      </c>
      <c r="D464" s="552">
        <v>0</v>
      </c>
      <c r="E464" s="552">
        <f t="shared" ref="E464:E495" si="51">IF(OR(C464="Armoured Personnel Carrier (APC)",C464="Armoured Recovery Vehicle (ARV)",C464="Armoured Utility Vehicle (AUV)",C464="152mm howitzer ammunition",C464="155mm howitzer ammunition",C464="300mm MLRS ammunition",C464="155mm howitzer",C464="227mm MLRS ammunition",C464="Infantry fighting vehicle (IFV)",C464="152mm howitzer",C464="227mm MLRS",C464="Main Battle Tank (MBT)",C464="Protected Patrol Vehicle (PPV)",C464="127mm MLRS",C464="122mm MLRS",C464="122mm MLRS ammunition",C464="122mm MLRS",C464="127mm MLRS",C464="127mm MLRS ammunition")=TRUE,1,0)</f>
        <v>0</v>
      </c>
      <c r="F464" s="452" t="s">
        <v>232</v>
      </c>
      <c r="G464" s="88" t="s">
        <v>232</v>
      </c>
      <c r="H464" s="696" t="s">
        <v>232</v>
      </c>
      <c r="I464" s="692" t="s">
        <v>232</v>
      </c>
      <c r="J464" s="424" t="s">
        <v>4086</v>
      </c>
      <c r="K464" s="688">
        <f t="shared" si="50"/>
        <v>0</v>
      </c>
      <c r="L464" s="310">
        <f>SUMIFS('Bilateral assistance, MAIN DATA'!M:M,'Bilateral assistance, MAIN DATA'!I:I,'Price List, Weapons &amp; Items'!A464)</f>
        <v>40</v>
      </c>
      <c r="M464" s="46">
        <f>COUNTIFS('Bilateral assistance, MAIN DATA'!M:M,"undisclosed",'Bilateral assistance, MAIN DATA'!I:I,'Price List, Weapons &amp; Items'!A464)</f>
        <v>0</v>
      </c>
      <c r="N464" s="689" t="str">
        <f t="shared" si="49"/>
        <v>no price</v>
      </c>
      <c r="O464" s="1">
        <f>IFERROR(IF(SEARCH(A464,_xlfn.ARRAYTOTEXT('Bilateral assistance, MAIN DATA'!I$1:I$1408))&gt;0,1,""),0)</f>
        <v>1</v>
      </c>
      <c r="P464" s="46">
        <f>IFERROR(IF(SEARCH(A464,_xlfn.ARRAYTOTEXT('Commercial assistance'!I$1:I$1400))&gt;0,1,""),0)</f>
        <v>0</v>
      </c>
    </row>
    <row r="465" spans="1:16" ht="15" customHeight="1">
      <c r="A465" s="512" t="s">
        <v>2278</v>
      </c>
      <c r="B465" s="684" t="s">
        <v>228</v>
      </c>
      <c r="C465" s="685" t="s">
        <v>232</v>
      </c>
      <c r="D465" s="552">
        <v>0</v>
      </c>
      <c r="E465" s="552">
        <f t="shared" si="51"/>
        <v>0</v>
      </c>
      <c r="F465" s="452">
        <v>19.5</v>
      </c>
      <c r="G465" s="88" t="s">
        <v>314</v>
      </c>
      <c r="H465" s="652" t="s">
        <v>4087</v>
      </c>
      <c r="I465" s="692" t="s">
        <v>3259</v>
      </c>
      <c r="J465" s="424" t="s">
        <v>4088</v>
      </c>
      <c r="K465" s="688">
        <f t="shared" si="50"/>
        <v>0</v>
      </c>
      <c r="L465" s="310">
        <f>SUMIFS('Bilateral assistance, MAIN DATA'!M:M,'Bilateral assistance, MAIN DATA'!I:I,'Price List, Weapons &amp; Items'!A465)</f>
        <v>500000</v>
      </c>
      <c r="M465" s="46">
        <f>COUNTIFS('Bilateral assistance, MAIN DATA'!M:M,"undisclosed",'Bilateral assistance, MAIN DATA'!I:I,'Price List, Weapons &amp; Items'!A465)</f>
        <v>0</v>
      </c>
      <c r="N465" s="689">
        <f t="shared" si="49"/>
        <v>9750000</v>
      </c>
      <c r="O465" s="1">
        <f>IFERROR(IF(SEARCH(A465,_xlfn.ARRAYTOTEXT('Bilateral assistance, MAIN DATA'!I$1:I$1408))&gt;0,1,""),0)</f>
        <v>1</v>
      </c>
      <c r="P465" s="46">
        <f>IFERROR(IF(SEARCH(A465,_xlfn.ARRAYTOTEXT('Commercial assistance'!I$1:I$1400))&gt;0,1,""),0)</f>
        <v>0</v>
      </c>
    </row>
    <row r="466" spans="1:16" ht="15" customHeight="1">
      <c r="A466" s="512" t="s">
        <v>2235</v>
      </c>
      <c r="B466" s="684" t="s">
        <v>228</v>
      </c>
      <c r="C466" s="685" t="s">
        <v>232</v>
      </c>
      <c r="D466" s="552">
        <v>0</v>
      </c>
      <c r="E466" s="552">
        <f t="shared" si="51"/>
        <v>0</v>
      </c>
      <c r="F466" s="452">
        <f>(2500000/1000)/VLOOKUP("USD",'Exchange rates'!B:C,2,0)</f>
        <v>2491.2805181863478</v>
      </c>
      <c r="G466" s="88" t="s">
        <v>314</v>
      </c>
      <c r="H466" s="652" t="s">
        <v>2230</v>
      </c>
      <c r="I466" s="692" t="s">
        <v>3259</v>
      </c>
      <c r="J466" s="424" t="s">
        <v>4089</v>
      </c>
      <c r="K466" s="688">
        <f t="shared" si="50"/>
        <v>0</v>
      </c>
      <c r="L466" s="310">
        <f>SUMIFS('Bilateral assistance, MAIN DATA'!M:M,'Bilateral assistance, MAIN DATA'!I:I,'Price List, Weapons &amp; Items'!A466)</f>
        <v>1000</v>
      </c>
      <c r="M466" s="46">
        <f>COUNTIFS('Bilateral assistance, MAIN DATA'!M:M,"undisclosed",'Bilateral assistance, MAIN DATA'!I:I,'Price List, Weapons &amp; Items'!A466)</f>
        <v>0</v>
      </c>
      <c r="N466" s="689">
        <f t="shared" si="49"/>
        <v>2491280.5181863476</v>
      </c>
      <c r="O466" s="1">
        <f>IFERROR(IF(SEARCH(A466,_xlfn.ARRAYTOTEXT('Bilateral assistance, MAIN DATA'!I$1:I$1408))&gt;0,1,""),0)</f>
        <v>1</v>
      </c>
      <c r="P466" s="46">
        <f>IFERROR(IF(SEARCH(A466,_xlfn.ARRAYTOTEXT('Commercial assistance'!I$1:I$1400))&gt;0,1,""),0)</f>
        <v>0</v>
      </c>
    </row>
    <row r="467" spans="1:16" ht="15" customHeight="1">
      <c r="A467" s="512" t="s">
        <v>1850</v>
      </c>
      <c r="B467" s="684" t="s">
        <v>3249</v>
      </c>
      <c r="C467" s="685" t="s">
        <v>3261</v>
      </c>
      <c r="D467" s="552">
        <v>0</v>
      </c>
      <c r="E467" s="552">
        <f t="shared" si="51"/>
        <v>0</v>
      </c>
      <c r="F467" s="452" t="s">
        <v>232</v>
      </c>
      <c r="G467" s="88" t="s">
        <v>314</v>
      </c>
      <c r="H467" s="692" t="s">
        <v>232</v>
      </c>
      <c r="I467" s="692" t="s">
        <v>232</v>
      </c>
      <c r="J467" s="424" t="s">
        <v>232</v>
      </c>
      <c r="K467" s="688">
        <f t="shared" si="50"/>
        <v>0</v>
      </c>
      <c r="L467" s="310">
        <f>SUMIFS('Bilateral assistance, MAIN DATA'!M:M,'Bilateral assistance, MAIN DATA'!I:I,'Price List, Weapons &amp; Items'!A467)</f>
        <v>850</v>
      </c>
      <c r="M467" s="46">
        <f>COUNTIFS('Bilateral assistance, MAIN DATA'!M:M,"undisclosed",'Bilateral assistance, MAIN DATA'!I:I,'Price List, Weapons &amp; Items'!A467)</f>
        <v>1</v>
      </c>
      <c r="N467" s="689" t="str">
        <f t="shared" si="49"/>
        <v>no price</v>
      </c>
      <c r="O467" s="1">
        <f>IFERROR(IF(SEARCH(A467,_xlfn.ARRAYTOTEXT('Bilateral assistance, MAIN DATA'!I$1:I$1408))&gt;0,1,""),0)</f>
        <v>1</v>
      </c>
      <c r="P467" s="46">
        <f>IFERROR(IF(SEARCH(A467,_xlfn.ARRAYTOTEXT('Commercial assistance'!I$1:I$1400))&gt;0,1,""),0)</f>
        <v>0</v>
      </c>
    </row>
    <row r="468" spans="1:16" ht="15" customHeight="1">
      <c r="A468" s="424" t="s">
        <v>2506</v>
      </c>
      <c r="B468" s="684" t="s">
        <v>3249</v>
      </c>
      <c r="C468" s="685" t="s">
        <v>4090</v>
      </c>
      <c r="D468" s="552">
        <v>0</v>
      </c>
      <c r="E468" s="552">
        <f t="shared" si="51"/>
        <v>0</v>
      </c>
      <c r="F468" s="452" t="s">
        <v>232</v>
      </c>
      <c r="G468" s="88" t="s">
        <v>314</v>
      </c>
      <c r="H468" s="692" t="s">
        <v>232</v>
      </c>
      <c r="I468" s="692" t="s">
        <v>232</v>
      </c>
      <c r="J468" s="424" t="s">
        <v>232</v>
      </c>
      <c r="K468" s="688">
        <f t="shared" si="50"/>
        <v>0</v>
      </c>
      <c r="L468" s="310">
        <f>SUMIFS('Bilateral assistance, MAIN DATA'!M:M,'Bilateral assistance, MAIN DATA'!I:I,'Price List, Weapons &amp; Items'!A468)</f>
        <v>6</v>
      </c>
      <c r="M468" s="46">
        <f>COUNTIFS('Bilateral assistance, MAIN DATA'!M:M,"undisclosed",'Bilateral assistance, MAIN DATA'!I:I,'Price List, Weapons &amp; Items'!A468)</f>
        <v>0</v>
      </c>
      <c r="N468" s="689" t="str">
        <f t="shared" si="49"/>
        <v>no price</v>
      </c>
      <c r="O468" s="1">
        <f>IFERROR(IF(SEARCH(A468,_xlfn.ARRAYTOTEXT('Bilateral assistance, MAIN DATA'!I$1:I$1408))&gt;0,1,""),0)</f>
        <v>1</v>
      </c>
      <c r="P468" s="46">
        <f>IFERROR(IF(SEARCH(A468,_xlfn.ARRAYTOTEXT('Commercial assistance'!I$1:I$1400))&gt;0,1,""),0)</f>
        <v>0</v>
      </c>
    </row>
    <row r="469" spans="1:16" ht="15" customHeight="1">
      <c r="A469" s="512" t="s">
        <v>4091</v>
      </c>
      <c r="B469" s="684" t="s">
        <v>228</v>
      </c>
      <c r="C469" s="685" t="s">
        <v>232</v>
      </c>
      <c r="D469" s="552">
        <v>0</v>
      </c>
      <c r="E469" s="552">
        <f t="shared" si="51"/>
        <v>0</v>
      </c>
      <c r="F469" s="452">
        <f>80*1.1175</f>
        <v>89.399999999999991</v>
      </c>
      <c r="G469" s="88" t="s">
        <v>314</v>
      </c>
      <c r="H469" s="652" t="s">
        <v>1623</v>
      </c>
      <c r="I469" s="424" t="s">
        <v>3308</v>
      </c>
      <c r="J469" s="424" t="s">
        <v>4092</v>
      </c>
      <c r="K469" s="688">
        <f t="shared" si="50"/>
        <v>0</v>
      </c>
      <c r="L469" s="310">
        <f>SUMIFS('Bilateral assistance, MAIN DATA'!M:M,'Bilateral assistance, MAIN DATA'!I:I,'Price List, Weapons &amp; Items'!A469)</f>
        <v>35000</v>
      </c>
      <c r="M469" s="46">
        <f>COUNTIFS('Bilateral assistance, MAIN DATA'!M:M,"undisclosed",'Bilateral assistance, MAIN DATA'!I:I,'Price List, Weapons &amp; Items'!A469)</f>
        <v>0</v>
      </c>
      <c r="N469" s="689">
        <f t="shared" si="49"/>
        <v>3128999.9999999995</v>
      </c>
      <c r="O469" s="1">
        <f>IFERROR(IF(SEARCH(A469,_xlfn.ARRAYTOTEXT('Bilateral assistance, MAIN DATA'!I$1:I$1408))&gt;0,1,""),0)</f>
        <v>1</v>
      </c>
      <c r="P469" s="46">
        <f>IFERROR(IF(SEARCH(A469,_xlfn.ARRAYTOTEXT('Commercial assistance'!I$1:I$1400))&gt;0,1,""),0)</f>
        <v>0</v>
      </c>
    </row>
    <row r="470" spans="1:16" ht="15" customHeight="1">
      <c r="A470" s="512" t="s">
        <v>411</v>
      </c>
      <c r="B470" s="684" t="s">
        <v>228</v>
      </c>
      <c r="C470" s="685" t="s">
        <v>232</v>
      </c>
      <c r="D470" s="686">
        <v>0</v>
      </c>
      <c r="E470" s="552">
        <f t="shared" si="51"/>
        <v>0</v>
      </c>
      <c r="F470" s="452" t="s">
        <v>232</v>
      </c>
      <c r="G470" s="687" t="str">
        <f>IF(F470&lt;&gt;".","USD",".")</f>
        <v>.</v>
      </c>
      <c r="H470" s="424" t="s">
        <v>232</v>
      </c>
      <c r="I470" s="424" t="str">
        <f>IF(H470&lt;&gt;".",".",".")</f>
        <v>.</v>
      </c>
      <c r="J470" s="424" t="s">
        <v>232</v>
      </c>
      <c r="K470" s="688">
        <f t="shared" si="50"/>
        <v>0</v>
      </c>
      <c r="L470" s="310">
        <f>SUMIFS('Bilateral assistance, MAIN DATA'!M:M,'Bilateral assistance, MAIN DATA'!I:I,'Price List, Weapons &amp; Items'!A470)</f>
        <v>0</v>
      </c>
      <c r="M470" s="46">
        <f>COUNTIFS('Bilateral assistance, MAIN DATA'!M:M,"undisclosed",'Bilateral assistance, MAIN DATA'!I:I,'Price List, Weapons &amp; Items'!A470)</f>
        <v>0</v>
      </c>
      <c r="N470" s="689" t="str">
        <f t="shared" si="49"/>
        <v>no price</v>
      </c>
      <c r="O470" s="1">
        <f>IFERROR(IF(SEARCH(A470,_xlfn.ARRAYTOTEXT('Bilateral assistance, MAIN DATA'!I$1:I$1408))&gt;0,1,""),0)</f>
        <v>1</v>
      </c>
      <c r="P470" s="46">
        <f>IFERROR(IF(SEARCH(A470,_xlfn.ARRAYTOTEXT('Commercial assistance'!I$1:I$1400))&gt;0,1,""),0)</f>
        <v>0</v>
      </c>
    </row>
    <row r="471" spans="1:16" ht="15" customHeight="1">
      <c r="A471" s="424" t="s">
        <v>1036</v>
      </c>
      <c r="B471" s="684" t="s">
        <v>228</v>
      </c>
      <c r="C471" s="685" t="s">
        <v>232</v>
      </c>
      <c r="D471" s="686">
        <v>0</v>
      </c>
      <c r="E471" s="552">
        <f t="shared" si="51"/>
        <v>0</v>
      </c>
      <c r="F471" s="452" t="s">
        <v>232</v>
      </c>
      <c r="G471" s="687" t="s">
        <v>232</v>
      </c>
      <c r="H471" s="653" t="s">
        <v>232</v>
      </c>
      <c r="I471" s="424" t="s">
        <v>232</v>
      </c>
      <c r="J471" s="424" t="s">
        <v>232</v>
      </c>
      <c r="K471" s="688">
        <f t="shared" si="50"/>
        <v>0</v>
      </c>
      <c r="L471" s="310">
        <f>SUMIFS('Bilateral assistance, MAIN DATA'!M:M,'Bilateral assistance, MAIN DATA'!I:I,'Price List, Weapons &amp; Items'!A471)</f>
        <v>0</v>
      </c>
      <c r="M471" s="46">
        <f>COUNTIFS('Bilateral assistance, MAIN DATA'!M:M,"undisclosed",'Bilateral assistance, MAIN DATA'!I:I,'Price List, Weapons &amp; Items'!A471)</f>
        <v>2</v>
      </c>
      <c r="N471" s="689" t="str">
        <f t="shared" si="49"/>
        <v>no price</v>
      </c>
      <c r="O471" s="1">
        <f>IFERROR(IF(SEARCH(A471,_xlfn.ARRAYTOTEXT('Bilateral assistance, MAIN DATA'!I$1:I$1408))&gt;0,1,""),0)</f>
        <v>1</v>
      </c>
      <c r="P471" s="46">
        <f>IFERROR(IF(SEARCH(A471,_xlfn.ARRAYTOTEXT('Commercial assistance'!I$1:I$1400))&gt;0,1,""),0)</f>
        <v>0</v>
      </c>
    </row>
    <row r="472" spans="1:16" ht="15" customHeight="1">
      <c r="A472" s="512" t="s">
        <v>1077</v>
      </c>
      <c r="B472" s="684" t="s">
        <v>228</v>
      </c>
      <c r="C472" s="685" t="s">
        <v>232</v>
      </c>
      <c r="D472" s="552">
        <v>0</v>
      </c>
      <c r="E472" s="552">
        <f t="shared" si="51"/>
        <v>0</v>
      </c>
      <c r="F472" s="452" t="s">
        <v>232</v>
      </c>
      <c r="G472" s="88" t="s">
        <v>232</v>
      </c>
      <c r="H472" s="692" t="s">
        <v>232</v>
      </c>
      <c r="I472" s="692" t="s">
        <v>232</v>
      </c>
      <c r="J472" s="424" t="s">
        <v>232</v>
      </c>
      <c r="K472" s="688">
        <f t="shared" si="50"/>
        <v>0</v>
      </c>
      <c r="L472" s="310">
        <f>SUMIFS('Bilateral assistance, MAIN DATA'!M:M,'Bilateral assistance, MAIN DATA'!I:I,'Price List, Weapons &amp; Items'!A472)</f>
        <v>200</v>
      </c>
      <c r="M472" s="46">
        <f>COUNTIFS('Bilateral assistance, MAIN DATA'!M:M,"undisclosed",'Bilateral assistance, MAIN DATA'!I:I,'Price List, Weapons &amp; Items'!A472)</f>
        <v>0</v>
      </c>
      <c r="N472" s="689" t="str">
        <f t="shared" si="49"/>
        <v>no price</v>
      </c>
      <c r="O472" s="1">
        <f>IFERROR(IF(SEARCH(A472,_xlfn.ARRAYTOTEXT('Bilateral assistance, MAIN DATA'!I$1:I$1408))&gt;0,1,""),0)</f>
        <v>1</v>
      </c>
      <c r="P472" s="46">
        <f>IFERROR(IF(SEARCH(A472,_xlfn.ARRAYTOTEXT('Commercial assistance'!I$1:I$1400))&gt;0,1,""),0)</f>
        <v>0</v>
      </c>
    </row>
    <row r="473" spans="1:16" ht="15" customHeight="1">
      <c r="A473" s="512" t="s">
        <v>1078</v>
      </c>
      <c r="B473" s="684" t="s">
        <v>228</v>
      </c>
      <c r="C473" s="685" t="s">
        <v>4093</v>
      </c>
      <c r="D473" s="552">
        <v>0</v>
      </c>
      <c r="E473" s="552">
        <f t="shared" si="51"/>
        <v>0</v>
      </c>
      <c r="F473" s="452" t="s">
        <v>232</v>
      </c>
      <c r="G473" s="88" t="s">
        <v>232</v>
      </c>
      <c r="H473" s="692" t="s">
        <v>232</v>
      </c>
      <c r="I473" s="692" t="s">
        <v>232</v>
      </c>
      <c r="J473" s="424" t="s">
        <v>232</v>
      </c>
      <c r="K473" s="688">
        <f t="shared" si="50"/>
        <v>0</v>
      </c>
      <c r="L473" s="310">
        <f>SUMIFS('Bilateral assistance, MAIN DATA'!M:M,'Bilateral assistance, MAIN DATA'!I:I,'Price List, Weapons &amp; Items'!A473)</f>
        <v>6</v>
      </c>
      <c r="M473" s="46">
        <f>COUNTIFS('Bilateral assistance, MAIN DATA'!M:M,"undisclosed",'Bilateral assistance, MAIN DATA'!I:I,'Price List, Weapons &amp; Items'!A473)</f>
        <v>0</v>
      </c>
      <c r="N473" s="689" t="str">
        <f t="shared" si="49"/>
        <v>no price</v>
      </c>
      <c r="O473" s="1">
        <f>IFERROR(IF(SEARCH(A473,_xlfn.ARRAYTOTEXT('Bilateral assistance, MAIN DATA'!I$1:I$1408))&gt;0,1,""),0)</f>
        <v>1</v>
      </c>
      <c r="P473" s="46">
        <f>IFERROR(IF(SEARCH(A473,_xlfn.ARRAYTOTEXT('Commercial assistance'!I$1:I$1400))&gt;0,1,""),0)</f>
        <v>0</v>
      </c>
    </row>
    <row r="474" spans="1:16" ht="15" customHeight="1">
      <c r="A474" s="424" t="s">
        <v>2339</v>
      </c>
      <c r="B474" s="684" t="s">
        <v>228</v>
      </c>
      <c r="C474" s="685" t="s">
        <v>232</v>
      </c>
      <c r="D474" s="552">
        <v>0</v>
      </c>
      <c r="E474" s="552">
        <f t="shared" si="51"/>
        <v>0</v>
      </c>
      <c r="F474" s="677" t="s">
        <v>232</v>
      </c>
      <c r="G474" s="88" t="s">
        <v>232</v>
      </c>
      <c r="H474" s="692" t="s">
        <v>232</v>
      </c>
      <c r="I474" s="692" t="s">
        <v>232</v>
      </c>
      <c r="J474" s="424" t="s">
        <v>232</v>
      </c>
      <c r="K474" s="688">
        <f t="shared" si="50"/>
        <v>0</v>
      </c>
      <c r="L474" s="310">
        <f>SUMIFS('Bilateral assistance, MAIN DATA'!M:M,'Bilateral assistance, MAIN DATA'!I:I,'Price List, Weapons &amp; Items'!A474)</f>
        <v>71</v>
      </c>
      <c r="M474" s="46">
        <f>COUNTIFS('Bilateral assistance, MAIN DATA'!M:M,"undisclosed",'Bilateral assistance, MAIN DATA'!I:I,'Price List, Weapons &amp; Items'!A474)</f>
        <v>0</v>
      </c>
      <c r="N474" s="689" t="str">
        <f t="shared" si="49"/>
        <v>no price</v>
      </c>
      <c r="O474" s="1">
        <f>IFERROR(IF(SEARCH(A474,_xlfn.ARRAYTOTEXT('Bilateral assistance, MAIN DATA'!I$1:I$1408))&gt;0,1,""),0)</f>
        <v>1</v>
      </c>
      <c r="P474" s="46">
        <f>IFERROR(IF(SEARCH(A474,_xlfn.ARRAYTOTEXT('Commercial assistance'!I$1:I$1400))&gt;0,1,""),0)</f>
        <v>0</v>
      </c>
    </row>
    <row r="475" spans="1:16" ht="15" customHeight="1">
      <c r="A475" s="512" t="s">
        <v>2340</v>
      </c>
      <c r="B475" s="684" t="s">
        <v>228</v>
      </c>
      <c r="C475" s="685" t="s">
        <v>232</v>
      </c>
      <c r="D475" s="686">
        <v>0</v>
      </c>
      <c r="E475" s="552">
        <f t="shared" si="51"/>
        <v>0</v>
      </c>
      <c r="F475" s="452">
        <v>11168</v>
      </c>
      <c r="G475" s="687" t="str">
        <f>IF(F475&lt;&gt;".","USD",".")</f>
        <v>USD</v>
      </c>
      <c r="H475" s="653" t="s">
        <v>3953</v>
      </c>
      <c r="I475" s="424" t="s">
        <v>3270</v>
      </c>
      <c r="J475" s="424" t="s">
        <v>4094</v>
      </c>
      <c r="K475" s="688">
        <f t="shared" si="50"/>
        <v>0</v>
      </c>
      <c r="L475" s="310">
        <f>SUMIFS('Bilateral assistance, MAIN DATA'!M:M,'Bilateral assistance, MAIN DATA'!I:I,'Price List, Weapons &amp; Items'!A475)</f>
        <v>10</v>
      </c>
      <c r="M475" s="46">
        <f>COUNTIFS('Bilateral assistance, MAIN DATA'!M:M,"undisclosed",'Bilateral assistance, MAIN DATA'!I:I,'Price List, Weapons &amp; Items'!A475)</f>
        <v>0</v>
      </c>
      <c r="N475" s="689">
        <f t="shared" si="49"/>
        <v>111680</v>
      </c>
      <c r="O475" s="1">
        <f>IFERROR(IF(SEARCH(A475,_xlfn.ARRAYTOTEXT('Bilateral assistance, MAIN DATA'!I$1:I$1408))&gt;0,1,""),0)</f>
        <v>1</v>
      </c>
      <c r="P475" s="46">
        <f>IFERROR(IF(SEARCH(A475,_xlfn.ARRAYTOTEXT('Commercial assistance'!I$1:I$1400))&gt;0,1,""),0)</f>
        <v>0</v>
      </c>
    </row>
    <row r="476" spans="1:16" ht="15" customHeight="1">
      <c r="A476" s="512" t="s">
        <v>2341</v>
      </c>
      <c r="B476" s="684" t="s">
        <v>228</v>
      </c>
      <c r="C476" s="685" t="s">
        <v>232</v>
      </c>
      <c r="D476" s="552">
        <v>0</v>
      </c>
      <c r="E476" s="552">
        <f t="shared" si="51"/>
        <v>0</v>
      </c>
      <c r="F476" s="677">
        <v>325</v>
      </c>
      <c r="G476" s="88" t="s">
        <v>314</v>
      </c>
      <c r="H476" s="652" t="s">
        <v>4095</v>
      </c>
      <c r="I476" s="692" t="s">
        <v>4096</v>
      </c>
      <c r="J476" s="692" t="s">
        <v>4097</v>
      </c>
      <c r="K476" s="688">
        <f t="shared" si="50"/>
        <v>0</v>
      </c>
      <c r="L476" s="310">
        <f>SUMIFS('Bilateral assistance, MAIN DATA'!M:M,'Bilateral assistance, MAIN DATA'!I:I,'Price List, Weapons &amp; Items'!A476)</f>
        <v>15</v>
      </c>
      <c r="M476" s="46">
        <f>COUNTIFS('Bilateral assistance, MAIN DATA'!M:M,"undisclosed",'Bilateral assistance, MAIN DATA'!I:I,'Price List, Weapons &amp; Items'!A476)</f>
        <v>0</v>
      </c>
      <c r="N476" s="689">
        <f t="shared" si="49"/>
        <v>4875</v>
      </c>
      <c r="O476" s="1">
        <f>IFERROR(IF(SEARCH(A476,_xlfn.ARRAYTOTEXT('Bilateral assistance, MAIN DATA'!I$1:I$1408))&gt;0,1,""),0)</f>
        <v>1</v>
      </c>
      <c r="P476" s="46">
        <f>IFERROR(IF(SEARCH(A476,_xlfn.ARRAYTOTEXT('Commercial assistance'!I$1:I$1400))&gt;0,1,""),0)</f>
        <v>0</v>
      </c>
    </row>
    <row r="477" spans="1:16" ht="15" customHeight="1">
      <c r="A477" s="512" t="s">
        <v>2342</v>
      </c>
      <c r="B477" s="684" t="s">
        <v>228</v>
      </c>
      <c r="C477" s="685" t="s">
        <v>232</v>
      </c>
      <c r="D477" s="552">
        <v>0</v>
      </c>
      <c r="E477" s="552">
        <f t="shared" si="51"/>
        <v>0</v>
      </c>
      <c r="F477" s="452" t="s">
        <v>232</v>
      </c>
      <c r="G477" s="88" t="s">
        <v>232</v>
      </c>
      <c r="H477" s="692" t="s">
        <v>232</v>
      </c>
      <c r="I477" s="692" t="s">
        <v>232</v>
      </c>
      <c r="J477" s="424" t="s">
        <v>232</v>
      </c>
      <c r="K477" s="688">
        <f t="shared" si="50"/>
        <v>0</v>
      </c>
      <c r="L477" s="310">
        <f>SUMIFS('Bilateral assistance, MAIN DATA'!M:M,'Bilateral assistance, MAIN DATA'!I:I,'Price List, Weapons &amp; Items'!A477)</f>
        <v>11</v>
      </c>
      <c r="M477" s="46">
        <f>COUNTIFS('Bilateral assistance, MAIN DATA'!M:M,"undisclosed",'Bilateral assistance, MAIN DATA'!I:I,'Price List, Weapons &amp; Items'!A477)</f>
        <v>0</v>
      </c>
      <c r="N477" s="689" t="str">
        <f t="shared" si="49"/>
        <v>no price</v>
      </c>
      <c r="O477" s="1">
        <f>IFERROR(IF(SEARCH(A477,_xlfn.ARRAYTOTEXT('Bilateral assistance, MAIN DATA'!I$1:I$1408))&gt;0,1,""),0)</f>
        <v>1</v>
      </c>
      <c r="P477" s="46">
        <f>IFERROR(IF(SEARCH(A477,_xlfn.ARRAYTOTEXT('Commercial assistance'!I$1:I$1400))&gt;0,1,""),0)</f>
        <v>0</v>
      </c>
    </row>
    <row r="478" spans="1:16" ht="15" customHeight="1">
      <c r="A478" s="424" t="s">
        <v>2679</v>
      </c>
      <c r="B478" s="684" t="s">
        <v>3239</v>
      </c>
      <c r="C478" s="685" t="s">
        <v>3359</v>
      </c>
      <c r="D478" s="686">
        <v>0</v>
      </c>
      <c r="E478" s="552">
        <f t="shared" si="51"/>
        <v>0</v>
      </c>
      <c r="F478" s="452" t="s">
        <v>232</v>
      </c>
      <c r="G478" s="687" t="str">
        <f>IF(F478&lt;&gt;".","USD",".")</f>
        <v>.</v>
      </c>
      <c r="H478" s="714" t="s">
        <v>232</v>
      </c>
      <c r="I478" s="424" t="str">
        <f>IF(H478&lt;&gt;".",".",".")</f>
        <v>.</v>
      </c>
      <c r="J478" s="424" t="s">
        <v>232</v>
      </c>
      <c r="K478" s="688">
        <f t="shared" si="50"/>
        <v>0</v>
      </c>
      <c r="L478" s="310">
        <f>SUMIFS('Bilateral assistance, MAIN DATA'!M:M,'Bilateral assistance, MAIN DATA'!I:I,'Price List, Weapons &amp; Items'!A478)</f>
        <v>20</v>
      </c>
      <c r="M478" s="46">
        <f>COUNTIFS('Bilateral assistance, MAIN DATA'!M:M,"undisclosed",'Bilateral assistance, MAIN DATA'!I:I,'Price List, Weapons &amp; Items'!A478)</f>
        <v>0</v>
      </c>
      <c r="N478" s="689" t="str">
        <f t="shared" si="49"/>
        <v>no price</v>
      </c>
      <c r="O478" s="1">
        <f>IFERROR(IF(SEARCH(A478,_xlfn.ARRAYTOTEXT('Bilateral assistance, MAIN DATA'!I$1:I$1408))&gt;0,1,""),0)</f>
        <v>1</v>
      </c>
      <c r="P478" s="46">
        <f>IFERROR(IF(SEARCH(A478,_xlfn.ARRAYTOTEXT('Commercial assistance'!I$1:I$1400))&gt;0,1,""),0)</f>
        <v>0</v>
      </c>
    </row>
    <row r="479" spans="1:16" ht="15" customHeight="1">
      <c r="A479" s="512" t="s">
        <v>2680</v>
      </c>
      <c r="B479" s="684" t="s">
        <v>3243</v>
      </c>
      <c r="C479" s="685" t="s">
        <v>3382</v>
      </c>
      <c r="D479" s="686">
        <v>0</v>
      </c>
      <c r="E479" s="552">
        <f t="shared" si="51"/>
        <v>0</v>
      </c>
      <c r="F479" s="452" t="s">
        <v>232</v>
      </c>
      <c r="G479" s="687" t="s">
        <v>232</v>
      </c>
      <c r="H479" s="652" t="s">
        <v>232</v>
      </c>
      <c r="I479" s="424" t="s">
        <v>232</v>
      </c>
      <c r="J479" s="424" t="s">
        <v>232</v>
      </c>
      <c r="K479" s="688">
        <f t="shared" si="50"/>
        <v>0</v>
      </c>
      <c r="L479" s="310">
        <f>SUMIFS('Bilateral assistance, MAIN DATA'!M:M,'Bilateral assistance, MAIN DATA'!I:I,'Price List, Weapons &amp; Items'!A479)</f>
        <v>95000</v>
      </c>
      <c r="M479" s="46">
        <f>COUNTIFS('Bilateral assistance, MAIN DATA'!M:M,"undisclosed",'Bilateral assistance, MAIN DATA'!I:I,'Price List, Weapons &amp; Items'!A479)</f>
        <v>1</v>
      </c>
      <c r="N479" s="689" t="str">
        <f t="shared" si="49"/>
        <v>no price</v>
      </c>
      <c r="O479" s="1">
        <f>IFERROR(IF(SEARCH(A479,_xlfn.ARRAYTOTEXT('Bilateral assistance, MAIN DATA'!I$1:I$1408))&gt;0,1,""),0)</f>
        <v>1</v>
      </c>
      <c r="P479" s="46">
        <f>IFERROR(IF(SEARCH(A479,_xlfn.ARRAYTOTEXT('Commercial assistance'!I$1:I$1400))&gt;0,1,""),0)</f>
        <v>0</v>
      </c>
    </row>
    <row r="480" spans="1:16" ht="15" customHeight="1">
      <c r="A480" s="424" t="s">
        <v>2682</v>
      </c>
      <c r="B480" s="684" t="s">
        <v>729</v>
      </c>
      <c r="C480" s="685" t="s">
        <v>232</v>
      </c>
      <c r="D480" s="552">
        <v>0</v>
      </c>
      <c r="E480" s="552">
        <f t="shared" si="51"/>
        <v>0</v>
      </c>
      <c r="F480" s="452" t="s">
        <v>232</v>
      </c>
      <c r="G480" s="88" t="s">
        <v>232</v>
      </c>
      <c r="H480" s="692" t="s">
        <v>232</v>
      </c>
      <c r="I480" s="692" t="s">
        <v>232</v>
      </c>
      <c r="J480" s="424" t="s">
        <v>232</v>
      </c>
      <c r="K480" s="688">
        <f t="shared" si="50"/>
        <v>0</v>
      </c>
      <c r="L480" s="310">
        <f>SUMIFS('Bilateral assistance, MAIN DATA'!M:M,'Bilateral assistance, MAIN DATA'!I:I,'Price List, Weapons &amp; Items'!A480)</f>
        <v>100</v>
      </c>
      <c r="M480" s="46">
        <f>COUNTIFS('Bilateral assistance, MAIN DATA'!M:M,"undisclosed",'Bilateral assistance, MAIN DATA'!I:I,'Price List, Weapons &amp; Items'!A480)</f>
        <v>0</v>
      </c>
      <c r="N480" s="689" t="str">
        <f t="shared" si="49"/>
        <v>no price</v>
      </c>
      <c r="O480" s="1">
        <f>IFERROR(IF(SEARCH(A480,_xlfn.ARRAYTOTEXT('Bilateral assistance, MAIN DATA'!I$1:I$1408))&gt;0,1,""),0)</f>
        <v>1</v>
      </c>
      <c r="P480" s="46">
        <f>IFERROR(IF(SEARCH(A480,_xlfn.ARRAYTOTEXT('Commercial assistance'!I$1:I$1400))&gt;0,1,""),0)</f>
        <v>0</v>
      </c>
    </row>
    <row r="481" spans="1:16" ht="15" customHeight="1">
      <c r="A481" s="46" t="s">
        <v>2704</v>
      </c>
      <c r="B481" s="684" t="s">
        <v>3243</v>
      </c>
      <c r="C481" s="685" t="s">
        <v>3244</v>
      </c>
      <c r="D481" s="686">
        <v>0</v>
      </c>
      <c r="E481" s="552">
        <f t="shared" si="51"/>
        <v>0</v>
      </c>
      <c r="F481" s="452" t="s">
        <v>232</v>
      </c>
      <c r="G481" s="687" t="str">
        <f>IF(F481&lt;&gt;".","USD",".")</f>
        <v>.</v>
      </c>
      <c r="H481" s="692" t="s">
        <v>232</v>
      </c>
      <c r="I481" s="692" t="s">
        <v>232</v>
      </c>
      <c r="J481" s="424" t="s">
        <v>232</v>
      </c>
      <c r="K481" s="688">
        <f t="shared" si="50"/>
        <v>0</v>
      </c>
      <c r="L481" s="310">
        <f>SUMIFS('Bilateral assistance, MAIN DATA'!M:M,'Bilateral assistance, MAIN DATA'!I:I,'Price List, Weapons &amp; Items'!A481)</f>
        <v>15000000</v>
      </c>
      <c r="M481" s="46">
        <f>COUNTIFS('Bilateral assistance, MAIN DATA'!M:M,"undisclosed",'Bilateral assistance, MAIN DATA'!I:I,'Price List, Weapons &amp; Items'!A481)</f>
        <v>0</v>
      </c>
      <c r="N481" s="689" t="str">
        <f t="shared" si="49"/>
        <v>no price</v>
      </c>
      <c r="O481" s="1">
        <f>IFERROR(IF(SEARCH(A481,_xlfn.ARRAYTOTEXT('Bilateral assistance, MAIN DATA'!I$1:I$1408))&gt;0,1,""),0)</f>
        <v>1</v>
      </c>
      <c r="P481" s="46">
        <f>IFERROR(IF(SEARCH(A481,_xlfn.ARRAYTOTEXT('Commercial assistance'!I$1:I$1400))&gt;0,1,""),0)</f>
        <v>0</v>
      </c>
    </row>
    <row r="482" spans="1:16" ht="15" customHeight="1">
      <c r="A482" s="424" t="s">
        <v>2705</v>
      </c>
      <c r="B482" s="684" t="s">
        <v>3235</v>
      </c>
      <c r="C482" s="685" t="s">
        <v>3236</v>
      </c>
      <c r="D482" s="552">
        <v>0</v>
      </c>
      <c r="E482" s="552">
        <f t="shared" si="51"/>
        <v>1</v>
      </c>
      <c r="F482" s="452" t="s">
        <v>232</v>
      </c>
      <c r="G482" s="88" t="s">
        <v>232</v>
      </c>
      <c r="H482" s="692" t="s">
        <v>232</v>
      </c>
      <c r="I482" s="692" t="s">
        <v>232</v>
      </c>
      <c r="J482" s="424" t="s">
        <v>232</v>
      </c>
      <c r="K482" s="688">
        <f t="shared" si="50"/>
        <v>0</v>
      </c>
      <c r="L482" s="310">
        <f>SUMIFS('Bilateral assistance, MAIN DATA'!M:M,'Bilateral assistance, MAIN DATA'!I:I,'Price List, Weapons &amp; Items'!A482)</f>
        <v>1000</v>
      </c>
      <c r="M482" s="46">
        <f>COUNTIFS('Bilateral assistance, MAIN DATA'!M:M,"undisclosed",'Bilateral assistance, MAIN DATA'!I:I,'Price List, Weapons &amp; Items'!A482)</f>
        <v>0</v>
      </c>
      <c r="N482" s="689" t="str">
        <f t="shared" si="49"/>
        <v>no price</v>
      </c>
      <c r="O482" s="1">
        <f>IFERROR(IF(SEARCH(A482,_xlfn.ARRAYTOTEXT('Bilateral assistance, MAIN DATA'!I$1:I$1408))&gt;0,1,""),0)</f>
        <v>1</v>
      </c>
      <c r="P482" s="46">
        <f>IFERROR(IF(SEARCH(A482,_xlfn.ARRAYTOTEXT('Commercial assistance'!I$1:I$1400))&gt;0,1,""),0)</f>
        <v>0</v>
      </c>
    </row>
    <row r="483" spans="1:16" ht="15" customHeight="1">
      <c r="A483" s="699" t="s">
        <v>2682</v>
      </c>
      <c r="B483" s="684" t="s">
        <v>729</v>
      </c>
      <c r="C483" s="685" t="s">
        <v>232</v>
      </c>
      <c r="D483" s="552">
        <v>0</v>
      </c>
      <c r="E483" s="552">
        <f t="shared" si="51"/>
        <v>0</v>
      </c>
      <c r="F483" s="452" t="s">
        <v>232</v>
      </c>
      <c r="G483" s="88" t="s">
        <v>314</v>
      </c>
      <c r="H483" s="692" t="s">
        <v>232</v>
      </c>
      <c r="I483" s="692" t="s">
        <v>232</v>
      </c>
      <c r="J483" s="424" t="s">
        <v>232</v>
      </c>
      <c r="K483" s="688">
        <f t="shared" si="50"/>
        <v>0</v>
      </c>
      <c r="L483" s="310">
        <f>SUMIFS('Bilateral assistance, MAIN DATA'!M:M,'Bilateral assistance, MAIN DATA'!I:I,'Price List, Weapons &amp; Items'!A483)</f>
        <v>100</v>
      </c>
      <c r="M483" s="46">
        <f>COUNTIFS('Bilateral assistance, MAIN DATA'!M:M,"undisclosed",'Bilateral assistance, MAIN DATA'!I:I,'Price List, Weapons &amp; Items'!A483)</f>
        <v>0</v>
      </c>
      <c r="N483" s="689" t="str">
        <f t="shared" si="49"/>
        <v>no price</v>
      </c>
      <c r="O483" s="1">
        <f>IFERROR(IF(SEARCH(A483,_xlfn.ARRAYTOTEXT('Bilateral assistance, MAIN DATA'!I$1:I$1408))&gt;0,1,""),0)</f>
        <v>1</v>
      </c>
      <c r="P483" s="46">
        <f>IFERROR(IF(SEARCH(A483,_xlfn.ARRAYTOTEXT('Commercial assistance'!I$1:I$1400))&gt;0,1,""),0)</f>
        <v>0</v>
      </c>
    </row>
    <row r="484" spans="1:16" ht="15" customHeight="1">
      <c r="A484" s="46" t="s">
        <v>2713</v>
      </c>
      <c r="B484" s="684" t="s">
        <v>3243</v>
      </c>
      <c r="C484" s="685" t="s">
        <v>3244</v>
      </c>
      <c r="D484" s="686">
        <v>0</v>
      </c>
      <c r="E484" s="552">
        <f t="shared" si="51"/>
        <v>0</v>
      </c>
      <c r="F484" s="452" t="s">
        <v>232</v>
      </c>
      <c r="G484" s="687" t="str">
        <f>IF(F484&lt;&gt;".","USD",".")</f>
        <v>.</v>
      </c>
      <c r="H484" s="692" t="s">
        <v>232</v>
      </c>
      <c r="I484" s="692" t="s">
        <v>232</v>
      </c>
      <c r="J484" s="424" t="s">
        <v>232</v>
      </c>
      <c r="K484" s="688">
        <f t="shared" si="50"/>
        <v>0</v>
      </c>
      <c r="L484" s="310">
        <f>SUMIFS('Bilateral assistance, MAIN DATA'!M:M,'Bilateral assistance, MAIN DATA'!I:I,'Price List, Weapons &amp; Items'!A484)</f>
        <v>30750000</v>
      </c>
      <c r="M484" s="46">
        <f>COUNTIFS('Bilateral assistance, MAIN DATA'!M:M,"undisclosed",'Bilateral assistance, MAIN DATA'!I:I,'Price List, Weapons &amp; Items'!A484)</f>
        <v>0</v>
      </c>
      <c r="N484" s="689" t="str">
        <f t="shared" si="49"/>
        <v>no price</v>
      </c>
      <c r="O484" s="1">
        <f>IFERROR(IF(SEARCH(A484,_xlfn.ARRAYTOTEXT('Bilateral assistance, MAIN DATA'!I$1:I$1408))&gt;0,1,""),0)</f>
        <v>1</v>
      </c>
      <c r="P484" s="46">
        <f>IFERROR(IF(SEARCH(A484,_xlfn.ARRAYTOTEXT('Commercial assistance'!I$1:I$1400))&gt;0,1,""),0)</f>
        <v>0</v>
      </c>
    </row>
    <row r="485" spans="1:16" ht="15" customHeight="1">
      <c r="A485" s="46" t="s">
        <v>2710</v>
      </c>
      <c r="B485" s="684" t="s">
        <v>418</v>
      </c>
      <c r="C485" s="685" t="s">
        <v>232</v>
      </c>
      <c r="D485" s="552">
        <v>0</v>
      </c>
      <c r="E485" s="552">
        <f t="shared" si="51"/>
        <v>0</v>
      </c>
      <c r="F485" s="452" t="s">
        <v>232</v>
      </c>
      <c r="G485" s="88" t="s">
        <v>232</v>
      </c>
      <c r="H485" s="692" t="s">
        <v>232</v>
      </c>
      <c r="I485" s="692" t="s">
        <v>232</v>
      </c>
      <c r="J485" s="424" t="s">
        <v>232</v>
      </c>
      <c r="K485" s="688">
        <f t="shared" si="50"/>
        <v>0</v>
      </c>
      <c r="L485" s="310">
        <f>SUMIFS('Bilateral assistance, MAIN DATA'!M:M,'Bilateral assistance, MAIN DATA'!I:I,'Price List, Weapons &amp; Items'!A485)</f>
        <v>1000</v>
      </c>
      <c r="M485" s="46">
        <f>COUNTIFS('Bilateral assistance, MAIN DATA'!M:M,"undisclosed",'Bilateral assistance, MAIN DATA'!I:I,'Price List, Weapons &amp; Items'!A485)</f>
        <v>0</v>
      </c>
      <c r="N485" s="689" t="str">
        <f t="shared" si="49"/>
        <v>no price</v>
      </c>
      <c r="O485" s="1">
        <f>IFERROR(IF(SEARCH(A485,_xlfn.ARRAYTOTEXT('Bilateral assistance, MAIN DATA'!I$1:I$1408))&gt;0,1,""),0)</f>
        <v>1</v>
      </c>
      <c r="P485" s="46">
        <f>IFERROR(IF(SEARCH(A485,_xlfn.ARRAYTOTEXT('Commercial assistance'!I$1:I$1400))&gt;0,1,""),0)</f>
        <v>0</v>
      </c>
    </row>
    <row r="486" spans="1:16" ht="15" customHeight="1">
      <c r="A486" s="46" t="s">
        <v>2765</v>
      </c>
      <c r="B486" s="684" t="s">
        <v>729</v>
      </c>
      <c r="C486" s="685" t="s">
        <v>232</v>
      </c>
      <c r="D486" s="552">
        <v>0</v>
      </c>
      <c r="E486" s="552">
        <f t="shared" si="51"/>
        <v>0</v>
      </c>
      <c r="F486" s="452" t="s">
        <v>232</v>
      </c>
      <c r="G486" s="88" t="s">
        <v>232</v>
      </c>
      <c r="H486" s="696" t="s">
        <v>232</v>
      </c>
      <c r="I486" s="692" t="s">
        <v>232</v>
      </c>
      <c r="J486" s="424" t="s">
        <v>232</v>
      </c>
      <c r="K486" s="688">
        <f t="shared" si="50"/>
        <v>0</v>
      </c>
      <c r="L486" s="310">
        <f>SUMIFS('Bilateral assistance, MAIN DATA'!M:M,'Bilateral assistance, MAIN DATA'!I:I,'Price List, Weapons &amp; Items'!A486)</f>
        <v>2</v>
      </c>
      <c r="M486" s="46">
        <f>COUNTIFS('Bilateral assistance, MAIN DATA'!M:M,"undisclosed",'Bilateral assistance, MAIN DATA'!I:I,'Price List, Weapons &amp; Items'!A486)</f>
        <v>0</v>
      </c>
      <c r="N486" s="689" t="str">
        <f t="shared" si="49"/>
        <v>no price</v>
      </c>
      <c r="O486" s="1">
        <f>IFERROR(IF(SEARCH(A486,_xlfn.ARRAYTOTEXT('Bilateral assistance, MAIN DATA'!I$1:I$1408))&gt;0,1,""),0)</f>
        <v>1</v>
      </c>
      <c r="P486" s="46">
        <f>IFERROR(IF(SEARCH(A486,_xlfn.ARRAYTOTEXT('Commercial assistance'!I$1:I$1400))&gt;0,1,""),0)</f>
        <v>0</v>
      </c>
    </row>
    <row r="487" spans="1:16" ht="15" customHeight="1">
      <c r="A487" s="512" t="s">
        <v>342</v>
      </c>
      <c r="B487" s="684" t="s">
        <v>228</v>
      </c>
      <c r="C487" s="685" t="s">
        <v>232</v>
      </c>
      <c r="D487" s="552">
        <v>0</v>
      </c>
      <c r="E487" s="552">
        <f t="shared" si="51"/>
        <v>0</v>
      </c>
      <c r="F487" s="452">
        <v>300000</v>
      </c>
      <c r="G487" s="88" t="s">
        <v>314</v>
      </c>
      <c r="H487" s="652" t="s">
        <v>4098</v>
      </c>
      <c r="I487" s="699" t="s">
        <v>3266</v>
      </c>
      <c r="J487" s="424" t="s">
        <v>4099</v>
      </c>
      <c r="K487" s="688">
        <f t="shared" si="50"/>
        <v>0</v>
      </c>
      <c r="L487" s="310">
        <f>SUMIFS('Bilateral assistance, MAIN DATA'!M:M,'Bilateral assistance, MAIN DATA'!I:I,'Price List, Weapons &amp; Items'!A487)</f>
        <v>1</v>
      </c>
      <c r="M487" s="46">
        <f>COUNTIFS('Bilateral assistance, MAIN DATA'!M:M,"undisclosed",'Bilateral assistance, MAIN DATA'!I:I,'Price List, Weapons &amp; Items'!A487)</f>
        <v>0</v>
      </c>
      <c r="N487" s="689">
        <f t="shared" si="49"/>
        <v>300000</v>
      </c>
      <c r="O487" s="1">
        <f>IFERROR(IF(SEARCH(A487,_xlfn.ARRAYTOTEXT('Bilateral assistance, MAIN DATA'!I$1:I$1408))&gt;0,1,""),0)</f>
        <v>1</v>
      </c>
      <c r="P487" s="46">
        <f>IFERROR(IF(SEARCH(A487,_xlfn.ARRAYTOTEXT('Commercial assistance'!I$1:I$1400))&gt;0,1,""),0)</f>
        <v>0</v>
      </c>
    </row>
    <row r="488" spans="1:16" ht="15" customHeight="1">
      <c r="A488" s="512" t="s">
        <v>422</v>
      </c>
      <c r="B488" s="684" t="s">
        <v>228</v>
      </c>
      <c r="C488" s="685" t="s">
        <v>232</v>
      </c>
      <c r="D488" s="686">
        <v>0</v>
      </c>
      <c r="E488" s="552">
        <f t="shared" si="51"/>
        <v>0</v>
      </c>
      <c r="F488" s="452">
        <v>220000</v>
      </c>
      <c r="G488" s="687" t="str">
        <f>IF(F488&lt;&gt;".","USD",".")</f>
        <v>USD</v>
      </c>
      <c r="H488" s="658" t="s">
        <v>4100</v>
      </c>
      <c r="I488" s="424" t="s">
        <v>3270</v>
      </c>
      <c r="J488" s="424" t="s">
        <v>4101</v>
      </c>
      <c r="K488" s="688">
        <f t="shared" si="50"/>
        <v>0</v>
      </c>
      <c r="L488" s="310">
        <f>SUMIFS('Bilateral assistance, MAIN DATA'!M:M,'Bilateral assistance, MAIN DATA'!I:I,'Price List, Weapons &amp; Items'!A488)</f>
        <v>36</v>
      </c>
      <c r="M488" s="46">
        <f>COUNTIFS('Bilateral assistance, MAIN DATA'!M:M,"undisclosed",'Bilateral assistance, MAIN DATA'!I:I,'Price List, Weapons &amp; Items'!A488)</f>
        <v>0</v>
      </c>
      <c r="N488" s="689">
        <f t="shared" si="49"/>
        <v>7920000</v>
      </c>
      <c r="O488" s="1">
        <f>IFERROR(IF(SEARCH(A488,_xlfn.ARRAYTOTEXT('Bilateral assistance, MAIN DATA'!I$1:I$1408))&gt;0,1,""),0)</f>
        <v>1</v>
      </c>
      <c r="P488" s="46">
        <f>IFERROR(IF(SEARCH(A488,_xlfn.ARRAYTOTEXT('Commercial assistance'!I$1:I$1400))&gt;0,1,""),0)</f>
        <v>0</v>
      </c>
    </row>
    <row r="489" spans="1:16" ht="15" customHeight="1">
      <c r="A489" s="424" t="s">
        <v>423</v>
      </c>
      <c r="B489" s="684" t="s">
        <v>228</v>
      </c>
      <c r="C489" s="685" t="s">
        <v>232</v>
      </c>
      <c r="D489" s="552">
        <v>0</v>
      </c>
      <c r="E489" s="552">
        <f t="shared" si="51"/>
        <v>0</v>
      </c>
      <c r="F489" s="452" t="s">
        <v>232</v>
      </c>
      <c r="G489" s="88" t="s">
        <v>232</v>
      </c>
      <c r="H489" s="692" t="s">
        <v>232</v>
      </c>
      <c r="I489" s="692" t="s">
        <v>232</v>
      </c>
      <c r="J489" s="424" t="s">
        <v>232</v>
      </c>
      <c r="K489" s="688">
        <f t="shared" si="50"/>
        <v>0</v>
      </c>
      <c r="L489" s="310">
        <f>SUMIFS('Bilateral assistance, MAIN DATA'!M:M,'Bilateral assistance, MAIN DATA'!I:I,'Price List, Weapons &amp; Items'!A489)</f>
        <v>1</v>
      </c>
      <c r="M489" s="46">
        <f>COUNTIFS('Bilateral assistance, MAIN DATA'!M:M,"undisclosed",'Bilateral assistance, MAIN DATA'!I:I,'Price List, Weapons &amp; Items'!A489)</f>
        <v>0</v>
      </c>
      <c r="N489" s="689" t="str">
        <f t="shared" si="49"/>
        <v>no price</v>
      </c>
      <c r="O489" s="1">
        <f>IFERROR(IF(SEARCH(A489,_xlfn.ARRAYTOTEXT('Bilateral assistance, MAIN DATA'!I$1:I$1408))&gt;0,1,""),0)</f>
        <v>1</v>
      </c>
      <c r="P489" s="46">
        <f>IFERROR(IF(SEARCH(A489,_xlfn.ARRAYTOTEXT('Commercial assistance'!I$1:I$1400))&gt;0,1,""),0)</f>
        <v>0</v>
      </c>
    </row>
    <row r="490" spans="1:16" ht="15" customHeight="1">
      <c r="A490" s="46" t="s">
        <v>1081</v>
      </c>
      <c r="B490" s="684" t="s">
        <v>228</v>
      </c>
      <c r="C490" s="685" t="s">
        <v>232</v>
      </c>
      <c r="D490" s="552">
        <v>0</v>
      </c>
      <c r="E490" s="552">
        <f t="shared" si="51"/>
        <v>0</v>
      </c>
      <c r="F490" s="452" t="s">
        <v>232</v>
      </c>
      <c r="G490" s="88" t="s">
        <v>232</v>
      </c>
      <c r="H490" s="692" t="s">
        <v>232</v>
      </c>
      <c r="I490" s="692" t="s">
        <v>232</v>
      </c>
      <c r="J490" s="424" t="s">
        <v>232</v>
      </c>
      <c r="K490" s="688">
        <f t="shared" si="50"/>
        <v>0</v>
      </c>
      <c r="L490" s="310">
        <f>SUMIFS('Bilateral assistance, MAIN DATA'!M:M,'Bilateral assistance, MAIN DATA'!I:I,'Price List, Weapons &amp; Items'!A490)</f>
        <v>25</v>
      </c>
      <c r="M490" s="46">
        <f>COUNTIFS('Bilateral assistance, MAIN DATA'!M:M,"undisclosed",'Bilateral assistance, MAIN DATA'!I:I,'Price List, Weapons &amp; Items'!A490)</f>
        <v>0</v>
      </c>
      <c r="N490" s="689" t="str">
        <f t="shared" si="49"/>
        <v>no price</v>
      </c>
      <c r="O490" s="1">
        <f>IFERROR(IF(SEARCH(A490,_xlfn.ARRAYTOTEXT('Bilateral assistance, MAIN DATA'!I$1:I$1408))&gt;0,1,""),0)</f>
        <v>1</v>
      </c>
      <c r="P490" s="46">
        <f>IFERROR(IF(SEARCH(A490,_xlfn.ARRAYTOTEXT('Commercial assistance'!I$1:I$1400))&gt;0,1,""),0)</f>
        <v>0</v>
      </c>
    </row>
    <row r="491" spans="1:16" ht="15" customHeight="1">
      <c r="A491" s="512" t="s">
        <v>1079</v>
      </c>
      <c r="B491" s="684" t="s">
        <v>228</v>
      </c>
      <c r="C491" s="685" t="s">
        <v>232</v>
      </c>
      <c r="D491" s="552">
        <v>0</v>
      </c>
      <c r="E491" s="552">
        <f t="shared" si="51"/>
        <v>0</v>
      </c>
      <c r="F491" s="452" t="s">
        <v>232</v>
      </c>
      <c r="G491" s="88" t="s">
        <v>232</v>
      </c>
      <c r="H491" s="692" t="s">
        <v>232</v>
      </c>
      <c r="I491" s="692" t="s">
        <v>232</v>
      </c>
      <c r="J491" s="424" t="s">
        <v>232</v>
      </c>
      <c r="K491" s="688">
        <f t="shared" si="50"/>
        <v>0</v>
      </c>
      <c r="L491" s="310">
        <f>SUMIFS('Bilateral assistance, MAIN DATA'!M:M,'Bilateral assistance, MAIN DATA'!I:I,'Price List, Weapons &amp; Items'!A491)</f>
        <v>0</v>
      </c>
      <c r="M491" s="46">
        <f>COUNTIFS('Bilateral assistance, MAIN DATA'!M:M,"undisclosed",'Bilateral assistance, MAIN DATA'!I:I,'Price List, Weapons &amp; Items'!A491)</f>
        <v>0</v>
      </c>
      <c r="N491" s="689" t="str">
        <f t="shared" si="49"/>
        <v>no price</v>
      </c>
      <c r="O491" s="1">
        <f>IFERROR(IF(SEARCH(A491,_xlfn.ARRAYTOTEXT('Bilateral assistance, MAIN DATA'!I$1:I$1408))&gt;0,1,""),0)</f>
        <v>1</v>
      </c>
      <c r="P491" s="46">
        <f>IFERROR(IF(SEARCH(A491,_xlfn.ARRAYTOTEXT('Commercial assistance'!I$1:I$1400))&gt;0,1,""),0)</f>
        <v>0</v>
      </c>
    </row>
    <row r="492" spans="1:16" ht="15" customHeight="1">
      <c r="A492" s="512" t="s">
        <v>1080</v>
      </c>
      <c r="B492" s="684" t="s">
        <v>228</v>
      </c>
      <c r="C492" s="685" t="s">
        <v>4093</v>
      </c>
      <c r="D492" s="552">
        <v>0</v>
      </c>
      <c r="E492" s="552">
        <f t="shared" si="51"/>
        <v>0</v>
      </c>
      <c r="F492" s="452">
        <v>25</v>
      </c>
      <c r="G492" s="88" t="s">
        <v>314</v>
      </c>
      <c r="H492" s="652" t="s">
        <v>4102</v>
      </c>
      <c r="I492" s="692" t="s">
        <v>4096</v>
      </c>
      <c r="J492" s="424" t="s">
        <v>4103</v>
      </c>
      <c r="K492" s="688">
        <f t="shared" si="50"/>
        <v>0</v>
      </c>
      <c r="L492" s="310">
        <f>SUMIFS('Bilateral assistance, MAIN DATA'!M:M,'Bilateral assistance, MAIN DATA'!I:I,'Price List, Weapons &amp; Items'!A492)</f>
        <v>0</v>
      </c>
      <c r="M492" s="46">
        <f>COUNTIFS('Bilateral assistance, MAIN DATA'!M:M,"undisclosed",'Bilateral assistance, MAIN DATA'!I:I,'Price List, Weapons &amp; Items'!A492)</f>
        <v>0</v>
      </c>
      <c r="N492" s="689">
        <f t="shared" si="49"/>
        <v>0</v>
      </c>
      <c r="O492" s="1">
        <f>IFERROR(IF(SEARCH(A492,_xlfn.ARRAYTOTEXT('Bilateral assistance, MAIN DATA'!I$1:I$1408))&gt;0,1,""),0)</f>
        <v>1</v>
      </c>
      <c r="P492" s="46">
        <f>IFERROR(IF(SEARCH(A492,_xlfn.ARRAYTOTEXT('Commercial assistance'!I$1:I$1400))&gt;0,1,""),0)</f>
        <v>0</v>
      </c>
    </row>
    <row r="493" spans="1:16" ht="15" customHeight="1">
      <c r="A493" s="424" t="s">
        <v>902</v>
      </c>
      <c r="B493" s="684" t="s">
        <v>228</v>
      </c>
      <c r="C493" s="685" t="s">
        <v>232</v>
      </c>
      <c r="D493" s="552">
        <v>0</v>
      </c>
      <c r="E493" s="552">
        <f t="shared" si="51"/>
        <v>0</v>
      </c>
      <c r="F493" s="452">
        <f>74400*1.1175</f>
        <v>83142</v>
      </c>
      <c r="G493" s="88" t="s">
        <v>314</v>
      </c>
      <c r="H493" s="652" t="s">
        <v>4104</v>
      </c>
      <c r="I493" s="692" t="s">
        <v>4096</v>
      </c>
      <c r="J493" s="424" t="s">
        <v>4105</v>
      </c>
      <c r="K493" s="688">
        <f t="shared" si="50"/>
        <v>0</v>
      </c>
      <c r="L493" s="310">
        <f>SUMIFS('Bilateral assistance, MAIN DATA'!M:M,'Bilateral assistance, MAIN DATA'!I:I,'Price List, Weapons &amp; Items'!A493)</f>
        <v>17</v>
      </c>
      <c r="M493" s="46">
        <f>COUNTIFS('Bilateral assistance, MAIN DATA'!M:M,"undisclosed",'Bilateral assistance, MAIN DATA'!I:I,'Price List, Weapons &amp; Items'!A493)</f>
        <v>0</v>
      </c>
      <c r="N493" s="689">
        <f t="shared" si="49"/>
        <v>1413414</v>
      </c>
      <c r="O493" s="1">
        <f>IFERROR(IF(SEARCH(A493,_xlfn.ARRAYTOTEXT('Bilateral assistance, MAIN DATA'!I$1:I$1408))&gt;0,1,""),0)</f>
        <v>1</v>
      </c>
      <c r="P493" s="46">
        <f>IFERROR(IF(SEARCH(A493,_xlfn.ARRAYTOTEXT('Commercial assistance'!I$1:I$1400))&gt;0,1,""),0)</f>
        <v>0</v>
      </c>
    </row>
    <row r="494" spans="1:16" ht="15" customHeight="1">
      <c r="A494" s="512" t="s">
        <v>913</v>
      </c>
      <c r="B494" s="684" t="s">
        <v>228</v>
      </c>
      <c r="C494" s="685" t="s">
        <v>232</v>
      </c>
      <c r="D494" s="552">
        <v>0</v>
      </c>
      <c r="E494" s="552">
        <f t="shared" si="51"/>
        <v>0</v>
      </c>
      <c r="F494" s="452" t="s">
        <v>232</v>
      </c>
      <c r="G494" s="88" t="s">
        <v>232</v>
      </c>
      <c r="H494" s="692" t="s">
        <v>232</v>
      </c>
      <c r="I494" s="692" t="s">
        <v>232</v>
      </c>
      <c r="J494" s="424" t="s">
        <v>232</v>
      </c>
      <c r="K494" s="688">
        <f t="shared" si="50"/>
        <v>0</v>
      </c>
      <c r="L494" s="310">
        <f>SUMIFS('Bilateral assistance, MAIN DATA'!M:M,'Bilateral assistance, MAIN DATA'!I:I,'Price List, Weapons &amp; Items'!A494)</f>
        <v>0</v>
      </c>
      <c r="M494" s="46">
        <f>COUNTIFS('Bilateral assistance, MAIN DATA'!M:M,"undisclosed",'Bilateral assistance, MAIN DATA'!I:I,'Price List, Weapons &amp; Items'!A494)</f>
        <v>0</v>
      </c>
      <c r="N494" s="689" t="str">
        <f t="shared" si="49"/>
        <v>no price</v>
      </c>
      <c r="O494" s="1">
        <f>IFERROR(IF(SEARCH(A494,_xlfn.ARRAYTOTEXT('Bilateral assistance, MAIN DATA'!I$1:I$1408))&gt;0,1,""),0)</f>
        <v>1</v>
      </c>
      <c r="P494" s="46">
        <f>IFERROR(IF(SEARCH(A494,_xlfn.ARRAYTOTEXT('Commercial assistance'!I$1:I$1400))&gt;0,1,""),0)</f>
        <v>0</v>
      </c>
    </row>
    <row r="495" spans="1:16" ht="15" customHeight="1">
      <c r="A495" s="512" t="s">
        <v>1481</v>
      </c>
      <c r="B495" s="684" t="s">
        <v>228</v>
      </c>
      <c r="C495" s="685" t="s">
        <v>232</v>
      </c>
      <c r="D495" s="552">
        <v>0</v>
      </c>
      <c r="E495" s="552">
        <f t="shared" si="51"/>
        <v>0</v>
      </c>
      <c r="F495" s="452" t="s">
        <v>232</v>
      </c>
      <c r="G495" s="88" t="s">
        <v>232</v>
      </c>
      <c r="H495" s="692" t="s">
        <v>232</v>
      </c>
      <c r="I495" s="692" t="s">
        <v>232</v>
      </c>
      <c r="J495" s="424" t="s">
        <v>232</v>
      </c>
      <c r="K495" s="688">
        <f t="shared" si="50"/>
        <v>0</v>
      </c>
      <c r="L495" s="310">
        <f>SUMIFS('Bilateral assistance, MAIN DATA'!M:M,'Bilateral assistance, MAIN DATA'!I:I,'Price List, Weapons &amp; Items'!A495)</f>
        <v>0</v>
      </c>
      <c r="M495" s="46">
        <f>COUNTIFS('Bilateral assistance, MAIN DATA'!M:M,"undisclosed",'Bilateral assistance, MAIN DATA'!I:I,'Price List, Weapons &amp; Items'!A495)</f>
        <v>1</v>
      </c>
      <c r="N495" s="689" t="str">
        <f t="shared" si="49"/>
        <v>no price</v>
      </c>
      <c r="O495" s="1">
        <f>IFERROR(IF(SEARCH(A495,_xlfn.ARRAYTOTEXT('Bilateral assistance, MAIN DATA'!I$1:I$1408))&gt;0,1,""),0)</f>
        <v>1</v>
      </c>
      <c r="P495" s="46">
        <f>IFERROR(IF(SEARCH(A495,_xlfn.ARRAYTOTEXT('Commercial assistance'!I$1:I$1400))&gt;0,1,""),0)</f>
        <v>0</v>
      </c>
    </row>
    <row r="496" spans="1:16" ht="15" customHeight="1">
      <c r="A496" s="41" t="s">
        <v>1082</v>
      </c>
      <c r="B496" s="684" t="s">
        <v>228</v>
      </c>
      <c r="C496" s="685" t="s">
        <v>232</v>
      </c>
      <c r="D496" s="552">
        <v>0</v>
      </c>
      <c r="E496" s="552">
        <f t="shared" ref="E496:E516" si="52">IF(OR(C496="Armoured Personnel Carrier (APC)",C496="Armoured Recovery Vehicle (ARV)",C496="Armoured Utility Vehicle (AUV)",C496="152mm howitzer ammunition",C496="155mm howitzer ammunition",C496="300mm MLRS ammunition",C496="155mm howitzer",C496="227mm MLRS ammunition",C496="Infantry fighting vehicle (IFV)",C496="152mm howitzer",C496="227mm MLRS",C496="Main Battle Tank (MBT)",C496="Protected Patrol Vehicle (PPV)",C496="127mm MLRS",C496="122mm MLRS",C496="122mm MLRS ammunition",C496="122mm MLRS",C496="127mm MLRS",C496="127mm MLRS ammunition")=TRUE,1,0)</f>
        <v>0</v>
      </c>
      <c r="F496" s="452" t="s">
        <v>232</v>
      </c>
      <c r="G496" s="88" t="s">
        <v>314</v>
      </c>
      <c r="H496" s="652" t="s">
        <v>232</v>
      </c>
      <c r="I496" s="692" t="s">
        <v>232</v>
      </c>
      <c r="J496" s="424" t="s">
        <v>4106</v>
      </c>
      <c r="K496" s="688">
        <f t="shared" si="50"/>
        <v>0</v>
      </c>
      <c r="L496" s="310">
        <f>SUMIFS('Bilateral assistance, MAIN DATA'!M:M,'Bilateral assistance, MAIN DATA'!I:I,'Price List, Weapons &amp; Items'!A496)</f>
        <v>8</v>
      </c>
      <c r="M496" s="46">
        <f>COUNTIFS('Bilateral assistance, MAIN DATA'!M:M,"undisclosed",'Bilateral assistance, MAIN DATA'!I:I,'Price List, Weapons &amp; Items'!A496)</f>
        <v>0</v>
      </c>
      <c r="N496" s="689" t="str">
        <f t="shared" si="49"/>
        <v>no price</v>
      </c>
      <c r="O496" s="1">
        <f>IFERROR(IF(SEARCH(A496,_xlfn.ARRAYTOTEXT('Bilateral assistance, MAIN DATA'!I$1:I$1408))&gt;0,1,""),0)</f>
        <v>1</v>
      </c>
      <c r="P496" s="46">
        <f>IFERROR(IF(SEARCH(A496,_xlfn.ARRAYTOTEXT('Commercial assistance'!I$1:I$1400))&gt;0,1,""),0)</f>
        <v>0</v>
      </c>
    </row>
    <row r="497" spans="1:16" ht="15" customHeight="1">
      <c r="A497" s="41" t="s">
        <v>1047</v>
      </c>
      <c r="B497" s="684" t="s">
        <v>228</v>
      </c>
      <c r="C497" s="685" t="s">
        <v>232</v>
      </c>
      <c r="D497" s="552">
        <v>0</v>
      </c>
      <c r="E497" s="552">
        <f t="shared" si="52"/>
        <v>0</v>
      </c>
      <c r="F497" s="452">
        <v>317500</v>
      </c>
      <c r="G497" s="687" t="str">
        <f>IF(F497&lt;&gt;".","USD",".")</f>
        <v>USD</v>
      </c>
      <c r="H497" s="653" t="s">
        <v>3942</v>
      </c>
      <c r="I497" s="424" t="s">
        <v>3259</v>
      </c>
      <c r="J497" s="424" t="s">
        <v>4107</v>
      </c>
      <c r="K497" s="688">
        <f t="shared" si="50"/>
        <v>0</v>
      </c>
      <c r="L497" s="310">
        <f>SUMIFS('Bilateral assistance, MAIN DATA'!M:M,'Bilateral assistance, MAIN DATA'!I:I,'Price List, Weapons &amp; Items'!A497)</f>
        <v>1</v>
      </c>
      <c r="M497" s="46">
        <f>COUNTIFS('Bilateral assistance, MAIN DATA'!M:M,"undisclosed",'Bilateral assistance, MAIN DATA'!I:I,'Price List, Weapons &amp; Items'!A497)</f>
        <v>0</v>
      </c>
      <c r="N497" s="689">
        <f t="shared" si="49"/>
        <v>317500</v>
      </c>
      <c r="O497" s="1">
        <f>IFERROR(IF(SEARCH(A497,_xlfn.ARRAYTOTEXT('Bilateral assistance, MAIN DATA'!I$1:I$1408))&gt;0,1,""),0)</f>
        <v>1</v>
      </c>
      <c r="P497" s="46">
        <f>IFERROR(IF(SEARCH(A497,_xlfn.ARRAYTOTEXT('Commercial assistance'!I$1:I$1400))&gt;0,1,""),0)</f>
        <v>0</v>
      </c>
    </row>
    <row r="498" spans="1:16" ht="15" customHeight="1">
      <c r="A498" s="512" t="s">
        <v>1048</v>
      </c>
      <c r="B498" s="684" t="s">
        <v>228</v>
      </c>
      <c r="C498" s="685" t="s">
        <v>232</v>
      </c>
      <c r="D498" s="552">
        <v>0</v>
      </c>
      <c r="E498" s="552">
        <f t="shared" si="52"/>
        <v>0</v>
      </c>
      <c r="F498" s="452">
        <f>1250*1.1261</f>
        <v>1407.6250000000002</v>
      </c>
      <c r="G498" s="88" t="s">
        <v>314</v>
      </c>
      <c r="H498" s="652" t="s">
        <v>4108</v>
      </c>
      <c r="I498" s="692" t="s">
        <v>3266</v>
      </c>
      <c r="J498" s="424" t="s">
        <v>4109</v>
      </c>
      <c r="K498" s="688">
        <f t="shared" si="50"/>
        <v>0</v>
      </c>
      <c r="L498" s="310">
        <f>SUMIFS('Bilateral assistance, MAIN DATA'!M:M,'Bilateral assistance, MAIN DATA'!I:I,'Price List, Weapons &amp; Items'!A498)</f>
        <v>36</v>
      </c>
      <c r="M498" s="46">
        <f>COUNTIFS('Bilateral assistance, MAIN DATA'!M:M,"undisclosed",'Bilateral assistance, MAIN DATA'!I:I,'Price List, Weapons &amp; Items'!A498)</f>
        <v>0</v>
      </c>
      <c r="N498" s="689">
        <f t="shared" si="49"/>
        <v>50674.500000000007</v>
      </c>
      <c r="O498" s="1">
        <f>IFERROR(IF(SEARCH(A498,_xlfn.ARRAYTOTEXT('Bilateral assistance, MAIN DATA'!I$1:I$1408))&gt;0,1,""),0)</f>
        <v>1</v>
      </c>
      <c r="P498" s="46">
        <f>IFERROR(IF(SEARCH(A498,_xlfn.ARRAYTOTEXT('Commercial assistance'!I$1:I$1400))&gt;0,1,""),0)</f>
        <v>0</v>
      </c>
    </row>
    <row r="499" spans="1:16" ht="15" customHeight="1">
      <c r="A499" s="41" t="s">
        <v>1049</v>
      </c>
      <c r="B499" s="684" t="s">
        <v>228</v>
      </c>
      <c r="C499" s="685" t="s">
        <v>232</v>
      </c>
      <c r="D499" s="552">
        <v>0</v>
      </c>
      <c r="E499" s="552">
        <f t="shared" si="52"/>
        <v>0</v>
      </c>
      <c r="F499" s="452">
        <f>9*1.1261</f>
        <v>10.134900000000002</v>
      </c>
      <c r="G499" s="88" t="s">
        <v>314</v>
      </c>
      <c r="H499" s="652" t="s">
        <v>4110</v>
      </c>
      <c r="I499" s="692" t="s">
        <v>3266</v>
      </c>
      <c r="J499" s="424" t="s">
        <v>4111</v>
      </c>
      <c r="K499" s="688">
        <f t="shared" si="50"/>
        <v>0</v>
      </c>
      <c r="L499" s="310">
        <f>SUMIFS('Bilateral assistance, MAIN DATA'!M:M,'Bilateral assistance, MAIN DATA'!I:I,'Price List, Weapons &amp; Items'!A499)</f>
        <v>56000</v>
      </c>
      <c r="M499" s="46">
        <f>COUNTIFS('Bilateral assistance, MAIN DATA'!M:M,"undisclosed",'Bilateral assistance, MAIN DATA'!I:I,'Price List, Weapons &amp; Items'!A499)</f>
        <v>0</v>
      </c>
      <c r="N499" s="689">
        <f t="shared" si="49"/>
        <v>567554.40000000014</v>
      </c>
      <c r="O499" s="1">
        <f>IFERROR(IF(SEARCH(A499,_xlfn.ARRAYTOTEXT('Bilateral assistance, MAIN DATA'!I$1:I$1408))&gt;0,1,""),0)</f>
        <v>1</v>
      </c>
      <c r="P499" s="46">
        <f>IFERROR(IF(SEARCH(A499,_xlfn.ARRAYTOTEXT('Commercial assistance'!I$1:I$1400))&gt;0,1,""),0)</f>
        <v>0</v>
      </c>
    </row>
    <row r="500" spans="1:16" ht="15" customHeight="1">
      <c r="A500" s="41" t="s">
        <v>1966</v>
      </c>
      <c r="B500" s="684" t="s">
        <v>228</v>
      </c>
      <c r="C500" s="685" t="s">
        <v>232</v>
      </c>
      <c r="D500" s="552">
        <v>1</v>
      </c>
      <c r="E500" s="552">
        <f t="shared" si="52"/>
        <v>0</v>
      </c>
      <c r="F500" s="452">
        <f>(5200000+6500000)/2</f>
        <v>5850000</v>
      </c>
      <c r="G500" s="88" t="s">
        <v>314</v>
      </c>
      <c r="H500" s="652" t="s">
        <v>4112</v>
      </c>
      <c r="I500" s="424" t="s">
        <v>3259</v>
      </c>
      <c r="J500" s="424" t="s">
        <v>4113</v>
      </c>
      <c r="K500" s="688">
        <f t="shared" si="50"/>
        <v>0</v>
      </c>
      <c r="L500" s="310">
        <f>SUMIFS('Bilateral assistance, MAIN DATA'!M:M,'Bilateral assistance, MAIN DATA'!I:I,'Price List, Weapons &amp; Items'!A500)</f>
        <v>6</v>
      </c>
      <c r="M500" s="46">
        <f>COUNTIFS('Bilateral assistance, MAIN DATA'!M:M,"undisclosed",'Bilateral assistance, MAIN DATA'!I:I,'Price List, Weapons &amp; Items'!A500)</f>
        <v>0</v>
      </c>
      <c r="N500" s="689">
        <f t="shared" si="49"/>
        <v>35100000</v>
      </c>
      <c r="O500" s="1">
        <f>IFERROR(IF(SEARCH(A500,_xlfn.ARRAYTOTEXT('Bilateral assistance, MAIN DATA'!I$1:I$1408))&gt;0,1,""),0)</f>
        <v>1</v>
      </c>
      <c r="P500" s="46">
        <f>IFERROR(IF(SEARCH(A500,_xlfn.ARRAYTOTEXT('Commercial assistance'!I$1:I$1400))&gt;0,1,""),0)</f>
        <v>0</v>
      </c>
    </row>
    <row r="501" spans="1:16" ht="15" customHeight="1">
      <c r="A501" s="512" t="s">
        <v>2521</v>
      </c>
      <c r="B501" s="684" t="s">
        <v>3239</v>
      </c>
      <c r="C501" s="685" t="s">
        <v>3331</v>
      </c>
      <c r="D501" s="552">
        <v>0</v>
      </c>
      <c r="E501" s="552">
        <f t="shared" si="52"/>
        <v>0</v>
      </c>
      <c r="F501" s="452" t="s">
        <v>232</v>
      </c>
      <c r="G501" s="88" t="s">
        <v>314</v>
      </c>
      <c r="H501" s="692" t="s">
        <v>232</v>
      </c>
      <c r="I501" s="692" t="s">
        <v>232</v>
      </c>
      <c r="J501" s="424" t="s">
        <v>232</v>
      </c>
      <c r="K501" s="688">
        <f t="shared" si="50"/>
        <v>0</v>
      </c>
      <c r="L501" s="310">
        <f>SUMIFS('Bilateral assistance, MAIN DATA'!M:M,'Bilateral assistance, MAIN DATA'!I:I,'Price List, Weapons &amp; Items'!A501)</f>
        <v>1000</v>
      </c>
      <c r="M501" s="46">
        <f>COUNTIFS('Bilateral assistance, MAIN DATA'!M:M,"undisclosed",'Bilateral assistance, MAIN DATA'!I:I,'Price List, Weapons &amp; Items'!A501)</f>
        <v>0</v>
      </c>
      <c r="N501" s="689" t="str">
        <f t="shared" si="49"/>
        <v>no price</v>
      </c>
      <c r="O501" s="1">
        <f>IFERROR(IF(SEARCH(A501,_xlfn.ARRAYTOTEXT('Bilateral assistance, MAIN DATA'!I$1:I$1408))&gt;0,1,""),0)</f>
        <v>1</v>
      </c>
      <c r="P501" s="46">
        <f>IFERROR(IF(SEARCH(A501,_xlfn.ARRAYTOTEXT('Commercial assistance'!I$1:I$1400))&gt;0,1,""),0)</f>
        <v>0</v>
      </c>
    </row>
    <row r="502" spans="1:16" ht="15" customHeight="1">
      <c r="A502" s="512" t="s">
        <v>2516</v>
      </c>
      <c r="B502" s="684" t="s">
        <v>3239</v>
      </c>
      <c r="C502" s="685" t="s">
        <v>3331</v>
      </c>
      <c r="D502" s="552">
        <v>0</v>
      </c>
      <c r="E502" s="552">
        <f t="shared" si="52"/>
        <v>0</v>
      </c>
      <c r="F502" s="452" t="s">
        <v>232</v>
      </c>
      <c r="G502" s="88" t="s">
        <v>232</v>
      </c>
      <c r="H502" s="652" t="s">
        <v>232</v>
      </c>
      <c r="I502" s="424" t="s">
        <v>232</v>
      </c>
      <c r="J502" s="424" t="s">
        <v>232</v>
      </c>
      <c r="K502" s="688">
        <f t="shared" si="50"/>
        <v>0</v>
      </c>
      <c r="L502" s="310">
        <f>SUMIFS('Bilateral assistance, MAIN DATA'!M:M,'Bilateral assistance, MAIN DATA'!I:I,'Price List, Weapons &amp; Items'!A502)</f>
        <v>200</v>
      </c>
      <c r="M502" s="46">
        <f>COUNTIFS('Bilateral assistance, MAIN DATA'!M:M,"undisclosed",'Bilateral assistance, MAIN DATA'!I:I,'Price List, Weapons &amp; Items'!A502)</f>
        <v>0</v>
      </c>
      <c r="N502" s="689" t="str">
        <f t="shared" si="49"/>
        <v>no price</v>
      </c>
      <c r="O502" s="1">
        <f>IFERROR(IF(SEARCH(A502,_xlfn.ARRAYTOTEXT('Bilateral assistance, MAIN DATA'!I$1:I$1408))&gt;0,1,""),0)</f>
        <v>1</v>
      </c>
      <c r="P502" s="46">
        <f>IFERROR(IF(SEARCH(A502,_xlfn.ARRAYTOTEXT('Commercial assistance'!I$1:I$1400))&gt;0,1,""),0)</f>
        <v>0</v>
      </c>
    </row>
    <row r="503" spans="1:16" ht="15" customHeight="1">
      <c r="A503" s="512" t="s">
        <v>2525</v>
      </c>
      <c r="B503" s="684" t="s">
        <v>3239</v>
      </c>
      <c r="C503" s="685" t="s">
        <v>3552</v>
      </c>
      <c r="D503" s="552">
        <v>0</v>
      </c>
      <c r="E503" s="552">
        <f t="shared" si="52"/>
        <v>0</v>
      </c>
      <c r="F503" s="452" t="s">
        <v>232</v>
      </c>
      <c r="G503" s="88" t="s">
        <v>232</v>
      </c>
      <c r="H503" s="692" t="s">
        <v>232</v>
      </c>
      <c r="I503" s="692" t="s">
        <v>232</v>
      </c>
      <c r="J503" s="424" t="s">
        <v>232</v>
      </c>
      <c r="K503" s="688">
        <f t="shared" si="50"/>
        <v>0</v>
      </c>
      <c r="L503" s="310">
        <f>SUMIFS('Bilateral assistance, MAIN DATA'!M:M,'Bilateral assistance, MAIN DATA'!I:I,'Price List, Weapons &amp; Items'!A503)</f>
        <v>125</v>
      </c>
      <c r="M503" s="46">
        <f>COUNTIFS('Bilateral assistance, MAIN DATA'!M:M,"undisclosed",'Bilateral assistance, MAIN DATA'!I:I,'Price List, Weapons &amp; Items'!A503)</f>
        <v>0</v>
      </c>
      <c r="N503" s="689" t="str">
        <f t="shared" si="49"/>
        <v>no price</v>
      </c>
      <c r="O503" s="1">
        <f>IFERROR(IF(SEARCH(A503,_xlfn.ARRAYTOTEXT('Bilateral assistance, MAIN DATA'!I$1:I$1408))&gt;0,1,""),0)</f>
        <v>1</v>
      </c>
      <c r="P503" s="46">
        <f>IFERROR(IF(SEARCH(A503,_xlfn.ARRAYTOTEXT('Commercial assistance'!I$1:I$1400))&gt;0,1,""),0)</f>
        <v>0</v>
      </c>
    </row>
    <row r="504" spans="1:16" ht="15" customHeight="1">
      <c r="A504" s="41" t="s">
        <v>2792</v>
      </c>
      <c r="B504" s="684" t="s">
        <v>729</v>
      </c>
      <c r="C504" s="685" t="s">
        <v>3273</v>
      </c>
      <c r="D504" s="552">
        <v>0</v>
      </c>
      <c r="E504" s="552">
        <f t="shared" si="52"/>
        <v>0</v>
      </c>
      <c r="F504" s="452" t="s">
        <v>232</v>
      </c>
      <c r="G504" s="88" t="s">
        <v>314</v>
      </c>
      <c r="H504" s="696" t="s">
        <v>232</v>
      </c>
      <c r="I504" s="692" t="s">
        <v>232</v>
      </c>
      <c r="J504" s="692" t="s">
        <v>4114</v>
      </c>
      <c r="K504" s="688">
        <f t="shared" si="50"/>
        <v>0</v>
      </c>
      <c r="L504" s="310">
        <f>SUMIFS('Bilateral assistance, MAIN DATA'!M:M,'Bilateral assistance, MAIN DATA'!I:I,'Price List, Weapons &amp; Items'!A504)</f>
        <v>4</v>
      </c>
      <c r="M504" s="46">
        <f>COUNTIFS('Bilateral assistance, MAIN DATA'!M:M,"undisclosed",'Bilateral assistance, MAIN DATA'!I:I,'Price List, Weapons &amp; Items'!A504)</f>
        <v>0</v>
      </c>
      <c r="N504" s="689" t="str">
        <f t="shared" si="49"/>
        <v>no price</v>
      </c>
      <c r="O504" s="1">
        <f>IFERROR(IF(SEARCH(A504,_xlfn.ARRAYTOTEXT('Bilateral assistance, MAIN DATA'!I$1:I$1408))&gt;0,1,""),0)</f>
        <v>1</v>
      </c>
      <c r="P504" s="46">
        <f>IFERROR(IF(SEARCH(A504,_xlfn.ARRAYTOTEXT('Commercial assistance'!I$1:I$1400))&gt;0,1,""),0)</f>
        <v>0</v>
      </c>
    </row>
    <row r="505" spans="1:16" ht="15" customHeight="1">
      <c r="A505" s="524" t="s">
        <v>1274</v>
      </c>
      <c r="B505" s="684" t="s">
        <v>4115</v>
      </c>
      <c r="C505" s="685" t="s">
        <v>232</v>
      </c>
      <c r="D505" s="552">
        <v>0</v>
      </c>
      <c r="E505" s="552">
        <f t="shared" si="52"/>
        <v>0</v>
      </c>
      <c r="F505" s="452" t="s">
        <v>232</v>
      </c>
      <c r="G505" s="88" t="s">
        <v>314</v>
      </c>
      <c r="H505" s="692" t="s">
        <v>232</v>
      </c>
      <c r="I505" s="692" t="s">
        <v>232</v>
      </c>
      <c r="J505" s="424" t="s">
        <v>232</v>
      </c>
      <c r="K505" s="688">
        <f t="shared" si="50"/>
        <v>0</v>
      </c>
      <c r="L505" s="310">
        <f>SUMIFS('Bilateral assistance, MAIN DATA'!M:M,'Bilateral assistance, MAIN DATA'!I:I,'Price List, Weapons &amp; Items'!A505)</f>
        <v>240000</v>
      </c>
      <c r="M505" s="46">
        <f>COUNTIFS('Bilateral assistance, MAIN DATA'!M:M,"undisclosed",'Bilateral assistance, MAIN DATA'!I:I,'Price List, Weapons &amp; Items'!A505)</f>
        <v>0</v>
      </c>
      <c r="N505" s="689" t="str">
        <f t="shared" si="49"/>
        <v>no price</v>
      </c>
      <c r="O505" s="1">
        <f>IFERROR(IF(SEARCH(A505,_xlfn.ARRAYTOTEXT('Bilateral assistance, MAIN DATA'!I$1:I$1408))&gt;0,1,""),0)</f>
        <v>1</v>
      </c>
      <c r="P505" s="46">
        <f>IFERROR(IF(SEARCH(A505,_xlfn.ARRAYTOTEXT('Commercial assistance'!I$1:I$1400))&gt;0,1,""),0)</f>
        <v>0</v>
      </c>
    </row>
    <row r="506" spans="1:16" ht="15" customHeight="1">
      <c r="A506" s="704" t="s">
        <v>1275</v>
      </c>
      <c r="B506" s="684" t="s">
        <v>4115</v>
      </c>
      <c r="C506" s="685" t="s">
        <v>232</v>
      </c>
      <c r="D506" s="552">
        <v>0</v>
      </c>
      <c r="E506" s="552">
        <f t="shared" si="52"/>
        <v>0</v>
      </c>
      <c r="F506" s="452" t="s">
        <v>232</v>
      </c>
      <c r="G506" s="88" t="s">
        <v>314</v>
      </c>
      <c r="H506" s="692" t="s">
        <v>232</v>
      </c>
      <c r="I506" s="692" t="s">
        <v>232</v>
      </c>
      <c r="J506" s="424" t="s">
        <v>232</v>
      </c>
      <c r="K506" s="688">
        <f t="shared" si="50"/>
        <v>0</v>
      </c>
      <c r="L506" s="310">
        <f>SUMIFS('Bilateral assistance, MAIN DATA'!M:M,'Bilateral assistance, MAIN DATA'!I:I,'Price List, Weapons &amp; Items'!A506)</f>
        <v>116000</v>
      </c>
      <c r="M506" s="46">
        <f>COUNTIFS('Bilateral assistance, MAIN DATA'!M:M,"undisclosed",'Bilateral assistance, MAIN DATA'!I:I,'Price List, Weapons &amp; Items'!A506)</f>
        <v>0</v>
      </c>
      <c r="N506" s="689" t="str">
        <f t="shared" si="49"/>
        <v>no price</v>
      </c>
      <c r="O506" s="1">
        <f>IFERROR(IF(SEARCH(A506,_xlfn.ARRAYTOTEXT('Bilateral assistance, MAIN DATA'!I$1:I$1408))&gt;0,1,""),0)</f>
        <v>1</v>
      </c>
      <c r="P506" s="46">
        <f>IFERROR(IF(SEARCH(A506,_xlfn.ARRAYTOTEXT('Commercial assistance'!I$1:I$1400))&gt;0,1,""),0)</f>
        <v>0</v>
      </c>
    </row>
    <row r="507" spans="1:16" ht="15" customHeight="1">
      <c r="A507" s="524" t="s">
        <v>1276</v>
      </c>
      <c r="B507" s="684" t="s">
        <v>4115</v>
      </c>
      <c r="C507" s="685" t="s">
        <v>232</v>
      </c>
      <c r="D507" s="552">
        <v>0</v>
      </c>
      <c r="E507" s="552">
        <f t="shared" si="52"/>
        <v>0</v>
      </c>
      <c r="F507" s="452" t="s">
        <v>232</v>
      </c>
      <c r="G507" s="88" t="s">
        <v>314</v>
      </c>
      <c r="H507" s="692" t="s">
        <v>232</v>
      </c>
      <c r="I507" s="692" t="s">
        <v>232</v>
      </c>
      <c r="J507" s="424" t="s">
        <v>232</v>
      </c>
      <c r="K507" s="688">
        <f t="shared" si="50"/>
        <v>0</v>
      </c>
      <c r="L507" s="310">
        <f>SUMIFS('Bilateral assistance, MAIN DATA'!M:M,'Bilateral assistance, MAIN DATA'!I:I,'Price List, Weapons &amp; Items'!A507)</f>
        <v>80000</v>
      </c>
      <c r="M507" s="46">
        <f>COUNTIFS('Bilateral assistance, MAIN DATA'!M:M,"undisclosed",'Bilateral assistance, MAIN DATA'!I:I,'Price List, Weapons &amp; Items'!A507)</f>
        <v>0</v>
      </c>
      <c r="N507" s="689" t="str">
        <f t="shared" si="49"/>
        <v>no price</v>
      </c>
      <c r="O507" s="1">
        <f>IFERROR(IF(SEARCH(A507,_xlfn.ARRAYTOTEXT('Bilateral assistance, MAIN DATA'!I$1:I$1408))&gt;0,1,""),0)</f>
        <v>1</v>
      </c>
      <c r="P507" s="46">
        <f>IFERROR(IF(SEARCH(A507,_xlfn.ARRAYTOTEXT('Commercial assistance'!I$1:I$1400))&gt;0,1,""),0)</f>
        <v>0</v>
      </c>
    </row>
    <row r="508" spans="1:16" ht="15" customHeight="1">
      <c r="A508" s="524" t="s">
        <v>1186</v>
      </c>
      <c r="B508" s="684" t="s">
        <v>228</v>
      </c>
      <c r="C508" s="685" t="s">
        <v>232</v>
      </c>
      <c r="D508" s="552">
        <v>0</v>
      </c>
      <c r="E508" s="552">
        <f t="shared" si="52"/>
        <v>0</v>
      </c>
      <c r="F508" s="452" t="s">
        <v>232</v>
      </c>
      <c r="G508" s="687" t="str">
        <f t="shared" ref="G508:G513" si="53">IF(F508&lt;&gt;".","USD",".")</f>
        <v>.</v>
      </c>
      <c r="H508" s="692" t="s">
        <v>232</v>
      </c>
      <c r="I508" s="692" t="s">
        <v>232</v>
      </c>
      <c r="J508" s="424" t="s">
        <v>232</v>
      </c>
      <c r="K508" s="688">
        <f t="shared" si="50"/>
        <v>0</v>
      </c>
      <c r="L508" s="310">
        <f>SUMIFS('Bilateral assistance, MAIN DATA'!M:M,'Bilateral assistance, MAIN DATA'!I:I,'Price List, Weapons &amp; Items'!A508)</f>
        <v>0</v>
      </c>
      <c r="M508" s="46">
        <f>COUNTIFS('Bilateral assistance, MAIN DATA'!M:M,"undisclosed",'Bilateral assistance, MAIN DATA'!I:I,'Price List, Weapons &amp; Items'!A508)</f>
        <v>1</v>
      </c>
      <c r="N508" s="689" t="str">
        <f t="shared" si="49"/>
        <v>no price</v>
      </c>
      <c r="O508" s="1">
        <f>IFERROR(IF(SEARCH(A508,_xlfn.ARRAYTOTEXT('Bilateral assistance, MAIN DATA'!I$1:I$1408))&gt;0,1,""),0)</f>
        <v>1</v>
      </c>
      <c r="P508" s="46">
        <f>IFERROR(IF(SEARCH(A508,_xlfn.ARRAYTOTEXT('Commercial assistance'!I$1:I$1400))&gt;0,1,""),0)</f>
        <v>0</v>
      </c>
    </row>
    <row r="509" spans="1:16" ht="15" customHeight="1">
      <c r="A509" s="524" t="s">
        <v>1191</v>
      </c>
      <c r="B509" s="684" t="s">
        <v>3333</v>
      </c>
      <c r="D509" s="552">
        <v>0</v>
      </c>
      <c r="E509" s="552">
        <f t="shared" si="52"/>
        <v>0</v>
      </c>
      <c r="F509" s="452">
        <v>12000</v>
      </c>
      <c r="G509" s="687" t="s">
        <v>314</v>
      </c>
      <c r="H509" s="653" t="s">
        <v>3405</v>
      </c>
      <c r="I509" s="424" t="s">
        <v>3259</v>
      </c>
      <c r="J509" s="424" t="s">
        <v>4116</v>
      </c>
      <c r="K509" s="688">
        <f t="shared" si="50"/>
        <v>1</v>
      </c>
      <c r="L509" s="310">
        <f>SUMIFS('Bilateral assistance, MAIN DATA'!M:M,'Bilateral assistance, MAIN DATA'!I:I,'Price List, Weapons &amp; Items'!A509)</f>
        <v>12</v>
      </c>
      <c r="M509" s="46">
        <f>COUNTIFS('Bilateral assistance, MAIN DATA'!M:M,"undisclosed",'Bilateral assistance, MAIN DATA'!I:I,'Price List, Weapons &amp; Items'!A509)</f>
        <v>0</v>
      </c>
      <c r="N509" s="689">
        <f t="shared" si="49"/>
        <v>144000</v>
      </c>
      <c r="O509" s="1">
        <f>IFERROR(IF(SEARCH(A509,_xlfn.ARRAYTOTEXT('Bilateral assistance, MAIN DATA'!I$1:I$1408))&gt;0,1,""),0)</f>
        <v>1</v>
      </c>
      <c r="P509" s="46">
        <f>IFERROR(IF(SEARCH(A509,_xlfn.ARRAYTOTEXT('Commercial assistance'!I$1:I$1400))&gt;0,1,""),0)</f>
        <v>0</v>
      </c>
    </row>
    <row r="510" spans="1:16" ht="15" customHeight="1">
      <c r="A510" s="524" t="s">
        <v>1222</v>
      </c>
      <c r="B510" s="684" t="s">
        <v>4115</v>
      </c>
      <c r="C510" s="685" t="s">
        <v>232</v>
      </c>
      <c r="D510" s="552">
        <v>0</v>
      </c>
      <c r="E510" s="552">
        <f t="shared" si="52"/>
        <v>0</v>
      </c>
      <c r="F510" s="452" t="s">
        <v>232</v>
      </c>
      <c r="G510" s="687" t="str">
        <f t="shared" si="53"/>
        <v>.</v>
      </c>
      <c r="H510" s="692" t="s">
        <v>232</v>
      </c>
      <c r="I510" s="692" t="s">
        <v>232</v>
      </c>
      <c r="J510" s="424" t="s">
        <v>232</v>
      </c>
      <c r="K510" s="688">
        <f t="shared" si="50"/>
        <v>0</v>
      </c>
      <c r="L510" s="310">
        <f>SUMIFS('Bilateral assistance, MAIN DATA'!M:M,'Bilateral assistance, MAIN DATA'!I:I,'Price List, Weapons &amp; Items'!A510)</f>
        <v>0</v>
      </c>
      <c r="M510" s="46">
        <f>COUNTIFS('Bilateral assistance, MAIN DATA'!M:M,"undisclosed",'Bilateral assistance, MAIN DATA'!I:I,'Price List, Weapons &amp; Items'!A510)</f>
        <v>1</v>
      </c>
      <c r="N510" s="689" t="str">
        <f t="shared" si="49"/>
        <v>no price</v>
      </c>
      <c r="O510" s="1">
        <f>IFERROR(IF(SEARCH(A510,_xlfn.ARRAYTOTEXT('Bilateral assistance, MAIN DATA'!I$1:I$1408))&gt;0,1,""),0)</f>
        <v>1</v>
      </c>
      <c r="P510" s="46">
        <f>IFERROR(IF(SEARCH(A510,_xlfn.ARRAYTOTEXT('Commercial assistance'!I$1:I$1400))&gt;0,1,""),0)</f>
        <v>0</v>
      </c>
    </row>
    <row r="511" spans="1:16" ht="15" customHeight="1">
      <c r="A511" s="704" t="s">
        <v>1231</v>
      </c>
      <c r="B511" s="684" t="s">
        <v>228</v>
      </c>
      <c r="C511" s="685" t="s">
        <v>232</v>
      </c>
      <c r="D511" s="552">
        <v>0</v>
      </c>
      <c r="E511" s="552">
        <f t="shared" si="52"/>
        <v>0</v>
      </c>
      <c r="F511" s="452" t="s">
        <v>232</v>
      </c>
      <c r="G511" s="687" t="str">
        <f t="shared" si="53"/>
        <v>.</v>
      </c>
      <c r="H511" s="692" t="s">
        <v>232</v>
      </c>
      <c r="I511" s="692" t="s">
        <v>232</v>
      </c>
      <c r="J511" s="424" t="s">
        <v>232</v>
      </c>
      <c r="K511" s="688">
        <f t="shared" si="50"/>
        <v>0</v>
      </c>
      <c r="L511" s="310">
        <f>SUMIFS('Bilateral assistance, MAIN DATA'!M:M,'Bilateral assistance, MAIN DATA'!I:I,'Price List, Weapons &amp; Items'!A511)</f>
        <v>116</v>
      </c>
      <c r="M511" s="46">
        <f>COUNTIFS('Bilateral assistance, MAIN DATA'!M:M,"undisclosed",'Bilateral assistance, MAIN DATA'!I:I,'Price List, Weapons &amp; Items'!A511)</f>
        <v>0</v>
      </c>
      <c r="N511" s="689" t="str">
        <f t="shared" si="49"/>
        <v>no price</v>
      </c>
      <c r="O511" s="1">
        <f>IFERROR(IF(SEARCH(A511,_xlfn.ARRAYTOTEXT('Bilateral assistance, MAIN DATA'!I$1:I$1408))&gt;0,1,""),0)</f>
        <v>1</v>
      </c>
      <c r="P511" s="46">
        <f>IFERROR(IF(SEARCH(A511,_xlfn.ARRAYTOTEXT('Commercial assistance'!I$1:I$1400))&gt;0,1,""),0)</f>
        <v>0</v>
      </c>
    </row>
    <row r="512" spans="1:16" ht="15" customHeight="1">
      <c r="A512" s="524" t="s">
        <v>1237</v>
      </c>
      <c r="B512" s="684" t="s">
        <v>228</v>
      </c>
      <c r="C512" s="685" t="s">
        <v>232</v>
      </c>
      <c r="D512" s="552">
        <v>0</v>
      </c>
      <c r="E512" s="552">
        <f t="shared" si="52"/>
        <v>0</v>
      </c>
      <c r="F512" s="452" t="s">
        <v>232</v>
      </c>
      <c r="G512" s="687" t="str">
        <f t="shared" si="53"/>
        <v>.</v>
      </c>
      <c r="H512" s="692" t="s">
        <v>232</v>
      </c>
      <c r="I512" s="692" t="s">
        <v>232</v>
      </c>
      <c r="J512" s="424" t="s">
        <v>232</v>
      </c>
      <c r="K512" s="688">
        <f t="shared" si="50"/>
        <v>0</v>
      </c>
      <c r="L512" s="310">
        <f>SUMIFS('Bilateral assistance, MAIN DATA'!M:M,'Bilateral assistance, MAIN DATA'!I:I,'Price List, Weapons &amp; Items'!A512)</f>
        <v>0</v>
      </c>
      <c r="M512" s="46">
        <f>COUNTIFS('Bilateral assistance, MAIN DATA'!M:M,"undisclosed",'Bilateral assistance, MAIN DATA'!I:I,'Price List, Weapons &amp; Items'!A512)</f>
        <v>1</v>
      </c>
      <c r="N512" s="689" t="str">
        <f t="shared" ref="N512:N516" si="54">IFERROR(L512*F512,"no price")</f>
        <v>no price</v>
      </c>
      <c r="O512" s="1">
        <f>IFERROR(IF(SEARCH(A512,_xlfn.ARRAYTOTEXT('Bilateral assistance, MAIN DATA'!I$1:I$1408))&gt;0,1,""),0)</f>
        <v>1</v>
      </c>
      <c r="P512" s="46">
        <f>IFERROR(IF(SEARCH(A512,_xlfn.ARRAYTOTEXT('Commercial assistance'!I$1:I$1400))&gt;0,1,""),0)</f>
        <v>0</v>
      </c>
    </row>
    <row r="513" spans="1:16" ht="15" customHeight="1">
      <c r="A513" s="700" t="s">
        <v>1246</v>
      </c>
      <c r="B513" s="684" t="s">
        <v>228</v>
      </c>
      <c r="C513" s="685" t="s">
        <v>232</v>
      </c>
      <c r="D513" s="552">
        <v>0</v>
      </c>
      <c r="E513" s="552">
        <f t="shared" si="52"/>
        <v>0</v>
      </c>
      <c r="F513" s="678" t="s">
        <v>232</v>
      </c>
      <c r="G513" s="744" t="str">
        <f t="shared" si="53"/>
        <v>.</v>
      </c>
      <c r="H513" s="745" t="s">
        <v>232</v>
      </c>
      <c r="I513" s="745" t="s">
        <v>232</v>
      </c>
      <c r="J513" s="695" t="s">
        <v>232</v>
      </c>
      <c r="K513" s="688">
        <f t="shared" si="50"/>
        <v>0</v>
      </c>
      <c r="L513" s="310">
        <f>SUMIFS('Bilateral assistance, MAIN DATA'!M:M,'Bilateral assistance, MAIN DATA'!I:I,'Price List, Weapons &amp; Items'!A513)</f>
        <v>0</v>
      </c>
      <c r="M513" s="46">
        <f>COUNTIFS('Bilateral assistance, MAIN DATA'!M:M,"undisclosed",'Bilateral assistance, MAIN DATA'!I:I,'Price List, Weapons &amp; Items'!A513)</f>
        <v>1</v>
      </c>
      <c r="N513" s="689" t="str">
        <f t="shared" si="54"/>
        <v>no price</v>
      </c>
      <c r="O513" s="1">
        <f>IFERROR(IF(SEARCH(A513,_xlfn.ARRAYTOTEXT('Bilateral assistance, MAIN DATA'!I$1:I$1408))&gt;0,1,""),0)</f>
        <v>1</v>
      </c>
      <c r="P513" s="46">
        <f>IFERROR(IF(SEARCH(A513,_xlfn.ARRAYTOTEXT('Commercial assistance'!I$1:I$1400))&gt;0,1,""),0)</f>
        <v>0</v>
      </c>
    </row>
    <row r="514" spans="1:16" ht="15" customHeight="1">
      <c r="A514" s="704" t="s">
        <v>1221</v>
      </c>
      <c r="B514" s="684" t="s">
        <v>4115</v>
      </c>
      <c r="C514" s="685" t="s">
        <v>232</v>
      </c>
      <c r="D514" s="552">
        <v>0</v>
      </c>
      <c r="E514" s="552">
        <f t="shared" si="52"/>
        <v>0</v>
      </c>
      <c r="F514" s="452">
        <v>55</v>
      </c>
      <c r="G514" s="88" t="s">
        <v>314</v>
      </c>
      <c r="H514" s="845" t="s">
        <v>4117</v>
      </c>
      <c r="I514" s="745" t="s">
        <v>4096</v>
      </c>
      <c r="J514" s="695" t="s">
        <v>4118</v>
      </c>
      <c r="K514" s="688">
        <f t="shared" ref="K514:K516" si="55">IF(B514="Humanitarian",0,IF(L514&gt;0,IF(TYPE(N514)=1,IF(N514&gt;MEDIAN(N:N),2,1),0),"no price, 0 count"))</f>
        <v>0</v>
      </c>
      <c r="L514" s="310">
        <f>SUMIFS('Bilateral assistance, MAIN DATA'!M:M,'Bilateral assistance, MAIN DATA'!I:I,'Price List, Weapons &amp; Items'!A514)</f>
        <v>500</v>
      </c>
      <c r="M514" s="46">
        <f>COUNTIFS('Bilateral assistance, MAIN DATA'!M:M,"undisclosed",'Bilateral assistance, MAIN DATA'!I:I,'Price List, Weapons &amp; Items'!A514)</f>
        <v>0</v>
      </c>
      <c r="N514" s="689">
        <f t="shared" si="54"/>
        <v>27500</v>
      </c>
      <c r="O514" s="1">
        <f>IFERROR(IF(SEARCH(A514,_xlfn.ARRAYTOTEXT('Bilateral assistance, MAIN DATA'!I$1:I$1408))&gt;0,1,""),0)</f>
        <v>1</v>
      </c>
      <c r="P514" s="46">
        <f>IFERROR(IF(SEARCH(A514,_xlfn.ARRAYTOTEXT('Commercial assistance'!I$1:I$1400))&gt;0,1,""),0)</f>
        <v>0</v>
      </c>
    </row>
    <row r="515" spans="1:16" ht="15" customHeight="1">
      <c r="A515" s="704" t="s">
        <v>1273</v>
      </c>
      <c r="B515" s="684" t="s">
        <v>4115</v>
      </c>
      <c r="C515" s="685" t="s">
        <v>232</v>
      </c>
      <c r="D515" s="552">
        <v>0</v>
      </c>
      <c r="E515" s="552">
        <v>0</v>
      </c>
      <c r="F515" s="452">
        <v>600000</v>
      </c>
      <c r="G515" s="88" t="s">
        <v>314</v>
      </c>
      <c r="H515" s="652" t="s">
        <v>4119</v>
      </c>
      <c r="I515" s="692" t="s">
        <v>3308</v>
      </c>
      <c r="J515" s="424" t="s">
        <v>4120</v>
      </c>
      <c r="K515" s="688">
        <f t="shared" si="55"/>
        <v>0</v>
      </c>
      <c r="L515" s="310">
        <f>SUMIFS('Bilateral assistance, MAIN DATA'!M:M,'Bilateral assistance, MAIN DATA'!I:I,'Price List, Weapons &amp; Items'!A515)</f>
        <v>0</v>
      </c>
      <c r="M515" s="46">
        <f>COUNTIFS('Bilateral assistance, MAIN DATA'!M:M,"undisclosed",'Bilateral assistance, MAIN DATA'!I:I,'Price List, Weapons &amp; Items'!A515)</f>
        <v>1</v>
      </c>
      <c r="N515" s="689">
        <f t="shared" si="54"/>
        <v>0</v>
      </c>
      <c r="O515" s="1">
        <f>IFERROR(IF(SEARCH(A515,_xlfn.ARRAYTOTEXT('Bilateral assistance, MAIN DATA'!I$1:I$1408))&gt;0,1,""),0)</f>
        <v>1</v>
      </c>
      <c r="P515" s="46">
        <f>IFERROR(IF(SEARCH(A515,_xlfn.ARRAYTOTEXT('Commercial assistance'!I$1:I$1400))&gt;0,1,""),0)</f>
        <v>0</v>
      </c>
    </row>
    <row r="516" spans="1:16" ht="15" customHeight="1">
      <c r="A516" s="424" t="s">
        <v>1903</v>
      </c>
      <c r="B516" s="684" t="s">
        <v>4115</v>
      </c>
      <c r="C516" s="685" t="s">
        <v>232</v>
      </c>
      <c r="D516" s="552">
        <v>0</v>
      </c>
      <c r="E516" s="552">
        <f t="shared" si="52"/>
        <v>0</v>
      </c>
      <c r="F516" s="452">
        <v>1500</v>
      </c>
      <c r="G516" s="88" t="s">
        <v>314</v>
      </c>
      <c r="H516" s="652" t="s">
        <v>4121</v>
      </c>
      <c r="I516" s="692" t="s">
        <v>3254</v>
      </c>
      <c r="J516" s="424" t="s">
        <v>4122</v>
      </c>
      <c r="K516" s="688">
        <f t="shared" si="55"/>
        <v>0</v>
      </c>
      <c r="L516" s="310">
        <f>SUMIFS('Bilateral assistance, MAIN DATA'!M:M,'Bilateral assistance, MAIN DATA'!I:I,'Price List, Weapons &amp; Items'!A516)</f>
        <v>6570</v>
      </c>
      <c r="M516" s="46">
        <f>COUNTIFS('Bilateral assistance, MAIN DATA'!M:M,"undisclosed",'Bilateral assistance, MAIN DATA'!I:I,'Price List, Weapons &amp; Items'!A516)</f>
        <v>0</v>
      </c>
      <c r="N516" s="689">
        <f t="shared" si="54"/>
        <v>9855000</v>
      </c>
      <c r="O516" s="1">
        <f>IFERROR(IF(SEARCH(A516,_xlfn.ARRAYTOTEXT('Bilateral assistance, MAIN DATA'!I$1:I$1408))&gt;0,1,""),0)</f>
        <v>1</v>
      </c>
      <c r="P516" s="46">
        <f>IFERROR(IF(SEARCH(A516,_xlfn.ARRAYTOTEXT('Commercial assistance'!I$1:I$1400))&gt;0,1,""),0)</f>
        <v>0</v>
      </c>
    </row>
    <row r="517" spans="1:16" ht="15" customHeight="1">
      <c r="A517" s="424" t="s">
        <v>1227</v>
      </c>
      <c r="B517" s="684" t="s">
        <v>4115</v>
      </c>
      <c r="C517" s="685" t="s">
        <v>232</v>
      </c>
      <c r="D517" s="552">
        <v>0</v>
      </c>
      <c r="E517" s="552">
        <v>0</v>
      </c>
      <c r="F517" s="452">
        <v>600000</v>
      </c>
      <c r="G517" s="88" t="s">
        <v>314</v>
      </c>
      <c r="H517" s="652" t="s">
        <v>4119</v>
      </c>
      <c r="I517" s="692" t="s">
        <v>3308</v>
      </c>
      <c r="J517" s="424" t="s">
        <v>4123</v>
      </c>
      <c r="K517" s="688" t="s">
        <v>232</v>
      </c>
    </row>
    <row r="518" spans="1:16" ht="15" customHeight="1">
      <c r="A518" s="524" t="s">
        <v>1272</v>
      </c>
      <c r="B518" s="684" t="s">
        <v>4124</v>
      </c>
      <c r="C518" s="685" t="s">
        <v>232</v>
      </c>
      <c r="D518" s="552">
        <v>0</v>
      </c>
      <c r="E518" s="552">
        <v>0</v>
      </c>
      <c r="F518" s="452">
        <v>31500</v>
      </c>
      <c r="G518" s="88" t="s">
        <v>314</v>
      </c>
      <c r="H518" s="692" t="s">
        <v>4125</v>
      </c>
      <c r="I518" s="692" t="s">
        <v>3266</v>
      </c>
      <c r="J518" s="424" t="s">
        <v>4126</v>
      </c>
      <c r="K518" s="688" t="s">
        <v>232</v>
      </c>
    </row>
    <row r="519" spans="1:16" ht="15" customHeight="1">
      <c r="A519" s="524"/>
    </row>
  </sheetData>
  <autoFilter ref="A1:P516" xr:uid="{00000000-0001-0000-1F00-000000000000}">
    <sortState xmlns:xlrd2="http://schemas.microsoft.com/office/spreadsheetml/2017/richdata2" ref="A2:P549">
      <sortCondition descending="1" ref="K1"/>
    </sortState>
  </autoFilter>
  <hyperlinks>
    <hyperlink ref="H224" r:id="rId1" xr:uid="{00000000-0004-0000-1F00-000000000000}"/>
    <hyperlink ref="H228" r:id="rId2" xr:uid="{00000000-0004-0000-1F00-000002000000}"/>
    <hyperlink ref="H243" r:id="rId3" xr:uid="{00000000-0004-0000-1F00-000004000000}"/>
    <hyperlink ref="H269" r:id="rId4" xr:uid="{00000000-0004-0000-1F00-000005000000}"/>
    <hyperlink ref="H256" r:id="rId5" xr:uid="{00000000-0004-0000-1F00-000007000000}"/>
    <hyperlink ref="H454" r:id="rId6" xr:uid="{00000000-0004-0000-1F00-000008000000}"/>
    <hyperlink ref="H353" r:id="rId7" xr:uid="{00000000-0004-0000-1F00-000009000000}"/>
    <hyperlink ref="H261" r:id="rId8" xr:uid="{00000000-0004-0000-1F00-00000B000000}"/>
    <hyperlink ref="H412" r:id="rId9" xr:uid="{00000000-0004-0000-1F00-00000C000000}"/>
    <hyperlink ref="H414" r:id="rId10" xr:uid="{00000000-0004-0000-1F00-00000D000000}"/>
    <hyperlink ref="H452" r:id="rId11" xr:uid="{00000000-0004-0000-1F00-00000E000000}"/>
    <hyperlink ref="H408" r:id="rId12" xr:uid="{00000000-0004-0000-1F00-00000F000000}"/>
    <hyperlink ref="H406" r:id="rId13" xr:uid="{00000000-0004-0000-1F00-000010000000}"/>
    <hyperlink ref="H407" r:id="rId14" xr:uid="{00000000-0004-0000-1F00-000011000000}"/>
    <hyperlink ref="H413" r:id="rId15" xr:uid="{00000000-0004-0000-1F00-000012000000}"/>
    <hyperlink ref="H457" r:id="rId16" xr:uid="{00000000-0004-0000-1F00-000013000000}"/>
    <hyperlink ref="H450" r:id="rId17" xr:uid="{00000000-0004-0000-1F00-000014000000}"/>
    <hyperlink ref="H447" r:id="rId18" xr:uid="{00000000-0004-0000-1F00-000015000000}"/>
    <hyperlink ref="H226" r:id="rId19" xr:uid="{00000000-0004-0000-1F00-000016000000}"/>
    <hyperlink ref="H340" r:id="rId20" xr:uid="{00000000-0004-0000-1F00-000018000000}"/>
    <hyperlink ref="H211" r:id="rId21" xr:uid="{00000000-0004-0000-1F00-00001A000000}"/>
    <hyperlink ref="H323" r:id="rId22" xr:uid="{00000000-0004-0000-1F00-00001C000000}"/>
    <hyperlink ref="H93" r:id="rId23" xr:uid="{00000000-0004-0000-1F00-00001D000000}"/>
    <hyperlink ref="H459" r:id="rId24" xr:uid="{00000000-0004-0000-1F00-00001E000000}"/>
    <hyperlink ref="H260" r:id="rId25" xr:uid="{00000000-0004-0000-1F00-00001F000000}"/>
    <hyperlink ref="H458" r:id="rId26" xr:uid="{00000000-0004-0000-1F00-000021000000}"/>
    <hyperlink ref="H324" r:id="rId27" xr:uid="{00000000-0004-0000-1F00-000022000000}"/>
    <hyperlink ref="H428" r:id="rId28" xr:uid="{00000000-0004-0000-1F00-000023000000}"/>
    <hyperlink ref="H455" r:id="rId29" xr:uid="{00000000-0004-0000-1F00-000025000000}"/>
    <hyperlink ref="H350" r:id="rId30" xr:uid="{00000000-0004-0000-1F00-000026000000}"/>
    <hyperlink ref="H441" r:id="rId31" xr:uid="{00000000-0004-0000-1F00-000028000000}"/>
    <hyperlink ref="H263" r:id="rId32" xr:uid="{00000000-0004-0000-1F00-00002A000000}"/>
    <hyperlink ref="H252" r:id="rId33" xr:uid="{00000000-0004-0000-1F00-00002B000000}"/>
    <hyperlink ref="H241" r:id="rId34" location=":~:text=Anyways%2C%20you%20can%20buy%20a,on%20a%20great%20little%20rifle" xr:uid="{00000000-0004-0000-1F00-00002C000000}"/>
    <hyperlink ref="H351" r:id="rId35" xr:uid="{00000000-0004-0000-1F00-00002D000000}"/>
    <hyperlink ref="H417" r:id="rId36" xr:uid="{00000000-0004-0000-1F00-00002E000000}"/>
    <hyperlink ref="H268" r:id="rId37" xr:uid="{00000000-0004-0000-1F00-00002F000000}"/>
    <hyperlink ref="H221" r:id="rId38" xr:uid="{00000000-0004-0000-1F00-000030000000}"/>
    <hyperlink ref="H349" r:id="rId39" xr:uid="{00000000-0004-0000-1F00-000032000000}"/>
    <hyperlink ref="H326" r:id="rId40" xr:uid="{00000000-0004-0000-1F00-000033000000}"/>
    <hyperlink ref="J261" r:id="rId41" display="https://en.wikipedia.org/wiki/Comparison_of_the_AK-47_and_M16" xr:uid="{00000000-0004-0000-1F00-000035000000}"/>
    <hyperlink ref="J412" r:id="rId42" display="https://hcpresources.medtronic.com/blog/high-acuity-ventilator-cost-guide" xr:uid="{00000000-0004-0000-1F00-000036000000}"/>
    <hyperlink ref="H103" r:id="rId43" location=":~:text=It%20is%20estimated%20that%20there,them%20is%20%24300%20to%20%241000." xr:uid="{00000000-0004-0000-1F00-000039000000}"/>
    <hyperlink ref="H361" r:id="rId44" xr:uid="{00000000-0004-0000-1F00-00003A000000}"/>
    <hyperlink ref="H97" r:id="rId45" location=":~:text=Der%20Einsatz%20von%20Linearladungen%20%28Sprengschnur%29%20stellt%20hier%20eine,Kosten%20von%2018%20Cent%20f%C3%BCr%20jeden%20vernichteten%20Datentr%C3%A4ger." xr:uid="{00000000-0004-0000-1F00-00003C000000}"/>
    <hyperlink ref="H448" r:id="rId46" xr:uid="{00000000-0004-0000-1F00-00003D000000}"/>
    <hyperlink ref="H392" r:id="rId47" xr:uid="{00000000-0004-0000-1F00-00003E000000}"/>
    <hyperlink ref="H453" r:id="rId48" xr:uid="{00000000-0004-0000-1F00-00003F000000}"/>
    <hyperlink ref="H205" r:id="rId49" xr:uid="{00000000-0004-0000-1F00-000040000000}"/>
    <hyperlink ref="H336" r:id="rId50" xr:uid="{00000000-0004-0000-1F00-000043000000}"/>
    <hyperlink ref="H257" r:id="rId51" xr:uid="{00000000-0004-0000-1F00-000044000000}"/>
    <hyperlink ref="H341" r:id="rId52" xr:uid="{00000000-0004-0000-1F00-000045000000}"/>
    <hyperlink ref="H237" r:id="rId53" xr:uid="{00000000-0004-0000-1F00-000046000000}"/>
    <hyperlink ref="H258" r:id="rId54" xr:uid="{00000000-0004-0000-1F00-000047000000}"/>
    <hyperlink ref="H348" r:id="rId55" xr:uid="{00000000-0004-0000-1F00-000048000000}"/>
    <hyperlink ref="H150" r:id="rId56" xr:uid="{00000000-0004-0000-1F00-000049000000}"/>
    <hyperlink ref="H161" r:id="rId57" xr:uid="{00000000-0004-0000-1F00-00004A000000}"/>
    <hyperlink ref="H64" r:id="rId58" xr:uid="{00000000-0004-0000-1F00-00004B000000}"/>
    <hyperlink ref="H216" r:id="rId59" xr:uid="{00000000-0004-0000-1F00-00004C000000}"/>
    <hyperlink ref="H220" r:id="rId60" xr:uid="{00000000-0004-0000-1F00-00004E000000}"/>
    <hyperlink ref="H98" r:id="rId61" xr:uid="{00000000-0004-0000-1F00-000050000000}"/>
    <hyperlink ref="H40" r:id="rId62" xr:uid="{00000000-0004-0000-1F00-000051000000}"/>
    <hyperlink ref="H35" r:id="rId63" xr:uid="{00000000-0004-0000-1F00-000052000000}"/>
    <hyperlink ref="H192" r:id="rId64" xr:uid="{00000000-0004-0000-1F00-000053000000}"/>
    <hyperlink ref="H96" r:id="rId65" location=":~:text=Fly%20Eye%20%E2%80%93%20%24149.99&amp;text=Trim%2Fstabilization%20adjustment.,-Camera%20%E2%80%93%20Wi%2DFi" xr:uid="{00000000-0004-0000-1F00-000054000000}"/>
    <hyperlink ref="H72" r:id="rId66" xr:uid="{00000000-0004-0000-1F00-000056000000}"/>
    <hyperlink ref="H203" r:id="rId67" location=":~:text=The%20unit%20cost%20of%20a,to%20A3%20costs%20%24160%20000" xr:uid="{00000000-0004-0000-1F00-000057000000}"/>
    <hyperlink ref="H210" r:id="rId68" xr:uid="{00000000-0004-0000-1F00-000059000000}"/>
    <hyperlink ref="H370" r:id="rId69" xr:uid="{00000000-0004-0000-1F00-00005A000000}"/>
    <hyperlink ref="H358" r:id="rId70" xr:uid="{00000000-0004-0000-1F00-00005B000000}"/>
    <hyperlink ref="H265" r:id="rId71" xr:uid="{00000000-0004-0000-1F00-00005C000000}"/>
    <hyperlink ref="H194" r:id="rId72" xr:uid="{00000000-0004-0000-1F00-00005D000000}"/>
    <hyperlink ref="H177" r:id="rId73" xr:uid="{00000000-0004-0000-1F00-00005E000000}"/>
    <hyperlink ref="H440" r:id="rId74" xr:uid="{00000000-0004-0000-1F00-00005F000000}"/>
    <hyperlink ref="H429" r:id="rId75" xr:uid="{00000000-0004-0000-1F00-000060000000}"/>
    <hyperlink ref="H435" r:id="rId76" xr:uid="{00000000-0004-0000-1F00-000061000000}"/>
    <hyperlink ref="H360" r:id="rId77" xr:uid="{00000000-0004-0000-1F00-000062000000}"/>
    <hyperlink ref="H403" r:id="rId78" location=":~:text=The%20average%20construction%20costs%20for,built%20in%20a%20larger%20city" xr:uid="{00000000-0004-0000-1F00-000063000000}"/>
    <hyperlink ref="H165" r:id="rId79" xr:uid="{00000000-0004-0000-1F00-000064000000}"/>
    <hyperlink ref="H178" r:id="rId80" xr:uid="{00000000-0004-0000-1F00-000065000000}"/>
    <hyperlink ref="H175" r:id="rId81" xr:uid="{00000000-0004-0000-1F00-000066000000}"/>
    <hyperlink ref="H42" r:id="rId82" xr:uid="{00000000-0004-0000-1F00-000067000000}"/>
    <hyperlink ref="H154" r:id="rId83" xr:uid="{00000000-0004-0000-1F00-000068000000}"/>
    <hyperlink ref="H160" r:id="rId84" xr:uid="{00000000-0004-0000-1F00-00006A000000}"/>
    <hyperlink ref="H416" r:id="rId85" xr:uid="{00000000-0004-0000-1F00-00006C000000}"/>
    <hyperlink ref="H159" r:id="rId86" xr:uid="{00000000-0004-0000-1F00-00006E000000}"/>
    <hyperlink ref="H355" r:id="rId87" xr:uid="{00000000-0004-0000-1F00-00006F000000}"/>
    <hyperlink ref="H364" r:id="rId88" xr:uid="{00000000-0004-0000-1F00-000070000000}"/>
    <hyperlink ref="H322" r:id="rId89" xr:uid="{00000000-0004-0000-1F00-000071000000}"/>
    <hyperlink ref="H200" r:id="rId90" xr:uid="{00000000-0004-0000-1F00-000072000000}"/>
    <hyperlink ref="H206" r:id="rId91" xr:uid="{00000000-0004-0000-1F00-000073000000}"/>
    <hyperlink ref="H325" r:id="rId92" location=":~:text=Unit%20cost%3A%20%24329%20(Fiscal%20Year%202002).&amp;text=The%20M766%2060mm%20mortar%20cartridge,the%2060mm%20mortar%20training%20strategy." xr:uid="{00000000-0004-0000-1F00-000075000000}"/>
    <hyperlink ref="H197" r:id="rId93" xr:uid="{00000000-0004-0000-1F00-000076000000}"/>
    <hyperlink ref="H234" r:id="rId94" xr:uid="{00000000-0004-0000-1F00-000077000000}"/>
    <hyperlink ref="H201" r:id="rId95" xr:uid="{00000000-0004-0000-1F00-000078000000}"/>
    <hyperlink ref="H254" r:id="rId96" xr:uid="{00000000-0004-0000-1F00-000079000000}"/>
    <hyperlink ref="H149" r:id="rId97" xr:uid="{00000000-0004-0000-1F00-00007A000000}"/>
    <hyperlink ref="H404" r:id="rId98" xr:uid="{00000000-0004-0000-1F00-00007B000000}"/>
    <hyperlink ref="H55" r:id="rId99" xr:uid="{00000000-0004-0000-1F00-00007C000000}"/>
    <hyperlink ref="H74" r:id="rId100" xr:uid="{00000000-0004-0000-1F00-00007D000000}"/>
    <hyperlink ref="H62" r:id="rId101" xr:uid="{00000000-0004-0000-1F00-00007E000000}"/>
    <hyperlink ref="H199" r:id="rId102" xr:uid="{00000000-0004-0000-1F00-00007F000000}"/>
    <hyperlink ref="H245" r:id="rId103" xr:uid="{00000000-0004-0000-1F00-000081000000}"/>
    <hyperlink ref="H281" r:id="rId104" xr:uid="{00000000-0004-0000-1F00-000082000000}"/>
    <hyperlink ref="H65" r:id="rId105" xr:uid="{00000000-0004-0000-1F00-000083000000}"/>
    <hyperlink ref="H75" r:id="rId106" xr:uid="{00000000-0004-0000-1F00-000084000000}"/>
    <hyperlink ref="H367" r:id="rId107" xr:uid="{00000000-0004-0000-1F00-000086000000}"/>
    <hyperlink ref="H104" r:id="rId108" xr:uid="{00000000-0004-0000-1F00-000087000000}"/>
    <hyperlink ref="H271" r:id="rId109" xr:uid="{00000000-0004-0000-1F00-000088000000}"/>
    <hyperlink ref="H410" r:id="rId110" xr:uid="{00000000-0004-0000-1F00-000089000000}"/>
    <hyperlink ref="H437" r:id="rId111" xr:uid="{00000000-0004-0000-1F00-00008A000000}"/>
    <hyperlink ref="H90" r:id="rId112" xr:uid="{00000000-0004-0000-1F00-00008B000000}"/>
    <hyperlink ref="H191" r:id="rId113" xr:uid="{00000000-0004-0000-1F00-00008C000000}"/>
    <hyperlink ref="H460" r:id="rId114" xr:uid="{00000000-0004-0000-1F00-00008D000000}"/>
    <hyperlink ref="H446" r:id="rId115" display="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 xr:uid="{00000000-0004-0000-1F00-00008E000000}"/>
    <hyperlink ref="H147" r:id="rId116" display="https://www.wiwo.de/politik/deutschland/140-millionen-euro-teures-luftabwehrsystem-ukraine-erwartet-im-oktober-erste-iris-t-lieferung/28393480.html. https://mil.in.ua/en/news/iris-t-slm-medium-range-air-defense-system-germany-released-an-updated-list-of-weapons-for-ukraine/ " xr:uid="{00000000-0004-0000-1F00-00008F000000}"/>
    <hyperlink ref="H204" r:id="rId117" xr:uid="{00000000-0004-0000-1F00-000090000000}"/>
    <hyperlink ref="H247" r:id="rId118" location=":~:text=Regular%20artillery%20shells%20are%20estimated,up%20to%2040%20kilometres%20away" xr:uid="{00000000-0004-0000-1F00-000091000000}"/>
    <hyperlink ref="H248" r:id="rId119" location=":~:text=Regular%20artillery%20shells%20are%20estimated,up%20to%2040%20kilometres%20away" xr:uid="{00000000-0004-0000-1F00-000093000000}"/>
    <hyperlink ref="H63" r:id="rId120" location=":~:text=WARSAW%2C%20Poland%20%E2%80%94%20The%20Polish%20Ministry,systems%20for%20the%20country%27s%20military" xr:uid="{00000000-0004-0000-1F00-000094000000}"/>
    <hyperlink ref="H207" r:id="rId121" xr:uid="{00000000-0004-0000-1F00-000095000000}"/>
    <hyperlink ref="H59" r:id="rId122" location=":~:text=The%20cost%20of%20one%20RQ,NATO%20countries%20and%20their%20partners" xr:uid="{00000000-0004-0000-1F00-000096000000}"/>
    <hyperlink ref="H432" r:id="rId123" xr:uid="{00000000-0004-0000-1F00-000099000000}"/>
    <hyperlink ref="H320" r:id="rId124" location=":~:text=The%20Mamba%204%C3%974,had%20developed%20at%20the%20time" xr:uid="{00000000-0004-0000-1F00-00009A000000}"/>
    <hyperlink ref="H76" r:id="rId125" xr:uid="{00000000-0004-0000-1F00-00009B000000}"/>
    <hyperlink ref="H100" r:id="rId126" xr:uid="{00000000-0004-0000-1F00-00009C000000}"/>
    <hyperlink ref="H442" r:id="rId127" xr:uid="{00000000-0004-0000-1F00-00009D000000}"/>
    <hyperlink ref="H449" r:id="rId128" xr:uid="{00000000-0004-0000-1F00-00009E000000}"/>
    <hyperlink ref="H434" r:id="rId129" xr:uid="{00000000-0004-0000-1F00-00009F000000}"/>
    <hyperlink ref="H101" r:id="rId130" xr:uid="{00000000-0004-0000-1F00-0000A1000000}"/>
    <hyperlink ref="H44" r:id="rId131" xr:uid="{00000000-0004-0000-1F00-0000A2000000}"/>
    <hyperlink ref="H85" r:id="rId132" location="v=onepage&amp;q=66mm%20rocket%20cost&amp;f=false" xr:uid="{00000000-0004-0000-1F00-0000A3000000}"/>
    <hyperlink ref="H461" r:id="rId133" xr:uid="{00000000-0004-0000-1F00-0000A4000000}"/>
    <hyperlink ref="H394" r:id="rId134" display="https://en.wikipedia.org/wiki/AGM-114_Hellfire" xr:uid="{00000000-0004-0000-1F00-0000A5000000}"/>
    <hyperlink ref="H430" r:id="rId135" xr:uid="{00000000-0004-0000-1F00-0000A6000000}"/>
    <hyperlink ref="H420" r:id="rId136" xr:uid="{00000000-0004-0000-1F00-0000A7000000}"/>
    <hyperlink ref="H424" r:id="rId137" xr:uid="{00000000-0004-0000-1F00-0000A8000000}"/>
    <hyperlink ref="H439" r:id="rId138" xr:uid="{00000000-0004-0000-1F00-0000A9000000}"/>
    <hyperlink ref="H411" r:id="rId139" location=":~:text=Single%2DWide%20or%20Single%2DSection%20Home,-As%20the%20smaller&amp;text=The%20Census%20Bureau%20reports%20that,was%20%2476%2C400%20in%20November%202021" xr:uid="{00000000-0004-0000-1F00-0000AA000000}"/>
    <hyperlink ref="H89" r:id="rId140" location=":~:text=The%20M72%20LAW%20is%20still,200%2C%20depending%20on%20the%20model" xr:uid="{00000000-0004-0000-1F00-0000AD000000}"/>
    <hyperlink ref="H73" r:id="rId141" xr:uid="{00000000-0004-0000-1F00-0000AE000000}"/>
    <hyperlink ref="H371" r:id="rId142" xr:uid="{00000000-0004-0000-1F00-0000B2000000}"/>
    <hyperlink ref="H426" r:id="rId143" location=":~:text=How%20much%20does%20a%20monitor,price%20is%20around%20%24200%20%2D%20%24300" xr:uid="{00000000-0004-0000-1F00-0000B3000000}"/>
    <hyperlink ref="H425" r:id="rId144" xr:uid="{00000000-0004-0000-1F00-0000B6000000}"/>
    <hyperlink ref="H332" r:id="rId145" xr:uid="{00000000-0004-0000-1F00-0000B7000000}"/>
    <hyperlink ref="H95" r:id="rId146" xr:uid="{00000000-0004-0000-1F00-0000BA000000}"/>
    <hyperlink ref="H344" r:id="rId147" xr:uid="{00000000-0004-0000-1F00-0000BB000000}"/>
    <hyperlink ref="H279" r:id="rId148" xr:uid="{00000000-0004-0000-1F00-0000BD000000}"/>
    <hyperlink ref="H368" r:id="rId149" xr:uid="{00000000-0004-0000-1F00-0000BE000000}"/>
    <hyperlink ref="H280" r:id="rId150" xr:uid="{00000000-0004-0000-1F00-0000BF000000}"/>
    <hyperlink ref="H444" r:id="rId151" xr:uid="{00000000-0004-0000-1F00-0000C1000000}"/>
    <hyperlink ref="H369" r:id="rId152" xr:uid="{00000000-0004-0000-1F00-0000C3000000}"/>
    <hyperlink ref="H80" r:id="rId153" xr:uid="{00000000-0004-0000-1F00-0000C5000000}"/>
    <hyperlink ref="H422" r:id="rId154" location=":~:text=The%20average%20selling%20price%20of,U.S.%20dollars%20in%20constant%20currency" xr:uid="{00000000-0004-0000-1F00-0000C7000000}"/>
    <hyperlink ref="H421" r:id="rId155" location=":~:text=The%20Average%20Cost%20of%20a%20Laptop,-Let%27s%20leave%20the&amp;text=For%20example%2C%20on%20average%2C%20the,Ultrabooks%20that%20satisfy%20your%20needs" xr:uid="{00000000-0004-0000-1F00-0000C8000000}"/>
    <hyperlink ref="H259" r:id="rId156" xr:uid="{00000000-0004-0000-1F00-0000C9000000}"/>
    <hyperlink ref="H242" r:id="rId157" xr:uid="{00000000-0004-0000-1F00-0000CB000000}"/>
    <hyperlink ref="H352" r:id="rId158" xr:uid="{00000000-0004-0000-1F00-0000CD000000}"/>
    <hyperlink ref="H356" r:id="rId159" xr:uid="{00000000-0004-0000-1F00-0000CE000000}"/>
    <hyperlink ref="H164" r:id="rId160" xr:uid="{00000000-0004-0000-1F00-0000D0000000}"/>
    <hyperlink ref="H21" r:id="rId161" xr:uid="{00000000-0004-0000-1F00-0000D2000000}"/>
    <hyperlink ref="H345" r:id="rId162" xr:uid="{00000000-0004-0000-1F00-0000D3000000}"/>
    <hyperlink ref="H88" r:id="rId163" location=":~:text=Regular%20artillery%20shells%20are%20estimated,up%20to%2040%20kilometres%20away" xr:uid="{00000000-0004-0000-1F00-0000D4000000}"/>
    <hyperlink ref="H267" r:id="rId164"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1F00-0000D5000000}"/>
    <hyperlink ref="H181" r:id="rId165" location=":~:text=Bewaffnete%20Drohnen%20f%C3%BCr%20Bundeswehr%3A%20Heron,Munition%20%22Special%20Payload%22%20zu." xr:uid="{00000000-0004-0000-1F00-0000D8000000}"/>
    <hyperlink ref="H343" r:id="rId166" display="https://www.praxisdienst.de/Einrichtung/Ablegen+und+lagern/Medikamentenkuehlschraenke/Liebherr+MKUv+1610+Medikamentenkuehlschrank+mit+Fachboeden.html?speed=1&amp;gclid=Cj0KCQjwntCVBhDdARIsAMEwACmOKJaqbtWlmkE3PwceLhHIP9m3qGdulBKn1kImSy42c3gxKcXCRD4aAhIXEALw_wcB" xr:uid="{00000000-0004-0000-1F00-0000D9000000}"/>
    <hyperlink ref="H363" r:id="rId167" xr:uid="{00000000-0004-0000-1F00-0000DA000000}"/>
    <hyperlink ref="H334" r:id="rId168" xr:uid="{00000000-0004-0000-1F00-0000DB000000}"/>
    <hyperlink ref="H270" r:id="rId169" display="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xr:uid="{00000000-0004-0000-1F00-0000DC000000}"/>
    <hyperlink ref="H438" r:id="rId170" xr:uid="{00000000-0004-0000-1F00-0000DD000000}"/>
    <hyperlink ref="H19" r:id="rId171" xr:uid="{00000000-0004-0000-1F00-0000E0000000}"/>
    <hyperlink ref="H158" r:id="rId172" location=":~:text=A%20Patrol%20Coastal%20boat%20has,cost%20around%20%2415%20million%20each" xr:uid="{00000000-0004-0000-1F00-0000E1000000}"/>
    <hyperlink ref="H153" r:id="rId173" location=":~:text=A%20Patrol%20Coastal%20boat%20has,cost%20around%20%2415%20million%20each" xr:uid="{00000000-0004-0000-1F00-0000E2000000}"/>
    <hyperlink ref="H155" r:id="rId174" xr:uid="{00000000-0004-0000-1F00-0000E4000000}"/>
    <hyperlink ref="H189" r:id="rId175" xr:uid="{00000000-0004-0000-1F00-0000E5000000}"/>
    <hyperlink ref="H39" r:id="rId176" xr:uid="{00000000-0004-0000-1F00-0000E6000000}"/>
    <hyperlink ref="H173" r:id="rId177" xr:uid="{00000000-0004-0000-1F00-0000EA000000}"/>
    <hyperlink ref="H152" r:id="rId178" xr:uid="{00000000-0004-0000-1F00-0000EB000000}"/>
    <hyperlink ref="H167" r:id="rId179" xr:uid="{00000000-0004-0000-1F00-0000EC000000}"/>
    <hyperlink ref="H187" r:id="rId180" xr:uid="{00000000-0004-0000-1F00-0000ED000000}"/>
    <hyperlink ref="H333" r:id="rId181" xr:uid="{00000000-0004-0000-1F00-0000EE000000}"/>
    <hyperlink ref="H423" r:id="rId182" xr:uid="{00000000-0004-0000-1F00-0000F1000000}"/>
    <hyperlink ref="H366" r:id="rId183" xr:uid="{00000000-0004-0000-1F00-0000F2000000}"/>
    <hyperlink ref="H436" r:id="rId184" xr:uid="{00000000-0004-0000-1F00-0000F3000000}"/>
    <hyperlink ref="H427" r:id="rId185" xr:uid="{00000000-0004-0000-1F00-0000F5000000}"/>
    <hyperlink ref="H347" r:id="rId186" xr:uid="{00000000-0004-0000-1F00-0000F6000000}"/>
    <hyperlink ref="H240" r:id="rId187" xr:uid="{00000000-0004-0000-1F00-0000F7000000}"/>
    <hyperlink ref="H57" r:id="rId188" xr:uid="{00000000-0004-0000-1F00-0000F8000000}"/>
    <hyperlink ref="H195" r:id="rId189" xr:uid="{00000000-0004-0000-1F00-0000F9000000}"/>
    <hyperlink ref="H196" r:id="rId190" xr:uid="{00000000-0004-0000-1F00-0000FA000000}"/>
    <hyperlink ref="H92" r:id="rId191" xr:uid="{00000000-0004-0000-1F00-0000FB000000}"/>
    <hyperlink ref="H91" r:id="rId192" xr:uid="{00000000-0004-0000-1F00-0000FC000000}"/>
    <hyperlink ref="H54" r:id="rId193" xr:uid="{00000000-0004-0000-1F00-0000FD000000}"/>
    <hyperlink ref="H214" r:id="rId194" xr:uid="{00000000-0004-0000-1F00-0000FE000000}"/>
    <hyperlink ref="H215" r:id="rId195" xr:uid="{00000000-0004-0000-1F00-0000FF000000}"/>
    <hyperlink ref="H209" r:id="rId196" xr:uid="{00000000-0004-0000-1F00-000000010000}"/>
    <hyperlink ref="H264" r:id="rId197" xr:uid="{00000000-0004-0000-1F00-000002010000}"/>
    <hyperlink ref="H84" r:id="rId198" xr:uid="{00000000-0004-0000-1F00-000003010000}"/>
    <hyperlink ref="H217" r:id="rId199" xr:uid="{00000000-0004-0000-1F00-000005010000}"/>
    <hyperlink ref="H105" r:id="rId200" xr:uid="{00000000-0004-0000-1F00-000006010000}"/>
    <hyperlink ref="H330" r:id="rId201" xr:uid="{00000000-0004-0000-1F00-000007010000}"/>
    <hyperlink ref="H354" r:id="rId202" xr:uid="{00000000-0004-0000-1F00-000008010000}"/>
    <hyperlink ref="H451" r:id="rId203" xr:uid="{00000000-0004-0000-1F00-000009010000}"/>
    <hyperlink ref="H431" r:id="rId204" xr:uid="{00000000-0004-0000-1F00-00000A010000}"/>
    <hyperlink ref="H415" r:id="rId205" display="https://www.ers.usda.gov/publications/pub-details/?pubid=43836 and source for medical supplies:https://economictimes.indiatimes.com/news/politics-and-nation/india-provided-15-tonnes-of-medical-supplies-worth-rs-2-11-crore-to-coronavirus-hit-china-government/articleshow/74693578.cms?from=mdr" xr:uid="{00000000-0004-0000-1F00-00000D010000}"/>
    <hyperlink ref="H419" r:id="rId206" xr:uid="{00000000-0004-0000-1F00-00000E010000}"/>
    <hyperlink ref="H433" r:id="rId207" xr:uid="{00000000-0004-0000-1F00-00000F010000}"/>
    <hyperlink ref="H405" r:id="rId208" xr:uid="{00000000-0004-0000-1F00-000010010000}"/>
    <hyperlink ref="H213" r:id="rId209" xr:uid="{00000000-0004-0000-1F00-000011010000}"/>
    <hyperlink ref="H227" r:id="rId210" xr:uid="{00000000-0004-0000-1F00-000012010000}"/>
    <hyperlink ref="H238" r:id="rId211" xr:uid="{00000000-0004-0000-1F00-000013010000}"/>
    <hyperlink ref="H342" r:id="rId212" xr:uid="{00000000-0004-0000-1F00-000014010000}"/>
    <hyperlink ref="H346" r:id="rId213" xr:uid="{00000000-0004-0000-1F00-000015010000}"/>
    <hyperlink ref="H253" r:id="rId214" location="Export_(Military/LE)" xr:uid="{00000000-0004-0000-1F00-000016010000}"/>
    <hyperlink ref="H372" r:id="rId215" xr:uid="{00000000-0004-0000-1F00-000017010000}"/>
    <hyperlink ref="H338" r:id="rId216" xr:uid="{00000000-0004-0000-1F00-000018010000}"/>
    <hyperlink ref="H262" r:id="rId217" xr:uid="{00000000-0004-0000-1F00-00001A010000}"/>
    <hyperlink ref="H77" r:id="rId218" xr:uid="{00000000-0004-0000-1F00-00001B010000}"/>
    <hyperlink ref="H43" r:id="rId219" location=":~:text=According%20to%20Forecast%20International%2C%20the,in%202002%20was%20US%24594%2C000" xr:uid="{00000000-0004-0000-1F00-00001C010000}"/>
    <hyperlink ref="H18" r:id="rId220" xr:uid="{00000000-0004-0000-1F00-00001D010000}"/>
    <hyperlink ref="H185" r:id="rId221" xr:uid="{00000000-0004-0000-1F00-00001E010000}"/>
    <hyperlink ref="H190" r:id="rId222" xr:uid="{00000000-0004-0000-1F00-00001F010000}"/>
    <hyperlink ref="H37" r:id="rId223" xr:uid="{00000000-0004-0000-1F00-000020010000}"/>
    <hyperlink ref="H99" r:id="rId224" xr:uid="{00000000-0004-0000-1F00-000021010000}"/>
    <hyperlink ref="H244" r:id="rId225" location=":~:text=The%20AT4-CS%20will%20continue%20to%20be%20the%20U.S.,Classification%20Date%3A%203rd%20Quarter%20FY04.%20Unit%20cost%3A%20%242%2C700" xr:uid="{00000000-0004-0000-1F00-000023010000}"/>
    <hyperlink ref="H246" r:id="rId226" xr:uid="{00000000-0004-0000-1F00-000024010000}"/>
    <hyperlink ref="H193" r:id="rId227" xr:uid="{00000000-0004-0000-1F00-000026010000}"/>
    <hyperlink ref="H156" r:id="rId228" xr:uid="{00000000-0004-0000-1F00-000027010000}"/>
    <hyperlink ref="H235" r:id="rId229" xr:uid="{00000000-0004-0000-1F00-000029010000}"/>
    <hyperlink ref="H56" r:id="rId230" xr:uid="{00000000-0004-0000-1F00-00002A010000}"/>
    <hyperlink ref="H443" r:id="rId231" xr:uid="{00000000-0004-0000-1F00-00002C010000}"/>
    <hyperlink ref="H230" r:id="rId232" xr:uid="{00000000-0004-0000-1F00-00002D010000}"/>
    <hyperlink ref="H66" r:id="rId233" xr:uid="{00000000-0004-0000-1F00-00002E010000}"/>
    <hyperlink ref="H183" r:id="rId234" xr:uid="{00000000-0004-0000-1F00-000030010000}"/>
    <hyperlink ref="H188" r:id="rId235" xr:uid="{00000000-0004-0000-1F00-000031010000}"/>
    <hyperlink ref="H176" r:id="rId236" xr:uid="{00000000-0004-0000-1F00-000032010000}"/>
    <hyperlink ref="H182" r:id="rId237" xr:uid="{00000000-0004-0000-1F00-000033010000}"/>
    <hyperlink ref="H179" r:id="rId238" xr:uid="{00000000-0004-0000-1F00-000034010000}"/>
    <hyperlink ref="H169" r:id="rId239" xr:uid="{00000000-0004-0000-1F00-000035010000}"/>
    <hyperlink ref="H102" r:id="rId240" xr:uid="{00000000-0004-0000-1F00-000036010000}"/>
    <hyperlink ref="H212" r:id="rId241" xr:uid="{00000000-0004-0000-1F00-000037010000}"/>
    <hyperlink ref="H53" r:id="rId242" xr:uid="{00000000-0004-0000-1F00-000038010000}"/>
    <hyperlink ref="H184" r:id="rId243" xr:uid="{00000000-0004-0000-1F00-000039010000}"/>
    <hyperlink ref="H198" r:id="rId244" xr:uid="{00000000-0004-0000-1F00-00003B010000}"/>
    <hyperlink ref="H61" r:id="rId245" xr:uid="{00000000-0004-0000-1F00-00003C010000}"/>
    <hyperlink ref="H70" r:id="rId246" xr:uid="{00000000-0004-0000-1F00-00003D010000}"/>
    <hyperlink ref="H83" r:id="rId247" xr:uid="{00000000-0004-0000-1F00-00003F010000}"/>
    <hyperlink ref="H82" r:id="rId248" xr:uid="{00000000-0004-0000-1F00-000040010000}"/>
    <hyperlink ref="H81" r:id="rId249" xr:uid="{00000000-0004-0000-1F00-000041010000}"/>
    <hyperlink ref="H67" r:id="rId250" location="v=onepage&amp;q&amp;f=false" xr:uid="{00000000-0004-0000-1F00-000042010000}"/>
    <hyperlink ref="H86" r:id="rId251" location=":~:text=Regular%20artillery%20shells%20are%20estimated,up%20to%2040%20kilometres%20away" xr:uid="{00000000-0004-0000-1F00-000043010000}"/>
    <hyperlink ref="H87" r:id="rId252" location=":~:text=Regular%20artillery%20shells%20are%20estimated,up%20to%2040%20kilometres%20away" xr:uid="{00000000-0004-0000-1F00-000044010000}"/>
    <hyperlink ref="H45" r:id="rId253" xr:uid="{00000000-0004-0000-1F00-000045010000}"/>
    <hyperlink ref="H20" r:id="rId254" xr:uid="{00000000-0004-0000-1F00-000046010000}"/>
    <hyperlink ref="H373" r:id="rId255" xr:uid="{00000000-0004-0000-1F00-000049010000}"/>
    <hyperlink ref="H365" r:id="rId256" xr:uid="{00000000-0004-0000-1F00-00004A010000}"/>
    <hyperlink ref="H327" r:id="rId257" xr:uid="{00000000-0004-0000-1F00-00004B010000}"/>
    <hyperlink ref="H157" r:id="rId258" xr:uid="{00000000-0004-0000-1F00-00004D010000}"/>
    <hyperlink ref="H146" r:id="rId259" xr:uid="{00000000-0004-0000-1F00-00004E010000}"/>
    <hyperlink ref="H208" r:id="rId260" xr:uid="{00000000-0004-0000-1F00-00004F010000}"/>
    <hyperlink ref="H186" r:id="rId261" xr:uid="{00000000-0004-0000-1F00-000050010000}"/>
    <hyperlink ref="H162" r:id="rId262" xr:uid="{00000000-0004-0000-1F00-000051010000}"/>
    <hyperlink ref="H166" r:id="rId263" xr:uid="{00000000-0004-0000-1F00-000052010000}"/>
    <hyperlink ref="H170" r:id="rId264" xr:uid="{00000000-0004-0000-1F00-000053010000}"/>
    <hyperlink ref="H168" r:id="rId265" xr:uid="{00000000-0004-0000-1F00-000054010000}"/>
    <hyperlink ref="H282" r:id="rId266"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1F00-000055010000}"/>
    <hyperlink ref="H107" r:id="rId267" xr:uid="{00000000-0004-0000-1F00-000056010000}"/>
    <hyperlink ref="H172" r:id="rId268" xr:uid="{00000000-0004-0000-1F00-000057010000}"/>
    <hyperlink ref="H106" r:id="rId269" xr:uid="{00000000-0004-0000-1F00-000058010000}"/>
    <hyperlink ref="H465" r:id="rId270" xr:uid="{00000000-0004-0000-1F00-000059010000}"/>
    <hyperlink ref="H466" r:id="rId271" xr:uid="{00000000-0004-0000-1F00-00005A010000}"/>
    <hyperlink ref="H287" r:id="rId272" xr:uid="{00000000-0004-0000-1F00-00005C010000}"/>
    <hyperlink ref="H22" r:id="rId273" xr:uid="{00000000-0004-0000-1F00-00005D010000}"/>
    <hyperlink ref="H471" r:id="rId274" xr:uid="{00000000-0004-0000-1F00-00005F010000}"/>
    <hyperlink ref="H288" r:id="rId275" xr:uid="{00000000-0004-0000-1F00-000060010000}"/>
    <hyperlink ref="H479" r:id="rId276" xr:uid="{00000000-0004-0000-1F00-000061010000}"/>
    <hyperlink ref="H47" r:id="rId277" xr:uid="{00000000-0004-0000-1F00-000062010000}"/>
    <hyperlink ref="H289" r:id="rId278" xr:uid="{00000000-0004-0000-1F00-000063010000}"/>
    <hyperlink ref="H290" r:id="rId279" xr:uid="{00000000-0004-0000-1F00-000064010000}"/>
    <hyperlink ref="H291" r:id="rId280" xr:uid="{00000000-0004-0000-1F00-000065010000}"/>
    <hyperlink ref="H375" r:id="rId281" xr:uid="{00000000-0004-0000-1F00-000068010000}"/>
    <hyperlink ref="H294" r:id="rId282" xr:uid="{00000000-0004-0000-1F00-000069010000}"/>
    <hyperlink ref="H48" r:id="rId283" xr:uid="{00000000-0004-0000-1F00-00006B010000}"/>
    <hyperlink ref="H292" r:id="rId284" xr:uid="{00000000-0004-0000-1F00-00006C010000}"/>
    <hyperlink ref="H298" r:id="rId285" xr:uid="{00000000-0004-0000-1F00-00006D010000}"/>
    <hyperlink ref="H108" r:id="rId286" location=":~:text=La%20Junta%20de%20Contrataci%C3%B3n%20del,unitario%20de%202.099%2C35%20euros" xr:uid="{00000000-0004-0000-1F00-00006E010000}"/>
    <hyperlink ref="H49" r:id="rId287" xr:uid="{00000000-0004-0000-1F00-000070010000}"/>
    <hyperlink ref="H300" r:id="rId288" location=":~:text=The%20Czech%20Republic%20yesterday%20signed,a%20cost%20of%20%24125m.&amp;text=The%20%24125m%20contract%20covers%20eight%20multi%2Dmission%20radars" xr:uid="{00000000-0004-0000-1F00-000071010000}"/>
    <hyperlink ref="H487" r:id="rId289" xr:uid="{00000000-0004-0000-1F00-000072010000}"/>
    <hyperlink ref="H488" r:id="rId290" xr:uid="{00000000-0004-0000-1F00-000073010000}"/>
    <hyperlink ref="H475" r:id="rId291" xr:uid="{00000000-0004-0000-1F00-000074010000}"/>
    <hyperlink ref="H493" r:id="rId292" xr:uid="{00000000-0004-0000-1F00-000075010000}"/>
    <hyperlink ref="H30" r:id="rId293" xr:uid="{00000000-0004-0000-1F00-000076010000}"/>
    <hyperlink ref="H301" r:id="rId294" xr:uid="{00000000-0004-0000-1F00-000077010000}"/>
    <hyperlink ref="H46" r:id="rId295" xr:uid="{00000000-0004-0000-1F00-000078010000}"/>
    <hyperlink ref="H25" r:id="rId296" xr:uid="{00000000-0004-0000-1F00-000079010000}"/>
    <hyperlink ref="H26" r:id="rId297" xr:uid="{00000000-0004-0000-1F00-00007A010000}"/>
    <hyperlink ref="H295" r:id="rId298" xr:uid="{00000000-0004-0000-1F00-00007B010000}"/>
    <hyperlink ref="H299" r:id="rId299" xr:uid="{00000000-0004-0000-1F00-00007C010000}"/>
    <hyperlink ref="H171" r:id="rId300" xr:uid="{00000000-0004-0000-1F00-00007E010000}"/>
    <hyperlink ref="H33" r:id="rId301" xr:uid="{6E459406-BB22-4C25-A4C3-FD1E2BCA4E04}"/>
    <hyperlink ref="H38" r:id="rId302" xr:uid="{0179CA19-CF59-4686-9F31-062FECF0541B}"/>
    <hyperlink ref="H41" r:id="rId303" xr:uid="{77694145-21C5-49D2-A1A6-A6CF164888E6}"/>
    <hyperlink ref="H58" r:id="rId304" xr:uid="{0C8D03B8-D3D7-4F87-B3D8-BDADCC4647F4}"/>
    <hyperlink ref="H144" r:id="rId305" xr:uid="{FD38E96C-E44C-49C1-9905-371AA531F3A9}"/>
    <hyperlink ref="H148" r:id="rId306" xr:uid="{E583C5EA-8702-47DA-BE78-DCEFED857BBA}"/>
    <hyperlink ref="H163" r:id="rId307" xr:uid="{E2953C55-6149-4AC6-BFC4-4EC7BB3A10BA}"/>
    <hyperlink ref="H202" r:id="rId308" xr:uid="{4CA8CDAA-5737-462F-8520-8BB7D4BA7BF5}"/>
    <hyperlink ref="H60" r:id="rId309" location="11051744000014" xr:uid="{2E3DAACC-F2E1-4372-8F71-DDC7711A60DE}"/>
    <hyperlink ref="H409" r:id="rId310" xr:uid="{9CAA3CB9-7CE2-4436-AD15-86D3DCA61193}"/>
    <hyperlink ref="H218" r:id="rId311" xr:uid="{ABC1AAA0-FE46-4552-B8E3-82E6843D944E}"/>
    <hyperlink ref="H293" r:id="rId312" xr:uid="{45E283C2-A8C5-468B-A516-FF3DEC21C087}"/>
    <hyperlink ref="H492" r:id="rId313" display="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 xr:uid="{EEC981A5-F525-4E9D-9499-31D76DEA07D0}"/>
    <hyperlink ref="H286" r:id="rId314" xr:uid="{D5894CA2-9814-480F-A86A-CC463E0DF30E}"/>
    <hyperlink ref="H283" r:id="rId315" location=":~:text=The%20tactical%20rounds%20cost%20%2450,which%20will%20cost%20around%20%247" xr:uid="{5371A7DD-3F57-4355-A2FE-C78C151D5115}"/>
    <hyperlink ref="H445" r:id="rId316" xr:uid="{C84B4E5D-9E5A-4293-AE3A-0AB9D4DE2C6F}"/>
    <hyperlink ref="H272" r:id="rId317" xr:uid="{64B86AB0-C334-4D28-9829-3FA99127B003}"/>
    <hyperlink ref="H273" r:id="rId318" xr:uid="{CA447D10-B3CC-4AC2-990C-BD63571B1BF9}"/>
    <hyperlink ref="H275" r:id="rId319" xr:uid="{B1AE737D-33A3-450B-9821-044F2D12B05C}"/>
    <hyperlink ref="H94" r:id="rId320" xr:uid="{7449ADA4-0DCD-4958-8060-250F8106CE67}"/>
    <hyperlink ref="H266" r:id="rId321" xr:uid="{0D46D4F1-4B5C-44F7-89DC-76372EB9EB96}"/>
    <hyperlink ref="H231" r:id="rId322" xr:uid="{B22891A4-A885-4EC0-90A3-1E61A36F52A4}"/>
    <hyperlink ref="H251" r:id="rId323" location=":~:text=The%20M72%20LAW%20is%20still,200%2C%20depending%20on%20the%20model" xr:uid="{28F654C2-7269-4C44-85D2-FDE9C45A432F}"/>
    <hyperlink ref="H250" r:id="rId324" location=":~:text=The%20M72%20LAW%20is%20still,200%2C%20depending%20on%20the%20model" xr:uid="{7B33AB07-9086-4E95-B2F7-5FF47AB45BC6}"/>
    <hyperlink ref="H249" r:id="rId325" location=":~:text=The%20M72%20LAW%20is%20still,200%2C%20depending%20on%20the%20model" xr:uid="{AEB18522-D2DE-4243-BB0F-2376E4E53840}"/>
    <hyperlink ref="H239" r:id="rId326" xr:uid="{CDC53430-9686-4B37-99FF-84E47503038B}"/>
    <hyperlink ref="H418" r:id="rId327" xr:uid="{2776619D-88BB-4AAB-B0F3-31C8D4E1707E}"/>
    <hyperlink ref="H236" r:id="rId328" xr:uid="{9560C29C-D75E-49F8-AF89-5CB615B96BA4}"/>
    <hyperlink ref="H78" r:id="rId329" xr:uid="{97ABFE97-EE9E-405C-B9D5-2133DC33C895}"/>
    <hyperlink ref="H233" r:id="rId330" xr:uid="{DA04E81D-5BB5-4AFA-993D-8FF3BE99697A}"/>
    <hyperlink ref="H337" r:id="rId331" xr:uid="{6D67E8A7-287A-4C62-B8B6-B44FB4476062}"/>
    <hyperlink ref="H232" r:id="rId332" xr:uid="{7A4D7A51-9029-4375-9229-6079511C2D4F}"/>
    <hyperlink ref="H335" r:id="rId333" xr:uid="{EA0772BD-184D-4777-8957-43E17A3D8079}"/>
    <hyperlink ref="H229" r:id="rId334" xr:uid="{5379EAA8-6EFF-49C1-B482-37D03DEA3A46}"/>
    <hyperlink ref="H71" r:id="rId335" xr:uid="{D50493D5-086C-471E-AF47-69E59E67FF6D}"/>
    <hyperlink ref="H223" r:id="rId336" xr:uid="{D7EC724E-D54B-48B7-B6D0-1BD7152200F0}"/>
    <hyperlink ref="H69" r:id="rId337" xr:uid="{00000000-0004-0000-1F00-000001000000}"/>
    <hyperlink ref="H222" r:id="rId338" xr:uid="{C4C9B2F9-7A7D-41DD-A217-F3B64BE8D65A}"/>
    <hyperlink ref="H68" r:id="rId339" xr:uid="{F8D9292A-4F74-422C-9D3C-1A23D4C68638}"/>
    <hyperlink ref="H476" r:id="rId340" xr:uid="{3BDA2D99-EAEA-43CF-BA21-974B1991E5A9}"/>
    <hyperlink ref="H302" r:id="rId341" xr:uid="{54D420BC-C7C2-4CE2-9E39-70F1C6F8C30C}"/>
    <hyperlink ref="H376" r:id="rId342" location=":~:text=Buying%20an%20armored%20car%20is,while%20others%20need%20special%20work" xr:uid="{07BB86B9-A0E2-4D29-B102-6ED0C340C7DF}"/>
    <hyperlink ref="H305" r:id="rId343" xr:uid="{691CA8D0-A08F-4D9C-972A-CDF606BF8444}"/>
    <hyperlink ref="H306" r:id="rId344" xr:uid="{F5A4E6E1-2683-4281-ADFD-0024EFA8FA50}"/>
    <hyperlink ref="H328" r:id="rId345" location=":~:text=Buying%20an%20armored%20car%20is,while%20others%20need%20special%20work" xr:uid="{E0067337-BDD0-40F6-B87B-2C983A909CD1}"/>
    <hyperlink ref="H135" r:id="rId346" display="https://armstrade.sipri.org/armstrade/page/trade_register.php" xr:uid="{33708911-A974-4C8D-A1ED-E746AB91C165}"/>
    <hyperlink ref="H50" r:id="rId347" xr:uid="{A50B07A5-B7CE-4E31-B7D2-BA5C0BE37B2E}"/>
    <hyperlink ref="H309" r:id="rId348" xr:uid="{E14E7034-5C04-43F1-8979-263894163354}"/>
    <hyperlink ref="H469" r:id="rId349" xr:uid="{5092198B-EF93-445D-8E38-02E4AEF8D5CB}"/>
    <hyperlink ref="H500" r:id="rId350" xr:uid="{85EC3CBB-02FF-4D22-B04A-D2A2002F0DE5}"/>
    <hyperlink ref="H310" r:id="rId351" xr:uid="{A73A1A05-B3B1-4C70-96C9-57E52D97B5D8}"/>
    <hyperlink ref="H109" r:id="rId352" xr:uid="{69121C24-AD87-40B9-A790-4A2E1F6D4F8D}"/>
    <hyperlink ref="H311" r:id="rId353" xr:uid="{4671317B-DD83-46C7-BB18-C655B047E310}"/>
    <hyperlink ref="H312" r:id="rId354" xr:uid="{E45C7F9B-3CFF-4472-B541-07BD2B36522D}"/>
    <hyperlink ref="H357" r:id="rId355" xr:uid="{82F2B8C7-9339-42E0-B522-64C234C3C611}"/>
    <hyperlink ref="H255" r:id="rId356" xr:uid="{A7306939-ABFA-46C4-9D3A-8172C60F1C95}"/>
    <hyperlink ref="H276" r:id="rId357" display="https://www.ebay.de/itm/261421940408" xr:uid="{B632F203-9EC6-40A0-B889-47063A18D48A}"/>
    <hyperlink ref="H362" r:id="rId358" xr:uid="{B209FF8C-030E-46F2-B8FC-C7A358425BD7}"/>
    <hyperlink ref="H321" r:id="rId359" xr:uid="{01F1BDD4-482B-41ED-8ACB-988A5F105DB6}"/>
    <hyperlink ref="H225" r:id="rId360" xr:uid="{B007F3B2-03AB-49AE-96CB-B99B43CFEE88}"/>
    <hyperlink ref="H456" r:id="rId361" xr:uid="{B173C1BD-F58D-486E-8A63-A551596E67B2}"/>
    <hyperlink ref="H313" r:id="rId362" xr:uid="{F982295A-EF6B-4BCF-AAE0-7E380E8283C8}"/>
    <hyperlink ref="H274" r:id="rId363" xr:uid="{1131AF56-D463-409B-B3D6-9CA5329E7EC3}"/>
    <hyperlink ref="H339" r:id="rId364" xr:uid="{638B4FF5-3645-46B1-A65E-2D2CF3747AFC}"/>
    <hyperlink ref="H359" r:id="rId365" xr:uid="{CD0DA9CC-D084-4897-8B67-34D14AA4CABC}"/>
    <hyperlink ref="H79" r:id="rId366" xr:uid="{EB0D9DF6-46F3-473A-8B20-025E65BFB048}"/>
    <hyperlink ref="H219" r:id="rId367" xr:uid="{9058ED4A-70DF-4088-8D75-7BC21CF990CD}"/>
    <hyperlink ref="H498" r:id="rId368" display="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 xr:uid="{3CC6AECF-B551-40E7-9382-BAA39E9A4423}"/>
    <hyperlink ref="H499" r:id="rId369" xr:uid="{6FE42561-3E6C-437F-8154-EF0710891CFC}"/>
    <hyperlink ref="H497" r:id="rId370" xr:uid="{B898664B-1CEA-4E25-A832-54D184AC5D71}"/>
    <hyperlink ref="H514" r:id="rId371" display="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 xr:uid="{B713D449-DA02-4B88-AB63-854DD563A815}"/>
    <hyperlink ref="H110" r:id="rId372" xr:uid="{7492F978-3405-4975-896A-DD715EAE1A3C}"/>
    <hyperlink ref="H111" r:id="rId373" xr:uid="{67703151-1891-43DF-B81B-61604D5A04E9}"/>
    <hyperlink ref="H143" r:id="rId374" xr:uid="{9D5337B9-D04E-4A64-AA58-C9C11B30B3E1}"/>
    <hyperlink ref="H314" r:id="rId375" xr:uid="{F96CC9A8-1BFF-4527-9C1B-D6C88000D921}"/>
    <hyperlink ref="H331" r:id="rId376" xr:uid="{BD7D72F3-1D87-4445-9983-68C6AA56713B}"/>
    <hyperlink ref="H297" r:id="rId377" xr:uid="{D13A0833-2C79-4998-9960-082ED9E4E536}"/>
    <hyperlink ref="H296" r:id="rId378" xr:uid="{4D121ED0-D2BF-4016-AD79-867A9C8B4937}"/>
    <hyperlink ref="H174" r:id="rId379" xr:uid="{C15D6BB1-0773-4369-B2C1-C8E7E7C3FB83}"/>
    <hyperlink ref="H315" r:id="rId380" xr:uid="{29A6AF17-E0B6-4945-BC1D-A828BAB9FAF4}"/>
    <hyperlink ref="H180" r:id="rId381" location=":~:text=Bewaffnete%20Drohnen%20f%C3%BCr%20Bundeswehr%3A%20Heron,Munition%20%22Special%20Payload%22%20zu." xr:uid="{2123CD1D-3415-4E33-9CF9-6FDE8EA14CE0}"/>
    <hyperlink ref="H377" r:id="rId382" xr:uid="{5BE6E9D4-E2F4-49D0-B739-39FF4569BB2D}"/>
    <hyperlink ref="H112" r:id="rId383" xr:uid="{AE364163-83B7-48F5-9788-30F6AA2A2A68}"/>
    <hyperlink ref="H304" r:id="rId384" xr:uid="{8B3EF994-A81A-428F-9116-3CC7C03BA722}"/>
    <hyperlink ref="H318" r:id="rId385" xr:uid="{97948771-EE1B-44A3-B427-189C41072587}"/>
    <hyperlink ref="H516" r:id="rId386" xr:uid="{427B101F-C2DC-4068-87FD-E8944258E5D2}"/>
    <hyperlink ref="H142" r:id="rId387" xr:uid="{C8829B61-653A-47B2-B3AB-C32104EB5637}"/>
    <hyperlink ref="H151" r:id="rId388" xr:uid="{79256392-6B28-4538-9220-F63B256F3AB6}"/>
    <hyperlink ref="H52" r:id="rId389" xr:uid="{09A13BFF-B932-4EA8-AB34-946655AFFB3F}"/>
    <hyperlink ref="H284" r:id="rId390" xr:uid="{26264E0D-0385-4640-8EE4-8433C43CC04E}"/>
    <hyperlink ref="H285" r:id="rId391" xr:uid="{CA516B84-07EC-42B0-BE15-202983409190}"/>
    <hyperlink ref="H145" r:id="rId392" xr:uid="{D72197D5-D150-4EE2-96DE-686CFCB7B5DC}"/>
    <hyperlink ref="H316" r:id="rId393" xr:uid="{F0B5EB42-8322-4FC0-89F9-D6A4140609C7}"/>
    <hyperlink ref="H317" r:id="rId394" xr:uid="{5CC29076-D3FF-4582-AFF5-F2E149D07348}"/>
    <hyperlink ref="H51" r:id="rId395" xr:uid="{C068C4D8-7BC6-4667-A1E1-018212682222}"/>
    <hyperlink ref="H517" r:id="rId396" xr:uid="{F4109A37-7833-4F69-96E4-E42A219071C3}"/>
    <hyperlink ref="H515" r:id="rId397" xr:uid="{DB7E90A6-4A47-47E7-94A9-02E9E42CB96E}"/>
    <hyperlink ref="H509" r:id="rId398" xr:uid="{E4F62A61-148E-41ED-AC9D-F7A1012B9B0A}"/>
    <hyperlink ref="H381" r:id="rId399" xr:uid="{9BCAAE89-B574-425C-9B03-CAF6B581F01F}"/>
    <hyperlink ref="H462" r:id="rId400" xr:uid="{2C75D1D8-669D-49B0-A711-82FF204437AE}"/>
  </hyperlinks>
  <pageMargins left="0.7" right="0.7" top="0.78740157499999996" bottom="0.78740157499999996" header="0.3" footer="0.3"/>
  <pageSetup paperSize="9" orientation="portrait" r:id="rId40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59999389629810485"/>
  </sheetPr>
  <dimension ref="B1:E21"/>
  <sheetViews>
    <sheetView showGridLines="0" zoomScaleNormal="100" workbookViewId="0">
      <selection activeCell="B2" sqref="B2"/>
    </sheetView>
  </sheetViews>
  <sheetFormatPr defaultColWidth="11" defaultRowHeight="15.6"/>
  <cols>
    <col min="1" max="1" width="5" style="126" customWidth="1"/>
    <col min="2" max="2" width="11" style="126"/>
    <col min="3" max="3" width="12" style="126" customWidth="1"/>
    <col min="4" max="16384" width="11" style="126"/>
  </cols>
  <sheetData>
    <row r="1" spans="2:5">
      <c r="B1" s="125" t="s">
        <v>301</v>
      </c>
      <c r="C1" s="125" t="s">
        <v>301</v>
      </c>
    </row>
    <row r="2" spans="2:5">
      <c r="B2" s="127" t="s">
        <v>3222</v>
      </c>
      <c r="C2" s="128" t="s">
        <v>4127</v>
      </c>
      <c r="D2" s="126" t="s">
        <v>3059</v>
      </c>
    </row>
    <row r="3" spans="2:5">
      <c r="B3" s="46" t="s">
        <v>332</v>
      </c>
      <c r="C3" s="174">
        <v>1</v>
      </c>
      <c r="D3" s="129" t="s">
        <v>3059</v>
      </c>
      <c r="E3" s="129"/>
    </row>
    <row r="4" spans="2:5">
      <c r="B4" s="46" t="s">
        <v>314</v>
      </c>
      <c r="C4" s="369">
        <v>1.0035000000000001</v>
      </c>
      <c r="D4" s="129" t="s">
        <v>3059</v>
      </c>
      <c r="E4" s="129"/>
    </row>
    <row r="5" spans="2:5">
      <c r="B5" s="46" t="s">
        <v>455</v>
      </c>
      <c r="C5" s="369">
        <v>1.3574999999999999</v>
      </c>
      <c r="D5" s="129"/>
      <c r="E5" s="129"/>
    </row>
    <row r="6" spans="2:5">
      <c r="B6" s="46" t="s">
        <v>2394</v>
      </c>
      <c r="C6" s="369">
        <v>0.86760000000000004</v>
      </c>
      <c r="D6" s="129" t="s">
        <v>3059</v>
      </c>
      <c r="E6" s="129"/>
    </row>
    <row r="7" spans="2:5">
      <c r="B7" s="46" t="s">
        <v>1954</v>
      </c>
      <c r="C7" s="369">
        <v>4.7210000000000001</v>
      </c>
      <c r="D7" s="129" t="s">
        <v>3059</v>
      </c>
      <c r="E7" s="129"/>
    </row>
    <row r="8" spans="2:5">
      <c r="B8" s="46" t="s">
        <v>2044</v>
      </c>
      <c r="C8" s="369">
        <v>4.9066000000000001</v>
      </c>
      <c r="D8" s="129" t="s">
        <v>3059</v>
      </c>
      <c r="E8" s="129"/>
    </row>
    <row r="9" spans="2:5">
      <c r="B9" s="46" t="s">
        <v>2264</v>
      </c>
      <c r="C9" s="369">
        <v>10.907999999999999</v>
      </c>
      <c r="D9" s="129" t="s">
        <v>3059</v>
      </c>
      <c r="E9" s="129"/>
    </row>
    <row r="10" spans="2:5">
      <c r="B10" s="46" t="s">
        <v>593</v>
      </c>
      <c r="C10" s="369">
        <v>7.5376000000000003</v>
      </c>
      <c r="D10" s="129" t="s">
        <v>3059</v>
      </c>
      <c r="E10" s="129"/>
    </row>
    <row r="11" spans="2:5">
      <c r="B11" s="46" t="s">
        <v>634</v>
      </c>
      <c r="C11" s="369">
        <v>24.422000000000001</v>
      </c>
      <c r="D11" s="129" t="s">
        <v>3059</v>
      </c>
      <c r="E11" s="129"/>
    </row>
    <row r="12" spans="2:5">
      <c r="B12" s="46" t="s">
        <v>770</v>
      </c>
      <c r="C12" s="369">
        <v>7.4397000000000002</v>
      </c>
      <c r="D12" s="129" t="s">
        <v>3059</v>
      </c>
      <c r="E12" s="129"/>
    </row>
    <row r="13" spans="2:5">
      <c r="B13" s="125" t="s">
        <v>231</v>
      </c>
      <c r="C13" s="370">
        <v>1.5490999999999999</v>
      </c>
      <c r="D13" s="129"/>
      <c r="E13" s="129"/>
    </row>
    <row r="14" spans="2:5">
      <c r="B14" s="125" t="s">
        <v>1829</v>
      </c>
      <c r="C14" s="370">
        <v>10.334300000000001</v>
      </c>
      <c r="D14" s="129"/>
      <c r="E14" s="129"/>
    </row>
    <row r="15" spans="2:5">
      <c r="B15" s="125" t="s">
        <v>2331</v>
      </c>
      <c r="C15" s="370">
        <v>0.98640000000000005</v>
      </c>
      <c r="D15" s="129"/>
      <c r="E15" s="129"/>
    </row>
    <row r="16" spans="2:5">
      <c r="B16" s="125" t="s">
        <v>1774</v>
      </c>
      <c r="C16" s="370">
        <v>1.7032</v>
      </c>
      <c r="D16" s="129"/>
      <c r="E16" s="129"/>
    </row>
    <row r="17" spans="2:5">
      <c r="B17" s="46" t="s">
        <v>1354</v>
      </c>
      <c r="C17" s="371">
        <v>407.56</v>
      </c>
      <c r="D17" s="129"/>
      <c r="E17" s="129"/>
    </row>
    <row r="18" spans="2:5">
      <c r="B18" s="125" t="s">
        <v>585</v>
      </c>
      <c r="C18" s="370">
        <v>7.2324000000000002</v>
      </c>
      <c r="D18" s="129"/>
      <c r="E18" s="129"/>
    </row>
    <row r="19" spans="2:5">
      <c r="B19" s="130" t="s">
        <v>4128</v>
      </c>
      <c r="C19" s="372">
        <v>33.423999999999999</v>
      </c>
      <c r="D19" s="129"/>
      <c r="E19" s="129"/>
    </row>
    <row r="21" spans="2:5">
      <c r="B21" s="635" t="s">
        <v>4129</v>
      </c>
    </row>
  </sheetData>
  <hyperlinks>
    <hyperlink ref="C4" r:id="rId1" display="1.0624" xr:uid="{00000000-0004-0000-1D00-000000000000}"/>
    <hyperlink ref="C5" r:id="rId2" display="1.36" xr:uid="{00000000-0004-0000-1D00-000001000000}"/>
    <hyperlink ref="C6" r:id="rId3" display="0.83523" xr:uid="{00000000-0004-0000-1D00-000002000000}"/>
    <hyperlink ref="C7" r:id="rId4" display="4.63" xr:uid="{00000000-0004-0000-1D00-000003000000}"/>
    <hyperlink ref="C8" r:id="rId5" display="4.945" xr:uid="{00000000-0004-0000-1D00-000004000000}"/>
    <hyperlink ref="C10" r:id="rId6" display="7.5635" xr:uid="{00000000-0004-0000-1D00-000005000000}"/>
    <hyperlink ref="C11" r:id="rId7" display="24.38" xr:uid="{00000000-0004-0000-1D00-000006000000}"/>
    <hyperlink ref="C12" r:id="rId8" display="7.4403" xr:uid="{00000000-0004-0000-1D00-000007000000}"/>
    <hyperlink ref="C13" r:id="rId9" display="1.4913" xr:uid="{00000000-0004-0000-1D00-000008000000}"/>
    <hyperlink ref="C14" r:id="rId10" display="9.9248" xr:uid="{00000000-0004-0000-1D00-000009000000}"/>
    <hyperlink ref="C16" r:id="rId11" display="1.6366" xr:uid="{00000000-0004-0000-1D00-00000A000000}"/>
    <hyperlink ref="C17" r:id="rId12" display="389.33" xr:uid="{00000000-0004-0000-1D00-00000B000000}"/>
    <hyperlink ref="C18" r:id="rId13" display="7.1216" xr:uid="{00000000-0004-0000-1D00-00000C000000}"/>
    <hyperlink ref="C19" r:id="rId14" display="33.424" xr:uid="{00000000-0004-0000-1D00-00000D000000}"/>
    <hyperlink ref="C9" r:id="rId15" display="10.2553" xr:uid="{00000000-0004-0000-1D00-00000E000000}"/>
    <hyperlink ref="C15" r:id="rId16" display="1.0253" xr:uid="{00000000-0004-0000-1D00-00000F000000}"/>
  </hyperlink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59999389629810485"/>
  </sheetPr>
  <dimension ref="B2:F48"/>
  <sheetViews>
    <sheetView showGridLines="0" zoomScaleNormal="100" workbookViewId="0">
      <selection activeCell="B2" sqref="B2"/>
    </sheetView>
  </sheetViews>
  <sheetFormatPr defaultColWidth="9" defaultRowHeight="15.6"/>
  <cols>
    <col min="1" max="1" width="9" style="33"/>
    <col min="2" max="2" width="14" style="33" customWidth="1"/>
    <col min="3" max="3" width="18" style="196" customWidth="1"/>
    <col min="4" max="4" width="69" style="272" bestFit="1" customWidth="1"/>
    <col min="5" max="5" width="16.5" style="226" bestFit="1" customWidth="1"/>
    <col min="6" max="16384" width="9" style="33"/>
  </cols>
  <sheetData>
    <row r="2" spans="2:6">
      <c r="B2" s="266" t="s">
        <v>4130</v>
      </c>
      <c r="D2" s="267"/>
      <c r="E2" s="268"/>
    </row>
    <row r="3" spans="2:6">
      <c r="D3" s="269"/>
      <c r="E3" s="270"/>
    </row>
    <row r="4" spans="2:6">
      <c r="B4" s="33" t="s">
        <v>3200</v>
      </c>
      <c r="C4" s="271" t="s">
        <v>4131</v>
      </c>
    </row>
    <row r="6" spans="2:6">
      <c r="B6" s="183" t="s">
        <v>3006</v>
      </c>
      <c r="C6" s="273" t="s">
        <v>4132</v>
      </c>
      <c r="D6" s="641" t="s">
        <v>4133</v>
      </c>
      <c r="E6" s="274" t="s">
        <v>4134</v>
      </c>
    </row>
    <row r="7" spans="2:6">
      <c r="B7" s="46" t="s">
        <v>1894</v>
      </c>
      <c r="C7" s="642">
        <v>1521085</v>
      </c>
      <c r="D7" s="269">
        <f>(C7*500*8)/1000000000</f>
        <v>6.0843400000000001</v>
      </c>
      <c r="E7" s="270">
        <f>D7/(VLOOKUP(B7,'Country summary'!B:I,8,0))*100</f>
        <v>1.0233633755752112</v>
      </c>
    </row>
    <row r="8" spans="2:6">
      <c r="B8" s="46" t="s">
        <v>2034</v>
      </c>
      <c r="C8" s="643">
        <v>90348</v>
      </c>
      <c r="D8" s="269">
        <f t="shared" ref="D8:D48" si="0">(C8*500*8)/1000000000</f>
        <v>0.36139199999999999</v>
      </c>
      <c r="E8" s="270">
        <f>D8/(VLOOKUP(B8,'Country summary'!B:I,8,0))*100</f>
        <v>0.145811901185913</v>
      </c>
    </row>
    <row r="9" spans="2:6">
      <c r="B9" s="46" t="s">
        <v>1335</v>
      </c>
      <c r="C9" s="643">
        <v>32271</v>
      </c>
      <c r="D9" s="269">
        <f t="shared" si="0"/>
        <v>0.129084</v>
      </c>
      <c r="E9" s="270">
        <f>D9/(VLOOKUP(B9,'Country summary'!B:I,8,0))*100</f>
        <v>8.313785440634669E-2</v>
      </c>
    </row>
    <row r="10" spans="2:6">
      <c r="B10" s="46" t="s">
        <v>4135</v>
      </c>
      <c r="C10" s="643">
        <v>96913</v>
      </c>
      <c r="D10" s="269">
        <f t="shared" si="0"/>
        <v>0.387652</v>
      </c>
      <c r="E10" s="270" t="s">
        <v>4136</v>
      </c>
      <c r="F10" s="270"/>
    </row>
    <row r="11" spans="2:6">
      <c r="B11" s="46" t="s">
        <v>2063</v>
      </c>
      <c r="C11" s="643">
        <v>102278</v>
      </c>
      <c r="D11" s="269">
        <f t="shared" si="0"/>
        <v>0.40911199999999998</v>
      </c>
      <c r="E11" s="270">
        <f>D11/(VLOOKUP(B11,'Country summary'!B:I,8,0))*100</f>
        <v>0.39035266613268704</v>
      </c>
    </row>
    <row r="12" spans="2:6">
      <c r="B12" s="46" t="s">
        <v>4137</v>
      </c>
      <c r="C12" s="643">
        <v>17209</v>
      </c>
      <c r="D12" s="269">
        <f t="shared" si="0"/>
        <v>6.8835999999999994E-2</v>
      </c>
      <c r="E12" s="270" t="s">
        <v>4136</v>
      </c>
    </row>
    <row r="13" spans="2:6">
      <c r="B13" s="46" t="s">
        <v>1136</v>
      </c>
      <c r="C13" s="644">
        <v>1021667</v>
      </c>
      <c r="D13" s="269">
        <f t="shared" si="0"/>
        <v>4.0866680000000004</v>
      </c>
      <c r="E13" s="270">
        <f>D13/(VLOOKUP(B13,'Country summary'!B:I,8,0))*100</f>
        <v>0.10661804508387895</v>
      </c>
    </row>
    <row r="14" spans="2:6">
      <c r="B14" s="46" t="s">
        <v>632</v>
      </c>
      <c r="C14" s="106">
        <v>464701</v>
      </c>
      <c r="D14" s="269">
        <f t="shared" si="0"/>
        <v>1.8588039999999999</v>
      </c>
      <c r="E14" s="270">
        <f>D14/(VLOOKUP(B14,'Country summary'!B:I,8,0))*100</f>
        <v>0.76029794734900213</v>
      </c>
    </row>
    <row r="15" spans="2:6">
      <c r="B15" s="46" t="s">
        <v>428</v>
      </c>
      <c r="C15" s="106">
        <v>146659</v>
      </c>
      <c r="D15" s="269">
        <f t="shared" si="0"/>
        <v>0.58663600000000005</v>
      </c>
      <c r="E15" s="270">
        <f>D15/(VLOOKUP(B15,'Country summary'!B:I,8,0))*100</f>
        <v>0.84231610054838424</v>
      </c>
    </row>
    <row r="16" spans="2:6">
      <c r="B16" s="46" t="s">
        <v>1412</v>
      </c>
      <c r="C16" s="106">
        <v>165401</v>
      </c>
      <c r="D16" s="269">
        <f t="shared" si="0"/>
        <v>0.66160399999999997</v>
      </c>
      <c r="E16" s="270">
        <f>D16/(VLOOKUP(B16,'Country summary'!B:I,8,0))*100</f>
        <v>3.5152024972141822E-2</v>
      </c>
    </row>
    <row r="17" spans="2:5">
      <c r="B17" s="46" t="s">
        <v>2348</v>
      </c>
      <c r="C17" s="106">
        <v>145000</v>
      </c>
      <c r="D17" s="269">
        <f t="shared" si="0"/>
        <v>0.57999999999999996</v>
      </c>
      <c r="E17" s="270">
        <f>D17/(VLOOKUP(B17,'Country summary'!B:I,8,0))*100</f>
        <v>8.0842572682431488E-2</v>
      </c>
    </row>
    <row r="18" spans="2:5">
      <c r="B18" s="46" t="s">
        <v>2162</v>
      </c>
      <c r="C18" s="645">
        <v>155473</v>
      </c>
      <c r="D18" s="269">
        <f t="shared" si="0"/>
        <v>0.621892</v>
      </c>
      <c r="E18" s="270">
        <f>D18/(VLOOKUP(B18,'Country summary'!B:I,8,0))*100</f>
        <v>4.8698876484387678E-2</v>
      </c>
    </row>
    <row r="19" spans="2:5">
      <c r="B19" s="46" t="s">
        <v>312</v>
      </c>
      <c r="C19" s="645">
        <v>88748</v>
      </c>
      <c r="D19" s="269">
        <f t="shared" si="0"/>
        <v>0.35499199999999997</v>
      </c>
      <c r="E19" s="270">
        <f>D19/(VLOOKUP(B19,'Country summary'!B:I,8,0))*100</f>
        <v>8.2222159903763678E-2</v>
      </c>
    </row>
    <row r="20" spans="2:5">
      <c r="B20" s="46" t="s">
        <v>1012</v>
      </c>
      <c r="C20" s="106">
        <v>118994</v>
      </c>
      <c r="D20" s="269">
        <f t="shared" si="0"/>
        <v>0.47597600000000001</v>
      </c>
      <c r="E20" s="270">
        <f>D20/(VLOOKUP(B20,'Country summary'!B:I,8,0))*100</f>
        <v>1.8159095783458829E-2</v>
      </c>
    </row>
    <row r="21" spans="2:5">
      <c r="B21" s="46" t="s">
        <v>1562</v>
      </c>
      <c r="C21" s="645">
        <v>70667</v>
      </c>
      <c r="D21" s="269">
        <f t="shared" si="0"/>
        <v>0.28266799999999997</v>
      </c>
      <c r="E21" s="270">
        <f>D21/(VLOOKUP(B21,'Country summary'!B:I,8,0))*100</f>
        <v>0.50163145463522707</v>
      </c>
    </row>
    <row r="22" spans="2:5">
      <c r="B22" s="46" t="s">
        <v>840</v>
      </c>
      <c r="C22" s="644">
        <v>38729</v>
      </c>
      <c r="D22" s="269">
        <f t="shared" si="0"/>
        <v>0.154916</v>
      </c>
      <c r="E22" s="270">
        <f>D22/(VLOOKUP(B22,'Country summary'!B:I,8,0))*100</f>
        <v>0.50719978832174195</v>
      </c>
    </row>
    <row r="23" spans="2:5">
      <c r="B23" s="46" t="s">
        <v>1957</v>
      </c>
      <c r="C23" s="645">
        <v>52875</v>
      </c>
      <c r="D23" s="269">
        <f t="shared" si="0"/>
        <v>0.21149999999999999</v>
      </c>
      <c r="E23" s="270">
        <f>D23/(VLOOKUP(B23,'Country summary'!B:I,8,0))*100</f>
        <v>9.2868285062943312E-2</v>
      </c>
    </row>
    <row r="24" spans="2:5">
      <c r="B24" s="46" t="s">
        <v>2258</v>
      </c>
      <c r="C24" s="645">
        <v>48360</v>
      </c>
      <c r="D24" s="269">
        <f t="shared" si="0"/>
        <v>0.19344</v>
      </c>
      <c r="E24" s="270">
        <f>D24/(VLOOKUP(B24,'Country summary'!B:I,8,0))*100</f>
        <v>3.5866564147677749E-2</v>
      </c>
    </row>
    <row r="25" spans="2:5">
      <c r="B25" s="46" t="s">
        <v>370</v>
      </c>
      <c r="C25" s="645">
        <v>61466</v>
      </c>
      <c r="D25" s="269">
        <f t="shared" si="0"/>
        <v>0.245864</v>
      </c>
      <c r="E25" s="270">
        <f>D25/(VLOOKUP(B25,'Country summary'!B:I,8,0))*100</f>
        <v>4.7277797515887801E-2</v>
      </c>
    </row>
    <row r="26" spans="2:5">
      <c r="B26" s="46" t="s">
        <v>767</v>
      </c>
      <c r="C26" s="645">
        <v>34945</v>
      </c>
      <c r="D26" s="269">
        <f t="shared" si="0"/>
        <v>0.13977999999999999</v>
      </c>
      <c r="E26" s="270">
        <f>D26/(VLOOKUP(B26,'Country summary'!B:I,8,0))*100</f>
        <v>3.939207807397152E-2</v>
      </c>
    </row>
    <row r="27" spans="2:5">
      <c r="B27" s="46" t="s">
        <v>2392</v>
      </c>
      <c r="C27" s="645">
        <v>146200</v>
      </c>
      <c r="D27" s="269">
        <f t="shared" si="0"/>
        <v>0.58479999999999999</v>
      </c>
      <c r="E27" s="270">
        <f>D27/(VLOOKUP(B27,'Country summary'!B:I,8,0))*100</f>
        <v>2.1264074812615504E-2</v>
      </c>
    </row>
    <row r="28" spans="2:5">
      <c r="B28" s="46" t="s">
        <v>1516</v>
      </c>
      <c r="C28" s="645">
        <v>42802</v>
      </c>
      <c r="D28" s="269">
        <f t="shared" si="0"/>
        <v>0.171208</v>
      </c>
      <c r="E28" s="270">
        <f>D28/(VLOOKUP(B28,'Country summary'!B:I,8,0))*100</f>
        <v>0.50970301999684342</v>
      </c>
    </row>
    <row r="29" spans="2:5">
      <c r="B29" s="46" t="s">
        <v>2329</v>
      </c>
      <c r="C29" s="645">
        <v>69607</v>
      </c>
      <c r="D29" s="269">
        <f t="shared" si="0"/>
        <v>0.27842800000000001</v>
      </c>
      <c r="E29" s="270">
        <f>D29/(VLOOKUP(B29,'Country summary'!B:I,8,0))*100</f>
        <v>3.7142336173013268E-2</v>
      </c>
    </row>
    <row r="30" spans="2:5">
      <c r="B30" s="46" t="s">
        <v>1383</v>
      </c>
      <c r="C30" s="645">
        <v>64279</v>
      </c>
      <c r="D30" s="269">
        <f t="shared" si="0"/>
        <v>0.25711600000000001</v>
      </c>
      <c r="E30" s="270">
        <f>D30/(VLOOKUP(B30,'Country summary'!B:I,8,0))*100</f>
        <v>6.0582899769658298E-2</v>
      </c>
    </row>
    <row r="31" spans="2:5">
      <c r="B31" s="46" t="s">
        <v>917</v>
      </c>
      <c r="C31" s="645">
        <v>43807</v>
      </c>
      <c r="D31" s="269">
        <f t="shared" si="0"/>
        <v>0.17522799999999999</v>
      </c>
      <c r="E31" s="270">
        <f>D31/(VLOOKUP(B31,'Country summary'!B:I,8,0))*100</f>
        <v>6.5224284160048621E-2</v>
      </c>
    </row>
    <row r="32" spans="2:5">
      <c r="B32" s="46" t="s">
        <v>1294</v>
      </c>
      <c r="C32" s="645">
        <v>19997</v>
      </c>
      <c r="D32" s="269">
        <f t="shared" si="0"/>
        <v>7.9988000000000004E-2</v>
      </c>
      <c r="E32" s="270">
        <f>D32/(VLOOKUP(B32,'Country summary'!B:I,8,0))*100</f>
        <v>4.2506883250580406E-2</v>
      </c>
    </row>
    <row r="33" spans="2:5">
      <c r="B33" s="46" t="s">
        <v>1687</v>
      </c>
      <c r="C33" s="645">
        <v>79250</v>
      </c>
      <c r="D33" s="269">
        <f t="shared" si="0"/>
        <v>0.317</v>
      </c>
      <c r="E33" s="270">
        <f>D33/(VLOOKUP(B33,'Country summary'!B:I,8,0))*100</f>
        <v>3.4809229017752505E-2</v>
      </c>
    </row>
    <row r="34" spans="2:5">
      <c r="B34" s="46" t="s">
        <v>2106</v>
      </c>
      <c r="C34" s="645">
        <v>8234</v>
      </c>
      <c r="D34" s="269">
        <f t="shared" si="0"/>
        <v>3.2936E-2</v>
      </c>
      <c r="E34" s="270">
        <f>D34/(VLOOKUP(B34,'Country summary'!B:I,8,0))*100</f>
        <v>6.1674784082991735E-2</v>
      </c>
    </row>
    <row r="35" spans="2:5">
      <c r="B35" s="46" t="s">
        <v>591</v>
      </c>
      <c r="C35" s="644">
        <v>19259</v>
      </c>
      <c r="D35" s="269">
        <f t="shared" si="0"/>
        <v>7.7035999999999993E-2</v>
      </c>
      <c r="E35" s="270">
        <f>D35/(VLOOKUP(B35,'Country summary'!B:I,8,0))*100</f>
        <v>0.13514076517321055</v>
      </c>
    </row>
    <row r="36" spans="2:5">
      <c r="B36" s="46" t="s">
        <v>1804</v>
      </c>
      <c r="C36" s="645">
        <v>32102</v>
      </c>
      <c r="D36" s="269">
        <f t="shared" si="0"/>
        <v>0.12840799999999999</v>
      </c>
      <c r="E36" s="270">
        <f>D36/(VLOOKUP(B36,'Country summary'!B:I,8,0))*100</f>
        <v>3.557648432954616E-2</v>
      </c>
    </row>
    <row r="37" spans="2:5">
      <c r="B37" s="136" t="s">
        <v>452</v>
      </c>
      <c r="C37" s="645">
        <v>0</v>
      </c>
      <c r="D37" s="269">
        <f t="shared" si="0"/>
        <v>0</v>
      </c>
      <c r="E37" s="270">
        <f>D37/(VLOOKUP(B37,'Country summary'!B:I,8,0))*100</f>
        <v>0</v>
      </c>
    </row>
    <row r="38" spans="2:5">
      <c r="B38" s="136" t="s">
        <v>618</v>
      </c>
      <c r="C38" s="645">
        <v>18287</v>
      </c>
      <c r="D38" s="269">
        <f t="shared" si="0"/>
        <v>7.3148000000000005E-2</v>
      </c>
      <c r="E38" s="270">
        <f>D38/(VLOOKUP(B38,'Country summary'!B:I,8,0))*100</f>
        <v>0.29823695538676254</v>
      </c>
    </row>
    <row r="39" spans="2:5">
      <c r="B39" s="136" t="s">
        <v>1471</v>
      </c>
      <c r="C39" s="645">
        <v>0</v>
      </c>
      <c r="D39" s="269">
        <f t="shared" si="0"/>
        <v>0</v>
      </c>
      <c r="E39" s="270">
        <f>D39/(VLOOKUP(B39,'Country summary'!B:I,8,0))*100</f>
        <v>0</v>
      </c>
    </row>
    <row r="40" spans="2:5">
      <c r="B40" s="136" t="s">
        <v>1653</v>
      </c>
      <c r="C40" s="645">
        <v>6756</v>
      </c>
      <c r="D40" s="269">
        <f t="shared" si="0"/>
        <v>2.7023999999999999E-2</v>
      </c>
      <c r="E40" s="270">
        <f>D40/(VLOOKUP(B40,'Country summary'!B:I,8,0))*100</f>
        <v>3.6969907078266473E-2</v>
      </c>
    </row>
    <row r="41" spans="2:5">
      <c r="B41" s="136" t="s">
        <v>1682</v>
      </c>
      <c r="C41" s="645">
        <v>1541</v>
      </c>
      <c r="D41" s="269">
        <f t="shared" si="0"/>
        <v>6.1640000000000002E-3</v>
      </c>
      <c r="E41" s="270">
        <f>D41/(VLOOKUP(B41,'Country summary'!B:I,8,0))*100</f>
        <v>4.2229900500976976E-2</v>
      </c>
    </row>
    <row r="42" spans="2:5">
      <c r="B42" s="33" t="s">
        <v>1766</v>
      </c>
      <c r="C42" s="645">
        <v>0</v>
      </c>
      <c r="D42" s="269">
        <f t="shared" si="0"/>
        <v>0</v>
      </c>
      <c r="E42" s="270">
        <f>D42/(VLOOKUP(B42,'Country summary'!B:I,8,0))*100</f>
        <v>0</v>
      </c>
    </row>
    <row r="43" spans="2:5">
      <c r="B43" s="33" t="s">
        <v>2002</v>
      </c>
      <c r="C43" s="645">
        <v>0</v>
      </c>
      <c r="D43" s="269">
        <f t="shared" si="0"/>
        <v>0</v>
      </c>
      <c r="E43" s="270">
        <f>D43/(VLOOKUP(B43,'Country summary'!B:I,8,0))*100</f>
        <v>0</v>
      </c>
    </row>
    <row r="44" spans="2:5">
      <c r="B44" s="136" t="s">
        <v>2548</v>
      </c>
      <c r="C44" s="645">
        <v>0</v>
      </c>
      <c r="D44" s="269">
        <f t="shared" si="0"/>
        <v>0</v>
      </c>
      <c r="E44" s="270">
        <f>D44/(VLOOKUP(B44,'Country summary'!B:I,8,0))*100</f>
        <v>0</v>
      </c>
    </row>
    <row r="45" spans="2:5">
      <c r="B45" s="136" t="s">
        <v>227</v>
      </c>
      <c r="C45" s="645">
        <v>0</v>
      </c>
      <c r="D45" s="269">
        <f t="shared" si="0"/>
        <v>0</v>
      </c>
      <c r="E45" s="270">
        <f>D45/(VLOOKUP(B45,'Country summary'!B:I,8,0))*100</f>
        <v>0</v>
      </c>
    </row>
    <row r="46" spans="2:5">
      <c r="B46" s="33" t="s">
        <v>583</v>
      </c>
      <c r="C46" s="645">
        <v>0</v>
      </c>
      <c r="D46" s="269">
        <f t="shared" si="0"/>
        <v>0</v>
      </c>
      <c r="E46" s="270">
        <f>D46/(VLOOKUP(B46,'Country summary'!B:I,8,0))*100</f>
        <v>0</v>
      </c>
    </row>
    <row r="47" spans="2:5">
      <c r="B47" s="33" t="s">
        <v>2368</v>
      </c>
      <c r="C47" s="645">
        <v>0</v>
      </c>
      <c r="D47" s="269">
        <f t="shared" si="0"/>
        <v>0</v>
      </c>
      <c r="E47" s="270">
        <f>D47/(VLOOKUP(B47,'Country summary'!B:I,8,0))*100</f>
        <v>0</v>
      </c>
    </row>
    <row r="48" spans="2:5">
      <c r="B48" s="33" t="s">
        <v>1369</v>
      </c>
      <c r="C48" s="645">
        <v>0</v>
      </c>
      <c r="D48" s="269">
        <f t="shared" si="0"/>
        <v>0</v>
      </c>
      <c r="E48" s="270">
        <f>D48/(VLOOKUP(B48,'Country summary'!B:I,8,0))*100</f>
        <v>0</v>
      </c>
    </row>
  </sheetData>
  <hyperlinks>
    <hyperlink ref="C4" r:id="rId1" xr:uid="{00000000-0004-0000-1E00-000000000000}"/>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59999389629810485"/>
  </sheetPr>
  <dimension ref="A1:AS42"/>
  <sheetViews>
    <sheetView zoomScaleNormal="100" workbookViewId="0"/>
  </sheetViews>
  <sheetFormatPr defaultColWidth="8.5" defaultRowHeight="15.6"/>
  <cols>
    <col min="1" max="1" width="43" style="33" customWidth="1"/>
    <col min="2" max="16384" width="8.5" style="33"/>
  </cols>
  <sheetData>
    <row r="1" spans="1:45" s="222" customFormat="1" ht="15">
      <c r="B1" s="222" t="s">
        <v>4138</v>
      </c>
      <c r="C1" s="222" t="s">
        <v>3108</v>
      </c>
      <c r="D1" s="222" t="s">
        <v>4139</v>
      </c>
      <c r="E1" s="222" t="s">
        <v>4140</v>
      </c>
      <c r="F1" s="222" t="s">
        <v>227</v>
      </c>
      <c r="G1" s="222" t="s">
        <v>312</v>
      </c>
      <c r="H1" s="222" t="s">
        <v>370</v>
      </c>
      <c r="I1" s="222" t="s">
        <v>428</v>
      </c>
      <c r="J1" s="222" t="s">
        <v>452</v>
      </c>
      <c r="K1" s="222" t="s">
        <v>591</v>
      </c>
      <c r="L1" s="222" t="s">
        <v>618</v>
      </c>
      <c r="M1" s="222" t="s">
        <v>632</v>
      </c>
      <c r="N1" s="222" t="s">
        <v>767</v>
      </c>
      <c r="O1" s="222" t="s">
        <v>840</v>
      </c>
      <c r="P1" s="222" t="s">
        <v>2825</v>
      </c>
      <c r="Q1" s="222" t="s">
        <v>2885</v>
      </c>
      <c r="R1" s="222" t="s">
        <v>2861</v>
      </c>
      <c r="S1" s="222" t="s">
        <v>917</v>
      </c>
      <c r="T1" s="222" t="s">
        <v>1012</v>
      </c>
      <c r="U1" s="222" t="s">
        <v>1136</v>
      </c>
      <c r="V1" s="222" t="s">
        <v>1294</v>
      </c>
      <c r="W1" s="222" t="s">
        <v>1335</v>
      </c>
      <c r="X1" s="222" t="s">
        <v>1383</v>
      </c>
      <c r="Y1" s="222" t="s">
        <v>1412</v>
      </c>
      <c r="Z1" s="222" t="s">
        <v>1471</v>
      </c>
      <c r="AA1" s="222" t="s">
        <v>1516</v>
      </c>
      <c r="AB1" s="222" t="s">
        <v>1562</v>
      </c>
      <c r="AC1" s="222" t="s">
        <v>1653</v>
      </c>
      <c r="AD1" s="222" t="s">
        <v>1682</v>
      </c>
      <c r="AE1" s="222" t="s">
        <v>1687</v>
      </c>
      <c r="AF1" s="222" t="s">
        <v>1766</v>
      </c>
      <c r="AG1" s="222" t="s">
        <v>1804</v>
      </c>
      <c r="AH1" s="222" t="s">
        <v>1894</v>
      </c>
      <c r="AI1" s="222" t="s">
        <v>1957</v>
      </c>
      <c r="AJ1" s="222" t="s">
        <v>2034</v>
      </c>
      <c r="AK1" s="222" t="s">
        <v>2063</v>
      </c>
      <c r="AL1" s="222" t="s">
        <v>2106</v>
      </c>
      <c r="AM1" s="222" t="s">
        <v>2002</v>
      </c>
      <c r="AN1" s="222" t="s">
        <v>2162</v>
      </c>
      <c r="AO1" s="222" t="s">
        <v>2258</v>
      </c>
      <c r="AP1" s="222" t="s">
        <v>2329</v>
      </c>
      <c r="AQ1" s="222" t="s">
        <v>2348</v>
      </c>
      <c r="AR1" s="222" t="s">
        <v>2392</v>
      </c>
      <c r="AS1" s="222" t="s">
        <v>2548</v>
      </c>
    </row>
    <row r="2" spans="1:45">
      <c r="A2" s="33" t="s">
        <v>274</v>
      </c>
      <c r="B2" s="33">
        <f>SUM(F2:AS2)</f>
        <v>90</v>
      </c>
      <c r="C2" s="645" t="s">
        <v>4141</v>
      </c>
      <c r="D2" s="33" t="s">
        <v>4142</v>
      </c>
      <c r="F2" s="33">
        <f>SUMIFS('Bilateral assistance, MAIN DATA'!$M:$M,'Bilateral assistance, MAIN DATA'!$B:$B,F$1, 'Bilateral assistance, MAIN DATA'!$I:$I,$A2)</f>
        <v>90</v>
      </c>
      <c r="G2" s="33">
        <f>SUMIFS('Bilateral assistance, MAIN DATA'!$M:$M,'Bilateral assistance, MAIN DATA'!$B:$B,G$1, 'Bilateral assistance, MAIN DATA'!$I:$I,$A2)</f>
        <v>0</v>
      </c>
      <c r="H2" s="33">
        <f>SUMIFS('Bilateral assistance, MAIN DATA'!$M:$M,'Bilateral assistance, MAIN DATA'!$B:$B,H$1, 'Bilateral assistance, MAIN DATA'!$I:$I,$A2)</f>
        <v>0</v>
      </c>
      <c r="I2" s="33">
        <f>SUMIFS('Bilateral assistance, MAIN DATA'!$M:$M,'Bilateral assistance, MAIN DATA'!$B:$B,I$1, 'Bilateral assistance, MAIN DATA'!$I:$I,$A2)</f>
        <v>0</v>
      </c>
      <c r="J2" s="33">
        <f>SUMIFS('Bilateral assistance, MAIN DATA'!$M:$M,'Bilateral assistance, MAIN DATA'!$B:$B,J$1, 'Bilateral assistance, MAIN DATA'!$I:$I,$A2)</f>
        <v>0</v>
      </c>
      <c r="K2" s="33">
        <f>SUMIFS('Bilateral assistance, MAIN DATA'!$M:$M,'Bilateral assistance, MAIN DATA'!$B:$B,K$1, 'Bilateral assistance, MAIN DATA'!$I:$I,$A2)</f>
        <v>0</v>
      </c>
      <c r="L2" s="33">
        <f>SUMIFS('Bilateral assistance, MAIN DATA'!$M:$M,'Bilateral assistance, MAIN DATA'!$B:$B,L$1, 'Bilateral assistance, MAIN DATA'!$I:$I,$A2)</f>
        <v>0</v>
      </c>
      <c r="M2" s="33">
        <f>SUMIFS('Bilateral assistance, MAIN DATA'!$M:$M,'Bilateral assistance, MAIN DATA'!$B:$B,M$1, 'Bilateral assistance, MAIN DATA'!$I:$I,$A2)</f>
        <v>0</v>
      </c>
      <c r="N2" s="33">
        <f>SUMIFS('Bilateral assistance, MAIN DATA'!$M:$M,'Bilateral assistance, MAIN DATA'!$B:$B,N$1, 'Bilateral assistance, MAIN DATA'!$I:$I,$A2)</f>
        <v>0</v>
      </c>
      <c r="O2" s="33">
        <f>SUMIFS('Bilateral assistance, MAIN DATA'!$M:$M,'Bilateral assistance, MAIN DATA'!$B:$B,O$1, 'Bilateral assistance, MAIN DATA'!$I:$I,$A2)</f>
        <v>0</v>
      </c>
      <c r="P2" s="33">
        <f>SUMIFS('Bilateral assistance, MAIN DATA'!$M:$M,'Bilateral assistance, MAIN DATA'!$B:$B,P$1, 'Bilateral assistance, MAIN DATA'!$I:$I,$A2)</f>
        <v>0</v>
      </c>
      <c r="Q2" s="33">
        <f>SUMIFS('Bilateral assistance, MAIN DATA'!$M:$M,'Bilateral assistance, MAIN DATA'!$B:$B,Q$1, 'Bilateral assistance, MAIN DATA'!$I:$I,$A2)</f>
        <v>0</v>
      </c>
      <c r="R2" s="33">
        <f>SUMIFS('Bilateral assistance, MAIN DATA'!$M:$M,'Bilateral assistance, MAIN DATA'!$B:$B,R$1, 'Bilateral assistance, MAIN DATA'!$I:$I,$A2)</f>
        <v>0</v>
      </c>
      <c r="S2" s="33">
        <f>SUMIFS('Bilateral assistance, MAIN DATA'!$M:$M,'Bilateral assistance, MAIN DATA'!$B:$B,S$1, 'Bilateral assistance, MAIN DATA'!$I:$I,$A2)</f>
        <v>0</v>
      </c>
      <c r="T2" s="33">
        <f>SUMIFS('Bilateral assistance, MAIN DATA'!$M:$M,'Bilateral assistance, MAIN DATA'!$B:$B,T$1, 'Bilateral assistance, MAIN DATA'!$I:$I,$A2)</f>
        <v>0</v>
      </c>
      <c r="U2" s="33">
        <f>SUMIFS('Bilateral assistance, MAIN DATA'!$M:$M,'Bilateral assistance, MAIN DATA'!$B:$B,U$1, 'Bilateral assistance, MAIN DATA'!$I:$I,$A2)</f>
        <v>0</v>
      </c>
      <c r="V2" s="33">
        <f>SUMIFS('Bilateral assistance, MAIN DATA'!$M:$M,'Bilateral assistance, MAIN DATA'!$B:$B,V$1, 'Bilateral assistance, MAIN DATA'!$I:$I,$A2)</f>
        <v>0</v>
      </c>
      <c r="W2" s="33">
        <f>SUMIFS('Bilateral assistance, MAIN DATA'!$M:$M,'Bilateral assistance, MAIN DATA'!$B:$B,W$1, 'Bilateral assistance, MAIN DATA'!$I:$I,$A2)</f>
        <v>0</v>
      </c>
      <c r="X2" s="33">
        <f>SUMIFS('Bilateral assistance, MAIN DATA'!$M:$M,'Bilateral assistance, MAIN DATA'!$B:$B,X$1, 'Bilateral assistance, MAIN DATA'!$I:$I,$A2)</f>
        <v>0</v>
      </c>
      <c r="Y2" s="33">
        <f>SUMIFS('Bilateral assistance, MAIN DATA'!$M:$M,'Bilateral assistance, MAIN DATA'!$B:$B,Y$1, 'Bilateral assistance, MAIN DATA'!$I:$I,$A2)</f>
        <v>0</v>
      </c>
      <c r="Z2" s="33">
        <f>SUMIFS('Bilateral assistance, MAIN DATA'!$M:$M,'Bilateral assistance, MAIN DATA'!$B:$B,Z$1, 'Bilateral assistance, MAIN DATA'!$I:$I,$A2)</f>
        <v>0</v>
      </c>
      <c r="AA2" s="33">
        <f>SUMIFS('Bilateral assistance, MAIN DATA'!$M:$M,'Bilateral assistance, MAIN DATA'!$B:$B,AA$1, 'Bilateral assistance, MAIN DATA'!$I:$I,$A2)</f>
        <v>0</v>
      </c>
      <c r="AB2" s="33">
        <f>SUMIFS('Bilateral assistance, MAIN DATA'!$M:$M,'Bilateral assistance, MAIN DATA'!$B:$B,AB$1, 'Bilateral assistance, MAIN DATA'!$I:$I,$A2)</f>
        <v>0</v>
      </c>
      <c r="AC2" s="33">
        <f>SUMIFS('Bilateral assistance, MAIN DATA'!$M:$M,'Bilateral assistance, MAIN DATA'!$B:$B,AC$1, 'Bilateral assistance, MAIN DATA'!$I:$I,$A2)</f>
        <v>0</v>
      </c>
      <c r="AD2" s="33">
        <f>SUMIFS('Bilateral assistance, MAIN DATA'!$M:$M,'Bilateral assistance, MAIN DATA'!$B:$B,AD$1, 'Bilateral assistance, MAIN DATA'!$I:$I,$A2)</f>
        <v>0</v>
      </c>
      <c r="AE2" s="33">
        <f>SUMIFS('Bilateral assistance, MAIN DATA'!$M:$M,'Bilateral assistance, MAIN DATA'!$B:$B,AE$1, 'Bilateral assistance, MAIN DATA'!$I:$I,$A2)</f>
        <v>0</v>
      </c>
      <c r="AF2" s="33">
        <f>SUMIFS('Bilateral assistance, MAIN DATA'!$M:$M,'Bilateral assistance, MAIN DATA'!$B:$B,AF$1, 'Bilateral assistance, MAIN DATA'!$I:$I,$A2)</f>
        <v>0</v>
      </c>
      <c r="AG2" s="33">
        <f>SUMIFS('Bilateral assistance, MAIN DATA'!$M:$M,'Bilateral assistance, MAIN DATA'!$B:$B,AG$1, 'Bilateral assistance, MAIN DATA'!$I:$I,$A2)</f>
        <v>0</v>
      </c>
      <c r="AH2" s="33">
        <f>SUMIFS('Bilateral assistance, MAIN DATA'!$M:$M,'Bilateral assistance, MAIN DATA'!$B:$B,AH$1, 'Bilateral assistance, MAIN DATA'!$I:$I,$A2)</f>
        <v>0</v>
      </c>
      <c r="AI2" s="33">
        <f>SUMIFS('Bilateral assistance, MAIN DATA'!$M:$M,'Bilateral assistance, MAIN DATA'!$B:$B,AI$1, 'Bilateral assistance, MAIN DATA'!$I:$I,$A2)</f>
        <v>0</v>
      </c>
      <c r="AJ2" s="33">
        <f>SUMIFS('Bilateral assistance, MAIN DATA'!$M:$M,'Bilateral assistance, MAIN DATA'!$B:$B,AJ$1, 'Bilateral assistance, MAIN DATA'!$I:$I,$A2)</f>
        <v>0</v>
      </c>
      <c r="AK2" s="33">
        <f>SUMIFS('Bilateral assistance, MAIN DATA'!$M:$M,'Bilateral assistance, MAIN DATA'!$B:$B,AK$1, 'Bilateral assistance, MAIN DATA'!$I:$I,$A2)</f>
        <v>0</v>
      </c>
      <c r="AL2" s="33">
        <f>SUMIFS('Bilateral assistance, MAIN DATA'!$M:$M,'Bilateral assistance, MAIN DATA'!$B:$B,AL$1, 'Bilateral assistance, MAIN DATA'!$I:$I,$A2)</f>
        <v>0</v>
      </c>
      <c r="AM2" s="33">
        <f>SUMIFS('Bilateral assistance, MAIN DATA'!$M:$M,'Bilateral assistance, MAIN DATA'!$B:$B,AM$1, 'Bilateral assistance, MAIN DATA'!$I:$I,$A2)</f>
        <v>0</v>
      </c>
      <c r="AN2" s="33">
        <f>SUMIFS('Bilateral assistance, MAIN DATA'!$M:$M,'Bilateral assistance, MAIN DATA'!$B:$B,AN$1, 'Bilateral assistance, MAIN DATA'!$I:$I,$A2)</f>
        <v>0</v>
      </c>
      <c r="AO2" s="33">
        <f>SUMIFS('Bilateral assistance, MAIN DATA'!$M:$M,'Bilateral assistance, MAIN DATA'!$B:$B,AO$1, 'Bilateral assistance, MAIN DATA'!$I:$I,$A2)</f>
        <v>0</v>
      </c>
      <c r="AP2" s="33">
        <f>SUMIFS('Bilateral assistance, MAIN DATA'!$M:$M,'Bilateral assistance, MAIN DATA'!$B:$B,AP$1, 'Bilateral assistance, MAIN DATA'!$I:$I,$A2)</f>
        <v>0</v>
      </c>
      <c r="AQ2" s="33">
        <f>SUMIFS('Bilateral assistance, MAIN DATA'!$M:$M,'Bilateral assistance, MAIN DATA'!$B:$B,AQ$1, 'Bilateral assistance, MAIN DATA'!$I:$I,$A2)</f>
        <v>0</v>
      </c>
      <c r="AR2" s="33">
        <f>SUMIFS('Bilateral assistance, MAIN DATA'!$M:$M,'Bilateral assistance, MAIN DATA'!$B:$B,AR$1, 'Bilateral assistance, MAIN DATA'!$I:$I,$A2)</f>
        <v>0</v>
      </c>
      <c r="AS2" s="33">
        <f>SUMIFS('Bilateral assistance, MAIN DATA'!$M:$M,'Bilateral assistance, MAIN DATA'!$B:$B,AS$1, 'Bilateral assistance, MAIN DATA'!$I:$I,$A2)</f>
        <v>0</v>
      </c>
    </row>
    <row r="3" spans="1:45">
      <c r="A3" s="33" t="s">
        <v>292</v>
      </c>
      <c r="B3" s="33">
        <f t="shared" ref="B3:B39" si="0">SUM(F3:AS3)</f>
        <v>409</v>
      </c>
      <c r="C3" s="645" t="s">
        <v>4141</v>
      </c>
      <c r="D3" s="33" t="s">
        <v>4142</v>
      </c>
      <c r="F3" s="33">
        <f>SUMIFS('Bilateral assistance, MAIN DATA'!$M:$M,'Bilateral assistance, MAIN DATA'!$B:$B,F$1, 'Bilateral assistance, MAIN DATA'!$I:$I,$A3)</f>
        <v>28</v>
      </c>
      <c r="G3" s="33">
        <f>SUMIFS('Bilateral assistance, MAIN DATA'!$M:$M,'Bilateral assistance, MAIN DATA'!$B:$B,G$1, 'Bilateral assistance, MAIN DATA'!$I:$I,$A3)</f>
        <v>0</v>
      </c>
      <c r="H3" s="33">
        <f>SUMIFS('Bilateral assistance, MAIN DATA'!$M:$M,'Bilateral assistance, MAIN DATA'!$B:$B,H$1, 'Bilateral assistance, MAIN DATA'!$I:$I,$A3)</f>
        <v>0</v>
      </c>
      <c r="I3" s="33">
        <f>SUMIFS('Bilateral assistance, MAIN DATA'!$M:$M,'Bilateral assistance, MAIN DATA'!$B:$B,I$1, 'Bilateral assistance, MAIN DATA'!$I:$I,$A3)</f>
        <v>0</v>
      </c>
      <c r="J3" s="33">
        <f>SUMIFS('Bilateral assistance, MAIN DATA'!$M:$M,'Bilateral assistance, MAIN DATA'!$B:$B,J$1, 'Bilateral assistance, MAIN DATA'!$I:$I,$A3)</f>
        <v>0</v>
      </c>
      <c r="K3" s="33">
        <f>SUMIFS('Bilateral assistance, MAIN DATA'!$M:$M,'Bilateral assistance, MAIN DATA'!$B:$B,K$1, 'Bilateral assistance, MAIN DATA'!$I:$I,$A3)</f>
        <v>0</v>
      </c>
      <c r="L3" s="33">
        <f>SUMIFS('Bilateral assistance, MAIN DATA'!$M:$M,'Bilateral assistance, MAIN DATA'!$B:$B,L$1, 'Bilateral assistance, MAIN DATA'!$I:$I,$A3)</f>
        <v>0</v>
      </c>
      <c r="M3" s="33">
        <f>SUMIFS('Bilateral assistance, MAIN DATA'!$M:$M,'Bilateral assistance, MAIN DATA'!$B:$B,M$1, 'Bilateral assistance, MAIN DATA'!$I:$I,$A3)</f>
        <v>0</v>
      </c>
      <c r="N3" s="33">
        <f>SUMIFS('Bilateral assistance, MAIN DATA'!$M:$M,'Bilateral assistance, MAIN DATA'!$B:$B,N$1, 'Bilateral assistance, MAIN DATA'!$I:$I,$A3)</f>
        <v>50</v>
      </c>
      <c r="O3" s="33">
        <f>SUMIFS('Bilateral assistance, MAIN DATA'!$M:$M,'Bilateral assistance, MAIN DATA'!$B:$B,O$1, 'Bilateral assistance, MAIN DATA'!$I:$I,$A3)</f>
        <v>0</v>
      </c>
      <c r="P3" s="33">
        <f>SUMIFS('Bilateral assistance, MAIN DATA'!$M:$M,'Bilateral assistance, MAIN DATA'!$B:$B,P$1, 'Bilateral assistance, MAIN DATA'!$I:$I,$A3)</f>
        <v>0</v>
      </c>
      <c r="Q3" s="33">
        <f>SUMIFS('Bilateral assistance, MAIN DATA'!$M:$M,'Bilateral assistance, MAIN DATA'!$B:$B,Q$1, 'Bilateral assistance, MAIN DATA'!$I:$I,$A3)</f>
        <v>0</v>
      </c>
      <c r="R3" s="33">
        <f>SUMIFS('Bilateral assistance, MAIN DATA'!$M:$M,'Bilateral assistance, MAIN DATA'!$B:$B,R$1, 'Bilateral assistance, MAIN DATA'!$I:$I,$A3)</f>
        <v>0</v>
      </c>
      <c r="S3" s="33">
        <f>SUMIFS('Bilateral assistance, MAIN DATA'!$M:$M,'Bilateral assistance, MAIN DATA'!$B:$B,S$1, 'Bilateral assistance, MAIN DATA'!$I:$I,$A3)</f>
        <v>0</v>
      </c>
      <c r="T3" s="33">
        <f>SUMIFS('Bilateral assistance, MAIN DATA'!$M:$M,'Bilateral assistance, MAIN DATA'!$B:$B,T$1, 'Bilateral assistance, MAIN DATA'!$I:$I,$A3)</f>
        <v>0</v>
      </c>
      <c r="U3" s="33">
        <f>SUMIFS('Bilateral assistance, MAIN DATA'!$M:$M,'Bilateral assistance, MAIN DATA'!$B:$B,U$1, 'Bilateral assistance, MAIN DATA'!$I:$I,$A3)</f>
        <v>0</v>
      </c>
      <c r="V3" s="33">
        <f>SUMIFS('Bilateral assistance, MAIN DATA'!$M:$M,'Bilateral assistance, MAIN DATA'!$B:$B,V$1, 'Bilateral assistance, MAIN DATA'!$I:$I,$A3)</f>
        <v>0</v>
      </c>
      <c r="W3" s="33">
        <f>SUMIFS('Bilateral assistance, MAIN DATA'!$M:$M,'Bilateral assistance, MAIN DATA'!$B:$B,W$1, 'Bilateral assistance, MAIN DATA'!$I:$I,$A3)</f>
        <v>0</v>
      </c>
      <c r="X3" s="33">
        <f>SUMIFS('Bilateral assistance, MAIN DATA'!$M:$M,'Bilateral assistance, MAIN DATA'!$B:$B,X$1, 'Bilateral assistance, MAIN DATA'!$I:$I,$A3)</f>
        <v>0</v>
      </c>
      <c r="Y3" s="33">
        <f>SUMIFS('Bilateral assistance, MAIN DATA'!$M:$M,'Bilateral assistance, MAIN DATA'!$B:$B,Y$1, 'Bilateral assistance, MAIN DATA'!$I:$I,$A3)</f>
        <v>24</v>
      </c>
      <c r="Z3" s="33">
        <f>SUMIFS('Bilateral assistance, MAIN DATA'!$M:$M,'Bilateral assistance, MAIN DATA'!$B:$B,Z$1, 'Bilateral assistance, MAIN DATA'!$I:$I,$A3)</f>
        <v>0</v>
      </c>
      <c r="AA3" s="33">
        <f>SUMIFS('Bilateral assistance, MAIN DATA'!$M:$M,'Bilateral assistance, MAIN DATA'!$B:$B,AA$1, 'Bilateral assistance, MAIN DATA'!$I:$I,$A3)</f>
        <v>0</v>
      </c>
      <c r="AB3" s="33">
        <f>SUMIFS('Bilateral assistance, MAIN DATA'!$M:$M,'Bilateral assistance, MAIN DATA'!$B:$B,AB$1, 'Bilateral assistance, MAIN DATA'!$I:$I,$A3)</f>
        <v>92</v>
      </c>
      <c r="AC3" s="33">
        <f>SUMIFS('Bilateral assistance, MAIN DATA'!$M:$M,'Bilateral assistance, MAIN DATA'!$B:$B,AC$1, 'Bilateral assistance, MAIN DATA'!$I:$I,$A3)</f>
        <v>0</v>
      </c>
      <c r="AD3" s="33">
        <f>SUMIFS('Bilateral assistance, MAIN DATA'!$M:$M,'Bilateral assistance, MAIN DATA'!$B:$B,AD$1, 'Bilateral assistance, MAIN DATA'!$I:$I,$A3)</f>
        <v>0</v>
      </c>
      <c r="AE3" s="33">
        <f>SUMIFS('Bilateral assistance, MAIN DATA'!$M:$M,'Bilateral assistance, MAIN DATA'!$B:$B,AE$1, 'Bilateral assistance, MAIN DATA'!$I:$I,$A3)</f>
        <v>0</v>
      </c>
      <c r="AF3" s="33">
        <f>SUMIFS('Bilateral assistance, MAIN DATA'!$M:$M,'Bilateral assistance, MAIN DATA'!$B:$B,AF$1, 'Bilateral assistance, MAIN DATA'!$I:$I,$A3)</f>
        <v>0</v>
      </c>
      <c r="AG3" s="33">
        <f>SUMIFS('Bilateral assistance, MAIN DATA'!$M:$M,'Bilateral assistance, MAIN DATA'!$B:$B,AG$1, 'Bilateral assistance, MAIN DATA'!$I:$I,$A3)</f>
        <v>0</v>
      </c>
      <c r="AH3" s="33">
        <f>SUMIFS('Bilateral assistance, MAIN DATA'!$M:$M,'Bilateral assistance, MAIN DATA'!$B:$B,AH$1, 'Bilateral assistance, MAIN DATA'!$I:$I,$A3)</f>
        <v>0</v>
      </c>
      <c r="AI3" s="33">
        <f>SUMIFS('Bilateral assistance, MAIN DATA'!$M:$M,'Bilateral assistance, MAIN DATA'!$B:$B,AI$1, 'Bilateral assistance, MAIN DATA'!$I:$I,$A3)</f>
        <v>15</v>
      </c>
      <c r="AJ3" s="33">
        <f>SUMIFS('Bilateral assistance, MAIN DATA'!$M:$M,'Bilateral assistance, MAIN DATA'!$B:$B,AJ$1, 'Bilateral assistance, MAIN DATA'!$I:$I,$A3)</f>
        <v>0</v>
      </c>
      <c r="AK3" s="33">
        <f>SUMIFS('Bilateral assistance, MAIN DATA'!$M:$M,'Bilateral assistance, MAIN DATA'!$B:$B,AK$1, 'Bilateral assistance, MAIN DATA'!$I:$I,$A3)</f>
        <v>0</v>
      </c>
      <c r="AL3" s="33">
        <f>SUMIFS('Bilateral assistance, MAIN DATA'!$M:$M,'Bilateral assistance, MAIN DATA'!$B:$B,AL$1, 'Bilateral assistance, MAIN DATA'!$I:$I,$A3)</f>
        <v>0</v>
      </c>
      <c r="AM3" s="33">
        <f>SUMIFS('Bilateral assistance, MAIN DATA'!$M:$M,'Bilateral assistance, MAIN DATA'!$B:$B,AM$1, 'Bilateral assistance, MAIN DATA'!$I:$I,$A3)</f>
        <v>0</v>
      </c>
      <c r="AN3" s="33">
        <f>SUMIFS('Bilateral assistance, MAIN DATA'!$M:$M,'Bilateral assistance, MAIN DATA'!$B:$B,AN$1, 'Bilateral assistance, MAIN DATA'!$I:$I,$A3)</f>
        <v>0</v>
      </c>
      <c r="AO3" s="33">
        <f>SUMIFS('Bilateral assistance, MAIN DATA'!$M:$M,'Bilateral assistance, MAIN DATA'!$B:$B,AO$1, 'Bilateral assistance, MAIN DATA'!$I:$I,$A3)</f>
        <v>0</v>
      </c>
      <c r="AP3" s="33">
        <f>SUMIFS('Bilateral assistance, MAIN DATA'!$M:$M,'Bilateral assistance, MAIN DATA'!$B:$B,AP$1, 'Bilateral assistance, MAIN DATA'!$I:$I,$A3)</f>
        <v>0</v>
      </c>
      <c r="AQ3" s="33">
        <f>SUMIFS('Bilateral assistance, MAIN DATA'!$M:$M,'Bilateral assistance, MAIN DATA'!$B:$B,AQ$1, 'Bilateral assistance, MAIN DATA'!$I:$I,$A3)</f>
        <v>0</v>
      </c>
      <c r="AR3" s="33">
        <f>SUMIFS('Bilateral assistance, MAIN DATA'!$M:$M,'Bilateral assistance, MAIN DATA'!$B:$B,AR$1, 'Bilateral assistance, MAIN DATA'!$I:$I,$A3)</f>
        <v>0</v>
      </c>
      <c r="AS3" s="33">
        <f>SUMIFS('Bilateral assistance, MAIN DATA'!$M:$M,'Bilateral assistance, MAIN DATA'!$B:$B,AS$1, 'Bilateral assistance, MAIN DATA'!$I:$I,$A3)</f>
        <v>200</v>
      </c>
    </row>
    <row r="4" spans="1:45">
      <c r="A4" s="33" t="s">
        <v>702</v>
      </c>
      <c r="B4" s="33">
        <f t="shared" si="0"/>
        <v>5</v>
      </c>
      <c r="C4" s="645" t="s">
        <v>4141</v>
      </c>
      <c r="D4" s="33" t="s">
        <v>4143</v>
      </c>
      <c r="F4" s="33">
        <f>SUMIFS('Bilateral assistance, MAIN DATA'!$M:$M,'Bilateral assistance, MAIN DATA'!$B:$B,F$1, 'Bilateral assistance, MAIN DATA'!$I:$I,$A4)</f>
        <v>0</v>
      </c>
      <c r="G4" s="33">
        <f>SUMIFS('Bilateral assistance, MAIN DATA'!$M:$M,'Bilateral assistance, MAIN DATA'!$B:$B,G$1, 'Bilateral assistance, MAIN DATA'!$I:$I,$A4)</f>
        <v>0</v>
      </c>
      <c r="H4" s="33">
        <f>SUMIFS('Bilateral assistance, MAIN DATA'!$M:$M,'Bilateral assistance, MAIN DATA'!$B:$B,H$1, 'Bilateral assistance, MAIN DATA'!$I:$I,$A4)</f>
        <v>0</v>
      </c>
      <c r="I4" s="33">
        <f>SUMIFS('Bilateral assistance, MAIN DATA'!$M:$M,'Bilateral assistance, MAIN DATA'!$B:$B,I$1, 'Bilateral assistance, MAIN DATA'!$I:$I,$A4)</f>
        <v>0</v>
      </c>
      <c r="J4" s="33">
        <f>SUMIFS('Bilateral assistance, MAIN DATA'!$M:$M,'Bilateral assistance, MAIN DATA'!$B:$B,J$1, 'Bilateral assistance, MAIN DATA'!$I:$I,$A4)</f>
        <v>0</v>
      </c>
      <c r="K4" s="33">
        <f>SUMIFS('Bilateral assistance, MAIN DATA'!$M:$M,'Bilateral assistance, MAIN DATA'!$B:$B,K$1, 'Bilateral assistance, MAIN DATA'!$I:$I,$A4)</f>
        <v>0</v>
      </c>
      <c r="L4" s="33">
        <f>SUMIFS('Bilateral assistance, MAIN DATA'!$M:$M,'Bilateral assistance, MAIN DATA'!$B:$B,L$1, 'Bilateral assistance, MAIN DATA'!$I:$I,$A4)</f>
        <v>0</v>
      </c>
      <c r="M4" s="33">
        <f>SUMIFS('Bilateral assistance, MAIN DATA'!$M:$M,'Bilateral assistance, MAIN DATA'!$B:$B,M$1, 'Bilateral assistance, MAIN DATA'!$I:$I,$A4)</f>
        <v>5</v>
      </c>
      <c r="N4" s="33">
        <f>SUMIFS('Bilateral assistance, MAIN DATA'!$M:$M,'Bilateral assistance, MAIN DATA'!$B:$B,N$1, 'Bilateral assistance, MAIN DATA'!$I:$I,$A4)</f>
        <v>0</v>
      </c>
      <c r="O4" s="33">
        <f>SUMIFS('Bilateral assistance, MAIN DATA'!$M:$M,'Bilateral assistance, MAIN DATA'!$B:$B,O$1, 'Bilateral assistance, MAIN DATA'!$I:$I,$A4)</f>
        <v>0</v>
      </c>
      <c r="P4" s="33">
        <f>SUMIFS('Bilateral assistance, MAIN DATA'!$M:$M,'Bilateral assistance, MAIN DATA'!$B:$B,P$1, 'Bilateral assistance, MAIN DATA'!$I:$I,$A4)</f>
        <v>0</v>
      </c>
      <c r="Q4" s="33">
        <f>SUMIFS('Bilateral assistance, MAIN DATA'!$M:$M,'Bilateral assistance, MAIN DATA'!$B:$B,Q$1, 'Bilateral assistance, MAIN DATA'!$I:$I,$A4)</f>
        <v>0</v>
      </c>
      <c r="R4" s="33">
        <f>SUMIFS('Bilateral assistance, MAIN DATA'!$M:$M,'Bilateral assistance, MAIN DATA'!$B:$B,R$1, 'Bilateral assistance, MAIN DATA'!$I:$I,$A4)</f>
        <v>0</v>
      </c>
      <c r="S4" s="33">
        <f>SUMIFS('Bilateral assistance, MAIN DATA'!$M:$M,'Bilateral assistance, MAIN DATA'!$B:$B,S$1, 'Bilateral assistance, MAIN DATA'!$I:$I,$A4)</f>
        <v>0</v>
      </c>
      <c r="T4" s="33">
        <f>SUMIFS('Bilateral assistance, MAIN DATA'!$M:$M,'Bilateral assistance, MAIN DATA'!$B:$B,T$1, 'Bilateral assistance, MAIN DATA'!$I:$I,$A4)</f>
        <v>0</v>
      </c>
      <c r="U4" s="33">
        <f>SUMIFS('Bilateral assistance, MAIN DATA'!$M:$M,'Bilateral assistance, MAIN DATA'!$B:$B,U$1, 'Bilateral assistance, MAIN DATA'!$I:$I,$A4)</f>
        <v>0</v>
      </c>
      <c r="V4" s="33">
        <f>SUMIFS('Bilateral assistance, MAIN DATA'!$M:$M,'Bilateral assistance, MAIN DATA'!$B:$B,V$1, 'Bilateral assistance, MAIN DATA'!$I:$I,$A4)</f>
        <v>0</v>
      </c>
      <c r="W4" s="33">
        <f>SUMIFS('Bilateral assistance, MAIN DATA'!$M:$M,'Bilateral assistance, MAIN DATA'!$B:$B,W$1, 'Bilateral assistance, MAIN DATA'!$I:$I,$A4)</f>
        <v>0</v>
      </c>
      <c r="X4" s="33">
        <f>SUMIFS('Bilateral assistance, MAIN DATA'!$M:$M,'Bilateral assistance, MAIN DATA'!$B:$B,X$1, 'Bilateral assistance, MAIN DATA'!$I:$I,$A4)</f>
        <v>0</v>
      </c>
      <c r="Y4" s="33">
        <f>SUMIFS('Bilateral assistance, MAIN DATA'!$M:$M,'Bilateral assistance, MAIN DATA'!$B:$B,Y$1, 'Bilateral assistance, MAIN DATA'!$I:$I,$A4)</f>
        <v>0</v>
      </c>
      <c r="Z4" s="33">
        <f>SUMIFS('Bilateral assistance, MAIN DATA'!$M:$M,'Bilateral assistance, MAIN DATA'!$B:$B,Z$1, 'Bilateral assistance, MAIN DATA'!$I:$I,$A4)</f>
        <v>0</v>
      </c>
      <c r="AA4" s="33">
        <f>SUMIFS('Bilateral assistance, MAIN DATA'!$M:$M,'Bilateral assistance, MAIN DATA'!$B:$B,AA$1, 'Bilateral assistance, MAIN DATA'!$I:$I,$A4)</f>
        <v>0</v>
      </c>
      <c r="AB4" s="33">
        <f>SUMIFS('Bilateral assistance, MAIN DATA'!$M:$M,'Bilateral assistance, MAIN DATA'!$B:$B,AB$1, 'Bilateral assistance, MAIN DATA'!$I:$I,$A4)</f>
        <v>0</v>
      </c>
      <c r="AC4" s="33">
        <f>SUMIFS('Bilateral assistance, MAIN DATA'!$M:$M,'Bilateral assistance, MAIN DATA'!$B:$B,AC$1, 'Bilateral assistance, MAIN DATA'!$I:$I,$A4)</f>
        <v>0</v>
      </c>
      <c r="AD4" s="33">
        <f>SUMIFS('Bilateral assistance, MAIN DATA'!$M:$M,'Bilateral assistance, MAIN DATA'!$B:$B,AD$1, 'Bilateral assistance, MAIN DATA'!$I:$I,$A4)</f>
        <v>0</v>
      </c>
      <c r="AE4" s="33">
        <f>SUMIFS('Bilateral assistance, MAIN DATA'!$M:$M,'Bilateral assistance, MAIN DATA'!$B:$B,AE$1, 'Bilateral assistance, MAIN DATA'!$I:$I,$A4)</f>
        <v>0</v>
      </c>
      <c r="AF4" s="33">
        <f>SUMIFS('Bilateral assistance, MAIN DATA'!$M:$M,'Bilateral assistance, MAIN DATA'!$B:$B,AF$1, 'Bilateral assistance, MAIN DATA'!$I:$I,$A4)</f>
        <v>0</v>
      </c>
      <c r="AG4" s="33">
        <f>SUMIFS('Bilateral assistance, MAIN DATA'!$M:$M,'Bilateral assistance, MAIN DATA'!$B:$B,AG$1, 'Bilateral assistance, MAIN DATA'!$I:$I,$A4)</f>
        <v>0</v>
      </c>
      <c r="AH4" s="33">
        <f>SUMIFS('Bilateral assistance, MAIN DATA'!$M:$M,'Bilateral assistance, MAIN DATA'!$B:$B,AH$1, 'Bilateral assistance, MAIN DATA'!$I:$I,$A4)</f>
        <v>0</v>
      </c>
      <c r="AI4" s="33">
        <f>SUMIFS('Bilateral assistance, MAIN DATA'!$M:$M,'Bilateral assistance, MAIN DATA'!$B:$B,AI$1, 'Bilateral assistance, MAIN DATA'!$I:$I,$A4)</f>
        <v>0</v>
      </c>
      <c r="AJ4" s="33">
        <f>SUMIFS('Bilateral assistance, MAIN DATA'!$M:$M,'Bilateral assistance, MAIN DATA'!$B:$B,AJ$1, 'Bilateral assistance, MAIN DATA'!$I:$I,$A4)</f>
        <v>0</v>
      </c>
      <c r="AK4" s="33">
        <f>SUMIFS('Bilateral assistance, MAIN DATA'!$M:$M,'Bilateral assistance, MAIN DATA'!$B:$B,AK$1, 'Bilateral assistance, MAIN DATA'!$I:$I,$A4)</f>
        <v>0</v>
      </c>
      <c r="AL4" s="33">
        <f>SUMIFS('Bilateral assistance, MAIN DATA'!$M:$M,'Bilateral assistance, MAIN DATA'!$B:$B,AL$1, 'Bilateral assistance, MAIN DATA'!$I:$I,$A4)</f>
        <v>0</v>
      </c>
      <c r="AM4" s="33">
        <f>SUMIFS('Bilateral assistance, MAIN DATA'!$M:$M,'Bilateral assistance, MAIN DATA'!$B:$B,AM$1, 'Bilateral assistance, MAIN DATA'!$I:$I,$A4)</f>
        <v>0</v>
      </c>
      <c r="AN4" s="33">
        <f>SUMIFS('Bilateral assistance, MAIN DATA'!$M:$M,'Bilateral assistance, MAIN DATA'!$B:$B,AN$1, 'Bilateral assistance, MAIN DATA'!$I:$I,$A4)</f>
        <v>0</v>
      </c>
      <c r="AO4" s="33">
        <f>SUMIFS('Bilateral assistance, MAIN DATA'!$M:$M,'Bilateral assistance, MAIN DATA'!$B:$B,AO$1, 'Bilateral assistance, MAIN DATA'!$I:$I,$A4)</f>
        <v>0</v>
      </c>
      <c r="AP4" s="33">
        <f>SUMIFS('Bilateral assistance, MAIN DATA'!$M:$M,'Bilateral assistance, MAIN DATA'!$B:$B,AP$1, 'Bilateral assistance, MAIN DATA'!$I:$I,$A4)</f>
        <v>0</v>
      </c>
      <c r="AQ4" s="33">
        <f>SUMIFS('Bilateral assistance, MAIN DATA'!$M:$M,'Bilateral assistance, MAIN DATA'!$B:$B,AQ$1, 'Bilateral assistance, MAIN DATA'!$I:$I,$A4)</f>
        <v>0</v>
      </c>
      <c r="AR4" s="33">
        <f>SUMIFS('Bilateral assistance, MAIN DATA'!$M:$M,'Bilateral assistance, MAIN DATA'!$B:$B,AR$1, 'Bilateral assistance, MAIN DATA'!$I:$I,$A4)</f>
        <v>0</v>
      </c>
      <c r="AS4" s="33">
        <f>SUMIFS('Bilateral assistance, MAIN DATA'!$M:$M,'Bilateral assistance, MAIN DATA'!$B:$B,AS$1, 'Bilateral assistance, MAIN DATA'!$I:$I,$A4)</f>
        <v>0</v>
      </c>
    </row>
    <row r="5" spans="1:45">
      <c r="A5" s="33" t="s">
        <v>1447</v>
      </c>
      <c r="B5" s="33">
        <f t="shared" si="0"/>
        <v>0</v>
      </c>
      <c r="C5" s="645" t="s">
        <v>4141</v>
      </c>
      <c r="D5" s="33" t="s">
        <v>4143</v>
      </c>
      <c r="F5" s="33">
        <f>SUMIFS('Bilateral assistance, MAIN DATA'!$M:$M,'Bilateral assistance, MAIN DATA'!$B:$B,F$1, 'Bilateral assistance, MAIN DATA'!$I:$I,$A5)</f>
        <v>0</v>
      </c>
      <c r="G5" s="33">
        <f>SUMIFS('Bilateral assistance, MAIN DATA'!$M:$M,'Bilateral assistance, MAIN DATA'!$B:$B,G$1, 'Bilateral assistance, MAIN DATA'!$I:$I,$A5)</f>
        <v>0</v>
      </c>
      <c r="H5" s="33">
        <f>SUMIFS('Bilateral assistance, MAIN DATA'!$M:$M,'Bilateral assistance, MAIN DATA'!$B:$B,H$1, 'Bilateral assistance, MAIN DATA'!$I:$I,$A5)</f>
        <v>0</v>
      </c>
      <c r="I5" s="33">
        <f>SUMIFS('Bilateral assistance, MAIN DATA'!$M:$M,'Bilateral assistance, MAIN DATA'!$B:$B,I$1, 'Bilateral assistance, MAIN DATA'!$I:$I,$A5)</f>
        <v>0</v>
      </c>
      <c r="J5" s="33">
        <f>SUMIFS('Bilateral assistance, MAIN DATA'!$M:$M,'Bilateral assistance, MAIN DATA'!$B:$B,J$1, 'Bilateral assistance, MAIN DATA'!$I:$I,$A5)</f>
        <v>0</v>
      </c>
      <c r="K5" s="33">
        <f>SUMIFS('Bilateral assistance, MAIN DATA'!$M:$M,'Bilateral assistance, MAIN DATA'!$B:$B,K$1, 'Bilateral assistance, MAIN DATA'!$I:$I,$A5)</f>
        <v>0</v>
      </c>
      <c r="L5" s="33">
        <f>SUMIFS('Bilateral assistance, MAIN DATA'!$M:$M,'Bilateral assistance, MAIN DATA'!$B:$B,L$1, 'Bilateral assistance, MAIN DATA'!$I:$I,$A5)</f>
        <v>0</v>
      </c>
      <c r="M5" s="33">
        <f>SUMIFS('Bilateral assistance, MAIN DATA'!$M:$M,'Bilateral assistance, MAIN DATA'!$B:$B,M$1, 'Bilateral assistance, MAIN DATA'!$I:$I,$A5)</f>
        <v>0</v>
      </c>
      <c r="N5" s="33">
        <f>SUMIFS('Bilateral assistance, MAIN DATA'!$M:$M,'Bilateral assistance, MAIN DATA'!$B:$B,N$1, 'Bilateral assistance, MAIN DATA'!$I:$I,$A5)</f>
        <v>0</v>
      </c>
      <c r="O5" s="33">
        <f>SUMIFS('Bilateral assistance, MAIN DATA'!$M:$M,'Bilateral assistance, MAIN DATA'!$B:$B,O$1, 'Bilateral assistance, MAIN DATA'!$I:$I,$A5)</f>
        <v>0</v>
      </c>
      <c r="P5" s="33">
        <f>SUMIFS('Bilateral assistance, MAIN DATA'!$M:$M,'Bilateral assistance, MAIN DATA'!$B:$B,P$1, 'Bilateral assistance, MAIN DATA'!$I:$I,$A5)</f>
        <v>0</v>
      </c>
      <c r="Q5" s="33">
        <f>SUMIFS('Bilateral assistance, MAIN DATA'!$M:$M,'Bilateral assistance, MAIN DATA'!$B:$B,Q$1, 'Bilateral assistance, MAIN DATA'!$I:$I,$A5)</f>
        <v>0</v>
      </c>
      <c r="R5" s="33">
        <f>SUMIFS('Bilateral assistance, MAIN DATA'!$M:$M,'Bilateral assistance, MAIN DATA'!$B:$B,R$1, 'Bilateral assistance, MAIN DATA'!$I:$I,$A5)</f>
        <v>0</v>
      </c>
      <c r="S5" s="33">
        <f>SUMIFS('Bilateral assistance, MAIN DATA'!$M:$M,'Bilateral assistance, MAIN DATA'!$B:$B,S$1, 'Bilateral assistance, MAIN DATA'!$I:$I,$A5)</f>
        <v>0</v>
      </c>
      <c r="T5" s="33">
        <f>SUMIFS('Bilateral assistance, MAIN DATA'!$M:$M,'Bilateral assistance, MAIN DATA'!$B:$B,T$1, 'Bilateral assistance, MAIN DATA'!$I:$I,$A5)</f>
        <v>0</v>
      </c>
      <c r="U5" s="33">
        <f>SUMIFS('Bilateral assistance, MAIN DATA'!$M:$M,'Bilateral assistance, MAIN DATA'!$B:$B,U$1, 'Bilateral assistance, MAIN DATA'!$I:$I,$A5)</f>
        <v>0</v>
      </c>
      <c r="V5" s="33">
        <f>SUMIFS('Bilateral assistance, MAIN DATA'!$M:$M,'Bilateral assistance, MAIN DATA'!$B:$B,V$1, 'Bilateral assistance, MAIN DATA'!$I:$I,$A5)</f>
        <v>0</v>
      </c>
      <c r="W5" s="33">
        <f>SUMIFS('Bilateral assistance, MAIN DATA'!$M:$M,'Bilateral assistance, MAIN DATA'!$B:$B,W$1, 'Bilateral assistance, MAIN DATA'!$I:$I,$A5)</f>
        <v>0</v>
      </c>
      <c r="X5" s="33">
        <f>SUMIFS('Bilateral assistance, MAIN DATA'!$M:$M,'Bilateral assistance, MAIN DATA'!$B:$B,X$1, 'Bilateral assistance, MAIN DATA'!$I:$I,$A5)</f>
        <v>0</v>
      </c>
      <c r="Y5" s="33">
        <f>SUMIFS('Bilateral assistance, MAIN DATA'!$M:$M,'Bilateral assistance, MAIN DATA'!$B:$B,Y$1, 'Bilateral assistance, MAIN DATA'!$I:$I,$A5)</f>
        <v>0</v>
      </c>
      <c r="Z5" s="33">
        <f>SUMIFS('Bilateral assistance, MAIN DATA'!$M:$M,'Bilateral assistance, MAIN DATA'!$B:$B,Z$1, 'Bilateral assistance, MAIN DATA'!$I:$I,$A5)</f>
        <v>0</v>
      </c>
      <c r="AA5" s="33">
        <f>SUMIFS('Bilateral assistance, MAIN DATA'!$M:$M,'Bilateral assistance, MAIN DATA'!$B:$B,AA$1, 'Bilateral assistance, MAIN DATA'!$I:$I,$A5)</f>
        <v>0</v>
      </c>
      <c r="AB5" s="33">
        <f>SUMIFS('Bilateral assistance, MAIN DATA'!$M:$M,'Bilateral assistance, MAIN DATA'!$B:$B,AB$1, 'Bilateral assistance, MAIN DATA'!$I:$I,$A5)</f>
        <v>0</v>
      </c>
      <c r="AC5" s="33">
        <f>SUMIFS('Bilateral assistance, MAIN DATA'!$M:$M,'Bilateral assistance, MAIN DATA'!$B:$B,AC$1, 'Bilateral assistance, MAIN DATA'!$I:$I,$A5)</f>
        <v>0</v>
      </c>
      <c r="AD5" s="33">
        <f>SUMIFS('Bilateral assistance, MAIN DATA'!$M:$M,'Bilateral assistance, MAIN DATA'!$B:$B,AD$1, 'Bilateral assistance, MAIN DATA'!$I:$I,$A5)</f>
        <v>0</v>
      </c>
      <c r="AE5" s="33">
        <f>SUMIFS('Bilateral assistance, MAIN DATA'!$M:$M,'Bilateral assistance, MAIN DATA'!$B:$B,AE$1, 'Bilateral assistance, MAIN DATA'!$I:$I,$A5)</f>
        <v>0</v>
      </c>
      <c r="AF5" s="33">
        <f>SUMIFS('Bilateral assistance, MAIN DATA'!$M:$M,'Bilateral assistance, MAIN DATA'!$B:$B,AF$1, 'Bilateral assistance, MAIN DATA'!$I:$I,$A5)</f>
        <v>0</v>
      </c>
      <c r="AG5" s="33">
        <f>SUMIFS('Bilateral assistance, MAIN DATA'!$M:$M,'Bilateral assistance, MAIN DATA'!$B:$B,AG$1, 'Bilateral assistance, MAIN DATA'!$I:$I,$A5)</f>
        <v>0</v>
      </c>
      <c r="AH5" s="33">
        <f>SUMIFS('Bilateral assistance, MAIN DATA'!$M:$M,'Bilateral assistance, MAIN DATA'!$B:$B,AH$1, 'Bilateral assistance, MAIN DATA'!$I:$I,$A5)</f>
        <v>0</v>
      </c>
      <c r="AI5" s="33">
        <f>SUMIFS('Bilateral assistance, MAIN DATA'!$M:$M,'Bilateral assistance, MAIN DATA'!$B:$B,AI$1, 'Bilateral assistance, MAIN DATA'!$I:$I,$A5)</f>
        <v>0</v>
      </c>
      <c r="AJ5" s="33">
        <f>SUMIFS('Bilateral assistance, MAIN DATA'!$M:$M,'Bilateral assistance, MAIN DATA'!$B:$B,AJ$1, 'Bilateral assistance, MAIN DATA'!$I:$I,$A5)</f>
        <v>0</v>
      </c>
      <c r="AK5" s="33">
        <f>SUMIFS('Bilateral assistance, MAIN DATA'!$M:$M,'Bilateral assistance, MAIN DATA'!$B:$B,AK$1, 'Bilateral assistance, MAIN DATA'!$I:$I,$A5)</f>
        <v>0</v>
      </c>
      <c r="AL5" s="33">
        <f>SUMIFS('Bilateral assistance, MAIN DATA'!$M:$M,'Bilateral assistance, MAIN DATA'!$B:$B,AL$1, 'Bilateral assistance, MAIN DATA'!$I:$I,$A5)</f>
        <v>0</v>
      </c>
      <c r="AM5" s="33">
        <f>SUMIFS('Bilateral assistance, MAIN DATA'!$M:$M,'Bilateral assistance, MAIN DATA'!$B:$B,AM$1, 'Bilateral assistance, MAIN DATA'!$I:$I,$A5)</f>
        <v>0</v>
      </c>
      <c r="AN5" s="33">
        <f>SUMIFS('Bilateral assistance, MAIN DATA'!$M:$M,'Bilateral assistance, MAIN DATA'!$B:$B,AN$1, 'Bilateral assistance, MAIN DATA'!$I:$I,$A5)</f>
        <v>0</v>
      </c>
      <c r="AO5" s="33">
        <f>SUMIFS('Bilateral assistance, MAIN DATA'!$M:$M,'Bilateral assistance, MAIN DATA'!$B:$B,AO$1, 'Bilateral assistance, MAIN DATA'!$I:$I,$A5)</f>
        <v>0</v>
      </c>
      <c r="AP5" s="33">
        <f>SUMIFS('Bilateral assistance, MAIN DATA'!$M:$M,'Bilateral assistance, MAIN DATA'!$B:$B,AP$1, 'Bilateral assistance, MAIN DATA'!$I:$I,$A5)</f>
        <v>0</v>
      </c>
      <c r="AQ5" s="33">
        <f>SUMIFS('Bilateral assistance, MAIN DATA'!$M:$M,'Bilateral assistance, MAIN DATA'!$B:$B,AQ$1, 'Bilateral assistance, MAIN DATA'!$I:$I,$A5)</f>
        <v>0</v>
      </c>
      <c r="AR5" s="33">
        <f>SUMIFS('Bilateral assistance, MAIN DATA'!$M:$M,'Bilateral assistance, MAIN DATA'!$B:$B,AR$1, 'Bilateral assistance, MAIN DATA'!$I:$I,$A5)</f>
        <v>0</v>
      </c>
      <c r="AS5" s="33">
        <f>SUMIFS('Bilateral assistance, MAIN DATA'!$M:$M,'Bilateral assistance, MAIN DATA'!$B:$B,AS$1, 'Bilateral assistance, MAIN DATA'!$I:$I,$A5)</f>
        <v>0</v>
      </c>
    </row>
    <row r="6" spans="1:45">
      <c r="A6" s="33" t="s">
        <v>1708</v>
      </c>
      <c r="B6" s="33">
        <f t="shared" si="0"/>
        <v>0</v>
      </c>
      <c r="C6" s="645" t="s">
        <v>4141</v>
      </c>
      <c r="D6" s="33" t="s">
        <v>4143</v>
      </c>
      <c r="F6" s="33">
        <f>SUMIFS('Bilateral assistance, MAIN DATA'!$M:$M,'Bilateral assistance, MAIN DATA'!$B:$B,F$1, 'Bilateral assistance, MAIN DATA'!$I:$I,$A6)</f>
        <v>0</v>
      </c>
      <c r="G6" s="33">
        <f>SUMIFS('Bilateral assistance, MAIN DATA'!$M:$M,'Bilateral assistance, MAIN DATA'!$B:$B,G$1, 'Bilateral assistance, MAIN DATA'!$I:$I,$A6)</f>
        <v>0</v>
      </c>
      <c r="H6" s="33">
        <f>SUMIFS('Bilateral assistance, MAIN DATA'!$M:$M,'Bilateral assistance, MAIN DATA'!$B:$B,H$1, 'Bilateral assistance, MAIN DATA'!$I:$I,$A6)</f>
        <v>0</v>
      </c>
      <c r="I6" s="33">
        <f>SUMIFS('Bilateral assistance, MAIN DATA'!$M:$M,'Bilateral assistance, MAIN DATA'!$B:$B,I$1, 'Bilateral assistance, MAIN DATA'!$I:$I,$A6)</f>
        <v>0</v>
      </c>
      <c r="J6" s="33">
        <f>SUMIFS('Bilateral assistance, MAIN DATA'!$M:$M,'Bilateral assistance, MAIN DATA'!$B:$B,J$1, 'Bilateral assistance, MAIN DATA'!$I:$I,$A6)</f>
        <v>0</v>
      </c>
      <c r="K6" s="33">
        <f>SUMIFS('Bilateral assistance, MAIN DATA'!$M:$M,'Bilateral assistance, MAIN DATA'!$B:$B,K$1, 'Bilateral assistance, MAIN DATA'!$I:$I,$A6)</f>
        <v>0</v>
      </c>
      <c r="L6" s="33">
        <f>SUMIFS('Bilateral assistance, MAIN DATA'!$M:$M,'Bilateral assistance, MAIN DATA'!$B:$B,L$1, 'Bilateral assistance, MAIN DATA'!$I:$I,$A6)</f>
        <v>0</v>
      </c>
      <c r="M6" s="33">
        <f>SUMIFS('Bilateral assistance, MAIN DATA'!$M:$M,'Bilateral assistance, MAIN DATA'!$B:$B,M$1, 'Bilateral assistance, MAIN DATA'!$I:$I,$A6)</f>
        <v>0</v>
      </c>
      <c r="N6" s="33">
        <f>SUMIFS('Bilateral assistance, MAIN DATA'!$M:$M,'Bilateral assistance, MAIN DATA'!$B:$B,N$1, 'Bilateral assistance, MAIN DATA'!$I:$I,$A6)</f>
        <v>0</v>
      </c>
      <c r="O6" s="33">
        <f>SUMIFS('Bilateral assistance, MAIN DATA'!$M:$M,'Bilateral assistance, MAIN DATA'!$B:$B,O$1, 'Bilateral assistance, MAIN DATA'!$I:$I,$A6)</f>
        <v>0</v>
      </c>
      <c r="P6" s="33">
        <f>SUMIFS('Bilateral assistance, MAIN DATA'!$M:$M,'Bilateral assistance, MAIN DATA'!$B:$B,P$1, 'Bilateral assistance, MAIN DATA'!$I:$I,$A6)</f>
        <v>0</v>
      </c>
      <c r="Q6" s="33">
        <f>SUMIFS('Bilateral assistance, MAIN DATA'!$M:$M,'Bilateral assistance, MAIN DATA'!$B:$B,Q$1, 'Bilateral assistance, MAIN DATA'!$I:$I,$A6)</f>
        <v>0</v>
      </c>
      <c r="R6" s="33">
        <f>SUMIFS('Bilateral assistance, MAIN DATA'!$M:$M,'Bilateral assistance, MAIN DATA'!$B:$B,R$1, 'Bilateral assistance, MAIN DATA'!$I:$I,$A6)</f>
        <v>0</v>
      </c>
      <c r="S6" s="33">
        <f>SUMIFS('Bilateral assistance, MAIN DATA'!$M:$M,'Bilateral assistance, MAIN DATA'!$B:$B,S$1, 'Bilateral assistance, MAIN DATA'!$I:$I,$A6)</f>
        <v>0</v>
      </c>
      <c r="T6" s="33">
        <f>SUMIFS('Bilateral assistance, MAIN DATA'!$M:$M,'Bilateral assistance, MAIN DATA'!$B:$B,T$1, 'Bilateral assistance, MAIN DATA'!$I:$I,$A6)</f>
        <v>0</v>
      </c>
      <c r="U6" s="33">
        <f>SUMIFS('Bilateral assistance, MAIN DATA'!$M:$M,'Bilateral assistance, MAIN DATA'!$B:$B,U$1, 'Bilateral assistance, MAIN DATA'!$I:$I,$A6)</f>
        <v>0</v>
      </c>
      <c r="V6" s="33">
        <f>SUMIFS('Bilateral assistance, MAIN DATA'!$M:$M,'Bilateral assistance, MAIN DATA'!$B:$B,V$1, 'Bilateral assistance, MAIN DATA'!$I:$I,$A6)</f>
        <v>0</v>
      </c>
      <c r="W6" s="33">
        <f>SUMIFS('Bilateral assistance, MAIN DATA'!$M:$M,'Bilateral assistance, MAIN DATA'!$B:$B,W$1, 'Bilateral assistance, MAIN DATA'!$I:$I,$A6)</f>
        <v>0</v>
      </c>
      <c r="X6" s="33">
        <f>SUMIFS('Bilateral assistance, MAIN DATA'!$M:$M,'Bilateral assistance, MAIN DATA'!$B:$B,X$1, 'Bilateral assistance, MAIN DATA'!$I:$I,$A6)</f>
        <v>0</v>
      </c>
      <c r="Y6" s="33">
        <f>SUMIFS('Bilateral assistance, MAIN DATA'!$M:$M,'Bilateral assistance, MAIN DATA'!$B:$B,Y$1, 'Bilateral assistance, MAIN DATA'!$I:$I,$A6)</f>
        <v>0</v>
      </c>
      <c r="Z6" s="33">
        <f>SUMIFS('Bilateral assistance, MAIN DATA'!$M:$M,'Bilateral assistance, MAIN DATA'!$B:$B,Z$1, 'Bilateral assistance, MAIN DATA'!$I:$I,$A6)</f>
        <v>0</v>
      </c>
      <c r="AA6" s="33">
        <f>SUMIFS('Bilateral assistance, MAIN DATA'!$M:$M,'Bilateral assistance, MAIN DATA'!$B:$B,AA$1, 'Bilateral assistance, MAIN DATA'!$I:$I,$A6)</f>
        <v>0</v>
      </c>
      <c r="AB6" s="33">
        <f>SUMIFS('Bilateral assistance, MAIN DATA'!$M:$M,'Bilateral assistance, MAIN DATA'!$B:$B,AB$1, 'Bilateral assistance, MAIN DATA'!$I:$I,$A6)</f>
        <v>0</v>
      </c>
      <c r="AC6" s="33">
        <f>SUMIFS('Bilateral assistance, MAIN DATA'!$M:$M,'Bilateral assistance, MAIN DATA'!$B:$B,AC$1, 'Bilateral assistance, MAIN DATA'!$I:$I,$A6)</f>
        <v>0</v>
      </c>
      <c r="AD6" s="33">
        <f>SUMIFS('Bilateral assistance, MAIN DATA'!$M:$M,'Bilateral assistance, MAIN DATA'!$B:$B,AD$1, 'Bilateral assistance, MAIN DATA'!$I:$I,$A6)</f>
        <v>0</v>
      </c>
      <c r="AE6" s="33">
        <f>SUMIFS('Bilateral assistance, MAIN DATA'!$M:$M,'Bilateral assistance, MAIN DATA'!$B:$B,AE$1, 'Bilateral assistance, MAIN DATA'!$I:$I,$A6)</f>
        <v>0</v>
      </c>
      <c r="AF6" s="33">
        <f>SUMIFS('Bilateral assistance, MAIN DATA'!$M:$M,'Bilateral assistance, MAIN DATA'!$B:$B,AF$1, 'Bilateral assistance, MAIN DATA'!$I:$I,$A6)</f>
        <v>0</v>
      </c>
      <c r="AG6" s="33">
        <f>SUMIFS('Bilateral assistance, MAIN DATA'!$M:$M,'Bilateral assistance, MAIN DATA'!$B:$B,AG$1, 'Bilateral assistance, MAIN DATA'!$I:$I,$A6)</f>
        <v>0</v>
      </c>
      <c r="AH6" s="33">
        <f>SUMIFS('Bilateral assistance, MAIN DATA'!$M:$M,'Bilateral assistance, MAIN DATA'!$B:$B,AH$1, 'Bilateral assistance, MAIN DATA'!$I:$I,$A6)</f>
        <v>0</v>
      </c>
      <c r="AI6" s="33">
        <f>SUMIFS('Bilateral assistance, MAIN DATA'!$M:$M,'Bilateral assistance, MAIN DATA'!$B:$B,AI$1, 'Bilateral assistance, MAIN DATA'!$I:$I,$A6)</f>
        <v>0</v>
      </c>
      <c r="AJ6" s="33">
        <f>SUMIFS('Bilateral assistance, MAIN DATA'!$M:$M,'Bilateral assistance, MAIN DATA'!$B:$B,AJ$1, 'Bilateral assistance, MAIN DATA'!$I:$I,$A6)</f>
        <v>0</v>
      </c>
      <c r="AK6" s="33">
        <f>SUMIFS('Bilateral assistance, MAIN DATA'!$M:$M,'Bilateral assistance, MAIN DATA'!$B:$B,AK$1, 'Bilateral assistance, MAIN DATA'!$I:$I,$A6)</f>
        <v>0</v>
      </c>
      <c r="AL6" s="33">
        <f>SUMIFS('Bilateral assistance, MAIN DATA'!$M:$M,'Bilateral assistance, MAIN DATA'!$B:$B,AL$1, 'Bilateral assistance, MAIN DATA'!$I:$I,$A6)</f>
        <v>0</v>
      </c>
      <c r="AM6" s="33">
        <f>SUMIFS('Bilateral assistance, MAIN DATA'!$M:$M,'Bilateral assistance, MAIN DATA'!$B:$B,AM$1, 'Bilateral assistance, MAIN DATA'!$I:$I,$A6)</f>
        <v>0</v>
      </c>
      <c r="AN6" s="33">
        <f>SUMIFS('Bilateral assistance, MAIN DATA'!$M:$M,'Bilateral assistance, MAIN DATA'!$B:$B,AN$1, 'Bilateral assistance, MAIN DATA'!$I:$I,$A6)</f>
        <v>0</v>
      </c>
      <c r="AO6" s="33">
        <f>SUMIFS('Bilateral assistance, MAIN DATA'!$M:$M,'Bilateral assistance, MAIN DATA'!$B:$B,AO$1, 'Bilateral assistance, MAIN DATA'!$I:$I,$A6)</f>
        <v>0</v>
      </c>
      <c r="AP6" s="33">
        <f>SUMIFS('Bilateral assistance, MAIN DATA'!$M:$M,'Bilateral assistance, MAIN DATA'!$B:$B,AP$1, 'Bilateral assistance, MAIN DATA'!$I:$I,$A6)</f>
        <v>0</v>
      </c>
      <c r="AQ6" s="33">
        <f>SUMIFS('Bilateral assistance, MAIN DATA'!$M:$M,'Bilateral assistance, MAIN DATA'!$B:$B,AQ$1, 'Bilateral assistance, MAIN DATA'!$I:$I,$A6)</f>
        <v>0</v>
      </c>
      <c r="AR6" s="33">
        <f>SUMIFS('Bilateral assistance, MAIN DATA'!$M:$M,'Bilateral assistance, MAIN DATA'!$B:$B,AR$1, 'Bilateral assistance, MAIN DATA'!$I:$I,$A6)</f>
        <v>0</v>
      </c>
      <c r="AS6" s="33">
        <f>SUMIFS('Bilateral assistance, MAIN DATA'!$M:$M,'Bilateral assistance, MAIN DATA'!$B:$B,AS$1, 'Bilateral assistance, MAIN DATA'!$I:$I,$A6)</f>
        <v>0</v>
      </c>
    </row>
    <row r="7" spans="1:45">
      <c r="A7" s="33" t="s">
        <v>3251</v>
      </c>
      <c r="B7" s="33">
        <f t="shared" si="0"/>
        <v>0</v>
      </c>
      <c r="C7" s="645" t="s">
        <v>4141</v>
      </c>
      <c r="D7" s="33" t="s">
        <v>4144</v>
      </c>
      <c r="F7" s="33">
        <f>SUMIFS('Bilateral assistance, MAIN DATA'!$M:$M,'Bilateral assistance, MAIN DATA'!$B:$B,F$1, 'Bilateral assistance, MAIN DATA'!$I:$I,$A7)</f>
        <v>0</v>
      </c>
      <c r="G7" s="33">
        <f>SUMIFS('Bilateral assistance, MAIN DATA'!$M:$M,'Bilateral assistance, MAIN DATA'!$B:$B,G$1, 'Bilateral assistance, MAIN DATA'!$I:$I,$A7)</f>
        <v>0</v>
      </c>
      <c r="H7" s="33">
        <f>SUMIFS('Bilateral assistance, MAIN DATA'!$M:$M,'Bilateral assistance, MAIN DATA'!$B:$B,H$1, 'Bilateral assistance, MAIN DATA'!$I:$I,$A7)</f>
        <v>0</v>
      </c>
      <c r="I7" s="33">
        <f>SUMIFS('Bilateral assistance, MAIN DATA'!$M:$M,'Bilateral assistance, MAIN DATA'!$B:$B,I$1, 'Bilateral assistance, MAIN DATA'!$I:$I,$A7)</f>
        <v>0</v>
      </c>
      <c r="J7" s="33">
        <f>SUMIFS('Bilateral assistance, MAIN DATA'!$M:$M,'Bilateral assistance, MAIN DATA'!$B:$B,J$1, 'Bilateral assistance, MAIN DATA'!$I:$I,$A7)</f>
        <v>0</v>
      </c>
      <c r="K7" s="33">
        <f>SUMIFS('Bilateral assistance, MAIN DATA'!$M:$M,'Bilateral assistance, MAIN DATA'!$B:$B,K$1, 'Bilateral assistance, MAIN DATA'!$I:$I,$A7)</f>
        <v>0</v>
      </c>
      <c r="L7" s="33">
        <f>SUMIFS('Bilateral assistance, MAIN DATA'!$M:$M,'Bilateral assistance, MAIN DATA'!$B:$B,L$1, 'Bilateral assistance, MAIN DATA'!$I:$I,$A7)</f>
        <v>0</v>
      </c>
      <c r="M7" s="33">
        <f>SUMIFS('Bilateral assistance, MAIN DATA'!$M:$M,'Bilateral assistance, MAIN DATA'!$B:$B,M$1, 'Bilateral assistance, MAIN DATA'!$I:$I,$A7)</f>
        <v>0</v>
      </c>
      <c r="N7" s="33">
        <f>SUMIFS('Bilateral assistance, MAIN DATA'!$M:$M,'Bilateral assistance, MAIN DATA'!$B:$B,N$1, 'Bilateral assistance, MAIN DATA'!$I:$I,$A7)</f>
        <v>0</v>
      </c>
      <c r="O7" s="33">
        <f>SUMIFS('Bilateral assistance, MAIN DATA'!$M:$M,'Bilateral assistance, MAIN DATA'!$B:$B,O$1, 'Bilateral assistance, MAIN DATA'!$I:$I,$A7)</f>
        <v>0</v>
      </c>
      <c r="P7" s="33">
        <f>SUMIFS('Bilateral assistance, MAIN DATA'!$M:$M,'Bilateral assistance, MAIN DATA'!$B:$B,P$1, 'Bilateral assistance, MAIN DATA'!$I:$I,$A7)</f>
        <v>0</v>
      </c>
      <c r="Q7" s="33">
        <f>SUMIFS('Bilateral assistance, MAIN DATA'!$M:$M,'Bilateral assistance, MAIN DATA'!$B:$B,Q$1, 'Bilateral assistance, MAIN DATA'!$I:$I,$A7)</f>
        <v>0</v>
      </c>
      <c r="R7" s="33">
        <f>SUMIFS('Bilateral assistance, MAIN DATA'!$M:$M,'Bilateral assistance, MAIN DATA'!$B:$B,R$1, 'Bilateral assistance, MAIN DATA'!$I:$I,$A7)</f>
        <v>0</v>
      </c>
      <c r="S7" s="33">
        <f>SUMIFS('Bilateral assistance, MAIN DATA'!$M:$M,'Bilateral assistance, MAIN DATA'!$B:$B,S$1, 'Bilateral assistance, MAIN DATA'!$I:$I,$A7)</f>
        <v>0</v>
      </c>
      <c r="T7" s="33">
        <f>SUMIFS('Bilateral assistance, MAIN DATA'!$M:$M,'Bilateral assistance, MAIN DATA'!$B:$B,T$1, 'Bilateral assistance, MAIN DATA'!$I:$I,$A7)</f>
        <v>0</v>
      </c>
      <c r="U7" s="33">
        <f>SUMIFS('Bilateral assistance, MAIN DATA'!$M:$M,'Bilateral assistance, MAIN DATA'!$B:$B,U$1, 'Bilateral assistance, MAIN DATA'!$I:$I,$A7)</f>
        <v>0</v>
      </c>
      <c r="V7" s="33">
        <f>SUMIFS('Bilateral assistance, MAIN DATA'!$M:$M,'Bilateral assistance, MAIN DATA'!$B:$B,V$1, 'Bilateral assistance, MAIN DATA'!$I:$I,$A7)</f>
        <v>0</v>
      </c>
      <c r="W7" s="33">
        <f>SUMIFS('Bilateral assistance, MAIN DATA'!$M:$M,'Bilateral assistance, MAIN DATA'!$B:$B,W$1, 'Bilateral assistance, MAIN DATA'!$I:$I,$A7)</f>
        <v>0</v>
      </c>
      <c r="X7" s="33">
        <f>SUMIFS('Bilateral assistance, MAIN DATA'!$M:$M,'Bilateral assistance, MAIN DATA'!$B:$B,X$1, 'Bilateral assistance, MAIN DATA'!$I:$I,$A7)</f>
        <v>0</v>
      </c>
      <c r="Y7" s="33">
        <f>SUMIFS('Bilateral assistance, MAIN DATA'!$M:$M,'Bilateral assistance, MAIN DATA'!$B:$B,Y$1, 'Bilateral assistance, MAIN DATA'!$I:$I,$A7)</f>
        <v>0</v>
      </c>
      <c r="Z7" s="33">
        <f>SUMIFS('Bilateral assistance, MAIN DATA'!$M:$M,'Bilateral assistance, MAIN DATA'!$B:$B,Z$1, 'Bilateral assistance, MAIN DATA'!$I:$I,$A7)</f>
        <v>0</v>
      </c>
      <c r="AA7" s="33">
        <f>SUMIFS('Bilateral assistance, MAIN DATA'!$M:$M,'Bilateral assistance, MAIN DATA'!$B:$B,AA$1, 'Bilateral assistance, MAIN DATA'!$I:$I,$A7)</f>
        <v>0</v>
      </c>
      <c r="AB7" s="33">
        <f>SUMIFS('Bilateral assistance, MAIN DATA'!$M:$M,'Bilateral assistance, MAIN DATA'!$B:$B,AB$1, 'Bilateral assistance, MAIN DATA'!$I:$I,$A7)</f>
        <v>0</v>
      </c>
      <c r="AC7" s="33">
        <f>SUMIFS('Bilateral assistance, MAIN DATA'!$M:$M,'Bilateral assistance, MAIN DATA'!$B:$B,AC$1, 'Bilateral assistance, MAIN DATA'!$I:$I,$A7)</f>
        <v>0</v>
      </c>
      <c r="AD7" s="33">
        <f>SUMIFS('Bilateral assistance, MAIN DATA'!$M:$M,'Bilateral assistance, MAIN DATA'!$B:$B,AD$1, 'Bilateral assistance, MAIN DATA'!$I:$I,$A7)</f>
        <v>0</v>
      </c>
      <c r="AE7" s="33">
        <f>SUMIFS('Bilateral assistance, MAIN DATA'!$M:$M,'Bilateral assistance, MAIN DATA'!$B:$B,AE$1, 'Bilateral assistance, MAIN DATA'!$I:$I,$A7)</f>
        <v>0</v>
      </c>
      <c r="AF7" s="33">
        <f>SUMIFS('Bilateral assistance, MAIN DATA'!$M:$M,'Bilateral assistance, MAIN DATA'!$B:$B,AF$1, 'Bilateral assistance, MAIN DATA'!$I:$I,$A7)</f>
        <v>0</v>
      </c>
      <c r="AG7" s="33">
        <f>SUMIFS('Bilateral assistance, MAIN DATA'!$M:$M,'Bilateral assistance, MAIN DATA'!$B:$B,AG$1, 'Bilateral assistance, MAIN DATA'!$I:$I,$A7)</f>
        <v>0</v>
      </c>
      <c r="AH7" s="33">
        <f>SUMIFS('Bilateral assistance, MAIN DATA'!$M:$M,'Bilateral assistance, MAIN DATA'!$B:$B,AH$1, 'Bilateral assistance, MAIN DATA'!$I:$I,$A7)</f>
        <v>0</v>
      </c>
      <c r="AI7" s="33">
        <f>SUMIFS('Bilateral assistance, MAIN DATA'!$M:$M,'Bilateral assistance, MAIN DATA'!$B:$B,AI$1, 'Bilateral assistance, MAIN DATA'!$I:$I,$A7)</f>
        <v>0</v>
      </c>
      <c r="AJ7" s="33">
        <f>SUMIFS('Bilateral assistance, MAIN DATA'!$M:$M,'Bilateral assistance, MAIN DATA'!$B:$B,AJ$1, 'Bilateral assistance, MAIN DATA'!$I:$I,$A7)</f>
        <v>0</v>
      </c>
      <c r="AK7" s="33">
        <f>SUMIFS('Bilateral assistance, MAIN DATA'!$M:$M,'Bilateral assistance, MAIN DATA'!$B:$B,AK$1, 'Bilateral assistance, MAIN DATA'!$I:$I,$A7)</f>
        <v>0</v>
      </c>
      <c r="AL7" s="33">
        <f>SUMIFS('Bilateral assistance, MAIN DATA'!$M:$M,'Bilateral assistance, MAIN DATA'!$B:$B,AL$1, 'Bilateral assistance, MAIN DATA'!$I:$I,$A7)</f>
        <v>0</v>
      </c>
      <c r="AM7" s="33">
        <f>SUMIFS('Bilateral assistance, MAIN DATA'!$M:$M,'Bilateral assistance, MAIN DATA'!$B:$B,AM$1, 'Bilateral assistance, MAIN DATA'!$I:$I,$A7)</f>
        <v>0</v>
      </c>
      <c r="AN7" s="33">
        <f>SUMIFS('Bilateral assistance, MAIN DATA'!$M:$M,'Bilateral assistance, MAIN DATA'!$B:$B,AN$1, 'Bilateral assistance, MAIN DATA'!$I:$I,$A7)</f>
        <v>0</v>
      </c>
      <c r="AO7" s="33">
        <f>SUMIFS('Bilateral assistance, MAIN DATA'!$M:$M,'Bilateral assistance, MAIN DATA'!$B:$B,AO$1, 'Bilateral assistance, MAIN DATA'!$I:$I,$A7)</f>
        <v>0</v>
      </c>
      <c r="AP7" s="33">
        <f>SUMIFS('Bilateral assistance, MAIN DATA'!$M:$M,'Bilateral assistance, MAIN DATA'!$B:$B,AP$1, 'Bilateral assistance, MAIN DATA'!$I:$I,$A7)</f>
        <v>0</v>
      </c>
      <c r="AQ7" s="33">
        <f>SUMIFS('Bilateral assistance, MAIN DATA'!$M:$M,'Bilateral assistance, MAIN DATA'!$B:$B,AQ$1, 'Bilateral assistance, MAIN DATA'!$I:$I,$A7)</f>
        <v>0</v>
      </c>
      <c r="AR7" s="33">
        <f>SUMIFS('Bilateral assistance, MAIN DATA'!$M:$M,'Bilateral assistance, MAIN DATA'!$B:$B,AR$1, 'Bilateral assistance, MAIN DATA'!$I:$I,$A7)</f>
        <v>0</v>
      </c>
      <c r="AS7" s="33">
        <f>SUMIFS('Bilateral assistance, MAIN DATA'!$M:$M,'Bilateral assistance, MAIN DATA'!$B:$B,AS$1, 'Bilateral assistance, MAIN DATA'!$I:$I,$A7)</f>
        <v>0</v>
      </c>
    </row>
    <row r="8" spans="1:45">
      <c r="A8" s="33" t="s">
        <v>4145</v>
      </c>
      <c r="B8" s="33">
        <f t="shared" si="0"/>
        <v>0</v>
      </c>
      <c r="C8" s="645" t="s">
        <v>4141</v>
      </c>
      <c r="D8" s="33" t="s">
        <v>4142</v>
      </c>
      <c r="F8" s="33">
        <f>SUMIFS('Bilateral assistance, MAIN DATA'!$M:$M,'Bilateral assistance, MAIN DATA'!$B:$B,F$1, 'Bilateral assistance, MAIN DATA'!$I:$I,$A8)</f>
        <v>0</v>
      </c>
      <c r="G8" s="33">
        <f>SUMIFS('Bilateral assistance, MAIN DATA'!$M:$M,'Bilateral assistance, MAIN DATA'!$B:$B,G$1, 'Bilateral assistance, MAIN DATA'!$I:$I,$A8)</f>
        <v>0</v>
      </c>
      <c r="H8" s="33">
        <f>SUMIFS('Bilateral assistance, MAIN DATA'!$M:$M,'Bilateral assistance, MAIN DATA'!$B:$B,H$1, 'Bilateral assistance, MAIN DATA'!$I:$I,$A8)</f>
        <v>0</v>
      </c>
      <c r="I8" s="33">
        <f>SUMIFS('Bilateral assistance, MAIN DATA'!$M:$M,'Bilateral assistance, MAIN DATA'!$B:$B,I$1, 'Bilateral assistance, MAIN DATA'!$I:$I,$A8)</f>
        <v>0</v>
      </c>
      <c r="J8" s="33">
        <f>SUMIFS('Bilateral assistance, MAIN DATA'!$M:$M,'Bilateral assistance, MAIN DATA'!$B:$B,J$1, 'Bilateral assistance, MAIN DATA'!$I:$I,$A8)</f>
        <v>0</v>
      </c>
      <c r="K8" s="33">
        <f>SUMIFS('Bilateral assistance, MAIN DATA'!$M:$M,'Bilateral assistance, MAIN DATA'!$B:$B,K$1, 'Bilateral assistance, MAIN DATA'!$I:$I,$A8)</f>
        <v>0</v>
      </c>
      <c r="L8" s="33">
        <f>SUMIFS('Bilateral assistance, MAIN DATA'!$M:$M,'Bilateral assistance, MAIN DATA'!$B:$B,L$1, 'Bilateral assistance, MAIN DATA'!$I:$I,$A8)</f>
        <v>0</v>
      </c>
      <c r="M8" s="33">
        <f>SUMIFS('Bilateral assistance, MAIN DATA'!$M:$M,'Bilateral assistance, MAIN DATA'!$B:$B,M$1, 'Bilateral assistance, MAIN DATA'!$I:$I,$A8)</f>
        <v>0</v>
      </c>
      <c r="N8" s="33">
        <f>SUMIFS('Bilateral assistance, MAIN DATA'!$M:$M,'Bilateral assistance, MAIN DATA'!$B:$B,N$1, 'Bilateral assistance, MAIN DATA'!$I:$I,$A8)</f>
        <v>0</v>
      </c>
      <c r="O8" s="33">
        <f>SUMIFS('Bilateral assistance, MAIN DATA'!$M:$M,'Bilateral assistance, MAIN DATA'!$B:$B,O$1, 'Bilateral assistance, MAIN DATA'!$I:$I,$A8)</f>
        <v>0</v>
      </c>
      <c r="P8" s="33">
        <f>SUMIFS('Bilateral assistance, MAIN DATA'!$M:$M,'Bilateral assistance, MAIN DATA'!$B:$B,P$1, 'Bilateral assistance, MAIN DATA'!$I:$I,$A8)</f>
        <v>0</v>
      </c>
      <c r="Q8" s="33">
        <f>SUMIFS('Bilateral assistance, MAIN DATA'!$M:$M,'Bilateral assistance, MAIN DATA'!$B:$B,Q$1, 'Bilateral assistance, MAIN DATA'!$I:$I,$A8)</f>
        <v>0</v>
      </c>
      <c r="R8" s="33">
        <f>SUMIFS('Bilateral assistance, MAIN DATA'!$M:$M,'Bilateral assistance, MAIN DATA'!$B:$B,R$1, 'Bilateral assistance, MAIN DATA'!$I:$I,$A8)</f>
        <v>0</v>
      </c>
      <c r="S8" s="33">
        <f>SUMIFS('Bilateral assistance, MAIN DATA'!$M:$M,'Bilateral assistance, MAIN DATA'!$B:$B,S$1, 'Bilateral assistance, MAIN DATA'!$I:$I,$A8)</f>
        <v>0</v>
      </c>
      <c r="T8" s="33">
        <f>SUMIFS('Bilateral assistance, MAIN DATA'!$M:$M,'Bilateral assistance, MAIN DATA'!$B:$B,T$1, 'Bilateral assistance, MAIN DATA'!$I:$I,$A8)</f>
        <v>0</v>
      </c>
      <c r="U8" s="33">
        <f>SUMIFS('Bilateral assistance, MAIN DATA'!$M:$M,'Bilateral assistance, MAIN DATA'!$B:$B,U$1, 'Bilateral assistance, MAIN DATA'!$I:$I,$A8)</f>
        <v>0</v>
      </c>
      <c r="V8" s="33">
        <f>SUMIFS('Bilateral assistance, MAIN DATA'!$M:$M,'Bilateral assistance, MAIN DATA'!$B:$B,V$1, 'Bilateral assistance, MAIN DATA'!$I:$I,$A8)</f>
        <v>0</v>
      </c>
      <c r="W8" s="33">
        <f>SUMIFS('Bilateral assistance, MAIN DATA'!$M:$M,'Bilateral assistance, MAIN DATA'!$B:$B,W$1, 'Bilateral assistance, MAIN DATA'!$I:$I,$A8)</f>
        <v>0</v>
      </c>
      <c r="X8" s="33">
        <f>SUMIFS('Bilateral assistance, MAIN DATA'!$M:$M,'Bilateral assistance, MAIN DATA'!$B:$B,X$1, 'Bilateral assistance, MAIN DATA'!$I:$I,$A8)</f>
        <v>0</v>
      </c>
      <c r="Y8" s="33">
        <f>SUMIFS('Bilateral assistance, MAIN DATA'!$M:$M,'Bilateral assistance, MAIN DATA'!$B:$B,Y$1, 'Bilateral assistance, MAIN DATA'!$I:$I,$A8)</f>
        <v>0</v>
      </c>
      <c r="Z8" s="33">
        <f>SUMIFS('Bilateral assistance, MAIN DATA'!$M:$M,'Bilateral assistance, MAIN DATA'!$B:$B,Z$1, 'Bilateral assistance, MAIN DATA'!$I:$I,$A8)</f>
        <v>0</v>
      </c>
      <c r="AA8" s="33">
        <f>SUMIFS('Bilateral assistance, MAIN DATA'!$M:$M,'Bilateral assistance, MAIN DATA'!$B:$B,AA$1, 'Bilateral assistance, MAIN DATA'!$I:$I,$A8)</f>
        <v>0</v>
      </c>
      <c r="AB8" s="33">
        <f>SUMIFS('Bilateral assistance, MAIN DATA'!$M:$M,'Bilateral assistance, MAIN DATA'!$B:$B,AB$1, 'Bilateral assistance, MAIN DATA'!$I:$I,$A8)</f>
        <v>0</v>
      </c>
      <c r="AC8" s="33">
        <f>SUMIFS('Bilateral assistance, MAIN DATA'!$M:$M,'Bilateral assistance, MAIN DATA'!$B:$B,AC$1, 'Bilateral assistance, MAIN DATA'!$I:$I,$A8)</f>
        <v>0</v>
      </c>
      <c r="AD8" s="33">
        <f>SUMIFS('Bilateral assistance, MAIN DATA'!$M:$M,'Bilateral assistance, MAIN DATA'!$B:$B,AD$1, 'Bilateral assistance, MAIN DATA'!$I:$I,$A8)</f>
        <v>0</v>
      </c>
      <c r="AE8" s="33">
        <f>SUMIFS('Bilateral assistance, MAIN DATA'!$M:$M,'Bilateral assistance, MAIN DATA'!$B:$B,AE$1, 'Bilateral assistance, MAIN DATA'!$I:$I,$A8)</f>
        <v>0</v>
      </c>
      <c r="AF8" s="33">
        <f>SUMIFS('Bilateral assistance, MAIN DATA'!$M:$M,'Bilateral assistance, MAIN DATA'!$B:$B,AF$1, 'Bilateral assistance, MAIN DATA'!$I:$I,$A8)</f>
        <v>0</v>
      </c>
      <c r="AG8" s="33">
        <f>SUMIFS('Bilateral assistance, MAIN DATA'!$M:$M,'Bilateral assistance, MAIN DATA'!$B:$B,AG$1, 'Bilateral assistance, MAIN DATA'!$I:$I,$A8)</f>
        <v>0</v>
      </c>
      <c r="AH8" s="33">
        <f>SUMIFS('Bilateral assistance, MAIN DATA'!$M:$M,'Bilateral assistance, MAIN DATA'!$B:$B,AH$1, 'Bilateral assistance, MAIN DATA'!$I:$I,$A8)</f>
        <v>0</v>
      </c>
      <c r="AI8" s="33">
        <f>SUMIFS('Bilateral assistance, MAIN DATA'!$M:$M,'Bilateral assistance, MAIN DATA'!$B:$B,AI$1, 'Bilateral assistance, MAIN DATA'!$I:$I,$A8)</f>
        <v>0</v>
      </c>
      <c r="AJ8" s="33">
        <f>SUMIFS('Bilateral assistance, MAIN DATA'!$M:$M,'Bilateral assistance, MAIN DATA'!$B:$B,AJ$1, 'Bilateral assistance, MAIN DATA'!$I:$I,$A8)</f>
        <v>0</v>
      </c>
      <c r="AK8" s="33">
        <f>SUMIFS('Bilateral assistance, MAIN DATA'!$M:$M,'Bilateral assistance, MAIN DATA'!$B:$B,AK$1, 'Bilateral assistance, MAIN DATA'!$I:$I,$A8)</f>
        <v>0</v>
      </c>
      <c r="AL8" s="33">
        <f>SUMIFS('Bilateral assistance, MAIN DATA'!$M:$M,'Bilateral assistance, MAIN DATA'!$B:$B,AL$1, 'Bilateral assistance, MAIN DATA'!$I:$I,$A8)</f>
        <v>0</v>
      </c>
      <c r="AM8" s="33">
        <f>SUMIFS('Bilateral assistance, MAIN DATA'!$M:$M,'Bilateral assistance, MAIN DATA'!$B:$B,AM$1, 'Bilateral assistance, MAIN DATA'!$I:$I,$A8)</f>
        <v>0</v>
      </c>
      <c r="AN8" s="33">
        <f>SUMIFS('Bilateral assistance, MAIN DATA'!$M:$M,'Bilateral assistance, MAIN DATA'!$B:$B,AN$1, 'Bilateral assistance, MAIN DATA'!$I:$I,$A8)</f>
        <v>0</v>
      </c>
      <c r="AO8" s="33">
        <f>SUMIFS('Bilateral assistance, MAIN DATA'!$M:$M,'Bilateral assistance, MAIN DATA'!$B:$B,AO$1, 'Bilateral assistance, MAIN DATA'!$I:$I,$A8)</f>
        <v>0</v>
      </c>
      <c r="AP8" s="33">
        <f>SUMIFS('Bilateral assistance, MAIN DATA'!$M:$M,'Bilateral assistance, MAIN DATA'!$B:$B,AP$1, 'Bilateral assistance, MAIN DATA'!$I:$I,$A8)</f>
        <v>0</v>
      </c>
      <c r="AQ8" s="33">
        <f>SUMIFS('Bilateral assistance, MAIN DATA'!$M:$M,'Bilateral assistance, MAIN DATA'!$B:$B,AQ$1, 'Bilateral assistance, MAIN DATA'!$I:$I,$A8)</f>
        <v>0</v>
      </c>
      <c r="AR8" s="33">
        <f>SUMIFS('Bilateral assistance, MAIN DATA'!$M:$M,'Bilateral assistance, MAIN DATA'!$B:$B,AR$1, 'Bilateral assistance, MAIN DATA'!$I:$I,$A8)</f>
        <v>0</v>
      </c>
      <c r="AS8" s="33">
        <f>SUMIFS('Bilateral assistance, MAIN DATA'!$M:$M,'Bilateral assistance, MAIN DATA'!$B:$B,AS$1, 'Bilateral assistance, MAIN DATA'!$I:$I,$A8)</f>
        <v>0</v>
      </c>
    </row>
    <row r="9" spans="1:45">
      <c r="A9" s="33" t="s">
        <v>2612</v>
      </c>
      <c r="B9" s="33">
        <f t="shared" si="0"/>
        <v>825</v>
      </c>
      <c r="C9" s="645" t="s">
        <v>4141</v>
      </c>
      <c r="D9" s="33" t="s">
        <v>4142</v>
      </c>
      <c r="F9" s="33">
        <f>SUMIFS('Bilateral assistance, MAIN DATA'!$M:$M,'Bilateral assistance, MAIN DATA'!$B:$B,F$1, 'Bilateral assistance, MAIN DATA'!$I:$I,$A9)</f>
        <v>0</v>
      </c>
      <c r="G9" s="33">
        <f>SUMIFS('Bilateral assistance, MAIN DATA'!$M:$M,'Bilateral assistance, MAIN DATA'!$B:$B,G$1, 'Bilateral assistance, MAIN DATA'!$I:$I,$A9)</f>
        <v>0</v>
      </c>
      <c r="H9" s="33">
        <f>SUMIFS('Bilateral assistance, MAIN DATA'!$M:$M,'Bilateral assistance, MAIN DATA'!$B:$B,H$1, 'Bilateral assistance, MAIN DATA'!$I:$I,$A9)</f>
        <v>0</v>
      </c>
      <c r="I9" s="33">
        <f>SUMIFS('Bilateral assistance, MAIN DATA'!$M:$M,'Bilateral assistance, MAIN DATA'!$B:$B,I$1, 'Bilateral assistance, MAIN DATA'!$I:$I,$A9)</f>
        <v>0</v>
      </c>
      <c r="J9" s="33">
        <f>SUMIFS('Bilateral assistance, MAIN DATA'!$M:$M,'Bilateral assistance, MAIN DATA'!$B:$B,J$1, 'Bilateral assistance, MAIN DATA'!$I:$I,$A9)</f>
        <v>0</v>
      </c>
      <c r="K9" s="33">
        <f>SUMIFS('Bilateral assistance, MAIN DATA'!$M:$M,'Bilateral assistance, MAIN DATA'!$B:$B,K$1, 'Bilateral assistance, MAIN DATA'!$I:$I,$A9)</f>
        <v>0</v>
      </c>
      <c r="L9" s="33">
        <f>SUMIFS('Bilateral assistance, MAIN DATA'!$M:$M,'Bilateral assistance, MAIN DATA'!$B:$B,L$1, 'Bilateral assistance, MAIN DATA'!$I:$I,$A9)</f>
        <v>0</v>
      </c>
      <c r="M9" s="33">
        <f>SUMIFS('Bilateral assistance, MAIN DATA'!$M:$M,'Bilateral assistance, MAIN DATA'!$B:$B,M$1, 'Bilateral assistance, MAIN DATA'!$I:$I,$A9)</f>
        <v>0</v>
      </c>
      <c r="N9" s="33">
        <f>SUMIFS('Bilateral assistance, MAIN DATA'!$M:$M,'Bilateral assistance, MAIN DATA'!$B:$B,N$1, 'Bilateral assistance, MAIN DATA'!$I:$I,$A9)</f>
        <v>0</v>
      </c>
      <c r="O9" s="33">
        <f>SUMIFS('Bilateral assistance, MAIN DATA'!$M:$M,'Bilateral assistance, MAIN DATA'!$B:$B,O$1, 'Bilateral assistance, MAIN DATA'!$I:$I,$A9)</f>
        <v>0</v>
      </c>
      <c r="P9" s="33">
        <f>SUMIFS('Bilateral assistance, MAIN DATA'!$M:$M,'Bilateral assistance, MAIN DATA'!$B:$B,P$1, 'Bilateral assistance, MAIN DATA'!$I:$I,$A9)</f>
        <v>0</v>
      </c>
      <c r="Q9" s="33">
        <f>SUMIFS('Bilateral assistance, MAIN DATA'!$M:$M,'Bilateral assistance, MAIN DATA'!$B:$B,Q$1, 'Bilateral assistance, MAIN DATA'!$I:$I,$A9)</f>
        <v>0</v>
      </c>
      <c r="R9" s="33">
        <f>SUMIFS('Bilateral assistance, MAIN DATA'!$M:$M,'Bilateral assistance, MAIN DATA'!$B:$B,R$1, 'Bilateral assistance, MAIN DATA'!$I:$I,$A9)</f>
        <v>0</v>
      </c>
      <c r="S9" s="33">
        <f>SUMIFS('Bilateral assistance, MAIN DATA'!$M:$M,'Bilateral assistance, MAIN DATA'!$B:$B,S$1, 'Bilateral assistance, MAIN DATA'!$I:$I,$A9)</f>
        <v>0</v>
      </c>
      <c r="T9" s="33">
        <f>SUMIFS('Bilateral assistance, MAIN DATA'!$M:$M,'Bilateral assistance, MAIN DATA'!$B:$B,T$1, 'Bilateral assistance, MAIN DATA'!$I:$I,$A9)</f>
        <v>0</v>
      </c>
      <c r="U9" s="33">
        <f>SUMIFS('Bilateral assistance, MAIN DATA'!$M:$M,'Bilateral assistance, MAIN DATA'!$B:$B,U$1, 'Bilateral assistance, MAIN DATA'!$I:$I,$A9)</f>
        <v>0</v>
      </c>
      <c r="V9" s="33">
        <f>SUMIFS('Bilateral assistance, MAIN DATA'!$M:$M,'Bilateral assistance, MAIN DATA'!$B:$B,V$1, 'Bilateral assistance, MAIN DATA'!$I:$I,$A9)</f>
        <v>0</v>
      </c>
      <c r="W9" s="33">
        <f>SUMIFS('Bilateral assistance, MAIN DATA'!$M:$M,'Bilateral assistance, MAIN DATA'!$B:$B,W$1, 'Bilateral assistance, MAIN DATA'!$I:$I,$A9)</f>
        <v>0</v>
      </c>
      <c r="X9" s="33">
        <f>SUMIFS('Bilateral assistance, MAIN DATA'!$M:$M,'Bilateral assistance, MAIN DATA'!$B:$B,X$1, 'Bilateral assistance, MAIN DATA'!$I:$I,$A9)</f>
        <v>0</v>
      </c>
      <c r="Y9" s="33">
        <f>SUMIFS('Bilateral assistance, MAIN DATA'!$M:$M,'Bilateral assistance, MAIN DATA'!$B:$B,Y$1, 'Bilateral assistance, MAIN DATA'!$I:$I,$A9)</f>
        <v>0</v>
      </c>
      <c r="Z9" s="33">
        <f>SUMIFS('Bilateral assistance, MAIN DATA'!$M:$M,'Bilateral assistance, MAIN DATA'!$B:$B,Z$1, 'Bilateral assistance, MAIN DATA'!$I:$I,$A9)</f>
        <v>0</v>
      </c>
      <c r="AA9" s="33">
        <f>SUMIFS('Bilateral assistance, MAIN DATA'!$M:$M,'Bilateral assistance, MAIN DATA'!$B:$B,AA$1, 'Bilateral assistance, MAIN DATA'!$I:$I,$A9)</f>
        <v>0</v>
      </c>
      <c r="AB9" s="33">
        <f>SUMIFS('Bilateral assistance, MAIN DATA'!$M:$M,'Bilateral assistance, MAIN DATA'!$B:$B,AB$1, 'Bilateral assistance, MAIN DATA'!$I:$I,$A9)</f>
        <v>0</v>
      </c>
      <c r="AC9" s="33">
        <f>SUMIFS('Bilateral assistance, MAIN DATA'!$M:$M,'Bilateral assistance, MAIN DATA'!$B:$B,AC$1, 'Bilateral assistance, MAIN DATA'!$I:$I,$A9)</f>
        <v>0</v>
      </c>
      <c r="AD9" s="33">
        <f>SUMIFS('Bilateral assistance, MAIN DATA'!$M:$M,'Bilateral assistance, MAIN DATA'!$B:$B,AD$1, 'Bilateral assistance, MAIN DATA'!$I:$I,$A9)</f>
        <v>0</v>
      </c>
      <c r="AE9" s="33">
        <f>SUMIFS('Bilateral assistance, MAIN DATA'!$M:$M,'Bilateral assistance, MAIN DATA'!$B:$B,AE$1, 'Bilateral assistance, MAIN DATA'!$I:$I,$A9)</f>
        <v>0</v>
      </c>
      <c r="AF9" s="33">
        <f>SUMIFS('Bilateral assistance, MAIN DATA'!$M:$M,'Bilateral assistance, MAIN DATA'!$B:$B,AF$1, 'Bilateral assistance, MAIN DATA'!$I:$I,$A9)</f>
        <v>0</v>
      </c>
      <c r="AG9" s="33">
        <f>SUMIFS('Bilateral assistance, MAIN DATA'!$M:$M,'Bilateral assistance, MAIN DATA'!$B:$B,AG$1, 'Bilateral assistance, MAIN DATA'!$I:$I,$A9)</f>
        <v>0</v>
      </c>
      <c r="AH9" s="33">
        <f>SUMIFS('Bilateral assistance, MAIN DATA'!$M:$M,'Bilateral assistance, MAIN DATA'!$B:$B,AH$1, 'Bilateral assistance, MAIN DATA'!$I:$I,$A9)</f>
        <v>0</v>
      </c>
      <c r="AI9" s="33">
        <f>SUMIFS('Bilateral assistance, MAIN DATA'!$M:$M,'Bilateral assistance, MAIN DATA'!$B:$B,AI$1, 'Bilateral assistance, MAIN DATA'!$I:$I,$A9)</f>
        <v>0</v>
      </c>
      <c r="AJ9" s="33">
        <f>SUMIFS('Bilateral assistance, MAIN DATA'!$M:$M,'Bilateral assistance, MAIN DATA'!$B:$B,AJ$1, 'Bilateral assistance, MAIN DATA'!$I:$I,$A9)</f>
        <v>0</v>
      </c>
      <c r="AK9" s="33">
        <f>SUMIFS('Bilateral assistance, MAIN DATA'!$M:$M,'Bilateral assistance, MAIN DATA'!$B:$B,AK$1, 'Bilateral assistance, MAIN DATA'!$I:$I,$A9)</f>
        <v>0</v>
      </c>
      <c r="AL9" s="33">
        <f>SUMIFS('Bilateral assistance, MAIN DATA'!$M:$M,'Bilateral assistance, MAIN DATA'!$B:$B,AL$1, 'Bilateral assistance, MAIN DATA'!$I:$I,$A9)</f>
        <v>0</v>
      </c>
      <c r="AM9" s="33">
        <f>SUMIFS('Bilateral assistance, MAIN DATA'!$M:$M,'Bilateral assistance, MAIN DATA'!$B:$B,AM$1, 'Bilateral assistance, MAIN DATA'!$I:$I,$A9)</f>
        <v>0</v>
      </c>
      <c r="AN9" s="33">
        <f>SUMIFS('Bilateral assistance, MAIN DATA'!$M:$M,'Bilateral assistance, MAIN DATA'!$B:$B,AN$1, 'Bilateral assistance, MAIN DATA'!$I:$I,$A9)</f>
        <v>0</v>
      </c>
      <c r="AO9" s="33">
        <f>SUMIFS('Bilateral assistance, MAIN DATA'!$M:$M,'Bilateral assistance, MAIN DATA'!$B:$B,AO$1, 'Bilateral assistance, MAIN DATA'!$I:$I,$A9)</f>
        <v>0</v>
      </c>
      <c r="AP9" s="33">
        <f>SUMIFS('Bilateral assistance, MAIN DATA'!$M:$M,'Bilateral assistance, MAIN DATA'!$B:$B,AP$1, 'Bilateral assistance, MAIN DATA'!$I:$I,$A9)</f>
        <v>0</v>
      </c>
      <c r="AQ9" s="33">
        <f>SUMIFS('Bilateral assistance, MAIN DATA'!$M:$M,'Bilateral assistance, MAIN DATA'!$B:$B,AQ$1, 'Bilateral assistance, MAIN DATA'!$I:$I,$A9)</f>
        <v>0</v>
      </c>
      <c r="AR9" s="33">
        <f>SUMIFS('Bilateral assistance, MAIN DATA'!$M:$M,'Bilateral assistance, MAIN DATA'!$B:$B,AR$1, 'Bilateral assistance, MAIN DATA'!$I:$I,$A9)</f>
        <v>0</v>
      </c>
      <c r="AS9" s="33">
        <f>SUMIFS('Bilateral assistance, MAIN DATA'!$M:$M,'Bilateral assistance, MAIN DATA'!$B:$B,AS$1, 'Bilateral assistance, MAIN DATA'!$I:$I,$A9)</f>
        <v>825</v>
      </c>
    </row>
    <row r="10" spans="1:45">
      <c r="A10" s="33" t="s">
        <v>1330</v>
      </c>
      <c r="B10" s="33">
        <f t="shared" si="0"/>
        <v>110</v>
      </c>
      <c r="C10" s="33" t="s">
        <v>4141</v>
      </c>
      <c r="D10" s="33" t="s">
        <v>4143</v>
      </c>
      <c r="F10" s="33">
        <f>SUMIFS('Bilateral assistance, MAIN DATA'!$M:$M,'Bilateral assistance, MAIN DATA'!$B:$B,F$1, 'Bilateral assistance, MAIN DATA'!$I:$I,$A10)</f>
        <v>0</v>
      </c>
      <c r="G10" s="33">
        <f>SUMIFS('Bilateral assistance, MAIN DATA'!$M:$M,'Bilateral assistance, MAIN DATA'!$B:$B,G$1, 'Bilateral assistance, MAIN DATA'!$I:$I,$A10)</f>
        <v>0</v>
      </c>
      <c r="H10" s="33">
        <f>SUMIFS('Bilateral assistance, MAIN DATA'!$M:$M,'Bilateral assistance, MAIN DATA'!$B:$B,H$1, 'Bilateral assistance, MAIN DATA'!$I:$I,$A10)</f>
        <v>0</v>
      </c>
      <c r="I10" s="33">
        <f>SUMIFS('Bilateral assistance, MAIN DATA'!$M:$M,'Bilateral assistance, MAIN DATA'!$B:$B,I$1, 'Bilateral assistance, MAIN DATA'!$I:$I,$A10)</f>
        <v>0</v>
      </c>
      <c r="J10" s="33">
        <f>SUMIFS('Bilateral assistance, MAIN DATA'!$M:$M,'Bilateral assistance, MAIN DATA'!$B:$B,J$1, 'Bilateral assistance, MAIN DATA'!$I:$I,$A10)</f>
        <v>0</v>
      </c>
      <c r="K10" s="33">
        <f>SUMIFS('Bilateral assistance, MAIN DATA'!$M:$M,'Bilateral assistance, MAIN DATA'!$B:$B,K$1, 'Bilateral assistance, MAIN DATA'!$I:$I,$A10)</f>
        <v>0</v>
      </c>
      <c r="L10" s="33">
        <f>SUMIFS('Bilateral assistance, MAIN DATA'!$M:$M,'Bilateral assistance, MAIN DATA'!$B:$B,L$1, 'Bilateral assistance, MAIN DATA'!$I:$I,$A10)</f>
        <v>0</v>
      </c>
      <c r="M10" s="33">
        <f>SUMIFS('Bilateral assistance, MAIN DATA'!$M:$M,'Bilateral assistance, MAIN DATA'!$B:$B,M$1, 'Bilateral assistance, MAIN DATA'!$I:$I,$A10)</f>
        <v>0</v>
      </c>
      <c r="N10" s="33">
        <f>SUMIFS('Bilateral assistance, MAIN DATA'!$M:$M,'Bilateral assistance, MAIN DATA'!$B:$B,N$1, 'Bilateral assistance, MAIN DATA'!$I:$I,$A10)</f>
        <v>0</v>
      </c>
      <c r="O10" s="33">
        <f>SUMIFS('Bilateral assistance, MAIN DATA'!$M:$M,'Bilateral assistance, MAIN DATA'!$B:$B,O$1, 'Bilateral assistance, MAIN DATA'!$I:$I,$A10)</f>
        <v>0</v>
      </c>
      <c r="P10" s="33">
        <f>SUMIFS('Bilateral assistance, MAIN DATA'!$M:$M,'Bilateral assistance, MAIN DATA'!$B:$B,P$1, 'Bilateral assistance, MAIN DATA'!$I:$I,$A10)</f>
        <v>0</v>
      </c>
      <c r="Q10" s="33">
        <f>SUMIFS('Bilateral assistance, MAIN DATA'!$M:$M,'Bilateral assistance, MAIN DATA'!$B:$B,Q$1, 'Bilateral assistance, MAIN DATA'!$I:$I,$A10)</f>
        <v>0</v>
      </c>
      <c r="R10" s="33">
        <f>SUMIFS('Bilateral assistance, MAIN DATA'!$M:$M,'Bilateral assistance, MAIN DATA'!$B:$B,R$1, 'Bilateral assistance, MAIN DATA'!$I:$I,$A10)</f>
        <v>0</v>
      </c>
      <c r="S10" s="33">
        <f>SUMIFS('Bilateral assistance, MAIN DATA'!$M:$M,'Bilateral assistance, MAIN DATA'!$B:$B,S$1, 'Bilateral assistance, MAIN DATA'!$I:$I,$A10)</f>
        <v>0</v>
      </c>
      <c r="T10" s="33">
        <f>SUMIFS('Bilateral assistance, MAIN DATA'!$M:$M,'Bilateral assistance, MAIN DATA'!$B:$B,T$1, 'Bilateral assistance, MAIN DATA'!$I:$I,$A10)</f>
        <v>0</v>
      </c>
      <c r="U10" s="33">
        <f>SUMIFS('Bilateral assistance, MAIN DATA'!$M:$M,'Bilateral assistance, MAIN DATA'!$B:$B,U$1, 'Bilateral assistance, MAIN DATA'!$I:$I,$A10)</f>
        <v>0</v>
      </c>
      <c r="V10" s="33">
        <f>SUMIFS('Bilateral assistance, MAIN DATA'!$M:$M,'Bilateral assistance, MAIN DATA'!$B:$B,V$1, 'Bilateral assistance, MAIN DATA'!$I:$I,$A10)</f>
        <v>40</v>
      </c>
      <c r="W10" s="33">
        <f>SUMIFS('Bilateral assistance, MAIN DATA'!$M:$M,'Bilateral assistance, MAIN DATA'!$B:$B,W$1, 'Bilateral assistance, MAIN DATA'!$I:$I,$A10)</f>
        <v>0</v>
      </c>
      <c r="X10" s="33">
        <f>SUMIFS('Bilateral assistance, MAIN DATA'!$M:$M,'Bilateral assistance, MAIN DATA'!$B:$B,X$1, 'Bilateral assistance, MAIN DATA'!$I:$I,$A10)</f>
        <v>0</v>
      </c>
      <c r="Y10" s="33">
        <f>SUMIFS('Bilateral assistance, MAIN DATA'!$M:$M,'Bilateral assistance, MAIN DATA'!$B:$B,Y$1, 'Bilateral assistance, MAIN DATA'!$I:$I,$A10)</f>
        <v>0</v>
      </c>
      <c r="Z10" s="33">
        <f>SUMIFS('Bilateral assistance, MAIN DATA'!$M:$M,'Bilateral assistance, MAIN DATA'!$B:$B,Z$1, 'Bilateral assistance, MAIN DATA'!$I:$I,$A10)</f>
        <v>0</v>
      </c>
      <c r="AA10" s="33">
        <f>SUMIFS('Bilateral assistance, MAIN DATA'!$M:$M,'Bilateral assistance, MAIN DATA'!$B:$B,AA$1, 'Bilateral assistance, MAIN DATA'!$I:$I,$A10)</f>
        <v>0</v>
      </c>
      <c r="AB10" s="33">
        <f>SUMIFS('Bilateral assistance, MAIN DATA'!$M:$M,'Bilateral assistance, MAIN DATA'!$B:$B,AB$1, 'Bilateral assistance, MAIN DATA'!$I:$I,$A10)</f>
        <v>0</v>
      </c>
      <c r="AC10" s="33">
        <f>SUMIFS('Bilateral assistance, MAIN DATA'!$M:$M,'Bilateral assistance, MAIN DATA'!$B:$B,AC$1, 'Bilateral assistance, MAIN DATA'!$I:$I,$A10)</f>
        <v>0</v>
      </c>
      <c r="AD10" s="33">
        <f>SUMIFS('Bilateral assistance, MAIN DATA'!$M:$M,'Bilateral assistance, MAIN DATA'!$B:$B,AD$1, 'Bilateral assistance, MAIN DATA'!$I:$I,$A10)</f>
        <v>0</v>
      </c>
      <c r="AE10" s="33">
        <f>SUMIFS('Bilateral assistance, MAIN DATA'!$M:$M,'Bilateral assistance, MAIN DATA'!$B:$B,AE$1, 'Bilateral assistance, MAIN DATA'!$I:$I,$A10)</f>
        <v>0</v>
      </c>
      <c r="AF10" s="33">
        <f>SUMIFS('Bilateral assistance, MAIN DATA'!$M:$M,'Bilateral assistance, MAIN DATA'!$B:$B,AF$1, 'Bilateral assistance, MAIN DATA'!$I:$I,$A10)</f>
        <v>0</v>
      </c>
      <c r="AG10" s="33">
        <f>SUMIFS('Bilateral assistance, MAIN DATA'!$M:$M,'Bilateral assistance, MAIN DATA'!$B:$B,AG$1, 'Bilateral assistance, MAIN DATA'!$I:$I,$A10)</f>
        <v>0</v>
      </c>
      <c r="AH10" s="33">
        <f>SUMIFS('Bilateral assistance, MAIN DATA'!$M:$M,'Bilateral assistance, MAIN DATA'!$B:$B,AH$1, 'Bilateral assistance, MAIN DATA'!$I:$I,$A10)</f>
        <v>40</v>
      </c>
      <c r="AI10" s="33">
        <f>SUMIFS('Bilateral assistance, MAIN DATA'!$M:$M,'Bilateral assistance, MAIN DATA'!$B:$B,AI$1, 'Bilateral assistance, MAIN DATA'!$I:$I,$A10)</f>
        <v>0</v>
      </c>
      <c r="AJ10" s="33">
        <f>SUMIFS('Bilateral assistance, MAIN DATA'!$M:$M,'Bilateral assistance, MAIN DATA'!$B:$B,AJ$1, 'Bilateral assistance, MAIN DATA'!$I:$I,$A10)</f>
        <v>0</v>
      </c>
      <c r="AK10" s="33">
        <f>SUMIFS('Bilateral assistance, MAIN DATA'!$M:$M,'Bilateral assistance, MAIN DATA'!$B:$B,AK$1, 'Bilateral assistance, MAIN DATA'!$I:$I,$A10)</f>
        <v>30</v>
      </c>
      <c r="AL10" s="33">
        <f>SUMIFS('Bilateral assistance, MAIN DATA'!$M:$M,'Bilateral assistance, MAIN DATA'!$B:$B,AL$1, 'Bilateral assistance, MAIN DATA'!$I:$I,$A10)</f>
        <v>0</v>
      </c>
      <c r="AM10" s="33">
        <f>SUMIFS('Bilateral assistance, MAIN DATA'!$M:$M,'Bilateral assistance, MAIN DATA'!$B:$B,AM$1, 'Bilateral assistance, MAIN DATA'!$I:$I,$A10)</f>
        <v>0</v>
      </c>
      <c r="AN10" s="33">
        <f>SUMIFS('Bilateral assistance, MAIN DATA'!$M:$M,'Bilateral assistance, MAIN DATA'!$B:$B,AN$1, 'Bilateral assistance, MAIN DATA'!$I:$I,$A10)</f>
        <v>0</v>
      </c>
      <c r="AO10" s="33">
        <f>SUMIFS('Bilateral assistance, MAIN DATA'!$M:$M,'Bilateral assistance, MAIN DATA'!$B:$B,AO$1, 'Bilateral assistance, MAIN DATA'!$I:$I,$A10)</f>
        <v>0</v>
      </c>
      <c r="AP10" s="33">
        <f>SUMIFS('Bilateral assistance, MAIN DATA'!$M:$M,'Bilateral assistance, MAIN DATA'!$B:$B,AP$1, 'Bilateral assistance, MAIN DATA'!$I:$I,$A10)</f>
        <v>0</v>
      </c>
      <c r="AQ10" s="33">
        <f>SUMIFS('Bilateral assistance, MAIN DATA'!$M:$M,'Bilateral assistance, MAIN DATA'!$B:$B,AQ$1, 'Bilateral assistance, MAIN DATA'!$I:$I,$A10)</f>
        <v>0</v>
      </c>
      <c r="AR10" s="33">
        <f>SUMIFS('Bilateral assistance, MAIN DATA'!$M:$M,'Bilateral assistance, MAIN DATA'!$B:$B,AR$1, 'Bilateral assistance, MAIN DATA'!$I:$I,$A10)</f>
        <v>0</v>
      </c>
      <c r="AS10" s="33">
        <f>SUMIFS('Bilateral assistance, MAIN DATA'!$M:$M,'Bilateral assistance, MAIN DATA'!$B:$B,AS$1, 'Bilateral assistance, MAIN DATA'!$I:$I,$A10)</f>
        <v>0</v>
      </c>
    </row>
    <row r="11" spans="1:45">
      <c r="A11" s="33" t="s">
        <v>571</v>
      </c>
      <c r="B11" s="33">
        <f t="shared" si="0"/>
        <v>39</v>
      </c>
      <c r="C11" s="645" t="s">
        <v>4141</v>
      </c>
      <c r="D11" s="33" t="s">
        <v>4142</v>
      </c>
      <c r="F11" s="33">
        <f>SUMIFS('Bilateral assistance, MAIN DATA'!$M:$M,'Bilateral assistance, MAIN DATA'!$B:$B,F$1, 'Bilateral assistance, MAIN DATA'!$I:$I,$A11)</f>
        <v>0</v>
      </c>
      <c r="G11" s="33">
        <f>SUMIFS('Bilateral assistance, MAIN DATA'!$M:$M,'Bilateral assistance, MAIN DATA'!$B:$B,G$1, 'Bilateral assistance, MAIN DATA'!$I:$I,$A11)</f>
        <v>0</v>
      </c>
      <c r="H11" s="33">
        <f>SUMIFS('Bilateral assistance, MAIN DATA'!$M:$M,'Bilateral assistance, MAIN DATA'!$B:$B,H$1, 'Bilateral assistance, MAIN DATA'!$I:$I,$A11)</f>
        <v>0</v>
      </c>
      <c r="I11" s="33">
        <f>SUMIFS('Bilateral assistance, MAIN DATA'!$M:$M,'Bilateral assistance, MAIN DATA'!$B:$B,I$1, 'Bilateral assistance, MAIN DATA'!$I:$I,$A11)</f>
        <v>0</v>
      </c>
      <c r="J11" s="33">
        <f>SUMIFS('Bilateral assistance, MAIN DATA'!$M:$M,'Bilateral assistance, MAIN DATA'!$B:$B,J$1, 'Bilateral assistance, MAIN DATA'!$I:$I,$A11)</f>
        <v>39</v>
      </c>
      <c r="K11" s="33">
        <f>SUMIFS('Bilateral assistance, MAIN DATA'!$M:$M,'Bilateral assistance, MAIN DATA'!$B:$B,K$1, 'Bilateral assistance, MAIN DATA'!$I:$I,$A11)</f>
        <v>0</v>
      </c>
      <c r="L11" s="33">
        <f>SUMIFS('Bilateral assistance, MAIN DATA'!$M:$M,'Bilateral assistance, MAIN DATA'!$B:$B,L$1, 'Bilateral assistance, MAIN DATA'!$I:$I,$A11)</f>
        <v>0</v>
      </c>
      <c r="M11" s="33">
        <f>SUMIFS('Bilateral assistance, MAIN DATA'!$M:$M,'Bilateral assistance, MAIN DATA'!$B:$B,M$1, 'Bilateral assistance, MAIN DATA'!$I:$I,$A11)</f>
        <v>0</v>
      </c>
      <c r="N11" s="33">
        <f>SUMIFS('Bilateral assistance, MAIN DATA'!$M:$M,'Bilateral assistance, MAIN DATA'!$B:$B,N$1, 'Bilateral assistance, MAIN DATA'!$I:$I,$A11)</f>
        <v>0</v>
      </c>
      <c r="O11" s="33">
        <f>SUMIFS('Bilateral assistance, MAIN DATA'!$M:$M,'Bilateral assistance, MAIN DATA'!$B:$B,O$1, 'Bilateral assistance, MAIN DATA'!$I:$I,$A11)</f>
        <v>0</v>
      </c>
      <c r="P11" s="33">
        <f>SUMIFS('Bilateral assistance, MAIN DATA'!$M:$M,'Bilateral assistance, MAIN DATA'!$B:$B,P$1, 'Bilateral assistance, MAIN DATA'!$I:$I,$A11)</f>
        <v>0</v>
      </c>
      <c r="Q11" s="33">
        <f>SUMIFS('Bilateral assistance, MAIN DATA'!$M:$M,'Bilateral assistance, MAIN DATA'!$B:$B,Q$1, 'Bilateral assistance, MAIN DATA'!$I:$I,$A11)</f>
        <v>0</v>
      </c>
      <c r="R11" s="33">
        <f>SUMIFS('Bilateral assistance, MAIN DATA'!$M:$M,'Bilateral assistance, MAIN DATA'!$B:$B,R$1, 'Bilateral assistance, MAIN DATA'!$I:$I,$A11)</f>
        <v>0</v>
      </c>
      <c r="S11" s="33">
        <f>SUMIFS('Bilateral assistance, MAIN DATA'!$M:$M,'Bilateral assistance, MAIN DATA'!$B:$B,S$1, 'Bilateral assistance, MAIN DATA'!$I:$I,$A11)</f>
        <v>0</v>
      </c>
      <c r="T11" s="33">
        <f>SUMIFS('Bilateral assistance, MAIN DATA'!$M:$M,'Bilateral assistance, MAIN DATA'!$B:$B,T$1, 'Bilateral assistance, MAIN DATA'!$I:$I,$A11)</f>
        <v>0</v>
      </c>
      <c r="U11" s="33">
        <f>SUMIFS('Bilateral assistance, MAIN DATA'!$M:$M,'Bilateral assistance, MAIN DATA'!$B:$B,U$1, 'Bilateral assistance, MAIN DATA'!$I:$I,$A11)</f>
        <v>0</v>
      </c>
      <c r="V11" s="33">
        <f>SUMIFS('Bilateral assistance, MAIN DATA'!$M:$M,'Bilateral assistance, MAIN DATA'!$B:$B,V$1, 'Bilateral assistance, MAIN DATA'!$I:$I,$A11)</f>
        <v>0</v>
      </c>
      <c r="W11" s="33">
        <f>SUMIFS('Bilateral assistance, MAIN DATA'!$M:$M,'Bilateral assistance, MAIN DATA'!$B:$B,W$1, 'Bilateral assistance, MAIN DATA'!$I:$I,$A11)</f>
        <v>0</v>
      </c>
      <c r="X11" s="33">
        <f>SUMIFS('Bilateral assistance, MAIN DATA'!$M:$M,'Bilateral assistance, MAIN DATA'!$B:$B,X$1, 'Bilateral assistance, MAIN DATA'!$I:$I,$A11)</f>
        <v>0</v>
      </c>
      <c r="Y11" s="33">
        <f>SUMIFS('Bilateral assistance, MAIN DATA'!$M:$M,'Bilateral assistance, MAIN DATA'!$B:$B,Y$1, 'Bilateral assistance, MAIN DATA'!$I:$I,$A11)</f>
        <v>0</v>
      </c>
      <c r="Z11" s="33">
        <f>SUMIFS('Bilateral assistance, MAIN DATA'!$M:$M,'Bilateral assistance, MAIN DATA'!$B:$B,Z$1, 'Bilateral assistance, MAIN DATA'!$I:$I,$A11)</f>
        <v>0</v>
      </c>
      <c r="AA11" s="33">
        <f>SUMIFS('Bilateral assistance, MAIN DATA'!$M:$M,'Bilateral assistance, MAIN DATA'!$B:$B,AA$1, 'Bilateral assistance, MAIN DATA'!$I:$I,$A11)</f>
        <v>0</v>
      </c>
      <c r="AB11" s="33">
        <f>SUMIFS('Bilateral assistance, MAIN DATA'!$M:$M,'Bilateral assistance, MAIN DATA'!$B:$B,AB$1, 'Bilateral assistance, MAIN DATA'!$I:$I,$A11)</f>
        <v>0</v>
      </c>
      <c r="AC11" s="33">
        <f>SUMIFS('Bilateral assistance, MAIN DATA'!$M:$M,'Bilateral assistance, MAIN DATA'!$B:$B,AC$1, 'Bilateral assistance, MAIN DATA'!$I:$I,$A11)</f>
        <v>0</v>
      </c>
      <c r="AD11" s="33">
        <f>SUMIFS('Bilateral assistance, MAIN DATA'!$M:$M,'Bilateral assistance, MAIN DATA'!$B:$B,AD$1, 'Bilateral assistance, MAIN DATA'!$I:$I,$A11)</f>
        <v>0</v>
      </c>
      <c r="AE11" s="33">
        <f>SUMIFS('Bilateral assistance, MAIN DATA'!$M:$M,'Bilateral assistance, MAIN DATA'!$B:$B,AE$1, 'Bilateral assistance, MAIN DATA'!$I:$I,$A11)</f>
        <v>0</v>
      </c>
      <c r="AF11" s="33">
        <f>SUMIFS('Bilateral assistance, MAIN DATA'!$M:$M,'Bilateral assistance, MAIN DATA'!$B:$B,AF$1, 'Bilateral assistance, MAIN DATA'!$I:$I,$A11)</f>
        <v>0</v>
      </c>
      <c r="AG11" s="33">
        <f>SUMIFS('Bilateral assistance, MAIN DATA'!$M:$M,'Bilateral assistance, MAIN DATA'!$B:$B,AG$1, 'Bilateral assistance, MAIN DATA'!$I:$I,$A11)</f>
        <v>0</v>
      </c>
      <c r="AH11" s="33">
        <f>SUMIFS('Bilateral assistance, MAIN DATA'!$M:$M,'Bilateral assistance, MAIN DATA'!$B:$B,AH$1, 'Bilateral assistance, MAIN DATA'!$I:$I,$A11)</f>
        <v>0</v>
      </c>
      <c r="AI11" s="33">
        <f>SUMIFS('Bilateral assistance, MAIN DATA'!$M:$M,'Bilateral assistance, MAIN DATA'!$B:$B,AI$1, 'Bilateral assistance, MAIN DATA'!$I:$I,$A11)</f>
        <v>0</v>
      </c>
      <c r="AJ11" s="33">
        <f>SUMIFS('Bilateral assistance, MAIN DATA'!$M:$M,'Bilateral assistance, MAIN DATA'!$B:$B,AJ$1, 'Bilateral assistance, MAIN DATA'!$I:$I,$A11)</f>
        <v>0</v>
      </c>
      <c r="AK11" s="33">
        <f>SUMIFS('Bilateral assistance, MAIN DATA'!$M:$M,'Bilateral assistance, MAIN DATA'!$B:$B,AK$1, 'Bilateral assistance, MAIN DATA'!$I:$I,$A11)</f>
        <v>0</v>
      </c>
      <c r="AL11" s="33">
        <f>SUMIFS('Bilateral assistance, MAIN DATA'!$M:$M,'Bilateral assistance, MAIN DATA'!$B:$B,AL$1, 'Bilateral assistance, MAIN DATA'!$I:$I,$A11)</f>
        <v>0</v>
      </c>
      <c r="AM11" s="33">
        <f>SUMIFS('Bilateral assistance, MAIN DATA'!$M:$M,'Bilateral assistance, MAIN DATA'!$B:$B,AM$1, 'Bilateral assistance, MAIN DATA'!$I:$I,$A11)</f>
        <v>0</v>
      </c>
      <c r="AN11" s="33">
        <f>SUMIFS('Bilateral assistance, MAIN DATA'!$M:$M,'Bilateral assistance, MAIN DATA'!$B:$B,AN$1, 'Bilateral assistance, MAIN DATA'!$I:$I,$A11)</f>
        <v>0</v>
      </c>
      <c r="AO11" s="33">
        <f>SUMIFS('Bilateral assistance, MAIN DATA'!$M:$M,'Bilateral assistance, MAIN DATA'!$B:$B,AO$1, 'Bilateral assistance, MAIN DATA'!$I:$I,$A11)</f>
        <v>0</v>
      </c>
      <c r="AP11" s="33">
        <f>SUMIFS('Bilateral assistance, MAIN DATA'!$M:$M,'Bilateral assistance, MAIN DATA'!$B:$B,AP$1, 'Bilateral assistance, MAIN DATA'!$I:$I,$A11)</f>
        <v>0</v>
      </c>
      <c r="AQ11" s="33">
        <f>SUMIFS('Bilateral assistance, MAIN DATA'!$M:$M,'Bilateral assistance, MAIN DATA'!$B:$B,AQ$1, 'Bilateral assistance, MAIN DATA'!$I:$I,$A11)</f>
        <v>0</v>
      </c>
      <c r="AR11" s="33">
        <f>SUMIFS('Bilateral assistance, MAIN DATA'!$M:$M,'Bilateral assistance, MAIN DATA'!$B:$B,AR$1, 'Bilateral assistance, MAIN DATA'!$I:$I,$A11)</f>
        <v>0</v>
      </c>
      <c r="AS11" s="33">
        <f>SUMIFS('Bilateral assistance, MAIN DATA'!$M:$M,'Bilateral assistance, MAIN DATA'!$B:$B,AS$1, 'Bilateral assistance, MAIN DATA'!$I:$I,$A11)</f>
        <v>0</v>
      </c>
    </row>
    <row r="12" spans="1:45">
      <c r="A12" s="33" t="s">
        <v>1595</v>
      </c>
      <c r="B12" s="33">
        <f t="shared" si="0"/>
        <v>0</v>
      </c>
      <c r="C12" s="645" t="s">
        <v>4141</v>
      </c>
      <c r="D12" s="33" t="s">
        <v>4142</v>
      </c>
      <c r="F12" s="33">
        <f>SUMIFS('Bilateral assistance, MAIN DATA'!$M:$M,'Bilateral assistance, MAIN DATA'!$B:$B,F$1, 'Bilateral assistance, MAIN DATA'!$I:$I,$A12)</f>
        <v>0</v>
      </c>
      <c r="G12" s="33">
        <f>SUMIFS('Bilateral assistance, MAIN DATA'!$M:$M,'Bilateral assistance, MAIN DATA'!$B:$B,G$1, 'Bilateral assistance, MAIN DATA'!$I:$I,$A12)</f>
        <v>0</v>
      </c>
      <c r="H12" s="33">
        <f>SUMIFS('Bilateral assistance, MAIN DATA'!$M:$M,'Bilateral assistance, MAIN DATA'!$B:$B,H$1, 'Bilateral assistance, MAIN DATA'!$I:$I,$A12)</f>
        <v>0</v>
      </c>
      <c r="I12" s="33">
        <f>SUMIFS('Bilateral assistance, MAIN DATA'!$M:$M,'Bilateral assistance, MAIN DATA'!$B:$B,I$1, 'Bilateral assistance, MAIN DATA'!$I:$I,$A12)</f>
        <v>0</v>
      </c>
      <c r="J12" s="33">
        <f>SUMIFS('Bilateral assistance, MAIN DATA'!$M:$M,'Bilateral assistance, MAIN DATA'!$B:$B,J$1, 'Bilateral assistance, MAIN DATA'!$I:$I,$A12)</f>
        <v>0</v>
      </c>
      <c r="K12" s="33">
        <f>SUMIFS('Bilateral assistance, MAIN DATA'!$M:$M,'Bilateral assistance, MAIN DATA'!$B:$B,K$1, 'Bilateral assistance, MAIN DATA'!$I:$I,$A12)</f>
        <v>0</v>
      </c>
      <c r="L12" s="33">
        <f>SUMIFS('Bilateral assistance, MAIN DATA'!$M:$M,'Bilateral assistance, MAIN DATA'!$B:$B,L$1, 'Bilateral assistance, MAIN DATA'!$I:$I,$A12)</f>
        <v>0</v>
      </c>
      <c r="M12" s="33">
        <f>SUMIFS('Bilateral assistance, MAIN DATA'!$M:$M,'Bilateral assistance, MAIN DATA'!$B:$B,M$1, 'Bilateral assistance, MAIN DATA'!$I:$I,$A12)</f>
        <v>0</v>
      </c>
      <c r="N12" s="33">
        <f>SUMIFS('Bilateral assistance, MAIN DATA'!$M:$M,'Bilateral assistance, MAIN DATA'!$B:$B,N$1, 'Bilateral assistance, MAIN DATA'!$I:$I,$A12)</f>
        <v>0</v>
      </c>
      <c r="O12" s="33">
        <f>SUMIFS('Bilateral assistance, MAIN DATA'!$M:$M,'Bilateral assistance, MAIN DATA'!$B:$B,O$1, 'Bilateral assistance, MAIN DATA'!$I:$I,$A12)</f>
        <v>0</v>
      </c>
      <c r="P12" s="33">
        <f>SUMIFS('Bilateral assistance, MAIN DATA'!$M:$M,'Bilateral assistance, MAIN DATA'!$B:$B,P$1, 'Bilateral assistance, MAIN DATA'!$I:$I,$A12)</f>
        <v>0</v>
      </c>
      <c r="Q12" s="33">
        <f>SUMIFS('Bilateral assistance, MAIN DATA'!$M:$M,'Bilateral assistance, MAIN DATA'!$B:$B,Q$1, 'Bilateral assistance, MAIN DATA'!$I:$I,$A12)</f>
        <v>0</v>
      </c>
      <c r="R12" s="33">
        <f>SUMIFS('Bilateral assistance, MAIN DATA'!$M:$M,'Bilateral assistance, MAIN DATA'!$B:$B,R$1, 'Bilateral assistance, MAIN DATA'!$I:$I,$A12)</f>
        <v>0</v>
      </c>
      <c r="S12" s="33">
        <f>SUMIFS('Bilateral assistance, MAIN DATA'!$M:$M,'Bilateral assistance, MAIN DATA'!$B:$B,S$1, 'Bilateral assistance, MAIN DATA'!$I:$I,$A12)</f>
        <v>0</v>
      </c>
      <c r="T12" s="33">
        <f>SUMIFS('Bilateral assistance, MAIN DATA'!$M:$M,'Bilateral assistance, MAIN DATA'!$B:$B,T$1, 'Bilateral assistance, MAIN DATA'!$I:$I,$A12)</f>
        <v>0</v>
      </c>
      <c r="U12" s="33">
        <f>SUMIFS('Bilateral assistance, MAIN DATA'!$M:$M,'Bilateral assistance, MAIN DATA'!$B:$B,U$1, 'Bilateral assistance, MAIN DATA'!$I:$I,$A12)</f>
        <v>0</v>
      </c>
      <c r="V12" s="33">
        <f>SUMIFS('Bilateral assistance, MAIN DATA'!$M:$M,'Bilateral assistance, MAIN DATA'!$B:$B,V$1, 'Bilateral assistance, MAIN DATA'!$I:$I,$A12)</f>
        <v>0</v>
      </c>
      <c r="W12" s="33">
        <f>SUMIFS('Bilateral assistance, MAIN DATA'!$M:$M,'Bilateral assistance, MAIN DATA'!$B:$B,W$1, 'Bilateral assistance, MAIN DATA'!$I:$I,$A12)</f>
        <v>0</v>
      </c>
      <c r="X12" s="33">
        <f>SUMIFS('Bilateral assistance, MAIN DATA'!$M:$M,'Bilateral assistance, MAIN DATA'!$B:$B,X$1, 'Bilateral assistance, MAIN DATA'!$I:$I,$A12)</f>
        <v>0</v>
      </c>
      <c r="Y12" s="33">
        <f>SUMIFS('Bilateral assistance, MAIN DATA'!$M:$M,'Bilateral assistance, MAIN DATA'!$B:$B,Y$1, 'Bilateral assistance, MAIN DATA'!$I:$I,$A12)</f>
        <v>0</v>
      </c>
      <c r="Z12" s="33">
        <f>SUMIFS('Bilateral assistance, MAIN DATA'!$M:$M,'Bilateral assistance, MAIN DATA'!$B:$B,Z$1, 'Bilateral assistance, MAIN DATA'!$I:$I,$A12)</f>
        <v>0</v>
      </c>
      <c r="AA12" s="33">
        <f>SUMIFS('Bilateral assistance, MAIN DATA'!$M:$M,'Bilateral assistance, MAIN DATA'!$B:$B,AA$1, 'Bilateral assistance, MAIN DATA'!$I:$I,$A12)</f>
        <v>0</v>
      </c>
      <c r="AB12" s="33">
        <f>SUMIFS('Bilateral assistance, MAIN DATA'!$M:$M,'Bilateral assistance, MAIN DATA'!$B:$B,AB$1, 'Bilateral assistance, MAIN DATA'!$I:$I,$A12)</f>
        <v>0</v>
      </c>
      <c r="AC12" s="33">
        <f>SUMIFS('Bilateral assistance, MAIN DATA'!$M:$M,'Bilateral assistance, MAIN DATA'!$B:$B,AC$1, 'Bilateral assistance, MAIN DATA'!$I:$I,$A12)</f>
        <v>0</v>
      </c>
      <c r="AD12" s="33">
        <f>SUMIFS('Bilateral assistance, MAIN DATA'!$M:$M,'Bilateral assistance, MAIN DATA'!$B:$B,AD$1, 'Bilateral assistance, MAIN DATA'!$I:$I,$A12)</f>
        <v>0</v>
      </c>
      <c r="AE12" s="33">
        <f>SUMIFS('Bilateral assistance, MAIN DATA'!$M:$M,'Bilateral assistance, MAIN DATA'!$B:$B,AE$1, 'Bilateral assistance, MAIN DATA'!$I:$I,$A12)</f>
        <v>0</v>
      </c>
      <c r="AF12" s="33">
        <f>SUMIFS('Bilateral assistance, MAIN DATA'!$M:$M,'Bilateral assistance, MAIN DATA'!$B:$B,AF$1, 'Bilateral assistance, MAIN DATA'!$I:$I,$A12)</f>
        <v>0</v>
      </c>
      <c r="AG12" s="33">
        <f>SUMIFS('Bilateral assistance, MAIN DATA'!$M:$M,'Bilateral assistance, MAIN DATA'!$B:$B,AG$1, 'Bilateral assistance, MAIN DATA'!$I:$I,$A12)</f>
        <v>0</v>
      </c>
      <c r="AH12" s="33">
        <f>SUMIFS('Bilateral assistance, MAIN DATA'!$M:$M,'Bilateral assistance, MAIN DATA'!$B:$B,AH$1, 'Bilateral assistance, MAIN DATA'!$I:$I,$A12)</f>
        <v>0</v>
      </c>
      <c r="AI12" s="33">
        <f>SUMIFS('Bilateral assistance, MAIN DATA'!$M:$M,'Bilateral assistance, MAIN DATA'!$B:$B,AI$1, 'Bilateral assistance, MAIN DATA'!$I:$I,$A12)</f>
        <v>0</v>
      </c>
      <c r="AJ12" s="33">
        <f>SUMIFS('Bilateral assistance, MAIN DATA'!$M:$M,'Bilateral assistance, MAIN DATA'!$B:$B,AJ$1, 'Bilateral assistance, MAIN DATA'!$I:$I,$A12)</f>
        <v>0</v>
      </c>
      <c r="AK12" s="33">
        <f>SUMIFS('Bilateral assistance, MAIN DATA'!$M:$M,'Bilateral assistance, MAIN DATA'!$B:$B,AK$1, 'Bilateral assistance, MAIN DATA'!$I:$I,$A12)</f>
        <v>0</v>
      </c>
      <c r="AL12" s="33">
        <f>SUMIFS('Bilateral assistance, MAIN DATA'!$M:$M,'Bilateral assistance, MAIN DATA'!$B:$B,AL$1, 'Bilateral assistance, MAIN DATA'!$I:$I,$A12)</f>
        <v>0</v>
      </c>
      <c r="AM12" s="33">
        <f>SUMIFS('Bilateral assistance, MAIN DATA'!$M:$M,'Bilateral assistance, MAIN DATA'!$B:$B,AM$1, 'Bilateral assistance, MAIN DATA'!$I:$I,$A12)</f>
        <v>0</v>
      </c>
      <c r="AN12" s="33">
        <f>SUMIFS('Bilateral assistance, MAIN DATA'!$M:$M,'Bilateral assistance, MAIN DATA'!$B:$B,AN$1, 'Bilateral assistance, MAIN DATA'!$I:$I,$A12)</f>
        <v>0</v>
      </c>
      <c r="AO12" s="33">
        <f>SUMIFS('Bilateral assistance, MAIN DATA'!$M:$M,'Bilateral assistance, MAIN DATA'!$B:$B,AO$1, 'Bilateral assistance, MAIN DATA'!$I:$I,$A12)</f>
        <v>0</v>
      </c>
      <c r="AP12" s="33">
        <f>SUMIFS('Bilateral assistance, MAIN DATA'!$M:$M,'Bilateral assistance, MAIN DATA'!$B:$B,AP$1, 'Bilateral assistance, MAIN DATA'!$I:$I,$A12)</f>
        <v>0</v>
      </c>
      <c r="AQ12" s="33">
        <f>SUMIFS('Bilateral assistance, MAIN DATA'!$M:$M,'Bilateral assistance, MAIN DATA'!$B:$B,AQ$1, 'Bilateral assistance, MAIN DATA'!$I:$I,$A12)</f>
        <v>0</v>
      </c>
      <c r="AR12" s="33">
        <f>SUMIFS('Bilateral assistance, MAIN DATA'!$M:$M,'Bilateral assistance, MAIN DATA'!$B:$B,AR$1, 'Bilateral assistance, MAIN DATA'!$I:$I,$A12)</f>
        <v>0</v>
      </c>
      <c r="AS12" s="33">
        <f>SUMIFS('Bilateral assistance, MAIN DATA'!$M:$M,'Bilateral assistance, MAIN DATA'!$B:$B,AS$1, 'Bilateral assistance, MAIN DATA'!$I:$I,$A12)</f>
        <v>0</v>
      </c>
    </row>
    <row r="13" spans="1:45">
      <c r="A13" s="33" t="s">
        <v>4146</v>
      </c>
      <c r="B13" s="33">
        <f t="shared" si="0"/>
        <v>0</v>
      </c>
      <c r="C13" s="645" t="s">
        <v>4141</v>
      </c>
      <c r="D13" s="33" t="s">
        <v>4147</v>
      </c>
      <c r="F13" s="33">
        <f>SUMIFS('Bilateral assistance, MAIN DATA'!$M:$M,'Bilateral assistance, MAIN DATA'!$B:$B,F$1, 'Bilateral assistance, MAIN DATA'!$I:$I,$A13)</f>
        <v>0</v>
      </c>
      <c r="G13" s="33">
        <f>SUMIFS('Bilateral assistance, MAIN DATA'!$M:$M,'Bilateral assistance, MAIN DATA'!$B:$B,G$1, 'Bilateral assistance, MAIN DATA'!$I:$I,$A13)</f>
        <v>0</v>
      </c>
      <c r="H13" s="33">
        <f>SUMIFS('Bilateral assistance, MAIN DATA'!$M:$M,'Bilateral assistance, MAIN DATA'!$B:$B,H$1, 'Bilateral assistance, MAIN DATA'!$I:$I,$A13)</f>
        <v>0</v>
      </c>
      <c r="I13" s="33">
        <f>SUMIFS('Bilateral assistance, MAIN DATA'!$M:$M,'Bilateral assistance, MAIN DATA'!$B:$B,I$1, 'Bilateral assistance, MAIN DATA'!$I:$I,$A13)</f>
        <v>0</v>
      </c>
      <c r="J13" s="33">
        <f>SUMIFS('Bilateral assistance, MAIN DATA'!$M:$M,'Bilateral assistance, MAIN DATA'!$B:$B,J$1, 'Bilateral assistance, MAIN DATA'!$I:$I,$A13)</f>
        <v>0</v>
      </c>
      <c r="K13" s="33">
        <f>SUMIFS('Bilateral assistance, MAIN DATA'!$M:$M,'Bilateral assistance, MAIN DATA'!$B:$B,K$1, 'Bilateral assistance, MAIN DATA'!$I:$I,$A13)</f>
        <v>0</v>
      </c>
      <c r="L13" s="33">
        <f>SUMIFS('Bilateral assistance, MAIN DATA'!$M:$M,'Bilateral assistance, MAIN DATA'!$B:$B,L$1, 'Bilateral assistance, MAIN DATA'!$I:$I,$A13)</f>
        <v>0</v>
      </c>
      <c r="M13" s="33">
        <f>SUMIFS('Bilateral assistance, MAIN DATA'!$M:$M,'Bilateral assistance, MAIN DATA'!$B:$B,M$1, 'Bilateral assistance, MAIN DATA'!$I:$I,$A13)</f>
        <v>0</v>
      </c>
      <c r="N13" s="33">
        <f>SUMIFS('Bilateral assistance, MAIN DATA'!$M:$M,'Bilateral assistance, MAIN DATA'!$B:$B,N$1, 'Bilateral assistance, MAIN DATA'!$I:$I,$A13)</f>
        <v>0</v>
      </c>
      <c r="O13" s="33">
        <f>SUMIFS('Bilateral assistance, MAIN DATA'!$M:$M,'Bilateral assistance, MAIN DATA'!$B:$B,O$1, 'Bilateral assistance, MAIN DATA'!$I:$I,$A13)</f>
        <v>0</v>
      </c>
      <c r="P13" s="33">
        <f>SUMIFS('Bilateral assistance, MAIN DATA'!$M:$M,'Bilateral assistance, MAIN DATA'!$B:$B,P$1, 'Bilateral assistance, MAIN DATA'!$I:$I,$A13)</f>
        <v>0</v>
      </c>
      <c r="Q13" s="33">
        <f>SUMIFS('Bilateral assistance, MAIN DATA'!$M:$M,'Bilateral assistance, MAIN DATA'!$B:$B,Q$1, 'Bilateral assistance, MAIN DATA'!$I:$I,$A13)</f>
        <v>0</v>
      </c>
      <c r="R13" s="33">
        <f>SUMIFS('Bilateral assistance, MAIN DATA'!$M:$M,'Bilateral assistance, MAIN DATA'!$B:$B,R$1, 'Bilateral assistance, MAIN DATA'!$I:$I,$A13)</f>
        <v>0</v>
      </c>
      <c r="S13" s="33">
        <f>SUMIFS('Bilateral assistance, MAIN DATA'!$M:$M,'Bilateral assistance, MAIN DATA'!$B:$B,S$1, 'Bilateral assistance, MAIN DATA'!$I:$I,$A13)</f>
        <v>0</v>
      </c>
      <c r="T13" s="33">
        <f>SUMIFS('Bilateral assistance, MAIN DATA'!$M:$M,'Bilateral assistance, MAIN DATA'!$B:$B,T$1, 'Bilateral assistance, MAIN DATA'!$I:$I,$A13)</f>
        <v>0</v>
      </c>
      <c r="U13" s="33">
        <f>SUMIFS('Bilateral assistance, MAIN DATA'!$M:$M,'Bilateral assistance, MAIN DATA'!$B:$B,U$1, 'Bilateral assistance, MAIN DATA'!$I:$I,$A13)</f>
        <v>0</v>
      </c>
      <c r="V13" s="33">
        <f>SUMIFS('Bilateral assistance, MAIN DATA'!$M:$M,'Bilateral assistance, MAIN DATA'!$B:$B,V$1, 'Bilateral assistance, MAIN DATA'!$I:$I,$A13)</f>
        <v>0</v>
      </c>
      <c r="W13" s="33">
        <f>SUMIFS('Bilateral assistance, MAIN DATA'!$M:$M,'Bilateral assistance, MAIN DATA'!$B:$B,W$1, 'Bilateral assistance, MAIN DATA'!$I:$I,$A13)</f>
        <v>0</v>
      </c>
      <c r="X13" s="33">
        <f>SUMIFS('Bilateral assistance, MAIN DATA'!$M:$M,'Bilateral assistance, MAIN DATA'!$B:$B,X$1, 'Bilateral assistance, MAIN DATA'!$I:$I,$A13)</f>
        <v>0</v>
      </c>
      <c r="Y13" s="33">
        <f>SUMIFS('Bilateral assistance, MAIN DATA'!$M:$M,'Bilateral assistance, MAIN DATA'!$B:$B,Y$1, 'Bilateral assistance, MAIN DATA'!$I:$I,$A13)</f>
        <v>0</v>
      </c>
      <c r="Z13" s="33">
        <f>SUMIFS('Bilateral assistance, MAIN DATA'!$M:$M,'Bilateral assistance, MAIN DATA'!$B:$B,Z$1, 'Bilateral assistance, MAIN DATA'!$I:$I,$A13)</f>
        <v>0</v>
      </c>
      <c r="AA13" s="33">
        <f>SUMIFS('Bilateral assistance, MAIN DATA'!$M:$M,'Bilateral assistance, MAIN DATA'!$B:$B,AA$1, 'Bilateral assistance, MAIN DATA'!$I:$I,$A13)</f>
        <v>0</v>
      </c>
      <c r="AB13" s="33">
        <f>SUMIFS('Bilateral assistance, MAIN DATA'!$M:$M,'Bilateral assistance, MAIN DATA'!$B:$B,AB$1, 'Bilateral assistance, MAIN DATA'!$I:$I,$A13)</f>
        <v>0</v>
      </c>
      <c r="AC13" s="33">
        <f>SUMIFS('Bilateral assistance, MAIN DATA'!$M:$M,'Bilateral assistance, MAIN DATA'!$B:$B,AC$1, 'Bilateral assistance, MAIN DATA'!$I:$I,$A13)</f>
        <v>0</v>
      </c>
      <c r="AD13" s="33">
        <f>SUMIFS('Bilateral assistance, MAIN DATA'!$M:$M,'Bilateral assistance, MAIN DATA'!$B:$B,AD$1, 'Bilateral assistance, MAIN DATA'!$I:$I,$A13)</f>
        <v>0</v>
      </c>
      <c r="AE13" s="33">
        <f>SUMIFS('Bilateral assistance, MAIN DATA'!$M:$M,'Bilateral assistance, MAIN DATA'!$B:$B,AE$1, 'Bilateral assistance, MAIN DATA'!$I:$I,$A13)</f>
        <v>0</v>
      </c>
      <c r="AF13" s="33">
        <f>SUMIFS('Bilateral assistance, MAIN DATA'!$M:$M,'Bilateral assistance, MAIN DATA'!$B:$B,AF$1, 'Bilateral assistance, MAIN DATA'!$I:$I,$A13)</f>
        <v>0</v>
      </c>
      <c r="AG13" s="33">
        <f>SUMIFS('Bilateral assistance, MAIN DATA'!$M:$M,'Bilateral assistance, MAIN DATA'!$B:$B,AG$1, 'Bilateral assistance, MAIN DATA'!$I:$I,$A13)</f>
        <v>0</v>
      </c>
      <c r="AH13" s="33">
        <f>SUMIFS('Bilateral assistance, MAIN DATA'!$M:$M,'Bilateral assistance, MAIN DATA'!$B:$B,AH$1, 'Bilateral assistance, MAIN DATA'!$I:$I,$A13)</f>
        <v>0</v>
      </c>
      <c r="AI13" s="33">
        <f>SUMIFS('Bilateral assistance, MAIN DATA'!$M:$M,'Bilateral assistance, MAIN DATA'!$B:$B,AI$1, 'Bilateral assistance, MAIN DATA'!$I:$I,$A13)</f>
        <v>0</v>
      </c>
      <c r="AJ13" s="33">
        <f>SUMIFS('Bilateral assistance, MAIN DATA'!$M:$M,'Bilateral assistance, MAIN DATA'!$B:$B,AJ$1, 'Bilateral assistance, MAIN DATA'!$I:$I,$A13)</f>
        <v>0</v>
      </c>
      <c r="AK13" s="33">
        <f>SUMIFS('Bilateral assistance, MAIN DATA'!$M:$M,'Bilateral assistance, MAIN DATA'!$B:$B,AK$1, 'Bilateral assistance, MAIN DATA'!$I:$I,$A13)</f>
        <v>0</v>
      </c>
      <c r="AL13" s="33">
        <f>SUMIFS('Bilateral assistance, MAIN DATA'!$M:$M,'Bilateral assistance, MAIN DATA'!$B:$B,AL$1, 'Bilateral assistance, MAIN DATA'!$I:$I,$A13)</f>
        <v>0</v>
      </c>
      <c r="AM13" s="33">
        <f>SUMIFS('Bilateral assistance, MAIN DATA'!$M:$M,'Bilateral assistance, MAIN DATA'!$B:$B,AM$1, 'Bilateral assistance, MAIN DATA'!$I:$I,$A13)</f>
        <v>0</v>
      </c>
      <c r="AN13" s="33">
        <f>SUMIFS('Bilateral assistance, MAIN DATA'!$M:$M,'Bilateral assistance, MAIN DATA'!$B:$B,AN$1, 'Bilateral assistance, MAIN DATA'!$I:$I,$A13)</f>
        <v>0</v>
      </c>
      <c r="AO13" s="33">
        <f>SUMIFS('Bilateral assistance, MAIN DATA'!$M:$M,'Bilateral assistance, MAIN DATA'!$B:$B,AO$1, 'Bilateral assistance, MAIN DATA'!$I:$I,$A13)</f>
        <v>0</v>
      </c>
      <c r="AP13" s="33">
        <f>SUMIFS('Bilateral assistance, MAIN DATA'!$M:$M,'Bilateral assistance, MAIN DATA'!$B:$B,AP$1, 'Bilateral assistance, MAIN DATA'!$I:$I,$A13)</f>
        <v>0</v>
      </c>
      <c r="AQ13" s="33">
        <f>SUMIFS('Bilateral assistance, MAIN DATA'!$M:$M,'Bilateral assistance, MAIN DATA'!$B:$B,AQ$1, 'Bilateral assistance, MAIN DATA'!$I:$I,$A13)</f>
        <v>0</v>
      </c>
      <c r="AR13" s="33">
        <f>SUMIFS('Bilateral assistance, MAIN DATA'!$M:$M,'Bilateral assistance, MAIN DATA'!$B:$B,AR$1, 'Bilateral assistance, MAIN DATA'!$I:$I,$A13)</f>
        <v>0</v>
      </c>
      <c r="AS13" s="33">
        <f>SUMIFS('Bilateral assistance, MAIN DATA'!$M:$M,'Bilateral assistance, MAIN DATA'!$B:$B,AS$1, 'Bilateral assistance, MAIN DATA'!$I:$I,$A13)</f>
        <v>0</v>
      </c>
    </row>
    <row r="14" spans="1:45">
      <c r="A14" s="33" t="s">
        <v>2148</v>
      </c>
      <c r="B14" s="33">
        <f t="shared" si="0"/>
        <v>35</v>
      </c>
      <c r="C14" s="645" t="s">
        <v>4141</v>
      </c>
      <c r="D14" s="33" t="s">
        <v>4143</v>
      </c>
      <c r="F14" s="33">
        <f>SUMIFS('Bilateral assistance, MAIN DATA'!$M:$M,'Bilateral assistance, MAIN DATA'!$B:$B,F$1, 'Bilateral assistance, MAIN DATA'!$I:$I,$A14)</f>
        <v>0</v>
      </c>
      <c r="G14" s="33">
        <f>SUMIFS('Bilateral assistance, MAIN DATA'!$M:$M,'Bilateral assistance, MAIN DATA'!$B:$B,G$1, 'Bilateral assistance, MAIN DATA'!$I:$I,$A14)</f>
        <v>0</v>
      </c>
      <c r="H14" s="33">
        <f>SUMIFS('Bilateral assistance, MAIN DATA'!$M:$M,'Bilateral assistance, MAIN DATA'!$B:$B,H$1, 'Bilateral assistance, MAIN DATA'!$I:$I,$A14)</f>
        <v>0</v>
      </c>
      <c r="I14" s="33">
        <f>SUMIFS('Bilateral assistance, MAIN DATA'!$M:$M,'Bilateral assistance, MAIN DATA'!$B:$B,I$1, 'Bilateral assistance, MAIN DATA'!$I:$I,$A14)</f>
        <v>0</v>
      </c>
      <c r="J14" s="33">
        <f>SUMIFS('Bilateral assistance, MAIN DATA'!$M:$M,'Bilateral assistance, MAIN DATA'!$B:$B,J$1, 'Bilateral assistance, MAIN DATA'!$I:$I,$A14)</f>
        <v>0</v>
      </c>
      <c r="K14" s="33">
        <f>SUMIFS('Bilateral assistance, MAIN DATA'!$M:$M,'Bilateral assistance, MAIN DATA'!$B:$B,K$1, 'Bilateral assistance, MAIN DATA'!$I:$I,$A14)</f>
        <v>0</v>
      </c>
      <c r="L14" s="33">
        <f>SUMIFS('Bilateral assistance, MAIN DATA'!$M:$M,'Bilateral assistance, MAIN DATA'!$B:$B,L$1, 'Bilateral assistance, MAIN DATA'!$I:$I,$A14)</f>
        <v>0</v>
      </c>
      <c r="M14" s="33">
        <f>SUMIFS('Bilateral assistance, MAIN DATA'!$M:$M,'Bilateral assistance, MAIN DATA'!$B:$B,M$1, 'Bilateral assistance, MAIN DATA'!$I:$I,$A14)</f>
        <v>0</v>
      </c>
      <c r="N14" s="33">
        <f>SUMIFS('Bilateral assistance, MAIN DATA'!$M:$M,'Bilateral assistance, MAIN DATA'!$B:$B,N$1, 'Bilateral assistance, MAIN DATA'!$I:$I,$A14)</f>
        <v>0</v>
      </c>
      <c r="O14" s="33">
        <f>SUMIFS('Bilateral assistance, MAIN DATA'!$M:$M,'Bilateral assistance, MAIN DATA'!$B:$B,O$1, 'Bilateral assistance, MAIN DATA'!$I:$I,$A14)</f>
        <v>0</v>
      </c>
      <c r="P14" s="33">
        <f>SUMIFS('Bilateral assistance, MAIN DATA'!$M:$M,'Bilateral assistance, MAIN DATA'!$B:$B,P$1, 'Bilateral assistance, MAIN DATA'!$I:$I,$A14)</f>
        <v>0</v>
      </c>
      <c r="Q14" s="33">
        <f>SUMIFS('Bilateral assistance, MAIN DATA'!$M:$M,'Bilateral assistance, MAIN DATA'!$B:$B,Q$1, 'Bilateral assistance, MAIN DATA'!$I:$I,$A14)</f>
        <v>0</v>
      </c>
      <c r="R14" s="33">
        <f>SUMIFS('Bilateral assistance, MAIN DATA'!$M:$M,'Bilateral assistance, MAIN DATA'!$B:$B,R$1, 'Bilateral assistance, MAIN DATA'!$I:$I,$A14)</f>
        <v>0</v>
      </c>
      <c r="S14" s="33">
        <f>SUMIFS('Bilateral assistance, MAIN DATA'!$M:$M,'Bilateral assistance, MAIN DATA'!$B:$B,S$1, 'Bilateral assistance, MAIN DATA'!$I:$I,$A14)</f>
        <v>0</v>
      </c>
      <c r="T14" s="33">
        <f>SUMIFS('Bilateral assistance, MAIN DATA'!$M:$M,'Bilateral assistance, MAIN DATA'!$B:$B,T$1, 'Bilateral assistance, MAIN DATA'!$I:$I,$A14)</f>
        <v>0</v>
      </c>
      <c r="U14" s="33">
        <f>SUMIFS('Bilateral assistance, MAIN DATA'!$M:$M,'Bilateral assistance, MAIN DATA'!$B:$B,U$1, 'Bilateral assistance, MAIN DATA'!$I:$I,$A14)</f>
        <v>0</v>
      </c>
      <c r="V14" s="33">
        <f>SUMIFS('Bilateral assistance, MAIN DATA'!$M:$M,'Bilateral assistance, MAIN DATA'!$B:$B,V$1, 'Bilateral assistance, MAIN DATA'!$I:$I,$A14)</f>
        <v>0</v>
      </c>
      <c r="W14" s="33">
        <f>SUMIFS('Bilateral assistance, MAIN DATA'!$M:$M,'Bilateral assistance, MAIN DATA'!$B:$B,W$1, 'Bilateral assistance, MAIN DATA'!$I:$I,$A14)</f>
        <v>0</v>
      </c>
      <c r="X14" s="33">
        <f>SUMIFS('Bilateral assistance, MAIN DATA'!$M:$M,'Bilateral assistance, MAIN DATA'!$B:$B,X$1, 'Bilateral assistance, MAIN DATA'!$I:$I,$A14)</f>
        <v>0</v>
      </c>
      <c r="Y14" s="33">
        <f>SUMIFS('Bilateral assistance, MAIN DATA'!$M:$M,'Bilateral assistance, MAIN DATA'!$B:$B,Y$1, 'Bilateral assistance, MAIN DATA'!$I:$I,$A14)</f>
        <v>0</v>
      </c>
      <c r="Z14" s="33">
        <f>SUMIFS('Bilateral assistance, MAIN DATA'!$M:$M,'Bilateral assistance, MAIN DATA'!$B:$B,Z$1, 'Bilateral assistance, MAIN DATA'!$I:$I,$A14)</f>
        <v>0</v>
      </c>
      <c r="AA14" s="33">
        <f>SUMIFS('Bilateral assistance, MAIN DATA'!$M:$M,'Bilateral assistance, MAIN DATA'!$B:$B,AA$1, 'Bilateral assistance, MAIN DATA'!$I:$I,$A14)</f>
        <v>0</v>
      </c>
      <c r="AB14" s="33">
        <f>SUMIFS('Bilateral assistance, MAIN DATA'!$M:$M,'Bilateral assistance, MAIN DATA'!$B:$B,AB$1, 'Bilateral assistance, MAIN DATA'!$I:$I,$A14)</f>
        <v>0</v>
      </c>
      <c r="AC14" s="33">
        <f>SUMIFS('Bilateral assistance, MAIN DATA'!$M:$M,'Bilateral assistance, MAIN DATA'!$B:$B,AC$1, 'Bilateral assistance, MAIN DATA'!$I:$I,$A14)</f>
        <v>0</v>
      </c>
      <c r="AD14" s="33">
        <f>SUMIFS('Bilateral assistance, MAIN DATA'!$M:$M,'Bilateral assistance, MAIN DATA'!$B:$B,AD$1, 'Bilateral assistance, MAIN DATA'!$I:$I,$A14)</f>
        <v>0</v>
      </c>
      <c r="AE14" s="33">
        <f>SUMIFS('Bilateral assistance, MAIN DATA'!$M:$M,'Bilateral assistance, MAIN DATA'!$B:$B,AE$1, 'Bilateral assistance, MAIN DATA'!$I:$I,$A14)</f>
        <v>0</v>
      </c>
      <c r="AF14" s="33">
        <f>SUMIFS('Bilateral assistance, MAIN DATA'!$M:$M,'Bilateral assistance, MAIN DATA'!$B:$B,AF$1, 'Bilateral assistance, MAIN DATA'!$I:$I,$A14)</f>
        <v>0</v>
      </c>
      <c r="AG14" s="33">
        <f>SUMIFS('Bilateral assistance, MAIN DATA'!$M:$M,'Bilateral assistance, MAIN DATA'!$B:$B,AG$1, 'Bilateral assistance, MAIN DATA'!$I:$I,$A14)</f>
        <v>0</v>
      </c>
      <c r="AH14" s="33">
        <f>SUMIFS('Bilateral assistance, MAIN DATA'!$M:$M,'Bilateral assistance, MAIN DATA'!$B:$B,AH$1, 'Bilateral assistance, MAIN DATA'!$I:$I,$A14)</f>
        <v>0</v>
      </c>
      <c r="AI14" s="33">
        <f>SUMIFS('Bilateral assistance, MAIN DATA'!$M:$M,'Bilateral assistance, MAIN DATA'!$B:$B,AI$1, 'Bilateral assistance, MAIN DATA'!$I:$I,$A14)</f>
        <v>0</v>
      </c>
      <c r="AJ14" s="33">
        <f>SUMIFS('Bilateral assistance, MAIN DATA'!$M:$M,'Bilateral assistance, MAIN DATA'!$B:$B,AJ$1, 'Bilateral assistance, MAIN DATA'!$I:$I,$A14)</f>
        <v>0</v>
      </c>
      <c r="AK14" s="33">
        <f>SUMIFS('Bilateral assistance, MAIN DATA'!$M:$M,'Bilateral assistance, MAIN DATA'!$B:$B,AK$1, 'Bilateral assistance, MAIN DATA'!$I:$I,$A14)</f>
        <v>0</v>
      </c>
      <c r="AL14" s="33">
        <f>SUMIFS('Bilateral assistance, MAIN DATA'!$M:$M,'Bilateral assistance, MAIN DATA'!$B:$B,AL$1, 'Bilateral assistance, MAIN DATA'!$I:$I,$A14)</f>
        <v>35</v>
      </c>
      <c r="AM14" s="33">
        <f>SUMIFS('Bilateral assistance, MAIN DATA'!$M:$M,'Bilateral assistance, MAIN DATA'!$B:$B,AM$1, 'Bilateral assistance, MAIN DATA'!$I:$I,$A14)</f>
        <v>0</v>
      </c>
      <c r="AN14" s="33">
        <f>SUMIFS('Bilateral assistance, MAIN DATA'!$M:$M,'Bilateral assistance, MAIN DATA'!$B:$B,AN$1, 'Bilateral assistance, MAIN DATA'!$I:$I,$A14)</f>
        <v>0</v>
      </c>
      <c r="AO14" s="33">
        <f>SUMIFS('Bilateral assistance, MAIN DATA'!$M:$M,'Bilateral assistance, MAIN DATA'!$B:$B,AO$1, 'Bilateral assistance, MAIN DATA'!$I:$I,$A14)</f>
        <v>0</v>
      </c>
      <c r="AP14" s="33">
        <f>SUMIFS('Bilateral assistance, MAIN DATA'!$M:$M,'Bilateral assistance, MAIN DATA'!$B:$B,AP$1, 'Bilateral assistance, MAIN DATA'!$I:$I,$A14)</f>
        <v>0</v>
      </c>
      <c r="AQ14" s="33">
        <f>SUMIFS('Bilateral assistance, MAIN DATA'!$M:$M,'Bilateral assistance, MAIN DATA'!$B:$B,AQ$1, 'Bilateral assistance, MAIN DATA'!$I:$I,$A14)</f>
        <v>0</v>
      </c>
      <c r="AR14" s="33">
        <f>SUMIFS('Bilateral assistance, MAIN DATA'!$M:$M,'Bilateral assistance, MAIN DATA'!$B:$B,AR$1, 'Bilateral assistance, MAIN DATA'!$I:$I,$A14)</f>
        <v>0</v>
      </c>
      <c r="AS14" s="33">
        <f>SUMIFS('Bilateral assistance, MAIN DATA'!$M:$M,'Bilateral assistance, MAIN DATA'!$B:$B,AS$1, 'Bilateral assistance, MAIN DATA'!$I:$I,$A14)</f>
        <v>0</v>
      </c>
    </row>
    <row r="15" spans="1:45">
      <c r="A15" s="33" t="s">
        <v>2458</v>
      </c>
      <c r="B15" s="33">
        <f t="shared" si="0"/>
        <v>80</v>
      </c>
      <c r="C15" s="645" t="s">
        <v>4141</v>
      </c>
      <c r="D15" s="33" t="s">
        <v>4144</v>
      </c>
      <c r="F15" s="33">
        <f>SUMIFS('Bilateral assistance, MAIN DATA'!$M:$M,'Bilateral assistance, MAIN DATA'!$B:$B,F$1, 'Bilateral assistance, MAIN DATA'!$I:$I,$A15)</f>
        <v>0</v>
      </c>
      <c r="G15" s="33">
        <f>SUMIFS('Bilateral assistance, MAIN DATA'!$M:$M,'Bilateral assistance, MAIN DATA'!$B:$B,G$1, 'Bilateral assistance, MAIN DATA'!$I:$I,$A15)</f>
        <v>0</v>
      </c>
      <c r="H15" s="33">
        <f>SUMIFS('Bilateral assistance, MAIN DATA'!$M:$M,'Bilateral assistance, MAIN DATA'!$B:$B,H$1, 'Bilateral assistance, MAIN DATA'!$I:$I,$A15)</f>
        <v>0</v>
      </c>
      <c r="I15" s="33">
        <f>SUMIFS('Bilateral assistance, MAIN DATA'!$M:$M,'Bilateral assistance, MAIN DATA'!$B:$B,I$1, 'Bilateral assistance, MAIN DATA'!$I:$I,$A15)</f>
        <v>0</v>
      </c>
      <c r="J15" s="33">
        <f>SUMIFS('Bilateral assistance, MAIN DATA'!$M:$M,'Bilateral assistance, MAIN DATA'!$B:$B,J$1, 'Bilateral assistance, MAIN DATA'!$I:$I,$A15)</f>
        <v>0</v>
      </c>
      <c r="K15" s="33">
        <f>SUMIFS('Bilateral assistance, MAIN DATA'!$M:$M,'Bilateral assistance, MAIN DATA'!$B:$B,K$1, 'Bilateral assistance, MAIN DATA'!$I:$I,$A15)</f>
        <v>0</v>
      </c>
      <c r="L15" s="33">
        <f>SUMIFS('Bilateral assistance, MAIN DATA'!$M:$M,'Bilateral assistance, MAIN DATA'!$B:$B,L$1, 'Bilateral assistance, MAIN DATA'!$I:$I,$A15)</f>
        <v>0</v>
      </c>
      <c r="M15" s="33">
        <f>SUMIFS('Bilateral assistance, MAIN DATA'!$M:$M,'Bilateral assistance, MAIN DATA'!$B:$B,M$1, 'Bilateral assistance, MAIN DATA'!$I:$I,$A15)</f>
        <v>0</v>
      </c>
      <c r="N15" s="33">
        <f>SUMIFS('Bilateral assistance, MAIN DATA'!$M:$M,'Bilateral assistance, MAIN DATA'!$B:$B,N$1, 'Bilateral assistance, MAIN DATA'!$I:$I,$A15)</f>
        <v>0</v>
      </c>
      <c r="O15" s="33">
        <f>SUMIFS('Bilateral assistance, MAIN DATA'!$M:$M,'Bilateral assistance, MAIN DATA'!$B:$B,O$1, 'Bilateral assistance, MAIN DATA'!$I:$I,$A15)</f>
        <v>0</v>
      </c>
      <c r="P15" s="33">
        <f>SUMIFS('Bilateral assistance, MAIN DATA'!$M:$M,'Bilateral assistance, MAIN DATA'!$B:$B,P$1, 'Bilateral assistance, MAIN DATA'!$I:$I,$A15)</f>
        <v>0</v>
      </c>
      <c r="Q15" s="33">
        <f>SUMIFS('Bilateral assistance, MAIN DATA'!$M:$M,'Bilateral assistance, MAIN DATA'!$B:$B,Q$1, 'Bilateral assistance, MAIN DATA'!$I:$I,$A15)</f>
        <v>0</v>
      </c>
      <c r="R15" s="33">
        <f>SUMIFS('Bilateral assistance, MAIN DATA'!$M:$M,'Bilateral assistance, MAIN DATA'!$B:$B,R$1, 'Bilateral assistance, MAIN DATA'!$I:$I,$A15)</f>
        <v>0</v>
      </c>
      <c r="S15" s="33">
        <f>SUMIFS('Bilateral assistance, MAIN DATA'!$M:$M,'Bilateral assistance, MAIN DATA'!$B:$B,S$1, 'Bilateral assistance, MAIN DATA'!$I:$I,$A15)</f>
        <v>0</v>
      </c>
      <c r="T15" s="33">
        <f>SUMIFS('Bilateral assistance, MAIN DATA'!$M:$M,'Bilateral assistance, MAIN DATA'!$B:$B,T$1, 'Bilateral assistance, MAIN DATA'!$I:$I,$A15)</f>
        <v>0</v>
      </c>
      <c r="U15" s="33">
        <f>SUMIFS('Bilateral assistance, MAIN DATA'!$M:$M,'Bilateral assistance, MAIN DATA'!$B:$B,U$1, 'Bilateral assistance, MAIN DATA'!$I:$I,$A15)</f>
        <v>0</v>
      </c>
      <c r="V15" s="33">
        <f>SUMIFS('Bilateral assistance, MAIN DATA'!$M:$M,'Bilateral assistance, MAIN DATA'!$B:$B,V$1, 'Bilateral assistance, MAIN DATA'!$I:$I,$A15)</f>
        <v>0</v>
      </c>
      <c r="W15" s="33">
        <f>SUMIFS('Bilateral assistance, MAIN DATA'!$M:$M,'Bilateral assistance, MAIN DATA'!$B:$B,W$1, 'Bilateral assistance, MAIN DATA'!$I:$I,$A15)</f>
        <v>0</v>
      </c>
      <c r="X15" s="33">
        <f>SUMIFS('Bilateral assistance, MAIN DATA'!$M:$M,'Bilateral assistance, MAIN DATA'!$B:$B,X$1, 'Bilateral assistance, MAIN DATA'!$I:$I,$A15)</f>
        <v>0</v>
      </c>
      <c r="Y15" s="33">
        <f>SUMIFS('Bilateral assistance, MAIN DATA'!$M:$M,'Bilateral assistance, MAIN DATA'!$B:$B,Y$1, 'Bilateral assistance, MAIN DATA'!$I:$I,$A15)</f>
        <v>0</v>
      </c>
      <c r="Z15" s="33">
        <f>SUMIFS('Bilateral assistance, MAIN DATA'!$M:$M,'Bilateral assistance, MAIN DATA'!$B:$B,Z$1, 'Bilateral assistance, MAIN DATA'!$I:$I,$A15)</f>
        <v>0</v>
      </c>
      <c r="AA15" s="33">
        <f>SUMIFS('Bilateral assistance, MAIN DATA'!$M:$M,'Bilateral assistance, MAIN DATA'!$B:$B,AA$1, 'Bilateral assistance, MAIN DATA'!$I:$I,$A15)</f>
        <v>0</v>
      </c>
      <c r="AB15" s="33">
        <f>SUMIFS('Bilateral assistance, MAIN DATA'!$M:$M,'Bilateral assistance, MAIN DATA'!$B:$B,AB$1, 'Bilateral assistance, MAIN DATA'!$I:$I,$A15)</f>
        <v>0</v>
      </c>
      <c r="AC15" s="33">
        <f>SUMIFS('Bilateral assistance, MAIN DATA'!$M:$M,'Bilateral assistance, MAIN DATA'!$B:$B,AC$1, 'Bilateral assistance, MAIN DATA'!$I:$I,$A15)</f>
        <v>0</v>
      </c>
      <c r="AD15" s="33">
        <f>SUMIFS('Bilateral assistance, MAIN DATA'!$M:$M,'Bilateral assistance, MAIN DATA'!$B:$B,AD$1, 'Bilateral assistance, MAIN DATA'!$I:$I,$A15)</f>
        <v>0</v>
      </c>
      <c r="AE15" s="33">
        <f>SUMIFS('Bilateral assistance, MAIN DATA'!$M:$M,'Bilateral assistance, MAIN DATA'!$B:$B,AE$1, 'Bilateral assistance, MAIN DATA'!$I:$I,$A15)</f>
        <v>0</v>
      </c>
      <c r="AF15" s="33">
        <f>SUMIFS('Bilateral assistance, MAIN DATA'!$M:$M,'Bilateral assistance, MAIN DATA'!$B:$B,AF$1, 'Bilateral assistance, MAIN DATA'!$I:$I,$A15)</f>
        <v>0</v>
      </c>
      <c r="AG15" s="33">
        <f>SUMIFS('Bilateral assistance, MAIN DATA'!$M:$M,'Bilateral assistance, MAIN DATA'!$B:$B,AG$1, 'Bilateral assistance, MAIN DATA'!$I:$I,$A15)</f>
        <v>0</v>
      </c>
      <c r="AH15" s="33">
        <f>SUMIFS('Bilateral assistance, MAIN DATA'!$M:$M,'Bilateral assistance, MAIN DATA'!$B:$B,AH$1, 'Bilateral assistance, MAIN DATA'!$I:$I,$A15)</f>
        <v>0</v>
      </c>
      <c r="AI15" s="33">
        <f>SUMIFS('Bilateral assistance, MAIN DATA'!$M:$M,'Bilateral assistance, MAIN DATA'!$B:$B,AI$1, 'Bilateral assistance, MAIN DATA'!$I:$I,$A15)</f>
        <v>0</v>
      </c>
      <c r="AJ15" s="33">
        <f>SUMIFS('Bilateral assistance, MAIN DATA'!$M:$M,'Bilateral assistance, MAIN DATA'!$B:$B,AJ$1, 'Bilateral assistance, MAIN DATA'!$I:$I,$A15)</f>
        <v>0</v>
      </c>
      <c r="AK15" s="33">
        <f>SUMIFS('Bilateral assistance, MAIN DATA'!$M:$M,'Bilateral assistance, MAIN DATA'!$B:$B,AK$1, 'Bilateral assistance, MAIN DATA'!$I:$I,$A15)</f>
        <v>0</v>
      </c>
      <c r="AL15" s="33">
        <f>SUMIFS('Bilateral assistance, MAIN DATA'!$M:$M,'Bilateral assistance, MAIN DATA'!$B:$B,AL$1, 'Bilateral assistance, MAIN DATA'!$I:$I,$A15)</f>
        <v>0</v>
      </c>
      <c r="AM15" s="33">
        <f>SUMIFS('Bilateral assistance, MAIN DATA'!$M:$M,'Bilateral assistance, MAIN DATA'!$B:$B,AM$1, 'Bilateral assistance, MAIN DATA'!$I:$I,$A15)</f>
        <v>0</v>
      </c>
      <c r="AN15" s="33">
        <f>SUMIFS('Bilateral assistance, MAIN DATA'!$M:$M,'Bilateral assistance, MAIN DATA'!$B:$B,AN$1, 'Bilateral assistance, MAIN DATA'!$I:$I,$A15)</f>
        <v>0</v>
      </c>
      <c r="AO15" s="33">
        <f>SUMIFS('Bilateral assistance, MAIN DATA'!$M:$M,'Bilateral assistance, MAIN DATA'!$B:$B,AO$1, 'Bilateral assistance, MAIN DATA'!$I:$I,$A15)</f>
        <v>0</v>
      </c>
      <c r="AP15" s="33">
        <f>SUMIFS('Bilateral assistance, MAIN DATA'!$M:$M,'Bilateral assistance, MAIN DATA'!$B:$B,AP$1, 'Bilateral assistance, MAIN DATA'!$I:$I,$A15)</f>
        <v>0</v>
      </c>
      <c r="AQ15" s="33">
        <f>SUMIFS('Bilateral assistance, MAIN DATA'!$M:$M,'Bilateral assistance, MAIN DATA'!$B:$B,AQ$1, 'Bilateral assistance, MAIN DATA'!$I:$I,$A15)</f>
        <v>0</v>
      </c>
      <c r="AR15" s="33">
        <f>SUMIFS('Bilateral assistance, MAIN DATA'!$M:$M,'Bilateral assistance, MAIN DATA'!$B:$B,AR$1, 'Bilateral assistance, MAIN DATA'!$I:$I,$A15)</f>
        <v>80</v>
      </c>
      <c r="AS15" s="33">
        <f>SUMIFS('Bilateral assistance, MAIN DATA'!$M:$M,'Bilateral assistance, MAIN DATA'!$B:$B,AS$1, 'Bilateral assistance, MAIN DATA'!$I:$I,$A15)</f>
        <v>0</v>
      </c>
    </row>
    <row r="16" spans="1:45">
      <c r="A16" s="33" t="s">
        <v>1845</v>
      </c>
      <c r="B16" s="33">
        <f t="shared" si="0"/>
        <v>14</v>
      </c>
      <c r="C16" s="645" t="s">
        <v>4141</v>
      </c>
      <c r="D16" s="33" t="s">
        <v>4142</v>
      </c>
      <c r="F16" s="33">
        <f>SUMIFS('Bilateral assistance, MAIN DATA'!$M:$M,'Bilateral assistance, MAIN DATA'!$B:$B,F$1, 'Bilateral assistance, MAIN DATA'!$I:$I,$A16)</f>
        <v>0</v>
      </c>
      <c r="G16" s="33">
        <f>SUMIFS('Bilateral assistance, MAIN DATA'!$M:$M,'Bilateral assistance, MAIN DATA'!$B:$B,G$1, 'Bilateral assistance, MAIN DATA'!$I:$I,$A16)</f>
        <v>0</v>
      </c>
      <c r="H16" s="33">
        <f>SUMIFS('Bilateral assistance, MAIN DATA'!$M:$M,'Bilateral assistance, MAIN DATA'!$B:$B,H$1, 'Bilateral assistance, MAIN DATA'!$I:$I,$A16)</f>
        <v>0</v>
      </c>
      <c r="I16" s="33">
        <f>SUMIFS('Bilateral assistance, MAIN DATA'!$M:$M,'Bilateral assistance, MAIN DATA'!$B:$B,I$1, 'Bilateral assistance, MAIN DATA'!$I:$I,$A16)</f>
        <v>0</v>
      </c>
      <c r="J16" s="33">
        <f>SUMIFS('Bilateral assistance, MAIN DATA'!$M:$M,'Bilateral assistance, MAIN DATA'!$B:$B,J$1, 'Bilateral assistance, MAIN DATA'!$I:$I,$A16)</f>
        <v>0</v>
      </c>
      <c r="K16" s="33">
        <f>SUMIFS('Bilateral assistance, MAIN DATA'!$M:$M,'Bilateral assistance, MAIN DATA'!$B:$B,K$1, 'Bilateral assistance, MAIN DATA'!$I:$I,$A16)</f>
        <v>0</v>
      </c>
      <c r="L16" s="33">
        <f>SUMIFS('Bilateral assistance, MAIN DATA'!$M:$M,'Bilateral assistance, MAIN DATA'!$B:$B,L$1, 'Bilateral assistance, MAIN DATA'!$I:$I,$A16)</f>
        <v>0</v>
      </c>
      <c r="M16" s="33">
        <f>SUMIFS('Bilateral assistance, MAIN DATA'!$M:$M,'Bilateral assistance, MAIN DATA'!$B:$B,M$1, 'Bilateral assistance, MAIN DATA'!$I:$I,$A16)</f>
        <v>0</v>
      </c>
      <c r="N16" s="33">
        <f>SUMIFS('Bilateral assistance, MAIN DATA'!$M:$M,'Bilateral assistance, MAIN DATA'!$B:$B,N$1, 'Bilateral assistance, MAIN DATA'!$I:$I,$A16)</f>
        <v>0</v>
      </c>
      <c r="O16" s="33">
        <f>SUMIFS('Bilateral assistance, MAIN DATA'!$M:$M,'Bilateral assistance, MAIN DATA'!$B:$B,O$1, 'Bilateral assistance, MAIN DATA'!$I:$I,$A16)</f>
        <v>0</v>
      </c>
      <c r="P16" s="33">
        <f>SUMIFS('Bilateral assistance, MAIN DATA'!$M:$M,'Bilateral assistance, MAIN DATA'!$B:$B,P$1, 'Bilateral assistance, MAIN DATA'!$I:$I,$A16)</f>
        <v>0</v>
      </c>
      <c r="Q16" s="33">
        <f>SUMIFS('Bilateral assistance, MAIN DATA'!$M:$M,'Bilateral assistance, MAIN DATA'!$B:$B,Q$1, 'Bilateral assistance, MAIN DATA'!$I:$I,$A16)</f>
        <v>0</v>
      </c>
      <c r="R16" s="33">
        <f>SUMIFS('Bilateral assistance, MAIN DATA'!$M:$M,'Bilateral assistance, MAIN DATA'!$B:$B,R$1, 'Bilateral assistance, MAIN DATA'!$I:$I,$A16)</f>
        <v>0</v>
      </c>
      <c r="S16" s="33">
        <f>SUMIFS('Bilateral assistance, MAIN DATA'!$M:$M,'Bilateral assistance, MAIN DATA'!$B:$B,S$1, 'Bilateral assistance, MAIN DATA'!$I:$I,$A16)</f>
        <v>0</v>
      </c>
      <c r="T16" s="33">
        <f>SUMIFS('Bilateral assistance, MAIN DATA'!$M:$M,'Bilateral assistance, MAIN DATA'!$B:$B,T$1, 'Bilateral assistance, MAIN DATA'!$I:$I,$A16)</f>
        <v>0</v>
      </c>
      <c r="U16" s="33">
        <f>SUMIFS('Bilateral assistance, MAIN DATA'!$M:$M,'Bilateral assistance, MAIN DATA'!$B:$B,U$1, 'Bilateral assistance, MAIN DATA'!$I:$I,$A16)</f>
        <v>0</v>
      </c>
      <c r="V16" s="33">
        <f>SUMIFS('Bilateral assistance, MAIN DATA'!$M:$M,'Bilateral assistance, MAIN DATA'!$B:$B,V$1, 'Bilateral assistance, MAIN DATA'!$I:$I,$A16)</f>
        <v>0</v>
      </c>
      <c r="W16" s="33">
        <f>SUMIFS('Bilateral assistance, MAIN DATA'!$M:$M,'Bilateral assistance, MAIN DATA'!$B:$B,W$1, 'Bilateral assistance, MAIN DATA'!$I:$I,$A16)</f>
        <v>0</v>
      </c>
      <c r="X16" s="33">
        <f>SUMIFS('Bilateral assistance, MAIN DATA'!$M:$M,'Bilateral assistance, MAIN DATA'!$B:$B,X$1, 'Bilateral assistance, MAIN DATA'!$I:$I,$A16)</f>
        <v>0</v>
      </c>
      <c r="Y16" s="33">
        <f>SUMIFS('Bilateral assistance, MAIN DATA'!$M:$M,'Bilateral assistance, MAIN DATA'!$B:$B,Y$1, 'Bilateral assistance, MAIN DATA'!$I:$I,$A16)</f>
        <v>0</v>
      </c>
      <c r="Z16" s="33">
        <f>SUMIFS('Bilateral assistance, MAIN DATA'!$M:$M,'Bilateral assistance, MAIN DATA'!$B:$B,Z$1, 'Bilateral assistance, MAIN DATA'!$I:$I,$A16)</f>
        <v>0</v>
      </c>
      <c r="AA16" s="33">
        <f>SUMIFS('Bilateral assistance, MAIN DATA'!$M:$M,'Bilateral assistance, MAIN DATA'!$B:$B,AA$1, 'Bilateral assistance, MAIN DATA'!$I:$I,$A16)</f>
        <v>0</v>
      </c>
      <c r="AB16" s="33">
        <f>SUMIFS('Bilateral assistance, MAIN DATA'!$M:$M,'Bilateral assistance, MAIN DATA'!$B:$B,AB$1, 'Bilateral assistance, MAIN DATA'!$I:$I,$A16)</f>
        <v>0</v>
      </c>
      <c r="AC16" s="33">
        <f>SUMIFS('Bilateral assistance, MAIN DATA'!$M:$M,'Bilateral assistance, MAIN DATA'!$B:$B,AC$1, 'Bilateral assistance, MAIN DATA'!$I:$I,$A16)</f>
        <v>0</v>
      </c>
      <c r="AD16" s="33">
        <f>SUMIFS('Bilateral assistance, MAIN DATA'!$M:$M,'Bilateral assistance, MAIN DATA'!$B:$B,AD$1, 'Bilateral assistance, MAIN DATA'!$I:$I,$A16)</f>
        <v>0</v>
      </c>
      <c r="AE16" s="33">
        <f>SUMIFS('Bilateral assistance, MAIN DATA'!$M:$M,'Bilateral assistance, MAIN DATA'!$B:$B,AE$1, 'Bilateral assistance, MAIN DATA'!$I:$I,$A16)</f>
        <v>0</v>
      </c>
      <c r="AF16" s="33">
        <f>SUMIFS('Bilateral assistance, MAIN DATA'!$M:$M,'Bilateral assistance, MAIN DATA'!$B:$B,AF$1, 'Bilateral assistance, MAIN DATA'!$I:$I,$A16)</f>
        <v>0</v>
      </c>
      <c r="AG16" s="33">
        <f>SUMIFS('Bilateral assistance, MAIN DATA'!$M:$M,'Bilateral assistance, MAIN DATA'!$B:$B,AG$1, 'Bilateral assistance, MAIN DATA'!$I:$I,$A16)</f>
        <v>14</v>
      </c>
      <c r="AH16" s="33">
        <f>SUMIFS('Bilateral assistance, MAIN DATA'!$M:$M,'Bilateral assistance, MAIN DATA'!$B:$B,AH$1, 'Bilateral assistance, MAIN DATA'!$I:$I,$A16)</f>
        <v>0</v>
      </c>
      <c r="AI16" s="33">
        <f>SUMIFS('Bilateral assistance, MAIN DATA'!$M:$M,'Bilateral assistance, MAIN DATA'!$B:$B,AI$1, 'Bilateral assistance, MAIN DATA'!$I:$I,$A16)</f>
        <v>0</v>
      </c>
      <c r="AJ16" s="33">
        <f>SUMIFS('Bilateral assistance, MAIN DATA'!$M:$M,'Bilateral assistance, MAIN DATA'!$B:$B,AJ$1, 'Bilateral assistance, MAIN DATA'!$I:$I,$A16)</f>
        <v>0</v>
      </c>
      <c r="AK16" s="33">
        <f>SUMIFS('Bilateral assistance, MAIN DATA'!$M:$M,'Bilateral assistance, MAIN DATA'!$B:$B,AK$1, 'Bilateral assistance, MAIN DATA'!$I:$I,$A16)</f>
        <v>0</v>
      </c>
      <c r="AL16" s="33">
        <f>SUMIFS('Bilateral assistance, MAIN DATA'!$M:$M,'Bilateral assistance, MAIN DATA'!$B:$B,AL$1, 'Bilateral assistance, MAIN DATA'!$I:$I,$A16)</f>
        <v>0</v>
      </c>
      <c r="AM16" s="33">
        <f>SUMIFS('Bilateral assistance, MAIN DATA'!$M:$M,'Bilateral assistance, MAIN DATA'!$B:$B,AM$1, 'Bilateral assistance, MAIN DATA'!$I:$I,$A16)</f>
        <v>0</v>
      </c>
      <c r="AN16" s="33">
        <f>SUMIFS('Bilateral assistance, MAIN DATA'!$M:$M,'Bilateral assistance, MAIN DATA'!$B:$B,AN$1, 'Bilateral assistance, MAIN DATA'!$I:$I,$A16)</f>
        <v>0</v>
      </c>
      <c r="AO16" s="33">
        <f>SUMIFS('Bilateral assistance, MAIN DATA'!$M:$M,'Bilateral assistance, MAIN DATA'!$B:$B,AO$1, 'Bilateral assistance, MAIN DATA'!$I:$I,$A16)</f>
        <v>0</v>
      </c>
      <c r="AP16" s="33">
        <f>SUMIFS('Bilateral assistance, MAIN DATA'!$M:$M,'Bilateral assistance, MAIN DATA'!$B:$B,AP$1, 'Bilateral assistance, MAIN DATA'!$I:$I,$A16)</f>
        <v>0</v>
      </c>
      <c r="AQ16" s="33">
        <f>SUMIFS('Bilateral assistance, MAIN DATA'!$M:$M,'Bilateral assistance, MAIN DATA'!$B:$B,AQ$1, 'Bilateral assistance, MAIN DATA'!$I:$I,$A16)</f>
        <v>0</v>
      </c>
      <c r="AR16" s="33">
        <f>SUMIFS('Bilateral assistance, MAIN DATA'!$M:$M,'Bilateral assistance, MAIN DATA'!$B:$B,AR$1, 'Bilateral assistance, MAIN DATA'!$I:$I,$A16)</f>
        <v>0</v>
      </c>
      <c r="AS16" s="33">
        <f>SUMIFS('Bilateral assistance, MAIN DATA'!$M:$M,'Bilateral assistance, MAIN DATA'!$B:$B,AS$1, 'Bilateral assistance, MAIN DATA'!$I:$I,$A16)</f>
        <v>0</v>
      </c>
    </row>
    <row r="17" spans="1:45">
      <c r="A17" s="33" t="s">
        <v>1982</v>
      </c>
      <c r="B17" s="33">
        <f t="shared" si="0"/>
        <v>4</v>
      </c>
      <c r="C17" s="645" t="s">
        <v>4141</v>
      </c>
      <c r="D17" s="33" t="s">
        <v>4142</v>
      </c>
      <c r="F17" s="33">
        <f>SUMIFS('Bilateral assistance, MAIN DATA'!$M:$M,'Bilateral assistance, MAIN DATA'!$B:$B,F$1, 'Bilateral assistance, MAIN DATA'!$I:$I,$A17)</f>
        <v>0</v>
      </c>
      <c r="G17" s="33">
        <f>SUMIFS('Bilateral assistance, MAIN DATA'!$M:$M,'Bilateral assistance, MAIN DATA'!$B:$B,G$1, 'Bilateral assistance, MAIN DATA'!$I:$I,$A17)</f>
        <v>0</v>
      </c>
      <c r="H17" s="33">
        <f>SUMIFS('Bilateral assistance, MAIN DATA'!$M:$M,'Bilateral assistance, MAIN DATA'!$B:$B,H$1, 'Bilateral assistance, MAIN DATA'!$I:$I,$A17)</f>
        <v>0</v>
      </c>
      <c r="I17" s="33">
        <f>SUMIFS('Bilateral assistance, MAIN DATA'!$M:$M,'Bilateral assistance, MAIN DATA'!$B:$B,I$1, 'Bilateral assistance, MAIN DATA'!$I:$I,$A17)</f>
        <v>0</v>
      </c>
      <c r="J17" s="33">
        <f>SUMIFS('Bilateral assistance, MAIN DATA'!$M:$M,'Bilateral assistance, MAIN DATA'!$B:$B,J$1, 'Bilateral assistance, MAIN DATA'!$I:$I,$A17)</f>
        <v>0</v>
      </c>
      <c r="K17" s="33">
        <f>SUMIFS('Bilateral assistance, MAIN DATA'!$M:$M,'Bilateral assistance, MAIN DATA'!$B:$B,K$1, 'Bilateral assistance, MAIN DATA'!$I:$I,$A17)</f>
        <v>0</v>
      </c>
      <c r="L17" s="33">
        <f>SUMIFS('Bilateral assistance, MAIN DATA'!$M:$M,'Bilateral assistance, MAIN DATA'!$B:$B,L$1, 'Bilateral assistance, MAIN DATA'!$I:$I,$A17)</f>
        <v>0</v>
      </c>
      <c r="M17" s="33">
        <f>SUMIFS('Bilateral assistance, MAIN DATA'!$M:$M,'Bilateral assistance, MAIN DATA'!$B:$B,M$1, 'Bilateral assistance, MAIN DATA'!$I:$I,$A17)</f>
        <v>0</v>
      </c>
      <c r="N17" s="33">
        <f>SUMIFS('Bilateral assistance, MAIN DATA'!$M:$M,'Bilateral assistance, MAIN DATA'!$B:$B,N$1, 'Bilateral assistance, MAIN DATA'!$I:$I,$A17)</f>
        <v>0</v>
      </c>
      <c r="O17" s="33">
        <f>SUMIFS('Bilateral assistance, MAIN DATA'!$M:$M,'Bilateral assistance, MAIN DATA'!$B:$B,O$1, 'Bilateral assistance, MAIN DATA'!$I:$I,$A17)</f>
        <v>0</v>
      </c>
      <c r="P17" s="33">
        <f>SUMIFS('Bilateral assistance, MAIN DATA'!$M:$M,'Bilateral assistance, MAIN DATA'!$B:$B,P$1, 'Bilateral assistance, MAIN DATA'!$I:$I,$A17)</f>
        <v>0</v>
      </c>
      <c r="Q17" s="33">
        <f>SUMIFS('Bilateral assistance, MAIN DATA'!$M:$M,'Bilateral assistance, MAIN DATA'!$B:$B,Q$1, 'Bilateral assistance, MAIN DATA'!$I:$I,$A17)</f>
        <v>0</v>
      </c>
      <c r="R17" s="33">
        <f>SUMIFS('Bilateral assistance, MAIN DATA'!$M:$M,'Bilateral assistance, MAIN DATA'!$B:$B,R$1, 'Bilateral assistance, MAIN DATA'!$I:$I,$A17)</f>
        <v>0</v>
      </c>
      <c r="S17" s="33">
        <f>SUMIFS('Bilateral assistance, MAIN DATA'!$M:$M,'Bilateral assistance, MAIN DATA'!$B:$B,S$1, 'Bilateral assistance, MAIN DATA'!$I:$I,$A17)</f>
        <v>0</v>
      </c>
      <c r="T17" s="33">
        <f>SUMIFS('Bilateral assistance, MAIN DATA'!$M:$M,'Bilateral assistance, MAIN DATA'!$B:$B,T$1, 'Bilateral assistance, MAIN DATA'!$I:$I,$A17)</f>
        <v>0</v>
      </c>
      <c r="U17" s="33">
        <f>SUMIFS('Bilateral assistance, MAIN DATA'!$M:$M,'Bilateral assistance, MAIN DATA'!$B:$B,U$1, 'Bilateral assistance, MAIN DATA'!$I:$I,$A17)</f>
        <v>0</v>
      </c>
      <c r="V17" s="33">
        <f>SUMIFS('Bilateral assistance, MAIN DATA'!$M:$M,'Bilateral assistance, MAIN DATA'!$B:$B,V$1, 'Bilateral assistance, MAIN DATA'!$I:$I,$A17)</f>
        <v>0</v>
      </c>
      <c r="W17" s="33">
        <f>SUMIFS('Bilateral assistance, MAIN DATA'!$M:$M,'Bilateral assistance, MAIN DATA'!$B:$B,W$1, 'Bilateral assistance, MAIN DATA'!$I:$I,$A17)</f>
        <v>0</v>
      </c>
      <c r="X17" s="33">
        <f>SUMIFS('Bilateral assistance, MAIN DATA'!$M:$M,'Bilateral assistance, MAIN DATA'!$B:$B,X$1, 'Bilateral assistance, MAIN DATA'!$I:$I,$A17)</f>
        <v>0</v>
      </c>
      <c r="Y17" s="33">
        <f>SUMIFS('Bilateral assistance, MAIN DATA'!$M:$M,'Bilateral assistance, MAIN DATA'!$B:$B,Y$1, 'Bilateral assistance, MAIN DATA'!$I:$I,$A17)</f>
        <v>0</v>
      </c>
      <c r="Z17" s="33">
        <f>SUMIFS('Bilateral assistance, MAIN DATA'!$M:$M,'Bilateral assistance, MAIN DATA'!$B:$B,Z$1, 'Bilateral assistance, MAIN DATA'!$I:$I,$A17)</f>
        <v>0</v>
      </c>
      <c r="AA17" s="33">
        <f>SUMIFS('Bilateral assistance, MAIN DATA'!$M:$M,'Bilateral assistance, MAIN DATA'!$B:$B,AA$1, 'Bilateral assistance, MAIN DATA'!$I:$I,$A17)</f>
        <v>0</v>
      </c>
      <c r="AB17" s="33">
        <f>SUMIFS('Bilateral assistance, MAIN DATA'!$M:$M,'Bilateral assistance, MAIN DATA'!$B:$B,AB$1, 'Bilateral assistance, MAIN DATA'!$I:$I,$A17)</f>
        <v>0</v>
      </c>
      <c r="AC17" s="33">
        <f>SUMIFS('Bilateral assistance, MAIN DATA'!$M:$M,'Bilateral assistance, MAIN DATA'!$B:$B,AC$1, 'Bilateral assistance, MAIN DATA'!$I:$I,$A17)</f>
        <v>0</v>
      </c>
      <c r="AD17" s="33">
        <f>SUMIFS('Bilateral assistance, MAIN DATA'!$M:$M,'Bilateral assistance, MAIN DATA'!$B:$B,AD$1, 'Bilateral assistance, MAIN DATA'!$I:$I,$A17)</f>
        <v>0</v>
      </c>
      <c r="AE17" s="33">
        <f>SUMIFS('Bilateral assistance, MAIN DATA'!$M:$M,'Bilateral assistance, MAIN DATA'!$B:$B,AE$1, 'Bilateral assistance, MAIN DATA'!$I:$I,$A17)</f>
        <v>0</v>
      </c>
      <c r="AF17" s="33">
        <f>SUMIFS('Bilateral assistance, MAIN DATA'!$M:$M,'Bilateral assistance, MAIN DATA'!$B:$B,AF$1, 'Bilateral assistance, MAIN DATA'!$I:$I,$A17)</f>
        <v>0</v>
      </c>
      <c r="AG17" s="33">
        <f>SUMIFS('Bilateral assistance, MAIN DATA'!$M:$M,'Bilateral assistance, MAIN DATA'!$B:$B,AG$1, 'Bilateral assistance, MAIN DATA'!$I:$I,$A17)</f>
        <v>0</v>
      </c>
      <c r="AH17" s="33">
        <f>SUMIFS('Bilateral assistance, MAIN DATA'!$M:$M,'Bilateral assistance, MAIN DATA'!$B:$B,AH$1, 'Bilateral assistance, MAIN DATA'!$I:$I,$A17)</f>
        <v>0</v>
      </c>
      <c r="AI17" s="33">
        <f>SUMIFS('Bilateral assistance, MAIN DATA'!$M:$M,'Bilateral assistance, MAIN DATA'!$B:$B,AI$1, 'Bilateral assistance, MAIN DATA'!$I:$I,$A17)</f>
        <v>4</v>
      </c>
      <c r="AJ17" s="33">
        <f>SUMIFS('Bilateral assistance, MAIN DATA'!$M:$M,'Bilateral assistance, MAIN DATA'!$B:$B,AJ$1, 'Bilateral assistance, MAIN DATA'!$I:$I,$A17)</f>
        <v>0</v>
      </c>
      <c r="AK17" s="33">
        <f>SUMIFS('Bilateral assistance, MAIN DATA'!$M:$M,'Bilateral assistance, MAIN DATA'!$B:$B,AK$1, 'Bilateral assistance, MAIN DATA'!$I:$I,$A17)</f>
        <v>0</v>
      </c>
      <c r="AL17" s="33">
        <f>SUMIFS('Bilateral assistance, MAIN DATA'!$M:$M,'Bilateral assistance, MAIN DATA'!$B:$B,AL$1, 'Bilateral assistance, MAIN DATA'!$I:$I,$A17)</f>
        <v>0</v>
      </c>
      <c r="AM17" s="33">
        <f>SUMIFS('Bilateral assistance, MAIN DATA'!$M:$M,'Bilateral assistance, MAIN DATA'!$B:$B,AM$1, 'Bilateral assistance, MAIN DATA'!$I:$I,$A17)</f>
        <v>0</v>
      </c>
      <c r="AN17" s="33">
        <f>SUMIFS('Bilateral assistance, MAIN DATA'!$M:$M,'Bilateral assistance, MAIN DATA'!$B:$B,AN$1, 'Bilateral assistance, MAIN DATA'!$I:$I,$A17)</f>
        <v>0</v>
      </c>
      <c r="AO17" s="33">
        <f>SUMIFS('Bilateral assistance, MAIN DATA'!$M:$M,'Bilateral assistance, MAIN DATA'!$B:$B,AO$1, 'Bilateral assistance, MAIN DATA'!$I:$I,$A17)</f>
        <v>0</v>
      </c>
      <c r="AP17" s="33">
        <f>SUMIFS('Bilateral assistance, MAIN DATA'!$M:$M,'Bilateral assistance, MAIN DATA'!$B:$B,AP$1, 'Bilateral assistance, MAIN DATA'!$I:$I,$A17)</f>
        <v>0</v>
      </c>
      <c r="AQ17" s="33">
        <f>SUMIFS('Bilateral assistance, MAIN DATA'!$M:$M,'Bilateral assistance, MAIN DATA'!$B:$B,AQ$1, 'Bilateral assistance, MAIN DATA'!$I:$I,$A17)</f>
        <v>0</v>
      </c>
      <c r="AR17" s="33">
        <f>SUMIFS('Bilateral assistance, MAIN DATA'!$M:$M,'Bilateral assistance, MAIN DATA'!$B:$B,AR$1, 'Bilateral assistance, MAIN DATA'!$I:$I,$A17)</f>
        <v>0</v>
      </c>
      <c r="AS17" s="33">
        <f>SUMIFS('Bilateral assistance, MAIN DATA'!$M:$M,'Bilateral assistance, MAIN DATA'!$B:$B,AS$1, 'Bilateral assistance, MAIN DATA'!$I:$I,$A17)</f>
        <v>0</v>
      </c>
    </row>
    <row r="18" spans="1:45">
      <c r="A18" s="33" t="s">
        <v>4148</v>
      </c>
      <c r="B18" s="33">
        <f t="shared" si="0"/>
        <v>0</v>
      </c>
      <c r="C18" s="645" t="s">
        <v>4141</v>
      </c>
      <c r="D18" s="33" t="s">
        <v>4142</v>
      </c>
      <c r="F18" s="33">
        <f>SUMIFS('Bilateral assistance, MAIN DATA'!$M:$M,'Bilateral assistance, MAIN DATA'!$B:$B,F$1, 'Bilateral assistance, MAIN DATA'!$I:$I,$A18)</f>
        <v>0</v>
      </c>
      <c r="G18" s="33">
        <f>SUMIFS('Bilateral assistance, MAIN DATA'!$M:$M,'Bilateral assistance, MAIN DATA'!$B:$B,G$1, 'Bilateral assistance, MAIN DATA'!$I:$I,$A18)</f>
        <v>0</v>
      </c>
      <c r="H18" s="33">
        <f>SUMIFS('Bilateral assistance, MAIN DATA'!$M:$M,'Bilateral assistance, MAIN DATA'!$B:$B,H$1, 'Bilateral assistance, MAIN DATA'!$I:$I,$A18)</f>
        <v>0</v>
      </c>
      <c r="I18" s="33">
        <f>SUMIFS('Bilateral assistance, MAIN DATA'!$M:$M,'Bilateral assistance, MAIN DATA'!$B:$B,I$1, 'Bilateral assistance, MAIN DATA'!$I:$I,$A18)</f>
        <v>0</v>
      </c>
      <c r="J18" s="33">
        <f>SUMIFS('Bilateral assistance, MAIN DATA'!$M:$M,'Bilateral assistance, MAIN DATA'!$B:$B,J$1, 'Bilateral assistance, MAIN DATA'!$I:$I,$A18)</f>
        <v>0</v>
      </c>
      <c r="K18" s="33">
        <f>SUMIFS('Bilateral assistance, MAIN DATA'!$M:$M,'Bilateral assistance, MAIN DATA'!$B:$B,K$1, 'Bilateral assistance, MAIN DATA'!$I:$I,$A18)</f>
        <v>0</v>
      </c>
      <c r="L18" s="33">
        <f>SUMIFS('Bilateral assistance, MAIN DATA'!$M:$M,'Bilateral assistance, MAIN DATA'!$B:$B,L$1, 'Bilateral assistance, MAIN DATA'!$I:$I,$A18)</f>
        <v>0</v>
      </c>
      <c r="M18" s="33">
        <f>SUMIFS('Bilateral assistance, MAIN DATA'!$M:$M,'Bilateral assistance, MAIN DATA'!$B:$B,M$1, 'Bilateral assistance, MAIN DATA'!$I:$I,$A18)</f>
        <v>0</v>
      </c>
      <c r="N18" s="33">
        <f>SUMIFS('Bilateral assistance, MAIN DATA'!$M:$M,'Bilateral assistance, MAIN DATA'!$B:$B,N$1, 'Bilateral assistance, MAIN DATA'!$I:$I,$A18)</f>
        <v>0</v>
      </c>
      <c r="O18" s="33">
        <f>SUMIFS('Bilateral assistance, MAIN DATA'!$M:$M,'Bilateral assistance, MAIN DATA'!$B:$B,O$1, 'Bilateral assistance, MAIN DATA'!$I:$I,$A18)</f>
        <v>0</v>
      </c>
      <c r="P18" s="33">
        <f>SUMIFS('Bilateral assistance, MAIN DATA'!$M:$M,'Bilateral assistance, MAIN DATA'!$B:$B,P$1, 'Bilateral assistance, MAIN DATA'!$I:$I,$A18)</f>
        <v>0</v>
      </c>
      <c r="Q18" s="33">
        <f>SUMIFS('Bilateral assistance, MAIN DATA'!$M:$M,'Bilateral assistance, MAIN DATA'!$B:$B,Q$1, 'Bilateral assistance, MAIN DATA'!$I:$I,$A18)</f>
        <v>0</v>
      </c>
      <c r="R18" s="33">
        <f>SUMIFS('Bilateral assistance, MAIN DATA'!$M:$M,'Bilateral assistance, MAIN DATA'!$B:$B,R$1, 'Bilateral assistance, MAIN DATA'!$I:$I,$A18)</f>
        <v>0</v>
      </c>
      <c r="S18" s="33">
        <f>SUMIFS('Bilateral assistance, MAIN DATA'!$M:$M,'Bilateral assistance, MAIN DATA'!$B:$B,S$1, 'Bilateral assistance, MAIN DATA'!$I:$I,$A18)</f>
        <v>0</v>
      </c>
      <c r="T18" s="33">
        <f>SUMIFS('Bilateral assistance, MAIN DATA'!$M:$M,'Bilateral assistance, MAIN DATA'!$B:$B,T$1, 'Bilateral assistance, MAIN DATA'!$I:$I,$A18)</f>
        <v>0</v>
      </c>
      <c r="U18" s="33">
        <f>SUMIFS('Bilateral assistance, MAIN DATA'!$M:$M,'Bilateral assistance, MAIN DATA'!$B:$B,U$1, 'Bilateral assistance, MAIN DATA'!$I:$I,$A18)</f>
        <v>0</v>
      </c>
      <c r="V18" s="33">
        <f>SUMIFS('Bilateral assistance, MAIN DATA'!$M:$M,'Bilateral assistance, MAIN DATA'!$B:$B,V$1, 'Bilateral assistance, MAIN DATA'!$I:$I,$A18)</f>
        <v>0</v>
      </c>
      <c r="W18" s="33">
        <f>SUMIFS('Bilateral assistance, MAIN DATA'!$M:$M,'Bilateral assistance, MAIN DATA'!$B:$B,W$1, 'Bilateral assistance, MAIN DATA'!$I:$I,$A18)</f>
        <v>0</v>
      </c>
      <c r="X18" s="33">
        <f>SUMIFS('Bilateral assistance, MAIN DATA'!$M:$M,'Bilateral assistance, MAIN DATA'!$B:$B,X$1, 'Bilateral assistance, MAIN DATA'!$I:$I,$A18)</f>
        <v>0</v>
      </c>
      <c r="Y18" s="33">
        <f>SUMIFS('Bilateral assistance, MAIN DATA'!$M:$M,'Bilateral assistance, MAIN DATA'!$B:$B,Y$1, 'Bilateral assistance, MAIN DATA'!$I:$I,$A18)</f>
        <v>0</v>
      </c>
      <c r="Z18" s="33">
        <f>SUMIFS('Bilateral assistance, MAIN DATA'!$M:$M,'Bilateral assistance, MAIN DATA'!$B:$B,Z$1, 'Bilateral assistance, MAIN DATA'!$I:$I,$A18)</f>
        <v>0</v>
      </c>
      <c r="AA18" s="33">
        <f>SUMIFS('Bilateral assistance, MAIN DATA'!$M:$M,'Bilateral assistance, MAIN DATA'!$B:$B,AA$1, 'Bilateral assistance, MAIN DATA'!$I:$I,$A18)</f>
        <v>0</v>
      </c>
      <c r="AB18" s="33">
        <f>SUMIFS('Bilateral assistance, MAIN DATA'!$M:$M,'Bilateral assistance, MAIN DATA'!$B:$B,AB$1, 'Bilateral assistance, MAIN DATA'!$I:$I,$A18)</f>
        <v>0</v>
      </c>
      <c r="AC18" s="33">
        <f>SUMIFS('Bilateral assistance, MAIN DATA'!$M:$M,'Bilateral assistance, MAIN DATA'!$B:$B,AC$1, 'Bilateral assistance, MAIN DATA'!$I:$I,$A18)</f>
        <v>0</v>
      </c>
      <c r="AD18" s="33">
        <f>SUMIFS('Bilateral assistance, MAIN DATA'!$M:$M,'Bilateral assistance, MAIN DATA'!$B:$B,AD$1, 'Bilateral assistance, MAIN DATA'!$I:$I,$A18)</f>
        <v>0</v>
      </c>
      <c r="AE18" s="33">
        <f>SUMIFS('Bilateral assistance, MAIN DATA'!$M:$M,'Bilateral assistance, MAIN DATA'!$B:$B,AE$1, 'Bilateral assistance, MAIN DATA'!$I:$I,$A18)</f>
        <v>0</v>
      </c>
      <c r="AF18" s="33">
        <f>SUMIFS('Bilateral assistance, MAIN DATA'!$M:$M,'Bilateral assistance, MAIN DATA'!$B:$B,AF$1, 'Bilateral assistance, MAIN DATA'!$I:$I,$A18)</f>
        <v>0</v>
      </c>
      <c r="AG18" s="33">
        <f>SUMIFS('Bilateral assistance, MAIN DATA'!$M:$M,'Bilateral assistance, MAIN DATA'!$B:$B,AG$1, 'Bilateral assistance, MAIN DATA'!$I:$I,$A18)</f>
        <v>0</v>
      </c>
      <c r="AH18" s="33">
        <f>SUMIFS('Bilateral assistance, MAIN DATA'!$M:$M,'Bilateral assistance, MAIN DATA'!$B:$B,AH$1, 'Bilateral assistance, MAIN DATA'!$I:$I,$A18)</f>
        <v>0</v>
      </c>
      <c r="AI18" s="33">
        <f>SUMIFS('Bilateral assistance, MAIN DATA'!$M:$M,'Bilateral assistance, MAIN DATA'!$B:$B,AI$1, 'Bilateral assistance, MAIN DATA'!$I:$I,$A18)</f>
        <v>0</v>
      </c>
      <c r="AJ18" s="33">
        <f>SUMIFS('Bilateral assistance, MAIN DATA'!$M:$M,'Bilateral assistance, MAIN DATA'!$B:$B,AJ$1, 'Bilateral assistance, MAIN DATA'!$I:$I,$A18)</f>
        <v>0</v>
      </c>
      <c r="AK18" s="33">
        <f>SUMIFS('Bilateral assistance, MAIN DATA'!$M:$M,'Bilateral assistance, MAIN DATA'!$B:$B,AK$1, 'Bilateral assistance, MAIN DATA'!$I:$I,$A18)</f>
        <v>0</v>
      </c>
      <c r="AL18" s="33">
        <f>SUMIFS('Bilateral assistance, MAIN DATA'!$M:$M,'Bilateral assistance, MAIN DATA'!$B:$B,AL$1, 'Bilateral assistance, MAIN DATA'!$I:$I,$A18)</f>
        <v>0</v>
      </c>
      <c r="AM18" s="33">
        <f>SUMIFS('Bilateral assistance, MAIN DATA'!$M:$M,'Bilateral assistance, MAIN DATA'!$B:$B,AM$1, 'Bilateral assistance, MAIN DATA'!$I:$I,$A18)</f>
        <v>0</v>
      </c>
      <c r="AN18" s="33">
        <f>SUMIFS('Bilateral assistance, MAIN DATA'!$M:$M,'Bilateral assistance, MAIN DATA'!$B:$B,AN$1, 'Bilateral assistance, MAIN DATA'!$I:$I,$A18)</f>
        <v>0</v>
      </c>
      <c r="AO18" s="33">
        <f>SUMIFS('Bilateral assistance, MAIN DATA'!$M:$M,'Bilateral assistance, MAIN DATA'!$B:$B,AO$1, 'Bilateral assistance, MAIN DATA'!$I:$I,$A18)</f>
        <v>0</v>
      </c>
      <c r="AP18" s="33">
        <f>SUMIFS('Bilateral assistance, MAIN DATA'!$M:$M,'Bilateral assistance, MAIN DATA'!$B:$B,AP$1, 'Bilateral assistance, MAIN DATA'!$I:$I,$A18)</f>
        <v>0</v>
      </c>
      <c r="AQ18" s="33">
        <f>SUMIFS('Bilateral assistance, MAIN DATA'!$M:$M,'Bilateral assistance, MAIN DATA'!$B:$B,AQ$1, 'Bilateral assistance, MAIN DATA'!$I:$I,$A18)</f>
        <v>0</v>
      </c>
      <c r="AR18" s="33">
        <f>SUMIFS('Bilateral assistance, MAIN DATA'!$M:$M,'Bilateral assistance, MAIN DATA'!$B:$B,AR$1, 'Bilateral assistance, MAIN DATA'!$I:$I,$A18)</f>
        <v>0</v>
      </c>
      <c r="AS18" s="33">
        <f>SUMIFS('Bilateral assistance, MAIN DATA'!$M:$M,'Bilateral assistance, MAIN DATA'!$B:$B,AS$1, 'Bilateral assistance, MAIN DATA'!$I:$I,$A18)</f>
        <v>0</v>
      </c>
    </row>
    <row r="19" spans="1:45">
      <c r="A19" s="33" t="s">
        <v>4149</v>
      </c>
      <c r="C19" s="645" t="s">
        <v>4141</v>
      </c>
      <c r="D19" s="426" t="s">
        <v>3346</v>
      </c>
    </row>
    <row r="20" spans="1:45">
      <c r="A20" s="33" t="s">
        <v>1624</v>
      </c>
      <c r="C20" s="645" t="s">
        <v>4141</v>
      </c>
      <c r="D20" s="645" t="s">
        <v>3340</v>
      </c>
    </row>
    <row r="21" spans="1:45">
      <c r="A21" s="27" t="s">
        <v>286</v>
      </c>
      <c r="B21" s="33">
        <f t="shared" si="0"/>
        <v>136</v>
      </c>
      <c r="C21" s="645" t="s">
        <v>2234</v>
      </c>
      <c r="D21" s="33" t="s">
        <v>4150</v>
      </c>
      <c r="F21" s="33">
        <f>SUMIFS('Bilateral assistance, MAIN DATA'!$M:$M,'Bilateral assistance, MAIN DATA'!$B:$B,F$1, 'Bilateral assistance, MAIN DATA'!$I:$I,$A21)</f>
        <v>6</v>
      </c>
      <c r="G21" s="33">
        <f>SUMIFS('Bilateral assistance, MAIN DATA'!$M:$M,'Bilateral assistance, MAIN DATA'!$B:$B,G$1, 'Bilateral assistance, MAIN DATA'!$I:$I,$A21)</f>
        <v>0</v>
      </c>
      <c r="H21" s="33">
        <f>SUMIFS('Bilateral assistance, MAIN DATA'!$M:$M,'Bilateral assistance, MAIN DATA'!$B:$B,H$1, 'Bilateral assistance, MAIN DATA'!$I:$I,$A21)</f>
        <v>0</v>
      </c>
      <c r="I21" s="33">
        <f>SUMIFS('Bilateral assistance, MAIN DATA'!$M:$M,'Bilateral assistance, MAIN DATA'!$B:$B,I$1, 'Bilateral assistance, MAIN DATA'!$I:$I,$A21)</f>
        <v>0</v>
      </c>
      <c r="J21" s="33">
        <f>SUMIFS('Bilateral assistance, MAIN DATA'!$M:$M,'Bilateral assistance, MAIN DATA'!$B:$B,J$1, 'Bilateral assistance, MAIN DATA'!$I:$I,$A21)</f>
        <v>4</v>
      </c>
      <c r="K21" s="33">
        <f>SUMIFS('Bilateral assistance, MAIN DATA'!$M:$M,'Bilateral assistance, MAIN DATA'!$B:$B,K$1, 'Bilateral assistance, MAIN DATA'!$I:$I,$A21)</f>
        <v>0</v>
      </c>
      <c r="L21" s="33">
        <f>SUMIFS('Bilateral assistance, MAIN DATA'!$M:$M,'Bilateral assistance, MAIN DATA'!$B:$B,L$1, 'Bilateral assistance, MAIN DATA'!$I:$I,$A21)</f>
        <v>0</v>
      </c>
      <c r="M21" s="33">
        <f>SUMIFS('Bilateral assistance, MAIN DATA'!$M:$M,'Bilateral assistance, MAIN DATA'!$B:$B,M$1, 'Bilateral assistance, MAIN DATA'!$I:$I,$A21)</f>
        <v>0</v>
      </c>
      <c r="N21" s="33">
        <f>SUMIFS('Bilateral assistance, MAIN DATA'!$M:$M,'Bilateral assistance, MAIN DATA'!$B:$B,N$1, 'Bilateral assistance, MAIN DATA'!$I:$I,$A21)</f>
        <v>0</v>
      </c>
      <c r="O21" s="33">
        <f>SUMIFS('Bilateral assistance, MAIN DATA'!$M:$M,'Bilateral assistance, MAIN DATA'!$B:$B,O$1, 'Bilateral assistance, MAIN DATA'!$I:$I,$A21)</f>
        <v>0</v>
      </c>
      <c r="P21" s="33">
        <f>SUMIFS('Bilateral assistance, MAIN DATA'!$M:$M,'Bilateral assistance, MAIN DATA'!$B:$B,P$1, 'Bilateral assistance, MAIN DATA'!$I:$I,$A21)</f>
        <v>0</v>
      </c>
      <c r="Q21" s="33">
        <f>SUMIFS('Bilateral assistance, MAIN DATA'!$M:$M,'Bilateral assistance, MAIN DATA'!$B:$B,Q$1, 'Bilateral assistance, MAIN DATA'!$I:$I,$A21)</f>
        <v>0</v>
      </c>
      <c r="R21" s="33">
        <f>SUMIFS('Bilateral assistance, MAIN DATA'!$M:$M,'Bilateral assistance, MAIN DATA'!$B:$B,R$1, 'Bilateral assistance, MAIN DATA'!$I:$I,$A21)</f>
        <v>0</v>
      </c>
      <c r="S21" s="33">
        <f>SUMIFS('Bilateral assistance, MAIN DATA'!$M:$M,'Bilateral assistance, MAIN DATA'!$B:$B,S$1, 'Bilateral assistance, MAIN DATA'!$I:$I,$A21)</f>
        <v>0</v>
      </c>
      <c r="T21" s="33">
        <f>SUMIFS('Bilateral assistance, MAIN DATA'!$M:$M,'Bilateral assistance, MAIN DATA'!$B:$B,T$1, 'Bilateral assistance, MAIN DATA'!$I:$I,$A21)</f>
        <v>0</v>
      </c>
      <c r="U21" s="33">
        <f>SUMIFS('Bilateral assistance, MAIN DATA'!$M:$M,'Bilateral assistance, MAIN DATA'!$B:$B,U$1, 'Bilateral assistance, MAIN DATA'!$I:$I,$A21)</f>
        <v>0</v>
      </c>
      <c r="V21" s="33">
        <f>SUMIFS('Bilateral assistance, MAIN DATA'!$M:$M,'Bilateral assistance, MAIN DATA'!$B:$B,V$1, 'Bilateral assistance, MAIN DATA'!$I:$I,$A21)</f>
        <v>0</v>
      </c>
      <c r="W21" s="33">
        <f>SUMIFS('Bilateral assistance, MAIN DATA'!$M:$M,'Bilateral assistance, MAIN DATA'!$B:$B,W$1, 'Bilateral assistance, MAIN DATA'!$I:$I,$A21)</f>
        <v>0</v>
      </c>
      <c r="X21" s="33">
        <f>SUMIFS('Bilateral assistance, MAIN DATA'!$M:$M,'Bilateral assistance, MAIN DATA'!$B:$B,X$1, 'Bilateral assistance, MAIN DATA'!$I:$I,$A21)</f>
        <v>0</v>
      </c>
      <c r="Y21" s="33">
        <f>SUMIFS('Bilateral assistance, MAIN DATA'!$M:$M,'Bilateral assistance, MAIN DATA'!$B:$B,Y$1, 'Bilateral assistance, MAIN DATA'!$I:$I,$A21)</f>
        <v>0</v>
      </c>
      <c r="Z21" s="33">
        <f>SUMIFS('Bilateral assistance, MAIN DATA'!$M:$M,'Bilateral assistance, MAIN DATA'!$B:$B,Z$1, 'Bilateral assistance, MAIN DATA'!$I:$I,$A21)</f>
        <v>0</v>
      </c>
      <c r="AA21" s="33">
        <f>SUMIFS('Bilateral assistance, MAIN DATA'!$M:$M,'Bilateral assistance, MAIN DATA'!$B:$B,AA$1, 'Bilateral assistance, MAIN DATA'!$I:$I,$A21)</f>
        <v>0</v>
      </c>
      <c r="AB21" s="33">
        <f>SUMIFS('Bilateral assistance, MAIN DATA'!$M:$M,'Bilateral assistance, MAIN DATA'!$B:$B,AB$1, 'Bilateral assistance, MAIN DATA'!$I:$I,$A21)</f>
        <v>0</v>
      </c>
      <c r="AC21" s="33">
        <f>SUMIFS('Bilateral assistance, MAIN DATA'!$M:$M,'Bilateral assistance, MAIN DATA'!$B:$B,AC$1, 'Bilateral assistance, MAIN DATA'!$I:$I,$A21)</f>
        <v>0</v>
      </c>
      <c r="AD21" s="33">
        <f>SUMIFS('Bilateral assistance, MAIN DATA'!$M:$M,'Bilateral assistance, MAIN DATA'!$B:$B,AD$1, 'Bilateral assistance, MAIN DATA'!$I:$I,$A21)</f>
        <v>0</v>
      </c>
      <c r="AE21" s="33">
        <f>SUMIFS('Bilateral assistance, MAIN DATA'!$M:$M,'Bilateral assistance, MAIN DATA'!$B:$B,AE$1, 'Bilateral assistance, MAIN DATA'!$I:$I,$A21)</f>
        <v>0</v>
      </c>
      <c r="AF21" s="33">
        <f>SUMIFS('Bilateral assistance, MAIN DATA'!$M:$M,'Bilateral assistance, MAIN DATA'!$B:$B,AF$1, 'Bilateral assistance, MAIN DATA'!$I:$I,$A21)</f>
        <v>0</v>
      </c>
      <c r="AG21" s="33">
        <f>SUMIFS('Bilateral assistance, MAIN DATA'!$M:$M,'Bilateral assistance, MAIN DATA'!$B:$B,AG$1, 'Bilateral assistance, MAIN DATA'!$I:$I,$A21)</f>
        <v>0</v>
      </c>
      <c r="AH21" s="33">
        <f>SUMIFS('Bilateral assistance, MAIN DATA'!$M:$M,'Bilateral assistance, MAIN DATA'!$B:$B,AH$1, 'Bilateral assistance, MAIN DATA'!$I:$I,$A21)</f>
        <v>0</v>
      </c>
      <c r="AI21" s="33">
        <f>SUMIFS('Bilateral assistance, MAIN DATA'!$M:$M,'Bilateral assistance, MAIN DATA'!$B:$B,AI$1, 'Bilateral assistance, MAIN DATA'!$I:$I,$A21)</f>
        <v>0</v>
      </c>
      <c r="AJ21" s="33">
        <f>SUMIFS('Bilateral assistance, MAIN DATA'!$M:$M,'Bilateral assistance, MAIN DATA'!$B:$B,AJ$1, 'Bilateral assistance, MAIN DATA'!$I:$I,$A21)</f>
        <v>0</v>
      </c>
      <c r="AK21" s="33">
        <f>SUMIFS('Bilateral assistance, MAIN DATA'!$M:$M,'Bilateral assistance, MAIN DATA'!$B:$B,AK$1, 'Bilateral assistance, MAIN DATA'!$I:$I,$A21)</f>
        <v>0</v>
      </c>
      <c r="AL21" s="33">
        <f>SUMIFS('Bilateral assistance, MAIN DATA'!$M:$M,'Bilateral assistance, MAIN DATA'!$B:$B,AL$1, 'Bilateral assistance, MAIN DATA'!$I:$I,$A21)</f>
        <v>0</v>
      </c>
      <c r="AM21" s="33">
        <f>SUMIFS('Bilateral assistance, MAIN DATA'!$M:$M,'Bilateral assistance, MAIN DATA'!$B:$B,AM$1, 'Bilateral assistance, MAIN DATA'!$I:$I,$A21)</f>
        <v>0</v>
      </c>
      <c r="AN21" s="33">
        <f>SUMIFS('Bilateral assistance, MAIN DATA'!$M:$M,'Bilateral assistance, MAIN DATA'!$B:$B,AN$1, 'Bilateral assistance, MAIN DATA'!$I:$I,$A21)</f>
        <v>0</v>
      </c>
      <c r="AO21" s="33">
        <f>SUMIFS('Bilateral assistance, MAIN DATA'!$M:$M,'Bilateral assistance, MAIN DATA'!$B:$B,AO$1, 'Bilateral assistance, MAIN DATA'!$I:$I,$A21)</f>
        <v>0</v>
      </c>
      <c r="AP21" s="33">
        <f>SUMIFS('Bilateral assistance, MAIN DATA'!$M:$M,'Bilateral assistance, MAIN DATA'!$B:$B,AP$1, 'Bilateral assistance, MAIN DATA'!$I:$I,$A21)</f>
        <v>0</v>
      </c>
      <c r="AQ21" s="33">
        <f>SUMIFS('Bilateral assistance, MAIN DATA'!$M:$M,'Bilateral assistance, MAIN DATA'!$B:$B,AQ$1, 'Bilateral assistance, MAIN DATA'!$I:$I,$A21)</f>
        <v>0</v>
      </c>
      <c r="AR21" s="33">
        <f>SUMIFS('Bilateral assistance, MAIN DATA'!$M:$M,'Bilateral assistance, MAIN DATA'!$B:$B,AR$1, 'Bilateral assistance, MAIN DATA'!$I:$I,$A21)</f>
        <v>0</v>
      </c>
      <c r="AS21" s="33">
        <f>SUMIFS('Bilateral assistance, MAIN DATA'!$M:$M,'Bilateral assistance, MAIN DATA'!$B:$B,AS$1, 'Bilateral assistance, MAIN DATA'!$I:$I,$A21)</f>
        <v>126</v>
      </c>
    </row>
    <row r="22" spans="1:45">
      <c r="A22" s="27" t="s">
        <v>1440</v>
      </c>
      <c r="B22" s="33">
        <f t="shared" si="0"/>
        <v>0</v>
      </c>
      <c r="C22" s="645" t="s">
        <v>2234</v>
      </c>
      <c r="D22" s="33" t="s">
        <v>4150</v>
      </c>
      <c r="F22" s="33">
        <f>SUMIFS('Bilateral assistance, MAIN DATA'!$M:$M,'Bilateral assistance, MAIN DATA'!$B:$B,F$1, 'Bilateral assistance, MAIN DATA'!$I:$I,$A22)</f>
        <v>0</v>
      </c>
      <c r="G22" s="33">
        <f>SUMIFS('Bilateral assistance, MAIN DATA'!$M:$M,'Bilateral assistance, MAIN DATA'!$B:$B,G$1, 'Bilateral assistance, MAIN DATA'!$I:$I,$A22)</f>
        <v>0</v>
      </c>
      <c r="H22" s="33">
        <f>SUMIFS('Bilateral assistance, MAIN DATA'!$M:$M,'Bilateral assistance, MAIN DATA'!$B:$B,H$1, 'Bilateral assistance, MAIN DATA'!$I:$I,$A22)</f>
        <v>0</v>
      </c>
      <c r="I22" s="33">
        <f>SUMIFS('Bilateral assistance, MAIN DATA'!$M:$M,'Bilateral assistance, MAIN DATA'!$B:$B,I$1, 'Bilateral assistance, MAIN DATA'!$I:$I,$A22)</f>
        <v>0</v>
      </c>
      <c r="J22" s="33">
        <f>SUMIFS('Bilateral assistance, MAIN DATA'!$M:$M,'Bilateral assistance, MAIN DATA'!$B:$B,J$1, 'Bilateral assistance, MAIN DATA'!$I:$I,$A22)</f>
        <v>0</v>
      </c>
      <c r="K22" s="33">
        <f>SUMIFS('Bilateral assistance, MAIN DATA'!$M:$M,'Bilateral assistance, MAIN DATA'!$B:$B,K$1, 'Bilateral assistance, MAIN DATA'!$I:$I,$A22)</f>
        <v>0</v>
      </c>
      <c r="L22" s="33">
        <f>SUMIFS('Bilateral assistance, MAIN DATA'!$M:$M,'Bilateral assistance, MAIN DATA'!$B:$B,L$1, 'Bilateral assistance, MAIN DATA'!$I:$I,$A22)</f>
        <v>0</v>
      </c>
      <c r="M22" s="33">
        <f>SUMIFS('Bilateral assistance, MAIN DATA'!$M:$M,'Bilateral assistance, MAIN DATA'!$B:$B,M$1, 'Bilateral assistance, MAIN DATA'!$I:$I,$A22)</f>
        <v>0</v>
      </c>
      <c r="N22" s="33">
        <f>SUMIFS('Bilateral assistance, MAIN DATA'!$M:$M,'Bilateral assistance, MAIN DATA'!$B:$B,N$1, 'Bilateral assistance, MAIN DATA'!$I:$I,$A22)</f>
        <v>0</v>
      </c>
      <c r="O22" s="33">
        <f>SUMIFS('Bilateral assistance, MAIN DATA'!$M:$M,'Bilateral assistance, MAIN DATA'!$B:$B,O$1, 'Bilateral assistance, MAIN DATA'!$I:$I,$A22)</f>
        <v>0</v>
      </c>
      <c r="P22" s="33">
        <f>SUMIFS('Bilateral assistance, MAIN DATA'!$M:$M,'Bilateral assistance, MAIN DATA'!$B:$B,P$1, 'Bilateral assistance, MAIN DATA'!$I:$I,$A22)</f>
        <v>0</v>
      </c>
      <c r="Q22" s="33">
        <f>SUMIFS('Bilateral assistance, MAIN DATA'!$M:$M,'Bilateral assistance, MAIN DATA'!$B:$B,Q$1, 'Bilateral assistance, MAIN DATA'!$I:$I,$A22)</f>
        <v>0</v>
      </c>
      <c r="R22" s="33">
        <f>SUMIFS('Bilateral assistance, MAIN DATA'!$M:$M,'Bilateral assistance, MAIN DATA'!$B:$B,R$1, 'Bilateral assistance, MAIN DATA'!$I:$I,$A22)</f>
        <v>0</v>
      </c>
      <c r="S22" s="33">
        <f>SUMIFS('Bilateral assistance, MAIN DATA'!$M:$M,'Bilateral assistance, MAIN DATA'!$B:$B,S$1, 'Bilateral assistance, MAIN DATA'!$I:$I,$A22)</f>
        <v>0</v>
      </c>
      <c r="T22" s="33">
        <f>SUMIFS('Bilateral assistance, MAIN DATA'!$M:$M,'Bilateral assistance, MAIN DATA'!$B:$B,T$1, 'Bilateral assistance, MAIN DATA'!$I:$I,$A22)</f>
        <v>0</v>
      </c>
      <c r="U22" s="33">
        <f>SUMIFS('Bilateral assistance, MAIN DATA'!$M:$M,'Bilateral assistance, MAIN DATA'!$B:$B,U$1, 'Bilateral assistance, MAIN DATA'!$I:$I,$A22)</f>
        <v>0</v>
      </c>
      <c r="V22" s="33">
        <f>SUMIFS('Bilateral assistance, MAIN DATA'!$M:$M,'Bilateral assistance, MAIN DATA'!$B:$B,V$1, 'Bilateral assistance, MAIN DATA'!$I:$I,$A22)</f>
        <v>0</v>
      </c>
      <c r="W22" s="33">
        <f>SUMIFS('Bilateral assistance, MAIN DATA'!$M:$M,'Bilateral assistance, MAIN DATA'!$B:$B,W$1, 'Bilateral assistance, MAIN DATA'!$I:$I,$A22)</f>
        <v>0</v>
      </c>
      <c r="X22" s="33">
        <f>SUMIFS('Bilateral assistance, MAIN DATA'!$M:$M,'Bilateral assistance, MAIN DATA'!$B:$B,X$1, 'Bilateral assistance, MAIN DATA'!$I:$I,$A22)</f>
        <v>0</v>
      </c>
      <c r="Y22" s="33">
        <f>SUMIFS('Bilateral assistance, MAIN DATA'!$M:$M,'Bilateral assistance, MAIN DATA'!$B:$B,Y$1, 'Bilateral assistance, MAIN DATA'!$I:$I,$A22)</f>
        <v>0</v>
      </c>
      <c r="Z22" s="33">
        <f>SUMIFS('Bilateral assistance, MAIN DATA'!$M:$M,'Bilateral assistance, MAIN DATA'!$B:$B,Z$1, 'Bilateral assistance, MAIN DATA'!$I:$I,$A22)</f>
        <v>0</v>
      </c>
      <c r="AA22" s="33">
        <f>SUMIFS('Bilateral assistance, MAIN DATA'!$M:$M,'Bilateral assistance, MAIN DATA'!$B:$B,AA$1, 'Bilateral assistance, MAIN DATA'!$I:$I,$A22)</f>
        <v>0</v>
      </c>
      <c r="AB22" s="33">
        <f>SUMIFS('Bilateral assistance, MAIN DATA'!$M:$M,'Bilateral assistance, MAIN DATA'!$B:$B,AB$1, 'Bilateral assistance, MAIN DATA'!$I:$I,$A22)</f>
        <v>0</v>
      </c>
      <c r="AC22" s="33">
        <f>SUMIFS('Bilateral assistance, MAIN DATA'!$M:$M,'Bilateral assistance, MAIN DATA'!$B:$B,AC$1, 'Bilateral assistance, MAIN DATA'!$I:$I,$A22)</f>
        <v>0</v>
      </c>
      <c r="AD22" s="33">
        <f>SUMIFS('Bilateral assistance, MAIN DATA'!$M:$M,'Bilateral assistance, MAIN DATA'!$B:$B,AD$1, 'Bilateral assistance, MAIN DATA'!$I:$I,$A22)</f>
        <v>0</v>
      </c>
      <c r="AE22" s="33">
        <f>SUMIFS('Bilateral assistance, MAIN DATA'!$M:$M,'Bilateral assistance, MAIN DATA'!$B:$B,AE$1, 'Bilateral assistance, MAIN DATA'!$I:$I,$A22)</f>
        <v>0</v>
      </c>
      <c r="AF22" s="33">
        <f>SUMIFS('Bilateral assistance, MAIN DATA'!$M:$M,'Bilateral assistance, MAIN DATA'!$B:$B,AF$1, 'Bilateral assistance, MAIN DATA'!$I:$I,$A22)</f>
        <v>0</v>
      </c>
      <c r="AG22" s="33">
        <f>SUMIFS('Bilateral assistance, MAIN DATA'!$M:$M,'Bilateral assistance, MAIN DATA'!$B:$B,AG$1, 'Bilateral assistance, MAIN DATA'!$I:$I,$A22)</f>
        <v>0</v>
      </c>
      <c r="AH22" s="33">
        <f>SUMIFS('Bilateral assistance, MAIN DATA'!$M:$M,'Bilateral assistance, MAIN DATA'!$B:$B,AH$1, 'Bilateral assistance, MAIN DATA'!$I:$I,$A22)</f>
        <v>0</v>
      </c>
      <c r="AI22" s="33">
        <f>SUMIFS('Bilateral assistance, MAIN DATA'!$M:$M,'Bilateral assistance, MAIN DATA'!$B:$B,AI$1, 'Bilateral assistance, MAIN DATA'!$I:$I,$A22)</f>
        <v>0</v>
      </c>
      <c r="AJ22" s="33">
        <f>SUMIFS('Bilateral assistance, MAIN DATA'!$M:$M,'Bilateral assistance, MAIN DATA'!$B:$B,AJ$1, 'Bilateral assistance, MAIN DATA'!$I:$I,$A22)</f>
        <v>0</v>
      </c>
      <c r="AK22" s="33">
        <f>SUMIFS('Bilateral assistance, MAIN DATA'!$M:$M,'Bilateral assistance, MAIN DATA'!$B:$B,AK$1, 'Bilateral assistance, MAIN DATA'!$I:$I,$A22)</f>
        <v>0</v>
      </c>
      <c r="AL22" s="33">
        <f>SUMIFS('Bilateral assistance, MAIN DATA'!$M:$M,'Bilateral assistance, MAIN DATA'!$B:$B,AL$1, 'Bilateral assistance, MAIN DATA'!$I:$I,$A22)</f>
        <v>0</v>
      </c>
      <c r="AM22" s="33">
        <f>SUMIFS('Bilateral assistance, MAIN DATA'!$M:$M,'Bilateral assistance, MAIN DATA'!$B:$B,AM$1, 'Bilateral assistance, MAIN DATA'!$I:$I,$A22)</f>
        <v>0</v>
      </c>
      <c r="AN22" s="33">
        <f>SUMIFS('Bilateral assistance, MAIN DATA'!$M:$M,'Bilateral assistance, MAIN DATA'!$B:$B,AN$1, 'Bilateral assistance, MAIN DATA'!$I:$I,$A22)</f>
        <v>0</v>
      </c>
      <c r="AO22" s="33">
        <f>SUMIFS('Bilateral assistance, MAIN DATA'!$M:$M,'Bilateral assistance, MAIN DATA'!$B:$B,AO$1, 'Bilateral assistance, MAIN DATA'!$I:$I,$A22)</f>
        <v>0</v>
      </c>
      <c r="AP22" s="33">
        <f>SUMIFS('Bilateral assistance, MAIN DATA'!$M:$M,'Bilateral assistance, MAIN DATA'!$B:$B,AP$1, 'Bilateral assistance, MAIN DATA'!$I:$I,$A22)</f>
        <v>0</v>
      </c>
      <c r="AQ22" s="33">
        <f>SUMIFS('Bilateral assistance, MAIN DATA'!$M:$M,'Bilateral assistance, MAIN DATA'!$B:$B,AQ$1, 'Bilateral assistance, MAIN DATA'!$I:$I,$A22)</f>
        <v>0</v>
      </c>
      <c r="AR22" s="33">
        <f>SUMIFS('Bilateral assistance, MAIN DATA'!$M:$M,'Bilateral assistance, MAIN DATA'!$B:$B,AR$1, 'Bilateral assistance, MAIN DATA'!$I:$I,$A22)</f>
        <v>0</v>
      </c>
      <c r="AS22" s="33">
        <f>SUMIFS('Bilateral assistance, MAIN DATA'!$M:$M,'Bilateral assistance, MAIN DATA'!$B:$B,AS$1, 'Bilateral assistance, MAIN DATA'!$I:$I,$A22)</f>
        <v>0</v>
      </c>
    </row>
    <row r="23" spans="1:45">
      <c r="A23" s="27" t="s">
        <v>1108</v>
      </c>
      <c r="B23" s="33">
        <f t="shared" si="0"/>
        <v>24</v>
      </c>
      <c r="C23" s="645" t="s">
        <v>2234</v>
      </c>
      <c r="D23" s="33" t="s">
        <v>4150</v>
      </c>
      <c r="F23" s="33">
        <f>SUMIFS('Bilateral assistance, MAIN DATA'!$M:$M,'Bilateral assistance, MAIN DATA'!$B:$B,F$1, 'Bilateral assistance, MAIN DATA'!$I:$I,$A23)</f>
        <v>0</v>
      </c>
      <c r="G23" s="33">
        <f>SUMIFS('Bilateral assistance, MAIN DATA'!$M:$M,'Bilateral assistance, MAIN DATA'!$B:$B,G$1, 'Bilateral assistance, MAIN DATA'!$I:$I,$A23)</f>
        <v>0</v>
      </c>
      <c r="H23" s="33">
        <f>SUMIFS('Bilateral assistance, MAIN DATA'!$M:$M,'Bilateral assistance, MAIN DATA'!$B:$B,H$1, 'Bilateral assistance, MAIN DATA'!$I:$I,$A23)</f>
        <v>0</v>
      </c>
      <c r="I23" s="33">
        <f>SUMIFS('Bilateral assistance, MAIN DATA'!$M:$M,'Bilateral assistance, MAIN DATA'!$B:$B,I$1, 'Bilateral assistance, MAIN DATA'!$I:$I,$A23)</f>
        <v>0</v>
      </c>
      <c r="J23" s="33">
        <f>SUMIFS('Bilateral assistance, MAIN DATA'!$M:$M,'Bilateral assistance, MAIN DATA'!$B:$B,J$1, 'Bilateral assistance, MAIN DATA'!$I:$I,$A23)</f>
        <v>0</v>
      </c>
      <c r="K23" s="33">
        <f>SUMIFS('Bilateral assistance, MAIN DATA'!$M:$M,'Bilateral assistance, MAIN DATA'!$B:$B,K$1, 'Bilateral assistance, MAIN DATA'!$I:$I,$A23)</f>
        <v>0</v>
      </c>
      <c r="L23" s="33">
        <f>SUMIFS('Bilateral assistance, MAIN DATA'!$M:$M,'Bilateral assistance, MAIN DATA'!$B:$B,L$1, 'Bilateral assistance, MAIN DATA'!$I:$I,$A23)</f>
        <v>0</v>
      </c>
      <c r="M23" s="33">
        <f>SUMIFS('Bilateral assistance, MAIN DATA'!$M:$M,'Bilateral assistance, MAIN DATA'!$B:$B,M$1, 'Bilateral assistance, MAIN DATA'!$I:$I,$A23)</f>
        <v>0</v>
      </c>
      <c r="N23" s="33">
        <f>SUMIFS('Bilateral assistance, MAIN DATA'!$M:$M,'Bilateral assistance, MAIN DATA'!$B:$B,N$1, 'Bilateral assistance, MAIN DATA'!$I:$I,$A23)</f>
        <v>0</v>
      </c>
      <c r="O23" s="33">
        <f>SUMIFS('Bilateral assistance, MAIN DATA'!$M:$M,'Bilateral assistance, MAIN DATA'!$B:$B,O$1, 'Bilateral assistance, MAIN DATA'!$I:$I,$A23)</f>
        <v>0</v>
      </c>
      <c r="P23" s="33">
        <f>SUMIFS('Bilateral assistance, MAIN DATA'!$M:$M,'Bilateral assistance, MAIN DATA'!$B:$B,P$1, 'Bilateral assistance, MAIN DATA'!$I:$I,$A23)</f>
        <v>0</v>
      </c>
      <c r="Q23" s="33">
        <f>SUMIFS('Bilateral assistance, MAIN DATA'!$M:$M,'Bilateral assistance, MAIN DATA'!$B:$B,Q$1, 'Bilateral assistance, MAIN DATA'!$I:$I,$A23)</f>
        <v>0</v>
      </c>
      <c r="R23" s="33">
        <f>SUMIFS('Bilateral assistance, MAIN DATA'!$M:$M,'Bilateral assistance, MAIN DATA'!$B:$B,R$1, 'Bilateral assistance, MAIN DATA'!$I:$I,$A23)</f>
        <v>0</v>
      </c>
      <c r="S23" s="33">
        <f>SUMIFS('Bilateral assistance, MAIN DATA'!$M:$M,'Bilateral assistance, MAIN DATA'!$B:$B,S$1, 'Bilateral assistance, MAIN DATA'!$I:$I,$A23)</f>
        <v>0</v>
      </c>
      <c r="T23" s="33">
        <f>SUMIFS('Bilateral assistance, MAIN DATA'!$M:$M,'Bilateral assistance, MAIN DATA'!$B:$B,T$1, 'Bilateral assistance, MAIN DATA'!$I:$I,$A23)</f>
        <v>24</v>
      </c>
      <c r="U23" s="33">
        <f>SUMIFS('Bilateral assistance, MAIN DATA'!$M:$M,'Bilateral assistance, MAIN DATA'!$B:$B,U$1, 'Bilateral assistance, MAIN DATA'!$I:$I,$A23)</f>
        <v>0</v>
      </c>
      <c r="V23" s="33">
        <f>SUMIFS('Bilateral assistance, MAIN DATA'!$M:$M,'Bilateral assistance, MAIN DATA'!$B:$B,V$1, 'Bilateral assistance, MAIN DATA'!$I:$I,$A23)</f>
        <v>0</v>
      </c>
      <c r="W23" s="33">
        <f>SUMIFS('Bilateral assistance, MAIN DATA'!$M:$M,'Bilateral assistance, MAIN DATA'!$B:$B,W$1, 'Bilateral assistance, MAIN DATA'!$I:$I,$A23)</f>
        <v>0</v>
      </c>
      <c r="X23" s="33">
        <f>SUMIFS('Bilateral assistance, MAIN DATA'!$M:$M,'Bilateral assistance, MAIN DATA'!$B:$B,X$1, 'Bilateral assistance, MAIN DATA'!$I:$I,$A23)</f>
        <v>0</v>
      </c>
      <c r="Y23" s="33">
        <f>SUMIFS('Bilateral assistance, MAIN DATA'!$M:$M,'Bilateral assistance, MAIN DATA'!$B:$B,Y$1, 'Bilateral assistance, MAIN DATA'!$I:$I,$A23)</f>
        <v>0</v>
      </c>
      <c r="Z23" s="33">
        <f>SUMIFS('Bilateral assistance, MAIN DATA'!$M:$M,'Bilateral assistance, MAIN DATA'!$B:$B,Z$1, 'Bilateral assistance, MAIN DATA'!$I:$I,$A23)</f>
        <v>0</v>
      </c>
      <c r="AA23" s="33">
        <f>SUMIFS('Bilateral assistance, MAIN DATA'!$M:$M,'Bilateral assistance, MAIN DATA'!$B:$B,AA$1, 'Bilateral assistance, MAIN DATA'!$I:$I,$A23)</f>
        <v>0</v>
      </c>
      <c r="AB23" s="33">
        <f>SUMIFS('Bilateral assistance, MAIN DATA'!$M:$M,'Bilateral assistance, MAIN DATA'!$B:$B,AB$1, 'Bilateral assistance, MAIN DATA'!$I:$I,$A23)</f>
        <v>0</v>
      </c>
      <c r="AC23" s="33">
        <f>SUMIFS('Bilateral assistance, MAIN DATA'!$M:$M,'Bilateral assistance, MAIN DATA'!$B:$B,AC$1, 'Bilateral assistance, MAIN DATA'!$I:$I,$A23)</f>
        <v>0</v>
      </c>
      <c r="AD23" s="33">
        <f>SUMIFS('Bilateral assistance, MAIN DATA'!$M:$M,'Bilateral assistance, MAIN DATA'!$B:$B,AD$1, 'Bilateral assistance, MAIN DATA'!$I:$I,$A23)</f>
        <v>0</v>
      </c>
      <c r="AE23" s="33">
        <f>SUMIFS('Bilateral assistance, MAIN DATA'!$M:$M,'Bilateral assistance, MAIN DATA'!$B:$B,AE$1, 'Bilateral assistance, MAIN DATA'!$I:$I,$A23)</f>
        <v>0</v>
      </c>
      <c r="AF23" s="33">
        <f>SUMIFS('Bilateral assistance, MAIN DATA'!$M:$M,'Bilateral assistance, MAIN DATA'!$B:$B,AF$1, 'Bilateral assistance, MAIN DATA'!$I:$I,$A23)</f>
        <v>0</v>
      </c>
      <c r="AG23" s="33">
        <f>SUMIFS('Bilateral assistance, MAIN DATA'!$M:$M,'Bilateral assistance, MAIN DATA'!$B:$B,AG$1, 'Bilateral assistance, MAIN DATA'!$I:$I,$A23)</f>
        <v>0</v>
      </c>
      <c r="AH23" s="33">
        <f>SUMIFS('Bilateral assistance, MAIN DATA'!$M:$M,'Bilateral assistance, MAIN DATA'!$B:$B,AH$1, 'Bilateral assistance, MAIN DATA'!$I:$I,$A23)</f>
        <v>0</v>
      </c>
      <c r="AI23" s="33">
        <f>SUMIFS('Bilateral assistance, MAIN DATA'!$M:$M,'Bilateral assistance, MAIN DATA'!$B:$B,AI$1, 'Bilateral assistance, MAIN DATA'!$I:$I,$A23)</f>
        <v>0</v>
      </c>
      <c r="AJ23" s="33">
        <f>SUMIFS('Bilateral assistance, MAIN DATA'!$M:$M,'Bilateral assistance, MAIN DATA'!$B:$B,AJ$1, 'Bilateral assistance, MAIN DATA'!$I:$I,$A23)</f>
        <v>0</v>
      </c>
      <c r="AK23" s="33">
        <f>SUMIFS('Bilateral assistance, MAIN DATA'!$M:$M,'Bilateral assistance, MAIN DATA'!$B:$B,AK$1, 'Bilateral assistance, MAIN DATA'!$I:$I,$A23)</f>
        <v>0</v>
      </c>
      <c r="AL23" s="33">
        <f>SUMIFS('Bilateral assistance, MAIN DATA'!$M:$M,'Bilateral assistance, MAIN DATA'!$B:$B,AL$1, 'Bilateral assistance, MAIN DATA'!$I:$I,$A23)</f>
        <v>0</v>
      </c>
      <c r="AM23" s="33">
        <f>SUMIFS('Bilateral assistance, MAIN DATA'!$M:$M,'Bilateral assistance, MAIN DATA'!$B:$B,AM$1, 'Bilateral assistance, MAIN DATA'!$I:$I,$A23)</f>
        <v>0</v>
      </c>
      <c r="AN23" s="33">
        <f>SUMIFS('Bilateral assistance, MAIN DATA'!$M:$M,'Bilateral assistance, MAIN DATA'!$B:$B,AN$1, 'Bilateral assistance, MAIN DATA'!$I:$I,$A23)</f>
        <v>0</v>
      </c>
      <c r="AO23" s="33">
        <f>SUMIFS('Bilateral assistance, MAIN DATA'!$M:$M,'Bilateral assistance, MAIN DATA'!$B:$B,AO$1, 'Bilateral assistance, MAIN DATA'!$I:$I,$A23)</f>
        <v>0</v>
      </c>
      <c r="AP23" s="33">
        <f>SUMIFS('Bilateral assistance, MAIN DATA'!$M:$M,'Bilateral assistance, MAIN DATA'!$B:$B,AP$1, 'Bilateral assistance, MAIN DATA'!$I:$I,$A23)</f>
        <v>0</v>
      </c>
      <c r="AQ23" s="33">
        <f>SUMIFS('Bilateral assistance, MAIN DATA'!$M:$M,'Bilateral assistance, MAIN DATA'!$B:$B,AQ$1, 'Bilateral assistance, MAIN DATA'!$I:$I,$A23)</f>
        <v>0</v>
      </c>
      <c r="AR23" s="33">
        <f>SUMIFS('Bilateral assistance, MAIN DATA'!$M:$M,'Bilateral assistance, MAIN DATA'!$B:$B,AR$1, 'Bilateral assistance, MAIN DATA'!$I:$I,$A23)</f>
        <v>0</v>
      </c>
      <c r="AS23" s="33">
        <f>SUMIFS('Bilateral assistance, MAIN DATA'!$M:$M,'Bilateral assistance, MAIN DATA'!$B:$B,AS$1, 'Bilateral assistance, MAIN DATA'!$I:$I,$A23)</f>
        <v>0</v>
      </c>
    </row>
    <row r="24" spans="1:45">
      <c r="A24" s="27" t="s">
        <v>4151</v>
      </c>
      <c r="B24" s="33">
        <f t="shared" si="0"/>
        <v>0</v>
      </c>
      <c r="C24" s="645" t="s">
        <v>2234</v>
      </c>
      <c r="D24" s="33" t="s">
        <v>4150</v>
      </c>
      <c r="F24" s="33">
        <f>SUMIFS('Bilateral assistance, MAIN DATA'!$M:$M,'Bilateral assistance, MAIN DATA'!$B:$B,F$1, 'Bilateral assistance, MAIN DATA'!$I:$I,$A24)</f>
        <v>0</v>
      </c>
      <c r="G24" s="33">
        <f>SUMIFS('Bilateral assistance, MAIN DATA'!$M:$M,'Bilateral assistance, MAIN DATA'!$B:$B,G$1, 'Bilateral assistance, MAIN DATA'!$I:$I,$A24)</f>
        <v>0</v>
      </c>
      <c r="H24" s="33">
        <f>SUMIFS('Bilateral assistance, MAIN DATA'!$M:$M,'Bilateral assistance, MAIN DATA'!$B:$B,H$1, 'Bilateral assistance, MAIN DATA'!$I:$I,$A24)</f>
        <v>0</v>
      </c>
      <c r="I24" s="33">
        <f>SUMIFS('Bilateral assistance, MAIN DATA'!$M:$M,'Bilateral assistance, MAIN DATA'!$B:$B,I$1, 'Bilateral assistance, MAIN DATA'!$I:$I,$A24)</f>
        <v>0</v>
      </c>
      <c r="J24" s="33">
        <f>SUMIFS('Bilateral assistance, MAIN DATA'!$M:$M,'Bilateral assistance, MAIN DATA'!$B:$B,J$1, 'Bilateral assistance, MAIN DATA'!$I:$I,$A24)</f>
        <v>0</v>
      </c>
      <c r="K24" s="33">
        <f>SUMIFS('Bilateral assistance, MAIN DATA'!$M:$M,'Bilateral assistance, MAIN DATA'!$B:$B,K$1, 'Bilateral assistance, MAIN DATA'!$I:$I,$A24)</f>
        <v>0</v>
      </c>
      <c r="L24" s="33">
        <f>SUMIFS('Bilateral assistance, MAIN DATA'!$M:$M,'Bilateral assistance, MAIN DATA'!$B:$B,L$1, 'Bilateral assistance, MAIN DATA'!$I:$I,$A24)</f>
        <v>0</v>
      </c>
      <c r="M24" s="33">
        <f>SUMIFS('Bilateral assistance, MAIN DATA'!$M:$M,'Bilateral assistance, MAIN DATA'!$B:$B,M$1, 'Bilateral assistance, MAIN DATA'!$I:$I,$A24)</f>
        <v>0</v>
      </c>
      <c r="N24" s="33">
        <f>SUMIFS('Bilateral assistance, MAIN DATA'!$M:$M,'Bilateral assistance, MAIN DATA'!$B:$B,N$1, 'Bilateral assistance, MAIN DATA'!$I:$I,$A24)</f>
        <v>0</v>
      </c>
      <c r="O24" s="33">
        <f>SUMIFS('Bilateral assistance, MAIN DATA'!$M:$M,'Bilateral assistance, MAIN DATA'!$B:$B,O$1, 'Bilateral assistance, MAIN DATA'!$I:$I,$A24)</f>
        <v>0</v>
      </c>
      <c r="P24" s="33">
        <f>SUMIFS('Bilateral assistance, MAIN DATA'!$M:$M,'Bilateral assistance, MAIN DATA'!$B:$B,P$1, 'Bilateral assistance, MAIN DATA'!$I:$I,$A24)</f>
        <v>0</v>
      </c>
      <c r="Q24" s="33">
        <f>SUMIFS('Bilateral assistance, MAIN DATA'!$M:$M,'Bilateral assistance, MAIN DATA'!$B:$B,Q$1, 'Bilateral assistance, MAIN DATA'!$I:$I,$A24)</f>
        <v>0</v>
      </c>
      <c r="R24" s="33">
        <f>SUMIFS('Bilateral assistance, MAIN DATA'!$M:$M,'Bilateral assistance, MAIN DATA'!$B:$B,R$1, 'Bilateral assistance, MAIN DATA'!$I:$I,$A24)</f>
        <v>0</v>
      </c>
      <c r="S24" s="33">
        <f>SUMIFS('Bilateral assistance, MAIN DATA'!$M:$M,'Bilateral assistance, MAIN DATA'!$B:$B,S$1, 'Bilateral assistance, MAIN DATA'!$I:$I,$A24)</f>
        <v>0</v>
      </c>
      <c r="T24" s="33">
        <f>SUMIFS('Bilateral assistance, MAIN DATA'!$M:$M,'Bilateral assistance, MAIN DATA'!$B:$B,T$1, 'Bilateral assistance, MAIN DATA'!$I:$I,$A24)</f>
        <v>0</v>
      </c>
      <c r="U24" s="33">
        <f>SUMIFS('Bilateral assistance, MAIN DATA'!$M:$M,'Bilateral assistance, MAIN DATA'!$B:$B,U$1, 'Bilateral assistance, MAIN DATA'!$I:$I,$A24)</f>
        <v>0</v>
      </c>
      <c r="V24" s="33">
        <f>SUMIFS('Bilateral assistance, MAIN DATA'!$M:$M,'Bilateral assistance, MAIN DATA'!$B:$B,V$1, 'Bilateral assistance, MAIN DATA'!$I:$I,$A24)</f>
        <v>0</v>
      </c>
      <c r="W24" s="33">
        <f>SUMIFS('Bilateral assistance, MAIN DATA'!$M:$M,'Bilateral assistance, MAIN DATA'!$B:$B,W$1, 'Bilateral assistance, MAIN DATA'!$I:$I,$A24)</f>
        <v>0</v>
      </c>
      <c r="X24" s="33">
        <f>SUMIFS('Bilateral assistance, MAIN DATA'!$M:$M,'Bilateral assistance, MAIN DATA'!$B:$B,X$1, 'Bilateral assistance, MAIN DATA'!$I:$I,$A24)</f>
        <v>0</v>
      </c>
      <c r="Y24" s="33">
        <f>SUMIFS('Bilateral assistance, MAIN DATA'!$M:$M,'Bilateral assistance, MAIN DATA'!$B:$B,Y$1, 'Bilateral assistance, MAIN DATA'!$I:$I,$A24)</f>
        <v>0</v>
      </c>
      <c r="Z24" s="33">
        <f>SUMIFS('Bilateral assistance, MAIN DATA'!$M:$M,'Bilateral assistance, MAIN DATA'!$B:$B,Z$1, 'Bilateral assistance, MAIN DATA'!$I:$I,$A24)</f>
        <v>0</v>
      </c>
      <c r="AA24" s="33">
        <f>SUMIFS('Bilateral assistance, MAIN DATA'!$M:$M,'Bilateral assistance, MAIN DATA'!$B:$B,AA$1, 'Bilateral assistance, MAIN DATA'!$I:$I,$A24)</f>
        <v>0</v>
      </c>
      <c r="AB24" s="33">
        <f>SUMIFS('Bilateral assistance, MAIN DATA'!$M:$M,'Bilateral assistance, MAIN DATA'!$B:$B,AB$1, 'Bilateral assistance, MAIN DATA'!$I:$I,$A24)</f>
        <v>0</v>
      </c>
      <c r="AC24" s="33">
        <f>SUMIFS('Bilateral assistance, MAIN DATA'!$M:$M,'Bilateral assistance, MAIN DATA'!$B:$B,AC$1, 'Bilateral assistance, MAIN DATA'!$I:$I,$A24)</f>
        <v>0</v>
      </c>
      <c r="AD24" s="33">
        <f>SUMIFS('Bilateral assistance, MAIN DATA'!$M:$M,'Bilateral assistance, MAIN DATA'!$B:$B,AD$1, 'Bilateral assistance, MAIN DATA'!$I:$I,$A24)</f>
        <v>0</v>
      </c>
      <c r="AE24" s="33">
        <f>SUMIFS('Bilateral assistance, MAIN DATA'!$M:$M,'Bilateral assistance, MAIN DATA'!$B:$B,AE$1, 'Bilateral assistance, MAIN DATA'!$I:$I,$A24)</f>
        <v>0</v>
      </c>
      <c r="AF24" s="33">
        <f>SUMIFS('Bilateral assistance, MAIN DATA'!$M:$M,'Bilateral assistance, MAIN DATA'!$B:$B,AF$1, 'Bilateral assistance, MAIN DATA'!$I:$I,$A24)</f>
        <v>0</v>
      </c>
      <c r="AG24" s="33">
        <f>SUMIFS('Bilateral assistance, MAIN DATA'!$M:$M,'Bilateral assistance, MAIN DATA'!$B:$B,AG$1, 'Bilateral assistance, MAIN DATA'!$I:$I,$A24)</f>
        <v>0</v>
      </c>
      <c r="AH24" s="33">
        <f>SUMIFS('Bilateral assistance, MAIN DATA'!$M:$M,'Bilateral assistance, MAIN DATA'!$B:$B,AH$1, 'Bilateral assistance, MAIN DATA'!$I:$I,$A24)</f>
        <v>0</v>
      </c>
      <c r="AI24" s="33">
        <f>SUMIFS('Bilateral assistance, MAIN DATA'!$M:$M,'Bilateral assistance, MAIN DATA'!$B:$B,AI$1, 'Bilateral assistance, MAIN DATA'!$I:$I,$A24)</f>
        <v>0</v>
      </c>
      <c r="AJ24" s="33">
        <f>SUMIFS('Bilateral assistance, MAIN DATA'!$M:$M,'Bilateral assistance, MAIN DATA'!$B:$B,AJ$1, 'Bilateral assistance, MAIN DATA'!$I:$I,$A24)</f>
        <v>0</v>
      </c>
      <c r="AK24" s="33">
        <f>SUMIFS('Bilateral assistance, MAIN DATA'!$M:$M,'Bilateral assistance, MAIN DATA'!$B:$B,AK$1, 'Bilateral assistance, MAIN DATA'!$I:$I,$A24)</f>
        <v>0</v>
      </c>
      <c r="AL24" s="33">
        <f>SUMIFS('Bilateral assistance, MAIN DATA'!$M:$M,'Bilateral assistance, MAIN DATA'!$B:$B,AL$1, 'Bilateral assistance, MAIN DATA'!$I:$I,$A24)</f>
        <v>0</v>
      </c>
      <c r="AM24" s="33">
        <f>SUMIFS('Bilateral assistance, MAIN DATA'!$M:$M,'Bilateral assistance, MAIN DATA'!$B:$B,AM$1, 'Bilateral assistance, MAIN DATA'!$I:$I,$A24)</f>
        <v>0</v>
      </c>
      <c r="AN24" s="33">
        <f>SUMIFS('Bilateral assistance, MAIN DATA'!$M:$M,'Bilateral assistance, MAIN DATA'!$B:$B,AN$1, 'Bilateral assistance, MAIN DATA'!$I:$I,$A24)</f>
        <v>0</v>
      </c>
      <c r="AO24" s="33">
        <f>SUMIFS('Bilateral assistance, MAIN DATA'!$M:$M,'Bilateral assistance, MAIN DATA'!$B:$B,AO$1, 'Bilateral assistance, MAIN DATA'!$I:$I,$A24)</f>
        <v>0</v>
      </c>
      <c r="AP24" s="33">
        <f>SUMIFS('Bilateral assistance, MAIN DATA'!$M:$M,'Bilateral assistance, MAIN DATA'!$B:$B,AP$1, 'Bilateral assistance, MAIN DATA'!$I:$I,$A24)</f>
        <v>0</v>
      </c>
      <c r="AQ24" s="33">
        <f>SUMIFS('Bilateral assistance, MAIN DATA'!$M:$M,'Bilateral assistance, MAIN DATA'!$B:$B,AQ$1, 'Bilateral assistance, MAIN DATA'!$I:$I,$A24)</f>
        <v>0</v>
      </c>
      <c r="AR24" s="33">
        <f>SUMIFS('Bilateral assistance, MAIN DATA'!$M:$M,'Bilateral assistance, MAIN DATA'!$B:$B,AR$1, 'Bilateral assistance, MAIN DATA'!$I:$I,$A24)</f>
        <v>0</v>
      </c>
      <c r="AS24" s="33">
        <f>SUMIFS('Bilateral assistance, MAIN DATA'!$M:$M,'Bilateral assistance, MAIN DATA'!$B:$B,AS$1, 'Bilateral assistance, MAIN DATA'!$I:$I,$A24)</f>
        <v>0</v>
      </c>
    </row>
    <row r="25" spans="1:45">
      <c r="A25" s="27" t="s">
        <v>1933</v>
      </c>
      <c r="B25" s="33">
        <f t="shared" si="0"/>
        <v>18</v>
      </c>
      <c r="C25" s="645" t="s">
        <v>2234</v>
      </c>
      <c r="D25" s="33" t="s">
        <v>4150</v>
      </c>
      <c r="F25" s="33">
        <f>SUMIFS('Bilateral assistance, MAIN DATA'!$M:$M,'Bilateral assistance, MAIN DATA'!$B:$B,F$1, 'Bilateral assistance, MAIN DATA'!$I:$I,$A25)</f>
        <v>0</v>
      </c>
      <c r="G25" s="33">
        <f>SUMIFS('Bilateral assistance, MAIN DATA'!$M:$M,'Bilateral assistance, MAIN DATA'!$B:$B,G$1, 'Bilateral assistance, MAIN DATA'!$I:$I,$A25)</f>
        <v>0</v>
      </c>
      <c r="H25" s="33">
        <f>SUMIFS('Bilateral assistance, MAIN DATA'!$M:$M,'Bilateral assistance, MAIN DATA'!$B:$B,H$1, 'Bilateral assistance, MAIN DATA'!$I:$I,$A25)</f>
        <v>0</v>
      </c>
      <c r="I25" s="33">
        <f>SUMIFS('Bilateral assistance, MAIN DATA'!$M:$M,'Bilateral assistance, MAIN DATA'!$B:$B,I$1, 'Bilateral assistance, MAIN DATA'!$I:$I,$A25)</f>
        <v>0</v>
      </c>
      <c r="J25" s="33">
        <f>SUMIFS('Bilateral assistance, MAIN DATA'!$M:$M,'Bilateral assistance, MAIN DATA'!$B:$B,J$1, 'Bilateral assistance, MAIN DATA'!$I:$I,$A25)</f>
        <v>0</v>
      </c>
      <c r="K25" s="33">
        <f>SUMIFS('Bilateral assistance, MAIN DATA'!$M:$M,'Bilateral assistance, MAIN DATA'!$B:$B,K$1, 'Bilateral assistance, MAIN DATA'!$I:$I,$A25)</f>
        <v>0</v>
      </c>
      <c r="L25" s="33">
        <f>SUMIFS('Bilateral assistance, MAIN DATA'!$M:$M,'Bilateral assistance, MAIN DATA'!$B:$B,L$1, 'Bilateral assistance, MAIN DATA'!$I:$I,$A25)</f>
        <v>0</v>
      </c>
      <c r="M25" s="33">
        <f>SUMIFS('Bilateral assistance, MAIN DATA'!$M:$M,'Bilateral assistance, MAIN DATA'!$B:$B,M$1, 'Bilateral assistance, MAIN DATA'!$I:$I,$A25)</f>
        <v>0</v>
      </c>
      <c r="N25" s="33">
        <f>SUMIFS('Bilateral assistance, MAIN DATA'!$M:$M,'Bilateral assistance, MAIN DATA'!$B:$B,N$1, 'Bilateral assistance, MAIN DATA'!$I:$I,$A25)</f>
        <v>0</v>
      </c>
      <c r="O25" s="33">
        <f>SUMIFS('Bilateral assistance, MAIN DATA'!$M:$M,'Bilateral assistance, MAIN DATA'!$B:$B,O$1, 'Bilateral assistance, MAIN DATA'!$I:$I,$A25)</f>
        <v>0</v>
      </c>
      <c r="P25" s="33">
        <f>SUMIFS('Bilateral assistance, MAIN DATA'!$M:$M,'Bilateral assistance, MAIN DATA'!$B:$B,P$1, 'Bilateral assistance, MAIN DATA'!$I:$I,$A25)</f>
        <v>0</v>
      </c>
      <c r="Q25" s="33">
        <f>SUMIFS('Bilateral assistance, MAIN DATA'!$M:$M,'Bilateral assistance, MAIN DATA'!$B:$B,Q$1, 'Bilateral assistance, MAIN DATA'!$I:$I,$A25)</f>
        <v>0</v>
      </c>
      <c r="R25" s="33">
        <f>SUMIFS('Bilateral assistance, MAIN DATA'!$M:$M,'Bilateral assistance, MAIN DATA'!$B:$B,R$1, 'Bilateral assistance, MAIN DATA'!$I:$I,$A25)</f>
        <v>0</v>
      </c>
      <c r="S25" s="33">
        <f>SUMIFS('Bilateral assistance, MAIN DATA'!$M:$M,'Bilateral assistance, MAIN DATA'!$B:$B,S$1, 'Bilateral assistance, MAIN DATA'!$I:$I,$A25)</f>
        <v>0</v>
      </c>
      <c r="T25" s="33">
        <f>SUMIFS('Bilateral assistance, MAIN DATA'!$M:$M,'Bilateral assistance, MAIN DATA'!$B:$B,T$1, 'Bilateral assistance, MAIN DATA'!$I:$I,$A25)</f>
        <v>0</v>
      </c>
      <c r="U25" s="33">
        <f>SUMIFS('Bilateral assistance, MAIN DATA'!$M:$M,'Bilateral assistance, MAIN DATA'!$B:$B,U$1, 'Bilateral assistance, MAIN DATA'!$I:$I,$A25)</f>
        <v>0</v>
      </c>
      <c r="V25" s="33">
        <f>SUMIFS('Bilateral assistance, MAIN DATA'!$M:$M,'Bilateral assistance, MAIN DATA'!$B:$B,V$1, 'Bilateral assistance, MAIN DATA'!$I:$I,$A25)</f>
        <v>0</v>
      </c>
      <c r="W25" s="33">
        <f>SUMIFS('Bilateral assistance, MAIN DATA'!$M:$M,'Bilateral assistance, MAIN DATA'!$B:$B,W$1, 'Bilateral assistance, MAIN DATA'!$I:$I,$A25)</f>
        <v>0</v>
      </c>
      <c r="X25" s="33">
        <f>SUMIFS('Bilateral assistance, MAIN DATA'!$M:$M,'Bilateral assistance, MAIN DATA'!$B:$B,X$1, 'Bilateral assistance, MAIN DATA'!$I:$I,$A25)</f>
        <v>0</v>
      </c>
      <c r="Y25" s="33">
        <f>SUMIFS('Bilateral assistance, MAIN DATA'!$M:$M,'Bilateral assistance, MAIN DATA'!$B:$B,Y$1, 'Bilateral assistance, MAIN DATA'!$I:$I,$A25)</f>
        <v>0</v>
      </c>
      <c r="Z25" s="33">
        <f>SUMIFS('Bilateral assistance, MAIN DATA'!$M:$M,'Bilateral assistance, MAIN DATA'!$B:$B,Z$1, 'Bilateral assistance, MAIN DATA'!$I:$I,$A25)</f>
        <v>0</v>
      </c>
      <c r="AA25" s="33">
        <f>SUMIFS('Bilateral assistance, MAIN DATA'!$M:$M,'Bilateral assistance, MAIN DATA'!$B:$B,AA$1, 'Bilateral assistance, MAIN DATA'!$I:$I,$A25)</f>
        <v>0</v>
      </c>
      <c r="AB25" s="33">
        <f>SUMIFS('Bilateral assistance, MAIN DATA'!$M:$M,'Bilateral assistance, MAIN DATA'!$B:$B,AB$1, 'Bilateral assistance, MAIN DATA'!$I:$I,$A25)</f>
        <v>0</v>
      </c>
      <c r="AC25" s="33">
        <f>SUMIFS('Bilateral assistance, MAIN DATA'!$M:$M,'Bilateral assistance, MAIN DATA'!$B:$B,AC$1, 'Bilateral assistance, MAIN DATA'!$I:$I,$A25)</f>
        <v>0</v>
      </c>
      <c r="AD25" s="33">
        <f>SUMIFS('Bilateral assistance, MAIN DATA'!$M:$M,'Bilateral assistance, MAIN DATA'!$B:$B,AD$1, 'Bilateral assistance, MAIN DATA'!$I:$I,$A25)</f>
        <v>0</v>
      </c>
      <c r="AE25" s="33">
        <f>SUMIFS('Bilateral assistance, MAIN DATA'!$M:$M,'Bilateral assistance, MAIN DATA'!$B:$B,AE$1, 'Bilateral assistance, MAIN DATA'!$I:$I,$A25)</f>
        <v>0</v>
      </c>
      <c r="AF25" s="33">
        <f>SUMIFS('Bilateral assistance, MAIN DATA'!$M:$M,'Bilateral assistance, MAIN DATA'!$B:$B,AF$1, 'Bilateral assistance, MAIN DATA'!$I:$I,$A25)</f>
        <v>0</v>
      </c>
      <c r="AG25" s="33">
        <f>SUMIFS('Bilateral assistance, MAIN DATA'!$M:$M,'Bilateral assistance, MAIN DATA'!$B:$B,AG$1, 'Bilateral assistance, MAIN DATA'!$I:$I,$A25)</f>
        <v>0</v>
      </c>
      <c r="AH25" s="33">
        <f>SUMIFS('Bilateral assistance, MAIN DATA'!$M:$M,'Bilateral assistance, MAIN DATA'!$B:$B,AH$1, 'Bilateral assistance, MAIN DATA'!$I:$I,$A25)</f>
        <v>18</v>
      </c>
      <c r="AI25" s="33">
        <f>SUMIFS('Bilateral assistance, MAIN DATA'!$M:$M,'Bilateral assistance, MAIN DATA'!$B:$B,AI$1, 'Bilateral assistance, MAIN DATA'!$I:$I,$A25)</f>
        <v>0</v>
      </c>
      <c r="AJ25" s="33">
        <f>SUMIFS('Bilateral assistance, MAIN DATA'!$M:$M,'Bilateral assistance, MAIN DATA'!$B:$B,AJ$1, 'Bilateral assistance, MAIN DATA'!$I:$I,$A25)</f>
        <v>0</v>
      </c>
      <c r="AK25" s="33">
        <f>SUMIFS('Bilateral assistance, MAIN DATA'!$M:$M,'Bilateral assistance, MAIN DATA'!$B:$B,AK$1, 'Bilateral assistance, MAIN DATA'!$I:$I,$A25)</f>
        <v>0</v>
      </c>
      <c r="AL25" s="33">
        <f>SUMIFS('Bilateral assistance, MAIN DATA'!$M:$M,'Bilateral assistance, MAIN DATA'!$B:$B,AL$1, 'Bilateral assistance, MAIN DATA'!$I:$I,$A25)</f>
        <v>0</v>
      </c>
      <c r="AM25" s="33">
        <f>SUMIFS('Bilateral assistance, MAIN DATA'!$M:$M,'Bilateral assistance, MAIN DATA'!$B:$B,AM$1, 'Bilateral assistance, MAIN DATA'!$I:$I,$A25)</f>
        <v>0</v>
      </c>
      <c r="AN25" s="33">
        <f>SUMIFS('Bilateral assistance, MAIN DATA'!$M:$M,'Bilateral assistance, MAIN DATA'!$B:$B,AN$1, 'Bilateral assistance, MAIN DATA'!$I:$I,$A25)</f>
        <v>0</v>
      </c>
      <c r="AO25" s="33">
        <f>SUMIFS('Bilateral assistance, MAIN DATA'!$M:$M,'Bilateral assistance, MAIN DATA'!$B:$B,AO$1, 'Bilateral assistance, MAIN DATA'!$I:$I,$A25)</f>
        <v>0</v>
      </c>
      <c r="AP25" s="33">
        <f>SUMIFS('Bilateral assistance, MAIN DATA'!$M:$M,'Bilateral assistance, MAIN DATA'!$B:$B,AP$1, 'Bilateral assistance, MAIN DATA'!$I:$I,$A25)</f>
        <v>0</v>
      </c>
      <c r="AQ25" s="33">
        <f>SUMIFS('Bilateral assistance, MAIN DATA'!$M:$M,'Bilateral assistance, MAIN DATA'!$B:$B,AQ$1, 'Bilateral assistance, MAIN DATA'!$I:$I,$A25)</f>
        <v>0</v>
      </c>
      <c r="AR25" s="33">
        <f>SUMIFS('Bilateral assistance, MAIN DATA'!$M:$M,'Bilateral assistance, MAIN DATA'!$B:$B,AR$1, 'Bilateral assistance, MAIN DATA'!$I:$I,$A25)</f>
        <v>0</v>
      </c>
      <c r="AS25" s="33">
        <f>SUMIFS('Bilateral assistance, MAIN DATA'!$M:$M,'Bilateral assistance, MAIN DATA'!$B:$B,AS$1, 'Bilateral assistance, MAIN DATA'!$I:$I,$A25)</f>
        <v>0</v>
      </c>
    </row>
    <row r="26" spans="1:45">
      <c r="A26" s="27" t="s">
        <v>1990</v>
      </c>
      <c r="B26" s="33">
        <f t="shared" si="0"/>
        <v>5</v>
      </c>
      <c r="C26" s="645" t="s">
        <v>2234</v>
      </c>
      <c r="D26" s="33" t="s">
        <v>4150</v>
      </c>
      <c r="F26" s="33">
        <f>SUMIFS('Bilateral assistance, MAIN DATA'!$M:$M,'Bilateral assistance, MAIN DATA'!$B:$B,F$1, 'Bilateral assistance, MAIN DATA'!$I:$I,$A26)</f>
        <v>0</v>
      </c>
      <c r="G26" s="33">
        <f>SUMIFS('Bilateral assistance, MAIN DATA'!$M:$M,'Bilateral assistance, MAIN DATA'!$B:$B,G$1, 'Bilateral assistance, MAIN DATA'!$I:$I,$A26)</f>
        <v>0</v>
      </c>
      <c r="H26" s="33">
        <f>SUMIFS('Bilateral assistance, MAIN DATA'!$M:$M,'Bilateral assistance, MAIN DATA'!$B:$B,H$1, 'Bilateral assistance, MAIN DATA'!$I:$I,$A26)</f>
        <v>0</v>
      </c>
      <c r="I26" s="33">
        <f>SUMIFS('Bilateral assistance, MAIN DATA'!$M:$M,'Bilateral assistance, MAIN DATA'!$B:$B,I$1, 'Bilateral assistance, MAIN DATA'!$I:$I,$A26)</f>
        <v>0</v>
      </c>
      <c r="J26" s="33">
        <f>SUMIFS('Bilateral assistance, MAIN DATA'!$M:$M,'Bilateral assistance, MAIN DATA'!$B:$B,J$1, 'Bilateral assistance, MAIN DATA'!$I:$I,$A26)</f>
        <v>0</v>
      </c>
      <c r="K26" s="33">
        <f>SUMIFS('Bilateral assistance, MAIN DATA'!$M:$M,'Bilateral assistance, MAIN DATA'!$B:$B,K$1, 'Bilateral assistance, MAIN DATA'!$I:$I,$A26)</f>
        <v>0</v>
      </c>
      <c r="L26" s="33">
        <f>SUMIFS('Bilateral assistance, MAIN DATA'!$M:$M,'Bilateral assistance, MAIN DATA'!$B:$B,L$1, 'Bilateral assistance, MAIN DATA'!$I:$I,$A26)</f>
        <v>0</v>
      </c>
      <c r="M26" s="33">
        <f>SUMIFS('Bilateral assistance, MAIN DATA'!$M:$M,'Bilateral assistance, MAIN DATA'!$B:$B,M$1, 'Bilateral assistance, MAIN DATA'!$I:$I,$A26)</f>
        <v>0</v>
      </c>
      <c r="N26" s="33">
        <f>SUMIFS('Bilateral assistance, MAIN DATA'!$M:$M,'Bilateral assistance, MAIN DATA'!$B:$B,N$1, 'Bilateral assistance, MAIN DATA'!$I:$I,$A26)</f>
        <v>0</v>
      </c>
      <c r="O26" s="33">
        <f>SUMIFS('Bilateral assistance, MAIN DATA'!$M:$M,'Bilateral assistance, MAIN DATA'!$B:$B,O$1, 'Bilateral assistance, MAIN DATA'!$I:$I,$A26)</f>
        <v>0</v>
      </c>
      <c r="P26" s="33">
        <f>SUMIFS('Bilateral assistance, MAIN DATA'!$M:$M,'Bilateral assistance, MAIN DATA'!$B:$B,P$1, 'Bilateral assistance, MAIN DATA'!$I:$I,$A26)</f>
        <v>0</v>
      </c>
      <c r="Q26" s="33">
        <f>SUMIFS('Bilateral assistance, MAIN DATA'!$M:$M,'Bilateral assistance, MAIN DATA'!$B:$B,Q$1, 'Bilateral assistance, MAIN DATA'!$I:$I,$A26)</f>
        <v>0</v>
      </c>
      <c r="R26" s="33">
        <f>SUMIFS('Bilateral assistance, MAIN DATA'!$M:$M,'Bilateral assistance, MAIN DATA'!$B:$B,R$1, 'Bilateral assistance, MAIN DATA'!$I:$I,$A26)</f>
        <v>0</v>
      </c>
      <c r="S26" s="33">
        <f>SUMIFS('Bilateral assistance, MAIN DATA'!$M:$M,'Bilateral assistance, MAIN DATA'!$B:$B,S$1, 'Bilateral assistance, MAIN DATA'!$I:$I,$A26)</f>
        <v>0</v>
      </c>
      <c r="T26" s="33">
        <f>SUMIFS('Bilateral assistance, MAIN DATA'!$M:$M,'Bilateral assistance, MAIN DATA'!$B:$B,T$1, 'Bilateral assistance, MAIN DATA'!$I:$I,$A26)</f>
        <v>0</v>
      </c>
      <c r="U26" s="33">
        <f>SUMIFS('Bilateral assistance, MAIN DATA'!$M:$M,'Bilateral assistance, MAIN DATA'!$B:$B,U$1, 'Bilateral assistance, MAIN DATA'!$I:$I,$A26)</f>
        <v>0</v>
      </c>
      <c r="V26" s="33">
        <f>SUMIFS('Bilateral assistance, MAIN DATA'!$M:$M,'Bilateral assistance, MAIN DATA'!$B:$B,V$1, 'Bilateral assistance, MAIN DATA'!$I:$I,$A26)</f>
        <v>0</v>
      </c>
      <c r="W26" s="33">
        <f>SUMIFS('Bilateral assistance, MAIN DATA'!$M:$M,'Bilateral assistance, MAIN DATA'!$B:$B,W$1, 'Bilateral assistance, MAIN DATA'!$I:$I,$A26)</f>
        <v>0</v>
      </c>
      <c r="X26" s="33">
        <f>SUMIFS('Bilateral assistance, MAIN DATA'!$M:$M,'Bilateral assistance, MAIN DATA'!$B:$B,X$1, 'Bilateral assistance, MAIN DATA'!$I:$I,$A26)</f>
        <v>0</v>
      </c>
      <c r="Y26" s="33">
        <f>SUMIFS('Bilateral assistance, MAIN DATA'!$M:$M,'Bilateral assistance, MAIN DATA'!$B:$B,Y$1, 'Bilateral assistance, MAIN DATA'!$I:$I,$A26)</f>
        <v>0</v>
      </c>
      <c r="Z26" s="33">
        <f>SUMIFS('Bilateral assistance, MAIN DATA'!$M:$M,'Bilateral assistance, MAIN DATA'!$B:$B,Z$1, 'Bilateral assistance, MAIN DATA'!$I:$I,$A26)</f>
        <v>0</v>
      </c>
      <c r="AA26" s="33">
        <f>SUMIFS('Bilateral assistance, MAIN DATA'!$M:$M,'Bilateral assistance, MAIN DATA'!$B:$B,AA$1, 'Bilateral assistance, MAIN DATA'!$I:$I,$A26)</f>
        <v>0</v>
      </c>
      <c r="AB26" s="33">
        <f>SUMIFS('Bilateral assistance, MAIN DATA'!$M:$M,'Bilateral assistance, MAIN DATA'!$B:$B,AB$1, 'Bilateral assistance, MAIN DATA'!$I:$I,$A26)</f>
        <v>0</v>
      </c>
      <c r="AC26" s="33">
        <f>SUMIFS('Bilateral assistance, MAIN DATA'!$M:$M,'Bilateral assistance, MAIN DATA'!$B:$B,AC$1, 'Bilateral assistance, MAIN DATA'!$I:$I,$A26)</f>
        <v>0</v>
      </c>
      <c r="AD26" s="33">
        <f>SUMIFS('Bilateral assistance, MAIN DATA'!$M:$M,'Bilateral assistance, MAIN DATA'!$B:$B,AD$1, 'Bilateral assistance, MAIN DATA'!$I:$I,$A26)</f>
        <v>0</v>
      </c>
      <c r="AE26" s="33">
        <f>SUMIFS('Bilateral assistance, MAIN DATA'!$M:$M,'Bilateral assistance, MAIN DATA'!$B:$B,AE$1, 'Bilateral assistance, MAIN DATA'!$I:$I,$A26)</f>
        <v>0</v>
      </c>
      <c r="AF26" s="33">
        <f>SUMIFS('Bilateral assistance, MAIN DATA'!$M:$M,'Bilateral assistance, MAIN DATA'!$B:$B,AF$1, 'Bilateral assistance, MAIN DATA'!$I:$I,$A26)</f>
        <v>0</v>
      </c>
      <c r="AG26" s="33">
        <f>SUMIFS('Bilateral assistance, MAIN DATA'!$M:$M,'Bilateral assistance, MAIN DATA'!$B:$B,AG$1, 'Bilateral assistance, MAIN DATA'!$I:$I,$A26)</f>
        <v>0</v>
      </c>
      <c r="AH26" s="33">
        <f>SUMIFS('Bilateral assistance, MAIN DATA'!$M:$M,'Bilateral assistance, MAIN DATA'!$B:$B,AH$1, 'Bilateral assistance, MAIN DATA'!$I:$I,$A26)</f>
        <v>0</v>
      </c>
      <c r="AI26" s="33">
        <f>SUMIFS('Bilateral assistance, MAIN DATA'!$M:$M,'Bilateral assistance, MAIN DATA'!$B:$B,AI$1, 'Bilateral assistance, MAIN DATA'!$I:$I,$A26)</f>
        <v>5</v>
      </c>
      <c r="AJ26" s="33">
        <f>SUMIFS('Bilateral assistance, MAIN DATA'!$M:$M,'Bilateral assistance, MAIN DATA'!$B:$B,AJ$1, 'Bilateral assistance, MAIN DATA'!$I:$I,$A26)</f>
        <v>0</v>
      </c>
      <c r="AK26" s="33">
        <f>SUMIFS('Bilateral assistance, MAIN DATA'!$M:$M,'Bilateral assistance, MAIN DATA'!$B:$B,AK$1, 'Bilateral assistance, MAIN DATA'!$I:$I,$A26)</f>
        <v>0</v>
      </c>
      <c r="AL26" s="33">
        <f>SUMIFS('Bilateral assistance, MAIN DATA'!$M:$M,'Bilateral assistance, MAIN DATA'!$B:$B,AL$1, 'Bilateral assistance, MAIN DATA'!$I:$I,$A26)</f>
        <v>0</v>
      </c>
      <c r="AM26" s="33">
        <f>SUMIFS('Bilateral assistance, MAIN DATA'!$M:$M,'Bilateral assistance, MAIN DATA'!$B:$B,AM$1, 'Bilateral assistance, MAIN DATA'!$I:$I,$A26)</f>
        <v>0</v>
      </c>
      <c r="AN26" s="33">
        <f>SUMIFS('Bilateral assistance, MAIN DATA'!$M:$M,'Bilateral assistance, MAIN DATA'!$B:$B,AN$1, 'Bilateral assistance, MAIN DATA'!$I:$I,$A26)</f>
        <v>0</v>
      </c>
      <c r="AO26" s="33">
        <f>SUMIFS('Bilateral assistance, MAIN DATA'!$M:$M,'Bilateral assistance, MAIN DATA'!$B:$B,AO$1, 'Bilateral assistance, MAIN DATA'!$I:$I,$A26)</f>
        <v>0</v>
      </c>
      <c r="AP26" s="33">
        <f>SUMIFS('Bilateral assistance, MAIN DATA'!$M:$M,'Bilateral assistance, MAIN DATA'!$B:$B,AP$1, 'Bilateral assistance, MAIN DATA'!$I:$I,$A26)</f>
        <v>0</v>
      </c>
      <c r="AQ26" s="33">
        <f>SUMIFS('Bilateral assistance, MAIN DATA'!$M:$M,'Bilateral assistance, MAIN DATA'!$B:$B,AQ$1, 'Bilateral assistance, MAIN DATA'!$I:$I,$A26)</f>
        <v>0</v>
      </c>
      <c r="AR26" s="33">
        <f>SUMIFS('Bilateral assistance, MAIN DATA'!$M:$M,'Bilateral assistance, MAIN DATA'!$B:$B,AR$1, 'Bilateral assistance, MAIN DATA'!$I:$I,$A26)</f>
        <v>0</v>
      </c>
      <c r="AS26" s="33">
        <f>SUMIFS('Bilateral assistance, MAIN DATA'!$M:$M,'Bilateral assistance, MAIN DATA'!$B:$B,AS$1, 'Bilateral assistance, MAIN DATA'!$I:$I,$A26)</f>
        <v>0</v>
      </c>
    </row>
    <row r="27" spans="1:45">
      <c r="A27" s="27" t="s">
        <v>1240</v>
      </c>
      <c r="B27" s="33">
        <f t="shared" si="0"/>
        <v>28</v>
      </c>
      <c r="C27" s="645" t="s">
        <v>2234</v>
      </c>
      <c r="D27" s="33" t="s">
        <v>4150</v>
      </c>
      <c r="F27" s="33">
        <f>SUMIFS('Bilateral assistance, MAIN DATA'!$M:$M,'Bilateral assistance, MAIN DATA'!$B:$B,F$1, 'Bilateral assistance, MAIN DATA'!$I:$I,$A27)</f>
        <v>0</v>
      </c>
      <c r="G27" s="33">
        <f>SUMIFS('Bilateral assistance, MAIN DATA'!$M:$M,'Bilateral assistance, MAIN DATA'!$B:$B,G$1, 'Bilateral assistance, MAIN DATA'!$I:$I,$A27)</f>
        <v>0</v>
      </c>
      <c r="H27" s="33">
        <f>SUMIFS('Bilateral assistance, MAIN DATA'!$M:$M,'Bilateral assistance, MAIN DATA'!$B:$B,H$1, 'Bilateral assistance, MAIN DATA'!$I:$I,$A27)</f>
        <v>0</v>
      </c>
      <c r="I27" s="33">
        <f>SUMIFS('Bilateral assistance, MAIN DATA'!$M:$M,'Bilateral assistance, MAIN DATA'!$B:$B,I$1, 'Bilateral assistance, MAIN DATA'!$I:$I,$A27)</f>
        <v>0</v>
      </c>
      <c r="J27" s="33">
        <f>SUMIFS('Bilateral assistance, MAIN DATA'!$M:$M,'Bilateral assistance, MAIN DATA'!$B:$B,J$1, 'Bilateral assistance, MAIN DATA'!$I:$I,$A27)</f>
        <v>0</v>
      </c>
      <c r="K27" s="33">
        <f>SUMIFS('Bilateral assistance, MAIN DATA'!$M:$M,'Bilateral assistance, MAIN DATA'!$B:$B,K$1, 'Bilateral assistance, MAIN DATA'!$I:$I,$A27)</f>
        <v>0</v>
      </c>
      <c r="L27" s="33">
        <f>SUMIFS('Bilateral assistance, MAIN DATA'!$M:$M,'Bilateral assistance, MAIN DATA'!$B:$B,L$1, 'Bilateral assistance, MAIN DATA'!$I:$I,$A27)</f>
        <v>0</v>
      </c>
      <c r="M27" s="33">
        <f>SUMIFS('Bilateral assistance, MAIN DATA'!$M:$M,'Bilateral assistance, MAIN DATA'!$B:$B,M$1, 'Bilateral assistance, MAIN DATA'!$I:$I,$A27)</f>
        <v>0</v>
      </c>
      <c r="N27" s="33">
        <f>SUMIFS('Bilateral assistance, MAIN DATA'!$M:$M,'Bilateral assistance, MAIN DATA'!$B:$B,N$1, 'Bilateral assistance, MAIN DATA'!$I:$I,$A27)</f>
        <v>0</v>
      </c>
      <c r="O27" s="33">
        <f>SUMIFS('Bilateral assistance, MAIN DATA'!$M:$M,'Bilateral assistance, MAIN DATA'!$B:$B,O$1, 'Bilateral assistance, MAIN DATA'!$I:$I,$A27)</f>
        <v>0</v>
      </c>
      <c r="P27" s="33">
        <f>SUMIFS('Bilateral assistance, MAIN DATA'!$M:$M,'Bilateral assistance, MAIN DATA'!$B:$B,P$1, 'Bilateral assistance, MAIN DATA'!$I:$I,$A27)</f>
        <v>0</v>
      </c>
      <c r="Q27" s="33">
        <f>SUMIFS('Bilateral assistance, MAIN DATA'!$M:$M,'Bilateral assistance, MAIN DATA'!$B:$B,Q$1, 'Bilateral assistance, MAIN DATA'!$I:$I,$A27)</f>
        <v>0</v>
      </c>
      <c r="R27" s="33">
        <f>SUMIFS('Bilateral assistance, MAIN DATA'!$M:$M,'Bilateral assistance, MAIN DATA'!$B:$B,R$1, 'Bilateral assistance, MAIN DATA'!$I:$I,$A27)</f>
        <v>0</v>
      </c>
      <c r="S27" s="33">
        <f>SUMIFS('Bilateral assistance, MAIN DATA'!$M:$M,'Bilateral assistance, MAIN DATA'!$B:$B,S$1, 'Bilateral assistance, MAIN DATA'!$I:$I,$A27)</f>
        <v>0</v>
      </c>
      <c r="T27" s="33">
        <f>SUMIFS('Bilateral assistance, MAIN DATA'!$M:$M,'Bilateral assistance, MAIN DATA'!$B:$B,T$1, 'Bilateral assistance, MAIN DATA'!$I:$I,$A27)</f>
        <v>0</v>
      </c>
      <c r="U27" s="33">
        <f>SUMIFS('Bilateral assistance, MAIN DATA'!$M:$M,'Bilateral assistance, MAIN DATA'!$B:$B,U$1, 'Bilateral assistance, MAIN DATA'!$I:$I,$A27)</f>
        <v>14</v>
      </c>
      <c r="V27" s="33">
        <f>SUMIFS('Bilateral assistance, MAIN DATA'!$M:$M,'Bilateral assistance, MAIN DATA'!$B:$B,V$1, 'Bilateral assistance, MAIN DATA'!$I:$I,$A27)</f>
        <v>0</v>
      </c>
      <c r="W27" s="33">
        <f>SUMIFS('Bilateral assistance, MAIN DATA'!$M:$M,'Bilateral assistance, MAIN DATA'!$B:$B,W$1, 'Bilateral assistance, MAIN DATA'!$I:$I,$A27)</f>
        <v>0</v>
      </c>
      <c r="X27" s="33">
        <f>SUMIFS('Bilateral assistance, MAIN DATA'!$M:$M,'Bilateral assistance, MAIN DATA'!$B:$B,X$1, 'Bilateral assistance, MAIN DATA'!$I:$I,$A27)</f>
        <v>0</v>
      </c>
      <c r="Y27" s="33">
        <f>SUMIFS('Bilateral assistance, MAIN DATA'!$M:$M,'Bilateral assistance, MAIN DATA'!$B:$B,Y$1, 'Bilateral assistance, MAIN DATA'!$I:$I,$A27)</f>
        <v>6</v>
      </c>
      <c r="Z27" s="33">
        <f>SUMIFS('Bilateral assistance, MAIN DATA'!$M:$M,'Bilateral assistance, MAIN DATA'!$B:$B,Z$1, 'Bilateral assistance, MAIN DATA'!$I:$I,$A27)</f>
        <v>0</v>
      </c>
      <c r="AA27" s="33">
        <f>SUMIFS('Bilateral assistance, MAIN DATA'!$M:$M,'Bilateral assistance, MAIN DATA'!$B:$B,AA$1, 'Bilateral assistance, MAIN DATA'!$I:$I,$A27)</f>
        <v>0</v>
      </c>
      <c r="AB27" s="33">
        <f>SUMIFS('Bilateral assistance, MAIN DATA'!$M:$M,'Bilateral assistance, MAIN DATA'!$B:$B,AB$1, 'Bilateral assistance, MAIN DATA'!$I:$I,$A27)</f>
        <v>0</v>
      </c>
      <c r="AC27" s="33">
        <f>SUMIFS('Bilateral assistance, MAIN DATA'!$M:$M,'Bilateral assistance, MAIN DATA'!$B:$B,AC$1, 'Bilateral assistance, MAIN DATA'!$I:$I,$A27)</f>
        <v>0</v>
      </c>
      <c r="AD27" s="33">
        <f>SUMIFS('Bilateral assistance, MAIN DATA'!$M:$M,'Bilateral assistance, MAIN DATA'!$B:$B,AD$1, 'Bilateral assistance, MAIN DATA'!$I:$I,$A27)</f>
        <v>0</v>
      </c>
      <c r="AE27" s="33">
        <f>SUMIFS('Bilateral assistance, MAIN DATA'!$M:$M,'Bilateral assistance, MAIN DATA'!$B:$B,AE$1, 'Bilateral assistance, MAIN DATA'!$I:$I,$A27)</f>
        <v>8</v>
      </c>
      <c r="AF27" s="33">
        <f>SUMIFS('Bilateral assistance, MAIN DATA'!$M:$M,'Bilateral assistance, MAIN DATA'!$B:$B,AF$1, 'Bilateral assistance, MAIN DATA'!$I:$I,$A27)</f>
        <v>0</v>
      </c>
      <c r="AG27" s="33">
        <f>SUMIFS('Bilateral assistance, MAIN DATA'!$M:$M,'Bilateral assistance, MAIN DATA'!$B:$B,AG$1, 'Bilateral assistance, MAIN DATA'!$I:$I,$A27)</f>
        <v>0</v>
      </c>
      <c r="AH27" s="33">
        <f>SUMIFS('Bilateral assistance, MAIN DATA'!$M:$M,'Bilateral assistance, MAIN DATA'!$B:$B,AH$1, 'Bilateral assistance, MAIN DATA'!$I:$I,$A27)</f>
        <v>0</v>
      </c>
      <c r="AI27" s="33">
        <f>SUMIFS('Bilateral assistance, MAIN DATA'!$M:$M,'Bilateral assistance, MAIN DATA'!$B:$B,AI$1, 'Bilateral assistance, MAIN DATA'!$I:$I,$A27)</f>
        <v>0</v>
      </c>
      <c r="AJ27" s="33">
        <f>SUMIFS('Bilateral assistance, MAIN DATA'!$M:$M,'Bilateral assistance, MAIN DATA'!$B:$B,AJ$1, 'Bilateral assistance, MAIN DATA'!$I:$I,$A27)</f>
        <v>0</v>
      </c>
      <c r="AK27" s="33">
        <f>SUMIFS('Bilateral assistance, MAIN DATA'!$M:$M,'Bilateral assistance, MAIN DATA'!$B:$B,AK$1, 'Bilateral assistance, MAIN DATA'!$I:$I,$A27)</f>
        <v>0</v>
      </c>
      <c r="AL27" s="33">
        <f>SUMIFS('Bilateral assistance, MAIN DATA'!$M:$M,'Bilateral assistance, MAIN DATA'!$B:$B,AL$1, 'Bilateral assistance, MAIN DATA'!$I:$I,$A27)</f>
        <v>0</v>
      </c>
      <c r="AM27" s="33">
        <f>SUMIFS('Bilateral assistance, MAIN DATA'!$M:$M,'Bilateral assistance, MAIN DATA'!$B:$B,AM$1, 'Bilateral assistance, MAIN DATA'!$I:$I,$A27)</f>
        <v>0</v>
      </c>
      <c r="AN27" s="33">
        <f>SUMIFS('Bilateral assistance, MAIN DATA'!$M:$M,'Bilateral assistance, MAIN DATA'!$B:$B,AN$1, 'Bilateral assistance, MAIN DATA'!$I:$I,$A27)</f>
        <v>0</v>
      </c>
      <c r="AO27" s="33">
        <f>SUMIFS('Bilateral assistance, MAIN DATA'!$M:$M,'Bilateral assistance, MAIN DATA'!$B:$B,AO$1, 'Bilateral assistance, MAIN DATA'!$I:$I,$A27)</f>
        <v>0</v>
      </c>
      <c r="AP27" s="33">
        <f>SUMIFS('Bilateral assistance, MAIN DATA'!$M:$M,'Bilateral assistance, MAIN DATA'!$B:$B,AP$1, 'Bilateral assistance, MAIN DATA'!$I:$I,$A27)</f>
        <v>0</v>
      </c>
      <c r="AQ27" s="33">
        <f>SUMIFS('Bilateral assistance, MAIN DATA'!$M:$M,'Bilateral assistance, MAIN DATA'!$B:$B,AQ$1, 'Bilateral assistance, MAIN DATA'!$I:$I,$A27)</f>
        <v>0</v>
      </c>
      <c r="AR27" s="33">
        <f>SUMIFS('Bilateral assistance, MAIN DATA'!$M:$M,'Bilateral assistance, MAIN DATA'!$B:$B,AR$1, 'Bilateral assistance, MAIN DATA'!$I:$I,$A27)</f>
        <v>0</v>
      </c>
      <c r="AS27" s="33">
        <f>SUMIFS('Bilateral assistance, MAIN DATA'!$M:$M,'Bilateral assistance, MAIN DATA'!$B:$B,AS$1, 'Bilateral assistance, MAIN DATA'!$I:$I,$A27)</f>
        <v>0</v>
      </c>
    </row>
    <row r="28" spans="1:45">
      <c r="A28" s="27" t="s">
        <v>3280</v>
      </c>
      <c r="B28" s="33">
        <f t="shared" si="0"/>
        <v>0</v>
      </c>
      <c r="C28" s="645" t="s">
        <v>2234</v>
      </c>
      <c r="D28" s="33" t="s">
        <v>4150</v>
      </c>
      <c r="F28" s="33">
        <f>SUMIFS('Bilateral assistance, MAIN DATA'!$M:$M,'Bilateral assistance, MAIN DATA'!$B:$B,F$1, 'Bilateral assistance, MAIN DATA'!$I:$I,$A28)</f>
        <v>0</v>
      </c>
      <c r="G28" s="33">
        <f>SUMIFS('Bilateral assistance, MAIN DATA'!$M:$M,'Bilateral assistance, MAIN DATA'!$B:$B,G$1, 'Bilateral assistance, MAIN DATA'!$I:$I,$A28)</f>
        <v>0</v>
      </c>
      <c r="H28" s="33">
        <f>SUMIFS('Bilateral assistance, MAIN DATA'!$M:$M,'Bilateral assistance, MAIN DATA'!$B:$B,H$1, 'Bilateral assistance, MAIN DATA'!$I:$I,$A28)</f>
        <v>0</v>
      </c>
      <c r="I28" s="33">
        <f>SUMIFS('Bilateral assistance, MAIN DATA'!$M:$M,'Bilateral assistance, MAIN DATA'!$B:$B,I$1, 'Bilateral assistance, MAIN DATA'!$I:$I,$A28)</f>
        <v>0</v>
      </c>
      <c r="J28" s="33">
        <f>SUMIFS('Bilateral assistance, MAIN DATA'!$M:$M,'Bilateral assistance, MAIN DATA'!$B:$B,J$1, 'Bilateral assistance, MAIN DATA'!$I:$I,$A28)</f>
        <v>0</v>
      </c>
      <c r="K28" s="33">
        <f>SUMIFS('Bilateral assistance, MAIN DATA'!$M:$M,'Bilateral assistance, MAIN DATA'!$B:$B,K$1, 'Bilateral assistance, MAIN DATA'!$I:$I,$A28)</f>
        <v>0</v>
      </c>
      <c r="L28" s="33">
        <f>SUMIFS('Bilateral assistance, MAIN DATA'!$M:$M,'Bilateral assistance, MAIN DATA'!$B:$B,L$1, 'Bilateral assistance, MAIN DATA'!$I:$I,$A28)</f>
        <v>0</v>
      </c>
      <c r="M28" s="33">
        <f>SUMIFS('Bilateral assistance, MAIN DATA'!$M:$M,'Bilateral assistance, MAIN DATA'!$B:$B,M$1, 'Bilateral assistance, MAIN DATA'!$I:$I,$A28)</f>
        <v>0</v>
      </c>
      <c r="N28" s="33">
        <f>SUMIFS('Bilateral assistance, MAIN DATA'!$M:$M,'Bilateral assistance, MAIN DATA'!$B:$B,N$1, 'Bilateral assistance, MAIN DATA'!$I:$I,$A28)</f>
        <v>0</v>
      </c>
      <c r="O28" s="33">
        <f>SUMIFS('Bilateral assistance, MAIN DATA'!$M:$M,'Bilateral assistance, MAIN DATA'!$B:$B,O$1, 'Bilateral assistance, MAIN DATA'!$I:$I,$A28)</f>
        <v>0</v>
      </c>
      <c r="P28" s="33">
        <f>SUMIFS('Bilateral assistance, MAIN DATA'!$M:$M,'Bilateral assistance, MAIN DATA'!$B:$B,P$1, 'Bilateral assistance, MAIN DATA'!$I:$I,$A28)</f>
        <v>0</v>
      </c>
      <c r="Q28" s="33">
        <f>SUMIFS('Bilateral assistance, MAIN DATA'!$M:$M,'Bilateral assistance, MAIN DATA'!$B:$B,Q$1, 'Bilateral assistance, MAIN DATA'!$I:$I,$A28)</f>
        <v>0</v>
      </c>
      <c r="R28" s="33">
        <f>SUMIFS('Bilateral assistance, MAIN DATA'!$M:$M,'Bilateral assistance, MAIN DATA'!$B:$B,R$1, 'Bilateral assistance, MAIN DATA'!$I:$I,$A28)</f>
        <v>0</v>
      </c>
      <c r="S28" s="33">
        <f>SUMIFS('Bilateral assistance, MAIN DATA'!$M:$M,'Bilateral assistance, MAIN DATA'!$B:$B,S$1, 'Bilateral assistance, MAIN DATA'!$I:$I,$A28)</f>
        <v>0</v>
      </c>
      <c r="T28" s="33">
        <f>SUMIFS('Bilateral assistance, MAIN DATA'!$M:$M,'Bilateral assistance, MAIN DATA'!$B:$B,T$1, 'Bilateral assistance, MAIN DATA'!$I:$I,$A28)</f>
        <v>0</v>
      </c>
      <c r="U28" s="33">
        <f>SUMIFS('Bilateral assistance, MAIN DATA'!$M:$M,'Bilateral assistance, MAIN DATA'!$B:$B,U$1, 'Bilateral assistance, MAIN DATA'!$I:$I,$A28)</f>
        <v>0</v>
      </c>
      <c r="V28" s="33">
        <f>SUMIFS('Bilateral assistance, MAIN DATA'!$M:$M,'Bilateral assistance, MAIN DATA'!$B:$B,V$1, 'Bilateral assistance, MAIN DATA'!$I:$I,$A28)</f>
        <v>0</v>
      </c>
      <c r="W28" s="33">
        <f>SUMIFS('Bilateral assistance, MAIN DATA'!$M:$M,'Bilateral assistance, MAIN DATA'!$B:$B,W$1, 'Bilateral assistance, MAIN DATA'!$I:$I,$A28)</f>
        <v>0</v>
      </c>
      <c r="X28" s="33">
        <f>SUMIFS('Bilateral assistance, MAIN DATA'!$M:$M,'Bilateral assistance, MAIN DATA'!$B:$B,X$1, 'Bilateral assistance, MAIN DATA'!$I:$I,$A28)</f>
        <v>0</v>
      </c>
      <c r="Y28" s="33">
        <f>SUMIFS('Bilateral assistance, MAIN DATA'!$M:$M,'Bilateral assistance, MAIN DATA'!$B:$B,Y$1, 'Bilateral assistance, MAIN DATA'!$I:$I,$A28)</f>
        <v>0</v>
      </c>
      <c r="Z28" s="33">
        <f>SUMIFS('Bilateral assistance, MAIN DATA'!$M:$M,'Bilateral assistance, MAIN DATA'!$B:$B,Z$1, 'Bilateral assistance, MAIN DATA'!$I:$I,$A28)</f>
        <v>0</v>
      </c>
      <c r="AA28" s="33">
        <f>SUMIFS('Bilateral assistance, MAIN DATA'!$M:$M,'Bilateral assistance, MAIN DATA'!$B:$B,AA$1, 'Bilateral assistance, MAIN DATA'!$I:$I,$A28)</f>
        <v>0</v>
      </c>
      <c r="AB28" s="33">
        <f>SUMIFS('Bilateral assistance, MAIN DATA'!$M:$M,'Bilateral assistance, MAIN DATA'!$B:$B,AB$1, 'Bilateral assistance, MAIN DATA'!$I:$I,$A28)</f>
        <v>0</v>
      </c>
      <c r="AC28" s="33">
        <f>SUMIFS('Bilateral assistance, MAIN DATA'!$M:$M,'Bilateral assistance, MAIN DATA'!$B:$B,AC$1, 'Bilateral assistance, MAIN DATA'!$I:$I,$A28)</f>
        <v>0</v>
      </c>
      <c r="AD28" s="33">
        <f>SUMIFS('Bilateral assistance, MAIN DATA'!$M:$M,'Bilateral assistance, MAIN DATA'!$B:$B,AD$1, 'Bilateral assistance, MAIN DATA'!$I:$I,$A28)</f>
        <v>0</v>
      </c>
      <c r="AE28" s="33">
        <f>SUMIFS('Bilateral assistance, MAIN DATA'!$M:$M,'Bilateral assistance, MAIN DATA'!$B:$B,AE$1, 'Bilateral assistance, MAIN DATA'!$I:$I,$A28)</f>
        <v>0</v>
      </c>
      <c r="AF28" s="33">
        <f>SUMIFS('Bilateral assistance, MAIN DATA'!$M:$M,'Bilateral assistance, MAIN DATA'!$B:$B,AF$1, 'Bilateral assistance, MAIN DATA'!$I:$I,$A28)</f>
        <v>0</v>
      </c>
      <c r="AG28" s="33">
        <f>SUMIFS('Bilateral assistance, MAIN DATA'!$M:$M,'Bilateral assistance, MAIN DATA'!$B:$B,AG$1, 'Bilateral assistance, MAIN DATA'!$I:$I,$A28)</f>
        <v>0</v>
      </c>
      <c r="AH28" s="33">
        <f>SUMIFS('Bilateral assistance, MAIN DATA'!$M:$M,'Bilateral assistance, MAIN DATA'!$B:$B,AH$1, 'Bilateral assistance, MAIN DATA'!$I:$I,$A28)</f>
        <v>0</v>
      </c>
      <c r="AI28" s="33">
        <f>SUMIFS('Bilateral assistance, MAIN DATA'!$M:$M,'Bilateral assistance, MAIN DATA'!$B:$B,AI$1, 'Bilateral assistance, MAIN DATA'!$I:$I,$A28)</f>
        <v>0</v>
      </c>
      <c r="AJ28" s="33">
        <f>SUMIFS('Bilateral assistance, MAIN DATA'!$M:$M,'Bilateral assistance, MAIN DATA'!$B:$B,AJ$1, 'Bilateral assistance, MAIN DATA'!$I:$I,$A28)</f>
        <v>0</v>
      </c>
      <c r="AK28" s="33">
        <f>SUMIFS('Bilateral assistance, MAIN DATA'!$M:$M,'Bilateral assistance, MAIN DATA'!$B:$B,AK$1, 'Bilateral assistance, MAIN DATA'!$I:$I,$A28)</f>
        <v>0</v>
      </c>
      <c r="AL28" s="33">
        <f>SUMIFS('Bilateral assistance, MAIN DATA'!$M:$M,'Bilateral assistance, MAIN DATA'!$B:$B,AL$1, 'Bilateral assistance, MAIN DATA'!$I:$I,$A28)</f>
        <v>0</v>
      </c>
      <c r="AM28" s="33">
        <f>SUMIFS('Bilateral assistance, MAIN DATA'!$M:$M,'Bilateral assistance, MAIN DATA'!$B:$B,AM$1, 'Bilateral assistance, MAIN DATA'!$I:$I,$A28)</f>
        <v>0</v>
      </c>
      <c r="AN28" s="33">
        <f>SUMIFS('Bilateral assistance, MAIN DATA'!$M:$M,'Bilateral assistance, MAIN DATA'!$B:$B,AN$1, 'Bilateral assistance, MAIN DATA'!$I:$I,$A28)</f>
        <v>0</v>
      </c>
      <c r="AO28" s="33">
        <f>SUMIFS('Bilateral assistance, MAIN DATA'!$M:$M,'Bilateral assistance, MAIN DATA'!$B:$B,AO$1, 'Bilateral assistance, MAIN DATA'!$I:$I,$A28)</f>
        <v>0</v>
      </c>
      <c r="AP28" s="33">
        <f>SUMIFS('Bilateral assistance, MAIN DATA'!$M:$M,'Bilateral assistance, MAIN DATA'!$B:$B,AP$1, 'Bilateral assistance, MAIN DATA'!$I:$I,$A28)</f>
        <v>0</v>
      </c>
      <c r="AQ28" s="33">
        <f>SUMIFS('Bilateral assistance, MAIN DATA'!$M:$M,'Bilateral assistance, MAIN DATA'!$B:$B,AQ$1, 'Bilateral assistance, MAIN DATA'!$I:$I,$A28)</f>
        <v>0</v>
      </c>
      <c r="AR28" s="33">
        <f>SUMIFS('Bilateral assistance, MAIN DATA'!$M:$M,'Bilateral assistance, MAIN DATA'!$B:$B,AR$1, 'Bilateral assistance, MAIN DATA'!$I:$I,$A28)</f>
        <v>0</v>
      </c>
      <c r="AS28" s="33">
        <f>SUMIFS('Bilateral assistance, MAIN DATA'!$M:$M,'Bilateral assistance, MAIN DATA'!$B:$B,AS$1, 'Bilateral assistance, MAIN DATA'!$I:$I,$A28)</f>
        <v>0</v>
      </c>
    </row>
    <row r="29" spans="1:45">
      <c r="A29" s="27" t="s">
        <v>1462</v>
      </c>
      <c r="B29" s="33">
        <f t="shared" si="0"/>
        <v>86</v>
      </c>
      <c r="C29" s="645" t="s">
        <v>2234</v>
      </c>
      <c r="D29" s="33" t="s">
        <v>4150</v>
      </c>
      <c r="F29" s="33">
        <f>SUMIFS('Bilateral assistance, MAIN DATA'!$M:$M,'Bilateral assistance, MAIN DATA'!$B:$B,F$1, 'Bilateral assistance, MAIN DATA'!$I:$I,$A29)</f>
        <v>0</v>
      </c>
      <c r="G29" s="33">
        <f>SUMIFS('Bilateral assistance, MAIN DATA'!$M:$M,'Bilateral assistance, MAIN DATA'!$B:$B,G$1, 'Bilateral assistance, MAIN DATA'!$I:$I,$A29)</f>
        <v>0</v>
      </c>
      <c r="H29" s="33">
        <f>SUMIFS('Bilateral assistance, MAIN DATA'!$M:$M,'Bilateral assistance, MAIN DATA'!$B:$B,H$1, 'Bilateral assistance, MAIN DATA'!$I:$I,$A29)</f>
        <v>0</v>
      </c>
      <c r="I29" s="33">
        <f>SUMIFS('Bilateral assistance, MAIN DATA'!$M:$M,'Bilateral assistance, MAIN DATA'!$B:$B,I$1, 'Bilateral assistance, MAIN DATA'!$I:$I,$A29)</f>
        <v>0</v>
      </c>
      <c r="J29" s="33">
        <f>SUMIFS('Bilateral assistance, MAIN DATA'!$M:$M,'Bilateral assistance, MAIN DATA'!$B:$B,J$1, 'Bilateral assistance, MAIN DATA'!$I:$I,$A29)</f>
        <v>0</v>
      </c>
      <c r="K29" s="33">
        <f>SUMIFS('Bilateral assistance, MAIN DATA'!$M:$M,'Bilateral assistance, MAIN DATA'!$B:$B,K$1, 'Bilateral assistance, MAIN DATA'!$I:$I,$A29)</f>
        <v>0</v>
      </c>
      <c r="L29" s="33">
        <f>SUMIFS('Bilateral assistance, MAIN DATA'!$M:$M,'Bilateral assistance, MAIN DATA'!$B:$B,L$1, 'Bilateral assistance, MAIN DATA'!$I:$I,$A29)</f>
        <v>0</v>
      </c>
      <c r="M29" s="33">
        <f>SUMIFS('Bilateral assistance, MAIN DATA'!$M:$M,'Bilateral assistance, MAIN DATA'!$B:$B,M$1, 'Bilateral assistance, MAIN DATA'!$I:$I,$A29)</f>
        <v>0</v>
      </c>
      <c r="N29" s="33">
        <f>SUMIFS('Bilateral assistance, MAIN DATA'!$M:$M,'Bilateral assistance, MAIN DATA'!$B:$B,N$1, 'Bilateral assistance, MAIN DATA'!$I:$I,$A29)</f>
        <v>0</v>
      </c>
      <c r="O29" s="33">
        <f>SUMIFS('Bilateral assistance, MAIN DATA'!$M:$M,'Bilateral assistance, MAIN DATA'!$B:$B,O$1, 'Bilateral assistance, MAIN DATA'!$I:$I,$A29)</f>
        <v>0</v>
      </c>
      <c r="P29" s="33">
        <f>SUMIFS('Bilateral assistance, MAIN DATA'!$M:$M,'Bilateral assistance, MAIN DATA'!$B:$B,P$1, 'Bilateral assistance, MAIN DATA'!$I:$I,$A29)</f>
        <v>0</v>
      </c>
      <c r="Q29" s="33">
        <f>SUMIFS('Bilateral assistance, MAIN DATA'!$M:$M,'Bilateral assistance, MAIN DATA'!$B:$B,Q$1, 'Bilateral assistance, MAIN DATA'!$I:$I,$A29)</f>
        <v>0</v>
      </c>
      <c r="R29" s="33">
        <f>SUMIFS('Bilateral assistance, MAIN DATA'!$M:$M,'Bilateral assistance, MAIN DATA'!$B:$B,R$1, 'Bilateral assistance, MAIN DATA'!$I:$I,$A29)</f>
        <v>0</v>
      </c>
      <c r="S29" s="33">
        <f>SUMIFS('Bilateral assistance, MAIN DATA'!$M:$M,'Bilateral assistance, MAIN DATA'!$B:$B,S$1, 'Bilateral assistance, MAIN DATA'!$I:$I,$A29)</f>
        <v>0</v>
      </c>
      <c r="T29" s="33">
        <f>SUMIFS('Bilateral assistance, MAIN DATA'!$M:$M,'Bilateral assistance, MAIN DATA'!$B:$B,T$1, 'Bilateral assistance, MAIN DATA'!$I:$I,$A29)</f>
        <v>0</v>
      </c>
      <c r="U29" s="33">
        <f>SUMIFS('Bilateral assistance, MAIN DATA'!$M:$M,'Bilateral assistance, MAIN DATA'!$B:$B,U$1, 'Bilateral assistance, MAIN DATA'!$I:$I,$A29)</f>
        <v>0</v>
      </c>
      <c r="V29" s="33">
        <f>SUMIFS('Bilateral assistance, MAIN DATA'!$M:$M,'Bilateral assistance, MAIN DATA'!$B:$B,V$1, 'Bilateral assistance, MAIN DATA'!$I:$I,$A29)</f>
        <v>0</v>
      </c>
      <c r="W29" s="33">
        <f>SUMIFS('Bilateral assistance, MAIN DATA'!$M:$M,'Bilateral assistance, MAIN DATA'!$B:$B,W$1, 'Bilateral assistance, MAIN DATA'!$I:$I,$A29)</f>
        <v>0</v>
      </c>
      <c r="X29" s="33">
        <f>SUMIFS('Bilateral assistance, MAIN DATA'!$M:$M,'Bilateral assistance, MAIN DATA'!$B:$B,X$1, 'Bilateral assistance, MAIN DATA'!$I:$I,$A29)</f>
        <v>0</v>
      </c>
      <c r="Y29" s="33">
        <f>SUMIFS('Bilateral assistance, MAIN DATA'!$M:$M,'Bilateral assistance, MAIN DATA'!$B:$B,Y$1, 'Bilateral assistance, MAIN DATA'!$I:$I,$A29)</f>
        <v>30</v>
      </c>
      <c r="Z29" s="33">
        <f>SUMIFS('Bilateral assistance, MAIN DATA'!$M:$M,'Bilateral assistance, MAIN DATA'!$B:$B,Z$1, 'Bilateral assistance, MAIN DATA'!$I:$I,$A29)</f>
        <v>0</v>
      </c>
      <c r="AA29" s="33">
        <f>SUMIFS('Bilateral assistance, MAIN DATA'!$M:$M,'Bilateral assistance, MAIN DATA'!$B:$B,AA$1, 'Bilateral assistance, MAIN DATA'!$I:$I,$A29)</f>
        <v>6</v>
      </c>
      <c r="AB29" s="33">
        <f>SUMIFS('Bilateral assistance, MAIN DATA'!$M:$M,'Bilateral assistance, MAIN DATA'!$B:$B,AB$1, 'Bilateral assistance, MAIN DATA'!$I:$I,$A29)</f>
        <v>0</v>
      </c>
      <c r="AC29" s="33">
        <f>SUMIFS('Bilateral assistance, MAIN DATA'!$M:$M,'Bilateral assistance, MAIN DATA'!$B:$B,AC$1, 'Bilateral assistance, MAIN DATA'!$I:$I,$A29)</f>
        <v>0</v>
      </c>
      <c r="AD29" s="33">
        <f>SUMIFS('Bilateral assistance, MAIN DATA'!$M:$M,'Bilateral assistance, MAIN DATA'!$B:$B,AD$1, 'Bilateral assistance, MAIN DATA'!$I:$I,$A29)</f>
        <v>0</v>
      </c>
      <c r="AE29" s="33">
        <f>SUMIFS('Bilateral assistance, MAIN DATA'!$M:$M,'Bilateral assistance, MAIN DATA'!$B:$B,AE$1, 'Bilateral assistance, MAIN DATA'!$I:$I,$A29)</f>
        <v>0</v>
      </c>
      <c r="AF29" s="33">
        <f>SUMIFS('Bilateral assistance, MAIN DATA'!$M:$M,'Bilateral assistance, MAIN DATA'!$B:$B,AF$1, 'Bilateral assistance, MAIN DATA'!$I:$I,$A29)</f>
        <v>0</v>
      </c>
      <c r="AG29" s="33">
        <f>SUMIFS('Bilateral assistance, MAIN DATA'!$M:$M,'Bilateral assistance, MAIN DATA'!$B:$B,AG$1, 'Bilateral assistance, MAIN DATA'!$I:$I,$A29)</f>
        <v>22</v>
      </c>
      <c r="AH29" s="33">
        <f>SUMIFS('Bilateral assistance, MAIN DATA'!$M:$M,'Bilateral assistance, MAIN DATA'!$B:$B,AH$1, 'Bilateral assistance, MAIN DATA'!$I:$I,$A29)</f>
        <v>0</v>
      </c>
      <c r="AI29" s="33">
        <f>SUMIFS('Bilateral assistance, MAIN DATA'!$M:$M,'Bilateral assistance, MAIN DATA'!$B:$B,AI$1, 'Bilateral assistance, MAIN DATA'!$I:$I,$A29)</f>
        <v>0</v>
      </c>
      <c r="AJ29" s="33">
        <f>SUMIFS('Bilateral assistance, MAIN DATA'!$M:$M,'Bilateral assistance, MAIN DATA'!$B:$B,AJ$1, 'Bilateral assistance, MAIN DATA'!$I:$I,$A29)</f>
        <v>0</v>
      </c>
      <c r="AK29" s="33">
        <f>SUMIFS('Bilateral assistance, MAIN DATA'!$M:$M,'Bilateral assistance, MAIN DATA'!$B:$B,AK$1, 'Bilateral assistance, MAIN DATA'!$I:$I,$A29)</f>
        <v>0</v>
      </c>
      <c r="AL29" s="33">
        <f>SUMIFS('Bilateral assistance, MAIN DATA'!$M:$M,'Bilateral assistance, MAIN DATA'!$B:$B,AL$1, 'Bilateral assistance, MAIN DATA'!$I:$I,$A29)</f>
        <v>0</v>
      </c>
      <c r="AM29" s="33">
        <f>SUMIFS('Bilateral assistance, MAIN DATA'!$M:$M,'Bilateral assistance, MAIN DATA'!$B:$B,AM$1, 'Bilateral assistance, MAIN DATA'!$I:$I,$A29)</f>
        <v>0</v>
      </c>
      <c r="AN29" s="33">
        <f>SUMIFS('Bilateral assistance, MAIN DATA'!$M:$M,'Bilateral assistance, MAIN DATA'!$B:$B,AN$1, 'Bilateral assistance, MAIN DATA'!$I:$I,$A29)</f>
        <v>0</v>
      </c>
      <c r="AO29" s="33">
        <f>SUMIFS('Bilateral assistance, MAIN DATA'!$M:$M,'Bilateral assistance, MAIN DATA'!$B:$B,AO$1, 'Bilateral assistance, MAIN DATA'!$I:$I,$A29)</f>
        <v>0</v>
      </c>
      <c r="AP29" s="33">
        <f>SUMIFS('Bilateral assistance, MAIN DATA'!$M:$M,'Bilateral assistance, MAIN DATA'!$B:$B,AP$1, 'Bilateral assistance, MAIN DATA'!$I:$I,$A29)</f>
        <v>0</v>
      </c>
      <c r="AQ29" s="33">
        <f>SUMIFS('Bilateral assistance, MAIN DATA'!$M:$M,'Bilateral assistance, MAIN DATA'!$B:$B,AQ$1, 'Bilateral assistance, MAIN DATA'!$I:$I,$A29)</f>
        <v>0</v>
      </c>
      <c r="AR29" s="33">
        <f>SUMIFS('Bilateral assistance, MAIN DATA'!$M:$M,'Bilateral assistance, MAIN DATA'!$B:$B,AR$1, 'Bilateral assistance, MAIN DATA'!$I:$I,$A29)</f>
        <v>28</v>
      </c>
      <c r="AS29" s="33">
        <f>SUMIFS('Bilateral assistance, MAIN DATA'!$M:$M,'Bilateral assistance, MAIN DATA'!$B:$B,AS$1, 'Bilateral assistance, MAIN DATA'!$I:$I,$A29)</f>
        <v>0</v>
      </c>
    </row>
    <row r="30" spans="1:45">
      <c r="A30" s="27" t="s">
        <v>824</v>
      </c>
      <c r="B30" s="33">
        <f t="shared" si="0"/>
        <v>15</v>
      </c>
      <c r="C30" s="645" t="s">
        <v>2234</v>
      </c>
      <c r="D30" s="33" t="s">
        <v>4150</v>
      </c>
      <c r="F30" s="33">
        <f>SUMIFS('Bilateral assistance, MAIN DATA'!$M:$M,'Bilateral assistance, MAIN DATA'!$B:$B,F$1, 'Bilateral assistance, MAIN DATA'!$I:$I,$A30)</f>
        <v>0</v>
      </c>
      <c r="G30" s="33">
        <f>SUMIFS('Bilateral assistance, MAIN DATA'!$M:$M,'Bilateral assistance, MAIN DATA'!$B:$B,G$1, 'Bilateral assistance, MAIN DATA'!$I:$I,$A30)</f>
        <v>0</v>
      </c>
      <c r="H30" s="33">
        <f>SUMIFS('Bilateral assistance, MAIN DATA'!$M:$M,'Bilateral assistance, MAIN DATA'!$B:$B,H$1, 'Bilateral assistance, MAIN DATA'!$I:$I,$A30)</f>
        <v>0</v>
      </c>
      <c r="I30" s="33">
        <f>SUMIFS('Bilateral assistance, MAIN DATA'!$M:$M,'Bilateral assistance, MAIN DATA'!$B:$B,I$1, 'Bilateral assistance, MAIN DATA'!$I:$I,$A30)</f>
        <v>0</v>
      </c>
      <c r="J30" s="33">
        <f>SUMIFS('Bilateral assistance, MAIN DATA'!$M:$M,'Bilateral assistance, MAIN DATA'!$B:$B,J$1, 'Bilateral assistance, MAIN DATA'!$I:$I,$A30)</f>
        <v>0</v>
      </c>
      <c r="K30" s="33">
        <f>SUMIFS('Bilateral assistance, MAIN DATA'!$M:$M,'Bilateral assistance, MAIN DATA'!$B:$B,K$1, 'Bilateral assistance, MAIN DATA'!$I:$I,$A30)</f>
        <v>0</v>
      </c>
      <c r="L30" s="33">
        <f>SUMIFS('Bilateral assistance, MAIN DATA'!$M:$M,'Bilateral assistance, MAIN DATA'!$B:$B,L$1, 'Bilateral assistance, MAIN DATA'!$I:$I,$A30)</f>
        <v>0</v>
      </c>
      <c r="M30" s="33">
        <f>SUMIFS('Bilateral assistance, MAIN DATA'!$M:$M,'Bilateral assistance, MAIN DATA'!$B:$B,M$1, 'Bilateral assistance, MAIN DATA'!$I:$I,$A30)</f>
        <v>0</v>
      </c>
      <c r="N30" s="33">
        <f>SUMIFS('Bilateral assistance, MAIN DATA'!$M:$M,'Bilateral assistance, MAIN DATA'!$B:$B,N$1, 'Bilateral assistance, MAIN DATA'!$I:$I,$A30)</f>
        <v>5</v>
      </c>
      <c r="O30" s="33">
        <f>SUMIFS('Bilateral assistance, MAIN DATA'!$M:$M,'Bilateral assistance, MAIN DATA'!$B:$B,O$1, 'Bilateral assistance, MAIN DATA'!$I:$I,$A30)</f>
        <v>0</v>
      </c>
      <c r="P30" s="33">
        <f>SUMIFS('Bilateral assistance, MAIN DATA'!$M:$M,'Bilateral assistance, MAIN DATA'!$B:$B,P$1, 'Bilateral assistance, MAIN DATA'!$I:$I,$A30)</f>
        <v>0</v>
      </c>
      <c r="Q30" s="33">
        <f>SUMIFS('Bilateral assistance, MAIN DATA'!$M:$M,'Bilateral assistance, MAIN DATA'!$B:$B,Q$1, 'Bilateral assistance, MAIN DATA'!$I:$I,$A30)</f>
        <v>0</v>
      </c>
      <c r="R30" s="33">
        <f>SUMIFS('Bilateral assistance, MAIN DATA'!$M:$M,'Bilateral assistance, MAIN DATA'!$B:$B,R$1, 'Bilateral assistance, MAIN DATA'!$I:$I,$A30)</f>
        <v>0</v>
      </c>
      <c r="S30" s="33">
        <f>SUMIFS('Bilateral assistance, MAIN DATA'!$M:$M,'Bilateral assistance, MAIN DATA'!$B:$B,S$1, 'Bilateral assistance, MAIN DATA'!$I:$I,$A30)</f>
        <v>0</v>
      </c>
      <c r="T30" s="33">
        <f>SUMIFS('Bilateral assistance, MAIN DATA'!$M:$M,'Bilateral assistance, MAIN DATA'!$B:$B,T$1, 'Bilateral assistance, MAIN DATA'!$I:$I,$A30)</f>
        <v>0</v>
      </c>
      <c r="U30" s="33">
        <f>SUMIFS('Bilateral assistance, MAIN DATA'!$M:$M,'Bilateral assistance, MAIN DATA'!$B:$B,U$1, 'Bilateral assistance, MAIN DATA'!$I:$I,$A30)</f>
        <v>5</v>
      </c>
      <c r="V30" s="33">
        <f>SUMIFS('Bilateral assistance, MAIN DATA'!$M:$M,'Bilateral assistance, MAIN DATA'!$B:$B,V$1, 'Bilateral assistance, MAIN DATA'!$I:$I,$A30)</f>
        <v>0</v>
      </c>
      <c r="W30" s="33">
        <f>SUMIFS('Bilateral assistance, MAIN DATA'!$M:$M,'Bilateral assistance, MAIN DATA'!$B:$B,W$1, 'Bilateral assistance, MAIN DATA'!$I:$I,$A30)</f>
        <v>0</v>
      </c>
      <c r="X30" s="33">
        <f>SUMIFS('Bilateral assistance, MAIN DATA'!$M:$M,'Bilateral assistance, MAIN DATA'!$B:$B,X$1, 'Bilateral assistance, MAIN DATA'!$I:$I,$A30)</f>
        <v>0</v>
      </c>
      <c r="Y30" s="33">
        <f>SUMIFS('Bilateral assistance, MAIN DATA'!$M:$M,'Bilateral assistance, MAIN DATA'!$B:$B,Y$1, 'Bilateral assistance, MAIN DATA'!$I:$I,$A30)</f>
        <v>0</v>
      </c>
      <c r="Z30" s="33">
        <f>SUMIFS('Bilateral assistance, MAIN DATA'!$M:$M,'Bilateral assistance, MAIN DATA'!$B:$B,Z$1, 'Bilateral assistance, MAIN DATA'!$I:$I,$A30)</f>
        <v>0</v>
      </c>
      <c r="AA30" s="33">
        <f>SUMIFS('Bilateral assistance, MAIN DATA'!$M:$M,'Bilateral assistance, MAIN DATA'!$B:$B,AA$1, 'Bilateral assistance, MAIN DATA'!$I:$I,$A30)</f>
        <v>0</v>
      </c>
      <c r="AB30" s="33">
        <f>SUMIFS('Bilateral assistance, MAIN DATA'!$M:$M,'Bilateral assistance, MAIN DATA'!$B:$B,AB$1, 'Bilateral assistance, MAIN DATA'!$I:$I,$A30)</f>
        <v>0</v>
      </c>
      <c r="AC30" s="33">
        <f>SUMIFS('Bilateral assistance, MAIN DATA'!$M:$M,'Bilateral assistance, MAIN DATA'!$B:$B,AC$1, 'Bilateral assistance, MAIN DATA'!$I:$I,$A30)</f>
        <v>0</v>
      </c>
      <c r="AD30" s="33">
        <f>SUMIFS('Bilateral assistance, MAIN DATA'!$M:$M,'Bilateral assistance, MAIN DATA'!$B:$B,AD$1, 'Bilateral assistance, MAIN DATA'!$I:$I,$A30)</f>
        <v>0</v>
      </c>
      <c r="AE30" s="33">
        <f>SUMIFS('Bilateral assistance, MAIN DATA'!$M:$M,'Bilateral assistance, MAIN DATA'!$B:$B,AE$1, 'Bilateral assistance, MAIN DATA'!$I:$I,$A30)</f>
        <v>0</v>
      </c>
      <c r="AF30" s="33">
        <f>SUMIFS('Bilateral assistance, MAIN DATA'!$M:$M,'Bilateral assistance, MAIN DATA'!$B:$B,AF$1, 'Bilateral assistance, MAIN DATA'!$I:$I,$A30)</f>
        <v>0</v>
      </c>
      <c r="AG30" s="33">
        <f>SUMIFS('Bilateral assistance, MAIN DATA'!$M:$M,'Bilateral assistance, MAIN DATA'!$B:$B,AG$1, 'Bilateral assistance, MAIN DATA'!$I:$I,$A30)</f>
        <v>5</v>
      </c>
      <c r="AH30" s="33">
        <f>SUMIFS('Bilateral assistance, MAIN DATA'!$M:$M,'Bilateral assistance, MAIN DATA'!$B:$B,AH$1, 'Bilateral assistance, MAIN DATA'!$I:$I,$A30)</f>
        <v>0</v>
      </c>
      <c r="AI30" s="33">
        <f>SUMIFS('Bilateral assistance, MAIN DATA'!$M:$M,'Bilateral assistance, MAIN DATA'!$B:$B,AI$1, 'Bilateral assistance, MAIN DATA'!$I:$I,$A30)</f>
        <v>0</v>
      </c>
      <c r="AJ30" s="33">
        <f>SUMIFS('Bilateral assistance, MAIN DATA'!$M:$M,'Bilateral assistance, MAIN DATA'!$B:$B,AJ$1, 'Bilateral assistance, MAIN DATA'!$I:$I,$A30)</f>
        <v>0</v>
      </c>
      <c r="AK30" s="33">
        <f>SUMIFS('Bilateral assistance, MAIN DATA'!$M:$M,'Bilateral assistance, MAIN DATA'!$B:$B,AK$1, 'Bilateral assistance, MAIN DATA'!$I:$I,$A30)</f>
        <v>0</v>
      </c>
      <c r="AL30" s="33">
        <f>SUMIFS('Bilateral assistance, MAIN DATA'!$M:$M,'Bilateral assistance, MAIN DATA'!$B:$B,AL$1, 'Bilateral assistance, MAIN DATA'!$I:$I,$A30)</f>
        <v>0</v>
      </c>
      <c r="AM30" s="33">
        <f>SUMIFS('Bilateral assistance, MAIN DATA'!$M:$M,'Bilateral assistance, MAIN DATA'!$B:$B,AM$1, 'Bilateral assistance, MAIN DATA'!$I:$I,$A30)</f>
        <v>0</v>
      </c>
      <c r="AN30" s="33">
        <f>SUMIFS('Bilateral assistance, MAIN DATA'!$M:$M,'Bilateral assistance, MAIN DATA'!$B:$B,AN$1, 'Bilateral assistance, MAIN DATA'!$I:$I,$A30)</f>
        <v>0</v>
      </c>
      <c r="AO30" s="33">
        <f>SUMIFS('Bilateral assistance, MAIN DATA'!$M:$M,'Bilateral assistance, MAIN DATA'!$B:$B,AO$1, 'Bilateral assistance, MAIN DATA'!$I:$I,$A30)</f>
        <v>0</v>
      </c>
      <c r="AP30" s="33">
        <f>SUMIFS('Bilateral assistance, MAIN DATA'!$M:$M,'Bilateral assistance, MAIN DATA'!$B:$B,AP$1, 'Bilateral assistance, MAIN DATA'!$I:$I,$A30)</f>
        <v>0</v>
      </c>
      <c r="AQ30" s="33">
        <f>SUMIFS('Bilateral assistance, MAIN DATA'!$M:$M,'Bilateral assistance, MAIN DATA'!$B:$B,AQ$1, 'Bilateral assistance, MAIN DATA'!$I:$I,$A30)</f>
        <v>0</v>
      </c>
      <c r="AR30" s="33">
        <f>SUMIFS('Bilateral assistance, MAIN DATA'!$M:$M,'Bilateral assistance, MAIN DATA'!$B:$B,AR$1, 'Bilateral assistance, MAIN DATA'!$I:$I,$A30)</f>
        <v>0</v>
      </c>
      <c r="AS30" s="33">
        <f>SUMIFS('Bilateral assistance, MAIN DATA'!$M:$M,'Bilateral assistance, MAIN DATA'!$B:$B,AS$1, 'Bilateral assistance, MAIN DATA'!$I:$I,$A30)</f>
        <v>0</v>
      </c>
    </row>
    <row r="31" spans="1:45">
      <c r="A31" s="27" t="s">
        <v>697</v>
      </c>
      <c r="B31" s="33">
        <f t="shared" si="0"/>
        <v>280</v>
      </c>
      <c r="C31" s="645" t="s">
        <v>3256</v>
      </c>
      <c r="D31" s="33" t="s">
        <v>4152</v>
      </c>
      <c r="F31" s="33">
        <f>SUMIFS('Bilateral assistance, MAIN DATA'!$M:$M,'Bilateral assistance, MAIN DATA'!$B:$B,F$1, 'Bilateral assistance, MAIN DATA'!$I:$I,$A31)</f>
        <v>0</v>
      </c>
      <c r="G31" s="33">
        <f>SUMIFS('Bilateral assistance, MAIN DATA'!$M:$M,'Bilateral assistance, MAIN DATA'!$B:$B,G$1, 'Bilateral assistance, MAIN DATA'!$I:$I,$A31)</f>
        <v>0</v>
      </c>
      <c r="H31" s="33">
        <f>SUMIFS('Bilateral assistance, MAIN DATA'!$M:$M,'Bilateral assistance, MAIN DATA'!$B:$B,H$1, 'Bilateral assistance, MAIN DATA'!$I:$I,$A31)</f>
        <v>0</v>
      </c>
      <c r="I31" s="33">
        <f>SUMIFS('Bilateral assistance, MAIN DATA'!$M:$M,'Bilateral assistance, MAIN DATA'!$B:$B,I$1, 'Bilateral assistance, MAIN DATA'!$I:$I,$A31)</f>
        <v>0</v>
      </c>
      <c r="J31" s="33">
        <f>SUMIFS('Bilateral assistance, MAIN DATA'!$M:$M,'Bilateral assistance, MAIN DATA'!$B:$B,J$1, 'Bilateral assistance, MAIN DATA'!$I:$I,$A31)</f>
        <v>0</v>
      </c>
      <c r="K31" s="33">
        <f>SUMIFS('Bilateral assistance, MAIN DATA'!$M:$M,'Bilateral assistance, MAIN DATA'!$B:$B,K$1, 'Bilateral assistance, MAIN DATA'!$I:$I,$A31)</f>
        <v>0</v>
      </c>
      <c r="L31" s="33">
        <f>SUMIFS('Bilateral assistance, MAIN DATA'!$M:$M,'Bilateral assistance, MAIN DATA'!$B:$B,L$1, 'Bilateral assistance, MAIN DATA'!$I:$I,$A31)</f>
        <v>0</v>
      </c>
      <c r="M31" s="33">
        <f>SUMIFS('Bilateral assistance, MAIN DATA'!$M:$M,'Bilateral assistance, MAIN DATA'!$B:$B,M$1, 'Bilateral assistance, MAIN DATA'!$I:$I,$A31)</f>
        <v>40</v>
      </c>
      <c r="N31" s="33">
        <f>SUMIFS('Bilateral assistance, MAIN DATA'!$M:$M,'Bilateral assistance, MAIN DATA'!$B:$B,N$1, 'Bilateral assistance, MAIN DATA'!$I:$I,$A31)</f>
        <v>0</v>
      </c>
      <c r="O31" s="33">
        <f>SUMIFS('Bilateral assistance, MAIN DATA'!$M:$M,'Bilateral assistance, MAIN DATA'!$B:$B,O$1, 'Bilateral assistance, MAIN DATA'!$I:$I,$A31)</f>
        <v>0</v>
      </c>
      <c r="P31" s="33">
        <f>SUMIFS('Bilateral assistance, MAIN DATA'!$M:$M,'Bilateral assistance, MAIN DATA'!$B:$B,P$1, 'Bilateral assistance, MAIN DATA'!$I:$I,$A31)</f>
        <v>0</v>
      </c>
      <c r="Q31" s="33">
        <f>SUMIFS('Bilateral assistance, MAIN DATA'!$M:$M,'Bilateral assistance, MAIN DATA'!$B:$B,Q$1, 'Bilateral assistance, MAIN DATA'!$I:$I,$A31)</f>
        <v>0</v>
      </c>
      <c r="R31" s="33">
        <f>SUMIFS('Bilateral assistance, MAIN DATA'!$M:$M,'Bilateral assistance, MAIN DATA'!$B:$B,R$1, 'Bilateral assistance, MAIN DATA'!$I:$I,$A31)</f>
        <v>0</v>
      </c>
      <c r="S31" s="33">
        <f>SUMIFS('Bilateral assistance, MAIN DATA'!$M:$M,'Bilateral assistance, MAIN DATA'!$B:$B,S$1, 'Bilateral assistance, MAIN DATA'!$I:$I,$A31)</f>
        <v>0</v>
      </c>
      <c r="T31" s="33">
        <f>SUMIFS('Bilateral assistance, MAIN DATA'!$M:$M,'Bilateral assistance, MAIN DATA'!$B:$B,T$1, 'Bilateral assistance, MAIN DATA'!$I:$I,$A31)</f>
        <v>0</v>
      </c>
      <c r="U31" s="33">
        <f>SUMIFS('Bilateral assistance, MAIN DATA'!$M:$M,'Bilateral assistance, MAIN DATA'!$B:$B,U$1, 'Bilateral assistance, MAIN DATA'!$I:$I,$A31)</f>
        <v>0</v>
      </c>
      <c r="V31" s="33">
        <f>SUMIFS('Bilateral assistance, MAIN DATA'!$M:$M,'Bilateral assistance, MAIN DATA'!$B:$B,V$1, 'Bilateral assistance, MAIN DATA'!$I:$I,$A31)</f>
        <v>0</v>
      </c>
      <c r="W31" s="33">
        <f>SUMIFS('Bilateral assistance, MAIN DATA'!$M:$M,'Bilateral assistance, MAIN DATA'!$B:$B,W$1, 'Bilateral assistance, MAIN DATA'!$I:$I,$A31)</f>
        <v>0</v>
      </c>
      <c r="X31" s="33">
        <f>SUMIFS('Bilateral assistance, MAIN DATA'!$M:$M,'Bilateral assistance, MAIN DATA'!$B:$B,X$1, 'Bilateral assistance, MAIN DATA'!$I:$I,$A31)</f>
        <v>0</v>
      </c>
      <c r="Y31" s="33">
        <f>SUMIFS('Bilateral assistance, MAIN DATA'!$M:$M,'Bilateral assistance, MAIN DATA'!$B:$B,Y$1, 'Bilateral assistance, MAIN DATA'!$I:$I,$A31)</f>
        <v>0</v>
      </c>
      <c r="Z31" s="33">
        <f>SUMIFS('Bilateral assistance, MAIN DATA'!$M:$M,'Bilateral assistance, MAIN DATA'!$B:$B,Z$1, 'Bilateral assistance, MAIN DATA'!$I:$I,$A31)</f>
        <v>0</v>
      </c>
      <c r="AA31" s="33">
        <f>SUMIFS('Bilateral assistance, MAIN DATA'!$M:$M,'Bilateral assistance, MAIN DATA'!$B:$B,AA$1, 'Bilateral assistance, MAIN DATA'!$I:$I,$A31)</f>
        <v>0</v>
      </c>
      <c r="AB31" s="33">
        <f>SUMIFS('Bilateral assistance, MAIN DATA'!$M:$M,'Bilateral assistance, MAIN DATA'!$B:$B,AB$1, 'Bilateral assistance, MAIN DATA'!$I:$I,$A31)</f>
        <v>0</v>
      </c>
      <c r="AC31" s="33">
        <f>SUMIFS('Bilateral assistance, MAIN DATA'!$M:$M,'Bilateral assistance, MAIN DATA'!$B:$B,AC$1, 'Bilateral assistance, MAIN DATA'!$I:$I,$A31)</f>
        <v>0</v>
      </c>
      <c r="AD31" s="33">
        <f>SUMIFS('Bilateral assistance, MAIN DATA'!$M:$M,'Bilateral assistance, MAIN DATA'!$B:$B,AD$1, 'Bilateral assistance, MAIN DATA'!$I:$I,$A31)</f>
        <v>0</v>
      </c>
      <c r="AE31" s="33">
        <f>SUMIFS('Bilateral assistance, MAIN DATA'!$M:$M,'Bilateral assistance, MAIN DATA'!$B:$B,AE$1, 'Bilateral assistance, MAIN DATA'!$I:$I,$A31)</f>
        <v>0</v>
      </c>
      <c r="AF31" s="33">
        <f>SUMIFS('Bilateral assistance, MAIN DATA'!$M:$M,'Bilateral assistance, MAIN DATA'!$B:$B,AF$1, 'Bilateral assistance, MAIN DATA'!$I:$I,$A31)</f>
        <v>0</v>
      </c>
      <c r="AG31" s="33">
        <f>SUMIFS('Bilateral assistance, MAIN DATA'!$M:$M,'Bilateral assistance, MAIN DATA'!$B:$B,AG$1, 'Bilateral assistance, MAIN DATA'!$I:$I,$A31)</f>
        <v>0</v>
      </c>
      <c r="AH31" s="33">
        <f>SUMIFS('Bilateral assistance, MAIN DATA'!$M:$M,'Bilateral assistance, MAIN DATA'!$B:$B,AH$1, 'Bilateral assistance, MAIN DATA'!$I:$I,$A31)</f>
        <v>240</v>
      </c>
      <c r="AI31" s="33">
        <f>SUMIFS('Bilateral assistance, MAIN DATA'!$M:$M,'Bilateral assistance, MAIN DATA'!$B:$B,AI$1, 'Bilateral assistance, MAIN DATA'!$I:$I,$A31)</f>
        <v>0</v>
      </c>
      <c r="AJ31" s="33">
        <f>SUMIFS('Bilateral assistance, MAIN DATA'!$M:$M,'Bilateral assistance, MAIN DATA'!$B:$B,AJ$1, 'Bilateral assistance, MAIN DATA'!$I:$I,$A31)</f>
        <v>0</v>
      </c>
      <c r="AK31" s="33">
        <f>SUMIFS('Bilateral assistance, MAIN DATA'!$M:$M,'Bilateral assistance, MAIN DATA'!$B:$B,AK$1, 'Bilateral assistance, MAIN DATA'!$I:$I,$A31)</f>
        <v>0</v>
      </c>
      <c r="AL31" s="33">
        <f>SUMIFS('Bilateral assistance, MAIN DATA'!$M:$M,'Bilateral assistance, MAIN DATA'!$B:$B,AL$1, 'Bilateral assistance, MAIN DATA'!$I:$I,$A31)</f>
        <v>0</v>
      </c>
      <c r="AM31" s="33">
        <f>SUMIFS('Bilateral assistance, MAIN DATA'!$M:$M,'Bilateral assistance, MAIN DATA'!$B:$B,AM$1, 'Bilateral assistance, MAIN DATA'!$I:$I,$A31)</f>
        <v>0</v>
      </c>
      <c r="AN31" s="33">
        <f>SUMIFS('Bilateral assistance, MAIN DATA'!$M:$M,'Bilateral assistance, MAIN DATA'!$B:$B,AN$1, 'Bilateral assistance, MAIN DATA'!$I:$I,$A31)</f>
        <v>0</v>
      </c>
      <c r="AO31" s="33">
        <f>SUMIFS('Bilateral assistance, MAIN DATA'!$M:$M,'Bilateral assistance, MAIN DATA'!$B:$B,AO$1, 'Bilateral assistance, MAIN DATA'!$I:$I,$A31)</f>
        <v>0</v>
      </c>
      <c r="AP31" s="33">
        <f>SUMIFS('Bilateral assistance, MAIN DATA'!$M:$M,'Bilateral assistance, MAIN DATA'!$B:$B,AP$1, 'Bilateral assistance, MAIN DATA'!$I:$I,$A31)</f>
        <v>0</v>
      </c>
      <c r="AQ31" s="33">
        <f>SUMIFS('Bilateral assistance, MAIN DATA'!$M:$M,'Bilateral assistance, MAIN DATA'!$B:$B,AQ$1, 'Bilateral assistance, MAIN DATA'!$I:$I,$A31)</f>
        <v>0</v>
      </c>
      <c r="AR31" s="33">
        <f>SUMIFS('Bilateral assistance, MAIN DATA'!$M:$M,'Bilateral assistance, MAIN DATA'!$B:$B,AR$1, 'Bilateral assistance, MAIN DATA'!$I:$I,$A31)</f>
        <v>0</v>
      </c>
      <c r="AS31" s="33">
        <f>SUMIFS('Bilateral assistance, MAIN DATA'!$M:$M,'Bilateral assistance, MAIN DATA'!$B:$B,AS$1, 'Bilateral assistance, MAIN DATA'!$I:$I,$A31)</f>
        <v>0</v>
      </c>
    </row>
    <row r="32" spans="1:45">
      <c r="A32" s="27" t="s">
        <v>4153</v>
      </c>
      <c r="B32" s="33">
        <f t="shared" si="0"/>
        <v>0</v>
      </c>
      <c r="C32" s="645" t="s">
        <v>3256</v>
      </c>
      <c r="D32" s="33" t="s">
        <v>4152</v>
      </c>
      <c r="F32" s="33">
        <f>SUMIFS('Bilateral assistance, MAIN DATA'!$M:$M,'Bilateral assistance, MAIN DATA'!$B:$B,F$1, 'Bilateral assistance, MAIN DATA'!$I:$I,$A32)</f>
        <v>0</v>
      </c>
      <c r="G32" s="33">
        <f>SUMIFS('Bilateral assistance, MAIN DATA'!$M:$M,'Bilateral assistance, MAIN DATA'!$B:$B,G$1, 'Bilateral assistance, MAIN DATA'!$I:$I,$A32)</f>
        <v>0</v>
      </c>
      <c r="H32" s="33">
        <f>SUMIFS('Bilateral assistance, MAIN DATA'!$M:$M,'Bilateral assistance, MAIN DATA'!$B:$B,H$1, 'Bilateral assistance, MAIN DATA'!$I:$I,$A32)</f>
        <v>0</v>
      </c>
      <c r="I32" s="33">
        <f>SUMIFS('Bilateral assistance, MAIN DATA'!$M:$M,'Bilateral assistance, MAIN DATA'!$B:$B,I$1, 'Bilateral assistance, MAIN DATA'!$I:$I,$A32)</f>
        <v>0</v>
      </c>
      <c r="J32" s="33">
        <f>SUMIFS('Bilateral assistance, MAIN DATA'!$M:$M,'Bilateral assistance, MAIN DATA'!$B:$B,J$1, 'Bilateral assistance, MAIN DATA'!$I:$I,$A32)</f>
        <v>0</v>
      </c>
      <c r="K32" s="33">
        <f>SUMIFS('Bilateral assistance, MAIN DATA'!$M:$M,'Bilateral assistance, MAIN DATA'!$B:$B,K$1, 'Bilateral assistance, MAIN DATA'!$I:$I,$A32)</f>
        <v>0</v>
      </c>
      <c r="L32" s="33">
        <f>SUMIFS('Bilateral assistance, MAIN DATA'!$M:$M,'Bilateral assistance, MAIN DATA'!$B:$B,L$1, 'Bilateral assistance, MAIN DATA'!$I:$I,$A32)</f>
        <v>0</v>
      </c>
      <c r="M32" s="33">
        <f>SUMIFS('Bilateral assistance, MAIN DATA'!$M:$M,'Bilateral assistance, MAIN DATA'!$B:$B,M$1, 'Bilateral assistance, MAIN DATA'!$I:$I,$A32)</f>
        <v>0</v>
      </c>
      <c r="N32" s="33">
        <f>SUMIFS('Bilateral assistance, MAIN DATA'!$M:$M,'Bilateral assistance, MAIN DATA'!$B:$B,N$1, 'Bilateral assistance, MAIN DATA'!$I:$I,$A32)</f>
        <v>0</v>
      </c>
      <c r="O32" s="33">
        <f>SUMIFS('Bilateral assistance, MAIN DATA'!$M:$M,'Bilateral assistance, MAIN DATA'!$B:$B,O$1, 'Bilateral assistance, MAIN DATA'!$I:$I,$A32)</f>
        <v>0</v>
      </c>
      <c r="P32" s="33">
        <f>SUMIFS('Bilateral assistance, MAIN DATA'!$M:$M,'Bilateral assistance, MAIN DATA'!$B:$B,P$1, 'Bilateral assistance, MAIN DATA'!$I:$I,$A32)</f>
        <v>0</v>
      </c>
      <c r="Q32" s="33">
        <f>SUMIFS('Bilateral assistance, MAIN DATA'!$M:$M,'Bilateral assistance, MAIN DATA'!$B:$B,Q$1, 'Bilateral assistance, MAIN DATA'!$I:$I,$A32)</f>
        <v>0</v>
      </c>
      <c r="R32" s="33">
        <f>SUMIFS('Bilateral assistance, MAIN DATA'!$M:$M,'Bilateral assistance, MAIN DATA'!$B:$B,R$1, 'Bilateral assistance, MAIN DATA'!$I:$I,$A32)</f>
        <v>0</v>
      </c>
      <c r="S32" s="33">
        <f>SUMIFS('Bilateral assistance, MAIN DATA'!$M:$M,'Bilateral assistance, MAIN DATA'!$B:$B,S$1, 'Bilateral assistance, MAIN DATA'!$I:$I,$A32)</f>
        <v>0</v>
      </c>
      <c r="T32" s="33">
        <f>SUMIFS('Bilateral assistance, MAIN DATA'!$M:$M,'Bilateral assistance, MAIN DATA'!$B:$B,T$1, 'Bilateral assistance, MAIN DATA'!$I:$I,$A32)</f>
        <v>0</v>
      </c>
      <c r="U32" s="33">
        <f>SUMIFS('Bilateral assistance, MAIN DATA'!$M:$M,'Bilateral assistance, MAIN DATA'!$B:$B,U$1, 'Bilateral assistance, MAIN DATA'!$I:$I,$A32)</f>
        <v>0</v>
      </c>
      <c r="V32" s="33">
        <f>SUMIFS('Bilateral assistance, MAIN DATA'!$M:$M,'Bilateral assistance, MAIN DATA'!$B:$B,V$1, 'Bilateral assistance, MAIN DATA'!$I:$I,$A32)</f>
        <v>0</v>
      </c>
      <c r="W32" s="33">
        <f>SUMIFS('Bilateral assistance, MAIN DATA'!$M:$M,'Bilateral assistance, MAIN DATA'!$B:$B,W$1, 'Bilateral assistance, MAIN DATA'!$I:$I,$A32)</f>
        <v>0</v>
      </c>
      <c r="X32" s="33">
        <f>SUMIFS('Bilateral assistance, MAIN DATA'!$M:$M,'Bilateral assistance, MAIN DATA'!$B:$B,X$1, 'Bilateral assistance, MAIN DATA'!$I:$I,$A32)</f>
        <v>0</v>
      </c>
      <c r="Y32" s="33">
        <f>SUMIFS('Bilateral assistance, MAIN DATA'!$M:$M,'Bilateral assistance, MAIN DATA'!$B:$B,Y$1, 'Bilateral assistance, MAIN DATA'!$I:$I,$A32)</f>
        <v>0</v>
      </c>
      <c r="Z32" s="33">
        <f>SUMIFS('Bilateral assistance, MAIN DATA'!$M:$M,'Bilateral assistance, MAIN DATA'!$B:$B,Z$1, 'Bilateral assistance, MAIN DATA'!$I:$I,$A32)</f>
        <v>0</v>
      </c>
      <c r="AA32" s="33">
        <f>SUMIFS('Bilateral assistance, MAIN DATA'!$M:$M,'Bilateral assistance, MAIN DATA'!$B:$B,AA$1, 'Bilateral assistance, MAIN DATA'!$I:$I,$A32)</f>
        <v>0</v>
      </c>
      <c r="AB32" s="33">
        <f>SUMIFS('Bilateral assistance, MAIN DATA'!$M:$M,'Bilateral assistance, MAIN DATA'!$B:$B,AB$1, 'Bilateral assistance, MAIN DATA'!$I:$I,$A32)</f>
        <v>0</v>
      </c>
      <c r="AC32" s="33">
        <f>SUMIFS('Bilateral assistance, MAIN DATA'!$M:$M,'Bilateral assistance, MAIN DATA'!$B:$B,AC$1, 'Bilateral assistance, MAIN DATA'!$I:$I,$A32)</f>
        <v>0</v>
      </c>
      <c r="AD32" s="33">
        <f>SUMIFS('Bilateral assistance, MAIN DATA'!$M:$M,'Bilateral assistance, MAIN DATA'!$B:$B,AD$1, 'Bilateral assistance, MAIN DATA'!$I:$I,$A32)</f>
        <v>0</v>
      </c>
      <c r="AE32" s="33">
        <f>SUMIFS('Bilateral assistance, MAIN DATA'!$M:$M,'Bilateral assistance, MAIN DATA'!$B:$B,AE$1, 'Bilateral assistance, MAIN DATA'!$I:$I,$A32)</f>
        <v>0</v>
      </c>
      <c r="AF32" s="33">
        <f>SUMIFS('Bilateral assistance, MAIN DATA'!$M:$M,'Bilateral assistance, MAIN DATA'!$B:$B,AF$1, 'Bilateral assistance, MAIN DATA'!$I:$I,$A32)</f>
        <v>0</v>
      </c>
      <c r="AG32" s="33">
        <f>SUMIFS('Bilateral assistance, MAIN DATA'!$M:$M,'Bilateral assistance, MAIN DATA'!$B:$B,AG$1, 'Bilateral assistance, MAIN DATA'!$I:$I,$A32)</f>
        <v>0</v>
      </c>
      <c r="AH32" s="33">
        <f>SUMIFS('Bilateral assistance, MAIN DATA'!$M:$M,'Bilateral assistance, MAIN DATA'!$B:$B,AH$1, 'Bilateral assistance, MAIN DATA'!$I:$I,$A32)</f>
        <v>0</v>
      </c>
      <c r="AI32" s="33">
        <f>SUMIFS('Bilateral assistance, MAIN DATA'!$M:$M,'Bilateral assistance, MAIN DATA'!$B:$B,AI$1, 'Bilateral assistance, MAIN DATA'!$I:$I,$A32)</f>
        <v>0</v>
      </c>
      <c r="AJ32" s="33">
        <f>SUMIFS('Bilateral assistance, MAIN DATA'!$M:$M,'Bilateral assistance, MAIN DATA'!$B:$B,AJ$1, 'Bilateral assistance, MAIN DATA'!$I:$I,$A32)</f>
        <v>0</v>
      </c>
      <c r="AK32" s="33">
        <f>SUMIFS('Bilateral assistance, MAIN DATA'!$M:$M,'Bilateral assistance, MAIN DATA'!$B:$B,AK$1, 'Bilateral assistance, MAIN DATA'!$I:$I,$A32)</f>
        <v>0</v>
      </c>
      <c r="AL32" s="33">
        <f>SUMIFS('Bilateral assistance, MAIN DATA'!$M:$M,'Bilateral assistance, MAIN DATA'!$B:$B,AL$1, 'Bilateral assistance, MAIN DATA'!$I:$I,$A32)</f>
        <v>0</v>
      </c>
      <c r="AM32" s="33">
        <f>SUMIFS('Bilateral assistance, MAIN DATA'!$M:$M,'Bilateral assistance, MAIN DATA'!$B:$B,AM$1, 'Bilateral assistance, MAIN DATA'!$I:$I,$A32)</f>
        <v>0</v>
      </c>
      <c r="AN32" s="33">
        <f>SUMIFS('Bilateral assistance, MAIN DATA'!$M:$M,'Bilateral assistance, MAIN DATA'!$B:$B,AN$1, 'Bilateral assistance, MAIN DATA'!$I:$I,$A32)</f>
        <v>0</v>
      </c>
      <c r="AO32" s="33">
        <f>SUMIFS('Bilateral assistance, MAIN DATA'!$M:$M,'Bilateral assistance, MAIN DATA'!$B:$B,AO$1, 'Bilateral assistance, MAIN DATA'!$I:$I,$A32)</f>
        <v>0</v>
      </c>
      <c r="AP32" s="33">
        <f>SUMIFS('Bilateral assistance, MAIN DATA'!$M:$M,'Bilateral assistance, MAIN DATA'!$B:$B,AP$1, 'Bilateral assistance, MAIN DATA'!$I:$I,$A32)</f>
        <v>0</v>
      </c>
      <c r="AQ32" s="33">
        <f>SUMIFS('Bilateral assistance, MAIN DATA'!$M:$M,'Bilateral assistance, MAIN DATA'!$B:$B,AQ$1, 'Bilateral assistance, MAIN DATA'!$I:$I,$A32)</f>
        <v>0</v>
      </c>
      <c r="AR32" s="33">
        <f>SUMIFS('Bilateral assistance, MAIN DATA'!$M:$M,'Bilateral assistance, MAIN DATA'!$B:$B,AR$1, 'Bilateral assistance, MAIN DATA'!$I:$I,$A32)</f>
        <v>0</v>
      </c>
      <c r="AS32" s="33">
        <f>SUMIFS('Bilateral assistance, MAIN DATA'!$M:$M,'Bilateral assistance, MAIN DATA'!$B:$B,AS$1, 'Bilateral assistance, MAIN DATA'!$I:$I,$A32)</f>
        <v>0</v>
      </c>
    </row>
    <row r="33" spans="1:45">
      <c r="A33" s="27" t="s">
        <v>1938</v>
      </c>
      <c r="B33" s="33">
        <f t="shared" si="0"/>
        <v>0</v>
      </c>
      <c r="C33" s="645" t="s">
        <v>3256</v>
      </c>
      <c r="D33" s="33" t="s">
        <v>4152</v>
      </c>
      <c r="F33" s="33">
        <f>SUMIFS('Bilateral assistance, MAIN DATA'!$M:$M,'Bilateral assistance, MAIN DATA'!$B:$B,F$1, 'Bilateral assistance, MAIN DATA'!$I:$I,$A33)</f>
        <v>0</v>
      </c>
      <c r="G33" s="33">
        <f>SUMIFS('Bilateral assistance, MAIN DATA'!$M:$M,'Bilateral assistance, MAIN DATA'!$B:$B,G$1, 'Bilateral assistance, MAIN DATA'!$I:$I,$A33)</f>
        <v>0</v>
      </c>
      <c r="H33" s="33">
        <f>SUMIFS('Bilateral assistance, MAIN DATA'!$M:$M,'Bilateral assistance, MAIN DATA'!$B:$B,H$1, 'Bilateral assistance, MAIN DATA'!$I:$I,$A33)</f>
        <v>0</v>
      </c>
      <c r="I33" s="33">
        <f>SUMIFS('Bilateral assistance, MAIN DATA'!$M:$M,'Bilateral assistance, MAIN DATA'!$B:$B,I$1, 'Bilateral assistance, MAIN DATA'!$I:$I,$A33)</f>
        <v>0</v>
      </c>
      <c r="J33" s="33">
        <f>SUMIFS('Bilateral assistance, MAIN DATA'!$M:$M,'Bilateral assistance, MAIN DATA'!$B:$B,J$1, 'Bilateral assistance, MAIN DATA'!$I:$I,$A33)</f>
        <v>0</v>
      </c>
      <c r="K33" s="33">
        <f>SUMIFS('Bilateral assistance, MAIN DATA'!$M:$M,'Bilateral assistance, MAIN DATA'!$B:$B,K$1, 'Bilateral assistance, MAIN DATA'!$I:$I,$A33)</f>
        <v>0</v>
      </c>
      <c r="L33" s="33">
        <f>SUMIFS('Bilateral assistance, MAIN DATA'!$M:$M,'Bilateral assistance, MAIN DATA'!$B:$B,L$1, 'Bilateral assistance, MAIN DATA'!$I:$I,$A33)</f>
        <v>0</v>
      </c>
      <c r="M33" s="33">
        <f>SUMIFS('Bilateral assistance, MAIN DATA'!$M:$M,'Bilateral assistance, MAIN DATA'!$B:$B,M$1, 'Bilateral assistance, MAIN DATA'!$I:$I,$A33)</f>
        <v>0</v>
      </c>
      <c r="N33" s="33">
        <f>SUMIFS('Bilateral assistance, MAIN DATA'!$M:$M,'Bilateral assistance, MAIN DATA'!$B:$B,N$1, 'Bilateral assistance, MAIN DATA'!$I:$I,$A33)</f>
        <v>0</v>
      </c>
      <c r="O33" s="33">
        <f>SUMIFS('Bilateral assistance, MAIN DATA'!$M:$M,'Bilateral assistance, MAIN DATA'!$B:$B,O$1, 'Bilateral assistance, MAIN DATA'!$I:$I,$A33)</f>
        <v>0</v>
      </c>
      <c r="P33" s="33">
        <f>SUMIFS('Bilateral assistance, MAIN DATA'!$M:$M,'Bilateral assistance, MAIN DATA'!$B:$B,P$1, 'Bilateral assistance, MAIN DATA'!$I:$I,$A33)</f>
        <v>0</v>
      </c>
      <c r="Q33" s="33">
        <f>SUMIFS('Bilateral assistance, MAIN DATA'!$M:$M,'Bilateral assistance, MAIN DATA'!$B:$B,Q$1, 'Bilateral assistance, MAIN DATA'!$I:$I,$A33)</f>
        <v>0</v>
      </c>
      <c r="R33" s="33">
        <f>SUMIFS('Bilateral assistance, MAIN DATA'!$M:$M,'Bilateral assistance, MAIN DATA'!$B:$B,R$1, 'Bilateral assistance, MAIN DATA'!$I:$I,$A33)</f>
        <v>0</v>
      </c>
      <c r="S33" s="33">
        <f>SUMIFS('Bilateral assistance, MAIN DATA'!$M:$M,'Bilateral assistance, MAIN DATA'!$B:$B,S$1, 'Bilateral assistance, MAIN DATA'!$I:$I,$A33)</f>
        <v>0</v>
      </c>
      <c r="T33" s="33">
        <f>SUMIFS('Bilateral assistance, MAIN DATA'!$M:$M,'Bilateral assistance, MAIN DATA'!$B:$B,T$1, 'Bilateral assistance, MAIN DATA'!$I:$I,$A33)</f>
        <v>0</v>
      </c>
      <c r="U33" s="33">
        <f>SUMIFS('Bilateral assistance, MAIN DATA'!$M:$M,'Bilateral assistance, MAIN DATA'!$B:$B,U$1, 'Bilateral assistance, MAIN DATA'!$I:$I,$A33)</f>
        <v>0</v>
      </c>
      <c r="V33" s="33">
        <f>SUMIFS('Bilateral assistance, MAIN DATA'!$M:$M,'Bilateral assistance, MAIN DATA'!$B:$B,V$1, 'Bilateral assistance, MAIN DATA'!$I:$I,$A33)</f>
        <v>0</v>
      </c>
      <c r="W33" s="33">
        <f>SUMIFS('Bilateral assistance, MAIN DATA'!$M:$M,'Bilateral assistance, MAIN DATA'!$B:$B,W$1, 'Bilateral assistance, MAIN DATA'!$I:$I,$A33)</f>
        <v>0</v>
      </c>
      <c r="X33" s="33">
        <f>SUMIFS('Bilateral assistance, MAIN DATA'!$M:$M,'Bilateral assistance, MAIN DATA'!$B:$B,X$1, 'Bilateral assistance, MAIN DATA'!$I:$I,$A33)</f>
        <v>0</v>
      </c>
      <c r="Y33" s="33">
        <f>SUMIFS('Bilateral assistance, MAIN DATA'!$M:$M,'Bilateral assistance, MAIN DATA'!$B:$B,Y$1, 'Bilateral assistance, MAIN DATA'!$I:$I,$A33)</f>
        <v>0</v>
      </c>
      <c r="Z33" s="33">
        <f>SUMIFS('Bilateral assistance, MAIN DATA'!$M:$M,'Bilateral assistance, MAIN DATA'!$B:$B,Z$1, 'Bilateral assistance, MAIN DATA'!$I:$I,$A33)</f>
        <v>0</v>
      </c>
      <c r="AA33" s="33">
        <f>SUMIFS('Bilateral assistance, MAIN DATA'!$M:$M,'Bilateral assistance, MAIN DATA'!$B:$B,AA$1, 'Bilateral assistance, MAIN DATA'!$I:$I,$A33)</f>
        <v>0</v>
      </c>
      <c r="AB33" s="33">
        <f>SUMIFS('Bilateral assistance, MAIN DATA'!$M:$M,'Bilateral assistance, MAIN DATA'!$B:$B,AB$1, 'Bilateral assistance, MAIN DATA'!$I:$I,$A33)</f>
        <v>0</v>
      </c>
      <c r="AC33" s="33">
        <f>SUMIFS('Bilateral assistance, MAIN DATA'!$M:$M,'Bilateral assistance, MAIN DATA'!$B:$B,AC$1, 'Bilateral assistance, MAIN DATA'!$I:$I,$A33)</f>
        <v>0</v>
      </c>
      <c r="AD33" s="33">
        <f>SUMIFS('Bilateral assistance, MAIN DATA'!$M:$M,'Bilateral assistance, MAIN DATA'!$B:$B,AD$1, 'Bilateral assistance, MAIN DATA'!$I:$I,$A33)</f>
        <v>0</v>
      </c>
      <c r="AE33" s="33">
        <f>SUMIFS('Bilateral assistance, MAIN DATA'!$M:$M,'Bilateral assistance, MAIN DATA'!$B:$B,AE$1, 'Bilateral assistance, MAIN DATA'!$I:$I,$A33)</f>
        <v>0</v>
      </c>
      <c r="AF33" s="33">
        <f>SUMIFS('Bilateral assistance, MAIN DATA'!$M:$M,'Bilateral assistance, MAIN DATA'!$B:$B,AF$1, 'Bilateral assistance, MAIN DATA'!$I:$I,$A33)</f>
        <v>0</v>
      </c>
      <c r="AG33" s="33">
        <f>SUMIFS('Bilateral assistance, MAIN DATA'!$M:$M,'Bilateral assistance, MAIN DATA'!$B:$B,AG$1, 'Bilateral assistance, MAIN DATA'!$I:$I,$A33)</f>
        <v>0</v>
      </c>
      <c r="AH33" s="33">
        <f>SUMIFS('Bilateral assistance, MAIN DATA'!$M:$M,'Bilateral assistance, MAIN DATA'!$B:$B,AH$1, 'Bilateral assistance, MAIN DATA'!$I:$I,$A33)</f>
        <v>0</v>
      </c>
      <c r="AI33" s="33">
        <f>SUMIFS('Bilateral assistance, MAIN DATA'!$M:$M,'Bilateral assistance, MAIN DATA'!$B:$B,AI$1, 'Bilateral assistance, MAIN DATA'!$I:$I,$A33)</f>
        <v>0</v>
      </c>
      <c r="AJ33" s="33">
        <f>SUMIFS('Bilateral assistance, MAIN DATA'!$M:$M,'Bilateral assistance, MAIN DATA'!$B:$B,AJ$1, 'Bilateral assistance, MAIN DATA'!$I:$I,$A33)</f>
        <v>0</v>
      </c>
      <c r="AK33" s="33">
        <f>SUMIFS('Bilateral assistance, MAIN DATA'!$M:$M,'Bilateral assistance, MAIN DATA'!$B:$B,AK$1, 'Bilateral assistance, MAIN DATA'!$I:$I,$A33)</f>
        <v>0</v>
      </c>
      <c r="AL33" s="33">
        <f>SUMIFS('Bilateral assistance, MAIN DATA'!$M:$M,'Bilateral assistance, MAIN DATA'!$B:$B,AL$1, 'Bilateral assistance, MAIN DATA'!$I:$I,$A33)</f>
        <v>0</v>
      </c>
      <c r="AM33" s="33">
        <f>SUMIFS('Bilateral assistance, MAIN DATA'!$M:$M,'Bilateral assistance, MAIN DATA'!$B:$B,AM$1, 'Bilateral assistance, MAIN DATA'!$I:$I,$A33)</f>
        <v>0</v>
      </c>
      <c r="AN33" s="33">
        <f>SUMIFS('Bilateral assistance, MAIN DATA'!$M:$M,'Bilateral assistance, MAIN DATA'!$B:$B,AN$1, 'Bilateral assistance, MAIN DATA'!$I:$I,$A33)</f>
        <v>0</v>
      </c>
      <c r="AO33" s="33">
        <f>SUMIFS('Bilateral assistance, MAIN DATA'!$M:$M,'Bilateral assistance, MAIN DATA'!$B:$B,AO$1, 'Bilateral assistance, MAIN DATA'!$I:$I,$A33)</f>
        <v>0</v>
      </c>
      <c r="AP33" s="33">
        <f>SUMIFS('Bilateral assistance, MAIN DATA'!$M:$M,'Bilateral assistance, MAIN DATA'!$B:$B,AP$1, 'Bilateral assistance, MAIN DATA'!$I:$I,$A33)</f>
        <v>0</v>
      </c>
      <c r="AQ33" s="33">
        <f>SUMIFS('Bilateral assistance, MAIN DATA'!$M:$M,'Bilateral assistance, MAIN DATA'!$B:$B,AQ$1, 'Bilateral assistance, MAIN DATA'!$I:$I,$A33)</f>
        <v>0</v>
      </c>
      <c r="AR33" s="33">
        <f>SUMIFS('Bilateral assistance, MAIN DATA'!$M:$M,'Bilateral assistance, MAIN DATA'!$B:$B,AR$1, 'Bilateral assistance, MAIN DATA'!$I:$I,$A33)</f>
        <v>0</v>
      </c>
      <c r="AS33" s="33">
        <f>SUMIFS('Bilateral assistance, MAIN DATA'!$M:$M,'Bilateral assistance, MAIN DATA'!$B:$B,AS$1, 'Bilateral assistance, MAIN DATA'!$I:$I,$A33)</f>
        <v>0</v>
      </c>
    </row>
    <row r="34" spans="1:45">
      <c r="A34" s="27" t="s">
        <v>2158</v>
      </c>
      <c r="B34" s="33">
        <f t="shared" ref="B34" si="1">SUM(F34:AS34)</f>
        <v>28</v>
      </c>
      <c r="C34" s="645" t="s">
        <v>3256</v>
      </c>
      <c r="D34" s="33" t="s">
        <v>4152</v>
      </c>
      <c r="F34" s="33">
        <f>SUMIFS('Bilateral assistance, MAIN DATA'!$M:$M,'Bilateral assistance, MAIN DATA'!$B:$B,F$1, 'Bilateral assistance, MAIN DATA'!$I:$I,$A34)</f>
        <v>0</v>
      </c>
      <c r="G34" s="33">
        <f>SUMIFS('Bilateral assistance, MAIN DATA'!$M:$M,'Bilateral assistance, MAIN DATA'!$B:$B,G$1, 'Bilateral assistance, MAIN DATA'!$I:$I,$A34)</f>
        <v>0</v>
      </c>
      <c r="H34" s="33">
        <f>SUMIFS('Bilateral assistance, MAIN DATA'!$M:$M,'Bilateral assistance, MAIN DATA'!$B:$B,H$1, 'Bilateral assistance, MAIN DATA'!$I:$I,$A34)</f>
        <v>0</v>
      </c>
      <c r="I34" s="33">
        <f>SUMIFS('Bilateral assistance, MAIN DATA'!$M:$M,'Bilateral assistance, MAIN DATA'!$B:$B,I$1, 'Bilateral assistance, MAIN DATA'!$I:$I,$A34)</f>
        <v>0</v>
      </c>
      <c r="J34" s="33">
        <f>SUMIFS('Bilateral assistance, MAIN DATA'!$M:$M,'Bilateral assistance, MAIN DATA'!$B:$B,J$1, 'Bilateral assistance, MAIN DATA'!$I:$I,$A34)</f>
        <v>0</v>
      </c>
      <c r="K34" s="33">
        <f>SUMIFS('Bilateral assistance, MAIN DATA'!$M:$M,'Bilateral assistance, MAIN DATA'!$B:$B,K$1, 'Bilateral assistance, MAIN DATA'!$I:$I,$A34)</f>
        <v>0</v>
      </c>
      <c r="L34" s="33">
        <f>SUMIFS('Bilateral assistance, MAIN DATA'!$M:$M,'Bilateral assistance, MAIN DATA'!$B:$B,L$1, 'Bilateral assistance, MAIN DATA'!$I:$I,$A34)</f>
        <v>0</v>
      </c>
      <c r="M34" s="33">
        <f>SUMIFS('Bilateral assistance, MAIN DATA'!$M:$M,'Bilateral assistance, MAIN DATA'!$B:$B,M$1, 'Bilateral assistance, MAIN DATA'!$I:$I,$A34)</f>
        <v>0</v>
      </c>
      <c r="N34" s="33">
        <f>SUMIFS('Bilateral assistance, MAIN DATA'!$M:$M,'Bilateral assistance, MAIN DATA'!$B:$B,N$1, 'Bilateral assistance, MAIN DATA'!$I:$I,$A34)</f>
        <v>0</v>
      </c>
      <c r="O34" s="33">
        <f>SUMIFS('Bilateral assistance, MAIN DATA'!$M:$M,'Bilateral assistance, MAIN DATA'!$B:$B,O$1, 'Bilateral assistance, MAIN DATA'!$I:$I,$A34)</f>
        <v>0</v>
      </c>
      <c r="P34" s="33">
        <f>SUMIFS('Bilateral assistance, MAIN DATA'!$M:$M,'Bilateral assistance, MAIN DATA'!$B:$B,P$1, 'Bilateral assistance, MAIN DATA'!$I:$I,$A34)</f>
        <v>0</v>
      </c>
      <c r="Q34" s="33">
        <f>SUMIFS('Bilateral assistance, MAIN DATA'!$M:$M,'Bilateral assistance, MAIN DATA'!$B:$B,Q$1, 'Bilateral assistance, MAIN DATA'!$I:$I,$A34)</f>
        <v>0</v>
      </c>
      <c r="R34" s="33">
        <f>SUMIFS('Bilateral assistance, MAIN DATA'!$M:$M,'Bilateral assistance, MAIN DATA'!$B:$B,R$1, 'Bilateral assistance, MAIN DATA'!$I:$I,$A34)</f>
        <v>0</v>
      </c>
      <c r="S34" s="33">
        <f>SUMIFS('Bilateral assistance, MAIN DATA'!$M:$M,'Bilateral assistance, MAIN DATA'!$B:$B,S$1, 'Bilateral assistance, MAIN DATA'!$I:$I,$A34)</f>
        <v>0</v>
      </c>
      <c r="T34" s="33">
        <f>SUMIFS('Bilateral assistance, MAIN DATA'!$M:$M,'Bilateral assistance, MAIN DATA'!$B:$B,T$1, 'Bilateral assistance, MAIN DATA'!$I:$I,$A34)</f>
        <v>0</v>
      </c>
      <c r="U34" s="33">
        <f>SUMIFS('Bilateral assistance, MAIN DATA'!$M:$M,'Bilateral assistance, MAIN DATA'!$B:$B,U$1, 'Bilateral assistance, MAIN DATA'!$I:$I,$A34)</f>
        <v>0</v>
      </c>
      <c r="V34" s="33">
        <f>SUMIFS('Bilateral assistance, MAIN DATA'!$M:$M,'Bilateral assistance, MAIN DATA'!$B:$B,V$1, 'Bilateral assistance, MAIN DATA'!$I:$I,$A34)</f>
        <v>0</v>
      </c>
      <c r="W34" s="33">
        <f>SUMIFS('Bilateral assistance, MAIN DATA'!$M:$M,'Bilateral assistance, MAIN DATA'!$B:$B,W$1, 'Bilateral assistance, MAIN DATA'!$I:$I,$A34)</f>
        <v>0</v>
      </c>
      <c r="X34" s="33">
        <f>SUMIFS('Bilateral assistance, MAIN DATA'!$M:$M,'Bilateral assistance, MAIN DATA'!$B:$B,X$1, 'Bilateral assistance, MAIN DATA'!$I:$I,$A34)</f>
        <v>0</v>
      </c>
      <c r="Y34" s="33">
        <f>SUMIFS('Bilateral assistance, MAIN DATA'!$M:$M,'Bilateral assistance, MAIN DATA'!$B:$B,Y$1, 'Bilateral assistance, MAIN DATA'!$I:$I,$A34)</f>
        <v>0</v>
      </c>
      <c r="Z34" s="33">
        <f>SUMIFS('Bilateral assistance, MAIN DATA'!$M:$M,'Bilateral assistance, MAIN DATA'!$B:$B,Z$1, 'Bilateral assistance, MAIN DATA'!$I:$I,$A34)</f>
        <v>0</v>
      </c>
      <c r="AA34" s="33">
        <f>SUMIFS('Bilateral assistance, MAIN DATA'!$M:$M,'Bilateral assistance, MAIN DATA'!$B:$B,AA$1, 'Bilateral assistance, MAIN DATA'!$I:$I,$A34)</f>
        <v>0</v>
      </c>
      <c r="AB34" s="33">
        <f>SUMIFS('Bilateral assistance, MAIN DATA'!$M:$M,'Bilateral assistance, MAIN DATA'!$B:$B,AB$1, 'Bilateral assistance, MAIN DATA'!$I:$I,$A34)</f>
        <v>0</v>
      </c>
      <c r="AC34" s="33">
        <f>SUMIFS('Bilateral assistance, MAIN DATA'!$M:$M,'Bilateral assistance, MAIN DATA'!$B:$B,AC$1, 'Bilateral assistance, MAIN DATA'!$I:$I,$A34)</f>
        <v>0</v>
      </c>
      <c r="AD34" s="33">
        <f>SUMIFS('Bilateral assistance, MAIN DATA'!$M:$M,'Bilateral assistance, MAIN DATA'!$B:$B,AD$1, 'Bilateral assistance, MAIN DATA'!$I:$I,$A34)</f>
        <v>0</v>
      </c>
      <c r="AE34" s="33">
        <f>SUMIFS('Bilateral assistance, MAIN DATA'!$M:$M,'Bilateral assistance, MAIN DATA'!$B:$B,AE$1, 'Bilateral assistance, MAIN DATA'!$I:$I,$A34)</f>
        <v>0</v>
      </c>
      <c r="AF34" s="33">
        <f>SUMIFS('Bilateral assistance, MAIN DATA'!$M:$M,'Bilateral assistance, MAIN DATA'!$B:$B,AF$1, 'Bilateral assistance, MAIN DATA'!$I:$I,$A34)</f>
        <v>0</v>
      </c>
      <c r="AG34" s="33">
        <f>SUMIFS('Bilateral assistance, MAIN DATA'!$M:$M,'Bilateral assistance, MAIN DATA'!$B:$B,AG$1, 'Bilateral assistance, MAIN DATA'!$I:$I,$A34)</f>
        <v>0</v>
      </c>
      <c r="AH34" s="33">
        <f>SUMIFS('Bilateral assistance, MAIN DATA'!$M:$M,'Bilateral assistance, MAIN DATA'!$B:$B,AH$1, 'Bilateral assistance, MAIN DATA'!$I:$I,$A34)</f>
        <v>0</v>
      </c>
      <c r="AI34" s="33">
        <f>SUMIFS('Bilateral assistance, MAIN DATA'!$M:$M,'Bilateral assistance, MAIN DATA'!$B:$B,AI$1, 'Bilateral assistance, MAIN DATA'!$I:$I,$A34)</f>
        <v>0</v>
      </c>
      <c r="AJ34" s="33">
        <f>SUMIFS('Bilateral assistance, MAIN DATA'!$M:$M,'Bilateral assistance, MAIN DATA'!$B:$B,AJ$1, 'Bilateral assistance, MAIN DATA'!$I:$I,$A34)</f>
        <v>0</v>
      </c>
      <c r="AK34" s="33">
        <f>SUMIFS('Bilateral assistance, MAIN DATA'!$M:$M,'Bilateral assistance, MAIN DATA'!$B:$B,AK$1, 'Bilateral assistance, MAIN DATA'!$I:$I,$A34)</f>
        <v>0</v>
      </c>
      <c r="AL34" s="33">
        <f>SUMIFS('Bilateral assistance, MAIN DATA'!$M:$M,'Bilateral assistance, MAIN DATA'!$B:$B,AL$1, 'Bilateral assistance, MAIN DATA'!$I:$I,$A34)</f>
        <v>28</v>
      </c>
      <c r="AM34" s="33">
        <f>SUMIFS('Bilateral assistance, MAIN DATA'!$M:$M,'Bilateral assistance, MAIN DATA'!$B:$B,AM$1, 'Bilateral assistance, MAIN DATA'!$I:$I,$A34)</f>
        <v>0</v>
      </c>
      <c r="AN34" s="33">
        <f>SUMIFS('Bilateral assistance, MAIN DATA'!$M:$M,'Bilateral assistance, MAIN DATA'!$B:$B,AN$1, 'Bilateral assistance, MAIN DATA'!$I:$I,$A34)</f>
        <v>0</v>
      </c>
      <c r="AO34" s="33">
        <f>SUMIFS('Bilateral assistance, MAIN DATA'!$M:$M,'Bilateral assistance, MAIN DATA'!$B:$B,AO$1, 'Bilateral assistance, MAIN DATA'!$I:$I,$A34)</f>
        <v>0</v>
      </c>
      <c r="AP34" s="33">
        <f>SUMIFS('Bilateral assistance, MAIN DATA'!$M:$M,'Bilateral assistance, MAIN DATA'!$B:$B,AP$1, 'Bilateral assistance, MAIN DATA'!$I:$I,$A34)</f>
        <v>0</v>
      </c>
      <c r="AQ34" s="33">
        <f>SUMIFS('Bilateral assistance, MAIN DATA'!$M:$M,'Bilateral assistance, MAIN DATA'!$B:$B,AQ$1, 'Bilateral assistance, MAIN DATA'!$I:$I,$A34)</f>
        <v>0</v>
      </c>
      <c r="AR34" s="33">
        <f>SUMIFS('Bilateral assistance, MAIN DATA'!$M:$M,'Bilateral assistance, MAIN DATA'!$B:$B,AR$1, 'Bilateral assistance, MAIN DATA'!$I:$I,$A34)</f>
        <v>0</v>
      </c>
      <c r="AS34" s="33">
        <f>SUMIFS('Bilateral assistance, MAIN DATA'!$M:$M,'Bilateral assistance, MAIN DATA'!$B:$B,AS$1, 'Bilateral assistance, MAIN DATA'!$I:$I,$A34)</f>
        <v>0</v>
      </c>
    </row>
    <row r="35" spans="1:45">
      <c r="A35" s="27" t="s">
        <v>733</v>
      </c>
      <c r="B35" s="33">
        <f t="shared" ref="B35" si="2">SUM(F35:AS35)</f>
        <v>135</v>
      </c>
      <c r="C35" s="645" t="s">
        <v>3256</v>
      </c>
      <c r="D35" s="33" t="s">
        <v>4152</v>
      </c>
      <c r="F35" s="33">
        <f>SUMIFS('Bilateral assistance, MAIN DATA'!$M:$M,'Bilateral assistance, MAIN DATA'!$B:$B,F$1, 'Bilateral assistance, MAIN DATA'!$I:$I,$A35)</f>
        <v>0</v>
      </c>
      <c r="G35" s="33">
        <f>SUMIFS('Bilateral assistance, MAIN DATA'!$M:$M,'Bilateral assistance, MAIN DATA'!$B:$B,G$1, 'Bilateral assistance, MAIN DATA'!$I:$I,$A35)</f>
        <v>0</v>
      </c>
      <c r="H35" s="33">
        <f>SUMIFS('Bilateral assistance, MAIN DATA'!$M:$M,'Bilateral assistance, MAIN DATA'!$B:$B,H$1, 'Bilateral assistance, MAIN DATA'!$I:$I,$A35)</f>
        <v>0</v>
      </c>
      <c r="I35" s="33">
        <f>SUMIFS('Bilateral assistance, MAIN DATA'!$M:$M,'Bilateral assistance, MAIN DATA'!$B:$B,I$1, 'Bilateral assistance, MAIN DATA'!$I:$I,$A35)</f>
        <v>0</v>
      </c>
      <c r="J35" s="33">
        <f>SUMIFS('Bilateral assistance, MAIN DATA'!$M:$M,'Bilateral assistance, MAIN DATA'!$B:$B,J$1, 'Bilateral assistance, MAIN DATA'!$I:$I,$A35)</f>
        <v>0</v>
      </c>
      <c r="K35" s="33">
        <f>SUMIFS('Bilateral assistance, MAIN DATA'!$M:$M,'Bilateral assistance, MAIN DATA'!$B:$B,K$1, 'Bilateral assistance, MAIN DATA'!$I:$I,$A35)</f>
        <v>0</v>
      </c>
      <c r="L35" s="33">
        <f>SUMIFS('Bilateral assistance, MAIN DATA'!$M:$M,'Bilateral assistance, MAIN DATA'!$B:$B,L$1, 'Bilateral assistance, MAIN DATA'!$I:$I,$A35)</f>
        <v>0</v>
      </c>
      <c r="M35" s="33">
        <f>SUMIFS('Bilateral assistance, MAIN DATA'!$M:$M,'Bilateral assistance, MAIN DATA'!$B:$B,M$1, 'Bilateral assistance, MAIN DATA'!$I:$I,$A35)</f>
        <v>90</v>
      </c>
      <c r="N35" s="33">
        <f>SUMIFS('Bilateral assistance, MAIN DATA'!$M:$M,'Bilateral assistance, MAIN DATA'!$B:$B,N$1, 'Bilateral assistance, MAIN DATA'!$I:$I,$A35)</f>
        <v>0</v>
      </c>
      <c r="O35" s="33">
        <f>SUMIFS('Bilateral assistance, MAIN DATA'!$M:$M,'Bilateral assistance, MAIN DATA'!$B:$B,O$1, 'Bilateral assistance, MAIN DATA'!$I:$I,$A35)</f>
        <v>0</v>
      </c>
      <c r="P35" s="33">
        <f>SUMIFS('Bilateral assistance, MAIN DATA'!$M:$M,'Bilateral assistance, MAIN DATA'!$B:$B,P$1, 'Bilateral assistance, MAIN DATA'!$I:$I,$A35)</f>
        <v>0</v>
      </c>
      <c r="Q35" s="33">
        <f>SUMIFS('Bilateral assistance, MAIN DATA'!$M:$M,'Bilateral assistance, MAIN DATA'!$B:$B,Q$1, 'Bilateral assistance, MAIN DATA'!$I:$I,$A35)</f>
        <v>0</v>
      </c>
      <c r="R35" s="33">
        <f>SUMIFS('Bilateral assistance, MAIN DATA'!$M:$M,'Bilateral assistance, MAIN DATA'!$B:$B,R$1, 'Bilateral assistance, MAIN DATA'!$I:$I,$A35)</f>
        <v>0</v>
      </c>
      <c r="S35" s="33">
        <f>SUMIFS('Bilateral assistance, MAIN DATA'!$M:$M,'Bilateral assistance, MAIN DATA'!$B:$B,S$1, 'Bilateral assistance, MAIN DATA'!$I:$I,$A35)</f>
        <v>0</v>
      </c>
      <c r="T35" s="33">
        <f>SUMIFS('Bilateral assistance, MAIN DATA'!$M:$M,'Bilateral assistance, MAIN DATA'!$B:$B,T$1, 'Bilateral assistance, MAIN DATA'!$I:$I,$A35)</f>
        <v>0</v>
      </c>
      <c r="U35" s="33">
        <f>SUMIFS('Bilateral assistance, MAIN DATA'!$M:$M,'Bilateral assistance, MAIN DATA'!$B:$B,U$1, 'Bilateral assistance, MAIN DATA'!$I:$I,$A35)</f>
        <v>0</v>
      </c>
      <c r="V35" s="33">
        <f>SUMIFS('Bilateral assistance, MAIN DATA'!$M:$M,'Bilateral assistance, MAIN DATA'!$B:$B,V$1, 'Bilateral assistance, MAIN DATA'!$I:$I,$A35)</f>
        <v>0</v>
      </c>
      <c r="W35" s="33">
        <f>SUMIFS('Bilateral assistance, MAIN DATA'!$M:$M,'Bilateral assistance, MAIN DATA'!$B:$B,W$1, 'Bilateral assistance, MAIN DATA'!$I:$I,$A35)</f>
        <v>0</v>
      </c>
      <c r="X35" s="33">
        <f>SUMIFS('Bilateral assistance, MAIN DATA'!$M:$M,'Bilateral assistance, MAIN DATA'!$B:$B,X$1, 'Bilateral assistance, MAIN DATA'!$I:$I,$A35)</f>
        <v>0</v>
      </c>
      <c r="Y35" s="33">
        <f>SUMIFS('Bilateral assistance, MAIN DATA'!$M:$M,'Bilateral assistance, MAIN DATA'!$B:$B,Y$1, 'Bilateral assistance, MAIN DATA'!$I:$I,$A35)</f>
        <v>0</v>
      </c>
      <c r="Z35" s="33">
        <f>SUMIFS('Bilateral assistance, MAIN DATA'!$M:$M,'Bilateral assistance, MAIN DATA'!$B:$B,Z$1, 'Bilateral assistance, MAIN DATA'!$I:$I,$A35)</f>
        <v>0</v>
      </c>
      <c r="AA35" s="33">
        <f>SUMIFS('Bilateral assistance, MAIN DATA'!$M:$M,'Bilateral assistance, MAIN DATA'!$B:$B,AA$1, 'Bilateral assistance, MAIN DATA'!$I:$I,$A35)</f>
        <v>0</v>
      </c>
      <c r="AB35" s="33">
        <f>SUMIFS('Bilateral assistance, MAIN DATA'!$M:$M,'Bilateral assistance, MAIN DATA'!$B:$B,AB$1, 'Bilateral assistance, MAIN DATA'!$I:$I,$A35)</f>
        <v>0</v>
      </c>
      <c r="AC35" s="33">
        <f>SUMIFS('Bilateral assistance, MAIN DATA'!$M:$M,'Bilateral assistance, MAIN DATA'!$B:$B,AC$1, 'Bilateral assistance, MAIN DATA'!$I:$I,$A35)</f>
        <v>0</v>
      </c>
      <c r="AD35" s="33">
        <f>SUMIFS('Bilateral assistance, MAIN DATA'!$M:$M,'Bilateral assistance, MAIN DATA'!$B:$B,AD$1, 'Bilateral assistance, MAIN DATA'!$I:$I,$A35)</f>
        <v>0</v>
      </c>
      <c r="AE35" s="33">
        <f>SUMIFS('Bilateral assistance, MAIN DATA'!$M:$M,'Bilateral assistance, MAIN DATA'!$B:$B,AE$1, 'Bilateral assistance, MAIN DATA'!$I:$I,$A35)</f>
        <v>0</v>
      </c>
      <c r="AF35" s="33">
        <f>SUMIFS('Bilateral assistance, MAIN DATA'!$M:$M,'Bilateral assistance, MAIN DATA'!$B:$B,AF$1, 'Bilateral assistance, MAIN DATA'!$I:$I,$A35)</f>
        <v>0</v>
      </c>
      <c r="AG35" s="33">
        <f>SUMIFS('Bilateral assistance, MAIN DATA'!$M:$M,'Bilateral assistance, MAIN DATA'!$B:$B,AG$1, 'Bilateral assistance, MAIN DATA'!$I:$I,$A35)</f>
        <v>0</v>
      </c>
      <c r="AH35" s="33">
        <f>SUMIFS('Bilateral assistance, MAIN DATA'!$M:$M,'Bilateral assistance, MAIN DATA'!$B:$B,AH$1, 'Bilateral assistance, MAIN DATA'!$I:$I,$A35)</f>
        <v>0</v>
      </c>
      <c r="AI35" s="33">
        <f>SUMIFS('Bilateral assistance, MAIN DATA'!$M:$M,'Bilateral assistance, MAIN DATA'!$B:$B,AI$1, 'Bilateral assistance, MAIN DATA'!$I:$I,$A35)</f>
        <v>0</v>
      </c>
      <c r="AJ35" s="33">
        <f>SUMIFS('Bilateral assistance, MAIN DATA'!$M:$M,'Bilateral assistance, MAIN DATA'!$B:$B,AJ$1, 'Bilateral assistance, MAIN DATA'!$I:$I,$A35)</f>
        <v>0</v>
      </c>
      <c r="AK35" s="33">
        <f>SUMIFS('Bilateral assistance, MAIN DATA'!$M:$M,'Bilateral assistance, MAIN DATA'!$B:$B,AK$1, 'Bilateral assistance, MAIN DATA'!$I:$I,$A35)</f>
        <v>0</v>
      </c>
      <c r="AL35" s="33">
        <f>SUMIFS('Bilateral assistance, MAIN DATA'!$M:$M,'Bilateral assistance, MAIN DATA'!$B:$B,AL$1, 'Bilateral assistance, MAIN DATA'!$I:$I,$A35)</f>
        <v>0</v>
      </c>
      <c r="AM35" s="33">
        <f>SUMIFS('Bilateral assistance, MAIN DATA'!$M:$M,'Bilateral assistance, MAIN DATA'!$B:$B,AM$1, 'Bilateral assistance, MAIN DATA'!$I:$I,$A35)</f>
        <v>0</v>
      </c>
      <c r="AN35" s="33">
        <f>SUMIFS('Bilateral assistance, MAIN DATA'!$M:$M,'Bilateral assistance, MAIN DATA'!$B:$B,AN$1, 'Bilateral assistance, MAIN DATA'!$I:$I,$A35)</f>
        <v>0</v>
      </c>
      <c r="AO35" s="33">
        <f>SUMIFS('Bilateral assistance, MAIN DATA'!$M:$M,'Bilateral assistance, MAIN DATA'!$B:$B,AO$1, 'Bilateral assistance, MAIN DATA'!$I:$I,$A35)</f>
        <v>0</v>
      </c>
      <c r="AP35" s="33">
        <f>SUMIFS('Bilateral assistance, MAIN DATA'!$M:$M,'Bilateral assistance, MAIN DATA'!$B:$B,AP$1, 'Bilateral assistance, MAIN DATA'!$I:$I,$A35)</f>
        <v>0</v>
      </c>
      <c r="AQ35" s="33">
        <f>SUMIFS('Bilateral assistance, MAIN DATA'!$M:$M,'Bilateral assistance, MAIN DATA'!$B:$B,AQ$1, 'Bilateral assistance, MAIN DATA'!$I:$I,$A35)</f>
        <v>0</v>
      </c>
      <c r="AR35" s="33">
        <f>SUMIFS('Bilateral assistance, MAIN DATA'!$M:$M,'Bilateral assistance, MAIN DATA'!$B:$B,AR$1, 'Bilateral assistance, MAIN DATA'!$I:$I,$A35)</f>
        <v>0</v>
      </c>
      <c r="AS35" s="33">
        <f>SUMIFS('Bilateral assistance, MAIN DATA'!$M:$M,'Bilateral assistance, MAIN DATA'!$B:$B,AS$1, 'Bilateral assistance, MAIN DATA'!$I:$I,$A35)</f>
        <v>45</v>
      </c>
    </row>
    <row r="36" spans="1:45">
      <c r="A36" s="27" t="s">
        <v>708</v>
      </c>
      <c r="B36" s="33">
        <f t="shared" si="0"/>
        <v>20</v>
      </c>
      <c r="C36" s="645" t="s">
        <v>3093</v>
      </c>
      <c r="D36" s="33" t="s">
        <v>4154</v>
      </c>
      <c r="F36" s="33">
        <f>SUMIFS('Bilateral assistance, MAIN DATA'!$M:$M,'Bilateral assistance, MAIN DATA'!$B:$B,F$1, 'Bilateral assistance, MAIN DATA'!$I:$I,$A36)</f>
        <v>0</v>
      </c>
      <c r="G36" s="33">
        <f>SUMIFS('Bilateral assistance, MAIN DATA'!$M:$M,'Bilateral assistance, MAIN DATA'!$B:$B,G$1, 'Bilateral assistance, MAIN DATA'!$I:$I,$A36)</f>
        <v>0</v>
      </c>
      <c r="H36" s="33">
        <f>SUMIFS('Bilateral assistance, MAIN DATA'!$M:$M,'Bilateral assistance, MAIN DATA'!$B:$B,H$1, 'Bilateral assistance, MAIN DATA'!$I:$I,$A36)</f>
        <v>0</v>
      </c>
      <c r="I36" s="33">
        <f>SUMIFS('Bilateral assistance, MAIN DATA'!$M:$M,'Bilateral assistance, MAIN DATA'!$B:$B,I$1, 'Bilateral assistance, MAIN DATA'!$I:$I,$A36)</f>
        <v>0</v>
      </c>
      <c r="J36" s="33">
        <f>SUMIFS('Bilateral assistance, MAIN DATA'!$M:$M,'Bilateral assistance, MAIN DATA'!$B:$B,J$1, 'Bilateral assistance, MAIN DATA'!$I:$I,$A36)</f>
        <v>0</v>
      </c>
      <c r="K36" s="33">
        <f>SUMIFS('Bilateral assistance, MAIN DATA'!$M:$M,'Bilateral assistance, MAIN DATA'!$B:$B,K$1, 'Bilateral assistance, MAIN DATA'!$I:$I,$A36)</f>
        <v>0</v>
      </c>
      <c r="L36" s="33">
        <f>SUMIFS('Bilateral assistance, MAIN DATA'!$M:$M,'Bilateral assistance, MAIN DATA'!$B:$B,L$1, 'Bilateral assistance, MAIN DATA'!$I:$I,$A36)</f>
        <v>0</v>
      </c>
      <c r="M36" s="33">
        <f>SUMIFS('Bilateral assistance, MAIN DATA'!$M:$M,'Bilateral assistance, MAIN DATA'!$B:$B,M$1, 'Bilateral assistance, MAIN DATA'!$I:$I,$A36)</f>
        <v>20</v>
      </c>
      <c r="N36" s="33">
        <f>SUMIFS('Bilateral assistance, MAIN DATA'!$M:$M,'Bilateral assistance, MAIN DATA'!$B:$B,N$1, 'Bilateral assistance, MAIN DATA'!$I:$I,$A36)</f>
        <v>0</v>
      </c>
      <c r="O36" s="33">
        <f>SUMIFS('Bilateral assistance, MAIN DATA'!$M:$M,'Bilateral assistance, MAIN DATA'!$B:$B,O$1, 'Bilateral assistance, MAIN DATA'!$I:$I,$A36)</f>
        <v>0</v>
      </c>
      <c r="P36" s="33">
        <f>SUMIFS('Bilateral assistance, MAIN DATA'!$M:$M,'Bilateral assistance, MAIN DATA'!$B:$B,P$1, 'Bilateral assistance, MAIN DATA'!$I:$I,$A36)</f>
        <v>0</v>
      </c>
      <c r="Q36" s="33">
        <f>SUMIFS('Bilateral assistance, MAIN DATA'!$M:$M,'Bilateral assistance, MAIN DATA'!$B:$B,Q$1, 'Bilateral assistance, MAIN DATA'!$I:$I,$A36)</f>
        <v>0</v>
      </c>
      <c r="R36" s="33">
        <f>SUMIFS('Bilateral assistance, MAIN DATA'!$M:$M,'Bilateral assistance, MAIN DATA'!$B:$B,R$1, 'Bilateral assistance, MAIN DATA'!$I:$I,$A36)</f>
        <v>0</v>
      </c>
      <c r="S36" s="33">
        <f>SUMIFS('Bilateral assistance, MAIN DATA'!$M:$M,'Bilateral assistance, MAIN DATA'!$B:$B,S$1, 'Bilateral assistance, MAIN DATA'!$I:$I,$A36)</f>
        <v>0</v>
      </c>
      <c r="T36" s="33">
        <f>SUMIFS('Bilateral assistance, MAIN DATA'!$M:$M,'Bilateral assistance, MAIN DATA'!$B:$B,T$1, 'Bilateral assistance, MAIN DATA'!$I:$I,$A36)</f>
        <v>0</v>
      </c>
      <c r="U36" s="33">
        <f>SUMIFS('Bilateral assistance, MAIN DATA'!$M:$M,'Bilateral assistance, MAIN DATA'!$B:$B,U$1, 'Bilateral assistance, MAIN DATA'!$I:$I,$A36)</f>
        <v>0</v>
      </c>
      <c r="V36" s="33">
        <f>SUMIFS('Bilateral assistance, MAIN DATA'!$M:$M,'Bilateral assistance, MAIN DATA'!$B:$B,V$1, 'Bilateral assistance, MAIN DATA'!$I:$I,$A36)</f>
        <v>0</v>
      </c>
      <c r="W36" s="33">
        <f>SUMIFS('Bilateral assistance, MAIN DATA'!$M:$M,'Bilateral assistance, MAIN DATA'!$B:$B,W$1, 'Bilateral assistance, MAIN DATA'!$I:$I,$A36)</f>
        <v>0</v>
      </c>
      <c r="X36" s="33">
        <f>SUMIFS('Bilateral assistance, MAIN DATA'!$M:$M,'Bilateral assistance, MAIN DATA'!$B:$B,X$1, 'Bilateral assistance, MAIN DATA'!$I:$I,$A36)</f>
        <v>0</v>
      </c>
      <c r="Y36" s="33">
        <f>SUMIFS('Bilateral assistance, MAIN DATA'!$M:$M,'Bilateral assistance, MAIN DATA'!$B:$B,Y$1, 'Bilateral assistance, MAIN DATA'!$I:$I,$A36)</f>
        <v>0</v>
      </c>
      <c r="Z36" s="33">
        <f>SUMIFS('Bilateral assistance, MAIN DATA'!$M:$M,'Bilateral assistance, MAIN DATA'!$B:$B,Z$1, 'Bilateral assistance, MAIN DATA'!$I:$I,$A36)</f>
        <v>0</v>
      </c>
      <c r="AA36" s="33">
        <f>SUMIFS('Bilateral assistance, MAIN DATA'!$M:$M,'Bilateral assistance, MAIN DATA'!$B:$B,AA$1, 'Bilateral assistance, MAIN DATA'!$I:$I,$A36)</f>
        <v>0</v>
      </c>
      <c r="AB36" s="33">
        <f>SUMIFS('Bilateral assistance, MAIN DATA'!$M:$M,'Bilateral assistance, MAIN DATA'!$B:$B,AB$1, 'Bilateral assistance, MAIN DATA'!$I:$I,$A36)</f>
        <v>0</v>
      </c>
      <c r="AC36" s="33">
        <f>SUMIFS('Bilateral assistance, MAIN DATA'!$M:$M,'Bilateral assistance, MAIN DATA'!$B:$B,AC$1, 'Bilateral assistance, MAIN DATA'!$I:$I,$A36)</f>
        <v>0</v>
      </c>
      <c r="AD36" s="33">
        <f>SUMIFS('Bilateral assistance, MAIN DATA'!$M:$M,'Bilateral assistance, MAIN DATA'!$B:$B,AD$1, 'Bilateral assistance, MAIN DATA'!$I:$I,$A36)</f>
        <v>0</v>
      </c>
      <c r="AE36" s="33">
        <f>SUMIFS('Bilateral assistance, MAIN DATA'!$M:$M,'Bilateral assistance, MAIN DATA'!$B:$B,AE$1, 'Bilateral assistance, MAIN DATA'!$I:$I,$A36)</f>
        <v>0</v>
      </c>
      <c r="AF36" s="33">
        <f>SUMIFS('Bilateral assistance, MAIN DATA'!$M:$M,'Bilateral assistance, MAIN DATA'!$B:$B,AF$1, 'Bilateral assistance, MAIN DATA'!$I:$I,$A36)</f>
        <v>0</v>
      </c>
      <c r="AG36" s="33">
        <f>SUMIFS('Bilateral assistance, MAIN DATA'!$M:$M,'Bilateral assistance, MAIN DATA'!$B:$B,AG$1, 'Bilateral assistance, MAIN DATA'!$I:$I,$A36)</f>
        <v>0</v>
      </c>
      <c r="AH36" s="33">
        <f>SUMIFS('Bilateral assistance, MAIN DATA'!$M:$M,'Bilateral assistance, MAIN DATA'!$B:$B,AH$1, 'Bilateral assistance, MAIN DATA'!$I:$I,$A36)</f>
        <v>0</v>
      </c>
      <c r="AI36" s="33">
        <f>SUMIFS('Bilateral assistance, MAIN DATA'!$M:$M,'Bilateral assistance, MAIN DATA'!$B:$B,AI$1, 'Bilateral assistance, MAIN DATA'!$I:$I,$A36)</f>
        <v>0</v>
      </c>
      <c r="AJ36" s="33">
        <f>SUMIFS('Bilateral assistance, MAIN DATA'!$M:$M,'Bilateral assistance, MAIN DATA'!$B:$B,AJ$1, 'Bilateral assistance, MAIN DATA'!$I:$I,$A36)</f>
        <v>0</v>
      </c>
      <c r="AK36" s="33">
        <f>SUMIFS('Bilateral assistance, MAIN DATA'!$M:$M,'Bilateral assistance, MAIN DATA'!$B:$B,AK$1, 'Bilateral assistance, MAIN DATA'!$I:$I,$A36)</f>
        <v>0</v>
      </c>
      <c r="AL36" s="33">
        <f>SUMIFS('Bilateral assistance, MAIN DATA'!$M:$M,'Bilateral assistance, MAIN DATA'!$B:$B,AL$1, 'Bilateral assistance, MAIN DATA'!$I:$I,$A36)</f>
        <v>0</v>
      </c>
      <c r="AM36" s="33">
        <f>SUMIFS('Bilateral assistance, MAIN DATA'!$M:$M,'Bilateral assistance, MAIN DATA'!$B:$B,AM$1, 'Bilateral assistance, MAIN DATA'!$I:$I,$A36)</f>
        <v>0</v>
      </c>
      <c r="AN36" s="33">
        <f>SUMIFS('Bilateral assistance, MAIN DATA'!$M:$M,'Bilateral assistance, MAIN DATA'!$B:$B,AN$1, 'Bilateral assistance, MAIN DATA'!$I:$I,$A36)</f>
        <v>0</v>
      </c>
      <c r="AO36" s="33">
        <f>SUMIFS('Bilateral assistance, MAIN DATA'!$M:$M,'Bilateral assistance, MAIN DATA'!$B:$B,AO$1, 'Bilateral assistance, MAIN DATA'!$I:$I,$A36)</f>
        <v>0</v>
      </c>
      <c r="AP36" s="33">
        <f>SUMIFS('Bilateral assistance, MAIN DATA'!$M:$M,'Bilateral assistance, MAIN DATA'!$B:$B,AP$1, 'Bilateral assistance, MAIN DATA'!$I:$I,$A36)</f>
        <v>0</v>
      </c>
      <c r="AQ36" s="33">
        <f>SUMIFS('Bilateral assistance, MAIN DATA'!$M:$M,'Bilateral assistance, MAIN DATA'!$B:$B,AQ$1, 'Bilateral assistance, MAIN DATA'!$I:$I,$A36)</f>
        <v>0</v>
      </c>
      <c r="AR36" s="33">
        <f>SUMIFS('Bilateral assistance, MAIN DATA'!$M:$M,'Bilateral assistance, MAIN DATA'!$B:$B,AR$1, 'Bilateral assistance, MAIN DATA'!$I:$I,$A36)</f>
        <v>0</v>
      </c>
      <c r="AS36" s="33">
        <f>SUMIFS('Bilateral assistance, MAIN DATA'!$M:$M,'Bilateral assistance, MAIN DATA'!$B:$B,AS$1, 'Bilateral assistance, MAIN DATA'!$I:$I,$A36)</f>
        <v>0</v>
      </c>
    </row>
    <row r="37" spans="1:45">
      <c r="A37" s="27" t="s">
        <v>1220</v>
      </c>
      <c r="B37" s="33">
        <f t="shared" si="0"/>
        <v>5</v>
      </c>
      <c r="C37" s="645" t="s">
        <v>3093</v>
      </c>
      <c r="D37" s="33" t="s">
        <v>4154</v>
      </c>
      <c r="F37" s="33">
        <f>SUMIFS('Bilateral assistance, MAIN DATA'!$M:$M,'Bilateral assistance, MAIN DATA'!$B:$B,F$1, 'Bilateral assistance, MAIN DATA'!$I:$I,$A37)</f>
        <v>0</v>
      </c>
      <c r="G37" s="33">
        <f>SUMIFS('Bilateral assistance, MAIN DATA'!$M:$M,'Bilateral assistance, MAIN DATA'!$B:$B,G$1, 'Bilateral assistance, MAIN DATA'!$I:$I,$A37)</f>
        <v>0</v>
      </c>
      <c r="H37" s="33">
        <f>SUMIFS('Bilateral assistance, MAIN DATA'!$M:$M,'Bilateral assistance, MAIN DATA'!$B:$B,H$1, 'Bilateral assistance, MAIN DATA'!$I:$I,$A37)</f>
        <v>0</v>
      </c>
      <c r="I37" s="33">
        <f>SUMIFS('Bilateral assistance, MAIN DATA'!$M:$M,'Bilateral assistance, MAIN DATA'!$B:$B,I$1, 'Bilateral assistance, MAIN DATA'!$I:$I,$A37)</f>
        <v>0</v>
      </c>
      <c r="J37" s="33">
        <f>SUMIFS('Bilateral assistance, MAIN DATA'!$M:$M,'Bilateral assistance, MAIN DATA'!$B:$B,J$1, 'Bilateral assistance, MAIN DATA'!$I:$I,$A37)</f>
        <v>0</v>
      </c>
      <c r="K37" s="33">
        <f>SUMIFS('Bilateral assistance, MAIN DATA'!$M:$M,'Bilateral assistance, MAIN DATA'!$B:$B,K$1, 'Bilateral assistance, MAIN DATA'!$I:$I,$A37)</f>
        <v>0</v>
      </c>
      <c r="L37" s="33">
        <f>SUMIFS('Bilateral assistance, MAIN DATA'!$M:$M,'Bilateral assistance, MAIN DATA'!$B:$B,L$1, 'Bilateral assistance, MAIN DATA'!$I:$I,$A37)</f>
        <v>0</v>
      </c>
      <c r="M37" s="33">
        <f>SUMIFS('Bilateral assistance, MAIN DATA'!$M:$M,'Bilateral assistance, MAIN DATA'!$B:$B,M$1, 'Bilateral assistance, MAIN DATA'!$I:$I,$A37)</f>
        <v>0</v>
      </c>
      <c r="N37" s="33">
        <f>SUMIFS('Bilateral assistance, MAIN DATA'!$M:$M,'Bilateral assistance, MAIN DATA'!$B:$B,N$1, 'Bilateral assistance, MAIN DATA'!$I:$I,$A37)</f>
        <v>0</v>
      </c>
      <c r="O37" s="33">
        <f>SUMIFS('Bilateral assistance, MAIN DATA'!$M:$M,'Bilateral assistance, MAIN DATA'!$B:$B,O$1, 'Bilateral assistance, MAIN DATA'!$I:$I,$A37)</f>
        <v>0</v>
      </c>
      <c r="P37" s="33">
        <f>SUMIFS('Bilateral assistance, MAIN DATA'!$M:$M,'Bilateral assistance, MAIN DATA'!$B:$B,P$1, 'Bilateral assistance, MAIN DATA'!$I:$I,$A37)</f>
        <v>0</v>
      </c>
      <c r="Q37" s="33">
        <f>SUMIFS('Bilateral assistance, MAIN DATA'!$M:$M,'Bilateral assistance, MAIN DATA'!$B:$B,Q$1, 'Bilateral assistance, MAIN DATA'!$I:$I,$A37)</f>
        <v>0</v>
      </c>
      <c r="R37" s="33">
        <f>SUMIFS('Bilateral assistance, MAIN DATA'!$M:$M,'Bilateral assistance, MAIN DATA'!$B:$B,R$1, 'Bilateral assistance, MAIN DATA'!$I:$I,$A37)</f>
        <v>0</v>
      </c>
      <c r="S37" s="33">
        <f>SUMIFS('Bilateral assistance, MAIN DATA'!$M:$M,'Bilateral assistance, MAIN DATA'!$B:$B,S$1, 'Bilateral assistance, MAIN DATA'!$I:$I,$A37)</f>
        <v>0</v>
      </c>
      <c r="T37" s="33">
        <f>SUMIFS('Bilateral assistance, MAIN DATA'!$M:$M,'Bilateral assistance, MAIN DATA'!$B:$B,T$1, 'Bilateral assistance, MAIN DATA'!$I:$I,$A37)</f>
        <v>0</v>
      </c>
      <c r="U37" s="33">
        <f>SUMIFS('Bilateral assistance, MAIN DATA'!$M:$M,'Bilateral assistance, MAIN DATA'!$B:$B,U$1, 'Bilateral assistance, MAIN DATA'!$I:$I,$A37)</f>
        <v>5</v>
      </c>
      <c r="V37" s="33">
        <f>SUMIFS('Bilateral assistance, MAIN DATA'!$M:$M,'Bilateral assistance, MAIN DATA'!$B:$B,V$1, 'Bilateral assistance, MAIN DATA'!$I:$I,$A37)</f>
        <v>0</v>
      </c>
      <c r="W37" s="33">
        <f>SUMIFS('Bilateral assistance, MAIN DATA'!$M:$M,'Bilateral assistance, MAIN DATA'!$B:$B,W$1, 'Bilateral assistance, MAIN DATA'!$I:$I,$A37)</f>
        <v>0</v>
      </c>
      <c r="X37" s="33">
        <f>SUMIFS('Bilateral assistance, MAIN DATA'!$M:$M,'Bilateral assistance, MAIN DATA'!$B:$B,X$1, 'Bilateral assistance, MAIN DATA'!$I:$I,$A37)</f>
        <v>0</v>
      </c>
      <c r="Y37" s="33">
        <f>SUMIFS('Bilateral assistance, MAIN DATA'!$M:$M,'Bilateral assistance, MAIN DATA'!$B:$B,Y$1, 'Bilateral assistance, MAIN DATA'!$I:$I,$A37)</f>
        <v>0</v>
      </c>
      <c r="Z37" s="33">
        <f>SUMIFS('Bilateral assistance, MAIN DATA'!$M:$M,'Bilateral assistance, MAIN DATA'!$B:$B,Z$1, 'Bilateral assistance, MAIN DATA'!$I:$I,$A37)</f>
        <v>0</v>
      </c>
      <c r="AA37" s="33">
        <f>SUMIFS('Bilateral assistance, MAIN DATA'!$M:$M,'Bilateral assistance, MAIN DATA'!$B:$B,AA$1, 'Bilateral assistance, MAIN DATA'!$I:$I,$A37)</f>
        <v>0</v>
      </c>
      <c r="AB37" s="33">
        <f>SUMIFS('Bilateral assistance, MAIN DATA'!$M:$M,'Bilateral assistance, MAIN DATA'!$B:$B,AB$1, 'Bilateral assistance, MAIN DATA'!$I:$I,$A37)</f>
        <v>0</v>
      </c>
      <c r="AC37" s="33">
        <f>SUMIFS('Bilateral assistance, MAIN DATA'!$M:$M,'Bilateral assistance, MAIN DATA'!$B:$B,AC$1, 'Bilateral assistance, MAIN DATA'!$I:$I,$A37)</f>
        <v>0</v>
      </c>
      <c r="AD37" s="33">
        <f>SUMIFS('Bilateral assistance, MAIN DATA'!$M:$M,'Bilateral assistance, MAIN DATA'!$B:$B,AD$1, 'Bilateral assistance, MAIN DATA'!$I:$I,$A37)</f>
        <v>0</v>
      </c>
      <c r="AE37" s="33">
        <f>SUMIFS('Bilateral assistance, MAIN DATA'!$M:$M,'Bilateral assistance, MAIN DATA'!$B:$B,AE$1, 'Bilateral assistance, MAIN DATA'!$I:$I,$A37)</f>
        <v>0</v>
      </c>
      <c r="AF37" s="33">
        <f>SUMIFS('Bilateral assistance, MAIN DATA'!$M:$M,'Bilateral assistance, MAIN DATA'!$B:$B,AF$1, 'Bilateral assistance, MAIN DATA'!$I:$I,$A37)</f>
        <v>0</v>
      </c>
      <c r="AG37" s="33">
        <f>SUMIFS('Bilateral assistance, MAIN DATA'!$M:$M,'Bilateral assistance, MAIN DATA'!$B:$B,AG$1, 'Bilateral assistance, MAIN DATA'!$I:$I,$A37)</f>
        <v>0</v>
      </c>
      <c r="AH37" s="33">
        <f>SUMIFS('Bilateral assistance, MAIN DATA'!$M:$M,'Bilateral assistance, MAIN DATA'!$B:$B,AH$1, 'Bilateral assistance, MAIN DATA'!$I:$I,$A37)</f>
        <v>0</v>
      </c>
      <c r="AI37" s="33">
        <f>SUMIFS('Bilateral assistance, MAIN DATA'!$M:$M,'Bilateral assistance, MAIN DATA'!$B:$B,AI$1, 'Bilateral assistance, MAIN DATA'!$I:$I,$A37)</f>
        <v>0</v>
      </c>
      <c r="AJ37" s="33">
        <f>SUMIFS('Bilateral assistance, MAIN DATA'!$M:$M,'Bilateral assistance, MAIN DATA'!$B:$B,AJ$1, 'Bilateral assistance, MAIN DATA'!$I:$I,$A37)</f>
        <v>0</v>
      </c>
      <c r="AK37" s="33">
        <f>SUMIFS('Bilateral assistance, MAIN DATA'!$M:$M,'Bilateral assistance, MAIN DATA'!$B:$B,AK$1, 'Bilateral assistance, MAIN DATA'!$I:$I,$A37)</f>
        <v>0</v>
      </c>
      <c r="AL37" s="33">
        <f>SUMIFS('Bilateral assistance, MAIN DATA'!$M:$M,'Bilateral assistance, MAIN DATA'!$B:$B,AL$1, 'Bilateral assistance, MAIN DATA'!$I:$I,$A37)</f>
        <v>0</v>
      </c>
      <c r="AM37" s="33">
        <f>SUMIFS('Bilateral assistance, MAIN DATA'!$M:$M,'Bilateral assistance, MAIN DATA'!$B:$B,AM$1, 'Bilateral assistance, MAIN DATA'!$I:$I,$A37)</f>
        <v>0</v>
      </c>
      <c r="AN37" s="33">
        <f>SUMIFS('Bilateral assistance, MAIN DATA'!$M:$M,'Bilateral assistance, MAIN DATA'!$B:$B,AN$1, 'Bilateral assistance, MAIN DATA'!$I:$I,$A37)</f>
        <v>0</v>
      </c>
      <c r="AO37" s="33">
        <f>SUMIFS('Bilateral assistance, MAIN DATA'!$M:$M,'Bilateral assistance, MAIN DATA'!$B:$B,AO$1, 'Bilateral assistance, MAIN DATA'!$I:$I,$A37)</f>
        <v>0</v>
      </c>
      <c r="AP37" s="33">
        <f>SUMIFS('Bilateral assistance, MAIN DATA'!$M:$M,'Bilateral assistance, MAIN DATA'!$B:$B,AP$1, 'Bilateral assistance, MAIN DATA'!$I:$I,$A37)</f>
        <v>0</v>
      </c>
      <c r="AQ37" s="33">
        <f>SUMIFS('Bilateral assistance, MAIN DATA'!$M:$M,'Bilateral assistance, MAIN DATA'!$B:$B,AQ$1, 'Bilateral assistance, MAIN DATA'!$I:$I,$A37)</f>
        <v>0</v>
      </c>
      <c r="AR37" s="33">
        <f>SUMIFS('Bilateral assistance, MAIN DATA'!$M:$M,'Bilateral assistance, MAIN DATA'!$B:$B,AR$1, 'Bilateral assistance, MAIN DATA'!$I:$I,$A37)</f>
        <v>0</v>
      </c>
      <c r="AS37" s="33">
        <f>SUMIFS('Bilateral assistance, MAIN DATA'!$M:$M,'Bilateral assistance, MAIN DATA'!$B:$B,AS$1, 'Bilateral assistance, MAIN DATA'!$I:$I,$A37)</f>
        <v>0</v>
      </c>
    </row>
    <row r="38" spans="1:45">
      <c r="A38" s="27" t="s">
        <v>2638</v>
      </c>
      <c r="B38" s="33">
        <f t="shared" si="0"/>
        <v>38</v>
      </c>
      <c r="C38" s="645" t="s">
        <v>3093</v>
      </c>
      <c r="D38" s="33" t="s">
        <v>4155</v>
      </c>
      <c r="F38" s="33">
        <f>SUMIFS('Bilateral assistance, MAIN DATA'!$M:$M,'Bilateral assistance, MAIN DATA'!$B:$B,F$1, 'Bilateral assistance, MAIN DATA'!$I:$I,$A38)</f>
        <v>0</v>
      </c>
      <c r="G38" s="33">
        <f>SUMIFS('Bilateral assistance, MAIN DATA'!$M:$M,'Bilateral assistance, MAIN DATA'!$B:$B,G$1, 'Bilateral assistance, MAIN DATA'!$I:$I,$A38)</f>
        <v>0</v>
      </c>
      <c r="H38" s="33">
        <f>SUMIFS('Bilateral assistance, MAIN DATA'!$M:$M,'Bilateral assistance, MAIN DATA'!$B:$B,H$1, 'Bilateral assistance, MAIN DATA'!$I:$I,$A38)</f>
        <v>0</v>
      </c>
      <c r="I38" s="33">
        <f>SUMIFS('Bilateral assistance, MAIN DATA'!$M:$M,'Bilateral assistance, MAIN DATA'!$B:$B,I$1, 'Bilateral assistance, MAIN DATA'!$I:$I,$A38)</f>
        <v>0</v>
      </c>
      <c r="J38" s="33">
        <f>SUMIFS('Bilateral assistance, MAIN DATA'!$M:$M,'Bilateral assistance, MAIN DATA'!$B:$B,J$1, 'Bilateral assistance, MAIN DATA'!$I:$I,$A38)</f>
        <v>0</v>
      </c>
      <c r="K38" s="33">
        <f>SUMIFS('Bilateral assistance, MAIN DATA'!$M:$M,'Bilateral assistance, MAIN DATA'!$B:$B,K$1, 'Bilateral assistance, MAIN DATA'!$I:$I,$A38)</f>
        <v>0</v>
      </c>
      <c r="L38" s="33">
        <f>SUMIFS('Bilateral assistance, MAIN DATA'!$M:$M,'Bilateral assistance, MAIN DATA'!$B:$B,L$1, 'Bilateral assistance, MAIN DATA'!$I:$I,$A38)</f>
        <v>0</v>
      </c>
      <c r="M38" s="33">
        <f>SUMIFS('Bilateral assistance, MAIN DATA'!$M:$M,'Bilateral assistance, MAIN DATA'!$B:$B,M$1, 'Bilateral assistance, MAIN DATA'!$I:$I,$A38)</f>
        <v>0</v>
      </c>
      <c r="N38" s="33">
        <f>SUMIFS('Bilateral assistance, MAIN DATA'!$M:$M,'Bilateral assistance, MAIN DATA'!$B:$B,N$1, 'Bilateral assistance, MAIN DATA'!$I:$I,$A38)</f>
        <v>0</v>
      </c>
      <c r="O38" s="33">
        <f>SUMIFS('Bilateral assistance, MAIN DATA'!$M:$M,'Bilateral assistance, MAIN DATA'!$B:$B,O$1, 'Bilateral assistance, MAIN DATA'!$I:$I,$A38)</f>
        <v>0</v>
      </c>
      <c r="P38" s="33">
        <f>SUMIFS('Bilateral assistance, MAIN DATA'!$M:$M,'Bilateral assistance, MAIN DATA'!$B:$B,P$1, 'Bilateral assistance, MAIN DATA'!$I:$I,$A38)</f>
        <v>0</v>
      </c>
      <c r="Q38" s="33">
        <f>SUMIFS('Bilateral assistance, MAIN DATA'!$M:$M,'Bilateral assistance, MAIN DATA'!$B:$B,Q$1, 'Bilateral assistance, MAIN DATA'!$I:$I,$A38)</f>
        <v>0</v>
      </c>
      <c r="R38" s="33">
        <f>SUMIFS('Bilateral assistance, MAIN DATA'!$M:$M,'Bilateral assistance, MAIN DATA'!$B:$B,R$1, 'Bilateral assistance, MAIN DATA'!$I:$I,$A38)</f>
        <v>0</v>
      </c>
      <c r="S38" s="33">
        <f>SUMIFS('Bilateral assistance, MAIN DATA'!$M:$M,'Bilateral assistance, MAIN DATA'!$B:$B,S$1, 'Bilateral assistance, MAIN DATA'!$I:$I,$A38)</f>
        <v>0</v>
      </c>
      <c r="T38" s="33">
        <f>SUMIFS('Bilateral assistance, MAIN DATA'!$M:$M,'Bilateral assistance, MAIN DATA'!$B:$B,T$1, 'Bilateral assistance, MAIN DATA'!$I:$I,$A38)</f>
        <v>0</v>
      </c>
      <c r="U38" s="33">
        <f>SUMIFS('Bilateral assistance, MAIN DATA'!$M:$M,'Bilateral assistance, MAIN DATA'!$B:$B,U$1, 'Bilateral assistance, MAIN DATA'!$I:$I,$A38)</f>
        <v>0</v>
      </c>
      <c r="V38" s="33">
        <f>SUMIFS('Bilateral assistance, MAIN DATA'!$M:$M,'Bilateral assistance, MAIN DATA'!$B:$B,V$1, 'Bilateral assistance, MAIN DATA'!$I:$I,$A38)</f>
        <v>0</v>
      </c>
      <c r="W38" s="33">
        <f>SUMIFS('Bilateral assistance, MAIN DATA'!$M:$M,'Bilateral assistance, MAIN DATA'!$B:$B,W$1, 'Bilateral assistance, MAIN DATA'!$I:$I,$A38)</f>
        <v>0</v>
      </c>
      <c r="X38" s="33">
        <f>SUMIFS('Bilateral assistance, MAIN DATA'!$M:$M,'Bilateral assistance, MAIN DATA'!$B:$B,X$1, 'Bilateral assistance, MAIN DATA'!$I:$I,$A38)</f>
        <v>0</v>
      </c>
      <c r="Y38" s="33">
        <f>SUMIFS('Bilateral assistance, MAIN DATA'!$M:$M,'Bilateral assistance, MAIN DATA'!$B:$B,Y$1, 'Bilateral assistance, MAIN DATA'!$I:$I,$A38)</f>
        <v>0</v>
      </c>
      <c r="Z38" s="33">
        <f>SUMIFS('Bilateral assistance, MAIN DATA'!$M:$M,'Bilateral assistance, MAIN DATA'!$B:$B,Z$1, 'Bilateral assistance, MAIN DATA'!$I:$I,$A38)</f>
        <v>0</v>
      </c>
      <c r="AA38" s="33">
        <f>SUMIFS('Bilateral assistance, MAIN DATA'!$M:$M,'Bilateral assistance, MAIN DATA'!$B:$B,AA$1, 'Bilateral assistance, MAIN DATA'!$I:$I,$A38)</f>
        <v>0</v>
      </c>
      <c r="AB38" s="33">
        <f>SUMIFS('Bilateral assistance, MAIN DATA'!$M:$M,'Bilateral assistance, MAIN DATA'!$B:$B,AB$1, 'Bilateral assistance, MAIN DATA'!$I:$I,$A38)</f>
        <v>0</v>
      </c>
      <c r="AC38" s="33">
        <f>SUMIFS('Bilateral assistance, MAIN DATA'!$M:$M,'Bilateral assistance, MAIN DATA'!$B:$B,AC$1, 'Bilateral assistance, MAIN DATA'!$I:$I,$A38)</f>
        <v>0</v>
      </c>
      <c r="AD38" s="33">
        <f>SUMIFS('Bilateral assistance, MAIN DATA'!$M:$M,'Bilateral assistance, MAIN DATA'!$B:$B,AD$1, 'Bilateral assistance, MAIN DATA'!$I:$I,$A38)</f>
        <v>0</v>
      </c>
      <c r="AE38" s="33">
        <f>SUMIFS('Bilateral assistance, MAIN DATA'!$M:$M,'Bilateral assistance, MAIN DATA'!$B:$B,AE$1, 'Bilateral assistance, MAIN DATA'!$I:$I,$A38)</f>
        <v>0</v>
      </c>
      <c r="AF38" s="33">
        <f>SUMIFS('Bilateral assistance, MAIN DATA'!$M:$M,'Bilateral assistance, MAIN DATA'!$B:$B,AF$1, 'Bilateral assistance, MAIN DATA'!$I:$I,$A38)</f>
        <v>0</v>
      </c>
      <c r="AG38" s="33">
        <f>SUMIFS('Bilateral assistance, MAIN DATA'!$M:$M,'Bilateral assistance, MAIN DATA'!$B:$B,AG$1, 'Bilateral assistance, MAIN DATA'!$I:$I,$A38)</f>
        <v>0</v>
      </c>
      <c r="AH38" s="33">
        <f>SUMIFS('Bilateral assistance, MAIN DATA'!$M:$M,'Bilateral assistance, MAIN DATA'!$B:$B,AH$1, 'Bilateral assistance, MAIN DATA'!$I:$I,$A38)</f>
        <v>0</v>
      </c>
      <c r="AI38" s="33">
        <f>SUMIFS('Bilateral assistance, MAIN DATA'!$M:$M,'Bilateral assistance, MAIN DATA'!$B:$B,AI$1, 'Bilateral assistance, MAIN DATA'!$I:$I,$A38)</f>
        <v>0</v>
      </c>
      <c r="AJ38" s="33">
        <f>SUMIFS('Bilateral assistance, MAIN DATA'!$M:$M,'Bilateral assistance, MAIN DATA'!$B:$B,AJ$1, 'Bilateral assistance, MAIN DATA'!$I:$I,$A38)</f>
        <v>0</v>
      </c>
      <c r="AK38" s="33">
        <f>SUMIFS('Bilateral assistance, MAIN DATA'!$M:$M,'Bilateral assistance, MAIN DATA'!$B:$B,AK$1, 'Bilateral assistance, MAIN DATA'!$I:$I,$A38)</f>
        <v>0</v>
      </c>
      <c r="AL38" s="33">
        <f>SUMIFS('Bilateral assistance, MAIN DATA'!$M:$M,'Bilateral assistance, MAIN DATA'!$B:$B,AL$1, 'Bilateral assistance, MAIN DATA'!$I:$I,$A38)</f>
        <v>0</v>
      </c>
      <c r="AM38" s="33">
        <f>SUMIFS('Bilateral assistance, MAIN DATA'!$M:$M,'Bilateral assistance, MAIN DATA'!$B:$B,AM$1, 'Bilateral assistance, MAIN DATA'!$I:$I,$A38)</f>
        <v>0</v>
      </c>
      <c r="AN38" s="33">
        <f>SUMIFS('Bilateral assistance, MAIN DATA'!$M:$M,'Bilateral assistance, MAIN DATA'!$B:$B,AN$1, 'Bilateral assistance, MAIN DATA'!$I:$I,$A38)</f>
        <v>0</v>
      </c>
      <c r="AO38" s="33">
        <f>SUMIFS('Bilateral assistance, MAIN DATA'!$M:$M,'Bilateral assistance, MAIN DATA'!$B:$B,AO$1, 'Bilateral assistance, MAIN DATA'!$I:$I,$A38)</f>
        <v>0</v>
      </c>
      <c r="AP38" s="33">
        <f>SUMIFS('Bilateral assistance, MAIN DATA'!$M:$M,'Bilateral assistance, MAIN DATA'!$B:$B,AP$1, 'Bilateral assistance, MAIN DATA'!$I:$I,$A38)</f>
        <v>0</v>
      </c>
      <c r="AQ38" s="33">
        <f>SUMIFS('Bilateral assistance, MAIN DATA'!$M:$M,'Bilateral assistance, MAIN DATA'!$B:$B,AQ$1, 'Bilateral assistance, MAIN DATA'!$I:$I,$A38)</f>
        <v>0</v>
      </c>
      <c r="AR38" s="33">
        <f>SUMIFS('Bilateral assistance, MAIN DATA'!$M:$M,'Bilateral assistance, MAIN DATA'!$B:$B,AR$1, 'Bilateral assistance, MAIN DATA'!$I:$I,$A38)</f>
        <v>0</v>
      </c>
      <c r="AS38" s="33">
        <f>SUMIFS('Bilateral assistance, MAIN DATA'!$M:$M,'Bilateral assistance, MAIN DATA'!$B:$B,AS$1, 'Bilateral assistance, MAIN DATA'!$I:$I,$A38)</f>
        <v>38</v>
      </c>
    </row>
    <row r="39" spans="1:45">
      <c r="A39" s="27" t="s">
        <v>1133</v>
      </c>
      <c r="B39" s="33">
        <f t="shared" si="0"/>
        <v>10</v>
      </c>
      <c r="C39" s="645" t="s">
        <v>3093</v>
      </c>
      <c r="D39" s="33" t="s">
        <v>4155</v>
      </c>
      <c r="F39" s="33">
        <f>SUMIFS('Bilateral assistance, MAIN DATA'!$M:$M,'Bilateral assistance, MAIN DATA'!$B:$B,F$1, 'Bilateral assistance, MAIN DATA'!$I:$I,$A39)</f>
        <v>0</v>
      </c>
      <c r="G39" s="33">
        <f>SUMIFS('Bilateral assistance, MAIN DATA'!$M:$M,'Bilateral assistance, MAIN DATA'!$B:$B,G$1, 'Bilateral assistance, MAIN DATA'!$I:$I,$A39)</f>
        <v>0</v>
      </c>
      <c r="H39" s="33">
        <f>SUMIFS('Bilateral assistance, MAIN DATA'!$M:$M,'Bilateral assistance, MAIN DATA'!$B:$B,H$1, 'Bilateral assistance, MAIN DATA'!$I:$I,$A39)</f>
        <v>0</v>
      </c>
      <c r="I39" s="33">
        <f>SUMIFS('Bilateral assistance, MAIN DATA'!$M:$M,'Bilateral assistance, MAIN DATA'!$B:$B,I$1, 'Bilateral assistance, MAIN DATA'!$I:$I,$A39)</f>
        <v>0</v>
      </c>
      <c r="J39" s="33">
        <f>SUMIFS('Bilateral assistance, MAIN DATA'!$M:$M,'Bilateral assistance, MAIN DATA'!$B:$B,J$1, 'Bilateral assistance, MAIN DATA'!$I:$I,$A39)</f>
        <v>0</v>
      </c>
      <c r="K39" s="33">
        <f>SUMIFS('Bilateral assistance, MAIN DATA'!$M:$M,'Bilateral assistance, MAIN DATA'!$B:$B,K$1, 'Bilateral assistance, MAIN DATA'!$I:$I,$A39)</f>
        <v>0</v>
      </c>
      <c r="L39" s="33">
        <f>SUMIFS('Bilateral assistance, MAIN DATA'!$M:$M,'Bilateral assistance, MAIN DATA'!$B:$B,L$1, 'Bilateral assistance, MAIN DATA'!$I:$I,$A39)</f>
        <v>0</v>
      </c>
      <c r="M39" s="33">
        <f>SUMIFS('Bilateral assistance, MAIN DATA'!$M:$M,'Bilateral assistance, MAIN DATA'!$B:$B,M$1, 'Bilateral assistance, MAIN DATA'!$I:$I,$A39)</f>
        <v>0</v>
      </c>
      <c r="N39" s="33">
        <f>SUMIFS('Bilateral assistance, MAIN DATA'!$M:$M,'Bilateral assistance, MAIN DATA'!$B:$B,N$1, 'Bilateral assistance, MAIN DATA'!$I:$I,$A39)</f>
        <v>0</v>
      </c>
      <c r="O39" s="33">
        <f>SUMIFS('Bilateral assistance, MAIN DATA'!$M:$M,'Bilateral assistance, MAIN DATA'!$B:$B,O$1, 'Bilateral assistance, MAIN DATA'!$I:$I,$A39)</f>
        <v>0</v>
      </c>
      <c r="P39" s="33">
        <f>SUMIFS('Bilateral assistance, MAIN DATA'!$M:$M,'Bilateral assistance, MAIN DATA'!$B:$B,P$1, 'Bilateral assistance, MAIN DATA'!$I:$I,$A39)</f>
        <v>0</v>
      </c>
      <c r="Q39" s="33">
        <f>SUMIFS('Bilateral assistance, MAIN DATA'!$M:$M,'Bilateral assistance, MAIN DATA'!$B:$B,Q$1, 'Bilateral assistance, MAIN DATA'!$I:$I,$A39)</f>
        <v>0</v>
      </c>
      <c r="R39" s="33">
        <f>SUMIFS('Bilateral assistance, MAIN DATA'!$M:$M,'Bilateral assistance, MAIN DATA'!$B:$B,R$1, 'Bilateral assistance, MAIN DATA'!$I:$I,$A39)</f>
        <v>0</v>
      </c>
      <c r="S39" s="33">
        <f>SUMIFS('Bilateral assistance, MAIN DATA'!$M:$M,'Bilateral assistance, MAIN DATA'!$B:$B,S$1, 'Bilateral assistance, MAIN DATA'!$I:$I,$A39)</f>
        <v>0</v>
      </c>
      <c r="T39" s="33">
        <f>SUMIFS('Bilateral assistance, MAIN DATA'!$M:$M,'Bilateral assistance, MAIN DATA'!$B:$B,T$1, 'Bilateral assistance, MAIN DATA'!$I:$I,$A39)</f>
        <v>2</v>
      </c>
      <c r="U39" s="33">
        <f>SUMIFS('Bilateral assistance, MAIN DATA'!$M:$M,'Bilateral assistance, MAIN DATA'!$B:$B,U$1, 'Bilateral assistance, MAIN DATA'!$I:$I,$A39)</f>
        <v>0</v>
      </c>
      <c r="V39" s="33">
        <f>SUMIFS('Bilateral assistance, MAIN DATA'!$M:$M,'Bilateral assistance, MAIN DATA'!$B:$B,V$1, 'Bilateral assistance, MAIN DATA'!$I:$I,$A39)</f>
        <v>0</v>
      </c>
      <c r="W39" s="33">
        <f>SUMIFS('Bilateral assistance, MAIN DATA'!$M:$M,'Bilateral assistance, MAIN DATA'!$B:$B,W$1, 'Bilateral assistance, MAIN DATA'!$I:$I,$A39)</f>
        <v>0</v>
      </c>
      <c r="X39" s="33">
        <f>SUMIFS('Bilateral assistance, MAIN DATA'!$M:$M,'Bilateral assistance, MAIN DATA'!$B:$B,X$1, 'Bilateral assistance, MAIN DATA'!$I:$I,$A39)</f>
        <v>0</v>
      </c>
      <c r="Y39" s="33">
        <f>SUMIFS('Bilateral assistance, MAIN DATA'!$M:$M,'Bilateral assistance, MAIN DATA'!$B:$B,Y$1, 'Bilateral assistance, MAIN DATA'!$I:$I,$A39)</f>
        <v>2</v>
      </c>
      <c r="Z39" s="33">
        <f>SUMIFS('Bilateral assistance, MAIN DATA'!$M:$M,'Bilateral assistance, MAIN DATA'!$B:$B,Z$1, 'Bilateral assistance, MAIN DATA'!$I:$I,$A39)</f>
        <v>0</v>
      </c>
      <c r="AA39" s="33">
        <f>SUMIFS('Bilateral assistance, MAIN DATA'!$M:$M,'Bilateral assistance, MAIN DATA'!$B:$B,AA$1, 'Bilateral assistance, MAIN DATA'!$I:$I,$A39)</f>
        <v>0</v>
      </c>
      <c r="AB39" s="33">
        <f>SUMIFS('Bilateral assistance, MAIN DATA'!$M:$M,'Bilateral assistance, MAIN DATA'!$B:$B,AB$1, 'Bilateral assistance, MAIN DATA'!$I:$I,$A39)</f>
        <v>0</v>
      </c>
      <c r="AC39" s="33">
        <f>SUMIFS('Bilateral assistance, MAIN DATA'!$M:$M,'Bilateral assistance, MAIN DATA'!$B:$B,AC$1, 'Bilateral assistance, MAIN DATA'!$I:$I,$A39)</f>
        <v>0</v>
      </c>
      <c r="AD39" s="33">
        <f>SUMIFS('Bilateral assistance, MAIN DATA'!$M:$M,'Bilateral assistance, MAIN DATA'!$B:$B,AD$1, 'Bilateral assistance, MAIN DATA'!$I:$I,$A39)</f>
        <v>0</v>
      </c>
      <c r="AE39" s="33">
        <f>SUMIFS('Bilateral assistance, MAIN DATA'!$M:$M,'Bilateral assistance, MAIN DATA'!$B:$B,AE$1, 'Bilateral assistance, MAIN DATA'!$I:$I,$A39)</f>
        <v>0</v>
      </c>
      <c r="AF39" s="33">
        <f>SUMIFS('Bilateral assistance, MAIN DATA'!$M:$M,'Bilateral assistance, MAIN DATA'!$B:$B,AF$1, 'Bilateral assistance, MAIN DATA'!$I:$I,$A39)</f>
        <v>0</v>
      </c>
      <c r="AG39" s="33">
        <f>SUMIFS('Bilateral assistance, MAIN DATA'!$M:$M,'Bilateral assistance, MAIN DATA'!$B:$B,AG$1, 'Bilateral assistance, MAIN DATA'!$I:$I,$A39)</f>
        <v>0</v>
      </c>
      <c r="AH39" s="33">
        <f>SUMIFS('Bilateral assistance, MAIN DATA'!$M:$M,'Bilateral assistance, MAIN DATA'!$B:$B,AH$1, 'Bilateral assistance, MAIN DATA'!$I:$I,$A39)</f>
        <v>0</v>
      </c>
      <c r="AI39" s="33">
        <f>SUMIFS('Bilateral assistance, MAIN DATA'!$M:$M,'Bilateral assistance, MAIN DATA'!$B:$B,AI$1, 'Bilateral assistance, MAIN DATA'!$I:$I,$A39)</f>
        <v>0</v>
      </c>
      <c r="AJ39" s="33">
        <f>SUMIFS('Bilateral assistance, MAIN DATA'!$M:$M,'Bilateral assistance, MAIN DATA'!$B:$B,AJ$1, 'Bilateral assistance, MAIN DATA'!$I:$I,$A39)</f>
        <v>0</v>
      </c>
      <c r="AK39" s="33">
        <f>SUMIFS('Bilateral assistance, MAIN DATA'!$M:$M,'Bilateral assistance, MAIN DATA'!$B:$B,AK$1, 'Bilateral assistance, MAIN DATA'!$I:$I,$A39)</f>
        <v>0</v>
      </c>
      <c r="AL39" s="33">
        <f>SUMIFS('Bilateral assistance, MAIN DATA'!$M:$M,'Bilateral assistance, MAIN DATA'!$B:$B,AL$1, 'Bilateral assistance, MAIN DATA'!$I:$I,$A39)</f>
        <v>0</v>
      </c>
      <c r="AM39" s="33">
        <f>SUMIFS('Bilateral assistance, MAIN DATA'!$M:$M,'Bilateral assistance, MAIN DATA'!$B:$B,AM$1, 'Bilateral assistance, MAIN DATA'!$I:$I,$A39)</f>
        <v>0</v>
      </c>
      <c r="AN39" s="33">
        <f>SUMIFS('Bilateral assistance, MAIN DATA'!$M:$M,'Bilateral assistance, MAIN DATA'!$B:$B,AN$1, 'Bilateral assistance, MAIN DATA'!$I:$I,$A39)</f>
        <v>0</v>
      </c>
      <c r="AO39" s="33">
        <f>SUMIFS('Bilateral assistance, MAIN DATA'!$M:$M,'Bilateral assistance, MAIN DATA'!$B:$B,AO$1, 'Bilateral assistance, MAIN DATA'!$I:$I,$A39)</f>
        <v>0</v>
      </c>
      <c r="AP39" s="33">
        <f>SUMIFS('Bilateral assistance, MAIN DATA'!$M:$M,'Bilateral assistance, MAIN DATA'!$B:$B,AP$1, 'Bilateral assistance, MAIN DATA'!$I:$I,$A39)</f>
        <v>0</v>
      </c>
      <c r="AQ39" s="33">
        <f>SUMIFS('Bilateral assistance, MAIN DATA'!$M:$M,'Bilateral assistance, MAIN DATA'!$B:$B,AQ$1, 'Bilateral assistance, MAIN DATA'!$I:$I,$A39)</f>
        <v>0</v>
      </c>
      <c r="AR39" s="33">
        <f>SUMIFS('Bilateral assistance, MAIN DATA'!$M:$M,'Bilateral assistance, MAIN DATA'!$B:$B,AR$1, 'Bilateral assistance, MAIN DATA'!$I:$I,$A39)</f>
        <v>6</v>
      </c>
      <c r="AS39" s="33">
        <f>SUMIFS('Bilateral assistance, MAIN DATA'!$M:$M,'Bilateral assistance, MAIN DATA'!$B:$B,AS$1, 'Bilateral assistance, MAIN DATA'!$I:$I,$A39)</f>
        <v>0</v>
      </c>
    </row>
    <row r="40" spans="1:45">
      <c r="A40" s="33" t="s">
        <v>1840</v>
      </c>
      <c r="B40" s="33">
        <f t="shared" ref="B40" si="3">SUM(F40:AS40)</f>
        <v>3</v>
      </c>
      <c r="C40" s="645" t="s">
        <v>3093</v>
      </c>
      <c r="D40" s="33" t="s">
        <v>4156</v>
      </c>
      <c r="F40" s="33">
        <f>SUMIFS('Bilateral assistance, MAIN DATA'!$M:$M,'Bilateral assistance, MAIN DATA'!$B:$B,F$1, 'Bilateral assistance, MAIN DATA'!$I:$I,$A40)</f>
        <v>0</v>
      </c>
      <c r="G40" s="33">
        <f>SUMIFS('Bilateral assistance, MAIN DATA'!$M:$M,'Bilateral assistance, MAIN DATA'!$B:$B,G$1, 'Bilateral assistance, MAIN DATA'!$I:$I,$A40)</f>
        <v>0</v>
      </c>
      <c r="H40" s="33">
        <f>SUMIFS('Bilateral assistance, MAIN DATA'!$M:$M,'Bilateral assistance, MAIN DATA'!$B:$B,H$1, 'Bilateral assistance, MAIN DATA'!$I:$I,$A40)</f>
        <v>0</v>
      </c>
      <c r="I40" s="33">
        <f>SUMIFS('Bilateral assistance, MAIN DATA'!$M:$M,'Bilateral assistance, MAIN DATA'!$B:$B,I$1, 'Bilateral assistance, MAIN DATA'!$I:$I,$A40)</f>
        <v>0</v>
      </c>
      <c r="J40" s="33">
        <f>SUMIFS('Bilateral assistance, MAIN DATA'!$M:$M,'Bilateral assistance, MAIN DATA'!$B:$B,J$1, 'Bilateral assistance, MAIN DATA'!$I:$I,$A40)</f>
        <v>0</v>
      </c>
      <c r="K40" s="33">
        <f>SUMIFS('Bilateral assistance, MAIN DATA'!$M:$M,'Bilateral assistance, MAIN DATA'!$B:$B,K$1, 'Bilateral assistance, MAIN DATA'!$I:$I,$A40)</f>
        <v>0</v>
      </c>
      <c r="L40" s="33">
        <f>SUMIFS('Bilateral assistance, MAIN DATA'!$M:$M,'Bilateral assistance, MAIN DATA'!$B:$B,L$1, 'Bilateral assistance, MAIN DATA'!$I:$I,$A40)</f>
        <v>0</v>
      </c>
      <c r="M40" s="33">
        <f>SUMIFS('Bilateral assistance, MAIN DATA'!$M:$M,'Bilateral assistance, MAIN DATA'!$B:$B,M$1, 'Bilateral assistance, MAIN DATA'!$I:$I,$A40)</f>
        <v>0</v>
      </c>
      <c r="N40" s="33">
        <f>SUMIFS('Bilateral assistance, MAIN DATA'!$M:$M,'Bilateral assistance, MAIN DATA'!$B:$B,N$1, 'Bilateral assistance, MAIN DATA'!$I:$I,$A40)</f>
        <v>0</v>
      </c>
      <c r="O40" s="33">
        <f>SUMIFS('Bilateral assistance, MAIN DATA'!$M:$M,'Bilateral assistance, MAIN DATA'!$B:$B,O$1, 'Bilateral assistance, MAIN DATA'!$I:$I,$A40)</f>
        <v>0</v>
      </c>
      <c r="P40" s="33">
        <f>SUMIFS('Bilateral assistance, MAIN DATA'!$M:$M,'Bilateral assistance, MAIN DATA'!$B:$B,P$1, 'Bilateral assistance, MAIN DATA'!$I:$I,$A40)</f>
        <v>0</v>
      </c>
      <c r="Q40" s="33">
        <f>SUMIFS('Bilateral assistance, MAIN DATA'!$M:$M,'Bilateral assistance, MAIN DATA'!$B:$B,Q$1, 'Bilateral assistance, MAIN DATA'!$I:$I,$A40)</f>
        <v>0</v>
      </c>
      <c r="R40" s="33">
        <f>SUMIFS('Bilateral assistance, MAIN DATA'!$M:$M,'Bilateral assistance, MAIN DATA'!$B:$B,R$1, 'Bilateral assistance, MAIN DATA'!$I:$I,$A40)</f>
        <v>0</v>
      </c>
      <c r="S40" s="33">
        <f>SUMIFS('Bilateral assistance, MAIN DATA'!$M:$M,'Bilateral assistance, MAIN DATA'!$B:$B,S$1, 'Bilateral assistance, MAIN DATA'!$I:$I,$A40)</f>
        <v>0</v>
      </c>
      <c r="T40" s="33">
        <f>SUMIFS('Bilateral assistance, MAIN DATA'!$M:$M,'Bilateral assistance, MAIN DATA'!$B:$B,T$1, 'Bilateral assistance, MAIN DATA'!$I:$I,$A40)</f>
        <v>0</v>
      </c>
      <c r="U40" s="33">
        <f>SUMIFS('Bilateral assistance, MAIN DATA'!$M:$M,'Bilateral assistance, MAIN DATA'!$B:$B,U$1, 'Bilateral assistance, MAIN DATA'!$I:$I,$A40)</f>
        <v>0</v>
      </c>
      <c r="V40" s="33">
        <f>SUMIFS('Bilateral assistance, MAIN DATA'!$M:$M,'Bilateral assistance, MAIN DATA'!$B:$B,V$1, 'Bilateral assistance, MAIN DATA'!$I:$I,$A40)</f>
        <v>0</v>
      </c>
      <c r="W40" s="33">
        <f>SUMIFS('Bilateral assistance, MAIN DATA'!$M:$M,'Bilateral assistance, MAIN DATA'!$B:$B,W$1, 'Bilateral assistance, MAIN DATA'!$I:$I,$A40)</f>
        <v>0</v>
      </c>
      <c r="X40" s="33">
        <f>SUMIFS('Bilateral assistance, MAIN DATA'!$M:$M,'Bilateral assistance, MAIN DATA'!$B:$B,X$1, 'Bilateral assistance, MAIN DATA'!$I:$I,$A40)</f>
        <v>0</v>
      </c>
      <c r="Y40" s="33">
        <f>SUMIFS('Bilateral assistance, MAIN DATA'!$M:$M,'Bilateral assistance, MAIN DATA'!$B:$B,Y$1, 'Bilateral assistance, MAIN DATA'!$I:$I,$A40)</f>
        <v>0</v>
      </c>
      <c r="Z40" s="33">
        <f>SUMIFS('Bilateral assistance, MAIN DATA'!$M:$M,'Bilateral assistance, MAIN DATA'!$B:$B,Z$1, 'Bilateral assistance, MAIN DATA'!$I:$I,$A40)</f>
        <v>0</v>
      </c>
      <c r="AA40" s="33">
        <f>SUMIFS('Bilateral assistance, MAIN DATA'!$M:$M,'Bilateral assistance, MAIN DATA'!$B:$B,AA$1, 'Bilateral assistance, MAIN DATA'!$I:$I,$A40)</f>
        <v>0</v>
      </c>
      <c r="AB40" s="33">
        <f>SUMIFS('Bilateral assistance, MAIN DATA'!$M:$M,'Bilateral assistance, MAIN DATA'!$B:$B,AB$1, 'Bilateral assistance, MAIN DATA'!$I:$I,$A40)</f>
        <v>0</v>
      </c>
      <c r="AC40" s="33">
        <f>SUMIFS('Bilateral assistance, MAIN DATA'!$M:$M,'Bilateral assistance, MAIN DATA'!$B:$B,AC$1, 'Bilateral assistance, MAIN DATA'!$I:$I,$A40)</f>
        <v>0</v>
      </c>
      <c r="AD40" s="33">
        <f>SUMIFS('Bilateral assistance, MAIN DATA'!$M:$M,'Bilateral assistance, MAIN DATA'!$B:$B,AD$1, 'Bilateral assistance, MAIN DATA'!$I:$I,$A40)</f>
        <v>0</v>
      </c>
      <c r="AE40" s="33">
        <f>SUMIFS('Bilateral assistance, MAIN DATA'!$M:$M,'Bilateral assistance, MAIN DATA'!$B:$B,AE$1, 'Bilateral assistance, MAIN DATA'!$I:$I,$A40)</f>
        <v>0</v>
      </c>
      <c r="AF40" s="33">
        <f>SUMIFS('Bilateral assistance, MAIN DATA'!$M:$M,'Bilateral assistance, MAIN DATA'!$B:$B,AF$1, 'Bilateral assistance, MAIN DATA'!$I:$I,$A40)</f>
        <v>0</v>
      </c>
      <c r="AG40" s="33">
        <f>SUMIFS('Bilateral assistance, MAIN DATA'!$M:$M,'Bilateral assistance, MAIN DATA'!$B:$B,AG$1, 'Bilateral assistance, MAIN DATA'!$I:$I,$A40)</f>
        <v>3</v>
      </c>
      <c r="AH40" s="33">
        <f>SUMIFS('Bilateral assistance, MAIN DATA'!$M:$M,'Bilateral assistance, MAIN DATA'!$B:$B,AH$1, 'Bilateral assistance, MAIN DATA'!$I:$I,$A40)</f>
        <v>0</v>
      </c>
      <c r="AI40" s="33">
        <f>SUMIFS('Bilateral assistance, MAIN DATA'!$M:$M,'Bilateral assistance, MAIN DATA'!$B:$B,AI$1, 'Bilateral assistance, MAIN DATA'!$I:$I,$A40)</f>
        <v>0</v>
      </c>
      <c r="AJ40" s="33">
        <f>SUMIFS('Bilateral assistance, MAIN DATA'!$M:$M,'Bilateral assistance, MAIN DATA'!$B:$B,AJ$1, 'Bilateral assistance, MAIN DATA'!$I:$I,$A40)</f>
        <v>0</v>
      </c>
      <c r="AK40" s="33">
        <f>SUMIFS('Bilateral assistance, MAIN DATA'!$M:$M,'Bilateral assistance, MAIN DATA'!$B:$B,AK$1, 'Bilateral assistance, MAIN DATA'!$I:$I,$A40)</f>
        <v>0</v>
      </c>
      <c r="AL40" s="33">
        <f>SUMIFS('Bilateral assistance, MAIN DATA'!$M:$M,'Bilateral assistance, MAIN DATA'!$B:$B,AL$1, 'Bilateral assistance, MAIN DATA'!$I:$I,$A40)</f>
        <v>0</v>
      </c>
      <c r="AM40" s="33">
        <f>SUMIFS('Bilateral assistance, MAIN DATA'!$M:$M,'Bilateral assistance, MAIN DATA'!$B:$B,AM$1, 'Bilateral assistance, MAIN DATA'!$I:$I,$A40)</f>
        <v>0</v>
      </c>
      <c r="AN40" s="33">
        <f>SUMIFS('Bilateral assistance, MAIN DATA'!$M:$M,'Bilateral assistance, MAIN DATA'!$B:$B,AN$1, 'Bilateral assistance, MAIN DATA'!$I:$I,$A40)</f>
        <v>0</v>
      </c>
      <c r="AO40" s="33">
        <f>SUMIFS('Bilateral assistance, MAIN DATA'!$M:$M,'Bilateral assistance, MAIN DATA'!$B:$B,AO$1, 'Bilateral assistance, MAIN DATA'!$I:$I,$A40)</f>
        <v>0</v>
      </c>
      <c r="AP40" s="33">
        <f>SUMIFS('Bilateral assistance, MAIN DATA'!$M:$M,'Bilateral assistance, MAIN DATA'!$B:$B,AP$1, 'Bilateral assistance, MAIN DATA'!$I:$I,$A40)</f>
        <v>0</v>
      </c>
      <c r="AQ40" s="33">
        <f>SUMIFS('Bilateral assistance, MAIN DATA'!$M:$M,'Bilateral assistance, MAIN DATA'!$B:$B,AQ$1, 'Bilateral assistance, MAIN DATA'!$I:$I,$A40)</f>
        <v>0</v>
      </c>
      <c r="AR40" s="33">
        <f>SUMIFS('Bilateral assistance, MAIN DATA'!$M:$M,'Bilateral assistance, MAIN DATA'!$B:$B,AR$1, 'Bilateral assistance, MAIN DATA'!$I:$I,$A40)</f>
        <v>0</v>
      </c>
      <c r="AS40" s="33">
        <f>SUMIFS('Bilateral assistance, MAIN DATA'!$M:$M,'Bilateral assistance, MAIN DATA'!$B:$B,AS$1, 'Bilateral assistance, MAIN DATA'!$I:$I,$A40)</f>
        <v>0</v>
      </c>
    </row>
    <row r="42" spans="1:45">
      <c r="A42" s="27"/>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59999389629810485"/>
  </sheetPr>
  <dimension ref="A1:AS39"/>
  <sheetViews>
    <sheetView zoomScaleNormal="100" workbookViewId="0"/>
  </sheetViews>
  <sheetFormatPr defaultColWidth="8.5" defaultRowHeight="15.6"/>
  <cols>
    <col min="1" max="1" width="43" style="33" customWidth="1"/>
    <col min="2" max="3" width="8.5" style="33"/>
    <col min="4" max="4" width="13" style="33" customWidth="1"/>
    <col min="5" max="16384" width="8.5" style="33"/>
  </cols>
  <sheetData>
    <row r="1" spans="1:45" s="222" customFormat="1" ht="15">
      <c r="B1" s="222" t="s">
        <v>4138</v>
      </c>
      <c r="C1" s="222" t="s">
        <v>3108</v>
      </c>
      <c r="D1" s="222" t="s">
        <v>4139</v>
      </c>
      <c r="E1" s="222" t="s">
        <v>4140</v>
      </c>
      <c r="F1" s="222" t="s">
        <v>227</v>
      </c>
      <c r="G1" s="222" t="s">
        <v>312</v>
      </c>
      <c r="H1" s="222" t="s">
        <v>370</v>
      </c>
      <c r="I1" s="222" t="s">
        <v>428</v>
      </c>
      <c r="J1" s="222" t="s">
        <v>452</v>
      </c>
      <c r="K1" s="222" t="s">
        <v>591</v>
      </c>
      <c r="L1" s="222" t="s">
        <v>618</v>
      </c>
      <c r="M1" s="222" t="s">
        <v>632</v>
      </c>
      <c r="N1" s="222" t="s">
        <v>767</v>
      </c>
      <c r="O1" s="222" t="s">
        <v>840</v>
      </c>
      <c r="P1" s="222" t="s">
        <v>2825</v>
      </c>
      <c r="Q1" s="222" t="s">
        <v>2885</v>
      </c>
      <c r="R1" s="222" t="s">
        <v>2861</v>
      </c>
      <c r="S1" s="222" t="s">
        <v>917</v>
      </c>
      <c r="T1" s="222" t="s">
        <v>1012</v>
      </c>
      <c r="U1" s="222" t="s">
        <v>1136</v>
      </c>
      <c r="V1" s="222" t="s">
        <v>1294</v>
      </c>
      <c r="W1" s="222" t="s">
        <v>1335</v>
      </c>
      <c r="X1" s="222" t="s">
        <v>1383</v>
      </c>
      <c r="Y1" s="222" t="s">
        <v>1412</v>
      </c>
      <c r="Z1" s="222" t="s">
        <v>1471</v>
      </c>
      <c r="AA1" s="222" t="s">
        <v>1516</v>
      </c>
      <c r="AB1" s="222" t="s">
        <v>1562</v>
      </c>
      <c r="AC1" s="222" t="s">
        <v>1653</v>
      </c>
      <c r="AD1" s="222" t="s">
        <v>1682</v>
      </c>
      <c r="AE1" s="222" t="s">
        <v>1687</v>
      </c>
      <c r="AF1" s="222" t="s">
        <v>1766</v>
      </c>
      <c r="AG1" s="222" t="s">
        <v>1804</v>
      </c>
      <c r="AH1" s="222" t="s">
        <v>1894</v>
      </c>
      <c r="AI1" s="222" t="s">
        <v>1957</v>
      </c>
      <c r="AJ1" s="222" t="s">
        <v>2034</v>
      </c>
      <c r="AK1" s="222" t="s">
        <v>2063</v>
      </c>
      <c r="AL1" s="222" t="s">
        <v>2106</v>
      </c>
      <c r="AM1" s="222" t="s">
        <v>2002</v>
      </c>
      <c r="AN1" s="222" t="s">
        <v>2162</v>
      </c>
      <c r="AO1" s="222" t="s">
        <v>2258</v>
      </c>
      <c r="AP1" s="222" t="s">
        <v>2329</v>
      </c>
      <c r="AQ1" s="222" t="s">
        <v>2348</v>
      </c>
      <c r="AR1" s="222" t="s">
        <v>2392</v>
      </c>
      <c r="AS1" s="222" t="s">
        <v>2548</v>
      </c>
    </row>
    <row r="2" spans="1:45">
      <c r="A2" s="33" t="s">
        <v>274</v>
      </c>
      <c r="B2" s="33">
        <f>SUM(F2:AS2)</f>
        <v>60</v>
      </c>
      <c r="C2" s="645" t="s">
        <v>4141</v>
      </c>
      <c r="D2" s="33" t="s">
        <v>4142</v>
      </c>
      <c r="F2" s="33">
        <f>SUMIFS('Bilateral assistance, MAIN DATA'!$N:$N,'Bilateral assistance, MAIN DATA'!$B:$B,F$1, 'Bilateral assistance, MAIN DATA'!$I:$I,$A2)</f>
        <v>60</v>
      </c>
      <c r="G2" s="33">
        <f>SUMIFS('Bilateral assistance, MAIN DATA'!$N:$N,'Bilateral assistance, MAIN DATA'!$B:$B,G$1, 'Bilateral assistance, MAIN DATA'!$I:$I,$A2)</f>
        <v>0</v>
      </c>
      <c r="H2" s="33">
        <f>SUMIFS('Bilateral assistance, MAIN DATA'!$N:$N,'Bilateral assistance, MAIN DATA'!$B:$B,H$1, 'Bilateral assistance, MAIN DATA'!$I:$I,$A2)</f>
        <v>0</v>
      </c>
      <c r="I2" s="33">
        <f>SUMIFS('Bilateral assistance, MAIN DATA'!$N:$N,'Bilateral assistance, MAIN DATA'!$B:$B,I$1, 'Bilateral assistance, MAIN DATA'!$I:$I,$A2)</f>
        <v>0</v>
      </c>
      <c r="J2" s="33">
        <f>SUMIFS('Bilateral assistance, MAIN DATA'!$N:$N,'Bilateral assistance, MAIN DATA'!$B:$B,J$1, 'Bilateral assistance, MAIN DATA'!$I:$I,$A2)</f>
        <v>0</v>
      </c>
      <c r="K2" s="33">
        <f>SUMIFS('Bilateral assistance, MAIN DATA'!$N:$N,'Bilateral assistance, MAIN DATA'!$B:$B,K$1, 'Bilateral assistance, MAIN DATA'!$I:$I,$A2)</f>
        <v>0</v>
      </c>
      <c r="L2" s="33">
        <f>SUMIFS('Bilateral assistance, MAIN DATA'!$N:$N,'Bilateral assistance, MAIN DATA'!$B:$B,L$1, 'Bilateral assistance, MAIN DATA'!$I:$I,$A2)</f>
        <v>0</v>
      </c>
      <c r="M2" s="33">
        <f>SUMIFS('Bilateral assistance, MAIN DATA'!$N:$N,'Bilateral assistance, MAIN DATA'!$B:$B,M$1, 'Bilateral assistance, MAIN DATA'!$I:$I,$A2)</f>
        <v>0</v>
      </c>
      <c r="N2" s="33">
        <f>SUMIFS('Bilateral assistance, MAIN DATA'!$N:$N,'Bilateral assistance, MAIN DATA'!$B:$B,N$1, 'Bilateral assistance, MAIN DATA'!$I:$I,$A2)</f>
        <v>0</v>
      </c>
      <c r="O2" s="33">
        <f>SUMIFS('Bilateral assistance, MAIN DATA'!$N:$N,'Bilateral assistance, MAIN DATA'!$B:$B,O$1, 'Bilateral assistance, MAIN DATA'!$I:$I,$A2)</f>
        <v>0</v>
      </c>
      <c r="P2" s="33">
        <f>SUMIFS('Bilateral assistance, MAIN DATA'!$N:$N,'Bilateral assistance, MAIN DATA'!$B:$B,P$1, 'Bilateral assistance, MAIN DATA'!$I:$I,$A2)</f>
        <v>0</v>
      </c>
      <c r="Q2" s="33">
        <f>SUMIFS('Bilateral assistance, MAIN DATA'!$N:$N,'Bilateral assistance, MAIN DATA'!$B:$B,Q$1, 'Bilateral assistance, MAIN DATA'!$I:$I,$A2)</f>
        <v>0</v>
      </c>
      <c r="R2" s="33">
        <f>SUMIFS('Bilateral assistance, MAIN DATA'!$N:$N,'Bilateral assistance, MAIN DATA'!$B:$B,R$1, 'Bilateral assistance, MAIN DATA'!$I:$I,$A2)</f>
        <v>0</v>
      </c>
      <c r="S2" s="33">
        <f>SUMIFS('Bilateral assistance, MAIN DATA'!$N:$N,'Bilateral assistance, MAIN DATA'!$B:$B,S$1, 'Bilateral assistance, MAIN DATA'!$I:$I,$A2)</f>
        <v>0</v>
      </c>
      <c r="T2" s="33">
        <f>SUMIFS('Bilateral assistance, MAIN DATA'!$N:$N,'Bilateral assistance, MAIN DATA'!$B:$B,T$1, 'Bilateral assistance, MAIN DATA'!$I:$I,$A2)</f>
        <v>0</v>
      </c>
      <c r="U2" s="33">
        <f>SUMIFS('Bilateral assistance, MAIN DATA'!$N:$N,'Bilateral assistance, MAIN DATA'!$B:$B,U$1, 'Bilateral assistance, MAIN DATA'!$I:$I,$A2)</f>
        <v>0</v>
      </c>
      <c r="V2" s="33">
        <f>SUMIFS('Bilateral assistance, MAIN DATA'!$N:$N,'Bilateral assistance, MAIN DATA'!$B:$B,V$1, 'Bilateral assistance, MAIN DATA'!$I:$I,$A2)</f>
        <v>0</v>
      </c>
      <c r="W2" s="33">
        <f>SUMIFS('Bilateral assistance, MAIN DATA'!$N:$N,'Bilateral assistance, MAIN DATA'!$B:$B,W$1, 'Bilateral assistance, MAIN DATA'!$I:$I,$A2)</f>
        <v>0</v>
      </c>
      <c r="X2" s="33">
        <f>SUMIFS('Bilateral assistance, MAIN DATA'!$N:$N,'Bilateral assistance, MAIN DATA'!$B:$B,X$1, 'Bilateral assistance, MAIN DATA'!$I:$I,$A2)</f>
        <v>0</v>
      </c>
      <c r="Y2" s="33">
        <f>SUMIFS('Bilateral assistance, MAIN DATA'!$N:$N,'Bilateral assistance, MAIN DATA'!$B:$B,Y$1, 'Bilateral assistance, MAIN DATA'!$I:$I,$A2)</f>
        <v>0</v>
      </c>
      <c r="Z2" s="33">
        <f>SUMIFS('Bilateral assistance, MAIN DATA'!$N:$N,'Bilateral assistance, MAIN DATA'!$B:$B,Z$1, 'Bilateral assistance, MAIN DATA'!$I:$I,$A2)</f>
        <v>0</v>
      </c>
      <c r="AA2" s="33">
        <f>SUMIFS('Bilateral assistance, MAIN DATA'!$N:$N,'Bilateral assistance, MAIN DATA'!$B:$B,AA$1, 'Bilateral assistance, MAIN DATA'!$I:$I,$A2)</f>
        <v>0</v>
      </c>
      <c r="AB2" s="33">
        <f>SUMIFS('Bilateral assistance, MAIN DATA'!$N:$N,'Bilateral assistance, MAIN DATA'!$B:$B,AB$1, 'Bilateral assistance, MAIN DATA'!$I:$I,$A2)</f>
        <v>0</v>
      </c>
      <c r="AC2" s="33">
        <f>SUMIFS('Bilateral assistance, MAIN DATA'!$N:$N,'Bilateral assistance, MAIN DATA'!$B:$B,AC$1, 'Bilateral assistance, MAIN DATA'!$I:$I,$A2)</f>
        <v>0</v>
      </c>
      <c r="AD2" s="33">
        <f>SUMIFS('Bilateral assistance, MAIN DATA'!$N:$N,'Bilateral assistance, MAIN DATA'!$B:$B,AD$1, 'Bilateral assistance, MAIN DATA'!$I:$I,$A2)</f>
        <v>0</v>
      </c>
      <c r="AE2" s="33">
        <f>SUMIFS('Bilateral assistance, MAIN DATA'!$N:$N,'Bilateral assistance, MAIN DATA'!$B:$B,AE$1, 'Bilateral assistance, MAIN DATA'!$I:$I,$A2)</f>
        <v>0</v>
      </c>
      <c r="AF2" s="33">
        <f>SUMIFS('Bilateral assistance, MAIN DATA'!$N:$N,'Bilateral assistance, MAIN DATA'!$B:$B,AF$1, 'Bilateral assistance, MAIN DATA'!$I:$I,$A2)</f>
        <v>0</v>
      </c>
      <c r="AG2" s="33">
        <f>SUMIFS('Bilateral assistance, MAIN DATA'!$N:$N,'Bilateral assistance, MAIN DATA'!$B:$B,AG$1, 'Bilateral assistance, MAIN DATA'!$I:$I,$A2)</f>
        <v>0</v>
      </c>
      <c r="AH2" s="33">
        <f>SUMIFS('Bilateral assistance, MAIN DATA'!$N:$N,'Bilateral assistance, MAIN DATA'!$B:$B,AH$1, 'Bilateral assistance, MAIN DATA'!$I:$I,$A2)</f>
        <v>0</v>
      </c>
      <c r="AI2" s="33">
        <f>SUMIFS('Bilateral assistance, MAIN DATA'!$N:$N,'Bilateral assistance, MAIN DATA'!$B:$B,AI$1, 'Bilateral assistance, MAIN DATA'!$I:$I,$A2)</f>
        <v>0</v>
      </c>
      <c r="AJ2" s="33">
        <f>SUMIFS('Bilateral assistance, MAIN DATA'!$N:$N,'Bilateral assistance, MAIN DATA'!$B:$B,AJ$1, 'Bilateral assistance, MAIN DATA'!$I:$I,$A2)</f>
        <v>0</v>
      </c>
      <c r="AK2" s="33">
        <f>SUMIFS('Bilateral assistance, MAIN DATA'!$N:$N,'Bilateral assistance, MAIN DATA'!$B:$B,AK$1, 'Bilateral assistance, MAIN DATA'!$I:$I,$A2)</f>
        <v>0</v>
      </c>
      <c r="AL2" s="33">
        <f>SUMIFS('Bilateral assistance, MAIN DATA'!$N:$N,'Bilateral assistance, MAIN DATA'!$B:$B,AL$1, 'Bilateral assistance, MAIN DATA'!$I:$I,$A2)</f>
        <v>0</v>
      </c>
      <c r="AM2" s="33">
        <f>SUMIFS('Bilateral assistance, MAIN DATA'!$N:$N,'Bilateral assistance, MAIN DATA'!$B:$B,AM$1, 'Bilateral assistance, MAIN DATA'!$I:$I,$A2)</f>
        <v>0</v>
      </c>
      <c r="AN2" s="33">
        <f>SUMIFS('Bilateral assistance, MAIN DATA'!$N:$N,'Bilateral assistance, MAIN DATA'!$B:$B,AN$1, 'Bilateral assistance, MAIN DATA'!$I:$I,$A2)</f>
        <v>0</v>
      </c>
      <c r="AO2" s="33">
        <f>SUMIFS('Bilateral assistance, MAIN DATA'!$N:$N,'Bilateral assistance, MAIN DATA'!$B:$B,AO$1, 'Bilateral assistance, MAIN DATA'!$I:$I,$A2)</f>
        <v>0</v>
      </c>
      <c r="AP2" s="33">
        <f>SUMIFS('Bilateral assistance, MAIN DATA'!$N:$N,'Bilateral assistance, MAIN DATA'!$B:$B,AP$1, 'Bilateral assistance, MAIN DATA'!$I:$I,$A2)</f>
        <v>0</v>
      </c>
      <c r="AQ2" s="33">
        <f>SUMIFS('Bilateral assistance, MAIN DATA'!$N:$N,'Bilateral assistance, MAIN DATA'!$B:$B,AQ$1, 'Bilateral assistance, MAIN DATA'!$I:$I,$A2)</f>
        <v>0</v>
      </c>
      <c r="AR2" s="33">
        <f>SUMIFS('Bilateral assistance, MAIN DATA'!$N:$N,'Bilateral assistance, MAIN DATA'!$B:$B,AR$1, 'Bilateral assistance, MAIN DATA'!$I:$I,$A2)</f>
        <v>0</v>
      </c>
      <c r="AS2" s="33">
        <f>SUMIFS('Bilateral assistance, MAIN DATA'!$N:$N,'Bilateral assistance, MAIN DATA'!$B:$B,AS$1, 'Bilateral assistance, MAIN DATA'!$I:$I,$A2)</f>
        <v>0</v>
      </c>
    </row>
    <row r="3" spans="1:45">
      <c r="A3" s="33" t="s">
        <v>292</v>
      </c>
      <c r="B3" s="33">
        <f t="shared" ref="B3:B36" si="0">SUM(F3:AS3)</f>
        <v>324</v>
      </c>
      <c r="C3" s="645" t="s">
        <v>4141</v>
      </c>
      <c r="D3" s="33" t="s">
        <v>4142</v>
      </c>
      <c r="F3" s="33">
        <f>SUMIFS('Bilateral assistance, MAIN DATA'!$N:$N,'Bilateral assistance, MAIN DATA'!$B:$B,F$1, 'Bilateral assistance, MAIN DATA'!$I:$I,$A3)</f>
        <v>28</v>
      </c>
      <c r="G3" s="33">
        <f>SUMIFS('Bilateral assistance, MAIN DATA'!$N:$N,'Bilateral assistance, MAIN DATA'!$B:$B,G$1, 'Bilateral assistance, MAIN DATA'!$I:$I,$A3)</f>
        <v>0</v>
      </c>
      <c r="H3" s="33">
        <f>SUMIFS('Bilateral assistance, MAIN DATA'!$N:$N,'Bilateral assistance, MAIN DATA'!$B:$B,H$1, 'Bilateral assistance, MAIN DATA'!$I:$I,$A3)</f>
        <v>0</v>
      </c>
      <c r="I3" s="33">
        <f>SUMIFS('Bilateral assistance, MAIN DATA'!$N:$N,'Bilateral assistance, MAIN DATA'!$B:$B,I$1, 'Bilateral assistance, MAIN DATA'!$I:$I,$A3)</f>
        <v>0</v>
      </c>
      <c r="J3" s="33">
        <f>SUMIFS('Bilateral assistance, MAIN DATA'!$N:$N,'Bilateral assistance, MAIN DATA'!$B:$B,J$1, 'Bilateral assistance, MAIN DATA'!$I:$I,$A3)</f>
        <v>0</v>
      </c>
      <c r="K3" s="33">
        <f>SUMIFS('Bilateral assistance, MAIN DATA'!$N:$N,'Bilateral assistance, MAIN DATA'!$B:$B,K$1, 'Bilateral assistance, MAIN DATA'!$I:$I,$A3)</f>
        <v>0</v>
      </c>
      <c r="L3" s="33">
        <f>SUMIFS('Bilateral assistance, MAIN DATA'!$N:$N,'Bilateral assistance, MAIN DATA'!$B:$B,L$1, 'Bilateral assistance, MAIN DATA'!$I:$I,$A3)</f>
        <v>0</v>
      </c>
      <c r="M3" s="33">
        <f>SUMIFS('Bilateral assistance, MAIN DATA'!$N:$N,'Bilateral assistance, MAIN DATA'!$B:$B,M$1, 'Bilateral assistance, MAIN DATA'!$I:$I,$A3)</f>
        <v>0</v>
      </c>
      <c r="N3" s="33">
        <f>SUMIFS('Bilateral assistance, MAIN DATA'!$N:$N,'Bilateral assistance, MAIN DATA'!$B:$B,N$1, 'Bilateral assistance, MAIN DATA'!$I:$I,$A3)</f>
        <v>0</v>
      </c>
      <c r="O3" s="33">
        <f>SUMIFS('Bilateral assistance, MAIN DATA'!$N:$N,'Bilateral assistance, MAIN DATA'!$B:$B,O$1, 'Bilateral assistance, MAIN DATA'!$I:$I,$A3)</f>
        <v>0</v>
      </c>
      <c r="P3" s="33">
        <f>SUMIFS('Bilateral assistance, MAIN DATA'!$N:$N,'Bilateral assistance, MAIN DATA'!$B:$B,P$1, 'Bilateral assistance, MAIN DATA'!$I:$I,$A3)</f>
        <v>0</v>
      </c>
      <c r="Q3" s="33">
        <f>SUMIFS('Bilateral assistance, MAIN DATA'!$N:$N,'Bilateral assistance, MAIN DATA'!$B:$B,Q$1, 'Bilateral assistance, MAIN DATA'!$I:$I,$A3)</f>
        <v>0</v>
      </c>
      <c r="R3" s="33">
        <f>SUMIFS('Bilateral assistance, MAIN DATA'!$N:$N,'Bilateral assistance, MAIN DATA'!$B:$B,R$1, 'Bilateral assistance, MAIN DATA'!$I:$I,$A3)</f>
        <v>0</v>
      </c>
      <c r="S3" s="33">
        <f>SUMIFS('Bilateral assistance, MAIN DATA'!$N:$N,'Bilateral assistance, MAIN DATA'!$B:$B,S$1, 'Bilateral assistance, MAIN DATA'!$I:$I,$A3)</f>
        <v>0</v>
      </c>
      <c r="T3" s="33">
        <f>SUMIFS('Bilateral assistance, MAIN DATA'!$N:$N,'Bilateral assistance, MAIN DATA'!$B:$B,T$1, 'Bilateral assistance, MAIN DATA'!$I:$I,$A3)</f>
        <v>0</v>
      </c>
      <c r="U3" s="33">
        <f>SUMIFS('Bilateral assistance, MAIN DATA'!$N:$N,'Bilateral assistance, MAIN DATA'!$B:$B,U$1, 'Bilateral assistance, MAIN DATA'!$I:$I,$A3)</f>
        <v>0</v>
      </c>
      <c r="V3" s="33">
        <f>SUMIFS('Bilateral assistance, MAIN DATA'!$N:$N,'Bilateral assistance, MAIN DATA'!$B:$B,V$1, 'Bilateral assistance, MAIN DATA'!$I:$I,$A3)</f>
        <v>0</v>
      </c>
      <c r="W3" s="33">
        <f>SUMIFS('Bilateral assistance, MAIN DATA'!$N:$N,'Bilateral assistance, MAIN DATA'!$B:$B,W$1, 'Bilateral assistance, MAIN DATA'!$I:$I,$A3)</f>
        <v>0</v>
      </c>
      <c r="X3" s="33">
        <f>SUMIFS('Bilateral assistance, MAIN DATA'!$N:$N,'Bilateral assistance, MAIN DATA'!$B:$B,X$1, 'Bilateral assistance, MAIN DATA'!$I:$I,$A3)</f>
        <v>0</v>
      </c>
      <c r="Y3" s="33">
        <f>SUMIFS('Bilateral assistance, MAIN DATA'!$N:$N,'Bilateral assistance, MAIN DATA'!$B:$B,Y$1, 'Bilateral assistance, MAIN DATA'!$I:$I,$A3)</f>
        <v>0</v>
      </c>
      <c r="Z3" s="33">
        <f>SUMIFS('Bilateral assistance, MAIN DATA'!$N:$N,'Bilateral assistance, MAIN DATA'!$B:$B,Z$1, 'Bilateral assistance, MAIN DATA'!$I:$I,$A3)</f>
        <v>0</v>
      </c>
      <c r="AA3" s="33">
        <f>SUMIFS('Bilateral assistance, MAIN DATA'!$N:$N,'Bilateral assistance, MAIN DATA'!$B:$B,AA$1, 'Bilateral assistance, MAIN DATA'!$I:$I,$A3)</f>
        <v>0</v>
      </c>
      <c r="AB3" s="33">
        <f>SUMIFS('Bilateral assistance, MAIN DATA'!$N:$N,'Bilateral assistance, MAIN DATA'!$B:$B,AB$1, 'Bilateral assistance, MAIN DATA'!$I:$I,$A3)</f>
        <v>82</v>
      </c>
      <c r="AC3" s="33">
        <f>SUMIFS('Bilateral assistance, MAIN DATA'!$N:$N,'Bilateral assistance, MAIN DATA'!$B:$B,AC$1, 'Bilateral assistance, MAIN DATA'!$I:$I,$A3)</f>
        <v>0</v>
      </c>
      <c r="AD3" s="33">
        <f>SUMIFS('Bilateral assistance, MAIN DATA'!$N:$N,'Bilateral assistance, MAIN DATA'!$B:$B,AD$1, 'Bilateral assistance, MAIN DATA'!$I:$I,$A3)</f>
        <v>0</v>
      </c>
      <c r="AE3" s="33">
        <f>SUMIFS('Bilateral assistance, MAIN DATA'!$N:$N,'Bilateral assistance, MAIN DATA'!$B:$B,AE$1, 'Bilateral assistance, MAIN DATA'!$I:$I,$A3)</f>
        <v>0</v>
      </c>
      <c r="AF3" s="33">
        <f>SUMIFS('Bilateral assistance, MAIN DATA'!$N:$N,'Bilateral assistance, MAIN DATA'!$B:$B,AF$1, 'Bilateral assistance, MAIN DATA'!$I:$I,$A3)</f>
        <v>0</v>
      </c>
      <c r="AG3" s="33">
        <f>SUMIFS('Bilateral assistance, MAIN DATA'!$N:$N,'Bilateral assistance, MAIN DATA'!$B:$B,AG$1, 'Bilateral assistance, MAIN DATA'!$I:$I,$A3)</f>
        <v>0</v>
      </c>
      <c r="AH3" s="33">
        <f>SUMIFS('Bilateral assistance, MAIN DATA'!$N:$N,'Bilateral assistance, MAIN DATA'!$B:$B,AH$1, 'Bilateral assistance, MAIN DATA'!$I:$I,$A3)</f>
        <v>0</v>
      </c>
      <c r="AI3" s="33">
        <f>SUMIFS('Bilateral assistance, MAIN DATA'!$N:$N,'Bilateral assistance, MAIN DATA'!$B:$B,AI$1, 'Bilateral assistance, MAIN DATA'!$I:$I,$A3)</f>
        <v>14</v>
      </c>
      <c r="AJ3" s="33">
        <f>SUMIFS('Bilateral assistance, MAIN DATA'!$N:$N,'Bilateral assistance, MAIN DATA'!$B:$B,AJ$1, 'Bilateral assistance, MAIN DATA'!$I:$I,$A3)</f>
        <v>0</v>
      </c>
      <c r="AK3" s="33">
        <f>SUMIFS('Bilateral assistance, MAIN DATA'!$N:$N,'Bilateral assistance, MAIN DATA'!$B:$B,AK$1, 'Bilateral assistance, MAIN DATA'!$I:$I,$A3)</f>
        <v>0</v>
      </c>
      <c r="AL3" s="33">
        <f>SUMIFS('Bilateral assistance, MAIN DATA'!$N:$N,'Bilateral assistance, MAIN DATA'!$B:$B,AL$1, 'Bilateral assistance, MAIN DATA'!$I:$I,$A3)</f>
        <v>0</v>
      </c>
      <c r="AM3" s="33">
        <f>SUMIFS('Bilateral assistance, MAIN DATA'!$N:$N,'Bilateral assistance, MAIN DATA'!$B:$B,AM$1, 'Bilateral assistance, MAIN DATA'!$I:$I,$A3)</f>
        <v>0</v>
      </c>
      <c r="AN3" s="33">
        <f>SUMIFS('Bilateral assistance, MAIN DATA'!$N:$N,'Bilateral assistance, MAIN DATA'!$B:$B,AN$1, 'Bilateral assistance, MAIN DATA'!$I:$I,$A3)</f>
        <v>0</v>
      </c>
      <c r="AO3" s="33">
        <f>SUMIFS('Bilateral assistance, MAIN DATA'!$N:$N,'Bilateral assistance, MAIN DATA'!$B:$B,AO$1, 'Bilateral assistance, MAIN DATA'!$I:$I,$A3)</f>
        <v>0</v>
      </c>
      <c r="AP3" s="33">
        <f>SUMIFS('Bilateral assistance, MAIN DATA'!$N:$N,'Bilateral assistance, MAIN DATA'!$B:$B,AP$1, 'Bilateral assistance, MAIN DATA'!$I:$I,$A3)</f>
        <v>0</v>
      </c>
      <c r="AQ3" s="33">
        <f>SUMIFS('Bilateral assistance, MAIN DATA'!$N:$N,'Bilateral assistance, MAIN DATA'!$B:$B,AQ$1, 'Bilateral assistance, MAIN DATA'!$I:$I,$A3)</f>
        <v>0</v>
      </c>
      <c r="AR3" s="33">
        <f>SUMIFS('Bilateral assistance, MAIN DATA'!$N:$N,'Bilateral assistance, MAIN DATA'!$B:$B,AR$1, 'Bilateral assistance, MAIN DATA'!$I:$I,$A3)</f>
        <v>0</v>
      </c>
      <c r="AS3" s="33">
        <f>SUMIFS('Bilateral assistance, MAIN DATA'!$N:$N,'Bilateral assistance, MAIN DATA'!$B:$B,AS$1, 'Bilateral assistance, MAIN DATA'!$I:$I,$A3)</f>
        <v>200</v>
      </c>
    </row>
    <row r="4" spans="1:45">
      <c r="A4" s="33" t="s">
        <v>702</v>
      </c>
      <c r="B4" s="33">
        <f t="shared" si="0"/>
        <v>5</v>
      </c>
      <c r="C4" s="645" t="s">
        <v>4141</v>
      </c>
      <c r="D4" s="33" t="s">
        <v>4143</v>
      </c>
      <c r="F4" s="33">
        <f>SUMIFS('Bilateral assistance, MAIN DATA'!$N:$N,'Bilateral assistance, MAIN DATA'!$B:$B,F$1, 'Bilateral assistance, MAIN DATA'!$I:$I,$A4)</f>
        <v>0</v>
      </c>
      <c r="G4" s="33">
        <f>SUMIFS('Bilateral assistance, MAIN DATA'!$N:$N,'Bilateral assistance, MAIN DATA'!$B:$B,G$1, 'Bilateral assistance, MAIN DATA'!$I:$I,$A4)</f>
        <v>0</v>
      </c>
      <c r="H4" s="33">
        <f>SUMIFS('Bilateral assistance, MAIN DATA'!$N:$N,'Bilateral assistance, MAIN DATA'!$B:$B,H$1, 'Bilateral assistance, MAIN DATA'!$I:$I,$A4)</f>
        <v>0</v>
      </c>
      <c r="I4" s="33">
        <f>SUMIFS('Bilateral assistance, MAIN DATA'!$N:$N,'Bilateral assistance, MAIN DATA'!$B:$B,I$1, 'Bilateral assistance, MAIN DATA'!$I:$I,$A4)</f>
        <v>0</v>
      </c>
      <c r="J4" s="33">
        <f>SUMIFS('Bilateral assistance, MAIN DATA'!$N:$N,'Bilateral assistance, MAIN DATA'!$B:$B,J$1, 'Bilateral assistance, MAIN DATA'!$I:$I,$A4)</f>
        <v>0</v>
      </c>
      <c r="K4" s="33">
        <f>SUMIFS('Bilateral assistance, MAIN DATA'!$N:$N,'Bilateral assistance, MAIN DATA'!$B:$B,K$1, 'Bilateral assistance, MAIN DATA'!$I:$I,$A4)</f>
        <v>0</v>
      </c>
      <c r="L4" s="33">
        <f>SUMIFS('Bilateral assistance, MAIN DATA'!$N:$N,'Bilateral assistance, MAIN DATA'!$B:$B,L$1, 'Bilateral assistance, MAIN DATA'!$I:$I,$A4)</f>
        <v>0</v>
      </c>
      <c r="M4" s="33">
        <f>SUMIFS('Bilateral assistance, MAIN DATA'!$N:$N,'Bilateral assistance, MAIN DATA'!$B:$B,M$1, 'Bilateral assistance, MAIN DATA'!$I:$I,$A4)</f>
        <v>5</v>
      </c>
      <c r="N4" s="33">
        <f>SUMIFS('Bilateral assistance, MAIN DATA'!$N:$N,'Bilateral assistance, MAIN DATA'!$B:$B,N$1, 'Bilateral assistance, MAIN DATA'!$I:$I,$A4)</f>
        <v>0</v>
      </c>
      <c r="O4" s="33">
        <f>SUMIFS('Bilateral assistance, MAIN DATA'!$N:$N,'Bilateral assistance, MAIN DATA'!$B:$B,O$1, 'Bilateral assistance, MAIN DATA'!$I:$I,$A4)</f>
        <v>0</v>
      </c>
      <c r="P4" s="33">
        <f>SUMIFS('Bilateral assistance, MAIN DATA'!$N:$N,'Bilateral assistance, MAIN DATA'!$B:$B,P$1, 'Bilateral assistance, MAIN DATA'!$I:$I,$A4)</f>
        <v>0</v>
      </c>
      <c r="Q4" s="33">
        <f>SUMIFS('Bilateral assistance, MAIN DATA'!$N:$N,'Bilateral assistance, MAIN DATA'!$B:$B,Q$1, 'Bilateral assistance, MAIN DATA'!$I:$I,$A4)</f>
        <v>0</v>
      </c>
      <c r="R4" s="33">
        <f>SUMIFS('Bilateral assistance, MAIN DATA'!$N:$N,'Bilateral assistance, MAIN DATA'!$B:$B,R$1, 'Bilateral assistance, MAIN DATA'!$I:$I,$A4)</f>
        <v>0</v>
      </c>
      <c r="S4" s="33">
        <f>SUMIFS('Bilateral assistance, MAIN DATA'!$N:$N,'Bilateral assistance, MAIN DATA'!$B:$B,S$1, 'Bilateral assistance, MAIN DATA'!$I:$I,$A4)</f>
        <v>0</v>
      </c>
      <c r="T4" s="33">
        <f>SUMIFS('Bilateral assistance, MAIN DATA'!$N:$N,'Bilateral assistance, MAIN DATA'!$B:$B,T$1, 'Bilateral assistance, MAIN DATA'!$I:$I,$A4)</f>
        <v>0</v>
      </c>
      <c r="U4" s="33">
        <f>SUMIFS('Bilateral assistance, MAIN DATA'!$N:$N,'Bilateral assistance, MAIN DATA'!$B:$B,U$1, 'Bilateral assistance, MAIN DATA'!$I:$I,$A4)</f>
        <v>0</v>
      </c>
      <c r="V4" s="33">
        <f>SUMIFS('Bilateral assistance, MAIN DATA'!$N:$N,'Bilateral assistance, MAIN DATA'!$B:$B,V$1, 'Bilateral assistance, MAIN DATA'!$I:$I,$A4)</f>
        <v>0</v>
      </c>
      <c r="W4" s="33">
        <f>SUMIFS('Bilateral assistance, MAIN DATA'!$N:$N,'Bilateral assistance, MAIN DATA'!$B:$B,W$1, 'Bilateral assistance, MAIN DATA'!$I:$I,$A4)</f>
        <v>0</v>
      </c>
      <c r="X4" s="33">
        <f>SUMIFS('Bilateral assistance, MAIN DATA'!$N:$N,'Bilateral assistance, MAIN DATA'!$B:$B,X$1, 'Bilateral assistance, MAIN DATA'!$I:$I,$A4)</f>
        <v>0</v>
      </c>
      <c r="Y4" s="33">
        <f>SUMIFS('Bilateral assistance, MAIN DATA'!$N:$N,'Bilateral assistance, MAIN DATA'!$B:$B,Y$1, 'Bilateral assistance, MAIN DATA'!$I:$I,$A4)</f>
        <v>0</v>
      </c>
      <c r="Z4" s="33">
        <f>SUMIFS('Bilateral assistance, MAIN DATA'!$N:$N,'Bilateral assistance, MAIN DATA'!$B:$B,Z$1, 'Bilateral assistance, MAIN DATA'!$I:$I,$A4)</f>
        <v>0</v>
      </c>
      <c r="AA4" s="33">
        <f>SUMIFS('Bilateral assistance, MAIN DATA'!$N:$N,'Bilateral assistance, MAIN DATA'!$B:$B,AA$1, 'Bilateral assistance, MAIN DATA'!$I:$I,$A4)</f>
        <v>0</v>
      </c>
      <c r="AB4" s="33">
        <f>SUMIFS('Bilateral assistance, MAIN DATA'!$N:$N,'Bilateral assistance, MAIN DATA'!$B:$B,AB$1, 'Bilateral assistance, MAIN DATA'!$I:$I,$A4)</f>
        <v>0</v>
      </c>
      <c r="AC4" s="33">
        <f>SUMIFS('Bilateral assistance, MAIN DATA'!$N:$N,'Bilateral assistance, MAIN DATA'!$B:$B,AC$1, 'Bilateral assistance, MAIN DATA'!$I:$I,$A4)</f>
        <v>0</v>
      </c>
      <c r="AD4" s="33">
        <f>SUMIFS('Bilateral assistance, MAIN DATA'!$N:$N,'Bilateral assistance, MAIN DATA'!$B:$B,AD$1, 'Bilateral assistance, MAIN DATA'!$I:$I,$A4)</f>
        <v>0</v>
      </c>
      <c r="AE4" s="33">
        <f>SUMIFS('Bilateral assistance, MAIN DATA'!$N:$N,'Bilateral assistance, MAIN DATA'!$B:$B,AE$1, 'Bilateral assistance, MAIN DATA'!$I:$I,$A4)</f>
        <v>0</v>
      </c>
      <c r="AF4" s="33">
        <f>SUMIFS('Bilateral assistance, MAIN DATA'!$N:$N,'Bilateral assistance, MAIN DATA'!$B:$B,AF$1, 'Bilateral assistance, MAIN DATA'!$I:$I,$A4)</f>
        <v>0</v>
      </c>
      <c r="AG4" s="33">
        <f>SUMIFS('Bilateral assistance, MAIN DATA'!$N:$N,'Bilateral assistance, MAIN DATA'!$B:$B,AG$1, 'Bilateral assistance, MAIN DATA'!$I:$I,$A4)</f>
        <v>0</v>
      </c>
      <c r="AH4" s="33">
        <f>SUMIFS('Bilateral assistance, MAIN DATA'!$N:$N,'Bilateral assistance, MAIN DATA'!$B:$B,AH$1, 'Bilateral assistance, MAIN DATA'!$I:$I,$A4)</f>
        <v>0</v>
      </c>
      <c r="AI4" s="33">
        <f>SUMIFS('Bilateral assistance, MAIN DATA'!$N:$N,'Bilateral assistance, MAIN DATA'!$B:$B,AI$1, 'Bilateral assistance, MAIN DATA'!$I:$I,$A4)</f>
        <v>0</v>
      </c>
      <c r="AJ4" s="33">
        <f>SUMIFS('Bilateral assistance, MAIN DATA'!$N:$N,'Bilateral assistance, MAIN DATA'!$B:$B,AJ$1, 'Bilateral assistance, MAIN DATA'!$I:$I,$A4)</f>
        <v>0</v>
      </c>
      <c r="AK4" s="33">
        <f>SUMIFS('Bilateral assistance, MAIN DATA'!$N:$N,'Bilateral assistance, MAIN DATA'!$B:$B,AK$1, 'Bilateral assistance, MAIN DATA'!$I:$I,$A4)</f>
        <v>0</v>
      </c>
      <c r="AL4" s="33">
        <f>SUMIFS('Bilateral assistance, MAIN DATA'!$N:$N,'Bilateral assistance, MAIN DATA'!$B:$B,AL$1, 'Bilateral assistance, MAIN DATA'!$I:$I,$A4)</f>
        <v>0</v>
      </c>
      <c r="AM4" s="33">
        <f>SUMIFS('Bilateral assistance, MAIN DATA'!$N:$N,'Bilateral assistance, MAIN DATA'!$B:$B,AM$1, 'Bilateral assistance, MAIN DATA'!$I:$I,$A4)</f>
        <v>0</v>
      </c>
      <c r="AN4" s="33">
        <f>SUMIFS('Bilateral assistance, MAIN DATA'!$N:$N,'Bilateral assistance, MAIN DATA'!$B:$B,AN$1, 'Bilateral assistance, MAIN DATA'!$I:$I,$A4)</f>
        <v>0</v>
      </c>
      <c r="AO4" s="33">
        <f>SUMIFS('Bilateral assistance, MAIN DATA'!$N:$N,'Bilateral assistance, MAIN DATA'!$B:$B,AO$1, 'Bilateral assistance, MAIN DATA'!$I:$I,$A4)</f>
        <v>0</v>
      </c>
      <c r="AP4" s="33">
        <f>SUMIFS('Bilateral assistance, MAIN DATA'!$N:$N,'Bilateral assistance, MAIN DATA'!$B:$B,AP$1, 'Bilateral assistance, MAIN DATA'!$I:$I,$A4)</f>
        <v>0</v>
      </c>
      <c r="AQ4" s="33">
        <f>SUMIFS('Bilateral assistance, MAIN DATA'!$N:$N,'Bilateral assistance, MAIN DATA'!$B:$B,AQ$1, 'Bilateral assistance, MAIN DATA'!$I:$I,$A4)</f>
        <v>0</v>
      </c>
      <c r="AR4" s="33">
        <f>SUMIFS('Bilateral assistance, MAIN DATA'!$N:$N,'Bilateral assistance, MAIN DATA'!$B:$B,AR$1, 'Bilateral assistance, MAIN DATA'!$I:$I,$A4)</f>
        <v>0</v>
      </c>
      <c r="AS4" s="33">
        <f>SUMIFS('Bilateral assistance, MAIN DATA'!$N:$N,'Bilateral assistance, MAIN DATA'!$B:$B,AS$1, 'Bilateral assistance, MAIN DATA'!$I:$I,$A4)</f>
        <v>0</v>
      </c>
    </row>
    <row r="5" spans="1:45">
      <c r="A5" s="33" t="s">
        <v>1447</v>
      </c>
      <c r="B5" s="33">
        <f t="shared" si="0"/>
        <v>0</v>
      </c>
      <c r="C5" s="645" t="s">
        <v>4141</v>
      </c>
      <c r="D5" s="33" t="s">
        <v>4143</v>
      </c>
      <c r="F5" s="33">
        <f>SUMIFS('Bilateral assistance, MAIN DATA'!$N:$N,'Bilateral assistance, MAIN DATA'!$B:$B,F$1, 'Bilateral assistance, MAIN DATA'!$I:$I,$A5)</f>
        <v>0</v>
      </c>
      <c r="G5" s="33">
        <f>SUMIFS('Bilateral assistance, MAIN DATA'!$N:$N,'Bilateral assistance, MAIN DATA'!$B:$B,G$1, 'Bilateral assistance, MAIN DATA'!$I:$I,$A5)</f>
        <v>0</v>
      </c>
      <c r="H5" s="33">
        <f>SUMIFS('Bilateral assistance, MAIN DATA'!$N:$N,'Bilateral assistance, MAIN DATA'!$B:$B,H$1, 'Bilateral assistance, MAIN DATA'!$I:$I,$A5)</f>
        <v>0</v>
      </c>
      <c r="I5" s="33">
        <f>SUMIFS('Bilateral assistance, MAIN DATA'!$N:$N,'Bilateral assistance, MAIN DATA'!$B:$B,I$1, 'Bilateral assistance, MAIN DATA'!$I:$I,$A5)</f>
        <v>0</v>
      </c>
      <c r="J5" s="33">
        <f>SUMIFS('Bilateral assistance, MAIN DATA'!$N:$N,'Bilateral assistance, MAIN DATA'!$B:$B,J$1, 'Bilateral assistance, MAIN DATA'!$I:$I,$A5)</f>
        <v>0</v>
      </c>
      <c r="K5" s="33">
        <f>SUMIFS('Bilateral assistance, MAIN DATA'!$N:$N,'Bilateral assistance, MAIN DATA'!$B:$B,K$1, 'Bilateral assistance, MAIN DATA'!$I:$I,$A5)</f>
        <v>0</v>
      </c>
      <c r="L5" s="33">
        <f>SUMIFS('Bilateral assistance, MAIN DATA'!$N:$N,'Bilateral assistance, MAIN DATA'!$B:$B,L$1, 'Bilateral assistance, MAIN DATA'!$I:$I,$A5)</f>
        <v>0</v>
      </c>
      <c r="M5" s="33">
        <f>SUMIFS('Bilateral assistance, MAIN DATA'!$N:$N,'Bilateral assistance, MAIN DATA'!$B:$B,M$1, 'Bilateral assistance, MAIN DATA'!$I:$I,$A5)</f>
        <v>0</v>
      </c>
      <c r="N5" s="33">
        <f>SUMIFS('Bilateral assistance, MAIN DATA'!$N:$N,'Bilateral assistance, MAIN DATA'!$B:$B,N$1, 'Bilateral assistance, MAIN DATA'!$I:$I,$A5)</f>
        <v>0</v>
      </c>
      <c r="O5" s="33">
        <f>SUMIFS('Bilateral assistance, MAIN DATA'!$N:$N,'Bilateral assistance, MAIN DATA'!$B:$B,O$1, 'Bilateral assistance, MAIN DATA'!$I:$I,$A5)</f>
        <v>0</v>
      </c>
      <c r="P5" s="33">
        <f>SUMIFS('Bilateral assistance, MAIN DATA'!$N:$N,'Bilateral assistance, MAIN DATA'!$B:$B,P$1, 'Bilateral assistance, MAIN DATA'!$I:$I,$A5)</f>
        <v>0</v>
      </c>
      <c r="Q5" s="33">
        <f>SUMIFS('Bilateral assistance, MAIN DATA'!$N:$N,'Bilateral assistance, MAIN DATA'!$B:$B,Q$1, 'Bilateral assistance, MAIN DATA'!$I:$I,$A5)</f>
        <v>0</v>
      </c>
      <c r="R5" s="33">
        <f>SUMIFS('Bilateral assistance, MAIN DATA'!$N:$N,'Bilateral assistance, MAIN DATA'!$B:$B,R$1, 'Bilateral assistance, MAIN DATA'!$I:$I,$A5)</f>
        <v>0</v>
      </c>
      <c r="S5" s="33">
        <f>SUMIFS('Bilateral assistance, MAIN DATA'!$N:$N,'Bilateral assistance, MAIN DATA'!$B:$B,S$1, 'Bilateral assistance, MAIN DATA'!$I:$I,$A5)</f>
        <v>0</v>
      </c>
      <c r="T5" s="33">
        <f>SUMIFS('Bilateral assistance, MAIN DATA'!$N:$N,'Bilateral assistance, MAIN DATA'!$B:$B,T$1, 'Bilateral assistance, MAIN DATA'!$I:$I,$A5)</f>
        <v>0</v>
      </c>
      <c r="U5" s="33">
        <f>SUMIFS('Bilateral assistance, MAIN DATA'!$N:$N,'Bilateral assistance, MAIN DATA'!$B:$B,U$1, 'Bilateral assistance, MAIN DATA'!$I:$I,$A5)</f>
        <v>0</v>
      </c>
      <c r="V5" s="33">
        <f>SUMIFS('Bilateral assistance, MAIN DATA'!$N:$N,'Bilateral assistance, MAIN DATA'!$B:$B,V$1, 'Bilateral assistance, MAIN DATA'!$I:$I,$A5)</f>
        <v>0</v>
      </c>
      <c r="W5" s="33">
        <f>SUMIFS('Bilateral assistance, MAIN DATA'!$N:$N,'Bilateral assistance, MAIN DATA'!$B:$B,W$1, 'Bilateral assistance, MAIN DATA'!$I:$I,$A5)</f>
        <v>0</v>
      </c>
      <c r="X5" s="33">
        <f>SUMIFS('Bilateral assistance, MAIN DATA'!$N:$N,'Bilateral assistance, MAIN DATA'!$B:$B,X$1, 'Bilateral assistance, MAIN DATA'!$I:$I,$A5)</f>
        <v>0</v>
      </c>
      <c r="Y5" s="33">
        <f>SUMIFS('Bilateral assistance, MAIN DATA'!$N:$N,'Bilateral assistance, MAIN DATA'!$B:$B,Y$1, 'Bilateral assistance, MAIN DATA'!$I:$I,$A5)</f>
        <v>0</v>
      </c>
      <c r="Z5" s="33">
        <f>SUMIFS('Bilateral assistance, MAIN DATA'!$N:$N,'Bilateral assistance, MAIN DATA'!$B:$B,Z$1, 'Bilateral assistance, MAIN DATA'!$I:$I,$A5)</f>
        <v>0</v>
      </c>
      <c r="AA5" s="33">
        <f>SUMIFS('Bilateral assistance, MAIN DATA'!$N:$N,'Bilateral assistance, MAIN DATA'!$B:$B,AA$1, 'Bilateral assistance, MAIN DATA'!$I:$I,$A5)</f>
        <v>0</v>
      </c>
      <c r="AB5" s="33">
        <f>SUMIFS('Bilateral assistance, MAIN DATA'!$N:$N,'Bilateral assistance, MAIN DATA'!$B:$B,AB$1, 'Bilateral assistance, MAIN DATA'!$I:$I,$A5)</f>
        <v>0</v>
      </c>
      <c r="AC5" s="33">
        <f>SUMIFS('Bilateral assistance, MAIN DATA'!$N:$N,'Bilateral assistance, MAIN DATA'!$B:$B,AC$1, 'Bilateral assistance, MAIN DATA'!$I:$I,$A5)</f>
        <v>0</v>
      </c>
      <c r="AD5" s="33">
        <f>SUMIFS('Bilateral assistance, MAIN DATA'!$N:$N,'Bilateral assistance, MAIN DATA'!$B:$B,AD$1, 'Bilateral assistance, MAIN DATA'!$I:$I,$A5)</f>
        <v>0</v>
      </c>
      <c r="AE5" s="33">
        <f>SUMIFS('Bilateral assistance, MAIN DATA'!$N:$N,'Bilateral assistance, MAIN DATA'!$B:$B,AE$1, 'Bilateral assistance, MAIN DATA'!$I:$I,$A5)</f>
        <v>0</v>
      </c>
      <c r="AF5" s="33">
        <f>SUMIFS('Bilateral assistance, MAIN DATA'!$N:$N,'Bilateral assistance, MAIN DATA'!$B:$B,AF$1, 'Bilateral assistance, MAIN DATA'!$I:$I,$A5)</f>
        <v>0</v>
      </c>
      <c r="AG5" s="33">
        <f>SUMIFS('Bilateral assistance, MAIN DATA'!$N:$N,'Bilateral assistance, MAIN DATA'!$B:$B,AG$1, 'Bilateral assistance, MAIN DATA'!$I:$I,$A5)</f>
        <v>0</v>
      </c>
      <c r="AH5" s="33">
        <f>SUMIFS('Bilateral assistance, MAIN DATA'!$N:$N,'Bilateral assistance, MAIN DATA'!$B:$B,AH$1, 'Bilateral assistance, MAIN DATA'!$I:$I,$A5)</f>
        <v>0</v>
      </c>
      <c r="AI5" s="33">
        <f>SUMIFS('Bilateral assistance, MAIN DATA'!$N:$N,'Bilateral assistance, MAIN DATA'!$B:$B,AI$1, 'Bilateral assistance, MAIN DATA'!$I:$I,$A5)</f>
        <v>0</v>
      </c>
      <c r="AJ5" s="33">
        <f>SUMIFS('Bilateral assistance, MAIN DATA'!$N:$N,'Bilateral assistance, MAIN DATA'!$B:$B,AJ$1, 'Bilateral assistance, MAIN DATA'!$I:$I,$A5)</f>
        <v>0</v>
      </c>
      <c r="AK5" s="33">
        <f>SUMIFS('Bilateral assistance, MAIN DATA'!$N:$N,'Bilateral assistance, MAIN DATA'!$B:$B,AK$1, 'Bilateral assistance, MAIN DATA'!$I:$I,$A5)</f>
        <v>0</v>
      </c>
      <c r="AL5" s="33">
        <f>SUMIFS('Bilateral assistance, MAIN DATA'!$N:$N,'Bilateral assistance, MAIN DATA'!$B:$B,AL$1, 'Bilateral assistance, MAIN DATA'!$I:$I,$A5)</f>
        <v>0</v>
      </c>
      <c r="AM5" s="33">
        <f>SUMIFS('Bilateral assistance, MAIN DATA'!$N:$N,'Bilateral assistance, MAIN DATA'!$B:$B,AM$1, 'Bilateral assistance, MAIN DATA'!$I:$I,$A5)</f>
        <v>0</v>
      </c>
      <c r="AN5" s="33">
        <f>SUMIFS('Bilateral assistance, MAIN DATA'!$N:$N,'Bilateral assistance, MAIN DATA'!$B:$B,AN$1, 'Bilateral assistance, MAIN DATA'!$I:$I,$A5)</f>
        <v>0</v>
      </c>
      <c r="AO5" s="33">
        <f>SUMIFS('Bilateral assistance, MAIN DATA'!$N:$N,'Bilateral assistance, MAIN DATA'!$B:$B,AO$1, 'Bilateral assistance, MAIN DATA'!$I:$I,$A5)</f>
        <v>0</v>
      </c>
      <c r="AP5" s="33">
        <f>SUMIFS('Bilateral assistance, MAIN DATA'!$N:$N,'Bilateral assistance, MAIN DATA'!$B:$B,AP$1, 'Bilateral assistance, MAIN DATA'!$I:$I,$A5)</f>
        <v>0</v>
      </c>
      <c r="AQ5" s="33">
        <f>SUMIFS('Bilateral assistance, MAIN DATA'!$N:$N,'Bilateral assistance, MAIN DATA'!$B:$B,AQ$1, 'Bilateral assistance, MAIN DATA'!$I:$I,$A5)</f>
        <v>0</v>
      </c>
      <c r="AR5" s="33">
        <f>SUMIFS('Bilateral assistance, MAIN DATA'!$N:$N,'Bilateral assistance, MAIN DATA'!$B:$B,AR$1, 'Bilateral assistance, MAIN DATA'!$I:$I,$A5)</f>
        <v>0</v>
      </c>
      <c r="AS5" s="33">
        <f>SUMIFS('Bilateral assistance, MAIN DATA'!$N:$N,'Bilateral assistance, MAIN DATA'!$B:$B,AS$1, 'Bilateral assistance, MAIN DATA'!$I:$I,$A5)</f>
        <v>0</v>
      </c>
    </row>
    <row r="6" spans="1:45">
      <c r="A6" s="33" t="s">
        <v>1708</v>
      </c>
      <c r="B6" s="33">
        <f t="shared" si="0"/>
        <v>0</v>
      </c>
      <c r="C6" s="645" t="s">
        <v>4141</v>
      </c>
      <c r="D6" s="33" t="s">
        <v>4143</v>
      </c>
      <c r="F6" s="33">
        <f>SUMIFS('Bilateral assistance, MAIN DATA'!$N:$N,'Bilateral assistance, MAIN DATA'!$B:$B,F$1, 'Bilateral assistance, MAIN DATA'!$I:$I,$A6)</f>
        <v>0</v>
      </c>
      <c r="G6" s="33">
        <f>SUMIFS('Bilateral assistance, MAIN DATA'!$N:$N,'Bilateral assistance, MAIN DATA'!$B:$B,G$1, 'Bilateral assistance, MAIN DATA'!$I:$I,$A6)</f>
        <v>0</v>
      </c>
      <c r="H6" s="33">
        <f>SUMIFS('Bilateral assistance, MAIN DATA'!$N:$N,'Bilateral assistance, MAIN DATA'!$B:$B,H$1, 'Bilateral assistance, MAIN DATA'!$I:$I,$A6)</f>
        <v>0</v>
      </c>
      <c r="I6" s="33">
        <f>SUMIFS('Bilateral assistance, MAIN DATA'!$N:$N,'Bilateral assistance, MAIN DATA'!$B:$B,I$1, 'Bilateral assistance, MAIN DATA'!$I:$I,$A6)</f>
        <v>0</v>
      </c>
      <c r="J6" s="33">
        <f>SUMIFS('Bilateral assistance, MAIN DATA'!$N:$N,'Bilateral assistance, MAIN DATA'!$B:$B,J$1, 'Bilateral assistance, MAIN DATA'!$I:$I,$A6)</f>
        <v>0</v>
      </c>
      <c r="K6" s="33">
        <f>SUMIFS('Bilateral assistance, MAIN DATA'!$N:$N,'Bilateral assistance, MAIN DATA'!$B:$B,K$1, 'Bilateral assistance, MAIN DATA'!$I:$I,$A6)</f>
        <v>0</v>
      </c>
      <c r="L6" s="33">
        <f>SUMIFS('Bilateral assistance, MAIN DATA'!$N:$N,'Bilateral assistance, MAIN DATA'!$B:$B,L$1, 'Bilateral assistance, MAIN DATA'!$I:$I,$A6)</f>
        <v>0</v>
      </c>
      <c r="M6" s="33">
        <f>SUMIFS('Bilateral assistance, MAIN DATA'!$N:$N,'Bilateral assistance, MAIN DATA'!$B:$B,M$1, 'Bilateral assistance, MAIN DATA'!$I:$I,$A6)</f>
        <v>0</v>
      </c>
      <c r="N6" s="33">
        <f>SUMIFS('Bilateral assistance, MAIN DATA'!$N:$N,'Bilateral assistance, MAIN DATA'!$B:$B,N$1, 'Bilateral assistance, MAIN DATA'!$I:$I,$A6)</f>
        <v>0</v>
      </c>
      <c r="O6" s="33">
        <f>SUMIFS('Bilateral assistance, MAIN DATA'!$N:$N,'Bilateral assistance, MAIN DATA'!$B:$B,O$1, 'Bilateral assistance, MAIN DATA'!$I:$I,$A6)</f>
        <v>0</v>
      </c>
      <c r="P6" s="33">
        <f>SUMIFS('Bilateral assistance, MAIN DATA'!$N:$N,'Bilateral assistance, MAIN DATA'!$B:$B,P$1, 'Bilateral assistance, MAIN DATA'!$I:$I,$A6)</f>
        <v>0</v>
      </c>
      <c r="Q6" s="33">
        <f>SUMIFS('Bilateral assistance, MAIN DATA'!$N:$N,'Bilateral assistance, MAIN DATA'!$B:$B,Q$1, 'Bilateral assistance, MAIN DATA'!$I:$I,$A6)</f>
        <v>0</v>
      </c>
      <c r="R6" s="33">
        <f>SUMIFS('Bilateral assistance, MAIN DATA'!$N:$N,'Bilateral assistance, MAIN DATA'!$B:$B,R$1, 'Bilateral assistance, MAIN DATA'!$I:$I,$A6)</f>
        <v>0</v>
      </c>
      <c r="S6" s="33">
        <f>SUMIFS('Bilateral assistance, MAIN DATA'!$N:$N,'Bilateral assistance, MAIN DATA'!$B:$B,S$1, 'Bilateral assistance, MAIN DATA'!$I:$I,$A6)</f>
        <v>0</v>
      </c>
      <c r="T6" s="33">
        <f>SUMIFS('Bilateral assistance, MAIN DATA'!$N:$N,'Bilateral assistance, MAIN DATA'!$B:$B,T$1, 'Bilateral assistance, MAIN DATA'!$I:$I,$A6)</f>
        <v>0</v>
      </c>
      <c r="U6" s="33">
        <f>SUMIFS('Bilateral assistance, MAIN DATA'!$N:$N,'Bilateral assistance, MAIN DATA'!$B:$B,U$1, 'Bilateral assistance, MAIN DATA'!$I:$I,$A6)</f>
        <v>0</v>
      </c>
      <c r="V6" s="33">
        <f>SUMIFS('Bilateral assistance, MAIN DATA'!$N:$N,'Bilateral assistance, MAIN DATA'!$B:$B,V$1, 'Bilateral assistance, MAIN DATA'!$I:$I,$A6)</f>
        <v>0</v>
      </c>
      <c r="W6" s="33">
        <f>SUMIFS('Bilateral assistance, MAIN DATA'!$N:$N,'Bilateral assistance, MAIN DATA'!$B:$B,W$1, 'Bilateral assistance, MAIN DATA'!$I:$I,$A6)</f>
        <v>0</v>
      </c>
      <c r="X6" s="33">
        <f>SUMIFS('Bilateral assistance, MAIN DATA'!$N:$N,'Bilateral assistance, MAIN DATA'!$B:$B,X$1, 'Bilateral assistance, MAIN DATA'!$I:$I,$A6)</f>
        <v>0</v>
      </c>
      <c r="Y6" s="33">
        <f>SUMIFS('Bilateral assistance, MAIN DATA'!$N:$N,'Bilateral assistance, MAIN DATA'!$B:$B,Y$1, 'Bilateral assistance, MAIN DATA'!$I:$I,$A6)</f>
        <v>0</v>
      </c>
      <c r="Z6" s="33">
        <f>SUMIFS('Bilateral assistance, MAIN DATA'!$N:$N,'Bilateral assistance, MAIN DATA'!$B:$B,Z$1, 'Bilateral assistance, MAIN DATA'!$I:$I,$A6)</f>
        <v>0</v>
      </c>
      <c r="AA6" s="33">
        <f>SUMIFS('Bilateral assistance, MAIN DATA'!$N:$N,'Bilateral assistance, MAIN DATA'!$B:$B,AA$1, 'Bilateral assistance, MAIN DATA'!$I:$I,$A6)</f>
        <v>0</v>
      </c>
      <c r="AB6" s="33">
        <f>SUMIFS('Bilateral assistance, MAIN DATA'!$N:$N,'Bilateral assistance, MAIN DATA'!$B:$B,AB$1, 'Bilateral assistance, MAIN DATA'!$I:$I,$A6)</f>
        <v>0</v>
      </c>
      <c r="AC6" s="33">
        <f>SUMIFS('Bilateral assistance, MAIN DATA'!$N:$N,'Bilateral assistance, MAIN DATA'!$B:$B,AC$1, 'Bilateral assistance, MAIN DATA'!$I:$I,$A6)</f>
        <v>0</v>
      </c>
      <c r="AD6" s="33">
        <f>SUMIFS('Bilateral assistance, MAIN DATA'!$N:$N,'Bilateral assistance, MAIN DATA'!$B:$B,AD$1, 'Bilateral assistance, MAIN DATA'!$I:$I,$A6)</f>
        <v>0</v>
      </c>
      <c r="AE6" s="33">
        <f>SUMIFS('Bilateral assistance, MAIN DATA'!$N:$N,'Bilateral assistance, MAIN DATA'!$B:$B,AE$1, 'Bilateral assistance, MAIN DATA'!$I:$I,$A6)</f>
        <v>0</v>
      </c>
      <c r="AF6" s="33">
        <f>SUMIFS('Bilateral assistance, MAIN DATA'!$N:$N,'Bilateral assistance, MAIN DATA'!$B:$B,AF$1, 'Bilateral assistance, MAIN DATA'!$I:$I,$A6)</f>
        <v>0</v>
      </c>
      <c r="AG6" s="33">
        <f>SUMIFS('Bilateral assistance, MAIN DATA'!$N:$N,'Bilateral assistance, MAIN DATA'!$B:$B,AG$1, 'Bilateral assistance, MAIN DATA'!$I:$I,$A6)</f>
        <v>0</v>
      </c>
      <c r="AH6" s="33">
        <f>SUMIFS('Bilateral assistance, MAIN DATA'!$N:$N,'Bilateral assistance, MAIN DATA'!$B:$B,AH$1, 'Bilateral assistance, MAIN DATA'!$I:$I,$A6)</f>
        <v>0</v>
      </c>
      <c r="AI6" s="33">
        <f>SUMIFS('Bilateral assistance, MAIN DATA'!$N:$N,'Bilateral assistance, MAIN DATA'!$B:$B,AI$1, 'Bilateral assistance, MAIN DATA'!$I:$I,$A6)</f>
        <v>0</v>
      </c>
      <c r="AJ6" s="33">
        <f>SUMIFS('Bilateral assistance, MAIN DATA'!$N:$N,'Bilateral assistance, MAIN DATA'!$B:$B,AJ$1, 'Bilateral assistance, MAIN DATA'!$I:$I,$A6)</f>
        <v>0</v>
      </c>
      <c r="AK6" s="33">
        <f>SUMIFS('Bilateral assistance, MAIN DATA'!$N:$N,'Bilateral assistance, MAIN DATA'!$B:$B,AK$1, 'Bilateral assistance, MAIN DATA'!$I:$I,$A6)</f>
        <v>0</v>
      </c>
      <c r="AL6" s="33">
        <f>SUMIFS('Bilateral assistance, MAIN DATA'!$N:$N,'Bilateral assistance, MAIN DATA'!$B:$B,AL$1, 'Bilateral assistance, MAIN DATA'!$I:$I,$A6)</f>
        <v>0</v>
      </c>
      <c r="AM6" s="33">
        <f>SUMIFS('Bilateral assistance, MAIN DATA'!$N:$N,'Bilateral assistance, MAIN DATA'!$B:$B,AM$1, 'Bilateral assistance, MAIN DATA'!$I:$I,$A6)</f>
        <v>0</v>
      </c>
      <c r="AN6" s="33">
        <f>SUMIFS('Bilateral assistance, MAIN DATA'!$N:$N,'Bilateral assistance, MAIN DATA'!$B:$B,AN$1, 'Bilateral assistance, MAIN DATA'!$I:$I,$A6)</f>
        <v>0</v>
      </c>
      <c r="AO6" s="33">
        <f>SUMIFS('Bilateral assistance, MAIN DATA'!$N:$N,'Bilateral assistance, MAIN DATA'!$B:$B,AO$1, 'Bilateral assistance, MAIN DATA'!$I:$I,$A6)</f>
        <v>0</v>
      </c>
      <c r="AP6" s="33">
        <f>SUMIFS('Bilateral assistance, MAIN DATA'!$N:$N,'Bilateral assistance, MAIN DATA'!$B:$B,AP$1, 'Bilateral assistance, MAIN DATA'!$I:$I,$A6)</f>
        <v>0</v>
      </c>
      <c r="AQ6" s="33">
        <f>SUMIFS('Bilateral assistance, MAIN DATA'!$N:$N,'Bilateral assistance, MAIN DATA'!$B:$B,AQ$1, 'Bilateral assistance, MAIN DATA'!$I:$I,$A6)</f>
        <v>0</v>
      </c>
      <c r="AR6" s="33">
        <f>SUMIFS('Bilateral assistance, MAIN DATA'!$N:$N,'Bilateral assistance, MAIN DATA'!$B:$B,AR$1, 'Bilateral assistance, MAIN DATA'!$I:$I,$A6)</f>
        <v>0</v>
      </c>
      <c r="AS6" s="33">
        <f>SUMIFS('Bilateral assistance, MAIN DATA'!$N:$N,'Bilateral assistance, MAIN DATA'!$B:$B,AS$1, 'Bilateral assistance, MAIN DATA'!$I:$I,$A6)</f>
        <v>0</v>
      </c>
    </row>
    <row r="7" spans="1:45">
      <c r="A7" s="33" t="s">
        <v>3251</v>
      </c>
      <c r="B7" s="33">
        <f t="shared" si="0"/>
        <v>0</v>
      </c>
      <c r="C7" s="645" t="s">
        <v>4141</v>
      </c>
      <c r="D7" s="33" t="s">
        <v>4144</v>
      </c>
      <c r="F7" s="33">
        <f>SUMIFS('Bilateral assistance, MAIN DATA'!$N:$N,'Bilateral assistance, MAIN DATA'!$B:$B,F$1, 'Bilateral assistance, MAIN DATA'!$I:$I,$A7)</f>
        <v>0</v>
      </c>
      <c r="G7" s="33">
        <f>SUMIFS('Bilateral assistance, MAIN DATA'!$N:$N,'Bilateral assistance, MAIN DATA'!$B:$B,G$1, 'Bilateral assistance, MAIN DATA'!$I:$I,$A7)</f>
        <v>0</v>
      </c>
      <c r="H7" s="33">
        <f>SUMIFS('Bilateral assistance, MAIN DATA'!$N:$N,'Bilateral assistance, MAIN DATA'!$B:$B,H$1, 'Bilateral assistance, MAIN DATA'!$I:$I,$A7)</f>
        <v>0</v>
      </c>
      <c r="I7" s="33">
        <f>SUMIFS('Bilateral assistance, MAIN DATA'!$N:$N,'Bilateral assistance, MAIN DATA'!$B:$B,I$1, 'Bilateral assistance, MAIN DATA'!$I:$I,$A7)</f>
        <v>0</v>
      </c>
      <c r="J7" s="33">
        <f>SUMIFS('Bilateral assistance, MAIN DATA'!$N:$N,'Bilateral assistance, MAIN DATA'!$B:$B,J$1, 'Bilateral assistance, MAIN DATA'!$I:$I,$A7)</f>
        <v>0</v>
      </c>
      <c r="K7" s="33">
        <f>SUMIFS('Bilateral assistance, MAIN DATA'!$N:$N,'Bilateral assistance, MAIN DATA'!$B:$B,K$1, 'Bilateral assistance, MAIN DATA'!$I:$I,$A7)</f>
        <v>0</v>
      </c>
      <c r="L7" s="33">
        <f>SUMIFS('Bilateral assistance, MAIN DATA'!$N:$N,'Bilateral assistance, MAIN DATA'!$B:$B,L$1, 'Bilateral assistance, MAIN DATA'!$I:$I,$A7)</f>
        <v>0</v>
      </c>
      <c r="M7" s="33">
        <f>SUMIFS('Bilateral assistance, MAIN DATA'!$N:$N,'Bilateral assistance, MAIN DATA'!$B:$B,M$1, 'Bilateral assistance, MAIN DATA'!$I:$I,$A7)</f>
        <v>0</v>
      </c>
      <c r="N7" s="33">
        <f>SUMIFS('Bilateral assistance, MAIN DATA'!$N:$N,'Bilateral assistance, MAIN DATA'!$B:$B,N$1, 'Bilateral assistance, MAIN DATA'!$I:$I,$A7)</f>
        <v>0</v>
      </c>
      <c r="O7" s="33">
        <f>SUMIFS('Bilateral assistance, MAIN DATA'!$N:$N,'Bilateral assistance, MAIN DATA'!$B:$B,O$1, 'Bilateral assistance, MAIN DATA'!$I:$I,$A7)</f>
        <v>0</v>
      </c>
      <c r="P7" s="33">
        <f>SUMIFS('Bilateral assistance, MAIN DATA'!$N:$N,'Bilateral assistance, MAIN DATA'!$B:$B,P$1, 'Bilateral assistance, MAIN DATA'!$I:$I,$A7)</f>
        <v>0</v>
      </c>
      <c r="Q7" s="33">
        <f>SUMIFS('Bilateral assistance, MAIN DATA'!$N:$N,'Bilateral assistance, MAIN DATA'!$B:$B,Q$1, 'Bilateral assistance, MAIN DATA'!$I:$I,$A7)</f>
        <v>0</v>
      </c>
      <c r="R7" s="33">
        <f>SUMIFS('Bilateral assistance, MAIN DATA'!$N:$N,'Bilateral assistance, MAIN DATA'!$B:$B,R$1, 'Bilateral assistance, MAIN DATA'!$I:$I,$A7)</f>
        <v>0</v>
      </c>
      <c r="S7" s="33">
        <f>SUMIFS('Bilateral assistance, MAIN DATA'!$N:$N,'Bilateral assistance, MAIN DATA'!$B:$B,S$1, 'Bilateral assistance, MAIN DATA'!$I:$I,$A7)</f>
        <v>0</v>
      </c>
      <c r="T7" s="33">
        <f>SUMIFS('Bilateral assistance, MAIN DATA'!$N:$N,'Bilateral assistance, MAIN DATA'!$B:$B,T$1, 'Bilateral assistance, MAIN DATA'!$I:$I,$A7)</f>
        <v>0</v>
      </c>
      <c r="U7" s="33">
        <f>SUMIFS('Bilateral assistance, MAIN DATA'!$N:$N,'Bilateral assistance, MAIN DATA'!$B:$B,U$1, 'Bilateral assistance, MAIN DATA'!$I:$I,$A7)</f>
        <v>0</v>
      </c>
      <c r="V7" s="33">
        <f>SUMIFS('Bilateral assistance, MAIN DATA'!$N:$N,'Bilateral assistance, MAIN DATA'!$B:$B,V$1, 'Bilateral assistance, MAIN DATA'!$I:$I,$A7)</f>
        <v>0</v>
      </c>
      <c r="W7" s="33">
        <f>SUMIFS('Bilateral assistance, MAIN DATA'!$N:$N,'Bilateral assistance, MAIN DATA'!$B:$B,W$1, 'Bilateral assistance, MAIN DATA'!$I:$I,$A7)</f>
        <v>0</v>
      </c>
      <c r="X7" s="33">
        <f>SUMIFS('Bilateral assistance, MAIN DATA'!$N:$N,'Bilateral assistance, MAIN DATA'!$B:$B,X$1, 'Bilateral assistance, MAIN DATA'!$I:$I,$A7)</f>
        <v>0</v>
      </c>
      <c r="Y7" s="33">
        <f>SUMIFS('Bilateral assistance, MAIN DATA'!$N:$N,'Bilateral assistance, MAIN DATA'!$B:$B,Y$1, 'Bilateral assistance, MAIN DATA'!$I:$I,$A7)</f>
        <v>0</v>
      </c>
      <c r="Z7" s="33">
        <f>SUMIFS('Bilateral assistance, MAIN DATA'!$N:$N,'Bilateral assistance, MAIN DATA'!$B:$B,Z$1, 'Bilateral assistance, MAIN DATA'!$I:$I,$A7)</f>
        <v>0</v>
      </c>
      <c r="AA7" s="33">
        <f>SUMIFS('Bilateral assistance, MAIN DATA'!$N:$N,'Bilateral assistance, MAIN DATA'!$B:$B,AA$1, 'Bilateral assistance, MAIN DATA'!$I:$I,$A7)</f>
        <v>0</v>
      </c>
      <c r="AB7" s="33">
        <f>SUMIFS('Bilateral assistance, MAIN DATA'!$N:$N,'Bilateral assistance, MAIN DATA'!$B:$B,AB$1, 'Bilateral assistance, MAIN DATA'!$I:$I,$A7)</f>
        <v>0</v>
      </c>
      <c r="AC7" s="33">
        <f>SUMIFS('Bilateral assistance, MAIN DATA'!$N:$N,'Bilateral assistance, MAIN DATA'!$B:$B,AC$1, 'Bilateral assistance, MAIN DATA'!$I:$I,$A7)</f>
        <v>0</v>
      </c>
      <c r="AD7" s="33">
        <f>SUMIFS('Bilateral assistance, MAIN DATA'!$N:$N,'Bilateral assistance, MAIN DATA'!$B:$B,AD$1, 'Bilateral assistance, MAIN DATA'!$I:$I,$A7)</f>
        <v>0</v>
      </c>
      <c r="AE7" s="33">
        <f>SUMIFS('Bilateral assistance, MAIN DATA'!$N:$N,'Bilateral assistance, MAIN DATA'!$B:$B,AE$1, 'Bilateral assistance, MAIN DATA'!$I:$I,$A7)</f>
        <v>0</v>
      </c>
      <c r="AF7" s="33">
        <f>SUMIFS('Bilateral assistance, MAIN DATA'!$N:$N,'Bilateral assistance, MAIN DATA'!$B:$B,AF$1, 'Bilateral assistance, MAIN DATA'!$I:$I,$A7)</f>
        <v>0</v>
      </c>
      <c r="AG7" s="33">
        <f>SUMIFS('Bilateral assistance, MAIN DATA'!$N:$N,'Bilateral assistance, MAIN DATA'!$B:$B,AG$1, 'Bilateral assistance, MAIN DATA'!$I:$I,$A7)</f>
        <v>0</v>
      </c>
      <c r="AH7" s="33">
        <f>SUMIFS('Bilateral assistance, MAIN DATA'!$N:$N,'Bilateral assistance, MAIN DATA'!$B:$B,AH$1, 'Bilateral assistance, MAIN DATA'!$I:$I,$A7)</f>
        <v>0</v>
      </c>
      <c r="AI7" s="33">
        <f>SUMIFS('Bilateral assistance, MAIN DATA'!$N:$N,'Bilateral assistance, MAIN DATA'!$B:$B,AI$1, 'Bilateral assistance, MAIN DATA'!$I:$I,$A7)</f>
        <v>0</v>
      </c>
      <c r="AJ7" s="33">
        <f>SUMIFS('Bilateral assistance, MAIN DATA'!$N:$N,'Bilateral assistance, MAIN DATA'!$B:$B,AJ$1, 'Bilateral assistance, MAIN DATA'!$I:$I,$A7)</f>
        <v>0</v>
      </c>
      <c r="AK7" s="33">
        <f>SUMIFS('Bilateral assistance, MAIN DATA'!$N:$N,'Bilateral assistance, MAIN DATA'!$B:$B,AK$1, 'Bilateral assistance, MAIN DATA'!$I:$I,$A7)</f>
        <v>0</v>
      </c>
      <c r="AL7" s="33">
        <f>SUMIFS('Bilateral assistance, MAIN DATA'!$N:$N,'Bilateral assistance, MAIN DATA'!$B:$B,AL$1, 'Bilateral assistance, MAIN DATA'!$I:$I,$A7)</f>
        <v>0</v>
      </c>
      <c r="AM7" s="33">
        <f>SUMIFS('Bilateral assistance, MAIN DATA'!$N:$N,'Bilateral assistance, MAIN DATA'!$B:$B,AM$1, 'Bilateral assistance, MAIN DATA'!$I:$I,$A7)</f>
        <v>0</v>
      </c>
      <c r="AN7" s="33">
        <f>SUMIFS('Bilateral assistance, MAIN DATA'!$N:$N,'Bilateral assistance, MAIN DATA'!$B:$B,AN$1, 'Bilateral assistance, MAIN DATA'!$I:$I,$A7)</f>
        <v>0</v>
      </c>
      <c r="AO7" s="33">
        <f>SUMIFS('Bilateral assistance, MAIN DATA'!$N:$N,'Bilateral assistance, MAIN DATA'!$B:$B,AO$1, 'Bilateral assistance, MAIN DATA'!$I:$I,$A7)</f>
        <v>0</v>
      </c>
      <c r="AP7" s="33">
        <f>SUMIFS('Bilateral assistance, MAIN DATA'!$N:$N,'Bilateral assistance, MAIN DATA'!$B:$B,AP$1, 'Bilateral assistance, MAIN DATA'!$I:$I,$A7)</f>
        <v>0</v>
      </c>
      <c r="AQ7" s="33">
        <f>SUMIFS('Bilateral assistance, MAIN DATA'!$N:$N,'Bilateral assistance, MAIN DATA'!$B:$B,AQ$1, 'Bilateral assistance, MAIN DATA'!$I:$I,$A7)</f>
        <v>0</v>
      </c>
      <c r="AR7" s="33">
        <f>SUMIFS('Bilateral assistance, MAIN DATA'!$N:$N,'Bilateral assistance, MAIN DATA'!$B:$B,AR$1, 'Bilateral assistance, MAIN DATA'!$I:$I,$A7)</f>
        <v>0</v>
      </c>
      <c r="AS7" s="33">
        <f>SUMIFS('Bilateral assistance, MAIN DATA'!$N:$N,'Bilateral assistance, MAIN DATA'!$B:$B,AS$1, 'Bilateral assistance, MAIN DATA'!$I:$I,$A7)</f>
        <v>0</v>
      </c>
    </row>
    <row r="8" spans="1:45">
      <c r="A8" s="33" t="s">
        <v>4145</v>
      </c>
      <c r="B8" s="33">
        <f t="shared" si="0"/>
        <v>0</v>
      </c>
      <c r="C8" s="645" t="s">
        <v>4141</v>
      </c>
      <c r="D8" s="33" t="s">
        <v>4142</v>
      </c>
      <c r="F8" s="33">
        <f>SUMIFS('Bilateral assistance, MAIN DATA'!$N:$N,'Bilateral assistance, MAIN DATA'!$B:$B,F$1, 'Bilateral assistance, MAIN DATA'!$I:$I,$A8)</f>
        <v>0</v>
      </c>
      <c r="G8" s="33">
        <f>SUMIFS('Bilateral assistance, MAIN DATA'!$N:$N,'Bilateral assistance, MAIN DATA'!$B:$B,G$1, 'Bilateral assistance, MAIN DATA'!$I:$I,$A8)</f>
        <v>0</v>
      </c>
      <c r="H8" s="33">
        <f>SUMIFS('Bilateral assistance, MAIN DATA'!$N:$N,'Bilateral assistance, MAIN DATA'!$B:$B,H$1, 'Bilateral assistance, MAIN DATA'!$I:$I,$A8)</f>
        <v>0</v>
      </c>
      <c r="I8" s="33">
        <f>SUMIFS('Bilateral assistance, MAIN DATA'!$N:$N,'Bilateral assistance, MAIN DATA'!$B:$B,I$1, 'Bilateral assistance, MAIN DATA'!$I:$I,$A8)</f>
        <v>0</v>
      </c>
      <c r="J8" s="33">
        <f>SUMIFS('Bilateral assistance, MAIN DATA'!$N:$N,'Bilateral assistance, MAIN DATA'!$B:$B,J$1, 'Bilateral assistance, MAIN DATA'!$I:$I,$A8)</f>
        <v>0</v>
      </c>
      <c r="K8" s="33">
        <f>SUMIFS('Bilateral assistance, MAIN DATA'!$N:$N,'Bilateral assistance, MAIN DATA'!$B:$B,K$1, 'Bilateral assistance, MAIN DATA'!$I:$I,$A8)</f>
        <v>0</v>
      </c>
      <c r="L8" s="33">
        <f>SUMIFS('Bilateral assistance, MAIN DATA'!$N:$N,'Bilateral assistance, MAIN DATA'!$B:$B,L$1, 'Bilateral assistance, MAIN DATA'!$I:$I,$A8)</f>
        <v>0</v>
      </c>
      <c r="M8" s="33">
        <f>SUMIFS('Bilateral assistance, MAIN DATA'!$N:$N,'Bilateral assistance, MAIN DATA'!$B:$B,M$1, 'Bilateral assistance, MAIN DATA'!$I:$I,$A8)</f>
        <v>0</v>
      </c>
      <c r="N8" s="33">
        <f>SUMIFS('Bilateral assistance, MAIN DATA'!$N:$N,'Bilateral assistance, MAIN DATA'!$B:$B,N$1, 'Bilateral assistance, MAIN DATA'!$I:$I,$A8)</f>
        <v>0</v>
      </c>
      <c r="O8" s="33">
        <f>SUMIFS('Bilateral assistance, MAIN DATA'!$N:$N,'Bilateral assistance, MAIN DATA'!$B:$B,O$1, 'Bilateral assistance, MAIN DATA'!$I:$I,$A8)</f>
        <v>0</v>
      </c>
      <c r="P8" s="33">
        <f>SUMIFS('Bilateral assistance, MAIN DATA'!$N:$N,'Bilateral assistance, MAIN DATA'!$B:$B,P$1, 'Bilateral assistance, MAIN DATA'!$I:$I,$A8)</f>
        <v>0</v>
      </c>
      <c r="Q8" s="33">
        <f>SUMIFS('Bilateral assistance, MAIN DATA'!$N:$N,'Bilateral assistance, MAIN DATA'!$B:$B,Q$1, 'Bilateral assistance, MAIN DATA'!$I:$I,$A8)</f>
        <v>0</v>
      </c>
      <c r="R8" s="33">
        <f>SUMIFS('Bilateral assistance, MAIN DATA'!$N:$N,'Bilateral assistance, MAIN DATA'!$B:$B,R$1, 'Bilateral assistance, MAIN DATA'!$I:$I,$A8)</f>
        <v>0</v>
      </c>
      <c r="S8" s="33">
        <f>SUMIFS('Bilateral assistance, MAIN DATA'!$N:$N,'Bilateral assistance, MAIN DATA'!$B:$B,S$1, 'Bilateral assistance, MAIN DATA'!$I:$I,$A8)</f>
        <v>0</v>
      </c>
      <c r="T8" s="33">
        <f>SUMIFS('Bilateral assistance, MAIN DATA'!$N:$N,'Bilateral assistance, MAIN DATA'!$B:$B,T$1, 'Bilateral assistance, MAIN DATA'!$I:$I,$A8)</f>
        <v>0</v>
      </c>
      <c r="U8" s="33">
        <f>SUMIFS('Bilateral assistance, MAIN DATA'!$N:$N,'Bilateral assistance, MAIN DATA'!$B:$B,U$1, 'Bilateral assistance, MAIN DATA'!$I:$I,$A8)</f>
        <v>0</v>
      </c>
      <c r="V8" s="33">
        <f>SUMIFS('Bilateral assistance, MAIN DATA'!$N:$N,'Bilateral assistance, MAIN DATA'!$B:$B,V$1, 'Bilateral assistance, MAIN DATA'!$I:$I,$A8)</f>
        <v>0</v>
      </c>
      <c r="W8" s="33">
        <f>SUMIFS('Bilateral assistance, MAIN DATA'!$N:$N,'Bilateral assistance, MAIN DATA'!$B:$B,W$1, 'Bilateral assistance, MAIN DATA'!$I:$I,$A8)</f>
        <v>0</v>
      </c>
      <c r="X8" s="33">
        <f>SUMIFS('Bilateral assistance, MAIN DATA'!$N:$N,'Bilateral assistance, MAIN DATA'!$B:$B,X$1, 'Bilateral assistance, MAIN DATA'!$I:$I,$A8)</f>
        <v>0</v>
      </c>
      <c r="Y8" s="33">
        <f>SUMIFS('Bilateral assistance, MAIN DATA'!$N:$N,'Bilateral assistance, MAIN DATA'!$B:$B,Y$1, 'Bilateral assistance, MAIN DATA'!$I:$I,$A8)</f>
        <v>0</v>
      </c>
      <c r="Z8" s="33">
        <f>SUMIFS('Bilateral assistance, MAIN DATA'!$N:$N,'Bilateral assistance, MAIN DATA'!$B:$B,Z$1, 'Bilateral assistance, MAIN DATA'!$I:$I,$A8)</f>
        <v>0</v>
      </c>
      <c r="AA8" s="33">
        <f>SUMIFS('Bilateral assistance, MAIN DATA'!$N:$N,'Bilateral assistance, MAIN DATA'!$B:$B,AA$1, 'Bilateral assistance, MAIN DATA'!$I:$I,$A8)</f>
        <v>0</v>
      </c>
      <c r="AB8" s="33">
        <f>SUMIFS('Bilateral assistance, MAIN DATA'!$N:$N,'Bilateral assistance, MAIN DATA'!$B:$B,AB$1, 'Bilateral assistance, MAIN DATA'!$I:$I,$A8)</f>
        <v>0</v>
      </c>
      <c r="AC8" s="33">
        <f>SUMIFS('Bilateral assistance, MAIN DATA'!$N:$N,'Bilateral assistance, MAIN DATA'!$B:$B,AC$1, 'Bilateral assistance, MAIN DATA'!$I:$I,$A8)</f>
        <v>0</v>
      </c>
      <c r="AD8" s="33">
        <f>SUMIFS('Bilateral assistance, MAIN DATA'!$N:$N,'Bilateral assistance, MAIN DATA'!$B:$B,AD$1, 'Bilateral assistance, MAIN DATA'!$I:$I,$A8)</f>
        <v>0</v>
      </c>
      <c r="AE8" s="33">
        <f>SUMIFS('Bilateral assistance, MAIN DATA'!$N:$N,'Bilateral assistance, MAIN DATA'!$B:$B,AE$1, 'Bilateral assistance, MAIN DATA'!$I:$I,$A8)</f>
        <v>0</v>
      </c>
      <c r="AF8" s="33">
        <f>SUMIFS('Bilateral assistance, MAIN DATA'!$N:$N,'Bilateral assistance, MAIN DATA'!$B:$B,AF$1, 'Bilateral assistance, MAIN DATA'!$I:$I,$A8)</f>
        <v>0</v>
      </c>
      <c r="AG8" s="33">
        <f>SUMIFS('Bilateral assistance, MAIN DATA'!$N:$N,'Bilateral assistance, MAIN DATA'!$B:$B,AG$1, 'Bilateral assistance, MAIN DATA'!$I:$I,$A8)</f>
        <v>0</v>
      </c>
      <c r="AH8" s="33">
        <f>SUMIFS('Bilateral assistance, MAIN DATA'!$N:$N,'Bilateral assistance, MAIN DATA'!$B:$B,AH$1, 'Bilateral assistance, MAIN DATA'!$I:$I,$A8)</f>
        <v>0</v>
      </c>
      <c r="AI8" s="33">
        <f>SUMIFS('Bilateral assistance, MAIN DATA'!$N:$N,'Bilateral assistance, MAIN DATA'!$B:$B,AI$1, 'Bilateral assistance, MAIN DATA'!$I:$I,$A8)</f>
        <v>0</v>
      </c>
      <c r="AJ8" s="33">
        <f>SUMIFS('Bilateral assistance, MAIN DATA'!$N:$N,'Bilateral assistance, MAIN DATA'!$B:$B,AJ$1, 'Bilateral assistance, MAIN DATA'!$I:$I,$A8)</f>
        <v>0</v>
      </c>
      <c r="AK8" s="33">
        <f>SUMIFS('Bilateral assistance, MAIN DATA'!$N:$N,'Bilateral assistance, MAIN DATA'!$B:$B,AK$1, 'Bilateral assistance, MAIN DATA'!$I:$I,$A8)</f>
        <v>0</v>
      </c>
      <c r="AL8" s="33">
        <f>SUMIFS('Bilateral assistance, MAIN DATA'!$N:$N,'Bilateral assistance, MAIN DATA'!$B:$B,AL$1, 'Bilateral assistance, MAIN DATA'!$I:$I,$A8)</f>
        <v>0</v>
      </c>
      <c r="AM8" s="33">
        <f>SUMIFS('Bilateral assistance, MAIN DATA'!$N:$N,'Bilateral assistance, MAIN DATA'!$B:$B,AM$1, 'Bilateral assistance, MAIN DATA'!$I:$I,$A8)</f>
        <v>0</v>
      </c>
      <c r="AN8" s="33">
        <f>SUMIFS('Bilateral assistance, MAIN DATA'!$N:$N,'Bilateral assistance, MAIN DATA'!$B:$B,AN$1, 'Bilateral assistance, MAIN DATA'!$I:$I,$A8)</f>
        <v>0</v>
      </c>
      <c r="AO8" s="33">
        <f>SUMIFS('Bilateral assistance, MAIN DATA'!$N:$N,'Bilateral assistance, MAIN DATA'!$B:$B,AO$1, 'Bilateral assistance, MAIN DATA'!$I:$I,$A8)</f>
        <v>0</v>
      </c>
      <c r="AP8" s="33">
        <f>SUMIFS('Bilateral assistance, MAIN DATA'!$N:$N,'Bilateral assistance, MAIN DATA'!$B:$B,AP$1, 'Bilateral assistance, MAIN DATA'!$I:$I,$A8)</f>
        <v>0</v>
      </c>
      <c r="AQ8" s="33">
        <f>SUMIFS('Bilateral assistance, MAIN DATA'!$N:$N,'Bilateral assistance, MAIN DATA'!$B:$B,AQ$1, 'Bilateral assistance, MAIN DATA'!$I:$I,$A8)</f>
        <v>0</v>
      </c>
      <c r="AR8" s="33">
        <f>SUMIFS('Bilateral assistance, MAIN DATA'!$N:$N,'Bilateral assistance, MAIN DATA'!$B:$B,AR$1, 'Bilateral assistance, MAIN DATA'!$I:$I,$A8)</f>
        <v>0</v>
      </c>
      <c r="AS8" s="33">
        <f>SUMIFS('Bilateral assistance, MAIN DATA'!$N:$N,'Bilateral assistance, MAIN DATA'!$B:$B,AS$1, 'Bilateral assistance, MAIN DATA'!$I:$I,$A8)</f>
        <v>0</v>
      </c>
    </row>
    <row r="9" spans="1:45">
      <c r="A9" s="33" t="s">
        <v>2612</v>
      </c>
      <c r="B9" s="33">
        <f t="shared" si="0"/>
        <v>100</v>
      </c>
      <c r="C9" s="645" t="s">
        <v>4141</v>
      </c>
      <c r="D9" s="33" t="s">
        <v>4142</v>
      </c>
      <c r="F9" s="33">
        <f>SUMIFS('Bilateral assistance, MAIN DATA'!$N:$N,'Bilateral assistance, MAIN DATA'!$B:$B,F$1, 'Bilateral assistance, MAIN DATA'!$I:$I,$A9)</f>
        <v>0</v>
      </c>
      <c r="G9" s="33">
        <f>SUMIFS('Bilateral assistance, MAIN DATA'!$N:$N,'Bilateral assistance, MAIN DATA'!$B:$B,G$1, 'Bilateral assistance, MAIN DATA'!$I:$I,$A9)</f>
        <v>0</v>
      </c>
      <c r="H9" s="33">
        <f>SUMIFS('Bilateral assistance, MAIN DATA'!$N:$N,'Bilateral assistance, MAIN DATA'!$B:$B,H$1, 'Bilateral assistance, MAIN DATA'!$I:$I,$A9)</f>
        <v>0</v>
      </c>
      <c r="I9" s="33">
        <f>SUMIFS('Bilateral assistance, MAIN DATA'!$N:$N,'Bilateral assistance, MAIN DATA'!$B:$B,I$1, 'Bilateral assistance, MAIN DATA'!$I:$I,$A9)</f>
        <v>0</v>
      </c>
      <c r="J9" s="33">
        <f>SUMIFS('Bilateral assistance, MAIN DATA'!$N:$N,'Bilateral assistance, MAIN DATA'!$B:$B,J$1, 'Bilateral assistance, MAIN DATA'!$I:$I,$A9)</f>
        <v>0</v>
      </c>
      <c r="K9" s="33">
        <f>SUMIFS('Bilateral assistance, MAIN DATA'!$N:$N,'Bilateral assistance, MAIN DATA'!$B:$B,K$1, 'Bilateral assistance, MAIN DATA'!$I:$I,$A9)</f>
        <v>0</v>
      </c>
      <c r="L9" s="33">
        <f>SUMIFS('Bilateral assistance, MAIN DATA'!$N:$N,'Bilateral assistance, MAIN DATA'!$B:$B,L$1, 'Bilateral assistance, MAIN DATA'!$I:$I,$A9)</f>
        <v>0</v>
      </c>
      <c r="M9" s="33">
        <f>SUMIFS('Bilateral assistance, MAIN DATA'!$N:$N,'Bilateral assistance, MAIN DATA'!$B:$B,M$1, 'Bilateral assistance, MAIN DATA'!$I:$I,$A9)</f>
        <v>0</v>
      </c>
      <c r="N9" s="33">
        <f>SUMIFS('Bilateral assistance, MAIN DATA'!$N:$N,'Bilateral assistance, MAIN DATA'!$B:$B,N$1, 'Bilateral assistance, MAIN DATA'!$I:$I,$A9)</f>
        <v>0</v>
      </c>
      <c r="O9" s="33">
        <f>SUMIFS('Bilateral assistance, MAIN DATA'!$N:$N,'Bilateral assistance, MAIN DATA'!$B:$B,O$1, 'Bilateral assistance, MAIN DATA'!$I:$I,$A9)</f>
        <v>0</v>
      </c>
      <c r="P9" s="33">
        <f>SUMIFS('Bilateral assistance, MAIN DATA'!$N:$N,'Bilateral assistance, MAIN DATA'!$B:$B,P$1, 'Bilateral assistance, MAIN DATA'!$I:$I,$A9)</f>
        <v>0</v>
      </c>
      <c r="Q9" s="33">
        <f>SUMIFS('Bilateral assistance, MAIN DATA'!$N:$N,'Bilateral assistance, MAIN DATA'!$B:$B,Q$1, 'Bilateral assistance, MAIN DATA'!$I:$I,$A9)</f>
        <v>0</v>
      </c>
      <c r="R9" s="33">
        <f>SUMIFS('Bilateral assistance, MAIN DATA'!$N:$N,'Bilateral assistance, MAIN DATA'!$B:$B,R$1, 'Bilateral assistance, MAIN DATA'!$I:$I,$A9)</f>
        <v>0</v>
      </c>
      <c r="S9" s="33">
        <f>SUMIFS('Bilateral assistance, MAIN DATA'!$N:$N,'Bilateral assistance, MAIN DATA'!$B:$B,S$1, 'Bilateral assistance, MAIN DATA'!$I:$I,$A9)</f>
        <v>0</v>
      </c>
      <c r="T9" s="33">
        <f>SUMIFS('Bilateral assistance, MAIN DATA'!$N:$N,'Bilateral assistance, MAIN DATA'!$B:$B,T$1, 'Bilateral assistance, MAIN DATA'!$I:$I,$A9)</f>
        <v>0</v>
      </c>
      <c r="U9" s="33">
        <f>SUMIFS('Bilateral assistance, MAIN DATA'!$N:$N,'Bilateral assistance, MAIN DATA'!$B:$B,U$1, 'Bilateral assistance, MAIN DATA'!$I:$I,$A9)</f>
        <v>0</v>
      </c>
      <c r="V9" s="33">
        <f>SUMIFS('Bilateral assistance, MAIN DATA'!$N:$N,'Bilateral assistance, MAIN DATA'!$B:$B,V$1, 'Bilateral assistance, MAIN DATA'!$I:$I,$A9)</f>
        <v>0</v>
      </c>
      <c r="W9" s="33">
        <f>SUMIFS('Bilateral assistance, MAIN DATA'!$N:$N,'Bilateral assistance, MAIN DATA'!$B:$B,W$1, 'Bilateral assistance, MAIN DATA'!$I:$I,$A9)</f>
        <v>0</v>
      </c>
      <c r="X9" s="33">
        <f>SUMIFS('Bilateral assistance, MAIN DATA'!$N:$N,'Bilateral assistance, MAIN DATA'!$B:$B,X$1, 'Bilateral assistance, MAIN DATA'!$I:$I,$A9)</f>
        <v>0</v>
      </c>
      <c r="Y9" s="33">
        <f>SUMIFS('Bilateral assistance, MAIN DATA'!$N:$N,'Bilateral assistance, MAIN DATA'!$B:$B,Y$1, 'Bilateral assistance, MAIN DATA'!$I:$I,$A9)</f>
        <v>0</v>
      </c>
      <c r="Z9" s="33">
        <f>SUMIFS('Bilateral assistance, MAIN DATA'!$N:$N,'Bilateral assistance, MAIN DATA'!$B:$B,Z$1, 'Bilateral assistance, MAIN DATA'!$I:$I,$A9)</f>
        <v>0</v>
      </c>
      <c r="AA9" s="33">
        <f>SUMIFS('Bilateral assistance, MAIN DATA'!$N:$N,'Bilateral assistance, MAIN DATA'!$B:$B,AA$1, 'Bilateral assistance, MAIN DATA'!$I:$I,$A9)</f>
        <v>0</v>
      </c>
      <c r="AB9" s="33">
        <f>SUMIFS('Bilateral assistance, MAIN DATA'!$N:$N,'Bilateral assistance, MAIN DATA'!$B:$B,AB$1, 'Bilateral assistance, MAIN DATA'!$I:$I,$A9)</f>
        <v>0</v>
      </c>
      <c r="AC9" s="33">
        <f>SUMIFS('Bilateral assistance, MAIN DATA'!$N:$N,'Bilateral assistance, MAIN DATA'!$B:$B,AC$1, 'Bilateral assistance, MAIN DATA'!$I:$I,$A9)</f>
        <v>0</v>
      </c>
      <c r="AD9" s="33">
        <f>SUMIFS('Bilateral assistance, MAIN DATA'!$N:$N,'Bilateral assistance, MAIN DATA'!$B:$B,AD$1, 'Bilateral assistance, MAIN DATA'!$I:$I,$A9)</f>
        <v>0</v>
      </c>
      <c r="AE9" s="33">
        <f>SUMIFS('Bilateral assistance, MAIN DATA'!$N:$N,'Bilateral assistance, MAIN DATA'!$B:$B,AE$1, 'Bilateral assistance, MAIN DATA'!$I:$I,$A9)</f>
        <v>0</v>
      </c>
      <c r="AF9" s="33">
        <f>SUMIFS('Bilateral assistance, MAIN DATA'!$N:$N,'Bilateral assistance, MAIN DATA'!$B:$B,AF$1, 'Bilateral assistance, MAIN DATA'!$I:$I,$A9)</f>
        <v>0</v>
      </c>
      <c r="AG9" s="33">
        <f>SUMIFS('Bilateral assistance, MAIN DATA'!$N:$N,'Bilateral assistance, MAIN DATA'!$B:$B,AG$1, 'Bilateral assistance, MAIN DATA'!$I:$I,$A9)</f>
        <v>0</v>
      </c>
      <c r="AH9" s="33">
        <f>SUMIFS('Bilateral assistance, MAIN DATA'!$N:$N,'Bilateral assistance, MAIN DATA'!$B:$B,AH$1, 'Bilateral assistance, MAIN DATA'!$I:$I,$A9)</f>
        <v>0</v>
      </c>
      <c r="AI9" s="33">
        <f>SUMIFS('Bilateral assistance, MAIN DATA'!$N:$N,'Bilateral assistance, MAIN DATA'!$B:$B,AI$1, 'Bilateral assistance, MAIN DATA'!$I:$I,$A9)</f>
        <v>0</v>
      </c>
      <c r="AJ9" s="33">
        <f>SUMIFS('Bilateral assistance, MAIN DATA'!$N:$N,'Bilateral assistance, MAIN DATA'!$B:$B,AJ$1, 'Bilateral assistance, MAIN DATA'!$I:$I,$A9)</f>
        <v>0</v>
      </c>
      <c r="AK9" s="33">
        <f>SUMIFS('Bilateral assistance, MAIN DATA'!$N:$N,'Bilateral assistance, MAIN DATA'!$B:$B,AK$1, 'Bilateral assistance, MAIN DATA'!$I:$I,$A9)</f>
        <v>0</v>
      </c>
      <c r="AL9" s="33">
        <f>SUMIFS('Bilateral assistance, MAIN DATA'!$N:$N,'Bilateral assistance, MAIN DATA'!$B:$B,AL$1, 'Bilateral assistance, MAIN DATA'!$I:$I,$A9)</f>
        <v>0</v>
      </c>
      <c r="AM9" s="33">
        <f>SUMIFS('Bilateral assistance, MAIN DATA'!$N:$N,'Bilateral assistance, MAIN DATA'!$B:$B,AM$1, 'Bilateral assistance, MAIN DATA'!$I:$I,$A9)</f>
        <v>0</v>
      </c>
      <c r="AN9" s="33">
        <f>SUMIFS('Bilateral assistance, MAIN DATA'!$N:$N,'Bilateral assistance, MAIN DATA'!$B:$B,AN$1, 'Bilateral assistance, MAIN DATA'!$I:$I,$A9)</f>
        <v>0</v>
      </c>
      <c r="AO9" s="33">
        <f>SUMIFS('Bilateral assistance, MAIN DATA'!$N:$N,'Bilateral assistance, MAIN DATA'!$B:$B,AO$1, 'Bilateral assistance, MAIN DATA'!$I:$I,$A9)</f>
        <v>0</v>
      </c>
      <c r="AP9" s="33">
        <f>SUMIFS('Bilateral assistance, MAIN DATA'!$N:$N,'Bilateral assistance, MAIN DATA'!$B:$B,AP$1, 'Bilateral assistance, MAIN DATA'!$I:$I,$A9)</f>
        <v>0</v>
      </c>
      <c r="AQ9" s="33">
        <f>SUMIFS('Bilateral assistance, MAIN DATA'!$N:$N,'Bilateral assistance, MAIN DATA'!$B:$B,AQ$1, 'Bilateral assistance, MAIN DATA'!$I:$I,$A9)</f>
        <v>0</v>
      </c>
      <c r="AR9" s="33">
        <f>SUMIFS('Bilateral assistance, MAIN DATA'!$N:$N,'Bilateral assistance, MAIN DATA'!$B:$B,AR$1, 'Bilateral assistance, MAIN DATA'!$I:$I,$A9)</f>
        <v>0</v>
      </c>
      <c r="AS9" s="33">
        <f>SUMIFS('Bilateral assistance, MAIN DATA'!$N:$N,'Bilateral assistance, MAIN DATA'!$B:$B,AS$1, 'Bilateral assistance, MAIN DATA'!$I:$I,$A9)</f>
        <v>100</v>
      </c>
    </row>
    <row r="10" spans="1:45">
      <c r="A10" s="33" t="s">
        <v>1330</v>
      </c>
      <c r="B10" s="33">
        <f t="shared" si="0"/>
        <v>80</v>
      </c>
      <c r="C10" s="33" t="s">
        <v>4141</v>
      </c>
      <c r="D10" s="33" t="s">
        <v>4143</v>
      </c>
      <c r="F10" s="33">
        <f>SUMIFS('Bilateral assistance, MAIN DATA'!$N:$N,'Bilateral assistance, MAIN DATA'!$B:$B,F$1, 'Bilateral assistance, MAIN DATA'!$I:$I,$A10)</f>
        <v>0</v>
      </c>
      <c r="G10" s="33">
        <f>SUMIFS('Bilateral assistance, MAIN DATA'!$N:$N,'Bilateral assistance, MAIN DATA'!$B:$B,G$1, 'Bilateral assistance, MAIN DATA'!$I:$I,$A10)</f>
        <v>0</v>
      </c>
      <c r="H10" s="33">
        <f>SUMIFS('Bilateral assistance, MAIN DATA'!$N:$N,'Bilateral assistance, MAIN DATA'!$B:$B,H$1, 'Bilateral assistance, MAIN DATA'!$I:$I,$A10)</f>
        <v>0</v>
      </c>
      <c r="I10" s="33">
        <f>SUMIFS('Bilateral assistance, MAIN DATA'!$N:$N,'Bilateral assistance, MAIN DATA'!$B:$B,I$1, 'Bilateral assistance, MAIN DATA'!$I:$I,$A10)</f>
        <v>0</v>
      </c>
      <c r="J10" s="33">
        <f>SUMIFS('Bilateral assistance, MAIN DATA'!$N:$N,'Bilateral assistance, MAIN DATA'!$B:$B,J$1, 'Bilateral assistance, MAIN DATA'!$I:$I,$A10)</f>
        <v>0</v>
      </c>
      <c r="K10" s="33">
        <f>SUMIFS('Bilateral assistance, MAIN DATA'!$N:$N,'Bilateral assistance, MAIN DATA'!$B:$B,K$1, 'Bilateral assistance, MAIN DATA'!$I:$I,$A10)</f>
        <v>0</v>
      </c>
      <c r="L10" s="33">
        <f>SUMIFS('Bilateral assistance, MAIN DATA'!$N:$N,'Bilateral assistance, MAIN DATA'!$B:$B,L$1, 'Bilateral assistance, MAIN DATA'!$I:$I,$A10)</f>
        <v>0</v>
      </c>
      <c r="M10" s="33">
        <f>SUMIFS('Bilateral assistance, MAIN DATA'!$N:$N,'Bilateral assistance, MAIN DATA'!$B:$B,M$1, 'Bilateral assistance, MAIN DATA'!$I:$I,$A10)</f>
        <v>0</v>
      </c>
      <c r="N10" s="33">
        <f>SUMIFS('Bilateral assistance, MAIN DATA'!$N:$N,'Bilateral assistance, MAIN DATA'!$B:$B,N$1, 'Bilateral assistance, MAIN DATA'!$I:$I,$A10)</f>
        <v>0</v>
      </c>
      <c r="O10" s="33">
        <f>SUMIFS('Bilateral assistance, MAIN DATA'!$N:$N,'Bilateral assistance, MAIN DATA'!$B:$B,O$1, 'Bilateral assistance, MAIN DATA'!$I:$I,$A10)</f>
        <v>0</v>
      </c>
      <c r="P10" s="33">
        <f>SUMIFS('Bilateral assistance, MAIN DATA'!$N:$N,'Bilateral assistance, MAIN DATA'!$B:$B,P$1, 'Bilateral assistance, MAIN DATA'!$I:$I,$A10)</f>
        <v>0</v>
      </c>
      <c r="Q10" s="33">
        <f>SUMIFS('Bilateral assistance, MAIN DATA'!$N:$N,'Bilateral assistance, MAIN DATA'!$B:$B,Q$1, 'Bilateral assistance, MAIN DATA'!$I:$I,$A10)</f>
        <v>0</v>
      </c>
      <c r="R10" s="33">
        <f>SUMIFS('Bilateral assistance, MAIN DATA'!$N:$N,'Bilateral assistance, MAIN DATA'!$B:$B,R$1, 'Bilateral assistance, MAIN DATA'!$I:$I,$A10)</f>
        <v>0</v>
      </c>
      <c r="S10" s="33">
        <f>SUMIFS('Bilateral assistance, MAIN DATA'!$N:$N,'Bilateral assistance, MAIN DATA'!$B:$B,S$1, 'Bilateral assistance, MAIN DATA'!$I:$I,$A10)</f>
        <v>0</v>
      </c>
      <c r="T10" s="33">
        <f>SUMIFS('Bilateral assistance, MAIN DATA'!$N:$N,'Bilateral assistance, MAIN DATA'!$B:$B,T$1, 'Bilateral assistance, MAIN DATA'!$I:$I,$A10)</f>
        <v>0</v>
      </c>
      <c r="U10" s="33">
        <f>SUMIFS('Bilateral assistance, MAIN DATA'!$N:$N,'Bilateral assistance, MAIN DATA'!$B:$B,U$1, 'Bilateral assistance, MAIN DATA'!$I:$I,$A10)</f>
        <v>0</v>
      </c>
      <c r="V10" s="33">
        <f>SUMIFS('Bilateral assistance, MAIN DATA'!$N:$N,'Bilateral assistance, MAIN DATA'!$B:$B,V$1, 'Bilateral assistance, MAIN DATA'!$I:$I,$A10)</f>
        <v>40</v>
      </c>
      <c r="W10" s="33">
        <f>SUMIFS('Bilateral assistance, MAIN DATA'!$N:$N,'Bilateral assistance, MAIN DATA'!$B:$B,W$1, 'Bilateral assistance, MAIN DATA'!$I:$I,$A10)</f>
        <v>0</v>
      </c>
      <c r="X10" s="33">
        <f>SUMIFS('Bilateral assistance, MAIN DATA'!$N:$N,'Bilateral assistance, MAIN DATA'!$B:$B,X$1, 'Bilateral assistance, MAIN DATA'!$I:$I,$A10)</f>
        <v>0</v>
      </c>
      <c r="Y10" s="33">
        <f>SUMIFS('Bilateral assistance, MAIN DATA'!$N:$N,'Bilateral assistance, MAIN DATA'!$B:$B,Y$1, 'Bilateral assistance, MAIN DATA'!$I:$I,$A10)</f>
        <v>0</v>
      </c>
      <c r="Z10" s="33">
        <f>SUMIFS('Bilateral assistance, MAIN DATA'!$N:$N,'Bilateral assistance, MAIN DATA'!$B:$B,Z$1, 'Bilateral assistance, MAIN DATA'!$I:$I,$A10)</f>
        <v>0</v>
      </c>
      <c r="AA10" s="33">
        <f>SUMIFS('Bilateral assistance, MAIN DATA'!$N:$N,'Bilateral assistance, MAIN DATA'!$B:$B,AA$1, 'Bilateral assistance, MAIN DATA'!$I:$I,$A10)</f>
        <v>0</v>
      </c>
      <c r="AB10" s="33">
        <f>SUMIFS('Bilateral assistance, MAIN DATA'!$N:$N,'Bilateral assistance, MAIN DATA'!$B:$B,AB$1, 'Bilateral assistance, MAIN DATA'!$I:$I,$A10)</f>
        <v>0</v>
      </c>
      <c r="AC10" s="33">
        <f>SUMIFS('Bilateral assistance, MAIN DATA'!$N:$N,'Bilateral assistance, MAIN DATA'!$B:$B,AC$1, 'Bilateral assistance, MAIN DATA'!$I:$I,$A10)</f>
        <v>0</v>
      </c>
      <c r="AD10" s="33">
        <f>SUMIFS('Bilateral assistance, MAIN DATA'!$N:$N,'Bilateral assistance, MAIN DATA'!$B:$B,AD$1, 'Bilateral assistance, MAIN DATA'!$I:$I,$A10)</f>
        <v>0</v>
      </c>
      <c r="AE10" s="33">
        <f>SUMIFS('Bilateral assistance, MAIN DATA'!$N:$N,'Bilateral assistance, MAIN DATA'!$B:$B,AE$1, 'Bilateral assistance, MAIN DATA'!$I:$I,$A10)</f>
        <v>0</v>
      </c>
      <c r="AF10" s="33">
        <f>SUMIFS('Bilateral assistance, MAIN DATA'!$N:$N,'Bilateral assistance, MAIN DATA'!$B:$B,AF$1, 'Bilateral assistance, MAIN DATA'!$I:$I,$A10)</f>
        <v>0</v>
      </c>
      <c r="AG10" s="33">
        <f>SUMIFS('Bilateral assistance, MAIN DATA'!$N:$N,'Bilateral assistance, MAIN DATA'!$B:$B,AG$1, 'Bilateral assistance, MAIN DATA'!$I:$I,$A10)</f>
        <v>0</v>
      </c>
      <c r="AH10" s="33">
        <f>SUMIFS('Bilateral assistance, MAIN DATA'!$N:$N,'Bilateral assistance, MAIN DATA'!$B:$B,AH$1, 'Bilateral assistance, MAIN DATA'!$I:$I,$A10)</f>
        <v>40</v>
      </c>
      <c r="AI10" s="33">
        <f>SUMIFS('Bilateral assistance, MAIN DATA'!$N:$N,'Bilateral assistance, MAIN DATA'!$B:$B,AI$1, 'Bilateral assistance, MAIN DATA'!$I:$I,$A10)</f>
        <v>0</v>
      </c>
      <c r="AJ10" s="33">
        <f>SUMIFS('Bilateral assistance, MAIN DATA'!$N:$N,'Bilateral assistance, MAIN DATA'!$B:$B,AJ$1, 'Bilateral assistance, MAIN DATA'!$I:$I,$A10)</f>
        <v>0</v>
      </c>
      <c r="AK10" s="33">
        <f>SUMIFS('Bilateral assistance, MAIN DATA'!$N:$N,'Bilateral assistance, MAIN DATA'!$B:$B,AK$1, 'Bilateral assistance, MAIN DATA'!$I:$I,$A10)</f>
        <v>0</v>
      </c>
      <c r="AL10" s="33">
        <f>SUMIFS('Bilateral assistance, MAIN DATA'!$N:$N,'Bilateral assistance, MAIN DATA'!$B:$B,AL$1, 'Bilateral assistance, MAIN DATA'!$I:$I,$A10)</f>
        <v>0</v>
      </c>
      <c r="AM10" s="33">
        <f>SUMIFS('Bilateral assistance, MAIN DATA'!$N:$N,'Bilateral assistance, MAIN DATA'!$B:$B,AM$1, 'Bilateral assistance, MAIN DATA'!$I:$I,$A10)</f>
        <v>0</v>
      </c>
      <c r="AN10" s="33">
        <f>SUMIFS('Bilateral assistance, MAIN DATA'!$N:$N,'Bilateral assistance, MAIN DATA'!$B:$B,AN$1, 'Bilateral assistance, MAIN DATA'!$I:$I,$A10)</f>
        <v>0</v>
      </c>
      <c r="AO10" s="33">
        <f>SUMIFS('Bilateral assistance, MAIN DATA'!$N:$N,'Bilateral assistance, MAIN DATA'!$B:$B,AO$1, 'Bilateral assistance, MAIN DATA'!$I:$I,$A10)</f>
        <v>0</v>
      </c>
      <c r="AP10" s="33">
        <f>SUMIFS('Bilateral assistance, MAIN DATA'!$N:$N,'Bilateral assistance, MAIN DATA'!$B:$B,AP$1, 'Bilateral assistance, MAIN DATA'!$I:$I,$A10)</f>
        <v>0</v>
      </c>
      <c r="AQ10" s="33">
        <f>SUMIFS('Bilateral assistance, MAIN DATA'!$N:$N,'Bilateral assistance, MAIN DATA'!$B:$B,AQ$1, 'Bilateral assistance, MAIN DATA'!$I:$I,$A10)</f>
        <v>0</v>
      </c>
      <c r="AR10" s="33">
        <f>SUMIFS('Bilateral assistance, MAIN DATA'!$N:$N,'Bilateral assistance, MAIN DATA'!$B:$B,AR$1, 'Bilateral assistance, MAIN DATA'!$I:$I,$A10)</f>
        <v>0</v>
      </c>
      <c r="AS10" s="33">
        <f>SUMIFS('Bilateral assistance, MAIN DATA'!$N:$N,'Bilateral assistance, MAIN DATA'!$B:$B,AS$1, 'Bilateral assistance, MAIN DATA'!$I:$I,$A10)</f>
        <v>0</v>
      </c>
    </row>
    <row r="11" spans="1:45">
      <c r="A11" s="33" t="s">
        <v>571</v>
      </c>
      <c r="B11" s="33">
        <f t="shared" si="0"/>
        <v>0</v>
      </c>
      <c r="C11" s="645" t="s">
        <v>4141</v>
      </c>
      <c r="D11" s="33" t="s">
        <v>4142</v>
      </c>
      <c r="F11" s="33">
        <f>SUMIFS('Bilateral assistance, MAIN DATA'!$N:$N,'Bilateral assistance, MAIN DATA'!$B:$B,F$1, 'Bilateral assistance, MAIN DATA'!$I:$I,$A11)</f>
        <v>0</v>
      </c>
      <c r="G11" s="33">
        <f>SUMIFS('Bilateral assistance, MAIN DATA'!$N:$N,'Bilateral assistance, MAIN DATA'!$B:$B,G$1, 'Bilateral assistance, MAIN DATA'!$I:$I,$A11)</f>
        <v>0</v>
      </c>
      <c r="H11" s="33">
        <f>SUMIFS('Bilateral assistance, MAIN DATA'!$N:$N,'Bilateral assistance, MAIN DATA'!$B:$B,H$1, 'Bilateral assistance, MAIN DATA'!$I:$I,$A11)</f>
        <v>0</v>
      </c>
      <c r="I11" s="33">
        <f>SUMIFS('Bilateral assistance, MAIN DATA'!$N:$N,'Bilateral assistance, MAIN DATA'!$B:$B,I$1, 'Bilateral assistance, MAIN DATA'!$I:$I,$A11)</f>
        <v>0</v>
      </c>
      <c r="J11" s="33">
        <f>SUMIFS('Bilateral assistance, MAIN DATA'!$N:$N,'Bilateral assistance, MAIN DATA'!$B:$B,J$1, 'Bilateral assistance, MAIN DATA'!$I:$I,$A11)</f>
        <v>0</v>
      </c>
      <c r="K11" s="33">
        <f>SUMIFS('Bilateral assistance, MAIN DATA'!$N:$N,'Bilateral assistance, MAIN DATA'!$B:$B,K$1, 'Bilateral assistance, MAIN DATA'!$I:$I,$A11)</f>
        <v>0</v>
      </c>
      <c r="L11" s="33">
        <f>SUMIFS('Bilateral assistance, MAIN DATA'!$N:$N,'Bilateral assistance, MAIN DATA'!$B:$B,L$1, 'Bilateral assistance, MAIN DATA'!$I:$I,$A11)</f>
        <v>0</v>
      </c>
      <c r="M11" s="33">
        <f>SUMIFS('Bilateral assistance, MAIN DATA'!$N:$N,'Bilateral assistance, MAIN DATA'!$B:$B,M$1, 'Bilateral assistance, MAIN DATA'!$I:$I,$A11)</f>
        <v>0</v>
      </c>
      <c r="N11" s="33">
        <f>SUMIFS('Bilateral assistance, MAIN DATA'!$N:$N,'Bilateral assistance, MAIN DATA'!$B:$B,N$1, 'Bilateral assistance, MAIN DATA'!$I:$I,$A11)</f>
        <v>0</v>
      </c>
      <c r="O11" s="33">
        <f>SUMIFS('Bilateral assistance, MAIN DATA'!$N:$N,'Bilateral assistance, MAIN DATA'!$B:$B,O$1, 'Bilateral assistance, MAIN DATA'!$I:$I,$A11)</f>
        <v>0</v>
      </c>
      <c r="P11" s="33">
        <f>SUMIFS('Bilateral assistance, MAIN DATA'!$N:$N,'Bilateral assistance, MAIN DATA'!$B:$B,P$1, 'Bilateral assistance, MAIN DATA'!$I:$I,$A11)</f>
        <v>0</v>
      </c>
      <c r="Q11" s="33">
        <f>SUMIFS('Bilateral assistance, MAIN DATA'!$N:$N,'Bilateral assistance, MAIN DATA'!$B:$B,Q$1, 'Bilateral assistance, MAIN DATA'!$I:$I,$A11)</f>
        <v>0</v>
      </c>
      <c r="R11" s="33">
        <f>SUMIFS('Bilateral assistance, MAIN DATA'!$N:$N,'Bilateral assistance, MAIN DATA'!$B:$B,R$1, 'Bilateral assistance, MAIN DATA'!$I:$I,$A11)</f>
        <v>0</v>
      </c>
      <c r="S11" s="33">
        <f>SUMIFS('Bilateral assistance, MAIN DATA'!$N:$N,'Bilateral assistance, MAIN DATA'!$B:$B,S$1, 'Bilateral assistance, MAIN DATA'!$I:$I,$A11)</f>
        <v>0</v>
      </c>
      <c r="T11" s="33">
        <f>SUMIFS('Bilateral assistance, MAIN DATA'!$N:$N,'Bilateral assistance, MAIN DATA'!$B:$B,T$1, 'Bilateral assistance, MAIN DATA'!$I:$I,$A11)</f>
        <v>0</v>
      </c>
      <c r="U11" s="33">
        <f>SUMIFS('Bilateral assistance, MAIN DATA'!$N:$N,'Bilateral assistance, MAIN DATA'!$B:$B,U$1, 'Bilateral assistance, MAIN DATA'!$I:$I,$A11)</f>
        <v>0</v>
      </c>
      <c r="V11" s="33">
        <f>SUMIFS('Bilateral assistance, MAIN DATA'!$N:$N,'Bilateral assistance, MAIN DATA'!$B:$B,V$1, 'Bilateral assistance, MAIN DATA'!$I:$I,$A11)</f>
        <v>0</v>
      </c>
      <c r="W11" s="33">
        <f>SUMIFS('Bilateral assistance, MAIN DATA'!$N:$N,'Bilateral assistance, MAIN DATA'!$B:$B,W$1, 'Bilateral assistance, MAIN DATA'!$I:$I,$A11)</f>
        <v>0</v>
      </c>
      <c r="X11" s="33">
        <f>SUMIFS('Bilateral assistance, MAIN DATA'!$N:$N,'Bilateral assistance, MAIN DATA'!$B:$B,X$1, 'Bilateral assistance, MAIN DATA'!$I:$I,$A11)</f>
        <v>0</v>
      </c>
      <c r="Y11" s="33">
        <f>SUMIFS('Bilateral assistance, MAIN DATA'!$N:$N,'Bilateral assistance, MAIN DATA'!$B:$B,Y$1, 'Bilateral assistance, MAIN DATA'!$I:$I,$A11)</f>
        <v>0</v>
      </c>
      <c r="Z11" s="33">
        <f>SUMIFS('Bilateral assistance, MAIN DATA'!$N:$N,'Bilateral assistance, MAIN DATA'!$B:$B,Z$1, 'Bilateral assistance, MAIN DATA'!$I:$I,$A11)</f>
        <v>0</v>
      </c>
      <c r="AA11" s="33">
        <f>SUMIFS('Bilateral assistance, MAIN DATA'!$N:$N,'Bilateral assistance, MAIN DATA'!$B:$B,AA$1, 'Bilateral assistance, MAIN DATA'!$I:$I,$A11)</f>
        <v>0</v>
      </c>
      <c r="AB11" s="33">
        <f>SUMIFS('Bilateral assistance, MAIN DATA'!$N:$N,'Bilateral assistance, MAIN DATA'!$B:$B,AB$1, 'Bilateral assistance, MAIN DATA'!$I:$I,$A11)</f>
        <v>0</v>
      </c>
      <c r="AC11" s="33">
        <f>SUMIFS('Bilateral assistance, MAIN DATA'!$N:$N,'Bilateral assistance, MAIN DATA'!$B:$B,AC$1, 'Bilateral assistance, MAIN DATA'!$I:$I,$A11)</f>
        <v>0</v>
      </c>
      <c r="AD11" s="33">
        <f>SUMIFS('Bilateral assistance, MAIN DATA'!$N:$N,'Bilateral assistance, MAIN DATA'!$B:$B,AD$1, 'Bilateral assistance, MAIN DATA'!$I:$I,$A11)</f>
        <v>0</v>
      </c>
      <c r="AE11" s="33">
        <f>SUMIFS('Bilateral assistance, MAIN DATA'!$N:$N,'Bilateral assistance, MAIN DATA'!$B:$B,AE$1, 'Bilateral assistance, MAIN DATA'!$I:$I,$A11)</f>
        <v>0</v>
      </c>
      <c r="AF11" s="33">
        <f>SUMIFS('Bilateral assistance, MAIN DATA'!$N:$N,'Bilateral assistance, MAIN DATA'!$B:$B,AF$1, 'Bilateral assistance, MAIN DATA'!$I:$I,$A11)</f>
        <v>0</v>
      </c>
      <c r="AG11" s="33">
        <f>SUMIFS('Bilateral assistance, MAIN DATA'!$N:$N,'Bilateral assistance, MAIN DATA'!$B:$B,AG$1, 'Bilateral assistance, MAIN DATA'!$I:$I,$A11)</f>
        <v>0</v>
      </c>
      <c r="AH11" s="33">
        <f>SUMIFS('Bilateral assistance, MAIN DATA'!$N:$N,'Bilateral assistance, MAIN DATA'!$B:$B,AH$1, 'Bilateral assistance, MAIN DATA'!$I:$I,$A11)</f>
        <v>0</v>
      </c>
      <c r="AI11" s="33">
        <f>SUMIFS('Bilateral assistance, MAIN DATA'!$N:$N,'Bilateral assistance, MAIN DATA'!$B:$B,AI$1, 'Bilateral assistance, MAIN DATA'!$I:$I,$A11)</f>
        <v>0</v>
      </c>
      <c r="AJ11" s="33">
        <f>SUMIFS('Bilateral assistance, MAIN DATA'!$N:$N,'Bilateral assistance, MAIN DATA'!$B:$B,AJ$1, 'Bilateral assistance, MAIN DATA'!$I:$I,$A11)</f>
        <v>0</v>
      </c>
      <c r="AK11" s="33">
        <f>SUMIFS('Bilateral assistance, MAIN DATA'!$N:$N,'Bilateral assistance, MAIN DATA'!$B:$B,AK$1, 'Bilateral assistance, MAIN DATA'!$I:$I,$A11)</f>
        <v>0</v>
      </c>
      <c r="AL11" s="33">
        <f>SUMIFS('Bilateral assistance, MAIN DATA'!$N:$N,'Bilateral assistance, MAIN DATA'!$B:$B,AL$1, 'Bilateral assistance, MAIN DATA'!$I:$I,$A11)</f>
        <v>0</v>
      </c>
      <c r="AM11" s="33">
        <f>SUMIFS('Bilateral assistance, MAIN DATA'!$N:$N,'Bilateral assistance, MAIN DATA'!$B:$B,AM$1, 'Bilateral assistance, MAIN DATA'!$I:$I,$A11)</f>
        <v>0</v>
      </c>
      <c r="AN11" s="33">
        <f>SUMIFS('Bilateral assistance, MAIN DATA'!$N:$N,'Bilateral assistance, MAIN DATA'!$B:$B,AN$1, 'Bilateral assistance, MAIN DATA'!$I:$I,$A11)</f>
        <v>0</v>
      </c>
      <c r="AO11" s="33">
        <f>SUMIFS('Bilateral assistance, MAIN DATA'!$N:$N,'Bilateral assistance, MAIN DATA'!$B:$B,AO$1, 'Bilateral assistance, MAIN DATA'!$I:$I,$A11)</f>
        <v>0</v>
      </c>
      <c r="AP11" s="33">
        <f>SUMIFS('Bilateral assistance, MAIN DATA'!$N:$N,'Bilateral assistance, MAIN DATA'!$B:$B,AP$1, 'Bilateral assistance, MAIN DATA'!$I:$I,$A11)</f>
        <v>0</v>
      </c>
      <c r="AQ11" s="33">
        <f>SUMIFS('Bilateral assistance, MAIN DATA'!$N:$N,'Bilateral assistance, MAIN DATA'!$B:$B,AQ$1, 'Bilateral assistance, MAIN DATA'!$I:$I,$A11)</f>
        <v>0</v>
      </c>
      <c r="AR11" s="33">
        <f>SUMIFS('Bilateral assistance, MAIN DATA'!$N:$N,'Bilateral assistance, MAIN DATA'!$B:$B,AR$1, 'Bilateral assistance, MAIN DATA'!$I:$I,$A11)</f>
        <v>0</v>
      </c>
      <c r="AS11" s="33">
        <f>SUMIFS('Bilateral assistance, MAIN DATA'!$N:$N,'Bilateral assistance, MAIN DATA'!$B:$B,AS$1, 'Bilateral assistance, MAIN DATA'!$I:$I,$A11)</f>
        <v>0</v>
      </c>
    </row>
    <row r="12" spans="1:45">
      <c r="A12" s="33" t="s">
        <v>1595</v>
      </c>
      <c r="B12" s="33">
        <f t="shared" si="0"/>
        <v>0</v>
      </c>
      <c r="C12" s="645" t="s">
        <v>4141</v>
      </c>
      <c r="D12" s="33" t="s">
        <v>4142</v>
      </c>
      <c r="F12" s="33">
        <f>SUMIFS('Bilateral assistance, MAIN DATA'!$N:$N,'Bilateral assistance, MAIN DATA'!$B:$B,F$1, 'Bilateral assistance, MAIN DATA'!$I:$I,$A12)</f>
        <v>0</v>
      </c>
      <c r="G12" s="33">
        <f>SUMIFS('Bilateral assistance, MAIN DATA'!$N:$N,'Bilateral assistance, MAIN DATA'!$B:$B,G$1, 'Bilateral assistance, MAIN DATA'!$I:$I,$A12)</f>
        <v>0</v>
      </c>
      <c r="H12" s="33">
        <f>SUMIFS('Bilateral assistance, MAIN DATA'!$N:$N,'Bilateral assistance, MAIN DATA'!$B:$B,H$1, 'Bilateral assistance, MAIN DATA'!$I:$I,$A12)</f>
        <v>0</v>
      </c>
      <c r="I12" s="33">
        <f>SUMIFS('Bilateral assistance, MAIN DATA'!$N:$N,'Bilateral assistance, MAIN DATA'!$B:$B,I$1, 'Bilateral assistance, MAIN DATA'!$I:$I,$A12)</f>
        <v>0</v>
      </c>
      <c r="J12" s="33">
        <f>SUMIFS('Bilateral assistance, MAIN DATA'!$N:$N,'Bilateral assistance, MAIN DATA'!$B:$B,J$1, 'Bilateral assistance, MAIN DATA'!$I:$I,$A12)</f>
        <v>0</v>
      </c>
      <c r="K12" s="33">
        <f>SUMIFS('Bilateral assistance, MAIN DATA'!$N:$N,'Bilateral assistance, MAIN DATA'!$B:$B,K$1, 'Bilateral assistance, MAIN DATA'!$I:$I,$A12)</f>
        <v>0</v>
      </c>
      <c r="L12" s="33">
        <f>SUMIFS('Bilateral assistance, MAIN DATA'!$N:$N,'Bilateral assistance, MAIN DATA'!$B:$B,L$1, 'Bilateral assistance, MAIN DATA'!$I:$I,$A12)</f>
        <v>0</v>
      </c>
      <c r="M12" s="33">
        <f>SUMIFS('Bilateral assistance, MAIN DATA'!$N:$N,'Bilateral assistance, MAIN DATA'!$B:$B,M$1, 'Bilateral assistance, MAIN DATA'!$I:$I,$A12)</f>
        <v>0</v>
      </c>
      <c r="N12" s="33">
        <f>SUMIFS('Bilateral assistance, MAIN DATA'!$N:$N,'Bilateral assistance, MAIN DATA'!$B:$B,N$1, 'Bilateral assistance, MAIN DATA'!$I:$I,$A12)</f>
        <v>0</v>
      </c>
      <c r="O12" s="33">
        <f>SUMIFS('Bilateral assistance, MAIN DATA'!$N:$N,'Bilateral assistance, MAIN DATA'!$B:$B,O$1, 'Bilateral assistance, MAIN DATA'!$I:$I,$A12)</f>
        <v>0</v>
      </c>
      <c r="P12" s="33">
        <f>SUMIFS('Bilateral assistance, MAIN DATA'!$N:$N,'Bilateral assistance, MAIN DATA'!$B:$B,P$1, 'Bilateral assistance, MAIN DATA'!$I:$I,$A12)</f>
        <v>0</v>
      </c>
      <c r="Q12" s="33">
        <f>SUMIFS('Bilateral assistance, MAIN DATA'!$N:$N,'Bilateral assistance, MAIN DATA'!$B:$B,Q$1, 'Bilateral assistance, MAIN DATA'!$I:$I,$A12)</f>
        <v>0</v>
      </c>
      <c r="R12" s="33">
        <f>SUMIFS('Bilateral assistance, MAIN DATA'!$N:$N,'Bilateral assistance, MAIN DATA'!$B:$B,R$1, 'Bilateral assistance, MAIN DATA'!$I:$I,$A12)</f>
        <v>0</v>
      </c>
      <c r="S12" s="33">
        <f>SUMIFS('Bilateral assistance, MAIN DATA'!$N:$N,'Bilateral assistance, MAIN DATA'!$B:$B,S$1, 'Bilateral assistance, MAIN DATA'!$I:$I,$A12)</f>
        <v>0</v>
      </c>
      <c r="T12" s="33">
        <f>SUMIFS('Bilateral assistance, MAIN DATA'!$N:$N,'Bilateral assistance, MAIN DATA'!$B:$B,T$1, 'Bilateral assistance, MAIN DATA'!$I:$I,$A12)</f>
        <v>0</v>
      </c>
      <c r="U12" s="33">
        <f>SUMIFS('Bilateral assistance, MAIN DATA'!$N:$N,'Bilateral assistance, MAIN DATA'!$B:$B,U$1, 'Bilateral assistance, MAIN DATA'!$I:$I,$A12)</f>
        <v>0</v>
      </c>
      <c r="V12" s="33">
        <f>SUMIFS('Bilateral assistance, MAIN DATA'!$N:$N,'Bilateral assistance, MAIN DATA'!$B:$B,V$1, 'Bilateral assistance, MAIN DATA'!$I:$I,$A12)</f>
        <v>0</v>
      </c>
      <c r="W12" s="33">
        <f>SUMIFS('Bilateral assistance, MAIN DATA'!$N:$N,'Bilateral assistance, MAIN DATA'!$B:$B,W$1, 'Bilateral assistance, MAIN DATA'!$I:$I,$A12)</f>
        <v>0</v>
      </c>
      <c r="X12" s="33">
        <f>SUMIFS('Bilateral assistance, MAIN DATA'!$N:$N,'Bilateral assistance, MAIN DATA'!$B:$B,X$1, 'Bilateral assistance, MAIN DATA'!$I:$I,$A12)</f>
        <v>0</v>
      </c>
      <c r="Y12" s="33">
        <f>SUMIFS('Bilateral assistance, MAIN DATA'!$N:$N,'Bilateral assistance, MAIN DATA'!$B:$B,Y$1, 'Bilateral assistance, MAIN DATA'!$I:$I,$A12)</f>
        <v>0</v>
      </c>
      <c r="Z12" s="33">
        <f>SUMIFS('Bilateral assistance, MAIN DATA'!$N:$N,'Bilateral assistance, MAIN DATA'!$B:$B,Z$1, 'Bilateral assistance, MAIN DATA'!$I:$I,$A12)</f>
        <v>0</v>
      </c>
      <c r="AA12" s="33">
        <f>SUMIFS('Bilateral assistance, MAIN DATA'!$N:$N,'Bilateral assistance, MAIN DATA'!$B:$B,AA$1, 'Bilateral assistance, MAIN DATA'!$I:$I,$A12)</f>
        <v>0</v>
      </c>
      <c r="AB12" s="33">
        <f>SUMIFS('Bilateral assistance, MAIN DATA'!$N:$N,'Bilateral assistance, MAIN DATA'!$B:$B,AB$1, 'Bilateral assistance, MAIN DATA'!$I:$I,$A12)</f>
        <v>0</v>
      </c>
      <c r="AC12" s="33">
        <f>SUMIFS('Bilateral assistance, MAIN DATA'!$N:$N,'Bilateral assistance, MAIN DATA'!$B:$B,AC$1, 'Bilateral assistance, MAIN DATA'!$I:$I,$A12)</f>
        <v>0</v>
      </c>
      <c r="AD12" s="33">
        <f>SUMIFS('Bilateral assistance, MAIN DATA'!$N:$N,'Bilateral assistance, MAIN DATA'!$B:$B,AD$1, 'Bilateral assistance, MAIN DATA'!$I:$I,$A12)</f>
        <v>0</v>
      </c>
      <c r="AE12" s="33">
        <f>SUMIFS('Bilateral assistance, MAIN DATA'!$N:$N,'Bilateral assistance, MAIN DATA'!$B:$B,AE$1, 'Bilateral assistance, MAIN DATA'!$I:$I,$A12)</f>
        <v>0</v>
      </c>
      <c r="AF12" s="33">
        <f>SUMIFS('Bilateral assistance, MAIN DATA'!$N:$N,'Bilateral assistance, MAIN DATA'!$B:$B,AF$1, 'Bilateral assistance, MAIN DATA'!$I:$I,$A12)</f>
        <v>0</v>
      </c>
      <c r="AG12" s="33">
        <f>SUMIFS('Bilateral assistance, MAIN DATA'!$N:$N,'Bilateral assistance, MAIN DATA'!$B:$B,AG$1, 'Bilateral assistance, MAIN DATA'!$I:$I,$A12)</f>
        <v>0</v>
      </c>
      <c r="AH12" s="33">
        <f>SUMIFS('Bilateral assistance, MAIN DATA'!$N:$N,'Bilateral assistance, MAIN DATA'!$B:$B,AH$1, 'Bilateral assistance, MAIN DATA'!$I:$I,$A12)</f>
        <v>0</v>
      </c>
      <c r="AI12" s="33">
        <f>SUMIFS('Bilateral assistance, MAIN DATA'!$N:$N,'Bilateral assistance, MAIN DATA'!$B:$B,AI$1, 'Bilateral assistance, MAIN DATA'!$I:$I,$A12)</f>
        <v>0</v>
      </c>
      <c r="AJ12" s="33">
        <f>SUMIFS('Bilateral assistance, MAIN DATA'!$N:$N,'Bilateral assistance, MAIN DATA'!$B:$B,AJ$1, 'Bilateral assistance, MAIN DATA'!$I:$I,$A12)</f>
        <v>0</v>
      </c>
      <c r="AK12" s="33">
        <f>SUMIFS('Bilateral assistance, MAIN DATA'!$N:$N,'Bilateral assistance, MAIN DATA'!$B:$B,AK$1, 'Bilateral assistance, MAIN DATA'!$I:$I,$A12)</f>
        <v>0</v>
      </c>
      <c r="AL12" s="33">
        <f>SUMIFS('Bilateral assistance, MAIN DATA'!$N:$N,'Bilateral assistance, MAIN DATA'!$B:$B,AL$1, 'Bilateral assistance, MAIN DATA'!$I:$I,$A12)</f>
        <v>0</v>
      </c>
      <c r="AM12" s="33">
        <f>SUMIFS('Bilateral assistance, MAIN DATA'!$N:$N,'Bilateral assistance, MAIN DATA'!$B:$B,AM$1, 'Bilateral assistance, MAIN DATA'!$I:$I,$A12)</f>
        <v>0</v>
      </c>
      <c r="AN12" s="33">
        <f>SUMIFS('Bilateral assistance, MAIN DATA'!$N:$N,'Bilateral assistance, MAIN DATA'!$B:$B,AN$1, 'Bilateral assistance, MAIN DATA'!$I:$I,$A12)</f>
        <v>0</v>
      </c>
      <c r="AO12" s="33">
        <f>SUMIFS('Bilateral assistance, MAIN DATA'!$N:$N,'Bilateral assistance, MAIN DATA'!$B:$B,AO$1, 'Bilateral assistance, MAIN DATA'!$I:$I,$A12)</f>
        <v>0</v>
      </c>
      <c r="AP12" s="33">
        <f>SUMIFS('Bilateral assistance, MAIN DATA'!$N:$N,'Bilateral assistance, MAIN DATA'!$B:$B,AP$1, 'Bilateral assistance, MAIN DATA'!$I:$I,$A12)</f>
        <v>0</v>
      </c>
      <c r="AQ12" s="33">
        <f>SUMIFS('Bilateral assistance, MAIN DATA'!$N:$N,'Bilateral assistance, MAIN DATA'!$B:$B,AQ$1, 'Bilateral assistance, MAIN DATA'!$I:$I,$A12)</f>
        <v>0</v>
      </c>
      <c r="AR12" s="33">
        <f>SUMIFS('Bilateral assistance, MAIN DATA'!$N:$N,'Bilateral assistance, MAIN DATA'!$B:$B,AR$1, 'Bilateral assistance, MAIN DATA'!$I:$I,$A12)</f>
        <v>0</v>
      </c>
      <c r="AS12" s="33">
        <f>SUMIFS('Bilateral assistance, MAIN DATA'!$N:$N,'Bilateral assistance, MAIN DATA'!$B:$B,AS$1, 'Bilateral assistance, MAIN DATA'!$I:$I,$A12)</f>
        <v>0</v>
      </c>
    </row>
    <row r="13" spans="1:45">
      <c r="A13" s="33" t="s">
        <v>4146</v>
      </c>
      <c r="B13" s="33">
        <f t="shared" si="0"/>
        <v>0</v>
      </c>
      <c r="C13" s="645" t="s">
        <v>4141</v>
      </c>
      <c r="D13" s="33" t="s">
        <v>4147</v>
      </c>
      <c r="F13" s="33">
        <f>SUMIFS('Bilateral assistance, MAIN DATA'!$N:$N,'Bilateral assistance, MAIN DATA'!$B:$B,F$1, 'Bilateral assistance, MAIN DATA'!$I:$I,$A13)</f>
        <v>0</v>
      </c>
      <c r="G13" s="33">
        <f>SUMIFS('Bilateral assistance, MAIN DATA'!$N:$N,'Bilateral assistance, MAIN DATA'!$B:$B,G$1, 'Bilateral assistance, MAIN DATA'!$I:$I,$A13)</f>
        <v>0</v>
      </c>
      <c r="H13" s="33">
        <f>SUMIFS('Bilateral assistance, MAIN DATA'!$N:$N,'Bilateral assistance, MAIN DATA'!$B:$B,H$1, 'Bilateral assistance, MAIN DATA'!$I:$I,$A13)</f>
        <v>0</v>
      </c>
      <c r="I13" s="33">
        <f>SUMIFS('Bilateral assistance, MAIN DATA'!$N:$N,'Bilateral assistance, MAIN DATA'!$B:$B,I$1, 'Bilateral assistance, MAIN DATA'!$I:$I,$A13)</f>
        <v>0</v>
      </c>
      <c r="J13" s="33">
        <f>SUMIFS('Bilateral assistance, MAIN DATA'!$N:$N,'Bilateral assistance, MAIN DATA'!$B:$B,J$1, 'Bilateral assistance, MAIN DATA'!$I:$I,$A13)</f>
        <v>0</v>
      </c>
      <c r="K13" s="33">
        <f>SUMIFS('Bilateral assistance, MAIN DATA'!$N:$N,'Bilateral assistance, MAIN DATA'!$B:$B,K$1, 'Bilateral assistance, MAIN DATA'!$I:$I,$A13)</f>
        <v>0</v>
      </c>
      <c r="L13" s="33">
        <f>SUMIFS('Bilateral assistance, MAIN DATA'!$N:$N,'Bilateral assistance, MAIN DATA'!$B:$B,L$1, 'Bilateral assistance, MAIN DATA'!$I:$I,$A13)</f>
        <v>0</v>
      </c>
      <c r="M13" s="33">
        <f>SUMIFS('Bilateral assistance, MAIN DATA'!$N:$N,'Bilateral assistance, MAIN DATA'!$B:$B,M$1, 'Bilateral assistance, MAIN DATA'!$I:$I,$A13)</f>
        <v>0</v>
      </c>
      <c r="N13" s="33">
        <f>SUMIFS('Bilateral assistance, MAIN DATA'!$N:$N,'Bilateral assistance, MAIN DATA'!$B:$B,N$1, 'Bilateral assistance, MAIN DATA'!$I:$I,$A13)</f>
        <v>0</v>
      </c>
      <c r="O13" s="33">
        <f>SUMIFS('Bilateral assistance, MAIN DATA'!$N:$N,'Bilateral assistance, MAIN DATA'!$B:$B,O$1, 'Bilateral assistance, MAIN DATA'!$I:$I,$A13)</f>
        <v>0</v>
      </c>
      <c r="P13" s="33">
        <f>SUMIFS('Bilateral assistance, MAIN DATA'!$N:$N,'Bilateral assistance, MAIN DATA'!$B:$B,P$1, 'Bilateral assistance, MAIN DATA'!$I:$I,$A13)</f>
        <v>0</v>
      </c>
      <c r="Q13" s="33">
        <f>SUMIFS('Bilateral assistance, MAIN DATA'!$N:$N,'Bilateral assistance, MAIN DATA'!$B:$B,Q$1, 'Bilateral assistance, MAIN DATA'!$I:$I,$A13)</f>
        <v>0</v>
      </c>
      <c r="R13" s="33">
        <f>SUMIFS('Bilateral assistance, MAIN DATA'!$N:$N,'Bilateral assistance, MAIN DATA'!$B:$B,R$1, 'Bilateral assistance, MAIN DATA'!$I:$I,$A13)</f>
        <v>0</v>
      </c>
      <c r="S13" s="33">
        <f>SUMIFS('Bilateral assistance, MAIN DATA'!$N:$N,'Bilateral assistance, MAIN DATA'!$B:$B,S$1, 'Bilateral assistance, MAIN DATA'!$I:$I,$A13)</f>
        <v>0</v>
      </c>
      <c r="T13" s="33">
        <f>SUMIFS('Bilateral assistance, MAIN DATA'!$N:$N,'Bilateral assistance, MAIN DATA'!$B:$B,T$1, 'Bilateral assistance, MAIN DATA'!$I:$I,$A13)</f>
        <v>0</v>
      </c>
      <c r="U13" s="33">
        <f>SUMIFS('Bilateral assistance, MAIN DATA'!$N:$N,'Bilateral assistance, MAIN DATA'!$B:$B,U$1, 'Bilateral assistance, MAIN DATA'!$I:$I,$A13)</f>
        <v>0</v>
      </c>
      <c r="V13" s="33">
        <f>SUMIFS('Bilateral assistance, MAIN DATA'!$N:$N,'Bilateral assistance, MAIN DATA'!$B:$B,V$1, 'Bilateral assistance, MAIN DATA'!$I:$I,$A13)</f>
        <v>0</v>
      </c>
      <c r="W13" s="33">
        <f>SUMIFS('Bilateral assistance, MAIN DATA'!$N:$N,'Bilateral assistance, MAIN DATA'!$B:$B,W$1, 'Bilateral assistance, MAIN DATA'!$I:$I,$A13)</f>
        <v>0</v>
      </c>
      <c r="X13" s="33">
        <f>SUMIFS('Bilateral assistance, MAIN DATA'!$N:$N,'Bilateral assistance, MAIN DATA'!$B:$B,X$1, 'Bilateral assistance, MAIN DATA'!$I:$I,$A13)</f>
        <v>0</v>
      </c>
      <c r="Y13" s="33">
        <f>SUMIFS('Bilateral assistance, MAIN DATA'!$N:$N,'Bilateral assistance, MAIN DATA'!$B:$B,Y$1, 'Bilateral assistance, MAIN DATA'!$I:$I,$A13)</f>
        <v>0</v>
      </c>
      <c r="Z13" s="33">
        <f>SUMIFS('Bilateral assistance, MAIN DATA'!$N:$N,'Bilateral assistance, MAIN DATA'!$B:$B,Z$1, 'Bilateral assistance, MAIN DATA'!$I:$I,$A13)</f>
        <v>0</v>
      </c>
      <c r="AA13" s="33">
        <f>SUMIFS('Bilateral assistance, MAIN DATA'!$N:$N,'Bilateral assistance, MAIN DATA'!$B:$B,AA$1, 'Bilateral assistance, MAIN DATA'!$I:$I,$A13)</f>
        <v>0</v>
      </c>
      <c r="AB13" s="33">
        <f>SUMIFS('Bilateral assistance, MAIN DATA'!$N:$N,'Bilateral assistance, MAIN DATA'!$B:$B,AB$1, 'Bilateral assistance, MAIN DATA'!$I:$I,$A13)</f>
        <v>0</v>
      </c>
      <c r="AC13" s="33">
        <f>SUMIFS('Bilateral assistance, MAIN DATA'!$N:$N,'Bilateral assistance, MAIN DATA'!$B:$B,AC$1, 'Bilateral assistance, MAIN DATA'!$I:$I,$A13)</f>
        <v>0</v>
      </c>
      <c r="AD13" s="33">
        <f>SUMIFS('Bilateral assistance, MAIN DATA'!$N:$N,'Bilateral assistance, MAIN DATA'!$B:$B,AD$1, 'Bilateral assistance, MAIN DATA'!$I:$I,$A13)</f>
        <v>0</v>
      </c>
      <c r="AE13" s="33">
        <f>SUMIFS('Bilateral assistance, MAIN DATA'!$N:$N,'Bilateral assistance, MAIN DATA'!$B:$B,AE$1, 'Bilateral assistance, MAIN DATA'!$I:$I,$A13)</f>
        <v>0</v>
      </c>
      <c r="AF13" s="33">
        <f>SUMIFS('Bilateral assistance, MAIN DATA'!$N:$N,'Bilateral assistance, MAIN DATA'!$B:$B,AF$1, 'Bilateral assistance, MAIN DATA'!$I:$I,$A13)</f>
        <v>0</v>
      </c>
      <c r="AG13" s="33">
        <f>SUMIFS('Bilateral assistance, MAIN DATA'!$N:$N,'Bilateral assistance, MAIN DATA'!$B:$B,AG$1, 'Bilateral assistance, MAIN DATA'!$I:$I,$A13)</f>
        <v>0</v>
      </c>
      <c r="AH13" s="33">
        <f>SUMIFS('Bilateral assistance, MAIN DATA'!$N:$N,'Bilateral assistance, MAIN DATA'!$B:$B,AH$1, 'Bilateral assistance, MAIN DATA'!$I:$I,$A13)</f>
        <v>0</v>
      </c>
      <c r="AI13" s="33">
        <f>SUMIFS('Bilateral assistance, MAIN DATA'!$N:$N,'Bilateral assistance, MAIN DATA'!$B:$B,AI$1, 'Bilateral assistance, MAIN DATA'!$I:$I,$A13)</f>
        <v>0</v>
      </c>
      <c r="AJ13" s="33">
        <f>SUMIFS('Bilateral assistance, MAIN DATA'!$N:$N,'Bilateral assistance, MAIN DATA'!$B:$B,AJ$1, 'Bilateral assistance, MAIN DATA'!$I:$I,$A13)</f>
        <v>0</v>
      </c>
      <c r="AK13" s="33">
        <f>SUMIFS('Bilateral assistance, MAIN DATA'!$N:$N,'Bilateral assistance, MAIN DATA'!$B:$B,AK$1, 'Bilateral assistance, MAIN DATA'!$I:$I,$A13)</f>
        <v>0</v>
      </c>
      <c r="AL13" s="33">
        <f>SUMIFS('Bilateral assistance, MAIN DATA'!$N:$N,'Bilateral assistance, MAIN DATA'!$B:$B,AL$1, 'Bilateral assistance, MAIN DATA'!$I:$I,$A13)</f>
        <v>0</v>
      </c>
      <c r="AM13" s="33">
        <f>SUMIFS('Bilateral assistance, MAIN DATA'!$N:$N,'Bilateral assistance, MAIN DATA'!$B:$B,AM$1, 'Bilateral assistance, MAIN DATA'!$I:$I,$A13)</f>
        <v>0</v>
      </c>
      <c r="AN13" s="33">
        <f>SUMIFS('Bilateral assistance, MAIN DATA'!$N:$N,'Bilateral assistance, MAIN DATA'!$B:$B,AN$1, 'Bilateral assistance, MAIN DATA'!$I:$I,$A13)</f>
        <v>0</v>
      </c>
      <c r="AO13" s="33">
        <f>SUMIFS('Bilateral assistance, MAIN DATA'!$N:$N,'Bilateral assistance, MAIN DATA'!$B:$B,AO$1, 'Bilateral assistance, MAIN DATA'!$I:$I,$A13)</f>
        <v>0</v>
      </c>
      <c r="AP13" s="33">
        <f>SUMIFS('Bilateral assistance, MAIN DATA'!$N:$N,'Bilateral assistance, MAIN DATA'!$B:$B,AP$1, 'Bilateral assistance, MAIN DATA'!$I:$I,$A13)</f>
        <v>0</v>
      </c>
      <c r="AQ13" s="33">
        <f>SUMIFS('Bilateral assistance, MAIN DATA'!$N:$N,'Bilateral assistance, MAIN DATA'!$B:$B,AQ$1, 'Bilateral assistance, MAIN DATA'!$I:$I,$A13)</f>
        <v>0</v>
      </c>
      <c r="AR13" s="33">
        <f>SUMIFS('Bilateral assistance, MAIN DATA'!$N:$N,'Bilateral assistance, MAIN DATA'!$B:$B,AR$1, 'Bilateral assistance, MAIN DATA'!$I:$I,$A13)</f>
        <v>0</v>
      </c>
      <c r="AS13" s="33">
        <f>SUMIFS('Bilateral assistance, MAIN DATA'!$N:$N,'Bilateral assistance, MAIN DATA'!$B:$B,AS$1, 'Bilateral assistance, MAIN DATA'!$I:$I,$A13)</f>
        <v>0</v>
      </c>
    </row>
    <row r="14" spans="1:45">
      <c r="A14" s="33" t="s">
        <v>2148</v>
      </c>
      <c r="B14" s="33">
        <f t="shared" si="0"/>
        <v>35</v>
      </c>
      <c r="C14" s="645" t="s">
        <v>4141</v>
      </c>
      <c r="D14" s="33" t="s">
        <v>4143</v>
      </c>
      <c r="F14" s="33">
        <f>SUMIFS('Bilateral assistance, MAIN DATA'!$N:$N,'Bilateral assistance, MAIN DATA'!$B:$B,F$1, 'Bilateral assistance, MAIN DATA'!$I:$I,$A14)</f>
        <v>0</v>
      </c>
      <c r="G14" s="33">
        <f>SUMIFS('Bilateral assistance, MAIN DATA'!$N:$N,'Bilateral assistance, MAIN DATA'!$B:$B,G$1, 'Bilateral assistance, MAIN DATA'!$I:$I,$A14)</f>
        <v>0</v>
      </c>
      <c r="H14" s="33">
        <f>SUMIFS('Bilateral assistance, MAIN DATA'!$N:$N,'Bilateral assistance, MAIN DATA'!$B:$B,H$1, 'Bilateral assistance, MAIN DATA'!$I:$I,$A14)</f>
        <v>0</v>
      </c>
      <c r="I14" s="33">
        <f>SUMIFS('Bilateral assistance, MAIN DATA'!$N:$N,'Bilateral assistance, MAIN DATA'!$B:$B,I$1, 'Bilateral assistance, MAIN DATA'!$I:$I,$A14)</f>
        <v>0</v>
      </c>
      <c r="J14" s="33">
        <f>SUMIFS('Bilateral assistance, MAIN DATA'!$N:$N,'Bilateral assistance, MAIN DATA'!$B:$B,J$1, 'Bilateral assistance, MAIN DATA'!$I:$I,$A14)</f>
        <v>0</v>
      </c>
      <c r="K14" s="33">
        <f>SUMIFS('Bilateral assistance, MAIN DATA'!$N:$N,'Bilateral assistance, MAIN DATA'!$B:$B,K$1, 'Bilateral assistance, MAIN DATA'!$I:$I,$A14)</f>
        <v>0</v>
      </c>
      <c r="L14" s="33">
        <f>SUMIFS('Bilateral assistance, MAIN DATA'!$N:$N,'Bilateral assistance, MAIN DATA'!$B:$B,L$1, 'Bilateral assistance, MAIN DATA'!$I:$I,$A14)</f>
        <v>0</v>
      </c>
      <c r="M14" s="33">
        <f>SUMIFS('Bilateral assistance, MAIN DATA'!$N:$N,'Bilateral assistance, MAIN DATA'!$B:$B,M$1, 'Bilateral assistance, MAIN DATA'!$I:$I,$A14)</f>
        <v>0</v>
      </c>
      <c r="N14" s="33">
        <f>SUMIFS('Bilateral assistance, MAIN DATA'!$N:$N,'Bilateral assistance, MAIN DATA'!$B:$B,N$1, 'Bilateral assistance, MAIN DATA'!$I:$I,$A14)</f>
        <v>0</v>
      </c>
      <c r="O14" s="33">
        <f>SUMIFS('Bilateral assistance, MAIN DATA'!$N:$N,'Bilateral assistance, MAIN DATA'!$B:$B,O$1, 'Bilateral assistance, MAIN DATA'!$I:$I,$A14)</f>
        <v>0</v>
      </c>
      <c r="P14" s="33">
        <f>SUMIFS('Bilateral assistance, MAIN DATA'!$N:$N,'Bilateral assistance, MAIN DATA'!$B:$B,P$1, 'Bilateral assistance, MAIN DATA'!$I:$I,$A14)</f>
        <v>0</v>
      </c>
      <c r="Q14" s="33">
        <f>SUMIFS('Bilateral assistance, MAIN DATA'!$N:$N,'Bilateral assistance, MAIN DATA'!$B:$B,Q$1, 'Bilateral assistance, MAIN DATA'!$I:$I,$A14)</f>
        <v>0</v>
      </c>
      <c r="R14" s="33">
        <f>SUMIFS('Bilateral assistance, MAIN DATA'!$N:$N,'Bilateral assistance, MAIN DATA'!$B:$B,R$1, 'Bilateral assistance, MAIN DATA'!$I:$I,$A14)</f>
        <v>0</v>
      </c>
      <c r="S14" s="33">
        <f>SUMIFS('Bilateral assistance, MAIN DATA'!$N:$N,'Bilateral assistance, MAIN DATA'!$B:$B,S$1, 'Bilateral assistance, MAIN DATA'!$I:$I,$A14)</f>
        <v>0</v>
      </c>
      <c r="T14" s="33">
        <f>SUMIFS('Bilateral assistance, MAIN DATA'!$N:$N,'Bilateral assistance, MAIN DATA'!$B:$B,T$1, 'Bilateral assistance, MAIN DATA'!$I:$I,$A14)</f>
        <v>0</v>
      </c>
      <c r="U14" s="33">
        <f>SUMIFS('Bilateral assistance, MAIN DATA'!$N:$N,'Bilateral assistance, MAIN DATA'!$B:$B,U$1, 'Bilateral assistance, MAIN DATA'!$I:$I,$A14)</f>
        <v>0</v>
      </c>
      <c r="V14" s="33">
        <f>SUMIFS('Bilateral assistance, MAIN DATA'!$N:$N,'Bilateral assistance, MAIN DATA'!$B:$B,V$1, 'Bilateral assistance, MAIN DATA'!$I:$I,$A14)</f>
        <v>0</v>
      </c>
      <c r="W14" s="33">
        <f>SUMIFS('Bilateral assistance, MAIN DATA'!$N:$N,'Bilateral assistance, MAIN DATA'!$B:$B,W$1, 'Bilateral assistance, MAIN DATA'!$I:$I,$A14)</f>
        <v>0</v>
      </c>
      <c r="X14" s="33">
        <f>SUMIFS('Bilateral assistance, MAIN DATA'!$N:$N,'Bilateral assistance, MAIN DATA'!$B:$B,X$1, 'Bilateral assistance, MAIN DATA'!$I:$I,$A14)</f>
        <v>0</v>
      </c>
      <c r="Y14" s="33">
        <f>SUMIFS('Bilateral assistance, MAIN DATA'!$N:$N,'Bilateral assistance, MAIN DATA'!$B:$B,Y$1, 'Bilateral assistance, MAIN DATA'!$I:$I,$A14)</f>
        <v>0</v>
      </c>
      <c r="Z14" s="33">
        <f>SUMIFS('Bilateral assistance, MAIN DATA'!$N:$N,'Bilateral assistance, MAIN DATA'!$B:$B,Z$1, 'Bilateral assistance, MAIN DATA'!$I:$I,$A14)</f>
        <v>0</v>
      </c>
      <c r="AA14" s="33">
        <f>SUMIFS('Bilateral assistance, MAIN DATA'!$N:$N,'Bilateral assistance, MAIN DATA'!$B:$B,AA$1, 'Bilateral assistance, MAIN DATA'!$I:$I,$A14)</f>
        <v>0</v>
      </c>
      <c r="AB14" s="33">
        <f>SUMIFS('Bilateral assistance, MAIN DATA'!$N:$N,'Bilateral assistance, MAIN DATA'!$B:$B,AB$1, 'Bilateral assistance, MAIN DATA'!$I:$I,$A14)</f>
        <v>0</v>
      </c>
      <c r="AC14" s="33">
        <f>SUMIFS('Bilateral assistance, MAIN DATA'!$N:$N,'Bilateral assistance, MAIN DATA'!$B:$B,AC$1, 'Bilateral assistance, MAIN DATA'!$I:$I,$A14)</f>
        <v>0</v>
      </c>
      <c r="AD14" s="33">
        <f>SUMIFS('Bilateral assistance, MAIN DATA'!$N:$N,'Bilateral assistance, MAIN DATA'!$B:$B,AD$1, 'Bilateral assistance, MAIN DATA'!$I:$I,$A14)</f>
        <v>0</v>
      </c>
      <c r="AE14" s="33">
        <f>SUMIFS('Bilateral assistance, MAIN DATA'!$N:$N,'Bilateral assistance, MAIN DATA'!$B:$B,AE$1, 'Bilateral assistance, MAIN DATA'!$I:$I,$A14)</f>
        <v>0</v>
      </c>
      <c r="AF14" s="33">
        <f>SUMIFS('Bilateral assistance, MAIN DATA'!$N:$N,'Bilateral assistance, MAIN DATA'!$B:$B,AF$1, 'Bilateral assistance, MAIN DATA'!$I:$I,$A14)</f>
        <v>0</v>
      </c>
      <c r="AG14" s="33">
        <f>SUMIFS('Bilateral assistance, MAIN DATA'!$N:$N,'Bilateral assistance, MAIN DATA'!$B:$B,AG$1, 'Bilateral assistance, MAIN DATA'!$I:$I,$A14)</f>
        <v>0</v>
      </c>
      <c r="AH14" s="33">
        <f>SUMIFS('Bilateral assistance, MAIN DATA'!$N:$N,'Bilateral assistance, MAIN DATA'!$B:$B,AH$1, 'Bilateral assistance, MAIN DATA'!$I:$I,$A14)</f>
        <v>0</v>
      </c>
      <c r="AI14" s="33">
        <f>SUMIFS('Bilateral assistance, MAIN DATA'!$N:$N,'Bilateral assistance, MAIN DATA'!$B:$B,AI$1, 'Bilateral assistance, MAIN DATA'!$I:$I,$A14)</f>
        <v>0</v>
      </c>
      <c r="AJ14" s="33">
        <f>SUMIFS('Bilateral assistance, MAIN DATA'!$N:$N,'Bilateral assistance, MAIN DATA'!$B:$B,AJ$1, 'Bilateral assistance, MAIN DATA'!$I:$I,$A14)</f>
        <v>0</v>
      </c>
      <c r="AK14" s="33">
        <f>SUMIFS('Bilateral assistance, MAIN DATA'!$N:$N,'Bilateral assistance, MAIN DATA'!$B:$B,AK$1, 'Bilateral assistance, MAIN DATA'!$I:$I,$A14)</f>
        <v>0</v>
      </c>
      <c r="AL14" s="33">
        <f>SUMIFS('Bilateral assistance, MAIN DATA'!$N:$N,'Bilateral assistance, MAIN DATA'!$B:$B,AL$1, 'Bilateral assistance, MAIN DATA'!$I:$I,$A14)</f>
        <v>35</v>
      </c>
      <c r="AM14" s="33">
        <f>SUMIFS('Bilateral assistance, MAIN DATA'!$N:$N,'Bilateral assistance, MAIN DATA'!$B:$B,AM$1, 'Bilateral assistance, MAIN DATA'!$I:$I,$A14)</f>
        <v>0</v>
      </c>
      <c r="AN14" s="33">
        <f>SUMIFS('Bilateral assistance, MAIN DATA'!$N:$N,'Bilateral assistance, MAIN DATA'!$B:$B,AN$1, 'Bilateral assistance, MAIN DATA'!$I:$I,$A14)</f>
        <v>0</v>
      </c>
      <c r="AO14" s="33">
        <f>SUMIFS('Bilateral assistance, MAIN DATA'!$N:$N,'Bilateral assistance, MAIN DATA'!$B:$B,AO$1, 'Bilateral assistance, MAIN DATA'!$I:$I,$A14)</f>
        <v>0</v>
      </c>
      <c r="AP14" s="33">
        <f>SUMIFS('Bilateral assistance, MAIN DATA'!$N:$N,'Bilateral assistance, MAIN DATA'!$B:$B,AP$1, 'Bilateral assistance, MAIN DATA'!$I:$I,$A14)</f>
        <v>0</v>
      </c>
      <c r="AQ14" s="33">
        <f>SUMIFS('Bilateral assistance, MAIN DATA'!$N:$N,'Bilateral assistance, MAIN DATA'!$B:$B,AQ$1, 'Bilateral assistance, MAIN DATA'!$I:$I,$A14)</f>
        <v>0</v>
      </c>
      <c r="AR14" s="33">
        <f>SUMIFS('Bilateral assistance, MAIN DATA'!$N:$N,'Bilateral assistance, MAIN DATA'!$B:$B,AR$1, 'Bilateral assistance, MAIN DATA'!$I:$I,$A14)</f>
        <v>0</v>
      </c>
      <c r="AS14" s="33">
        <f>SUMIFS('Bilateral assistance, MAIN DATA'!$N:$N,'Bilateral assistance, MAIN DATA'!$B:$B,AS$1, 'Bilateral assistance, MAIN DATA'!$I:$I,$A14)</f>
        <v>0</v>
      </c>
    </row>
    <row r="15" spans="1:45">
      <c r="A15" s="33" t="s">
        <v>2458</v>
      </c>
      <c r="B15" s="33">
        <f t="shared" si="0"/>
        <v>80</v>
      </c>
      <c r="C15" s="645" t="s">
        <v>4141</v>
      </c>
      <c r="D15" s="33" t="s">
        <v>4144</v>
      </c>
      <c r="F15" s="33">
        <f>SUMIFS('Bilateral assistance, MAIN DATA'!$N:$N,'Bilateral assistance, MAIN DATA'!$B:$B,F$1, 'Bilateral assistance, MAIN DATA'!$I:$I,$A15)</f>
        <v>0</v>
      </c>
      <c r="G15" s="33">
        <f>SUMIFS('Bilateral assistance, MAIN DATA'!$N:$N,'Bilateral assistance, MAIN DATA'!$B:$B,G$1, 'Bilateral assistance, MAIN DATA'!$I:$I,$A15)</f>
        <v>0</v>
      </c>
      <c r="H15" s="33">
        <f>SUMIFS('Bilateral assistance, MAIN DATA'!$N:$N,'Bilateral assistance, MAIN DATA'!$B:$B,H$1, 'Bilateral assistance, MAIN DATA'!$I:$I,$A15)</f>
        <v>0</v>
      </c>
      <c r="I15" s="33">
        <f>SUMIFS('Bilateral assistance, MAIN DATA'!$N:$N,'Bilateral assistance, MAIN DATA'!$B:$B,I$1, 'Bilateral assistance, MAIN DATA'!$I:$I,$A15)</f>
        <v>0</v>
      </c>
      <c r="J15" s="33">
        <f>SUMIFS('Bilateral assistance, MAIN DATA'!$N:$N,'Bilateral assistance, MAIN DATA'!$B:$B,J$1, 'Bilateral assistance, MAIN DATA'!$I:$I,$A15)</f>
        <v>0</v>
      </c>
      <c r="K15" s="33">
        <f>SUMIFS('Bilateral assistance, MAIN DATA'!$N:$N,'Bilateral assistance, MAIN DATA'!$B:$B,K$1, 'Bilateral assistance, MAIN DATA'!$I:$I,$A15)</f>
        <v>0</v>
      </c>
      <c r="L15" s="33">
        <f>SUMIFS('Bilateral assistance, MAIN DATA'!$N:$N,'Bilateral assistance, MAIN DATA'!$B:$B,L$1, 'Bilateral assistance, MAIN DATA'!$I:$I,$A15)</f>
        <v>0</v>
      </c>
      <c r="M15" s="33">
        <f>SUMIFS('Bilateral assistance, MAIN DATA'!$N:$N,'Bilateral assistance, MAIN DATA'!$B:$B,M$1, 'Bilateral assistance, MAIN DATA'!$I:$I,$A15)</f>
        <v>0</v>
      </c>
      <c r="N15" s="33">
        <f>SUMIFS('Bilateral assistance, MAIN DATA'!$N:$N,'Bilateral assistance, MAIN DATA'!$B:$B,N$1, 'Bilateral assistance, MAIN DATA'!$I:$I,$A15)</f>
        <v>0</v>
      </c>
      <c r="O15" s="33">
        <f>SUMIFS('Bilateral assistance, MAIN DATA'!$N:$N,'Bilateral assistance, MAIN DATA'!$B:$B,O$1, 'Bilateral assistance, MAIN DATA'!$I:$I,$A15)</f>
        <v>0</v>
      </c>
      <c r="P15" s="33">
        <f>SUMIFS('Bilateral assistance, MAIN DATA'!$N:$N,'Bilateral assistance, MAIN DATA'!$B:$B,P$1, 'Bilateral assistance, MAIN DATA'!$I:$I,$A15)</f>
        <v>0</v>
      </c>
      <c r="Q15" s="33">
        <f>SUMIFS('Bilateral assistance, MAIN DATA'!$N:$N,'Bilateral assistance, MAIN DATA'!$B:$B,Q$1, 'Bilateral assistance, MAIN DATA'!$I:$I,$A15)</f>
        <v>0</v>
      </c>
      <c r="R15" s="33">
        <f>SUMIFS('Bilateral assistance, MAIN DATA'!$N:$N,'Bilateral assistance, MAIN DATA'!$B:$B,R$1, 'Bilateral assistance, MAIN DATA'!$I:$I,$A15)</f>
        <v>0</v>
      </c>
      <c r="S15" s="33">
        <f>SUMIFS('Bilateral assistance, MAIN DATA'!$N:$N,'Bilateral assistance, MAIN DATA'!$B:$B,S$1, 'Bilateral assistance, MAIN DATA'!$I:$I,$A15)</f>
        <v>0</v>
      </c>
      <c r="T15" s="33">
        <f>SUMIFS('Bilateral assistance, MAIN DATA'!$N:$N,'Bilateral assistance, MAIN DATA'!$B:$B,T$1, 'Bilateral assistance, MAIN DATA'!$I:$I,$A15)</f>
        <v>0</v>
      </c>
      <c r="U15" s="33">
        <f>SUMIFS('Bilateral assistance, MAIN DATA'!$N:$N,'Bilateral assistance, MAIN DATA'!$B:$B,U$1, 'Bilateral assistance, MAIN DATA'!$I:$I,$A15)</f>
        <v>0</v>
      </c>
      <c r="V15" s="33">
        <f>SUMIFS('Bilateral assistance, MAIN DATA'!$N:$N,'Bilateral assistance, MAIN DATA'!$B:$B,V$1, 'Bilateral assistance, MAIN DATA'!$I:$I,$A15)</f>
        <v>0</v>
      </c>
      <c r="W15" s="33">
        <f>SUMIFS('Bilateral assistance, MAIN DATA'!$N:$N,'Bilateral assistance, MAIN DATA'!$B:$B,W$1, 'Bilateral assistance, MAIN DATA'!$I:$I,$A15)</f>
        <v>0</v>
      </c>
      <c r="X15" s="33">
        <f>SUMIFS('Bilateral assistance, MAIN DATA'!$N:$N,'Bilateral assistance, MAIN DATA'!$B:$B,X$1, 'Bilateral assistance, MAIN DATA'!$I:$I,$A15)</f>
        <v>0</v>
      </c>
      <c r="Y15" s="33">
        <f>SUMIFS('Bilateral assistance, MAIN DATA'!$N:$N,'Bilateral assistance, MAIN DATA'!$B:$B,Y$1, 'Bilateral assistance, MAIN DATA'!$I:$I,$A15)</f>
        <v>0</v>
      </c>
      <c r="Z15" s="33">
        <f>SUMIFS('Bilateral assistance, MAIN DATA'!$N:$N,'Bilateral assistance, MAIN DATA'!$B:$B,Z$1, 'Bilateral assistance, MAIN DATA'!$I:$I,$A15)</f>
        <v>0</v>
      </c>
      <c r="AA15" s="33">
        <f>SUMIFS('Bilateral assistance, MAIN DATA'!$N:$N,'Bilateral assistance, MAIN DATA'!$B:$B,AA$1, 'Bilateral assistance, MAIN DATA'!$I:$I,$A15)</f>
        <v>0</v>
      </c>
      <c r="AB15" s="33">
        <f>SUMIFS('Bilateral assistance, MAIN DATA'!$N:$N,'Bilateral assistance, MAIN DATA'!$B:$B,AB$1, 'Bilateral assistance, MAIN DATA'!$I:$I,$A15)</f>
        <v>0</v>
      </c>
      <c r="AC15" s="33">
        <f>SUMIFS('Bilateral assistance, MAIN DATA'!$N:$N,'Bilateral assistance, MAIN DATA'!$B:$B,AC$1, 'Bilateral assistance, MAIN DATA'!$I:$I,$A15)</f>
        <v>0</v>
      </c>
      <c r="AD15" s="33">
        <f>SUMIFS('Bilateral assistance, MAIN DATA'!$N:$N,'Bilateral assistance, MAIN DATA'!$B:$B,AD$1, 'Bilateral assistance, MAIN DATA'!$I:$I,$A15)</f>
        <v>0</v>
      </c>
      <c r="AE15" s="33">
        <f>SUMIFS('Bilateral assistance, MAIN DATA'!$N:$N,'Bilateral assistance, MAIN DATA'!$B:$B,AE$1, 'Bilateral assistance, MAIN DATA'!$I:$I,$A15)</f>
        <v>0</v>
      </c>
      <c r="AF15" s="33">
        <f>SUMIFS('Bilateral assistance, MAIN DATA'!$N:$N,'Bilateral assistance, MAIN DATA'!$B:$B,AF$1, 'Bilateral assistance, MAIN DATA'!$I:$I,$A15)</f>
        <v>0</v>
      </c>
      <c r="AG15" s="33">
        <f>SUMIFS('Bilateral assistance, MAIN DATA'!$N:$N,'Bilateral assistance, MAIN DATA'!$B:$B,AG$1, 'Bilateral assistance, MAIN DATA'!$I:$I,$A15)</f>
        <v>0</v>
      </c>
      <c r="AH15" s="33">
        <f>SUMIFS('Bilateral assistance, MAIN DATA'!$N:$N,'Bilateral assistance, MAIN DATA'!$B:$B,AH$1, 'Bilateral assistance, MAIN DATA'!$I:$I,$A15)</f>
        <v>0</v>
      </c>
      <c r="AI15" s="33">
        <f>SUMIFS('Bilateral assistance, MAIN DATA'!$N:$N,'Bilateral assistance, MAIN DATA'!$B:$B,AI$1, 'Bilateral assistance, MAIN DATA'!$I:$I,$A15)</f>
        <v>0</v>
      </c>
      <c r="AJ15" s="33">
        <f>SUMIFS('Bilateral assistance, MAIN DATA'!$N:$N,'Bilateral assistance, MAIN DATA'!$B:$B,AJ$1, 'Bilateral assistance, MAIN DATA'!$I:$I,$A15)</f>
        <v>0</v>
      </c>
      <c r="AK15" s="33">
        <f>SUMIFS('Bilateral assistance, MAIN DATA'!$N:$N,'Bilateral assistance, MAIN DATA'!$B:$B,AK$1, 'Bilateral assistance, MAIN DATA'!$I:$I,$A15)</f>
        <v>0</v>
      </c>
      <c r="AL15" s="33">
        <f>SUMIFS('Bilateral assistance, MAIN DATA'!$N:$N,'Bilateral assistance, MAIN DATA'!$B:$B,AL$1, 'Bilateral assistance, MAIN DATA'!$I:$I,$A15)</f>
        <v>0</v>
      </c>
      <c r="AM15" s="33">
        <f>SUMIFS('Bilateral assistance, MAIN DATA'!$N:$N,'Bilateral assistance, MAIN DATA'!$B:$B,AM$1, 'Bilateral assistance, MAIN DATA'!$I:$I,$A15)</f>
        <v>0</v>
      </c>
      <c r="AN15" s="33">
        <f>SUMIFS('Bilateral assistance, MAIN DATA'!$N:$N,'Bilateral assistance, MAIN DATA'!$B:$B,AN$1, 'Bilateral assistance, MAIN DATA'!$I:$I,$A15)</f>
        <v>0</v>
      </c>
      <c r="AO15" s="33">
        <f>SUMIFS('Bilateral assistance, MAIN DATA'!$N:$N,'Bilateral assistance, MAIN DATA'!$B:$B,AO$1, 'Bilateral assistance, MAIN DATA'!$I:$I,$A15)</f>
        <v>0</v>
      </c>
      <c r="AP15" s="33">
        <f>SUMIFS('Bilateral assistance, MAIN DATA'!$N:$N,'Bilateral assistance, MAIN DATA'!$B:$B,AP$1, 'Bilateral assistance, MAIN DATA'!$I:$I,$A15)</f>
        <v>0</v>
      </c>
      <c r="AQ15" s="33">
        <f>SUMIFS('Bilateral assistance, MAIN DATA'!$N:$N,'Bilateral assistance, MAIN DATA'!$B:$B,AQ$1, 'Bilateral assistance, MAIN DATA'!$I:$I,$A15)</f>
        <v>0</v>
      </c>
      <c r="AR15" s="33">
        <f>SUMIFS('Bilateral assistance, MAIN DATA'!$N:$N,'Bilateral assistance, MAIN DATA'!$B:$B,AR$1, 'Bilateral assistance, MAIN DATA'!$I:$I,$A15)</f>
        <v>80</v>
      </c>
      <c r="AS15" s="33">
        <f>SUMIFS('Bilateral assistance, MAIN DATA'!$N:$N,'Bilateral assistance, MAIN DATA'!$B:$B,AS$1, 'Bilateral assistance, MAIN DATA'!$I:$I,$A15)</f>
        <v>0</v>
      </c>
    </row>
    <row r="16" spans="1:45">
      <c r="A16" s="33" t="s">
        <v>1845</v>
      </c>
      <c r="B16" s="33">
        <f t="shared" si="0"/>
        <v>14</v>
      </c>
      <c r="C16" s="645" t="s">
        <v>4141</v>
      </c>
      <c r="D16" s="33" t="s">
        <v>4142</v>
      </c>
      <c r="F16" s="33">
        <f>SUMIFS('Bilateral assistance, MAIN DATA'!$N:$N,'Bilateral assistance, MAIN DATA'!$B:$B,F$1, 'Bilateral assistance, MAIN DATA'!$I:$I,$A16)</f>
        <v>0</v>
      </c>
      <c r="G16" s="33">
        <f>SUMIFS('Bilateral assistance, MAIN DATA'!$N:$N,'Bilateral assistance, MAIN DATA'!$B:$B,G$1, 'Bilateral assistance, MAIN DATA'!$I:$I,$A16)</f>
        <v>0</v>
      </c>
      <c r="H16" s="33">
        <f>SUMIFS('Bilateral assistance, MAIN DATA'!$N:$N,'Bilateral assistance, MAIN DATA'!$B:$B,H$1, 'Bilateral assistance, MAIN DATA'!$I:$I,$A16)</f>
        <v>0</v>
      </c>
      <c r="I16" s="33">
        <f>SUMIFS('Bilateral assistance, MAIN DATA'!$N:$N,'Bilateral assistance, MAIN DATA'!$B:$B,I$1, 'Bilateral assistance, MAIN DATA'!$I:$I,$A16)</f>
        <v>0</v>
      </c>
      <c r="J16" s="33">
        <f>SUMIFS('Bilateral assistance, MAIN DATA'!$N:$N,'Bilateral assistance, MAIN DATA'!$B:$B,J$1, 'Bilateral assistance, MAIN DATA'!$I:$I,$A16)</f>
        <v>0</v>
      </c>
      <c r="K16" s="33">
        <f>SUMIFS('Bilateral assistance, MAIN DATA'!$N:$N,'Bilateral assistance, MAIN DATA'!$B:$B,K$1, 'Bilateral assistance, MAIN DATA'!$I:$I,$A16)</f>
        <v>0</v>
      </c>
      <c r="L16" s="33">
        <f>SUMIFS('Bilateral assistance, MAIN DATA'!$N:$N,'Bilateral assistance, MAIN DATA'!$B:$B,L$1, 'Bilateral assistance, MAIN DATA'!$I:$I,$A16)</f>
        <v>0</v>
      </c>
      <c r="M16" s="33">
        <f>SUMIFS('Bilateral assistance, MAIN DATA'!$N:$N,'Bilateral assistance, MAIN DATA'!$B:$B,M$1, 'Bilateral assistance, MAIN DATA'!$I:$I,$A16)</f>
        <v>0</v>
      </c>
      <c r="N16" s="33">
        <f>SUMIFS('Bilateral assistance, MAIN DATA'!$N:$N,'Bilateral assistance, MAIN DATA'!$B:$B,N$1, 'Bilateral assistance, MAIN DATA'!$I:$I,$A16)</f>
        <v>0</v>
      </c>
      <c r="O16" s="33">
        <f>SUMIFS('Bilateral assistance, MAIN DATA'!$N:$N,'Bilateral assistance, MAIN DATA'!$B:$B,O$1, 'Bilateral assistance, MAIN DATA'!$I:$I,$A16)</f>
        <v>0</v>
      </c>
      <c r="P16" s="33">
        <f>SUMIFS('Bilateral assistance, MAIN DATA'!$N:$N,'Bilateral assistance, MAIN DATA'!$B:$B,P$1, 'Bilateral assistance, MAIN DATA'!$I:$I,$A16)</f>
        <v>0</v>
      </c>
      <c r="Q16" s="33">
        <f>SUMIFS('Bilateral assistance, MAIN DATA'!$N:$N,'Bilateral assistance, MAIN DATA'!$B:$B,Q$1, 'Bilateral assistance, MAIN DATA'!$I:$I,$A16)</f>
        <v>0</v>
      </c>
      <c r="R16" s="33">
        <f>SUMIFS('Bilateral assistance, MAIN DATA'!$N:$N,'Bilateral assistance, MAIN DATA'!$B:$B,R$1, 'Bilateral assistance, MAIN DATA'!$I:$I,$A16)</f>
        <v>0</v>
      </c>
      <c r="S16" s="33">
        <f>SUMIFS('Bilateral assistance, MAIN DATA'!$N:$N,'Bilateral assistance, MAIN DATA'!$B:$B,S$1, 'Bilateral assistance, MAIN DATA'!$I:$I,$A16)</f>
        <v>0</v>
      </c>
      <c r="T16" s="33">
        <f>SUMIFS('Bilateral assistance, MAIN DATA'!$N:$N,'Bilateral assistance, MAIN DATA'!$B:$B,T$1, 'Bilateral assistance, MAIN DATA'!$I:$I,$A16)</f>
        <v>0</v>
      </c>
      <c r="U16" s="33">
        <f>SUMIFS('Bilateral assistance, MAIN DATA'!$N:$N,'Bilateral assistance, MAIN DATA'!$B:$B,U$1, 'Bilateral assistance, MAIN DATA'!$I:$I,$A16)</f>
        <v>0</v>
      </c>
      <c r="V16" s="33">
        <f>SUMIFS('Bilateral assistance, MAIN DATA'!$N:$N,'Bilateral assistance, MAIN DATA'!$B:$B,V$1, 'Bilateral assistance, MAIN DATA'!$I:$I,$A16)</f>
        <v>0</v>
      </c>
      <c r="W16" s="33">
        <f>SUMIFS('Bilateral assistance, MAIN DATA'!$N:$N,'Bilateral assistance, MAIN DATA'!$B:$B,W$1, 'Bilateral assistance, MAIN DATA'!$I:$I,$A16)</f>
        <v>0</v>
      </c>
      <c r="X16" s="33">
        <f>SUMIFS('Bilateral assistance, MAIN DATA'!$N:$N,'Bilateral assistance, MAIN DATA'!$B:$B,X$1, 'Bilateral assistance, MAIN DATA'!$I:$I,$A16)</f>
        <v>0</v>
      </c>
      <c r="Y16" s="33">
        <f>SUMIFS('Bilateral assistance, MAIN DATA'!$N:$N,'Bilateral assistance, MAIN DATA'!$B:$B,Y$1, 'Bilateral assistance, MAIN DATA'!$I:$I,$A16)</f>
        <v>0</v>
      </c>
      <c r="Z16" s="33">
        <f>SUMIFS('Bilateral assistance, MAIN DATA'!$N:$N,'Bilateral assistance, MAIN DATA'!$B:$B,Z$1, 'Bilateral assistance, MAIN DATA'!$I:$I,$A16)</f>
        <v>0</v>
      </c>
      <c r="AA16" s="33">
        <f>SUMIFS('Bilateral assistance, MAIN DATA'!$N:$N,'Bilateral assistance, MAIN DATA'!$B:$B,AA$1, 'Bilateral assistance, MAIN DATA'!$I:$I,$A16)</f>
        <v>0</v>
      </c>
      <c r="AB16" s="33">
        <f>SUMIFS('Bilateral assistance, MAIN DATA'!$N:$N,'Bilateral assistance, MAIN DATA'!$B:$B,AB$1, 'Bilateral assistance, MAIN DATA'!$I:$I,$A16)</f>
        <v>0</v>
      </c>
      <c r="AC16" s="33">
        <f>SUMIFS('Bilateral assistance, MAIN DATA'!$N:$N,'Bilateral assistance, MAIN DATA'!$B:$B,AC$1, 'Bilateral assistance, MAIN DATA'!$I:$I,$A16)</f>
        <v>0</v>
      </c>
      <c r="AD16" s="33">
        <f>SUMIFS('Bilateral assistance, MAIN DATA'!$N:$N,'Bilateral assistance, MAIN DATA'!$B:$B,AD$1, 'Bilateral assistance, MAIN DATA'!$I:$I,$A16)</f>
        <v>0</v>
      </c>
      <c r="AE16" s="33">
        <f>SUMIFS('Bilateral assistance, MAIN DATA'!$N:$N,'Bilateral assistance, MAIN DATA'!$B:$B,AE$1, 'Bilateral assistance, MAIN DATA'!$I:$I,$A16)</f>
        <v>0</v>
      </c>
      <c r="AF16" s="33">
        <f>SUMIFS('Bilateral assistance, MAIN DATA'!$N:$N,'Bilateral assistance, MAIN DATA'!$B:$B,AF$1, 'Bilateral assistance, MAIN DATA'!$I:$I,$A16)</f>
        <v>0</v>
      </c>
      <c r="AG16" s="33">
        <f>SUMIFS('Bilateral assistance, MAIN DATA'!$N:$N,'Bilateral assistance, MAIN DATA'!$B:$B,AG$1, 'Bilateral assistance, MAIN DATA'!$I:$I,$A16)</f>
        <v>14</v>
      </c>
      <c r="AH16" s="33">
        <f>SUMIFS('Bilateral assistance, MAIN DATA'!$N:$N,'Bilateral assistance, MAIN DATA'!$B:$B,AH$1, 'Bilateral assistance, MAIN DATA'!$I:$I,$A16)</f>
        <v>0</v>
      </c>
      <c r="AI16" s="33">
        <f>SUMIFS('Bilateral assistance, MAIN DATA'!$N:$N,'Bilateral assistance, MAIN DATA'!$B:$B,AI$1, 'Bilateral assistance, MAIN DATA'!$I:$I,$A16)</f>
        <v>0</v>
      </c>
      <c r="AJ16" s="33">
        <f>SUMIFS('Bilateral assistance, MAIN DATA'!$N:$N,'Bilateral assistance, MAIN DATA'!$B:$B,AJ$1, 'Bilateral assistance, MAIN DATA'!$I:$I,$A16)</f>
        <v>0</v>
      </c>
      <c r="AK16" s="33">
        <f>SUMIFS('Bilateral assistance, MAIN DATA'!$N:$N,'Bilateral assistance, MAIN DATA'!$B:$B,AK$1, 'Bilateral assistance, MAIN DATA'!$I:$I,$A16)</f>
        <v>0</v>
      </c>
      <c r="AL16" s="33">
        <f>SUMIFS('Bilateral assistance, MAIN DATA'!$N:$N,'Bilateral assistance, MAIN DATA'!$B:$B,AL$1, 'Bilateral assistance, MAIN DATA'!$I:$I,$A16)</f>
        <v>0</v>
      </c>
      <c r="AM16" s="33">
        <f>SUMIFS('Bilateral assistance, MAIN DATA'!$N:$N,'Bilateral assistance, MAIN DATA'!$B:$B,AM$1, 'Bilateral assistance, MAIN DATA'!$I:$I,$A16)</f>
        <v>0</v>
      </c>
      <c r="AN16" s="33">
        <f>SUMIFS('Bilateral assistance, MAIN DATA'!$N:$N,'Bilateral assistance, MAIN DATA'!$B:$B,AN$1, 'Bilateral assistance, MAIN DATA'!$I:$I,$A16)</f>
        <v>0</v>
      </c>
      <c r="AO16" s="33">
        <f>SUMIFS('Bilateral assistance, MAIN DATA'!$N:$N,'Bilateral assistance, MAIN DATA'!$B:$B,AO$1, 'Bilateral assistance, MAIN DATA'!$I:$I,$A16)</f>
        <v>0</v>
      </c>
      <c r="AP16" s="33">
        <f>SUMIFS('Bilateral assistance, MAIN DATA'!$N:$N,'Bilateral assistance, MAIN DATA'!$B:$B,AP$1, 'Bilateral assistance, MAIN DATA'!$I:$I,$A16)</f>
        <v>0</v>
      </c>
      <c r="AQ16" s="33">
        <f>SUMIFS('Bilateral assistance, MAIN DATA'!$N:$N,'Bilateral assistance, MAIN DATA'!$B:$B,AQ$1, 'Bilateral assistance, MAIN DATA'!$I:$I,$A16)</f>
        <v>0</v>
      </c>
      <c r="AR16" s="33">
        <f>SUMIFS('Bilateral assistance, MAIN DATA'!$N:$N,'Bilateral assistance, MAIN DATA'!$B:$B,AR$1, 'Bilateral assistance, MAIN DATA'!$I:$I,$A16)</f>
        <v>0</v>
      </c>
      <c r="AS16" s="33">
        <f>SUMIFS('Bilateral assistance, MAIN DATA'!$N:$N,'Bilateral assistance, MAIN DATA'!$B:$B,AS$1, 'Bilateral assistance, MAIN DATA'!$I:$I,$A16)</f>
        <v>0</v>
      </c>
    </row>
    <row r="17" spans="1:45">
      <c r="A17" s="33" t="s">
        <v>1982</v>
      </c>
      <c r="B17" s="33">
        <f t="shared" si="0"/>
        <v>0</v>
      </c>
      <c r="C17" s="645" t="s">
        <v>4141</v>
      </c>
      <c r="D17" s="33" t="s">
        <v>4142</v>
      </c>
      <c r="F17" s="33">
        <f>SUMIFS('Bilateral assistance, MAIN DATA'!$N:$N,'Bilateral assistance, MAIN DATA'!$B:$B,F$1, 'Bilateral assistance, MAIN DATA'!$I:$I,$A17)</f>
        <v>0</v>
      </c>
      <c r="G17" s="33">
        <f>SUMIFS('Bilateral assistance, MAIN DATA'!$N:$N,'Bilateral assistance, MAIN DATA'!$B:$B,G$1, 'Bilateral assistance, MAIN DATA'!$I:$I,$A17)</f>
        <v>0</v>
      </c>
      <c r="H17" s="33">
        <f>SUMIFS('Bilateral assistance, MAIN DATA'!$N:$N,'Bilateral assistance, MAIN DATA'!$B:$B,H$1, 'Bilateral assistance, MAIN DATA'!$I:$I,$A17)</f>
        <v>0</v>
      </c>
      <c r="I17" s="33">
        <f>SUMIFS('Bilateral assistance, MAIN DATA'!$N:$N,'Bilateral assistance, MAIN DATA'!$B:$B,I$1, 'Bilateral assistance, MAIN DATA'!$I:$I,$A17)</f>
        <v>0</v>
      </c>
      <c r="J17" s="33">
        <f>SUMIFS('Bilateral assistance, MAIN DATA'!$N:$N,'Bilateral assistance, MAIN DATA'!$B:$B,J$1, 'Bilateral assistance, MAIN DATA'!$I:$I,$A17)</f>
        <v>0</v>
      </c>
      <c r="K17" s="33">
        <f>SUMIFS('Bilateral assistance, MAIN DATA'!$N:$N,'Bilateral assistance, MAIN DATA'!$B:$B,K$1, 'Bilateral assistance, MAIN DATA'!$I:$I,$A17)</f>
        <v>0</v>
      </c>
      <c r="L17" s="33">
        <f>SUMIFS('Bilateral assistance, MAIN DATA'!$N:$N,'Bilateral assistance, MAIN DATA'!$B:$B,L$1, 'Bilateral assistance, MAIN DATA'!$I:$I,$A17)</f>
        <v>0</v>
      </c>
      <c r="M17" s="33">
        <f>SUMIFS('Bilateral assistance, MAIN DATA'!$N:$N,'Bilateral assistance, MAIN DATA'!$B:$B,M$1, 'Bilateral assistance, MAIN DATA'!$I:$I,$A17)</f>
        <v>0</v>
      </c>
      <c r="N17" s="33">
        <f>SUMIFS('Bilateral assistance, MAIN DATA'!$N:$N,'Bilateral assistance, MAIN DATA'!$B:$B,N$1, 'Bilateral assistance, MAIN DATA'!$I:$I,$A17)</f>
        <v>0</v>
      </c>
      <c r="O17" s="33">
        <f>SUMIFS('Bilateral assistance, MAIN DATA'!$N:$N,'Bilateral assistance, MAIN DATA'!$B:$B,O$1, 'Bilateral assistance, MAIN DATA'!$I:$I,$A17)</f>
        <v>0</v>
      </c>
      <c r="P17" s="33">
        <f>SUMIFS('Bilateral assistance, MAIN DATA'!$N:$N,'Bilateral assistance, MAIN DATA'!$B:$B,P$1, 'Bilateral assistance, MAIN DATA'!$I:$I,$A17)</f>
        <v>0</v>
      </c>
      <c r="Q17" s="33">
        <f>SUMIFS('Bilateral assistance, MAIN DATA'!$N:$N,'Bilateral assistance, MAIN DATA'!$B:$B,Q$1, 'Bilateral assistance, MAIN DATA'!$I:$I,$A17)</f>
        <v>0</v>
      </c>
      <c r="R17" s="33">
        <f>SUMIFS('Bilateral assistance, MAIN DATA'!$N:$N,'Bilateral assistance, MAIN DATA'!$B:$B,R$1, 'Bilateral assistance, MAIN DATA'!$I:$I,$A17)</f>
        <v>0</v>
      </c>
      <c r="S17" s="33">
        <f>SUMIFS('Bilateral assistance, MAIN DATA'!$N:$N,'Bilateral assistance, MAIN DATA'!$B:$B,S$1, 'Bilateral assistance, MAIN DATA'!$I:$I,$A17)</f>
        <v>0</v>
      </c>
      <c r="T17" s="33">
        <f>SUMIFS('Bilateral assistance, MAIN DATA'!$N:$N,'Bilateral assistance, MAIN DATA'!$B:$B,T$1, 'Bilateral assistance, MAIN DATA'!$I:$I,$A17)</f>
        <v>0</v>
      </c>
      <c r="U17" s="33">
        <f>SUMIFS('Bilateral assistance, MAIN DATA'!$N:$N,'Bilateral assistance, MAIN DATA'!$B:$B,U$1, 'Bilateral assistance, MAIN DATA'!$I:$I,$A17)</f>
        <v>0</v>
      </c>
      <c r="V17" s="33">
        <f>SUMIFS('Bilateral assistance, MAIN DATA'!$N:$N,'Bilateral assistance, MAIN DATA'!$B:$B,V$1, 'Bilateral assistance, MAIN DATA'!$I:$I,$A17)</f>
        <v>0</v>
      </c>
      <c r="W17" s="33">
        <f>SUMIFS('Bilateral assistance, MAIN DATA'!$N:$N,'Bilateral assistance, MAIN DATA'!$B:$B,W$1, 'Bilateral assistance, MAIN DATA'!$I:$I,$A17)</f>
        <v>0</v>
      </c>
      <c r="X17" s="33">
        <f>SUMIFS('Bilateral assistance, MAIN DATA'!$N:$N,'Bilateral assistance, MAIN DATA'!$B:$B,X$1, 'Bilateral assistance, MAIN DATA'!$I:$I,$A17)</f>
        <v>0</v>
      </c>
      <c r="Y17" s="33">
        <f>SUMIFS('Bilateral assistance, MAIN DATA'!$N:$N,'Bilateral assistance, MAIN DATA'!$B:$B,Y$1, 'Bilateral assistance, MAIN DATA'!$I:$I,$A17)</f>
        <v>0</v>
      </c>
      <c r="Z17" s="33">
        <f>SUMIFS('Bilateral assistance, MAIN DATA'!$N:$N,'Bilateral assistance, MAIN DATA'!$B:$B,Z$1, 'Bilateral assistance, MAIN DATA'!$I:$I,$A17)</f>
        <v>0</v>
      </c>
      <c r="AA17" s="33">
        <f>SUMIFS('Bilateral assistance, MAIN DATA'!$N:$N,'Bilateral assistance, MAIN DATA'!$B:$B,AA$1, 'Bilateral assistance, MAIN DATA'!$I:$I,$A17)</f>
        <v>0</v>
      </c>
      <c r="AB17" s="33">
        <f>SUMIFS('Bilateral assistance, MAIN DATA'!$N:$N,'Bilateral assistance, MAIN DATA'!$B:$B,AB$1, 'Bilateral assistance, MAIN DATA'!$I:$I,$A17)</f>
        <v>0</v>
      </c>
      <c r="AC17" s="33">
        <f>SUMIFS('Bilateral assistance, MAIN DATA'!$N:$N,'Bilateral assistance, MAIN DATA'!$B:$B,AC$1, 'Bilateral assistance, MAIN DATA'!$I:$I,$A17)</f>
        <v>0</v>
      </c>
      <c r="AD17" s="33">
        <f>SUMIFS('Bilateral assistance, MAIN DATA'!$N:$N,'Bilateral assistance, MAIN DATA'!$B:$B,AD$1, 'Bilateral assistance, MAIN DATA'!$I:$I,$A17)</f>
        <v>0</v>
      </c>
      <c r="AE17" s="33">
        <f>SUMIFS('Bilateral assistance, MAIN DATA'!$N:$N,'Bilateral assistance, MAIN DATA'!$B:$B,AE$1, 'Bilateral assistance, MAIN DATA'!$I:$I,$A17)</f>
        <v>0</v>
      </c>
      <c r="AF17" s="33">
        <f>SUMIFS('Bilateral assistance, MAIN DATA'!$N:$N,'Bilateral assistance, MAIN DATA'!$B:$B,AF$1, 'Bilateral assistance, MAIN DATA'!$I:$I,$A17)</f>
        <v>0</v>
      </c>
      <c r="AG17" s="33">
        <f>SUMIFS('Bilateral assistance, MAIN DATA'!$N:$N,'Bilateral assistance, MAIN DATA'!$B:$B,AG$1, 'Bilateral assistance, MAIN DATA'!$I:$I,$A17)</f>
        <v>0</v>
      </c>
      <c r="AH17" s="33">
        <f>SUMIFS('Bilateral assistance, MAIN DATA'!$N:$N,'Bilateral assistance, MAIN DATA'!$B:$B,AH$1, 'Bilateral assistance, MAIN DATA'!$I:$I,$A17)</f>
        <v>0</v>
      </c>
      <c r="AI17" s="33">
        <f>SUMIFS('Bilateral assistance, MAIN DATA'!$N:$N,'Bilateral assistance, MAIN DATA'!$B:$B,AI$1, 'Bilateral assistance, MAIN DATA'!$I:$I,$A17)</f>
        <v>0</v>
      </c>
      <c r="AJ17" s="33">
        <f>SUMIFS('Bilateral assistance, MAIN DATA'!$N:$N,'Bilateral assistance, MAIN DATA'!$B:$B,AJ$1, 'Bilateral assistance, MAIN DATA'!$I:$I,$A17)</f>
        <v>0</v>
      </c>
      <c r="AK17" s="33">
        <f>SUMIFS('Bilateral assistance, MAIN DATA'!$N:$N,'Bilateral assistance, MAIN DATA'!$B:$B,AK$1, 'Bilateral assistance, MAIN DATA'!$I:$I,$A17)</f>
        <v>0</v>
      </c>
      <c r="AL17" s="33">
        <f>SUMIFS('Bilateral assistance, MAIN DATA'!$N:$N,'Bilateral assistance, MAIN DATA'!$B:$B,AL$1, 'Bilateral assistance, MAIN DATA'!$I:$I,$A17)</f>
        <v>0</v>
      </c>
      <c r="AM17" s="33">
        <f>SUMIFS('Bilateral assistance, MAIN DATA'!$N:$N,'Bilateral assistance, MAIN DATA'!$B:$B,AM$1, 'Bilateral assistance, MAIN DATA'!$I:$I,$A17)</f>
        <v>0</v>
      </c>
      <c r="AN17" s="33">
        <f>SUMIFS('Bilateral assistance, MAIN DATA'!$N:$N,'Bilateral assistance, MAIN DATA'!$B:$B,AN$1, 'Bilateral assistance, MAIN DATA'!$I:$I,$A17)</f>
        <v>0</v>
      </c>
      <c r="AO17" s="33">
        <f>SUMIFS('Bilateral assistance, MAIN DATA'!$N:$N,'Bilateral assistance, MAIN DATA'!$B:$B,AO$1, 'Bilateral assistance, MAIN DATA'!$I:$I,$A17)</f>
        <v>0</v>
      </c>
      <c r="AP17" s="33">
        <f>SUMIFS('Bilateral assistance, MAIN DATA'!$N:$N,'Bilateral assistance, MAIN DATA'!$B:$B,AP$1, 'Bilateral assistance, MAIN DATA'!$I:$I,$A17)</f>
        <v>0</v>
      </c>
      <c r="AQ17" s="33">
        <f>SUMIFS('Bilateral assistance, MAIN DATA'!$N:$N,'Bilateral assistance, MAIN DATA'!$B:$B,AQ$1, 'Bilateral assistance, MAIN DATA'!$I:$I,$A17)</f>
        <v>0</v>
      </c>
      <c r="AR17" s="33">
        <f>SUMIFS('Bilateral assistance, MAIN DATA'!$N:$N,'Bilateral assistance, MAIN DATA'!$B:$B,AR$1, 'Bilateral assistance, MAIN DATA'!$I:$I,$A17)</f>
        <v>0</v>
      </c>
      <c r="AS17" s="33">
        <f>SUMIFS('Bilateral assistance, MAIN DATA'!$N:$N,'Bilateral assistance, MAIN DATA'!$B:$B,AS$1, 'Bilateral assistance, MAIN DATA'!$I:$I,$A17)</f>
        <v>0</v>
      </c>
    </row>
    <row r="18" spans="1:45">
      <c r="A18" s="33" t="s">
        <v>4148</v>
      </c>
      <c r="B18" s="33">
        <f t="shared" si="0"/>
        <v>0</v>
      </c>
      <c r="C18" s="645" t="s">
        <v>4141</v>
      </c>
      <c r="D18" s="33" t="s">
        <v>4142</v>
      </c>
      <c r="F18" s="33">
        <f>SUMIFS('Bilateral assistance, MAIN DATA'!$N:$N,'Bilateral assistance, MAIN DATA'!$B:$B,F$1, 'Bilateral assistance, MAIN DATA'!$I:$I,$A18)</f>
        <v>0</v>
      </c>
      <c r="G18" s="33">
        <f>SUMIFS('Bilateral assistance, MAIN DATA'!$N:$N,'Bilateral assistance, MAIN DATA'!$B:$B,G$1, 'Bilateral assistance, MAIN DATA'!$I:$I,$A18)</f>
        <v>0</v>
      </c>
      <c r="H18" s="33">
        <f>SUMIFS('Bilateral assistance, MAIN DATA'!$N:$N,'Bilateral assistance, MAIN DATA'!$B:$B,H$1, 'Bilateral assistance, MAIN DATA'!$I:$I,$A18)</f>
        <v>0</v>
      </c>
      <c r="I18" s="33">
        <f>SUMIFS('Bilateral assistance, MAIN DATA'!$N:$N,'Bilateral assistance, MAIN DATA'!$B:$B,I$1, 'Bilateral assistance, MAIN DATA'!$I:$I,$A18)</f>
        <v>0</v>
      </c>
      <c r="J18" s="33">
        <f>SUMIFS('Bilateral assistance, MAIN DATA'!$N:$N,'Bilateral assistance, MAIN DATA'!$B:$B,J$1, 'Bilateral assistance, MAIN DATA'!$I:$I,$A18)</f>
        <v>0</v>
      </c>
      <c r="K18" s="33">
        <f>SUMIFS('Bilateral assistance, MAIN DATA'!$N:$N,'Bilateral assistance, MAIN DATA'!$B:$B,K$1, 'Bilateral assistance, MAIN DATA'!$I:$I,$A18)</f>
        <v>0</v>
      </c>
      <c r="L18" s="33">
        <f>SUMIFS('Bilateral assistance, MAIN DATA'!$N:$N,'Bilateral assistance, MAIN DATA'!$B:$B,L$1, 'Bilateral assistance, MAIN DATA'!$I:$I,$A18)</f>
        <v>0</v>
      </c>
      <c r="M18" s="33">
        <f>SUMIFS('Bilateral assistance, MAIN DATA'!$N:$N,'Bilateral assistance, MAIN DATA'!$B:$B,M$1, 'Bilateral assistance, MAIN DATA'!$I:$I,$A18)</f>
        <v>0</v>
      </c>
      <c r="N18" s="33">
        <f>SUMIFS('Bilateral assistance, MAIN DATA'!$N:$N,'Bilateral assistance, MAIN DATA'!$B:$B,N$1, 'Bilateral assistance, MAIN DATA'!$I:$I,$A18)</f>
        <v>0</v>
      </c>
      <c r="O18" s="33">
        <f>SUMIFS('Bilateral assistance, MAIN DATA'!$N:$N,'Bilateral assistance, MAIN DATA'!$B:$B,O$1, 'Bilateral assistance, MAIN DATA'!$I:$I,$A18)</f>
        <v>0</v>
      </c>
      <c r="P18" s="33">
        <f>SUMIFS('Bilateral assistance, MAIN DATA'!$N:$N,'Bilateral assistance, MAIN DATA'!$B:$B,P$1, 'Bilateral assistance, MAIN DATA'!$I:$I,$A18)</f>
        <v>0</v>
      </c>
      <c r="Q18" s="33">
        <f>SUMIFS('Bilateral assistance, MAIN DATA'!$N:$N,'Bilateral assistance, MAIN DATA'!$B:$B,Q$1, 'Bilateral assistance, MAIN DATA'!$I:$I,$A18)</f>
        <v>0</v>
      </c>
      <c r="R18" s="33">
        <f>SUMIFS('Bilateral assistance, MAIN DATA'!$N:$N,'Bilateral assistance, MAIN DATA'!$B:$B,R$1, 'Bilateral assistance, MAIN DATA'!$I:$I,$A18)</f>
        <v>0</v>
      </c>
      <c r="S18" s="33">
        <f>SUMIFS('Bilateral assistance, MAIN DATA'!$N:$N,'Bilateral assistance, MAIN DATA'!$B:$B,S$1, 'Bilateral assistance, MAIN DATA'!$I:$I,$A18)</f>
        <v>0</v>
      </c>
      <c r="T18" s="33">
        <f>SUMIFS('Bilateral assistance, MAIN DATA'!$N:$N,'Bilateral assistance, MAIN DATA'!$B:$B,T$1, 'Bilateral assistance, MAIN DATA'!$I:$I,$A18)</f>
        <v>0</v>
      </c>
      <c r="U18" s="33">
        <f>SUMIFS('Bilateral assistance, MAIN DATA'!$N:$N,'Bilateral assistance, MAIN DATA'!$B:$B,U$1, 'Bilateral assistance, MAIN DATA'!$I:$I,$A18)</f>
        <v>0</v>
      </c>
      <c r="V18" s="33">
        <f>SUMIFS('Bilateral assistance, MAIN DATA'!$N:$N,'Bilateral assistance, MAIN DATA'!$B:$B,V$1, 'Bilateral assistance, MAIN DATA'!$I:$I,$A18)</f>
        <v>0</v>
      </c>
      <c r="W18" s="33">
        <f>SUMIFS('Bilateral assistance, MAIN DATA'!$N:$N,'Bilateral assistance, MAIN DATA'!$B:$B,W$1, 'Bilateral assistance, MAIN DATA'!$I:$I,$A18)</f>
        <v>0</v>
      </c>
      <c r="X18" s="33">
        <f>SUMIFS('Bilateral assistance, MAIN DATA'!$N:$N,'Bilateral assistance, MAIN DATA'!$B:$B,X$1, 'Bilateral assistance, MAIN DATA'!$I:$I,$A18)</f>
        <v>0</v>
      </c>
      <c r="Y18" s="33">
        <f>SUMIFS('Bilateral assistance, MAIN DATA'!$N:$N,'Bilateral assistance, MAIN DATA'!$B:$B,Y$1, 'Bilateral assistance, MAIN DATA'!$I:$I,$A18)</f>
        <v>0</v>
      </c>
      <c r="Z18" s="33">
        <f>SUMIFS('Bilateral assistance, MAIN DATA'!$N:$N,'Bilateral assistance, MAIN DATA'!$B:$B,Z$1, 'Bilateral assistance, MAIN DATA'!$I:$I,$A18)</f>
        <v>0</v>
      </c>
      <c r="AA18" s="33">
        <f>SUMIFS('Bilateral assistance, MAIN DATA'!$N:$N,'Bilateral assistance, MAIN DATA'!$B:$B,AA$1, 'Bilateral assistance, MAIN DATA'!$I:$I,$A18)</f>
        <v>0</v>
      </c>
      <c r="AB18" s="33">
        <f>SUMIFS('Bilateral assistance, MAIN DATA'!$N:$N,'Bilateral assistance, MAIN DATA'!$B:$B,AB$1, 'Bilateral assistance, MAIN DATA'!$I:$I,$A18)</f>
        <v>0</v>
      </c>
      <c r="AC18" s="33">
        <f>SUMIFS('Bilateral assistance, MAIN DATA'!$N:$N,'Bilateral assistance, MAIN DATA'!$B:$B,AC$1, 'Bilateral assistance, MAIN DATA'!$I:$I,$A18)</f>
        <v>0</v>
      </c>
      <c r="AD18" s="33">
        <f>SUMIFS('Bilateral assistance, MAIN DATA'!$N:$N,'Bilateral assistance, MAIN DATA'!$B:$B,AD$1, 'Bilateral assistance, MAIN DATA'!$I:$I,$A18)</f>
        <v>0</v>
      </c>
      <c r="AE18" s="33">
        <f>SUMIFS('Bilateral assistance, MAIN DATA'!$N:$N,'Bilateral assistance, MAIN DATA'!$B:$B,AE$1, 'Bilateral assistance, MAIN DATA'!$I:$I,$A18)</f>
        <v>0</v>
      </c>
      <c r="AF18" s="33">
        <f>SUMIFS('Bilateral assistance, MAIN DATA'!$N:$N,'Bilateral assistance, MAIN DATA'!$B:$B,AF$1, 'Bilateral assistance, MAIN DATA'!$I:$I,$A18)</f>
        <v>0</v>
      </c>
      <c r="AG18" s="33">
        <f>SUMIFS('Bilateral assistance, MAIN DATA'!$N:$N,'Bilateral assistance, MAIN DATA'!$B:$B,AG$1, 'Bilateral assistance, MAIN DATA'!$I:$I,$A18)</f>
        <v>0</v>
      </c>
      <c r="AH18" s="33">
        <f>SUMIFS('Bilateral assistance, MAIN DATA'!$N:$N,'Bilateral assistance, MAIN DATA'!$B:$B,AH$1, 'Bilateral assistance, MAIN DATA'!$I:$I,$A18)</f>
        <v>0</v>
      </c>
      <c r="AI18" s="33">
        <f>SUMIFS('Bilateral assistance, MAIN DATA'!$N:$N,'Bilateral assistance, MAIN DATA'!$B:$B,AI$1, 'Bilateral assistance, MAIN DATA'!$I:$I,$A18)</f>
        <v>0</v>
      </c>
      <c r="AJ18" s="33">
        <f>SUMIFS('Bilateral assistance, MAIN DATA'!$N:$N,'Bilateral assistance, MAIN DATA'!$B:$B,AJ$1, 'Bilateral assistance, MAIN DATA'!$I:$I,$A18)</f>
        <v>0</v>
      </c>
      <c r="AK18" s="33">
        <f>SUMIFS('Bilateral assistance, MAIN DATA'!$N:$N,'Bilateral assistance, MAIN DATA'!$B:$B,AK$1, 'Bilateral assistance, MAIN DATA'!$I:$I,$A18)</f>
        <v>0</v>
      </c>
      <c r="AL18" s="33">
        <f>SUMIFS('Bilateral assistance, MAIN DATA'!$N:$N,'Bilateral assistance, MAIN DATA'!$B:$B,AL$1, 'Bilateral assistance, MAIN DATA'!$I:$I,$A18)</f>
        <v>0</v>
      </c>
      <c r="AM18" s="33">
        <f>SUMIFS('Bilateral assistance, MAIN DATA'!$N:$N,'Bilateral assistance, MAIN DATA'!$B:$B,AM$1, 'Bilateral assistance, MAIN DATA'!$I:$I,$A18)</f>
        <v>0</v>
      </c>
      <c r="AN18" s="33">
        <f>SUMIFS('Bilateral assistance, MAIN DATA'!$N:$N,'Bilateral assistance, MAIN DATA'!$B:$B,AN$1, 'Bilateral assistance, MAIN DATA'!$I:$I,$A18)</f>
        <v>0</v>
      </c>
      <c r="AO18" s="33">
        <f>SUMIFS('Bilateral assistance, MAIN DATA'!$N:$N,'Bilateral assistance, MAIN DATA'!$B:$B,AO$1, 'Bilateral assistance, MAIN DATA'!$I:$I,$A18)</f>
        <v>0</v>
      </c>
      <c r="AP18" s="33">
        <f>SUMIFS('Bilateral assistance, MAIN DATA'!$N:$N,'Bilateral assistance, MAIN DATA'!$B:$B,AP$1, 'Bilateral assistance, MAIN DATA'!$I:$I,$A18)</f>
        <v>0</v>
      </c>
      <c r="AQ18" s="33">
        <f>SUMIFS('Bilateral assistance, MAIN DATA'!$N:$N,'Bilateral assistance, MAIN DATA'!$B:$B,AQ$1, 'Bilateral assistance, MAIN DATA'!$I:$I,$A18)</f>
        <v>0</v>
      </c>
      <c r="AR18" s="33">
        <f>SUMIFS('Bilateral assistance, MAIN DATA'!$N:$N,'Bilateral assistance, MAIN DATA'!$B:$B,AR$1, 'Bilateral assistance, MAIN DATA'!$I:$I,$A18)</f>
        <v>0</v>
      </c>
      <c r="AS18" s="33">
        <f>SUMIFS('Bilateral assistance, MAIN DATA'!$N:$N,'Bilateral assistance, MAIN DATA'!$B:$B,AS$1, 'Bilateral assistance, MAIN DATA'!$I:$I,$A18)</f>
        <v>0</v>
      </c>
    </row>
    <row r="19" spans="1:45">
      <c r="A19" s="27" t="s">
        <v>286</v>
      </c>
      <c r="B19" s="33">
        <f t="shared" si="0"/>
        <v>118</v>
      </c>
      <c r="C19" s="645" t="s">
        <v>2234</v>
      </c>
      <c r="D19" s="33" t="s">
        <v>4150</v>
      </c>
      <c r="F19" s="33">
        <f>SUMIFS('Bilateral assistance, MAIN DATA'!$N:$N,'Bilateral assistance, MAIN DATA'!$B:$B,F$1, 'Bilateral assistance, MAIN DATA'!$I:$I,$A19)</f>
        <v>6</v>
      </c>
      <c r="G19" s="33">
        <f>SUMIFS('Bilateral assistance, MAIN DATA'!$N:$N,'Bilateral assistance, MAIN DATA'!$B:$B,G$1, 'Bilateral assistance, MAIN DATA'!$I:$I,$A19)</f>
        <v>0</v>
      </c>
      <c r="H19" s="33">
        <f>SUMIFS('Bilateral assistance, MAIN DATA'!$N:$N,'Bilateral assistance, MAIN DATA'!$B:$B,H$1, 'Bilateral assistance, MAIN DATA'!$I:$I,$A19)</f>
        <v>0</v>
      </c>
      <c r="I19" s="33">
        <f>SUMIFS('Bilateral assistance, MAIN DATA'!$N:$N,'Bilateral assistance, MAIN DATA'!$B:$B,I$1, 'Bilateral assistance, MAIN DATA'!$I:$I,$A19)</f>
        <v>0</v>
      </c>
      <c r="J19" s="33">
        <f>SUMIFS('Bilateral assistance, MAIN DATA'!$N:$N,'Bilateral assistance, MAIN DATA'!$B:$B,J$1, 'Bilateral assistance, MAIN DATA'!$I:$I,$A19)</f>
        <v>4</v>
      </c>
      <c r="K19" s="33">
        <f>SUMIFS('Bilateral assistance, MAIN DATA'!$N:$N,'Bilateral assistance, MAIN DATA'!$B:$B,K$1, 'Bilateral assistance, MAIN DATA'!$I:$I,$A19)</f>
        <v>0</v>
      </c>
      <c r="L19" s="33">
        <f>SUMIFS('Bilateral assistance, MAIN DATA'!$N:$N,'Bilateral assistance, MAIN DATA'!$B:$B,L$1, 'Bilateral assistance, MAIN DATA'!$I:$I,$A19)</f>
        <v>0</v>
      </c>
      <c r="M19" s="33">
        <f>SUMIFS('Bilateral assistance, MAIN DATA'!$N:$N,'Bilateral assistance, MAIN DATA'!$B:$B,M$1, 'Bilateral assistance, MAIN DATA'!$I:$I,$A19)</f>
        <v>0</v>
      </c>
      <c r="N19" s="33">
        <f>SUMIFS('Bilateral assistance, MAIN DATA'!$N:$N,'Bilateral assistance, MAIN DATA'!$B:$B,N$1, 'Bilateral assistance, MAIN DATA'!$I:$I,$A19)</f>
        <v>0</v>
      </c>
      <c r="O19" s="33">
        <f>SUMIFS('Bilateral assistance, MAIN DATA'!$N:$N,'Bilateral assistance, MAIN DATA'!$B:$B,O$1, 'Bilateral assistance, MAIN DATA'!$I:$I,$A19)</f>
        <v>0</v>
      </c>
      <c r="P19" s="33">
        <f>SUMIFS('Bilateral assistance, MAIN DATA'!$N:$N,'Bilateral assistance, MAIN DATA'!$B:$B,P$1, 'Bilateral assistance, MAIN DATA'!$I:$I,$A19)</f>
        <v>0</v>
      </c>
      <c r="Q19" s="33">
        <f>SUMIFS('Bilateral assistance, MAIN DATA'!$N:$N,'Bilateral assistance, MAIN DATA'!$B:$B,Q$1, 'Bilateral assistance, MAIN DATA'!$I:$I,$A19)</f>
        <v>0</v>
      </c>
      <c r="R19" s="33">
        <f>SUMIFS('Bilateral assistance, MAIN DATA'!$N:$N,'Bilateral assistance, MAIN DATA'!$B:$B,R$1, 'Bilateral assistance, MAIN DATA'!$I:$I,$A19)</f>
        <v>0</v>
      </c>
      <c r="S19" s="33">
        <f>SUMIFS('Bilateral assistance, MAIN DATA'!$N:$N,'Bilateral assistance, MAIN DATA'!$B:$B,S$1, 'Bilateral assistance, MAIN DATA'!$I:$I,$A19)</f>
        <v>0</v>
      </c>
      <c r="T19" s="33">
        <f>SUMIFS('Bilateral assistance, MAIN DATA'!$N:$N,'Bilateral assistance, MAIN DATA'!$B:$B,T$1, 'Bilateral assistance, MAIN DATA'!$I:$I,$A19)</f>
        <v>0</v>
      </c>
      <c r="U19" s="33">
        <f>SUMIFS('Bilateral assistance, MAIN DATA'!$N:$N,'Bilateral assistance, MAIN DATA'!$B:$B,U$1, 'Bilateral assistance, MAIN DATA'!$I:$I,$A19)</f>
        <v>0</v>
      </c>
      <c r="V19" s="33">
        <f>SUMIFS('Bilateral assistance, MAIN DATA'!$N:$N,'Bilateral assistance, MAIN DATA'!$B:$B,V$1, 'Bilateral assistance, MAIN DATA'!$I:$I,$A19)</f>
        <v>0</v>
      </c>
      <c r="W19" s="33">
        <f>SUMIFS('Bilateral assistance, MAIN DATA'!$N:$N,'Bilateral assistance, MAIN DATA'!$B:$B,W$1, 'Bilateral assistance, MAIN DATA'!$I:$I,$A19)</f>
        <v>0</v>
      </c>
      <c r="X19" s="33">
        <f>SUMIFS('Bilateral assistance, MAIN DATA'!$N:$N,'Bilateral assistance, MAIN DATA'!$B:$B,X$1, 'Bilateral assistance, MAIN DATA'!$I:$I,$A19)</f>
        <v>0</v>
      </c>
      <c r="Y19" s="33">
        <f>SUMIFS('Bilateral assistance, MAIN DATA'!$N:$N,'Bilateral assistance, MAIN DATA'!$B:$B,Y$1, 'Bilateral assistance, MAIN DATA'!$I:$I,$A19)</f>
        <v>0</v>
      </c>
      <c r="Z19" s="33">
        <f>SUMIFS('Bilateral assistance, MAIN DATA'!$N:$N,'Bilateral assistance, MAIN DATA'!$B:$B,Z$1, 'Bilateral assistance, MAIN DATA'!$I:$I,$A19)</f>
        <v>0</v>
      </c>
      <c r="AA19" s="33">
        <f>SUMIFS('Bilateral assistance, MAIN DATA'!$N:$N,'Bilateral assistance, MAIN DATA'!$B:$B,AA$1, 'Bilateral assistance, MAIN DATA'!$I:$I,$A19)</f>
        <v>0</v>
      </c>
      <c r="AB19" s="33">
        <f>SUMIFS('Bilateral assistance, MAIN DATA'!$N:$N,'Bilateral assistance, MAIN DATA'!$B:$B,AB$1, 'Bilateral assistance, MAIN DATA'!$I:$I,$A19)</f>
        <v>0</v>
      </c>
      <c r="AC19" s="33">
        <f>SUMIFS('Bilateral assistance, MAIN DATA'!$N:$N,'Bilateral assistance, MAIN DATA'!$B:$B,AC$1, 'Bilateral assistance, MAIN DATA'!$I:$I,$A19)</f>
        <v>0</v>
      </c>
      <c r="AD19" s="33">
        <f>SUMIFS('Bilateral assistance, MAIN DATA'!$N:$N,'Bilateral assistance, MAIN DATA'!$B:$B,AD$1, 'Bilateral assistance, MAIN DATA'!$I:$I,$A19)</f>
        <v>0</v>
      </c>
      <c r="AE19" s="33">
        <f>SUMIFS('Bilateral assistance, MAIN DATA'!$N:$N,'Bilateral assistance, MAIN DATA'!$B:$B,AE$1, 'Bilateral assistance, MAIN DATA'!$I:$I,$A19)</f>
        <v>0</v>
      </c>
      <c r="AF19" s="33">
        <f>SUMIFS('Bilateral assistance, MAIN DATA'!$N:$N,'Bilateral assistance, MAIN DATA'!$B:$B,AF$1, 'Bilateral assistance, MAIN DATA'!$I:$I,$A19)</f>
        <v>0</v>
      </c>
      <c r="AG19" s="33">
        <f>SUMIFS('Bilateral assistance, MAIN DATA'!$N:$N,'Bilateral assistance, MAIN DATA'!$B:$B,AG$1, 'Bilateral assistance, MAIN DATA'!$I:$I,$A19)</f>
        <v>0</v>
      </c>
      <c r="AH19" s="33">
        <f>SUMIFS('Bilateral assistance, MAIN DATA'!$N:$N,'Bilateral assistance, MAIN DATA'!$B:$B,AH$1, 'Bilateral assistance, MAIN DATA'!$I:$I,$A19)</f>
        <v>0</v>
      </c>
      <c r="AI19" s="33">
        <f>SUMIFS('Bilateral assistance, MAIN DATA'!$N:$N,'Bilateral assistance, MAIN DATA'!$B:$B,AI$1, 'Bilateral assistance, MAIN DATA'!$I:$I,$A19)</f>
        <v>0</v>
      </c>
      <c r="AJ19" s="33">
        <f>SUMIFS('Bilateral assistance, MAIN DATA'!$N:$N,'Bilateral assistance, MAIN DATA'!$B:$B,AJ$1, 'Bilateral assistance, MAIN DATA'!$I:$I,$A19)</f>
        <v>0</v>
      </c>
      <c r="AK19" s="33">
        <f>SUMIFS('Bilateral assistance, MAIN DATA'!$N:$N,'Bilateral assistance, MAIN DATA'!$B:$B,AK$1, 'Bilateral assistance, MAIN DATA'!$I:$I,$A19)</f>
        <v>0</v>
      </c>
      <c r="AL19" s="33">
        <f>SUMIFS('Bilateral assistance, MAIN DATA'!$N:$N,'Bilateral assistance, MAIN DATA'!$B:$B,AL$1, 'Bilateral assistance, MAIN DATA'!$I:$I,$A19)</f>
        <v>0</v>
      </c>
      <c r="AM19" s="33">
        <f>SUMIFS('Bilateral assistance, MAIN DATA'!$N:$N,'Bilateral assistance, MAIN DATA'!$B:$B,AM$1, 'Bilateral assistance, MAIN DATA'!$I:$I,$A19)</f>
        <v>0</v>
      </c>
      <c r="AN19" s="33">
        <f>SUMIFS('Bilateral assistance, MAIN DATA'!$N:$N,'Bilateral assistance, MAIN DATA'!$B:$B,AN$1, 'Bilateral assistance, MAIN DATA'!$I:$I,$A19)</f>
        <v>0</v>
      </c>
      <c r="AO19" s="33">
        <f>SUMIFS('Bilateral assistance, MAIN DATA'!$N:$N,'Bilateral assistance, MAIN DATA'!$B:$B,AO$1, 'Bilateral assistance, MAIN DATA'!$I:$I,$A19)</f>
        <v>0</v>
      </c>
      <c r="AP19" s="33">
        <f>SUMIFS('Bilateral assistance, MAIN DATA'!$N:$N,'Bilateral assistance, MAIN DATA'!$B:$B,AP$1, 'Bilateral assistance, MAIN DATA'!$I:$I,$A19)</f>
        <v>0</v>
      </c>
      <c r="AQ19" s="33">
        <f>SUMIFS('Bilateral assistance, MAIN DATA'!$N:$N,'Bilateral assistance, MAIN DATA'!$B:$B,AQ$1, 'Bilateral assistance, MAIN DATA'!$I:$I,$A19)</f>
        <v>0</v>
      </c>
      <c r="AR19" s="33">
        <f>SUMIFS('Bilateral assistance, MAIN DATA'!$N:$N,'Bilateral assistance, MAIN DATA'!$B:$B,AR$1, 'Bilateral assistance, MAIN DATA'!$I:$I,$A19)</f>
        <v>0</v>
      </c>
      <c r="AS19" s="33">
        <f>SUMIFS('Bilateral assistance, MAIN DATA'!$N:$N,'Bilateral assistance, MAIN DATA'!$B:$B,AS$1, 'Bilateral assistance, MAIN DATA'!$I:$I,$A19)</f>
        <v>108</v>
      </c>
    </row>
    <row r="20" spans="1:45">
      <c r="A20" s="27" t="s">
        <v>1440</v>
      </c>
      <c r="B20" s="33">
        <f t="shared" si="0"/>
        <v>0</v>
      </c>
      <c r="C20" s="645" t="s">
        <v>2234</v>
      </c>
      <c r="D20" s="33" t="s">
        <v>4150</v>
      </c>
      <c r="F20" s="33">
        <f>SUMIFS('Bilateral assistance, MAIN DATA'!$N:$N,'Bilateral assistance, MAIN DATA'!$B:$B,F$1, 'Bilateral assistance, MAIN DATA'!$I:$I,$A20)</f>
        <v>0</v>
      </c>
      <c r="G20" s="33">
        <f>SUMIFS('Bilateral assistance, MAIN DATA'!$N:$N,'Bilateral assistance, MAIN DATA'!$B:$B,G$1, 'Bilateral assistance, MAIN DATA'!$I:$I,$A20)</f>
        <v>0</v>
      </c>
      <c r="H20" s="33">
        <f>SUMIFS('Bilateral assistance, MAIN DATA'!$N:$N,'Bilateral assistance, MAIN DATA'!$B:$B,H$1, 'Bilateral assistance, MAIN DATA'!$I:$I,$A20)</f>
        <v>0</v>
      </c>
      <c r="I20" s="33">
        <f>SUMIFS('Bilateral assistance, MAIN DATA'!$N:$N,'Bilateral assistance, MAIN DATA'!$B:$B,I$1, 'Bilateral assistance, MAIN DATA'!$I:$I,$A20)</f>
        <v>0</v>
      </c>
      <c r="J20" s="33">
        <f>SUMIFS('Bilateral assistance, MAIN DATA'!$N:$N,'Bilateral assistance, MAIN DATA'!$B:$B,J$1, 'Bilateral assistance, MAIN DATA'!$I:$I,$A20)</f>
        <v>0</v>
      </c>
      <c r="K20" s="33">
        <f>SUMIFS('Bilateral assistance, MAIN DATA'!$N:$N,'Bilateral assistance, MAIN DATA'!$B:$B,K$1, 'Bilateral assistance, MAIN DATA'!$I:$I,$A20)</f>
        <v>0</v>
      </c>
      <c r="L20" s="33">
        <f>SUMIFS('Bilateral assistance, MAIN DATA'!$N:$N,'Bilateral assistance, MAIN DATA'!$B:$B,L$1, 'Bilateral assistance, MAIN DATA'!$I:$I,$A20)</f>
        <v>0</v>
      </c>
      <c r="M20" s="33">
        <f>SUMIFS('Bilateral assistance, MAIN DATA'!$N:$N,'Bilateral assistance, MAIN DATA'!$B:$B,M$1, 'Bilateral assistance, MAIN DATA'!$I:$I,$A20)</f>
        <v>0</v>
      </c>
      <c r="N20" s="33">
        <f>SUMIFS('Bilateral assistance, MAIN DATA'!$N:$N,'Bilateral assistance, MAIN DATA'!$B:$B,N$1, 'Bilateral assistance, MAIN DATA'!$I:$I,$A20)</f>
        <v>0</v>
      </c>
      <c r="O20" s="33">
        <f>SUMIFS('Bilateral assistance, MAIN DATA'!$N:$N,'Bilateral assistance, MAIN DATA'!$B:$B,O$1, 'Bilateral assistance, MAIN DATA'!$I:$I,$A20)</f>
        <v>0</v>
      </c>
      <c r="P20" s="33">
        <f>SUMIFS('Bilateral assistance, MAIN DATA'!$N:$N,'Bilateral assistance, MAIN DATA'!$B:$B,P$1, 'Bilateral assistance, MAIN DATA'!$I:$I,$A20)</f>
        <v>0</v>
      </c>
      <c r="Q20" s="33">
        <f>SUMIFS('Bilateral assistance, MAIN DATA'!$N:$N,'Bilateral assistance, MAIN DATA'!$B:$B,Q$1, 'Bilateral assistance, MAIN DATA'!$I:$I,$A20)</f>
        <v>0</v>
      </c>
      <c r="R20" s="33">
        <f>SUMIFS('Bilateral assistance, MAIN DATA'!$N:$N,'Bilateral assistance, MAIN DATA'!$B:$B,R$1, 'Bilateral assistance, MAIN DATA'!$I:$I,$A20)</f>
        <v>0</v>
      </c>
      <c r="S20" s="33">
        <f>SUMIFS('Bilateral assistance, MAIN DATA'!$N:$N,'Bilateral assistance, MAIN DATA'!$B:$B,S$1, 'Bilateral assistance, MAIN DATA'!$I:$I,$A20)</f>
        <v>0</v>
      </c>
      <c r="T20" s="33">
        <f>SUMIFS('Bilateral assistance, MAIN DATA'!$N:$N,'Bilateral assistance, MAIN DATA'!$B:$B,T$1, 'Bilateral assistance, MAIN DATA'!$I:$I,$A20)</f>
        <v>0</v>
      </c>
      <c r="U20" s="33">
        <f>SUMIFS('Bilateral assistance, MAIN DATA'!$N:$N,'Bilateral assistance, MAIN DATA'!$B:$B,U$1, 'Bilateral assistance, MAIN DATA'!$I:$I,$A20)</f>
        <v>0</v>
      </c>
      <c r="V20" s="33">
        <f>SUMIFS('Bilateral assistance, MAIN DATA'!$N:$N,'Bilateral assistance, MAIN DATA'!$B:$B,V$1, 'Bilateral assistance, MAIN DATA'!$I:$I,$A20)</f>
        <v>0</v>
      </c>
      <c r="W20" s="33">
        <f>SUMIFS('Bilateral assistance, MAIN DATA'!$N:$N,'Bilateral assistance, MAIN DATA'!$B:$B,W$1, 'Bilateral assistance, MAIN DATA'!$I:$I,$A20)</f>
        <v>0</v>
      </c>
      <c r="X20" s="33">
        <f>SUMIFS('Bilateral assistance, MAIN DATA'!$N:$N,'Bilateral assistance, MAIN DATA'!$B:$B,X$1, 'Bilateral assistance, MAIN DATA'!$I:$I,$A20)</f>
        <v>0</v>
      </c>
      <c r="Y20" s="33">
        <f>SUMIFS('Bilateral assistance, MAIN DATA'!$N:$N,'Bilateral assistance, MAIN DATA'!$B:$B,Y$1, 'Bilateral assistance, MAIN DATA'!$I:$I,$A20)</f>
        <v>0</v>
      </c>
      <c r="Z20" s="33">
        <f>SUMIFS('Bilateral assistance, MAIN DATA'!$N:$N,'Bilateral assistance, MAIN DATA'!$B:$B,Z$1, 'Bilateral assistance, MAIN DATA'!$I:$I,$A20)</f>
        <v>0</v>
      </c>
      <c r="AA20" s="33">
        <f>SUMIFS('Bilateral assistance, MAIN DATA'!$N:$N,'Bilateral assistance, MAIN DATA'!$B:$B,AA$1, 'Bilateral assistance, MAIN DATA'!$I:$I,$A20)</f>
        <v>0</v>
      </c>
      <c r="AB20" s="33">
        <f>SUMIFS('Bilateral assistance, MAIN DATA'!$N:$N,'Bilateral assistance, MAIN DATA'!$B:$B,AB$1, 'Bilateral assistance, MAIN DATA'!$I:$I,$A20)</f>
        <v>0</v>
      </c>
      <c r="AC20" s="33">
        <f>SUMIFS('Bilateral assistance, MAIN DATA'!$N:$N,'Bilateral assistance, MAIN DATA'!$B:$B,AC$1, 'Bilateral assistance, MAIN DATA'!$I:$I,$A20)</f>
        <v>0</v>
      </c>
      <c r="AD20" s="33">
        <f>SUMIFS('Bilateral assistance, MAIN DATA'!$N:$N,'Bilateral assistance, MAIN DATA'!$B:$B,AD$1, 'Bilateral assistance, MAIN DATA'!$I:$I,$A20)</f>
        <v>0</v>
      </c>
      <c r="AE20" s="33">
        <f>SUMIFS('Bilateral assistance, MAIN DATA'!$N:$N,'Bilateral assistance, MAIN DATA'!$B:$B,AE$1, 'Bilateral assistance, MAIN DATA'!$I:$I,$A20)</f>
        <v>0</v>
      </c>
      <c r="AF20" s="33">
        <f>SUMIFS('Bilateral assistance, MAIN DATA'!$N:$N,'Bilateral assistance, MAIN DATA'!$B:$B,AF$1, 'Bilateral assistance, MAIN DATA'!$I:$I,$A20)</f>
        <v>0</v>
      </c>
      <c r="AG20" s="33">
        <f>SUMIFS('Bilateral assistance, MAIN DATA'!$N:$N,'Bilateral assistance, MAIN DATA'!$B:$B,AG$1, 'Bilateral assistance, MAIN DATA'!$I:$I,$A20)</f>
        <v>0</v>
      </c>
      <c r="AH20" s="33">
        <f>SUMIFS('Bilateral assistance, MAIN DATA'!$N:$N,'Bilateral assistance, MAIN DATA'!$B:$B,AH$1, 'Bilateral assistance, MAIN DATA'!$I:$I,$A20)</f>
        <v>0</v>
      </c>
      <c r="AI20" s="33">
        <f>SUMIFS('Bilateral assistance, MAIN DATA'!$N:$N,'Bilateral assistance, MAIN DATA'!$B:$B,AI$1, 'Bilateral assistance, MAIN DATA'!$I:$I,$A20)</f>
        <v>0</v>
      </c>
      <c r="AJ20" s="33">
        <f>SUMIFS('Bilateral assistance, MAIN DATA'!$N:$N,'Bilateral assistance, MAIN DATA'!$B:$B,AJ$1, 'Bilateral assistance, MAIN DATA'!$I:$I,$A20)</f>
        <v>0</v>
      </c>
      <c r="AK20" s="33">
        <f>SUMIFS('Bilateral assistance, MAIN DATA'!$N:$N,'Bilateral assistance, MAIN DATA'!$B:$B,AK$1, 'Bilateral assistance, MAIN DATA'!$I:$I,$A20)</f>
        <v>0</v>
      </c>
      <c r="AL20" s="33">
        <f>SUMIFS('Bilateral assistance, MAIN DATA'!$N:$N,'Bilateral assistance, MAIN DATA'!$B:$B,AL$1, 'Bilateral assistance, MAIN DATA'!$I:$I,$A20)</f>
        <v>0</v>
      </c>
      <c r="AM20" s="33">
        <f>SUMIFS('Bilateral assistance, MAIN DATA'!$N:$N,'Bilateral assistance, MAIN DATA'!$B:$B,AM$1, 'Bilateral assistance, MAIN DATA'!$I:$I,$A20)</f>
        <v>0</v>
      </c>
      <c r="AN20" s="33">
        <f>SUMIFS('Bilateral assistance, MAIN DATA'!$N:$N,'Bilateral assistance, MAIN DATA'!$B:$B,AN$1, 'Bilateral assistance, MAIN DATA'!$I:$I,$A20)</f>
        <v>0</v>
      </c>
      <c r="AO20" s="33">
        <f>SUMIFS('Bilateral assistance, MAIN DATA'!$N:$N,'Bilateral assistance, MAIN DATA'!$B:$B,AO$1, 'Bilateral assistance, MAIN DATA'!$I:$I,$A20)</f>
        <v>0</v>
      </c>
      <c r="AP20" s="33">
        <f>SUMIFS('Bilateral assistance, MAIN DATA'!$N:$N,'Bilateral assistance, MAIN DATA'!$B:$B,AP$1, 'Bilateral assistance, MAIN DATA'!$I:$I,$A20)</f>
        <v>0</v>
      </c>
      <c r="AQ20" s="33">
        <f>SUMIFS('Bilateral assistance, MAIN DATA'!$N:$N,'Bilateral assistance, MAIN DATA'!$B:$B,AQ$1, 'Bilateral assistance, MAIN DATA'!$I:$I,$A20)</f>
        <v>0</v>
      </c>
      <c r="AR20" s="33">
        <f>SUMIFS('Bilateral assistance, MAIN DATA'!$N:$N,'Bilateral assistance, MAIN DATA'!$B:$B,AR$1, 'Bilateral assistance, MAIN DATA'!$I:$I,$A20)</f>
        <v>0</v>
      </c>
      <c r="AS20" s="33">
        <f>SUMIFS('Bilateral assistance, MAIN DATA'!$N:$N,'Bilateral assistance, MAIN DATA'!$B:$B,AS$1, 'Bilateral assistance, MAIN DATA'!$I:$I,$A20)</f>
        <v>0</v>
      </c>
    </row>
    <row r="21" spans="1:45">
      <c r="A21" s="27" t="s">
        <v>1108</v>
      </c>
      <c r="B21" s="33">
        <f t="shared" si="0"/>
        <v>18</v>
      </c>
      <c r="C21" s="645" t="s">
        <v>2234</v>
      </c>
      <c r="D21" s="33" t="s">
        <v>4150</v>
      </c>
      <c r="F21" s="33">
        <f>SUMIFS('Bilateral assistance, MAIN DATA'!$N:$N,'Bilateral assistance, MAIN DATA'!$B:$B,F$1, 'Bilateral assistance, MAIN DATA'!$I:$I,$A21)</f>
        <v>0</v>
      </c>
      <c r="G21" s="33">
        <f>SUMIFS('Bilateral assistance, MAIN DATA'!$N:$N,'Bilateral assistance, MAIN DATA'!$B:$B,G$1, 'Bilateral assistance, MAIN DATA'!$I:$I,$A21)</f>
        <v>0</v>
      </c>
      <c r="H21" s="33">
        <f>SUMIFS('Bilateral assistance, MAIN DATA'!$N:$N,'Bilateral assistance, MAIN DATA'!$B:$B,H$1, 'Bilateral assistance, MAIN DATA'!$I:$I,$A21)</f>
        <v>0</v>
      </c>
      <c r="I21" s="33">
        <f>SUMIFS('Bilateral assistance, MAIN DATA'!$N:$N,'Bilateral assistance, MAIN DATA'!$B:$B,I$1, 'Bilateral assistance, MAIN DATA'!$I:$I,$A21)</f>
        <v>0</v>
      </c>
      <c r="J21" s="33">
        <f>SUMIFS('Bilateral assistance, MAIN DATA'!$N:$N,'Bilateral assistance, MAIN DATA'!$B:$B,J$1, 'Bilateral assistance, MAIN DATA'!$I:$I,$A21)</f>
        <v>0</v>
      </c>
      <c r="K21" s="33">
        <f>SUMIFS('Bilateral assistance, MAIN DATA'!$N:$N,'Bilateral assistance, MAIN DATA'!$B:$B,K$1, 'Bilateral assistance, MAIN DATA'!$I:$I,$A21)</f>
        <v>0</v>
      </c>
      <c r="L21" s="33">
        <f>SUMIFS('Bilateral assistance, MAIN DATA'!$N:$N,'Bilateral assistance, MAIN DATA'!$B:$B,L$1, 'Bilateral assistance, MAIN DATA'!$I:$I,$A21)</f>
        <v>0</v>
      </c>
      <c r="M21" s="33">
        <f>SUMIFS('Bilateral assistance, MAIN DATA'!$N:$N,'Bilateral assistance, MAIN DATA'!$B:$B,M$1, 'Bilateral assistance, MAIN DATA'!$I:$I,$A21)</f>
        <v>0</v>
      </c>
      <c r="N21" s="33">
        <f>SUMIFS('Bilateral assistance, MAIN DATA'!$N:$N,'Bilateral assistance, MAIN DATA'!$B:$B,N$1, 'Bilateral assistance, MAIN DATA'!$I:$I,$A21)</f>
        <v>0</v>
      </c>
      <c r="O21" s="33">
        <f>SUMIFS('Bilateral assistance, MAIN DATA'!$N:$N,'Bilateral assistance, MAIN DATA'!$B:$B,O$1, 'Bilateral assistance, MAIN DATA'!$I:$I,$A21)</f>
        <v>0</v>
      </c>
      <c r="P21" s="33">
        <f>SUMIFS('Bilateral assistance, MAIN DATA'!$N:$N,'Bilateral assistance, MAIN DATA'!$B:$B,P$1, 'Bilateral assistance, MAIN DATA'!$I:$I,$A21)</f>
        <v>0</v>
      </c>
      <c r="Q21" s="33">
        <f>SUMIFS('Bilateral assistance, MAIN DATA'!$N:$N,'Bilateral assistance, MAIN DATA'!$B:$B,Q$1, 'Bilateral assistance, MAIN DATA'!$I:$I,$A21)</f>
        <v>0</v>
      </c>
      <c r="R21" s="33">
        <f>SUMIFS('Bilateral assistance, MAIN DATA'!$N:$N,'Bilateral assistance, MAIN DATA'!$B:$B,R$1, 'Bilateral assistance, MAIN DATA'!$I:$I,$A21)</f>
        <v>0</v>
      </c>
      <c r="S21" s="33">
        <f>SUMIFS('Bilateral assistance, MAIN DATA'!$N:$N,'Bilateral assistance, MAIN DATA'!$B:$B,S$1, 'Bilateral assistance, MAIN DATA'!$I:$I,$A21)</f>
        <v>0</v>
      </c>
      <c r="T21" s="33">
        <f>SUMIFS('Bilateral assistance, MAIN DATA'!$N:$N,'Bilateral assistance, MAIN DATA'!$B:$B,T$1, 'Bilateral assistance, MAIN DATA'!$I:$I,$A21)</f>
        <v>18</v>
      </c>
      <c r="U21" s="33">
        <f>SUMIFS('Bilateral assistance, MAIN DATA'!$N:$N,'Bilateral assistance, MAIN DATA'!$B:$B,U$1, 'Bilateral assistance, MAIN DATA'!$I:$I,$A21)</f>
        <v>0</v>
      </c>
      <c r="V21" s="33">
        <f>SUMIFS('Bilateral assistance, MAIN DATA'!$N:$N,'Bilateral assistance, MAIN DATA'!$B:$B,V$1, 'Bilateral assistance, MAIN DATA'!$I:$I,$A21)</f>
        <v>0</v>
      </c>
      <c r="W21" s="33">
        <f>SUMIFS('Bilateral assistance, MAIN DATA'!$N:$N,'Bilateral assistance, MAIN DATA'!$B:$B,W$1, 'Bilateral assistance, MAIN DATA'!$I:$I,$A21)</f>
        <v>0</v>
      </c>
      <c r="X21" s="33">
        <f>SUMIFS('Bilateral assistance, MAIN DATA'!$N:$N,'Bilateral assistance, MAIN DATA'!$B:$B,X$1, 'Bilateral assistance, MAIN DATA'!$I:$I,$A21)</f>
        <v>0</v>
      </c>
      <c r="Y21" s="33">
        <f>SUMIFS('Bilateral assistance, MAIN DATA'!$N:$N,'Bilateral assistance, MAIN DATA'!$B:$B,Y$1, 'Bilateral assistance, MAIN DATA'!$I:$I,$A21)</f>
        <v>0</v>
      </c>
      <c r="Z21" s="33">
        <f>SUMIFS('Bilateral assistance, MAIN DATA'!$N:$N,'Bilateral assistance, MAIN DATA'!$B:$B,Z$1, 'Bilateral assistance, MAIN DATA'!$I:$I,$A21)</f>
        <v>0</v>
      </c>
      <c r="AA21" s="33">
        <f>SUMIFS('Bilateral assistance, MAIN DATA'!$N:$N,'Bilateral assistance, MAIN DATA'!$B:$B,AA$1, 'Bilateral assistance, MAIN DATA'!$I:$I,$A21)</f>
        <v>0</v>
      </c>
      <c r="AB21" s="33">
        <f>SUMIFS('Bilateral assistance, MAIN DATA'!$N:$N,'Bilateral assistance, MAIN DATA'!$B:$B,AB$1, 'Bilateral assistance, MAIN DATA'!$I:$I,$A21)</f>
        <v>0</v>
      </c>
      <c r="AC21" s="33">
        <f>SUMIFS('Bilateral assistance, MAIN DATA'!$N:$N,'Bilateral assistance, MAIN DATA'!$B:$B,AC$1, 'Bilateral assistance, MAIN DATA'!$I:$I,$A21)</f>
        <v>0</v>
      </c>
      <c r="AD21" s="33">
        <f>SUMIFS('Bilateral assistance, MAIN DATA'!$N:$N,'Bilateral assistance, MAIN DATA'!$B:$B,AD$1, 'Bilateral assistance, MAIN DATA'!$I:$I,$A21)</f>
        <v>0</v>
      </c>
      <c r="AE21" s="33">
        <f>SUMIFS('Bilateral assistance, MAIN DATA'!$N:$N,'Bilateral assistance, MAIN DATA'!$B:$B,AE$1, 'Bilateral assistance, MAIN DATA'!$I:$I,$A21)</f>
        <v>0</v>
      </c>
      <c r="AF21" s="33">
        <f>SUMIFS('Bilateral assistance, MAIN DATA'!$N:$N,'Bilateral assistance, MAIN DATA'!$B:$B,AF$1, 'Bilateral assistance, MAIN DATA'!$I:$I,$A21)</f>
        <v>0</v>
      </c>
      <c r="AG21" s="33">
        <f>SUMIFS('Bilateral assistance, MAIN DATA'!$N:$N,'Bilateral assistance, MAIN DATA'!$B:$B,AG$1, 'Bilateral assistance, MAIN DATA'!$I:$I,$A21)</f>
        <v>0</v>
      </c>
      <c r="AH21" s="33">
        <f>SUMIFS('Bilateral assistance, MAIN DATA'!$N:$N,'Bilateral assistance, MAIN DATA'!$B:$B,AH$1, 'Bilateral assistance, MAIN DATA'!$I:$I,$A21)</f>
        <v>0</v>
      </c>
      <c r="AI21" s="33">
        <f>SUMIFS('Bilateral assistance, MAIN DATA'!$N:$N,'Bilateral assistance, MAIN DATA'!$B:$B,AI$1, 'Bilateral assistance, MAIN DATA'!$I:$I,$A21)</f>
        <v>0</v>
      </c>
      <c r="AJ21" s="33">
        <f>SUMIFS('Bilateral assistance, MAIN DATA'!$N:$N,'Bilateral assistance, MAIN DATA'!$B:$B,AJ$1, 'Bilateral assistance, MAIN DATA'!$I:$I,$A21)</f>
        <v>0</v>
      </c>
      <c r="AK21" s="33">
        <f>SUMIFS('Bilateral assistance, MAIN DATA'!$N:$N,'Bilateral assistance, MAIN DATA'!$B:$B,AK$1, 'Bilateral assistance, MAIN DATA'!$I:$I,$A21)</f>
        <v>0</v>
      </c>
      <c r="AL21" s="33">
        <f>SUMIFS('Bilateral assistance, MAIN DATA'!$N:$N,'Bilateral assistance, MAIN DATA'!$B:$B,AL$1, 'Bilateral assistance, MAIN DATA'!$I:$I,$A21)</f>
        <v>0</v>
      </c>
      <c r="AM21" s="33">
        <f>SUMIFS('Bilateral assistance, MAIN DATA'!$N:$N,'Bilateral assistance, MAIN DATA'!$B:$B,AM$1, 'Bilateral assistance, MAIN DATA'!$I:$I,$A21)</f>
        <v>0</v>
      </c>
      <c r="AN21" s="33">
        <f>SUMIFS('Bilateral assistance, MAIN DATA'!$N:$N,'Bilateral assistance, MAIN DATA'!$B:$B,AN$1, 'Bilateral assistance, MAIN DATA'!$I:$I,$A21)</f>
        <v>0</v>
      </c>
      <c r="AO21" s="33">
        <f>SUMIFS('Bilateral assistance, MAIN DATA'!$N:$N,'Bilateral assistance, MAIN DATA'!$B:$B,AO$1, 'Bilateral assistance, MAIN DATA'!$I:$I,$A21)</f>
        <v>0</v>
      </c>
      <c r="AP21" s="33">
        <f>SUMIFS('Bilateral assistance, MAIN DATA'!$N:$N,'Bilateral assistance, MAIN DATA'!$B:$B,AP$1, 'Bilateral assistance, MAIN DATA'!$I:$I,$A21)</f>
        <v>0</v>
      </c>
      <c r="AQ21" s="33">
        <f>SUMIFS('Bilateral assistance, MAIN DATA'!$N:$N,'Bilateral assistance, MAIN DATA'!$B:$B,AQ$1, 'Bilateral assistance, MAIN DATA'!$I:$I,$A21)</f>
        <v>0</v>
      </c>
      <c r="AR21" s="33">
        <f>SUMIFS('Bilateral assistance, MAIN DATA'!$N:$N,'Bilateral assistance, MAIN DATA'!$B:$B,AR$1, 'Bilateral assistance, MAIN DATA'!$I:$I,$A21)</f>
        <v>0</v>
      </c>
      <c r="AS21" s="33">
        <f>SUMIFS('Bilateral assistance, MAIN DATA'!$N:$N,'Bilateral assistance, MAIN DATA'!$B:$B,AS$1, 'Bilateral assistance, MAIN DATA'!$I:$I,$A21)</f>
        <v>0</v>
      </c>
    </row>
    <row r="22" spans="1:45">
      <c r="A22" s="27" t="s">
        <v>4151</v>
      </c>
      <c r="B22" s="33">
        <f t="shared" si="0"/>
        <v>0</v>
      </c>
      <c r="C22" s="645" t="s">
        <v>2234</v>
      </c>
      <c r="D22" s="33" t="s">
        <v>4150</v>
      </c>
      <c r="F22" s="33">
        <f>SUMIFS('Bilateral assistance, MAIN DATA'!$N:$N,'Bilateral assistance, MAIN DATA'!$B:$B,F$1, 'Bilateral assistance, MAIN DATA'!$I:$I,$A22)</f>
        <v>0</v>
      </c>
      <c r="G22" s="33">
        <f>SUMIFS('Bilateral assistance, MAIN DATA'!$N:$N,'Bilateral assistance, MAIN DATA'!$B:$B,G$1, 'Bilateral assistance, MAIN DATA'!$I:$I,$A22)</f>
        <v>0</v>
      </c>
      <c r="H22" s="33">
        <f>SUMIFS('Bilateral assistance, MAIN DATA'!$N:$N,'Bilateral assistance, MAIN DATA'!$B:$B,H$1, 'Bilateral assistance, MAIN DATA'!$I:$I,$A22)</f>
        <v>0</v>
      </c>
      <c r="I22" s="33">
        <f>SUMIFS('Bilateral assistance, MAIN DATA'!$N:$N,'Bilateral assistance, MAIN DATA'!$B:$B,I$1, 'Bilateral assistance, MAIN DATA'!$I:$I,$A22)</f>
        <v>0</v>
      </c>
      <c r="J22" s="33">
        <f>SUMIFS('Bilateral assistance, MAIN DATA'!$N:$N,'Bilateral assistance, MAIN DATA'!$B:$B,J$1, 'Bilateral assistance, MAIN DATA'!$I:$I,$A22)</f>
        <v>0</v>
      </c>
      <c r="K22" s="33">
        <f>SUMIFS('Bilateral assistance, MAIN DATA'!$N:$N,'Bilateral assistance, MAIN DATA'!$B:$B,K$1, 'Bilateral assistance, MAIN DATA'!$I:$I,$A22)</f>
        <v>0</v>
      </c>
      <c r="L22" s="33">
        <f>SUMIFS('Bilateral assistance, MAIN DATA'!$N:$N,'Bilateral assistance, MAIN DATA'!$B:$B,L$1, 'Bilateral assistance, MAIN DATA'!$I:$I,$A22)</f>
        <v>0</v>
      </c>
      <c r="M22" s="33">
        <f>SUMIFS('Bilateral assistance, MAIN DATA'!$N:$N,'Bilateral assistance, MAIN DATA'!$B:$B,M$1, 'Bilateral assistance, MAIN DATA'!$I:$I,$A22)</f>
        <v>0</v>
      </c>
      <c r="N22" s="33">
        <f>SUMIFS('Bilateral assistance, MAIN DATA'!$N:$N,'Bilateral assistance, MAIN DATA'!$B:$B,N$1, 'Bilateral assistance, MAIN DATA'!$I:$I,$A22)</f>
        <v>0</v>
      </c>
      <c r="O22" s="33">
        <f>SUMIFS('Bilateral assistance, MAIN DATA'!$N:$N,'Bilateral assistance, MAIN DATA'!$B:$B,O$1, 'Bilateral assistance, MAIN DATA'!$I:$I,$A22)</f>
        <v>0</v>
      </c>
      <c r="P22" s="33">
        <f>SUMIFS('Bilateral assistance, MAIN DATA'!$N:$N,'Bilateral assistance, MAIN DATA'!$B:$B,P$1, 'Bilateral assistance, MAIN DATA'!$I:$I,$A22)</f>
        <v>0</v>
      </c>
      <c r="Q22" s="33">
        <f>SUMIFS('Bilateral assistance, MAIN DATA'!$N:$N,'Bilateral assistance, MAIN DATA'!$B:$B,Q$1, 'Bilateral assistance, MAIN DATA'!$I:$I,$A22)</f>
        <v>0</v>
      </c>
      <c r="R22" s="33">
        <f>SUMIFS('Bilateral assistance, MAIN DATA'!$N:$N,'Bilateral assistance, MAIN DATA'!$B:$B,R$1, 'Bilateral assistance, MAIN DATA'!$I:$I,$A22)</f>
        <v>0</v>
      </c>
      <c r="S22" s="33">
        <f>SUMIFS('Bilateral assistance, MAIN DATA'!$N:$N,'Bilateral assistance, MAIN DATA'!$B:$B,S$1, 'Bilateral assistance, MAIN DATA'!$I:$I,$A22)</f>
        <v>0</v>
      </c>
      <c r="T22" s="33">
        <f>SUMIFS('Bilateral assistance, MAIN DATA'!$N:$N,'Bilateral assistance, MAIN DATA'!$B:$B,T$1, 'Bilateral assistance, MAIN DATA'!$I:$I,$A22)</f>
        <v>0</v>
      </c>
      <c r="U22" s="33">
        <f>SUMIFS('Bilateral assistance, MAIN DATA'!$N:$N,'Bilateral assistance, MAIN DATA'!$B:$B,U$1, 'Bilateral assistance, MAIN DATA'!$I:$I,$A22)</f>
        <v>0</v>
      </c>
      <c r="V22" s="33">
        <f>SUMIFS('Bilateral assistance, MAIN DATA'!$N:$N,'Bilateral assistance, MAIN DATA'!$B:$B,V$1, 'Bilateral assistance, MAIN DATA'!$I:$I,$A22)</f>
        <v>0</v>
      </c>
      <c r="W22" s="33">
        <f>SUMIFS('Bilateral assistance, MAIN DATA'!$N:$N,'Bilateral assistance, MAIN DATA'!$B:$B,W$1, 'Bilateral assistance, MAIN DATA'!$I:$I,$A22)</f>
        <v>0</v>
      </c>
      <c r="X22" s="33">
        <f>SUMIFS('Bilateral assistance, MAIN DATA'!$N:$N,'Bilateral assistance, MAIN DATA'!$B:$B,X$1, 'Bilateral assistance, MAIN DATA'!$I:$I,$A22)</f>
        <v>0</v>
      </c>
      <c r="Y22" s="33">
        <f>SUMIFS('Bilateral assistance, MAIN DATA'!$N:$N,'Bilateral assistance, MAIN DATA'!$B:$B,Y$1, 'Bilateral assistance, MAIN DATA'!$I:$I,$A22)</f>
        <v>0</v>
      </c>
      <c r="Z22" s="33">
        <f>SUMIFS('Bilateral assistance, MAIN DATA'!$N:$N,'Bilateral assistance, MAIN DATA'!$B:$B,Z$1, 'Bilateral assistance, MAIN DATA'!$I:$I,$A22)</f>
        <v>0</v>
      </c>
      <c r="AA22" s="33">
        <f>SUMIFS('Bilateral assistance, MAIN DATA'!$N:$N,'Bilateral assistance, MAIN DATA'!$B:$B,AA$1, 'Bilateral assistance, MAIN DATA'!$I:$I,$A22)</f>
        <v>0</v>
      </c>
      <c r="AB22" s="33">
        <f>SUMIFS('Bilateral assistance, MAIN DATA'!$N:$N,'Bilateral assistance, MAIN DATA'!$B:$B,AB$1, 'Bilateral assistance, MAIN DATA'!$I:$I,$A22)</f>
        <v>0</v>
      </c>
      <c r="AC22" s="33">
        <f>SUMIFS('Bilateral assistance, MAIN DATA'!$N:$N,'Bilateral assistance, MAIN DATA'!$B:$B,AC$1, 'Bilateral assistance, MAIN DATA'!$I:$I,$A22)</f>
        <v>0</v>
      </c>
      <c r="AD22" s="33">
        <f>SUMIFS('Bilateral assistance, MAIN DATA'!$N:$N,'Bilateral assistance, MAIN DATA'!$B:$B,AD$1, 'Bilateral assistance, MAIN DATA'!$I:$I,$A22)</f>
        <v>0</v>
      </c>
      <c r="AE22" s="33">
        <f>SUMIFS('Bilateral assistance, MAIN DATA'!$N:$N,'Bilateral assistance, MAIN DATA'!$B:$B,AE$1, 'Bilateral assistance, MAIN DATA'!$I:$I,$A22)</f>
        <v>0</v>
      </c>
      <c r="AF22" s="33">
        <f>SUMIFS('Bilateral assistance, MAIN DATA'!$N:$N,'Bilateral assistance, MAIN DATA'!$B:$B,AF$1, 'Bilateral assistance, MAIN DATA'!$I:$I,$A22)</f>
        <v>0</v>
      </c>
      <c r="AG22" s="33">
        <f>SUMIFS('Bilateral assistance, MAIN DATA'!$N:$N,'Bilateral assistance, MAIN DATA'!$B:$B,AG$1, 'Bilateral assistance, MAIN DATA'!$I:$I,$A22)</f>
        <v>0</v>
      </c>
      <c r="AH22" s="33">
        <f>SUMIFS('Bilateral assistance, MAIN DATA'!$N:$N,'Bilateral assistance, MAIN DATA'!$B:$B,AH$1, 'Bilateral assistance, MAIN DATA'!$I:$I,$A22)</f>
        <v>0</v>
      </c>
      <c r="AI22" s="33">
        <f>SUMIFS('Bilateral assistance, MAIN DATA'!$N:$N,'Bilateral assistance, MAIN DATA'!$B:$B,AI$1, 'Bilateral assistance, MAIN DATA'!$I:$I,$A22)</f>
        <v>0</v>
      </c>
      <c r="AJ22" s="33">
        <f>SUMIFS('Bilateral assistance, MAIN DATA'!$N:$N,'Bilateral assistance, MAIN DATA'!$B:$B,AJ$1, 'Bilateral assistance, MAIN DATA'!$I:$I,$A22)</f>
        <v>0</v>
      </c>
      <c r="AK22" s="33">
        <f>SUMIFS('Bilateral assistance, MAIN DATA'!$N:$N,'Bilateral assistance, MAIN DATA'!$B:$B,AK$1, 'Bilateral assistance, MAIN DATA'!$I:$I,$A22)</f>
        <v>0</v>
      </c>
      <c r="AL22" s="33">
        <f>SUMIFS('Bilateral assistance, MAIN DATA'!$N:$N,'Bilateral assistance, MAIN DATA'!$B:$B,AL$1, 'Bilateral assistance, MAIN DATA'!$I:$I,$A22)</f>
        <v>0</v>
      </c>
      <c r="AM22" s="33">
        <f>SUMIFS('Bilateral assistance, MAIN DATA'!$N:$N,'Bilateral assistance, MAIN DATA'!$B:$B,AM$1, 'Bilateral assistance, MAIN DATA'!$I:$I,$A22)</f>
        <v>0</v>
      </c>
      <c r="AN22" s="33">
        <f>SUMIFS('Bilateral assistance, MAIN DATA'!$N:$N,'Bilateral assistance, MAIN DATA'!$B:$B,AN$1, 'Bilateral assistance, MAIN DATA'!$I:$I,$A22)</f>
        <v>0</v>
      </c>
      <c r="AO22" s="33">
        <f>SUMIFS('Bilateral assistance, MAIN DATA'!$N:$N,'Bilateral assistance, MAIN DATA'!$B:$B,AO$1, 'Bilateral assistance, MAIN DATA'!$I:$I,$A22)</f>
        <v>0</v>
      </c>
      <c r="AP22" s="33">
        <f>SUMIFS('Bilateral assistance, MAIN DATA'!$N:$N,'Bilateral assistance, MAIN DATA'!$B:$B,AP$1, 'Bilateral assistance, MAIN DATA'!$I:$I,$A22)</f>
        <v>0</v>
      </c>
      <c r="AQ22" s="33">
        <f>SUMIFS('Bilateral assistance, MAIN DATA'!$N:$N,'Bilateral assistance, MAIN DATA'!$B:$B,AQ$1, 'Bilateral assistance, MAIN DATA'!$I:$I,$A22)</f>
        <v>0</v>
      </c>
      <c r="AR22" s="33">
        <f>SUMIFS('Bilateral assistance, MAIN DATA'!$N:$N,'Bilateral assistance, MAIN DATA'!$B:$B,AR$1, 'Bilateral assistance, MAIN DATA'!$I:$I,$A22)</f>
        <v>0</v>
      </c>
      <c r="AS22" s="33">
        <f>SUMIFS('Bilateral assistance, MAIN DATA'!$N:$N,'Bilateral assistance, MAIN DATA'!$B:$B,AS$1, 'Bilateral assistance, MAIN DATA'!$I:$I,$A22)</f>
        <v>0</v>
      </c>
    </row>
    <row r="23" spans="1:45">
      <c r="A23" s="27" t="s">
        <v>1933</v>
      </c>
      <c r="B23" s="33">
        <f t="shared" si="0"/>
        <v>18</v>
      </c>
      <c r="C23" s="645" t="s">
        <v>2234</v>
      </c>
      <c r="D23" s="33" t="s">
        <v>4150</v>
      </c>
      <c r="F23" s="33">
        <f>SUMIFS('Bilateral assistance, MAIN DATA'!$N:$N,'Bilateral assistance, MAIN DATA'!$B:$B,F$1, 'Bilateral assistance, MAIN DATA'!$I:$I,$A23)</f>
        <v>0</v>
      </c>
      <c r="G23" s="33">
        <f>SUMIFS('Bilateral assistance, MAIN DATA'!$N:$N,'Bilateral assistance, MAIN DATA'!$B:$B,G$1, 'Bilateral assistance, MAIN DATA'!$I:$I,$A23)</f>
        <v>0</v>
      </c>
      <c r="H23" s="33">
        <f>SUMIFS('Bilateral assistance, MAIN DATA'!$N:$N,'Bilateral assistance, MAIN DATA'!$B:$B,H$1, 'Bilateral assistance, MAIN DATA'!$I:$I,$A23)</f>
        <v>0</v>
      </c>
      <c r="I23" s="33">
        <f>SUMIFS('Bilateral assistance, MAIN DATA'!$N:$N,'Bilateral assistance, MAIN DATA'!$B:$B,I$1, 'Bilateral assistance, MAIN DATA'!$I:$I,$A23)</f>
        <v>0</v>
      </c>
      <c r="J23" s="33">
        <f>SUMIFS('Bilateral assistance, MAIN DATA'!$N:$N,'Bilateral assistance, MAIN DATA'!$B:$B,J$1, 'Bilateral assistance, MAIN DATA'!$I:$I,$A23)</f>
        <v>0</v>
      </c>
      <c r="K23" s="33">
        <f>SUMIFS('Bilateral assistance, MAIN DATA'!$N:$N,'Bilateral assistance, MAIN DATA'!$B:$B,K$1, 'Bilateral assistance, MAIN DATA'!$I:$I,$A23)</f>
        <v>0</v>
      </c>
      <c r="L23" s="33">
        <f>SUMIFS('Bilateral assistance, MAIN DATA'!$N:$N,'Bilateral assistance, MAIN DATA'!$B:$B,L$1, 'Bilateral assistance, MAIN DATA'!$I:$I,$A23)</f>
        <v>0</v>
      </c>
      <c r="M23" s="33">
        <f>SUMIFS('Bilateral assistance, MAIN DATA'!$N:$N,'Bilateral assistance, MAIN DATA'!$B:$B,M$1, 'Bilateral assistance, MAIN DATA'!$I:$I,$A23)</f>
        <v>0</v>
      </c>
      <c r="N23" s="33">
        <f>SUMIFS('Bilateral assistance, MAIN DATA'!$N:$N,'Bilateral assistance, MAIN DATA'!$B:$B,N$1, 'Bilateral assistance, MAIN DATA'!$I:$I,$A23)</f>
        <v>0</v>
      </c>
      <c r="O23" s="33">
        <f>SUMIFS('Bilateral assistance, MAIN DATA'!$N:$N,'Bilateral assistance, MAIN DATA'!$B:$B,O$1, 'Bilateral assistance, MAIN DATA'!$I:$I,$A23)</f>
        <v>0</v>
      </c>
      <c r="P23" s="33">
        <f>SUMIFS('Bilateral assistance, MAIN DATA'!$N:$N,'Bilateral assistance, MAIN DATA'!$B:$B,P$1, 'Bilateral assistance, MAIN DATA'!$I:$I,$A23)</f>
        <v>0</v>
      </c>
      <c r="Q23" s="33">
        <f>SUMIFS('Bilateral assistance, MAIN DATA'!$N:$N,'Bilateral assistance, MAIN DATA'!$B:$B,Q$1, 'Bilateral assistance, MAIN DATA'!$I:$I,$A23)</f>
        <v>0</v>
      </c>
      <c r="R23" s="33">
        <f>SUMIFS('Bilateral assistance, MAIN DATA'!$N:$N,'Bilateral assistance, MAIN DATA'!$B:$B,R$1, 'Bilateral assistance, MAIN DATA'!$I:$I,$A23)</f>
        <v>0</v>
      </c>
      <c r="S23" s="33">
        <f>SUMIFS('Bilateral assistance, MAIN DATA'!$N:$N,'Bilateral assistance, MAIN DATA'!$B:$B,S$1, 'Bilateral assistance, MAIN DATA'!$I:$I,$A23)</f>
        <v>0</v>
      </c>
      <c r="T23" s="33">
        <f>SUMIFS('Bilateral assistance, MAIN DATA'!$N:$N,'Bilateral assistance, MAIN DATA'!$B:$B,T$1, 'Bilateral assistance, MAIN DATA'!$I:$I,$A23)</f>
        <v>0</v>
      </c>
      <c r="U23" s="33">
        <f>SUMIFS('Bilateral assistance, MAIN DATA'!$N:$N,'Bilateral assistance, MAIN DATA'!$B:$B,U$1, 'Bilateral assistance, MAIN DATA'!$I:$I,$A23)</f>
        <v>0</v>
      </c>
      <c r="V23" s="33">
        <f>SUMIFS('Bilateral assistance, MAIN DATA'!$N:$N,'Bilateral assistance, MAIN DATA'!$B:$B,V$1, 'Bilateral assistance, MAIN DATA'!$I:$I,$A23)</f>
        <v>0</v>
      </c>
      <c r="W23" s="33">
        <f>SUMIFS('Bilateral assistance, MAIN DATA'!$N:$N,'Bilateral assistance, MAIN DATA'!$B:$B,W$1, 'Bilateral assistance, MAIN DATA'!$I:$I,$A23)</f>
        <v>0</v>
      </c>
      <c r="X23" s="33">
        <f>SUMIFS('Bilateral assistance, MAIN DATA'!$N:$N,'Bilateral assistance, MAIN DATA'!$B:$B,X$1, 'Bilateral assistance, MAIN DATA'!$I:$I,$A23)</f>
        <v>0</v>
      </c>
      <c r="Y23" s="33">
        <f>SUMIFS('Bilateral assistance, MAIN DATA'!$N:$N,'Bilateral assistance, MAIN DATA'!$B:$B,Y$1, 'Bilateral assistance, MAIN DATA'!$I:$I,$A23)</f>
        <v>0</v>
      </c>
      <c r="Z23" s="33">
        <f>SUMIFS('Bilateral assistance, MAIN DATA'!$N:$N,'Bilateral assistance, MAIN DATA'!$B:$B,Z$1, 'Bilateral assistance, MAIN DATA'!$I:$I,$A23)</f>
        <v>0</v>
      </c>
      <c r="AA23" s="33">
        <f>SUMIFS('Bilateral assistance, MAIN DATA'!$N:$N,'Bilateral assistance, MAIN DATA'!$B:$B,AA$1, 'Bilateral assistance, MAIN DATA'!$I:$I,$A23)</f>
        <v>0</v>
      </c>
      <c r="AB23" s="33">
        <f>SUMIFS('Bilateral assistance, MAIN DATA'!$N:$N,'Bilateral assistance, MAIN DATA'!$B:$B,AB$1, 'Bilateral assistance, MAIN DATA'!$I:$I,$A23)</f>
        <v>0</v>
      </c>
      <c r="AC23" s="33">
        <f>SUMIFS('Bilateral assistance, MAIN DATA'!$N:$N,'Bilateral assistance, MAIN DATA'!$B:$B,AC$1, 'Bilateral assistance, MAIN DATA'!$I:$I,$A23)</f>
        <v>0</v>
      </c>
      <c r="AD23" s="33">
        <f>SUMIFS('Bilateral assistance, MAIN DATA'!$N:$N,'Bilateral assistance, MAIN DATA'!$B:$B,AD$1, 'Bilateral assistance, MAIN DATA'!$I:$I,$A23)</f>
        <v>0</v>
      </c>
      <c r="AE23" s="33">
        <f>SUMIFS('Bilateral assistance, MAIN DATA'!$N:$N,'Bilateral assistance, MAIN DATA'!$B:$B,AE$1, 'Bilateral assistance, MAIN DATA'!$I:$I,$A23)</f>
        <v>0</v>
      </c>
      <c r="AF23" s="33">
        <f>SUMIFS('Bilateral assistance, MAIN DATA'!$N:$N,'Bilateral assistance, MAIN DATA'!$B:$B,AF$1, 'Bilateral assistance, MAIN DATA'!$I:$I,$A23)</f>
        <v>0</v>
      </c>
      <c r="AG23" s="33">
        <f>SUMIFS('Bilateral assistance, MAIN DATA'!$N:$N,'Bilateral assistance, MAIN DATA'!$B:$B,AG$1, 'Bilateral assistance, MAIN DATA'!$I:$I,$A23)</f>
        <v>0</v>
      </c>
      <c r="AH23" s="33">
        <f>SUMIFS('Bilateral assistance, MAIN DATA'!$N:$N,'Bilateral assistance, MAIN DATA'!$B:$B,AH$1, 'Bilateral assistance, MAIN DATA'!$I:$I,$A23)</f>
        <v>18</v>
      </c>
      <c r="AI23" s="33">
        <f>SUMIFS('Bilateral assistance, MAIN DATA'!$N:$N,'Bilateral assistance, MAIN DATA'!$B:$B,AI$1, 'Bilateral assistance, MAIN DATA'!$I:$I,$A23)</f>
        <v>0</v>
      </c>
      <c r="AJ23" s="33">
        <f>SUMIFS('Bilateral assistance, MAIN DATA'!$N:$N,'Bilateral assistance, MAIN DATA'!$B:$B,AJ$1, 'Bilateral assistance, MAIN DATA'!$I:$I,$A23)</f>
        <v>0</v>
      </c>
      <c r="AK23" s="33">
        <f>SUMIFS('Bilateral assistance, MAIN DATA'!$N:$N,'Bilateral assistance, MAIN DATA'!$B:$B,AK$1, 'Bilateral assistance, MAIN DATA'!$I:$I,$A23)</f>
        <v>0</v>
      </c>
      <c r="AL23" s="33">
        <f>SUMIFS('Bilateral assistance, MAIN DATA'!$N:$N,'Bilateral assistance, MAIN DATA'!$B:$B,AL$1, 'Bilateral assistance, MAIN DATA'!$I:$I,$A23)</f>
        <v>0</v>
      </c>
      <c r="AM23" s="33">
        <f>SUMIFS('Bilateral assistance, MAIN DATA'!$N:$N,'Bilateral assistance, MAIN DATA'!$B:$B,AM$1, 'Bilateral assistance, MAIN DATA'!$I:$I,$A23)</f>
        <v>0</v>
      </c>
      <c r="AN23" s="33">
        <f>SUMIFS('Bilateral assistance, MAIN DATA'!$N:$N,'Bilateral assistance, MAIN DATA'!$B:$B,AN$1, 'Bilateral assistance, MAIN DATA'!$I:$I,$A23)</f>
        <v>0</v>
      </c>
      <c r="AO23" s="33">
        <f>SUMIFS('Bilateral assistance, MAIN DATA'!$N:$N,'Bilateral assistance, MAIN DATA'!$B:$B,AO$1, 'Bilateral assistance, MAIN DATA'!$I:$I,$A23)</f>
        <v>0</v>
      </c>
      <c r="AP23" s="33">
        <f>SUMIFS('Bilateral assistance, MAIN DATA'!$N:$N,'Bilateral assistance, MAIN DATA'!$B:$B,AP$1, 'Bilateral assistance, MAIN DATA'!$I:$I,$A23)</f>
        <v>0</v>
      </c>
      <c r="AQ23" s="33">
        <f>SUMIFS('Bilateral assistance, MAIN DATA'!$N:$N,'Bilateral assistance, MAIN DATA'!$B:$B,AQ$1, 'Bilateral assistance, MAIN DATA'!$I:$I,$A23)</f>
        <v>0</v>
      </c>
      <c r="AR23" s="33">
        <f>SUMIFS('Bilateral assistance, MAIN DATA'!$N:$N,'Bilateral assistance, MAIN DATA'!$B:$B,AR$1, 'Bilateral assistance, MAIN DATA'!$I:$I,$A23)</f>
        <v>0</v>
      </c>
      <c r="AS23" s="33">
        <f>SUMIFS('Bilateral assistance, MAIN DATA'!$N:$N,'Bilateral assistance, MAIN DATA'!$B:$B,AS$1, 'Bilateral assistance, MAIN DATA'!$I:$I,$A23)</f>
        <v>0</v>
      </c>
    </row>
    <row r="24" spans="1:45">
      <c r="A24" s="27" t="s">
        <v>1990</v>
      </c>
      <c r="B24" s="33">
        <f t="shared" si="0"/>
        <v>0</v>
      </c>
      <c r="C24" s="645" t="s">
        <v>2234</v>
      </c>
      <c r="D24" s="33" t="s">
        <v>4150</v>
      </c>
      <c r="F24" s="33">
        <f>SUMIFS('Bilateral assistance, MAIN DATA'!$N:$N,'Bilateral assistance, MAIN DATA'!$B:$B,F$1, 'Bilateral assistance, MAIN DATA'!$I:$I,$A24)</f>
        <v>0</v>
      </c>
      <c r="G24" s="33">
        <f>SUMIFS('Bilateral assistance, MAIN DATA'!$N:$N,'Bilateral assistance, MAIN DATA'!$B:$B,G$1, 'Bilateral assistance, MAIN DATA'!$I:$I,$A24)</f>
        <v>0</v>
      </c>
      <c r="H24" s="33">
        <f>SUMIFS('Bilateral assistance, MAIN DATA'!$N:$N,'Bilateral assistance, MAIN DATA'!$B:$B,H$1, 'Bilateral assistance, MAIN DATA'!$I:$I,$A24)</f>
        <v>0</v>
      </c>
      <c r="I24" s="33">
        <f>SUMIFS('Bilateral assistance, MAIN DATA'!$N:$N,'Bilateral assistance, MAIN DATA'!$B:$B,I$1, 'Bilateral assistance, MAIN DATA'!$I:$I,$A24)</f>
        <v>0</v>
      </c>
      <c r="J24" s="33">
        <f>SUMIFS('Bilateral assistance, MAIN DATA'!$N:$N,'Bilateral assistance, MAIN DATA'!$B:$B,J$1, 'Bilateral assistance, MAIN DATA'!$I:$I,$A24)</f>
        <v>0</v>
      </c>
      <c r="K24" s="33">
        <f>SUMIFS('Bilateral assistance, MAIN DATA'!$N:$N,'Bilateral assistance, MAIN DATA'!$B:$B,K$1, 'Bilateral assistance, MAIN DATA'!$I:$I,$A24)</f>
        <v>0</v>
      </c>
      <c r="L24" s="33">
        <f>SUMIFS('Bilateral assistance, MAIN DATA'!$N:$N,'Bilateral assistance, MAIN DATA'!$B:$B,L$1, 'Bilateral assistance, MAIN DATA'!$I:$I,$A24)</f>
        <v>0</v>
      </c>
      <c r="M24" s="33">
        <f>SUMIFS('Bilateral assistance, MAIN DATA'!$N:$N,'Bilateral assistance, MAIN DATA'!$B:$B,M$1, 'Bilateral assistance, MAIN DATA'!$I:$I,$A24)</f>
        <v>0</v>
      </c>
      <c r="N24" s="33">
        <f>SUMIFS('Bilateral assistance, MAIN DATA'!$N:$N,'Bilateral assistance, MAIN DATA'!$B:$B,N$1, 'Bilateral assistance, MAIN DATA'!$I:$I,$A24)</f>
        <v>0</v>
      </c>
      <c r="O24" s="33">
        <f>SUMIFS('Bilateral assistance, MAIN DATA'!$N:$N,'Bilateral assistance, MAIN DATA'!$B:$B,O$1, 'Bilateral assistance, MAIN DATA'!$I:$I,$A24)</f>
        <v>0</v>
      </c>
      <c r="P24" s="33">
        <f>SUMIFS('Bilateral assistance, MAIN DATA'!$N:$N,'Bilateral assistance, MAIN DATA'!$B:$B,P$1, 'Bilateral assistance, MAIN DATA'!$I:$I,$A24)</f>
        <v>0</v>
      </c>
      <c r="Q24" s="33">
        <f>SUMIFS('Bilateral assistance, MAIN DATA'!$N:$N,'Bilateral assistance, MAIN DATA'!$B:$B,Q$1, 'Bilateral assistance, MAIN DATA'!$I:$I,$A24)</f>
        <v>0</v>
      </c>
      <c r="R24" s="33">
        <f>SUMIFS('Bilateral assistance, MAIN DATA'!$N:$N,'Bilateral assistance, MAIN DATA'!$B:$B,R$1, 'Bilateral assistance, MAIN DATA'!$I:$I,$A24)</f>
        <v>0</v>
      </c>
      <c r="S24" s="33">
        <f>SUMIFS('Bilateral assistance, MAIN DATA'!$N:$N,'Bilateral assistance, MAIN DATA'!$B:$B,S$1, 'Bilateral assistance, MAIN DATA'!$I:$I,$A24)</f>
        <v>0</v>
      </c>
      <c r="T24" s="33">
        <f>SUMIFS('Bilateral assistance, MAIN DATA'!$N:$N,'Bilateral assistance, MAIN DATA'!$B:$B,T$1, 'Bilateral assistance, MAIN DATA'!$I:$I,$A24)</f>
        <v>0</v>
      </c>
      <c r="U24" s="33">
        <f>SUMIFS('Bilateral assistance, MAIN DATA'!$N:$N,'Bilateral assistance, MAIN DATA'!$B:$B,U$1, 'Bilateral assistance, MAIN DATA'!$I:$I,$A24)</f>
        <v>0</v>
      </c>
      <c r="V24" s="33">
        <f>SUMIFS('Bilateral assistance, MAIN DATA'!$N:$N,'Bilateral assistance, MAIN DATA'!$B:$B,V$1, 'Bilateral assistance, MAIN DATA'!$I:$I,$A24)</f>
        <v>0</v>
      </c>
      <c r="W24" s="33">
        <f>SUMIFS('Bilateral assistance, MAIN DATA'!$N:$N,'Bilateral assistance, MAIN DATA'!$B:$B,W$1, 'Bilateral assistance, MAIN DATA'!$I:$I,$A24)</f>
        <v>0</v>
      </c>
      <c r="X24" s="33">
        <f>SUMIFS('Bilateral assistance, MAIN DATA'!$N:$N,'Bilateral assistance, MAIN DATA'!$B:$B,X$1, 'Bilateral assistance, MAIN DATA'!$I:$I,$A24)</f>
        <v>0</v>
      </c>
      <c r="Y24" s="33">
        <f>SUMIFS('Bilateral assistance, MAIN DATA'!$N:$N,'Bilateral assistance, MAIN DATA'!$B:$B,Y$1, 'Bilateral assistance, MAIN DATA'!$I:$I,$A24)</f>
        <v>0</v>
      </c>
      <c r="Z24" s="33">
        <f>SUMIFS('Bilateral assistance, MAIN DATA'!$N:$N,'Bilateral assistance, MAIN DATA'!$B:$B,Z$1, 'Bilateral assistance, MAIN DATA'!$I:$I,$A24)</f>
        <v>0</v>
      </c>
      <c r="AA24" s="33">
        <f>SUMIFS('Bilateral assistance, MAIN DATA'!$N:$N,'Bilateral assistance, MAIN DATA'!$B:$B,AA$1, 'Bilateral assistance, MAIN DATA'!$I:$I,$A24)</f>
        <v>0</v>
      </c>
      <c r="AB24" s="33">
        <f>SUMIFS('Bilateral assistance, MAIN DATA'!$N:$N,'Bilateral assistance, MAIN DATA'!$B:$B,AB$1, 'Bilateral assistance, MAIN DATA'!$I:$I,$A24)</f>
        <v>0</v>
      </c>
      <c r="AC24" s="33">
        <f>SUMIFS('Bilateral assistance, MAIN DATA'!$N:$N,'Bilateral assistance, MAIN DATA'!$B:$B,AC$1, 'Bilateral assistance, MAIN DATA'!$I:$I,$A24)</f>
        <v>0</v>
      </c>
      <c r="AD24" s="33">
        <f>SUMIFS('Bilateral assistance, MAIN DATA'!$N:$N,'Bilateral assistance, MAIN DATA'!$B:$B,AD$1, 'Bilateral assistance, MAIN DATA'!$I:$I,$A24)</f>
        <v>0</v>
      </c>
      <c r="AE24" s="33">
        <f>SUMIFS('Bilateral assistance, MAIN DATA'!$N:$N,'Bilateral assistance, MAIN DATA'!$B:$B,AE$1, 'Bilateral assistance, MAIN DATA'!$I:$I,$A24)</f>
        <v>0</v>
      </c>
      <c r="AF24" s="33">
        <f>SUMIFS('Bilateral assistance, MAIN DATA'!$N:$N,'Bilateral assistance, MAIN DATA'!$B:$B,AF$1, 'Bilateral assistance, MAIN DATA'!$I:$I,$A24)</f>
        <v>0</v>
      </c>
      <c r="AG24" s="33">
        <f>SUMIFS('Bilateral assistance, MAIN DATA'!$N:$N,'Bilateral assistance, MAIN DATA'!$B:$B,AG$1, 'Bilateral assistance, MAIN DATA'!$I:$I,$A24)</f>
        <v>0</v>
      </c>
      <c r="AH24" s="33">
        <f>SUMIFS('Bilateral assistance, MAIN DATA'!$N:$N,'Bilateral assistance, MAIN DATA'!$B:$B,AH$1, 'Bilateral assistance, MAIN DATA'!$I:$I,$A24)</f>
        <v>0</v>
      </c>
      <c r="AI24" s="33">
        <f>SUMIFS('Bilateral assistance, MAIN DATA'!$N:$N,'Bilateral assistance, MAIN DATA'!$B:$B,AI$1, 'Bilateral assistance, MAIN DATA'!$I:$I,$A24)</f>
        <v>0</v>
      </c>
      <c r="AJ24" s="33">
        <f>SUMIFS('Bilateral assistance, MAIN DATA'!$N:$N,'Bilateral assistance, MAIN DATA'!$B:$B,AJ$1, 'Bilateral assistance, MAIN DATA'!$I:$I,$A24)</f>
        <v>0</v>
      </c>
      <c r="AK24" s="33">
        <f>SUMIFS('Bilateral assistance, MAIN DATA'!$N:$N,'Bilateral assistance, MAIN DATA'!$B:$B,AK$1, 'Bilateral assistance, MAIN DATA'!$I:$I,$A24)</f>
        <v>0</v>
      </c>
      <c r="AL24" s="33">
        <f>SUMIFS('Bilateral assistance, MAIN DATA'!$N:$N,'Bilateral assistance, MAIN DATA'!$B:$B,AL$1, 'Bilateral assistance, MAIN DATA'!$I:$I,$A24)</f>
        <v>0</v>
      </c>
      <c r="AM24" s="33">
        <f>SUMIFS('Bilateral assistance, MAIN DATA'!$N:$N,'Bilateral assistance, MAIN DATA'!$B:$B,AM$1, 'Bilateral assistance, MAIN DATA'!$I:$I,$A24)</f>
        <v>0</v>
      </c>
      <c r="AN24" s="33">
        <f>SUMIFS('Bilateral assistance, MAIN DATA'!$N:$N,'Bilateral assistance, MAIN DATA'!$B:$B,AN$1, 'Bilateral assistance, MAIN DATA'!$I:$I,$A24)</f>
        <v>0</v>
      </c>
      <c r="AO24" s="33">
        <f>SUMIFS('Bilateral assistance, MAIN DATA'!$N:$N,'Bilateral assistance, MAIN DATA'!$B:$B,AO$1, 'Bilateral assistance, MAIN DATA'!$I:$I,$A24)</f>
        <v>0</v>
      </c>
      <c r="AP24" s="33">
        <f>SUMIFS('Bilateral assistance, MAIN DATA'!$N:$N,'Bilateral assistance, MAIN DATA'!$B:$B,AP$1, 'Bilateral assistance, MAIN DATA'!$I:$I,$A24)</f>
        <v>0</v>
      </c>
      <c r="AQ24" s="33">
        <f>SUMIFS('Bilateral assistance, MAIN DATA'!$N:$N,'Bilateral assistance, MAIN DATA'!$B:$B,AQ$1, 'Bilateral assistance, MAIN DATA'!$I:$I,$A24)</f>
        <v>0</v>
      </c>
      <c r="AR24" s="33">
        <f>SUMIFS('Bilateral assistance, MAIN DATA'!$N:$N,'Bilateral assistance, MAIN DATA'!$B:$B,AR$1, 'Bilateral assistance, MAIN DATA'!$I:$I,$A24)</f>
        <v>0</v>
      </c>
      <c r="AS24" s="33">
        <f>SUMIFS('Bilateral assistance, MAIN DATA'!$N:$N,'Bilateral assistance, MAIN DATA'!$B:$B,AS$1, 'Bilateral assistance, MAIN DATA'!$I:$I,$A24)</f>
        <v>0</v>
      </c>
    </row>
    <row r="25" spans="1:45">
      <c r="A25" s="27" t="s">
        <v>1240</v>
      </c>
      <c r="B25" s="33">
        <f t="shared" si="0"/>
        <v>25</v>
      </c>
      <c r="C25" s="645" t="s">
        <v>2234</v>
      </c>
      <c r="D25" s="33" t="s">
        <v>4150</v>
      </c>
      <c r="F25" s="33">
        <f>SUMIFS('Bilateral assistance, MAIN DATA'!$N:$N,'Bilateral assistance, MAIN DATA'!$B:$B,F$1, 'Bilateral assistance, MAIN DATA'!$I:$I,$A25)</f>
        <v>0</v>
      </c>
      <c r="G25" s="33">
        <f>SUMIFS('Bilateral assistance, MAIN DATA'!$N:$N,'Bilateral assistance, MAIN DATA'!$B:$B,G$1, 'Bilateral assistance, MAIN DATA'!$I:$I,$A25)</f>
        <v>0</v>
      </c>
      <c r="H25" s="33">
        <f>SUMIFS('Bilateral assistance, MAIN DATA'!$N:$N,'Bilateral assistance, MAIN DATA'!$B:$B,H$1, 'Bilateral assistance, MAIN DATA'!$I:$I,$A25)</f>
        <v>0</v>
      </c>
      <c r="I25" s="33">
        <f>SUMIFS('Bilateral assistance, MAIN DATA'!$N:$N,'Bilateral assistance, MAIN DATA'!$B:$B,I$1, 'Bilateral assistance, MAIN DATA'!$I:$I,$A25)</f>
        <v>0</v>
      </c>
      <c r="J25" s="33">
        <f>SUMIFS('Bilateral assistance, MAIN DATA'!$N:$N,'Bilateral assistance, MAIN DATA'!$B:$B,J$1, 'Bilateral assistance, MAIN DATA'!$I:$I,$A25)</f>
        <v>0</v>
      </c>
      <c r="K25" s="33">
        <f>SUMIFS('Bilateral assistance, MAIN DATA'!$N:$N,'Bilateral assistance, MAIN DATA'!$B:$B,K$1, 'Bilateral assistance, MAIN DATA'!$I:$I,$A25)</f>
        <v>0</v>
      </c>
      <c r="L25" s="33">
        <f>SUMIFS('Bilateral assistance, MAIN DATA'!$N:$N,'Bilateral assistance, MAIN DATA'!$B:$B,L$1, 'Bilateral assistance, MAIN DATA'!$I:$I,$A25)</f>
        <v>0</v>
      </c>
      <c r="M25" s="33">
        <f>SUMIFS('Bilateral assistance, MAIN DATA'!$N:$N,'Bilateral assistance, MAIN DATA'!$B:$B,M$1, 'Bilateral assistance, MAIN DATA'!$I:$I,$A25)</f>
        <v>0</v>
      </c>
      <c r="N25" s="33">
        <f>SUMIFS('Bilateral assistance, MAIN DATA'!$N:$N,'Bilateral assistance, MAIN DATA'!$B:$B,N$1, 'Bilateral assistance, MAIN DATA'!$I:$I,$A25)</f>
        <v>0</v>
      </c>
      <c r="O25" s="33">
        <f>SUMIFS('Bilateral assistance, MAIN DATA'!$N:$N,'Bilateral assistance, MAIN DATA'!$B:$B,O$1, 'Bilateral assistance, MAIN DATA'!$I:$I,$A25)</f>
        <v>0</v>
      </c>
      <c r="P25" s="33">
        <f>SUMIFS('Bilateral assistance, MAIN DATA'!$N:$N,'Bilateral assistance, MAIN DATA'!$B:$B,P$1, 'Bilateral assistance, MAIN DATA'!$I:$I,$A25)</f>
        <v>0</v>
      </c>
      <c r="Q25" s="33">
        <f>SUMIFS('Bilateral assistance, MAIN DATA'!$N:$N,'Bilateral assistance, MAIN DATA'!$B:$B,Q$1, 'Bilateral assistance, MAIN DATA'!$I:$I,$A25)</f>
        <v>0</v>
      </c>
      <c r="R25" s="33">
        <f>SUMIFS('Bilateral assistance, MAIN DATA'!$N:$N,'Bilateral assistance, MAIN DATA'!$B:$B,R$1, 'Bilateral assistance, MAIN DATA'!$I:$I,$A25)</f>
        <v>0</v>
      </c>
      <c r="S25" s="33">
        <f>SUMIFS('Bilateral assistance, MAIN DATA'!$N:$N,'Bilateral assistance, MAIN DATA'!$B:$B,S$1, 'Bilateral assistance, MAIN DATA'!$I:$I,$A25)</f>
        <v>0</v>
      </c>
      <c r="T25" s="33">
        <f>SUMIFS('Bilateral assistance, MAIN DATA'!$N:$N,'Bilateral assistance, MAIN DATA'!$B:$B,T$1, 'Bilateral assistance, MAIN DATA'!$I:$I,$A25)</f>
        <v>0</v>
      </c>
      <c r="U25" s="33">
        <f>SUMIFS('Bilateral assistance, MAIN DATA'!$N:$N,'Bilateral assistance, MAIN DATA'!$B:$B,U$1, 'Bilateral assistance, MAIN DATA'!$I:$I,$A25)</f>
        <v>14</v>
      </c>
      <c r="V25" s="33">
        <f>SUMIFS('Bilateral assistance, MAIN DATA'!$N:$N,'Bilateral assistance, MAIN DATA'!$B:$B,V$1, 'Bilateral assistance, MAIN DATA'!$I:$I,$A25)</f>
        <v>0</v>
      </c>
      <c r="W25" s="33">
        <f>SUMIFS('Bilateral assistance, MAIN DATA'!$N:$N,'Bilateral assistance, MAIN DATA'!$B:$B,W$1, 'Bilateral assistance, MAIN DATA'!$I:$I,$A25)</f>
        <v>0</v>
      </c>
      <c r="X25" s="33">
        <f>SUMIFS('Bilateral assistance, MAIN DATA'!$N:$N,'Bilateral assistance, MAIN DATA'!$B:$B,X$1, 'Bilateral assistance, MAIN DATA'!$I:$I,$A25)</f>
        <v>0</v>
      </c>
      <c r="Y25" s="33">
        <f>SUMIFS('Bilateral assistance, MAIN DATA'!$N:$N,'Bilateral assistance, MAIN DATA'!$B:$B,Y$1, 'Bilateral assistance, MAIN DATA'!$I:$I,$A25)</f>
        <v>6</v>
      </c>
      <c r="Z25" s="33">
        <f>SUMIFS('Bilateral assistance, MAIN DATA'!$N:$N,'Bilateral assistance, MAIN DATA'!$B:$B,Z$1, 'Bilateral assistance, MAIN DATA'!$I:$I,$A25)</f>
        <v>0</v>
      </c>
      <c r="AA25" s="33">
        <f>SUMIFS('Bilateral assistance, MAIN DATA'!$N:$N,'Bilateral assistance, MAIN DATA'!$B:$B,AA$1, 'Bilateral assistance, MAIN DATA'!$I:$I,$A25)</f>
        <v>0</v>
      </c>
      <c r="AB25" s="33">
        <f>SUMIFS('Bilateral assistance, MAIN DATA'!$N:$N,'Bilateral assistance, MAIN DATA'!$B:$B,AB$1, 'Bilateral assistance, MAIN DATA'!$I:$I,$A25)</f>
        <v>0</v>
      </c>
      <c r="AC25" s="33">
        <f>SUMIFS('Bilateral assistance, MAIN DATA'!$N:$N,'Bilateral assistance, MAIN DATA'!$B:$B,AC$1, 'Bilateral assistance, MAIN DATA'!$I:$I,$A25)</f>
        <v>0</v>
      </c>
      <c r="AD25" s="33">
        <f>SUMIFS('Bilateral assistance, MAIN DATA'!$N:$N,'Bilateral assistance, MAIN DATA'!$B:$B,AD$1, 'Bilateral assistance, MAIN DATA'!$I:$I,$A25)</f>
        <v>0</v>
      </c>
      <c r="AE25" s="33">
        <f>SUMIFS('Bilateral assistance, MAIN DATA'!$N:$N,'Bilateral assistance, MAIN DATA'!$B:$B,AE$1, 'Bilateral assistance, MAIN DATA'!$I:$I,$A25)</f>
        <v>5</v>
      </c>
      <c r="AF25" s="33">
        <f>SUMIFS('Bilateral assistance, MAIN DATA'!$N:$N,'Bilateral assistance, MAIN DATA'!$B:$B,AF$1, 'Bilateral assistance, MAIN DATA'!$I:$I,$A25)</f>
        <v>0</v>
      </c>
      <c r="AG25" s="33">
        <f>SUMIFS('Bilateral assistance, MAIN DATA'!$N:$N,'Bilateral assistance, MAIN DATA'!$B:$B,AG$1, 'Bilateral assistance, MAIN DATA'!$I:$I,$A25)</f>
        <v>0</v>
      </c>
      <c r="AH25" s="33">
        <f>SUMIFS('Bilateral assistance, MAIN DATA'!$N:$N,'Bilateral assistance, MAIN DATA'!$B:$B,AH$1, 'Bilateral assistance, MAIN DATA'!$I:$I,$A25)</f>
        <v>0</v>
      </c>
      <c r="AI25" s="33">
        <f>SUMIFS('Bilateral assistance, MAIN DATA'!$N:$N,'Bilateral assistance, MAIN DATA'!$B:$B,AI$1, 'Bilateral assistance, MAIN DATA'!$I:$I,$A25)</f>
        <v>0</v>
      </c>
      <c r="AJ25" s="33">
        <f>SUMIFS('Bilateral assistance, MAIN DATA'!$N:$N,'Bilateral assistance, MAIN DATA'!$B:$B,AJ$1, 'Bilateral assistance, MAIN DATA'!$I:$I,$A25)</f>
        <v>0</v>
      </c>
      <c r="AK25" s="33">
        <f>SUMIFS('Bilateral assistance, MAIN DATA'!$N:$N,'Bilateral assistance, MAIN DATA'!$B:$B,AK$1, 'Bilateral assistance, MAIN DATA'!$I:$I,$A25)</f>
        <v>0</v>
      </c>
      <c r="AL25" s="33">
        <f>SUMIFS('Bilateral assistance, MAIN DATA'!$N:$N,'Bilateral assistance, MAIN DATA'!$B:$B,AL$1, 'Bilateral assistance, MAIN DATA'!$I:$I,$A25)</f>
        <v>0</v>
      </c>
      <c r="AM25" s="33">
        <f>SUMIFS('Bilateral assistance, MAIN DATA'!$N:$N,'Bilateral assistance, MAIN DATA'!$B:$B,AM$1, 'Bilateral assistance, MAIN DATA'!$I:$I,$A25)</f>
        <v>0</v>
      </c>
      <c r="AN25" s="33">
        <f>SUMIFS('Bilateral assistance, MAIN DATA'!$N:$N,'Bilateral assistance, MAIN DATA'!$B:$B,AN$1, 'Bilateral assistance, MAIN DATA'!$I:$I,$A25)</f>
        <v>0</v>
      </c>
      <c r="AO25" s="33">
        <f>SUMIFS('Bilateral assistance, MAIN DATA'!$N:$N,'Bilateral assistance, MAIN DATA'!$B:$B,AO$1, 'Bilateral assistance, MAIN DATA'!$I:$I,$A25)</f>
        <v>0</v>
      </c>
      <c r="AP25" s="33">
        <f>SUMIFS('Bilateral assistance, MAIN DATA'!$N:$N,'Bilateral assistance, MAIN DATA'!$B:$B,AP$1, 'Bilateral assistance, MAIN DATA'!$I:$I,$A25)</f>
        <v>0</v>
      </c>
      <c r="AQ25" s="33">
        <f>SUMIFS('Bilateral assistance, MAIN DATA'!$N:$N,'Bilateral assistance, MAIN DATA'!$B:$B,AQ$1, 'Bilateral assistance, MAIN DATA'!$I:$I,$A25)</f>
        <v>0</v>
      </c>
      <c r="AR25" s="33">
        <f>SUMIFS('Bilateral assistance, MAIN DATA'!$N:$N,'Bilateral assistance, MAIN DATA'!$B:$B,AR$1, 'Bilateral assistance, MAIN DATA'!$I:$I,$A25)</f>
        <v>0</v>
      </c>
      <c r="AS25" s="33">
        <f>SUMIFS('Bilateral assistance, MAIN DATA'!$N:$N,'Bilateral assistance, MAIN DATA'!$B:$B,AS$1, 'Bilateral assistance, MAIN DATA'!$I:$I,$A25)</f>
        <v>0</v>
      </c>
    </row>
    <row r="26" spans="1:45">
      <c r="A26" s="27" t="s">
        <v>3280</v>
      </c>
      <c r="B26" s="33">
        <f t="shared" si="0"/>
        <v>0</v>
      </c>
      <c r="C26" s="645" t="s">
        <v>2234</v>
      </c>
      <c r="D26" s="33" t="s">
        <v>4150</v>
      </c>
      <c r="F26" s="33">
        <f>SUMIFS('Bilateral assistance, MAIN DATA'!$N:$N,'Bilateral assistance, MAIN DATA'!$B:$B,F$1, 'Bilateral assistance, MAIN DATA'!$I:$I,$A26)</f>
        <v>0</v>
      </c>
      <c r="G26" s="33">
        <f>SUMIFS('Bilateral assistance, MAIN DATA'!$N:$N,'Bilateral assistance, MAIN DATA'!$B:$B,G$1, 'Bilateral assistance, MAIN DATA'!$I:$I,$A26)</f>
        <v>0</v>
      </c>
      <c r="H26" s="33">
        <f>SUMIFS('Bilateral assistance, MAIN DATA'!$N:$N,'Bilateral assistance, MAIN DATA'!$B:$B,H$1, 'Bilateral assistance, MAIN DATA'!$I:$I,$A26)</f>
        <v>0</v>
      </c>
      <c r="I26" s="33">
        <f>SUMIFS('Bilateral assistance, MAIN DATA'!$N:$N,'Bilateral assistance, MAIN DATA'!$B:$B,I$1, 'Bilateral assistance, MAIN DATA'!$I:$I,$A26)</f>
        <v>0</v>
      </c>
      <c r="J26" s="33">
        <f>SUMIFS('Bilateral assistance, MAIN DATA'!$N:$N,'Bilateral assistance, MAIN DATA'!$B:$B,J$1, 'Bilateral assistance, MAIN DATA'!$I:$I,$A26)</f>
        <v>0</v>
      </c>
      <c r="K26" s="33">
        <f>SUMIFS('Bilateral assistance, MAIN DATA'!$N:$N,'Bilateral assistance, MAIN DATA'!$B:$B,K$1, 'Bilateral assistance, MAIN DATA'!$I:$I,$A26)</f>
        <v>0</v>
      </c>
      <c r="L26" s="33">
        <f>SUMIFS('Bilateral assistance, MAIN DATA'!$N:$N,'Bilateral assistance, MAIN DATA'!$B:$B,L$1, 'Bilateral assistance, MAIN DATA'!$I:$I,$A26)</f>
        <v>0</v>
      </c>
      <c r="M26" s="33">
        <f>SUMIFS('Bilateral assistance, MAIN DATA'!$N:$N,'Bilateral assistance, MAIN DATA'!$B:$B,M$1, 'Bilateral assistance, MAIN DATA'!$I:$I,$A26)</f>
        <v>0</v>
      </c>
      <c r="N26" s="33">
        <f>SUMIFS('Bilateral assistance, MAIN DATA'!$N:$N,'Bilateral assistance, MAIN DATA'!$B:$B,N$1, 'Bilateral assistance, MAIN DATA'!$I:$I,$A26)</f>
        <v>0</v>
      </c>
      <c r="O26" s="33">
        <f>SUMIFS('Bilateral assistance, MAIN DATA'!$N:$N,'Bilateral assistance, MAIN DATA'!$B:$B,O$1, 'Bilateral assistance, MAIN DATA'!$I:$I,$A26)</f>
        <v>0</v>
      </c>
      <c r="P26" s="33">
        <f>SUMIFS('Bilateral assistance, MAIN DATA'!$N:$N,'Bilateral assistance, MAIN DATA'!$B:$B,P$1, 'Bilateral assistance, MAIN DATA'!$I:$I,$A26)</f>
        <v>0</v>
      </c>
      <c r="Q26" s="33">
        <f>SUMIFS('Bilateral assistance, MAIN DATA'!$N:$N,'Bilateral assistance, MAIN DATA'!$B:$B,Q$1, 'Bilateral assistance, MAIN DATA'!$I:$I,$A26)</f>
        <v>0</v>
      </c>
      <c r="R26" s="33">
        <f>SUMIFS('Bilateral assistance, MAIN DATA'!$N:$N,'Bilateral assistance, MAIN DATA'!$B:$B,R$1, 'Bilateral assistance, MAIN DATA'!$I:$I,$A26)</f>
        <v>0</v>
      </c>
      <c r="S26" s="33">
        <f>SUMIFS('Bilateral assistance, MAIN DATA'!$N:$N,'Bilateral assistance, MAIN DATA'!$B:$B,S$1, 'Bilateral assistance, MAIN DATA'!$I:$I,$A26)</f>
        <v>0</v>
      </c>
      <c r="T26" s="33">
        <f>SUMIFS('Bilateral assistance, MAIN DATA'!$N:$N,'Bilateral assistance, MAIN DATA'!$B:$B,T$1, 'Bilateral assistance, MAIN DATA'!$I:$I,$A26)</f>
        <v>0</v>
      </c>
      <c r="U26" s="33">
        <f>SUMIFS('Bilateral assistance, MAIN DATA'!$N:$N,'Bilateral assistance, MAIN DATA'!$B:$B,U$1, 'Bilateral assistance, MAIN DATA'!$I:$I,$A26)</f>
        <v>0</v>
      </c>
      <c r="V26" s="33">
        <f>SUMIFS('Bilateral assistance, MAIN DATA'!$N:$N,'Bilateral assistance, MAIN DATA'!$B:$B,V$1, 'Bilateral assistance, MAIN DATA'!$I:$I,$A26)</f>
        <v>0</v>
      </c>
      <c r="W26" s="33">
        <f>SUMIFS('Bilateral assistance, MAIN DATA'!$N:$N,'Bilateral assistance, MAIN DATA'!$B:$B,W$1, 'Bilateral assistance, MAIN DATA'!$I:$I,$A26)</f>
        <v>0</v>
      </c>
      <c r="X26" s="33">
        <f>SUMIFS('Bilateral assistance, MAIN DATA'!$N:$N,'Bilateral assistance, MAIN DATA'!$B:$B,X$1, 'Bilateral assistance, MAIN DATA'!$I:$I,$A26)</f>
        <v>0</v>
      </c>
      <c r="Y26" s="33">
        <f>SUMIFS('Bilateral assistance, MAIN DATA'!$N:$N,'Bilateral assistance, MAIN DATA'!$B:$B,Y$1, 'Bilateral assistance, MAIN DATA'!$I:$I,$A26)</f>
        <v>0</v>
      </c>
      <c r="Z26" s="33">
        <f>SUMIFS('Bilateral assistance, MAIN DATA'!$N:$N,'Bilateral assistance, MAIN DATA'!$B:$B,Z$1, 'Bilateral assistance, MAIN DATA'!$I:$I,$A26)</f>
        <v>0</v>
      </c>
      <c r="AA26" s="33">
        <f>SUMIFS('Bilateral assistance, MAIN DATA'!$N:$N,'Bilateral assistance, MAIN DATA'!$B:$B,AA$1, 'Bilateral assistance, MAIN DATA'!$I:$I,$A26)</f>
        <v>0</v>
      </c>
      <c r="AB26" s="33">
        <f>SUMIFS('Bilateral assistance, MAIN DATA'!$N:$N,'Bilateral assistance, MAIN DATA'!$B:$B,AB$1, 'Bilateral assistance, MAIN DATA'!$I:$I,$A26)</f>
        <v>0</v>
      </c>
      <c r="AC26" s="33">
        <f>SUMIFS('Bilateral assistance, MAIN DATA'!$N:$N,'Bilateral assistance, MAIN DATA'!$B:$B,AC$1, 'Bilateral assistance, MAIN DATA'!$I:$I,$A26)</f>
        <v>0</v>
      </c>
      <c r="AD26" s="33">
        <f>SUMIFS('Bilateral assistance, MAIN DATA'!$N:$N,'Bilateral assistance, MAIN DATA'!$B:$B,AD$1, 'Bilateral assistance, MAIN DATA'!$I:$I,$A26)</f>
        <v>0</v>
      </c>
      <c r="AE26" s="33">
        <f>SUMIFS('Bilateral assistance, MAIN DATA'!$N:$N,'Bilateral assistance, MAIN DATA'!$B:$B,AE$1, 'Bilateral assistance, MAIN DATA'!$I:$I,$A26)</f>
        <v>0</v>
      </c>
      <c r="AF26" s="33">
        <f>SUMIFS('Bilateral assistance, MAIN DATA'!$N:$N,'Bilateral assistance, MAIN DATA'!$B:$B,AF$1, 'Bilateral assistance, MAIN DATA'!$I:$I,$A26)</f>
        <v>0</v>
      </c>
      <c r="AG26" s="33">
        <f>SUMIFS('Bilateral assistance, MAIN DATA'!$N:$N,'Bilateral assistance, MAIN DATA'!$B:$B,AG$1, 'Bilateral assistance, MAIN DATA'!$I:$I,$A26)</f>
        <v>0</v>
      </c>
      <c r="AH26" s="33">
        <f>SUMIFS('Bilateral assistance, MAIN DATA'!$N:$N,'Bilateral assistance, MAIN DATA'!$B:$B,AH$1, 'Bilateral assistance, MAIN DATA'!$I:$I,$A26)</f>
        <v>0</v>
      </c>
      <c r="AI26" s="33">
        <f>SUMIFS('Bilateral assistance, MAIN DATA'!$N:$N,'Bilateral assistance, MAIN DATA'!$B:$B,AI$1, 'Bilateral assistance, MAIN DATA'!$I:$I,$A26)</f>
        <v>0</v>
      </c>
      <c r="AJ26" s="33">
        <f>SUMIFS('Bilateral assistance, MAIN DATA'!$N:$N,'Bilateral assistance, MAIN DATA'!$B:$B,AJ$1, 'Bilateral assistance, MAIN DATA'!$I:$I,$A26)</f>
        <v>0</v>
      </c>
      <c r="AK26" s="33">
        <f>SUMIFS('Bilateral assistance, MAIN DATA'!$N:$N,'Bilateral assistance, MAIN DATA'!$B:$B,AK$1, 'Bilateral assistance, MAIN DATA'!$I:$I,$A26)</f>
        <v>0</v>
      </c>
      <c r="AL26" s="33">
        <f>SUMIFS('Bilateral assistance, MAIN DATA'!$N:$N,'Bilateral assistance, MAIN DATA'!$B:$B,AL$1, 'Bilateral assistance, MAIN DATA'!$I:$I,$A26)</f>
        <v>0</v>
      </c>
      <c r="AM26" s="33">
        <f>SUMIFS('Bilateral assistance, MAIN DATA'!$N:$N,'Bilateral assistance, MAIN DATA'!$B:$B,AM$1, 'Bilateral assistance, MAIN DATA'!$I:$I,$A26)</f>
        <v>0</v>
      </c>
      <c r="AN26" s="33">
        <f>SUMIFS('Bilateral assistance, MAIN DATA'!$N:$N,'Bilateral assistance, MAIN DATA'!$B:$B,AN$1, 'Bilateral assistance, MAIN DATA'!$I:$I,$A26)</f>
        <v>0</v>
      </c>
      <c r="AO26" s="33">
        <f>SUMIFS('Bilateral assistance, MAIN DATA'!$N:$N,'Bilateral assistance, MAIN DATA'!$B:$B,AO$1, 'Bilateral assistance, MAIN DATA'!$I:$I,$A26)</f>
        <v>0</v>
      </c>
      <c r="AP26" s="33">
        <f>SUMIFS('Bilateral assistance, MAIN DATA'!$N:$N,'Bilateral assistance, MAIN DATA'!$B:$B,AP$1, 'Bilateral assistance, MAIN DATA'!$I:$I,$A26)</f>
        <v>0</v>
      </c>
      <c r="AQ26" s="33">
        <f>SUMIFS('Bilateral assistance, MAIN DATA'!$N:$N,'Bilateral assistance, MAIN DATA'!$B:$B,AQ$1, 'Bilateral assistance, MAIN DATA'!$I:$I,$A26)</f>
        <v>0</v>
      </c>
      <c r="AR26" s="33">
        <f>SUMIFS('Bilateral assistance, MAIN DATA'!$N:$N,'Bilateral assistance, MAIN DATA'!$B:$B,AR$1, 'Bilateral assistance, MAIN DATA'!$I:$I,$A26)</f>
        <v>0</v>
      </c>
      <c r="AS26" s="33">
        <f>SUMIFS('Bilateral assistance, MAIN DATA'!$N:$N,'Bilateral assistance, MAIN DATA'!$B:$B,AS$1, 'Bilateral assistance, MAIN DATA'!$I:$I,$A26)</f>
        <v>0</v>
      </c>
    </row>
    <row r="27" spans="1:45">
      <c r="A27" s="27" t="s">
        <v>1462</v>
      </c>
      <c r="B27" s="33">
        <f t="shared" si="0"/>
        <v>86</v>
      </c>
      <c r="C27" s="645" t="s">
        <v>2234</v>
      </c>
      <c r="D27" s="33" t="s">
        <v>4150</v>
      </c>
      <c r="F27" s="33">
        <f>SUMIFS('Bilateral assistance, MAIN DATA'!$N:$N,'Bilateral assistance, MAIN DATA'!$B:$B,F$1, 'Bilateral assistance, MAIN DATA'!$I:$I,$A27)</f>
        <v>0</v>
      </c>
      <c r="G27" s="33">
        <f>SUMIFS('Bilateral assistance, MAIN DATA'!$N:$N,'Bilateral assistance, MAIN DATA'!$B:$B,G$1, 'Bilateral assistance, MAIN DATA'!$I:$I,$A27)</f>
        <v>0</v>
      </c>
      <c r="H27" s="33">
        <f>SUMIFS('Bilateral assistance, MAIN DATA'!$N:$N,'Bilateral assistance, MAIN DATA'!$B:$B,H$1, 'Bilateral assistance, MAIN DATA'!$I:$I,$A27)</f>
        <v>0</v>
      </c>
      <c r="I27" s="33">
        <f>SUMIFS('Bilateral assistance, MAIN DATA'!$N:$N,'Bilateral assistance, MAIN DATA'!$B:$B,I$1, 'Bilateral assistance, MAIN DATA'!$I:$I,$A27)</f>
        <v>0</v>
      </c>
      <c r="J27" s="33">
        <f>SUMIFS('Bilateral assistance, MAIN DATA'!$N:$N,'Bilateral assistance, MAIN DATA'!$B:$B,J$1, 'Bilateral assistance, MAIN DATA'!$I:$I,$A27)</f>
        <v>0</v>
      </c>
      <c r="K27" s="33">
        <f>SUMIFS('Bilateral assistance, MAIN DATA'!$N:$N,'Bilateral assistance, MAIN DATA'!$B:$B,K$1, 'Bilateral assistance, MAIN DATA'!$I:$I,$A27)</f>
        <v>0</v>
      </c>
      <c r="L27" s="33">
        <f>SUMIFS('Bilateral assistance, MAIN DATA'!$N:$N,'Bilateral assistance, MAIN DATA'!$B:$B,L$1, 'Bilateral assistance, MAIN DATA'!$I:$I,$A27)</f>
        <v>0</v>
      </c>
      <c r="M27" s="33">
        <f>SUMIFS('Bilateral assistance, MAIN DATA'!$N:$N,'Bilateral assistance, MAIN DATA'!$B:$B,M$1, 'Bilateral assistance, MAIN DATA'!$I:$I,$A27)</f>
        <v>0</v>
      </c>
      <c r="N27" s="33">
        <f>SUMIFS('Bilateral assistance, MAIN DATA'!$N:$N,'Bilateral assistance, MAIN DATA'!$B:$B,N$1, 'Bilateral assistance, MAIN DATA'!$I:$I,$A27)</f>
        <v>0</v>
      </c>
      <c r="O27" s="33">
        <f>SUMIFS('Bilateral assistance, MAIN DATA'!$N:$N,'Bilateral assistance, MAIN DATA'!$B:$B,O$1, 'Bilateral assistance, MAIN DATA'!$I:$I,$A27)</f>
        <v>0</v>
      </c>
      <c r="P27" s="33">
        <f>SUMIFS('Bilateral assistance, MAIN DATA'!$N:$N,'Bilateral assistance, MAIN DATA'!$B:$B,P$1, 'Bilateral assistance, MAIN DATA'!$I:$I,$A27)</f>
        <v>0</v>
      </c>
      <c r="Q27" s="33">
        <f>SUMIFS('Bilateral assistance, MAIN DATA'!$N:$N,'Bilateral assistance, MAIN DATA'!$B:$B,Q$1, 'Bilateral assistance, MAIN DATA'!$I:$I,$A27)</f>
        <v>0</v>
      </c>
      <c r="R27" s="33">
        <f>SUMIFS('Bilateral assistance, MAIN DATA'!$N:$N,'Bilateral assistance, MAIN DATA'!$B:$B,R$1, 'Bilateral assistance, MAIN DATA'!$I:$I,$A27)</f>
        <v>0</v>
      </c>
      <c r="S27" s="33">
        <f>SUMIFS('Bilateral assistance, MAIN DATA'!$N:$N,'Bilateral assistance, MAIN DATA'!$B:$B,S$1, 'Bilateral assistance, MAIN DATA'!$I:$I,$A27)</f>
        <v>0</v>
      </c>
      <c r="T27" s="33">
        <f>SUMIFS('Bilateral assistance, MAIN DATA'!$N:$N,'Bilateral assistance, MAIN DATA'!$B:$B,T$1, 'Bilateral assistance, MAIN DATA'!$I:$I,$A27)</f>
        <v>0</v>
      </c>
      <c r="U27" s="33">
        <f>SUMIFS('Bilateral assistance, MAIN DATA'!$N:$N,'Bilateral assistance, MAIN DATA'!$B:$B,U$1, 'Bilateral assistance, MAIN DATA'!$I:$I,$A27)</f>
        <v>0</v>
      </c>
      <c r="V27" s="33">
        <f>SUMIFS('Bilateral assistance, MAIN DATA'!$N:$N,'Bilateral assistance, MAIN DATA'!$B:$B,V$1, 'Bilateral assistance, MAIN DATA'!$I:$I,$A27)</f>
        <v>0</v>
      </c>
      <c r="W27" s="33">
        <f>SUMIFS('Bilateral assistance, MAIN DATA'!$N:$N,'Bilateral assistance, MAIN DATA'!$B:$B,W$1, 'Bilateral assistance, MAIN DATA'!$I:$I,$A27)</f>
        <v>0</v>
      </c>
      <c r="X27" s="33">
        <f>SUMIFS('Bilateral assistance, MAIN DATA'!$N:$N,'Bilateral assistance, MAIN DATA'!$B:$B,X$1, 'Bilateral assistance, MAIN DATA'!$I:$I,$A27)</f>
        <v>0</v>
      </c>
      <c r="Y27" s="33">
        <f>SUMIFS('Bilateral assistance, MAIN DATA'!$N:$N,'Bilateral assistance, MAIN DATA'!$B:$B,Y$1, 'Bilateral assistance, MAIN DATA'!$I:$I,$A27)</f>
        <v>30</v>
      </c>
      <c r="Z27" s="33">
        <f>SUMIFS('Bilateral assistance, MAIN DATA'!$N:$N,'Bilateral assistance, MAIN DATA'!$B:$B,Z$1, 'Bilateral assistance, MAIN DATA'!$I:$I,$A27)</f>
        <v>0</v>
      </c>
      <c r="AA27" s="33">
        <f>SUMIFS('Bilateral assistance, MAIN DATA'!$N:$N,'Bilateral assistance, MAIN DATA'!$B:$B,AA$1, 'Bilateral assistance, MAIN DATA'!$I:$I,$A27)</f>
        <v>6</v>
      </c>
      <c r="AB27" s="33">
        <f>SUMIFS('Bilateral assistance, MAIN DATA'!$N:$N,'Bilateral assistance, MAIN DATA'!$B:$B,AB$1, 'Bilateral assistance, MAIN DATA'!$I:$I,$A27)</f>
        <v>0</v>
      </c>
      <c r="AC27" s="33">
        <f>SUMIFS('Bilateral assistance, MAIN DATA'!$N:$N,'Bilateral assistance, MAIN DATA'!$B:$B,AC$1, 'Bilateral assistance, MAIN DATA'!$I:$I,$A27)</f>
        <v>0</v>
      </c>
      <c r="AD27" s="33">
        <f>SUMIFS('Bilateral assistance, MAIN DATA'!$N:$N,'Bilateral assistance, MAIN DATA'!$B:$B,AD$1, 'Bilateral assistance, MAIN DATA'!$I:$I,$A27)</f>
        <v>0</v>
      </c>
      <c r="AE27" s="33">
        <f>SUMIFS('Bilateral assistance, MAIN DATA'!$N:$N,'Bilateral assistance, MAIN DATA'!$B:$B,AE$1, 'Bilateral assistance, MAIN DATA'!$I:$I,$A27)</f>
        <v>0</v>
      </c>
      <c r="AF27" s="33">
        <f>SUMIFS('Bilateral assistance, MAIN DATA'!$N:$N,'Bilateral assistance, MAIN DATA'!$B:$B,AF$1, 'Bilateral assistance, MAIN DATA'!$I:$I,$A27)</f>
        <v>0</v>
      </c>
      <c r="AG27" s="33">
        <f>SUMIFS('Bilateral assistance, MAIN DATA'!$N:$N,'Bilateral assistance, MAIN DATA'!$B:$B,AG$1, 'Bilateral assistance, MAIN DATA'!$I:$I,$A27)</f>
        <v>22</v>
      </c>
      <c r="AH27" s="33">
        <f>SUMIFS('Bilateral assistance, MAIN DATA'!$N:$N,'Bilateral assistance, MAIN DATA'!$B:$B,AH$1, 'Bilateral assistance, MAIN DATA'!$I:$I,$A27)</f>
        <v>0</v>
      </c>
      <c r="AI27" s="33">
        <f>SUMIFS('Bilateral assistance, MAIN DATA'!$N:$N,'Bilateral assistance, MAIN DATA'!$B:$B,AI$1, 'Bilateral assistance, MAIN DATA'!$I:$I,$A27)</f>
        <v>0</v>
      </c>
      <c r="AJ27" s="33">
        <f>SUMIFS('Bilateral assistance, MAIN DATA'!$N:$N,'Bilateral assistance, MAIN DATA'!$B:$B,AJ$1, 'Bilateral assistance, MAIN DATA'!$I:$I,$A27)</f>
        <v>0</v>
      </c>
      <c r="AK27" s="33">
        <f>SUMIFS('Bilateral assistance, MAIN DATA'!$N:$N,'Bilateral assistance, MAIN DATA'!$B:$B,AK$1, 'Bilateral assistance, MAIN DATA'!$I:$I,$A27)</f>
        <v>0</v>
      </c>
      <c r="AL27" s="33">
        <f>SUMIFS('Bilateral assistance, MAIN DATA'!$N:$N,'Bilateral assistance, MAIN DATA'!$B:$B,AL$1, 'Bilateral assistance, MAIN DATA'!$I:$I,$A27)</f>
        <v>0</v>
      </c>
      <c r="AM27" s="33">
        <f>SUMIFS('Bilateral assistance, MAIN DATA'!$N:$N,'Bilateral assistance, MAIN DATA'!$B:$B,AM$1, 'Bilateral assistance, MAIN DATA'!$I:$I,$A27)</f>
        <v>0</v>
      </c>
      <c r="AN27" s="33">
        <f>SUMIFS('Bilateral assistance, MAIN DATA'!$N:$N,'Bilateral assistance, MAIN DATA'!$B:$B,AN$1, 'Bilateral assistance, MAIN DATA'!$I:$I,$A27)</f>
        <v>0</v>
      </c>
      <c r="AO27" s="33">
        <f>SUMIFS('Bilateral assistance, MAIN DATA'!$N:$N,'Bilateral assistance, MAIN DATA'!$B:$B,AO$1, 'Bilateral assistance, MAIN DATA'!$I:$I,$A27)</f>
        <v>0</v>
      </c>
      <c r="AP27" s="33">
        <f>SUMIFS('Bilateral assistance, MAIN DATA'!$N:$N,'Bilateral assistance, MAIN DATA'!$B:$B,AP$1, 'Bilateral assistance, MAIN DATA'!$I:$I,$A27)</f>
        <v>0</v>
      </c>
      <c r="AQ27" s="33">
        <f>SUMIFS('Bilateral assistance, MAIN DATA'!$N:$N,'Bilateral assistance, MAIN DATA'!$B:$B,AQ$1, 'Bilateral assistance, MAIN DATA'!$I:$I,$A27)</f>
        <v>0</v>
      </c>
      <c r="AR27" s="33">
        <f>SUMIFS('Bilateral assistance, MAIN DATA'!$N:$N,'Bilateral assistance, MAIN DATA'!$B:$B,AR$1, 'Bilateral assistance, MAIN DATA'!$I:$I,$A27)</f>
        <v>28</v>
      </c>
      <c r="AS27" s="33">
        <f>SUMIFS('Bilateral assistance, MAIN DATA'!$N:$N,'Bilateral assistance, MAIN DATA'!$B:$B,AS$1, 'Bilateral assistance, MAIN DATA'!$I:$I,$A27)</f>
        <v>0</v>
      </c>
    </row>
    <row r="28" spans="1:45">
      <c r="A28" s="27" t="s">
        <v>824</v>
      </c>
      <c r="B28" s="33">
        <f t="shared" si="0"/>
        <v>0</v>
      </c>
      <c r="C28" s="645" t="s">
        <v>2234</v>
      </c>
      <c r="D28" s="33" t="s">
        <v>4150</v>
      </c>
      <c r="F28" s="33">
        <f>SUMIFS('Bilateral assistance, MAIN DATA'!$N:$N,'Bilateral assistance, MAIN DATA'!$B:$B,F$1, 'Bilateral assistance, MAIN DATA'!$I:$I,$A28)</f>
        <v>0</v>
      </c>
      <c r="G28" s="33">
        <f>SUMIFS('Bilateral assistance, MAIN DATA'!$N:$N,'Bilateral assistance, MAIN DATA'!$B:$B,G$1, 'Bilateral assistance, MAIN DATA'!$I:$I,$A28)</f>
        <v>0</v>
      </c>
      <c r="H28" s="33">
        <f>SUMIFS('Bilateral assistance, MAIN DATA'!$N:$N,'Bilateral assistance, MAIN DATA'!$B:$B,H$1, 'Bilateral assistance, MAIN DATA'!$I:$I,$A28)</f>
        <v>0</v>
      </c>
      <c r="I28" s="33">
        <f>SUMIFS('Bilateral assistance, MAIN DATA'!$N:$N,'Bilateral assistance, MAIN DATA'!$B:$B,I$1, 'Bilateral assistance, MAIN DATA'!$I:$I,$A28)</f>
        <v>0</v>
      </c>
      <c r="J28" s="33">
        <f>SUMIFS('Bilateral assistance, MAIN DATA'!$N:$N,'Bilateral assistance, MAIN DATA'!$B:$B,J$1, 'Bilateral assistance, MAIN DATA'!$I:$I,$A28)</f>
        <v>0</v>
      </c>
      <c r="K28" s="33">
        <f>SUMIFS('Bilateral assistance, MAIN DATA'!$N:$N,'Bilateral assistance, MAIN DATA'!$B:$B,K$1, 'Bilateral assistance, MAIN DATA'!$I:$I,$A28)</f>
        <v>0</v>
      </c>
      <c r="L28" s="33">
        <f>SUMIFS('Bilateral assistance, MAIN DATA'!$N:$N,'Bilateral assistance, MAIN DATA'!$B:$B,L$1, 'Bilateral assistance, MAIN DATA'!$I:$I,$A28)</f>
        <v>0</v>
      </c>
      <c r="M28" s="33">
        <f>SUMIFS('Bilateral assistance, MAIN DATA'!$N:$N,'Bilateral assistance, MAIN DATA'!$B:$B,M$1, 'Bilateral assistance, MAIN DATA'!$I:$I,$A28)</f>
        <v>0</v>
      </c>
      <c r="N28" s="33">
        <f>SUMIFS('Bilateral assistance, MAIN DATA'!$N:$N,'Bilateral assistance, MAIN DATA'!$B:$B,N$1, 'Bilateral assistance, MAIN DATA'!$I:$I,$A28)</f>
        <v>0</v>
      </c>
      <c r="O28" s="33">
        <f>SUMIFS('Bilateral assistance, MAIN DATA'!$N:$N,'Bilateral assistance, MAIN DATA'!$B:$B,O$1, 'Bilateral assistance, MAIN DATA'!$I:$I,$A28)</f>
        <v>0</v>
      </c>
      <c r="P28" s="33">
        <f>SUMIFS('Bilateral assistance, MAIN DATA'!$N:$N,'Bilateral assistance, MAIN DATA'!$B:$B,P$1, 'Bilateral assistance, MAIN DATA'!$I:$I,$A28)</f>
        <v>0</v>
      </c>
      <c r="Q28" s="33">
        <f>SUMIFS('Bilateral assistance, MAIN DATA'!$N:$N,'Bilateral assistance, MAIN DATA'!$B:$B,Q$1, 'Bilateral assistance, MAIN DATA'!$I:$I,$A28)</f>
        <v>0</v>
      </c>
      <c r="R28" s="33">
        <f>SUMIFS('Bilateral assistance, MAIN DATA'!$N:$N,'Bilateral assistance, MAIN DATA'!$B:$B,R$1, 'Bilateral assistance, MAIN DATA'!$I:$I,$A28)</f>
        <v>0</v>
      </c>
      <c r="S28" s="33">
        <f>SUMIFS('Bilateral assistance, MAIN DATA'!$N:$N,'Bilateral assistance, MAIN DATA'!$B:$B,S$1, 'Bilateral assistance, MAIN DATA'!$I:$I,$A28)</f>
        <v>0</v>
      </c>
      <c r="T28" s="33">
        <f>SUMIFS('Bilateral assistance, MAIN DATA'!$N:$N,'Bilateral assistance, MAIN DATA'!$B:$B,T$1, 'Bilateral assistance, MAIN DATA'!$I:$I,$A28)</f>
        <v>0</v>
      </c>
      <c r="U28" s="33">
        <f>SUMIFS('Bilateral assistance, MAIN DATA'!$N:$N,'Bilateral assistance, MAIN DATA'!$B:$B,U$1, 'Bilateral assistance, MAIN DATA'!$I:$I,$A28)</f>
        <v>0</v>
      </c>
      <c r="V28" s="33">
        <f>SUMIFS('Bilateral assistance, MAIN DATA'!$N:$N,'Bilateral assistance, MAIN DATA'!$B:$B,V$1, 'Bilateral assistance, MAIN DATA'!$I:$I,$A28)</f>
        <v>0</v>
      </c>
      <c r="W28" s="33">
        <f>SUMIFS('Bilateral assistance, MAIN DATA'!$N:$N,'Bilateral assistance, MAIN DATA'!$B:$B,W$1, 'Bilateral assistance, MAIN DATA'!$I:$I,$A28)</f>
        <v>0</v>
      </c>
      <c r="X28" s="33">
        <f>SUMIFS('Bilateral assistance, MAIN DATA'!$N:$N,'Bilateral assistance, MAIN DATA'!$B:$B,X$1, 'Bilateral assistance, MAIN DATA'!$I:$I,$A28)</f>
        <v>0</v>
      </c>
      <c r="Y28" s="33">
        <f>SUMIFS('Bilateral assistance, MAIN DATA'!$N:$N,'Bilateral assistance, MAIN DATA'!$B:$B,Y$1, 'Bilateral assistance, MAIN DATA'!$I:$I,$A28)</f>
        <v>0</v>
      </c>
      <c r="Z28" s="33">
        <f>SUMIFS('Bilateral assistance, MAIN DATA'!$N:$N,'Bilateral assistance, MAIN DATA'!$B:$B,Z$1, 'Bilateral assistance, MAIN DATA'!$I:$I,$A28)</f>
        <v>0</v>
      </c>
      <c r="AA28" s="33">
        <f>SUMIFS('Bilateral assistance, MAIN DATA'!$N:$N,'Bilateral assistance, MAIN DATA'!$B:$B,AA$1, 'Bilateral assistance, MAIN DATA'!$I:$I,$A28)</f>
        <v>0</v>
      </c>
      <c r="AB28" s="33">
        <f>SUMIFS('Bilateral assistance, MAIN DATA'!$N:$N,'Bilateral assistance, MAIN DATA'!$B:$B,AB$1, 'Bilateral assistance, MAIN DATA'!$I:$I,$A28)</f>
        <v>0</v>
      </c>
      <c r="AC28" s="33">
        <f>SUMIFS('Bilateral assistance, MAIN DATA'!$N:$N,'Bilateral assistance, MAIN DATA'!$B:$B,AC$1, 'Bilateral assistance, MAIN DATA'!$I:$I,$A28)</f>
        <v>0</v>
      </c>
      <c r="AD28" s="33">
        <f>SUMIFS('Bilateral assistance, MAIN DATA'!$N:$N,'Bilateral assistance, MAIN DATA'!$B:$B,AD$1, 'Bilateral assistance, MAIN DATA'!$I:$I,$A28)</f>
        <v>0</v>
      </c>
      <c r="AE28" s="33">
        <f>SUMIFS('Bilateral assistance, MAIN DATA'!$N:$N,'Bilateral assistance, MAIN DATA'!$B:$B,AE$1, 'Bilateral assistance, MAIN DATA'!$I:$I,$A28)</f>
        <v>0</v>
      </c>
      <c r="AF28" s="33">
        <f>SUMIFS('Bilateral assistance, MAIN DATA'!$N:$N,'Bilateral assistance, MAIN DATA'!$B:$B,AF$1, 'Bilateral assistance, MAIN DATA'!$I:$I,$A28)</f>
        <v>0</v>
      </c>
      <c r="AG28" s="33">
        <f>SUMIFS('Bilateral assistance, MAIN DATA'!$N:$N,'Bilateral assistance, MAIN DATA'!$B:$B,AG$1, 'Bilateral assistance, MAIN DATA'!$I:$I,$A28)</f>
        <v>0</v>
      </c>
      <c r="AH28" s="33">
        <f>SUMIFS('Bilateral assistance, MAIN DATA'!$N:$N,'Bilateral assistance, MAIN DATA'!$B:$B,AH$1, 'Bilateral assistance, MAIN DATA'!$I:$I,$A28)</f>
        <v>0</v>
      </c>
      <c r="AI28" s="33">
        <f>SUMIFS('Bilateral assistance, MAIN DATA'!$N:$N,'Bilateral assistance, MAIN DATA'!$B:$B,AI$1, 'Bilateral assistance, MAIN DATA'!$I:$I,$A28)</f>
        <v>0</v>
      </c>
      <c r="AJ28" s="33">
        <f>SUMIFS('Bilateral assistance, MAIN DATA'!$N:$N,'Bilateral assistance, MAIN DATA'!$B:$B,AJ$1, 'Bilateral assistance, MAIN DATA'!$I:$I,$A28)</f>
        <v>0</v>
      </c>
      <c r="AK28" s="33">
        <f>SUMIFS('Bilateral assistance, MAIN DATA'!$N:$N,'Bilateral assistance, MAIN DATA'!$B:$B,AK$1, 'Bilateral assistance, MAIN DATA'!$I:$I,$A28)</f>
        <v>0</v>
      </c>
      <c r="AL28" s="33">
        <f>SUMIFS('Bilateral assistance, MAIN DATA'!$N:$N,'Bilateral assistance, MAIN DATA'!$B:$B,AL$1, 'Bilateral assistance, MAIN DATA'!$I:$I,$A28)</f>
        <v>0</v>
      </c>
      <c r="AM28" s="33">
        <f>SUMIFS('Bilateral assistance, MAIN DATA'!$N:$N,'Bilateral assistance, MAIN DATA'!$B:$B,AM$1, 'Bilateral assistance, MAIN DATA'!$I:$I,$A28)</f>
        <v>0</v>
      </c>
      <c r="AN28" s="33">
        <f>SUMIFS('Bilateral assistance, MAIN DATA'!$N:$N,'Bilateral assistance, MAIN DATA'!$B:$B,AN$1, 'Bilateral assistance, MAIN DATA'!$I:$I,$A28)</f>
        <v>0</v>
      </c>
      <c r="AO28" s="33">
        <f>SUMIFS('Bilateral assistance, MAIN DATA'!$N:$N,'Bilateral assistance, MAIN DATA'!$B:$B,AO$1, 'Bilateral assistance, MAIN DATA'!$I:$I,$A28)</f>
        <v>0</v>
      </c>
      <c r="AP28" s="33">
        <f>SUMIFS('Bilateral assistance, MAIN DATA'!$N:$N,'Bilateral assistance, MAIN DATA'!$B:$B,AP$1, 'Bilateral assistance, MAIN DATA'!$I:$I,$A28)</f>
        <v>0</v>
      </c>
      <c r="AQ28" s="33">
        <f>SUMIFS('Bilateral assistance, MAIN DATA'!$N:$N,'Bilateral assistance, MAIN DATA'!$B:$B,AQ$1, 'Bilateral assistance, MAIN DATA'!$I:$I,$A28)</f>
        <v>0</v>
      </c>
      <c r="AR28" s="33">
        <f>SUMIFS('Bilateral assistance, MAIN DATA'!$N:$N,'Bilateral assistance, MAIN DATA'!$B:$B,AR$1, 'Bilateral assistance, MAIN DATA'!$I:$I,$A28)</f>
        <v>0</v>
      </c>
      <c r="AS28" s="33">
        <f>SUMIFS('Bilateral assistance, MAIN DATA'!$N:$N,'Bilateral assistance, MAIN DATA'!$B:$B,AS$1, 'Bilateral assistance, MAIN DATA'!$I:$I,$A28)</f>
        <v>0</v>
      </c>
    </row>
    <row r="29" spans="1:45">
      <c r="A29" s="27" t="s">
        <v>697</v>
      </c>
      <c r="B29" s="33">
        <f t="shared" si="0"/>
        <v>280</v>
      </c>
      <c r="C29" s="645" t="s">
        <v>3256</v>
      </c>
      <c r="D29" s="33" t="s">
        <v>4152</v>
      </c>
      <c r="F29" s="33">
        <f>SUMIFS('Bilateral assistance, MAIN DATA'!$N:$N,'Bilateral assistance, MAIN DATA'!$B:$B,F$1, 'Bilateral assistance, MAIN DATA'!$I:$I,$A29)</f>
        <v>0</v>
      </c>
      <c r="G29" s="33">
        <f>SUMIFS('Bilateral assistance, MAIN DATA'!$N:$N,'Bilateral assistance, MAIN DATA'!$B:$B,G$1, 'Bilateral assistance, MAIN DATA'!$I:$I,$A29)</f>
        <v>0</v>
      </c>
      <c r="H29" s="33">
        <f>SUMIFS('Bilateral assistance, MAIN DATA'!$N:$N,'Bilateral assistance, MAIN DATA'!$B:$B,H$1, 'Bilateral assistance, MAIN DATA'!$I:$I,$A29)</f>
        <v>0</v>
      </c>
      <c r="I29" s="33">
        <f>SUMIFS('Bilateral assistance, MAIN DATA'!$N:$N,'Bilateral assistance, MAIN DATA'!$B:$B,I$1, 'Bilateral assistance, MAIN DATA'!$I:$I,$A29)</f>
        <v>0</v>
      </c>
      <c r="J29" s="33">
        <f>SUMIFS('Bilateral assistance, MAIN DATA'!$N:$N,'Bilateral assistance, MAIN DATA'!$B:$B,J$1, 'Bilateral assistance, MAIN DATA'!$I:$I,$A29)</f>
        <v>0</v>
      </c>
      <c r="K29" s="33">
        <f>SUMIFS('Bilateral assistance, MAIN DATA'!$N:$N,'Bilateral assistance, MAIN DATA'!$B:$B,K$1, 'Bilateral assistance, MAIN DATA'!$I:$I,$A29)</f>
        <v>0</v>
      </c>
      <c r="L29" s="33">
        <f>SUMIFS('Bilateral assistance, MAIN DATA'!$N:$N,'Bilateral assistance, MAIN DATA'!$B:$B,L$1, 'Bilateral assistance, MAIN DATA'!$I:$I,$A29)</f>
        <v>0</v>
      </c>
      <c r="M29" s="33">
        <f>SUMIFS('Bilateral assistance, MAIN DATA'!$N:$N,'Bilateral assistance, MAIN DATA'!$B:$B,M$1, 'Bilateral assistance, MAIN DATA'!$I:$I,$A29)</f>
        <v>40</v>
      </c>
      <c r="N29" s="33">
        <f>SUMIFS('Bilateral assistance, MAIN DATA'!$N:$N,'Bilateral assistance, MAIN DATA'!$B:$B,N$1, 'Bilateral assistance, MAIN DATA'!$I:$I,$A29)</f>
        <v>0</v>
      </c>
      <c r="O29" s="33">
        <f>SUMIFS('Bilateral assistance, MAIN DATA'!$N:$N,'Bilateral assistance, MAIN DATA'!$B:$B,O$1, 'Bilateral assistance, MAIN DATA'!$I:$I,$A29)</f>
        <v>0</v>
      </c>
      <c r="P29" s="33">
        <f>SUMIFS('Bilateral assistance, MAIN DATA'!$N:$N,'Bilateral assistance, MAIN DATA'!$B:$B,P$1, 'Bilateral assistance, MAIN DATA'!$I:$I,$A29)</f>
        <v>0</v>
      </c>
      <c r="Q29" s="33">
        <f>SUMIFS('Bilateral assistance, MAIN DATA'!$N:$N,'Bilateral assistance, MAIN DATA'!$B:$B,Q$1, 'Bilateral assistance, MAIN DATA'!$I:$I,$A29)</f>
        <v>0</v>
      </c>
      <c r="R29" s="33">
        <f>SUMIFS('Bilateral assistance, MAIN DATA'!$N:$N,'Bilateral assistance, MAIN DATA'!$B:$B,R$1, 'Bilateral assistance, MAIN DATA'!$I:$I,$A29)</f>
        <v>0</v>
      </c>
      <c r="S29" s="33">
        <f>SUMIFS('Bilateral assistance, MAIN DATA'!$N:$N,'Bilateral assistance, MAIN DATA'!$B:$B,S$1, 'Bilateral assistance, MAIN DATA'!$I:$I,$A29)</f>
        <v>0</v>
      </c>
      <c r="T29" s="33">
        <f>SUMIFS('Bilateral assistance, MAIN DATA'!$N:$N,'Bilateral assistance, MAIN DATA'!$B:$B,T$1, 'Bilateral assistance, MAIN DATA'!$I:$I,$A29)</f>
        <v>0</v>
      </c>
      <c r="U29" s="33">
        <f>SUMIFS('Bilateral assistance, MAIN DATA'!$N:$N,'Bilateral assistance, MAIN DATA'!$B:$B,U$1, 'Bilateral assistance, MAIN DATA'!$I:$I,$A29)</f>
        <v>0</v>
      </c>
      <c r="V29" s="33">
        <f>SUMIFS('Bilateral assistance, MAIN DATA'!$N:$N,'Bilateral assistance, MAIN DATA'!$B:$B,V$1, 'Bilateral assistance, MAIN DATA'!$I:$I,$A29)</f>
        <v>0</v>
      </c>
      <c r="W29" s="33">
        <f>SUMIFS('Bilateral assistance, MAIN DATA'!$N:$N,'Bilateral assistance, MAIN DATA'!$B:$B,W$1, 'Bilateral assistance, MAIN DATA'!$I:$I,$A29)</f>
        <v>0</v>
      </c>
      <c r="X29" s="33">
        <f>SUMIFS('Bilateral assistance, MAIN DATA'!$N:$N,'Bilateral assistance, MAIN DATA'!$B:$B,X$1, 'Bilateral assistance, MAIN DATA'!$I:$I,$A29)</f>
        <v>0</v>
      </c>
      <c r="Y29" s="33">
        <f>SUMIFS('Bilateral assistance, MAIN DATA'!$N:$N,'Bilateral assistance, MAIN DATA'!$B:$B,Y$1, 'Bilateral assistance, MAIN DATA'!$I:$I,$A29)</f>
        <v>0</v>
      </c>
      <c r="Z29" s="33">
        <f>SUMIFS('Bilateral assistance, MAIN DATA'!$N:$N,'Bilateral assistance, MAIN DATA'!$B:$B,Z$1, 'Bilateral assistance, MAIN DATA'!$I:$I,$A29)</f>
        <v>0</v>
      </c>
      <c r="AA29" s="33">
        <f>SUMIFS('Bilateral assistance, MAIN DATA'!$N:$N,'Bilateral assistance, MAIN DATA'!$B:$B,AA$1, 'Bilateral assistance, MAIN DATA'!$I:$I,$A29)</f>
        <v>0</v>
      </c>
      <c r="AB29" s="33">
        <f>SUMIFS('Bilateral assistance, MAIN DATA'!$N:$N,'Bilateral assistance, MAIN DATA'!$B:$B,AB$1, 'Bilateral assistance, MAIN DATA'!$I:$I,$A29)</f>
        <v>0</v>
      </c>
      <c r="AC29" s="33">
        <f>SUMIFS('Bilateral assistance, MAIN DATA'!$N:$N,'Bilateral assistance, MAIN DATA'!$B:$B,AC$1, 'Bilateral assistance, MAIN DATA'!$I:$I,$A29)</f>
        <v>0</v>
      </c>
      <c r="AD29" s="33">
        <f>SUMIFS('Bilateral assistance, MAIN DATA'!$N:$N,'Bilateral assistance, MAIN DATA'!$B:$B,AD$1, 'Bilateral assistance, MAIN DATA'!$I:$I,$A29)</f>
        <v>0</v>
      </c>
      <c r="AE29" s="33">
        <f>SUMIFS('Bilateral assistance, MAIN DATA'!$N:$N,'Bilateral assistance, MAIN DATA'!$B:$B,AE$1, 'Bilateral assistance, MAIN DATA'!$I:$I,$A29)</f>
        <v>0</v>
      </c>
      <c r="AF29" s="33">
        <f>SUMIFS('Bilateral assistance, MAIN DATA'!$N:$N,'Bilateral assistance, MAIN DATA'!$B:$B,AF$1, 'Bilateral assistance, MAIN DATA'!$I:$I,$A29)</f>
        <v>0</v>
      </c>
      <c r="AG29" s="33">
        <f>SUMIFS('Bilateral assistance, MAIN DATA'!$N:$N,'Bilateral assistance, MAIN DATA'!$B:$B,AG$1, 'Bilateral assistance, MAIN DATA'!$I:$I,$A29)</f>
        <v>0</v>
      </c>
      <c r="AH29" s="33">
        <f>SUMIFS('Bilateral assistance, MAIN DATA'!$N:$N,'Bilateral assistance, MAIN DATA'!$B:$B,AH$1, 'Bilateral assistance, MAIN DATA'!$I:$I,$A29)</f>
        <v>240</v>
      </c>
      <c r="AI29" s="33">
        <f>SUMIFS('Bilateral assistance, MAIN DATA'!$N:$N,'Bilateral assistance, MAIN DATA'!$B:$B,AI$1, 'Bilateral assistance, MAIN DATA'!$I:$I,$A29)</f>
        <v>0</v>
      </c>
      <c r="AJ29" s="33">
        <f>SUMIFS('Bilateral assistance, MAIN DATA'!$N:$N,'Bilateral assistance, MAIN DATA'!$B:$B,AJ$1, 'Bilateral assistance, MAIN DATA'!$I:$I,$A29)</f>
        <v>0</v>
      </c>
      <c r="AK29" s="33">
        <f>SUMIFS('Bilateral assistance, MAIN DATA'!$N:$N,'Bilateral assistance, MAIN DATA'!$B:$B,AK$1, 'Bilateral assistance, MAIN DATA'!$I:$I,$A29)</f>
        <v>0</v>
      </c>
      <c r="AL29" s="33">
        <f>SUMIFS('Bilateral assistance, MAIN DATA'!$N:$N,'Bilateral assistance, MAIN DATA'!$B:$B,AL$1, 'Bilateral assistance, MAIN DATA'!$I:$I,$A29)</f>
        <v>0</v>
      </c>
      <c r="AM29" s="33">
        <f>SUMIFS('Bilateral assistance, MAIN DATA'!$N:$N,'Bilateral assistance, MAIN DATA'!$B:$B,AM$1, 'Bilateral assistance, MAIN DATA'!$I:$I,$A29)</f>
        <v>0</v>
      </c>
      <c r="AN29" s="33">
        <f>SUMIFS('Bilateral assistance, MAIN DATA'!$N:$N,'Bilateral assistance, MAIN DATA'!$B:$B,AN$1, 'Bilateral assistance, MAIN DATA'!$I:$I,$A29)</f>
        <v>0</v>
      </c>
      <c r="AO29" s="33">
        <f>SUMIFS('Bilateral assistance, MAIN DATA'!$N:$N,'Bilateral assistance, MAIN DATA'!$B:$B,AO$1, 'Bilateral assistance, MAIN DATA'!$I:$I,$A29)</f>
        <v>0</v>
      </c>
      <c r="AP29" s="33">
        <f>SUMIFS('Bilateral assistance, MAIN DATA'!$N:$N,'Bilateral assistance, MAIN DATA'!$B:$B,AP$1, 'Bilateral assistance, MAIN DATA'!$I:$I,$A29)</f>
        <v>0</v>
      </c>
      <c r="AQ29" s="33">
        <f>SUMIFS('Bilateral assistance, MAIN DATA'!$N:$N,'Bilateral assistance, MAIN DATA'!$B:$B,AQ$1, 'Bilateral assistance, MAIN DATA'!$I:$I,$A29)</f>
        <v>0</v>
      </c>
      <c r="AR29" s="33">
        <f>SUMIFS('Bilateral assistance, MAIN DATA'!$N:$N,'Bilateral assistance, MAIN DATA'!$B:$B,AR$1, 'Bilateral assistance, MAIN DATA'!$I:$I,$A29)</f>
        <v>0</v>
      </c>
      <c r="AS29" s="33">
        <f>SUMIFS('Bilateral assistance, MAIN DATA'!$N:$N,'Bilateral assistance, MAIN DATA'!$B:$B,AS$1, 'Bilateral assistance, MAIN DATA'!$I:$I,$A29)</f>
        <v>0</v>
      </c>
    </row>
    <row r="30" spans="1:45">
      <c r="A30" s="27" t="s">
        <v>4153</v>
      </c>
      <c r="B30" s="33">
        <f t="shared" si="0"/>
        <v>0</v>
      </c>
      <c r="C30" s="645" t="s">
        <v>3256</v>
      </c>
      <c r="D30" s="33" t="s">
        <v>4152</v>
      </c>
      <c r="F30" s="33">
        <f>SUMIFS('Bilateral assistance, MAIN DATA'!$N:$N,'Bilateral assistance, MAIN DATA'!$B:$B,F$1, 'Bilateral assistance, MAIN DATA'!$I:$I,$A30)</f>
        <v>0</v>
      </c>
      <c r="G30" s="33">
        <f>SUMIFS('Bilateral assistance, MAIN DATA'!$N:$N,'Bilateral assistance, MAIN DATA'!$B:$B,G$1, 'Bilateral assistance, MAIN DATA'!$I:$I,$A30)</f>
        <v>0</v>
      </c>
      <c r="H30" s="33">
        <f>SUMIFS('Bilateral assistance, MAIN DATA'!$N:$N,'Bilateral assistance, MAIN DATA'!$B:$B,H$1, 'Bilateral assistance, MAIN DATA'!$I:$I,$A30)</f>
        <v>0</v>
      </c>
      <c r="I30" s="33">
        <f>SUMIFS('Bilateral assistance, MAIN DATA'!$N:$N,'Bilateral assistance, MAIN DATA'!$B:$B,I$1, 'Bilateral assistance, MAIN DATA'!$I:$I,$A30)</f>
        <v>0</v>
      </c>
      <c r="J30" s="33">
        <f>SUMIFS('Bilateral assistance, MAIN DATA'!$N:$N,'Bilateral assistance, MAIN DATA'!$B:$B,J$1, 'Bilateral assistance, MAIN DATA'!$I:$I,$A30)</f>
        <v>0</v>
      </c>
      <c r="K30" s="33">
        <f>SUMIFS('Bilateral assistance, MAIN DATA'!$N:$N,'Bilateral assistance, MAIN DATA'!$B:$B,K$1, 'Bilateral assistance, MAIN DATA'!$I:$I,$A30)</f>
        <v>0</v>
      </c>
      <c r="L30" s="33">
        <f>SUMIFS('Bilateral assistance, MAIN DATA'!$N:$N,'Bilateral assistance, MAIN DATA'!$B:$B,L$1, 'Bilateral assistance, MAIN DATA'!$I:$I,$A30)</f>
        <v>0</v>
      </c>
      <c r="M30" s="33">
        <f>SUMIFS('Bilateral assistance, MAIN DATA'!$N:$N,'Bilateral assistance, MAIN DATA'!$B:$B,M$1, 'Bilateral assistance, MAIN DATA'!$I:$I,$A30)</f>
        <v>0</v>
      </c>
      <c r="N30" s="33">
        <f>SUMIFS('Bilateral assistance, MAIN DATA'!$N:$N,'Bilateral assistance, MAIN DATA'!$B:$B,N$1, 'Bilateral assistance, MAIN DATA'!$I:$I,$A30)</f>
        <v>0</v>
      </c>
      <c r="O30" s="33">
        <f>SUMIFS('Bilateral assistance, MAIN DATA'!$N:$N,'Bilateral assistance, MAIN DATA'!$B:$B,O$1, 'Bilateral assistance, MAIN DATA'!$I:$I,$A30)</f>
        <v>0</v>
      </c>
      <c r="P30" s="33">
        <f>SUMIFS('Bilateral assistance, MAIN DATA'!$N:$N,'Bilateral assistance, MAIN DATA'!$B:$B,P$1, 'Bilateral assistance, MAIN DATA'!$I:$I,$A30)</f>
        <v>0</v>
      </c>
      <c r="Q30" s="33">
        <f>SUMIFS('Bilateral assistance, MAIN DATA'!$N:$N,'Bilateral assistance, MAIN DATA'!$B:$B,Q$1, 'Bilateral assistance, MAIN DATA'!$I:$I,$A30)</f>
        <v>0</v>
      </c>
      <c r="R30" s="33">
        <f>SUMIFS('Bilateral assistance, MAIN DATA'!$N:$N,'Bilateral assistance, MAIN DATA'!$B:$B,R$1, 'Bilateral assistance, MAIN DATA'!$I:$I,$A30)</f>
        <v>0</v>
      </c>
      <c r="S30" s="33">
        <f>SUMIFS('Bilateral assistance, MAIN DATA'!$N:$N,'Bilateral assistance, MAIN DATA'!$B:$B,S$1, 'Bilateral assistance, MAIN DATA'!$I:$I,$A30)</f>
        <v>0</v>
      </c>
      <c r="T30" s="33">
        <f>SUMIFS('Bilateral assistance, MAIN DATA'!$N:$N,'Bilateral assistance, MAIN DATA'!$B:$B,T$1, 'Bilateral assistance, MAIN DATA'!$I:$I,$A30)</f>
        <v>0</v>
      </c>
      <c r="U30" s="33">
        <f>SUMIFS('Bilateral assistance, MAIN DATA'!$N:$N,'Bilateral assistance, MAIN DATA'!$B:$B,U$1, 'Bilateral assistance, MAIN DATA'!$I:$I,$A30)</f>
        <v>0</v>
      </c>
      <c r="V30" s="33">
        <f>SUMIFS('Bilateral assistance, MAIN DATA'!$N:$N,'Bilateral assistance, MAIN DATA'!$B:$B,V$1, 'Bilateral assistance, MAIN DATA'!$I:$I,$A30)</f>
        <v>0</v>
      </c>
      <c r="W30" s="33">
        <f>SUMIFS('Bilateral assistance, MAIN DATA'!$N:$N,'Bilateral assistance, MAIN DATA'!$B:$B,W$1, 'Bilateral assistance, MAIN DATA'!$I:$I,$A30)</f>
        <v>0</v>
      </c>
      <c r="X30" s="33">
        <f>SUMIFS('Bilateral assistance, MAIN DATA'!$N:$N,'Bilateral assistance, MAIN DATA'!$B:$B,X$1, 'Bilateral assistance, MAIN DATA'!$I:$I,$A30)</f>
        <v>0</v>
      </c>
      <c r="Y30" s="33">
        <f>SUMIFS('Bilateral assistance, MAIN DATA'!$N:$N,'Bilateral assistance, MAIN DATA'!$B:$B,Y$1, 'Bilateral assistance, MAIN DATA'!$I:$I,$A30)</f>
        <v>0</v>
      </c>
      <c r="Z30" s="33">
        <f>SUMIFS('Bilateral assistance, MAIN DATA'!$N:$N,'Bilateral assistance, MAIN DATA'!$B:$B,Z$1, 'Bilateral assistance, MAIN DATA'!$I:$I,$A30)</f>
        <v>0</v>
      </c>
      <c r="AA30" s="33">
        <f>SUMIFS('Bilateral assistance, MAIN DATA'!$N:$N,'Bilateral assistance, MAIN DATA'!$B:$B,AA$1, 'Bilateral assistance, MAIN DATA'!$I:$I,$A30)</f>
        <v>0</v>
      </c>
      <c r="AB30" s="33">
        <f>SUMIFS('Bilateral assistance, MAIN DATA'!$N:$N,'Bilateral assistance, MAIN DATA'!$B:$B,AB$1, 'Bilateral assistance, MAIN DATA'!$I:$I,$A30)</f>
        <v>0</v>
      </c>
      <c r="AC30" s="33">
        <f>SUMIFS('Bilateral assistance, MAIN DATA'!$N:$N,'Bilateral assistance, MAIN DATA'!$B:$B,AC$1, 'Bilateral assistance, MAIN DATA'!$I:$I,$A30)</f>
        <v>0</v>
      </c>
      <c r="AD30" s="33">
        <f>SUMIFS('Bilateral assistance, MAIN DATA'!$N:$N,'Bilateral assistance, MAIN DATA'!$B:$B,AD$1, 'Bilateral assistance, MAIN DATA'!$I:$I,$A30)</f>
        <v>0</v>
      </c>
      <c r="AE30" s="33">
        <f>SUMIFS('Bilateral assistance, MAIN DATA'!$N:$N,'Bilateral assistance, MAIN DATA'!$B:$B,AE$1, 'Bilateral assistance, MAIN DATA'!$I:$I,$A30)</f>
        <v>0</v>
      </c>
      <c r="AF30" s="33">
        <f>SUMIFS('Bilateral assistance, MAIN DATA'!$N:$N,'Bilateral assistance, MAIN DATA'!$B:$B,AF$1, 'Bilateral assistance, MAIN DATA'!$I:$I,$A30)</f>
        <v>0</v>
      </c>
      <c r="AG30" s="33">
        <f>SUMIFS('Bilateral assistance, MAIN DATA'!$N:$N,'Bilateral assistance, MAIN DATA'!$B:$B,AG$1, 'Bilateral assistance, MAIN DATA'!$I:$I,$A30)</f>
        <v>0</v>
      </c>
      <c r="AH30" s="33">
        <f>SUMIFS('Bilateral assistance, MAIN DATA'!$N:$N,'Bilateral assistance, MAIN DATA'!$B:$B,AH$1, 'Bilateral assistance, MAIN DATA'!$I:$I,$A30)</f>
        <v>0</v>
      </c>
      <c r="AI30" s="33">
        <f>SUMIFS('Bilateral assistance, MAIN DATA'!$N:$N,'Bilateral assistance, MAIN DATA'!$B:$B,AI$1, 'Bilateral assistance, MAIN DATA'!$I:$I,$A30)</f>
        <v>0</v>
      </c>
      <c r="AJ30" s="33">
        <f>SUMIFS('Bilateral assistance, MAIN DATA'!$N:$N,'Bilateral assistance, MAIN DATA'!$B:$B,AJ$1, 'Bilateral assistance, MAIN DATA'!$I:$I,$A30)</f>
        <v>0</v>
      </c>
      <c r="AK30" s="33">
        <f>SUMIFS('Bilateral assistance, MAIN DATA'!$N:$N,'Bilateral assistance, MAIN DATA'!$B:$B,AK$1, 'Bilateral assistance, MAIN DATA'!$I:$I,$A30)</f>
        <v>0</v>
      </c>
      <c r="AL30" s="33">
        <f>SUMIFS('Bilateral assistance, MAIN DATA'!$N:$N,'Bilateral assistance, MAIN DATA'!$B:$B,AL$1, 'Bilateral assistance, MAIN DATA'!$I:$I,$A30)</f>
        <v>0</v>
      </c>
      <c r="AM30" s="33">
        <f>SUMIFS('Bilateral assistance, MAIN DATA'!$N:$N,'Bilateral assistance, MAIN DATA'!$B:$B,AM$1, 'Bilateral assistance, MAIN DATA'!$I:$I,$A30)</f>
        <v>0</v>
      </c>
      <c r="AN30" s="33">
        <f>SUMIFS('Bilateral assistance, MAIN DATA'!$N:$N,'Bilateral assistance, MAIN DATA'!$B:$B,AN$1, 'Bilateral assistance, MAIN DATA'!$I:$I,$A30)</f>
        <v>0</v>
      </c>
      <c r="AO30" s="33">
        <f>SUMIFS('Bilateral assistance, MAIN DATA'!$N:$N,'Bilateral assistance, MAIN DATA'!$B:$B,AO$1, 'Bilateral assistance, MAIN DATA'!$I:$I,$A30)</f>
        <v>0</v>
      </c>
      <c r="AP30" s="33">
        <f>SUMIFS('Bilateral assistance, MAIN DATA'!$N:$N,'Bilateral assistance, MAIN DATA'!$B:$B,AP$1, 'Bilateral assistance, MAIN DATA'!$I:$I,$A30)</f>
        <v>0</v>
      </c>
      <c r="AQ30" s="33">
        <f>SUMIFS('Bilateral assistance, MAIN DATA'!$N:$N,'Bilateral assistance, MAIN DATA'!$B:$B,AQ$1, 'Bilateral assistance, MAIN DATA'!$I:$I,$A30)</f>
        <v>0</v>
      </c>
      <c r="AR30" s="33">
        <f>SUMIFS('Bilateral assistance, MAIN DATA'!$N:$N,'Bilateral assistance, MAIN DATA'!$B:$B,AR$1, 'Bilateral assistance, MAIN DATA'!$I:$I,$A30)</f>
        <v>0</v>
      </c>
      <c r="AS30" s="33">
        <f>SUMIFS('Bilateral assistance, MAIN DATA'!$N:$N,'Bilateral assistance, MAIN DATA'!$B:$B,AS$1, 'Bilateral assistance, MAIN DATA'!$I:$I,$A30)</f>
        <v>0</v>
      </c>
    </row>
    <row r="31" spans="1:45">
      <c r="A31" s="27" t="s">
        <v>1938</v>
      </c>
      <c r="B31" s="33">
        <f t="shared" si="0"/>
        <v>0</v>
      </c>
      <c r="C31" s="645" t="s">
        <v>3256</v>
      </c>
      <c r="D31" s="33" t="s">
        <v>4152</v>
      </c>
      <c r="F31" s="33">
        <f>SUMIFS('Bilateral assistance, MAIN DATA'!$N:$N,'Bilateral assistance, MAIN DATA'!$B:$B,F$1, 'Bilateral assistance, MAIN DATA'!$I:$I,$A31)</f>
        <v>0</v>
      </c>
      <c r="G31" s="33">
        <f>SUMIFS('Bilateral assistance, MAIN DATA'!$N:$N,'Bilateral assistance, MAIN DATA'!$B:$B,G$1, 'Bilateral assistance, MAIN DATA'!$I:$I,$A31)</f>
        <v>0</v>
      </c>
      <c r="H31" s="33">
        <f>SUMIFS('Bilateral assistance, MAIN DATA'!$N:$N,'Bilateral assistance, MAIN DATA'!$B:$B,H$1, 'Bilateral assistance, MAIN DATA'!$I:$I,$A31)</f>
        <v>0</v>
      </c>
      <c r="I31" s="33">
        <f>SUMIFS('Bilateral assistance, MAIN DATA'!$N:$N,'Bilateral assistance, MAIN DATA'!$B:$B,I$1, 'Bilateral assistance, MAIN DATA'!$I:$I,$A31)</f>
        <v>0</v>
      </c>
      <c r="J31" s="33">
        <f>SUMIFS('Bilateral assistance, MAIN DATA'!$N:$N,'Bilateral assistance, MAIN DATA'!$B:$B,J$1, 'Bilateral assistance, MAIN DATA'!$I:$I,$A31)</f>
        <v>0</v>
      </c>
      <c r="K31" s="33">
        <f>SUMIFS('Bilateral assistance, MAIN DATA'!$N:$N,'Bilateral assistance, MAIN DATA'!$B:$B,K$1, 'Bilateral assistance, MAIN DATA'!$I:$I,$A31)</f>
        <v>0</v>
      </c>
      <c r="L31" s="33">
        <f>SUMIFS('Bilateral assistance, MAIN DATA'!$N:$N,'Bilateral assistance, MAIN DATA'!$B:$B,L$1, 'Bilateral assistance, MAIN DATA'!$I:$I,$A31)</f>
        <v>0</v>
      </c>
      <c r="M31" s="33">
        <f>SUMIFS('Bilateral assistance, MAIN DATA'!$N:$N,'Bilateral assistance, MAIN DATA'!$B:$B,M$1, 'Bilateral assistance, MAIN DATA'!$I:$I,$A31)</f>
        <v>0</v>
      </c>
      <c r="N31" s="33">
        <f>SUMIFS('Bilateral assistance, MAIN DATA'!$N:$N,'Bilateral assistance, MAIN DATA'!$B:$B,N$1, 'Bilateral assistance, MAIN DATA'!$I:$I,$A31)</f>
        <v>0</v>
      </c>
      <c r="O31" s="33">
        <f>SUMIFS('Bilateral assistance, MAIN DATA'!$N:$N,'Bilateral assistance, MAIN DATA'!$B:$B,O$1, 'Bilateral assistance, MAIN DATA'!$I:$I,$A31)</f>
        <v>0</v>
      </c>
      <c r="P31" s="33">
        <f>SUMIFS('Bilateral assistance, MAIN DATA'!$N:$N,'Bilateral assistance, MAIN DATA'!$B:$B,P$1, 'Bilateral assistance, MAIN DATA'!$I:$I,$A31)</f>
        <v>0</v>
      </c>
      <c r="Q31" s="33">
        <f>SUMIFS('Bilateral assistance, MAIN DATA'!$N:$N,'Bilateral assistance, MAIN DATA'!$B:$B,Q$1, 'Bilateral assistance, MAIN DATA'!$I:$I,$A31)</f>
        <v>0</v>
      </c>
      <c r="R31" s="33">
        <f>SUMIFS('Bilateral assistance, MAIN DATA'!$N:$N,'Bilateral assistance, MAIN DATA'!$B:$B,R$1, 'Bilateral assistance, MAIN DATA'!$I:$I,$A31)</f>
        <v>0</v>
      </c>
      <c r="S31" s="33">
        <f>SUMIFS('Bilateral assistance, MAIN DATA'!$N:$N,'Bilateral assistance, MAIN DATA'!$B:$B,S$1, 'Bilateral assistance, MAIN DATA'!$I:$I,$A31)</f>
        <v>0</v>
      </c>
      <c r="T31" s="33">
        <f>SUMIFS('Bilateral assistance, MAIN DATA'!$N:$N,'Bilateral assistance, MAIN DATA'!$B:$B,T$1, 'Bilateral assistance, MAIN DATA'!$I:$I,$A31)</f>
        <v>0</v>
      </c>
      <c r="U31" s="33">
        <f>SUMIFS('Bilateral assistance, MAIN DATA'!$N:$N,'Bilateral assistance, MAIN DATA'!$B:$B,U$1, 'Bilateral assistance, MAIN DATA'!$I:$I,$A31)</f>
        <v>0</v>
      </c>
      <c r="V31" s="33">
        <f>SUMIFS('Bilateral assistance, MAIN DATA'!$N:$N,'Bilateral assistance, MAIN DATA'!$B:$B,V$1, 'Bilateral assistance, MAIN DATA'!$I:$I,$A31)</f>
        <v>0</v>
      </c>
      <c r="W31" s="33">
        <f>SUMIFS('Bilateral assistance, MAIN DATA'!$N:$N,'Bilateral assistance, MAIN DATA'!$B:$B,W$1, 'Bilateral assistance, MAIN DATA'!$I:$I,$A31)</f>
        <v>0</v>
      </c>
      <c r="X31" s="33">
        <f>SUMIFS('Bilateral assistance, MAIN DATA'!$N:$N,'Bilateral assistance, MAIN DATA'!$B:$B,X$1, 'Bilateral assistance, MAIN DATA'!$I:$I,$A31)</f>
        <v>0</v>
      </c>
      <c r="Y31" s="33">
        <f>SUMIFS('Bilateral assistance, MAIN DATA'!$N:$N,'Bilateral assistance, MAIN DATA'!$B:$B,Y$1, 'Bilateral assistance, MAIN DATA'!$I:$I,$A31)</f>
        <v>0</v>
      </c>
      <c r="Z31" s="33">
        <f>SUMIFS('Bilateral assistance, MAIN DATA'!$N:$N,'Bilateral assistance, MAIN DATA'!$B:$B,Z$1, 'Bilateral assistance, MAIN DATA'!$I:$I,$A31)</f>
        <v>0</v>
      </c>
      <c r="AA31" s="33">
        <f>SUMIFS('Bilateral assistance, MAIN DATA'!$N:$N,'Bilateral assistance, MAIN DATA'!$B:$B,AA$1, 'Bilateral assistance, MAIN DATA'!$I:$I,$A31)</f>
        <v>0</v>
      </c>
      <c r="AB31" s="33">
        <f>SUMIFS('Bilateral assistance, MAIN DATA'!$N:$N,'Bilateral assistance, MAIN DATA'!$B:$B,AB$1, 'Bilateral assistance, MAIN DATA'!$I:$I,$A31)</f>
        <v>0</v>
      </c>
      <c r="AC31" s="33">
        <f>SUMIFS('Bilateral assistance, MAIN DATA'!$N:$N,'Bilateral assistance, MAIN DATA'!$B:$B,AC$1, 'Bilateral assistance, MAIN DATA'!$I:$I,$A31)</f>
        <v>0</v>
      </c>
      <c r="AD31" s="33">
        <f>SUMIFS('Bilateral assistance, MAIN DATA'!$N:$N,'Bilateral assistance, MAIN DATA'!$B:$B,AD$1, 'Bilateral assistance, MAIN DATA'!$I:$I,$A31)</f>
        <v>0</v>
      </c>
      <c r="AE31" s="33">
        <f>SUMIFS('Bilateral assistance, MAIN DATA'!$N:$N,'Bilateral assistance, MAIN DATA'!$B:$B,AE$1, 'Bilateral assistance, MAIN DATA'!$I:$I,$A31)</f>
        <v>0</v>
      </c>
      <c r="AF31" s="33">
        <f>SUMIFS('Bilateral assistance, MAIN DATA'!$N:$N,'Bilateral assistance, MAIN DATA'!$B:$B,AF$1, 'Bilateral assistance, MAIN DATA'!$I:$I,$A31)</f>
        <v>0</v>
      </c>
      <c r="AG31" s="33">
        <f>SUMIFS('Bilateral assistance, MAIN DATA'!$N:$N,'Bilateral assistance, MAIN DATA'!$B:$B,AG$1, 'Bilateral assistance, MAIN DATA'!$I:$I,$A31)</f>
        <v>0</v>
      </c>
      <c r="AH31" s="33">
        <f>SUMIFS('Bilateral assistance, MAIN DATA'!$N:$N,'Bilateral assistance, MAIN DATA'!$B:$B,AH$1, 'Bilateral assistance, MAIN DATA'!$I:$I,$A31)</f>
        <v>0</v>
      </c>
      <c r="AI31" s="33">
        <f>SUMIFS('Bilateral assistance, MAIN DATA'!$N:$N,'Bilateral assistance, MAIN DATA'!$B:$B,AI$1, 'Bilateral assistance, MAIN DATA'!$I:$I,$A31)</f>
        <v>0</v>
      </c>
      <c r="AJ31" s="33">
        <f>SUMIFS('Bilateral assistance, MAIN DATA'!$N:$N,'Bilateral assistance, MAIN DATA'!$B:$B,AJ$1, 'Bilateral assistance, MAIN DATA'!$I:$I,$A31)</f>
        <v>0</v>
      </c>
      <c r="AK31" s="33">
        <f>SUMIFS('Bilateral assistance, MAIN DATA'!$N:$N,'Bilateral assistance, MAIN DATA'!$B:$B,AK$1, 'Bilateral assistance, MAIN DATA'!$I:$I,$A31)</f>
        <v>0</v>
      </c>
      <c r="AL31" s="33">
        <f>SUMIFS('Bilateral assistance, MAIN DATA'!$N:$N,'Bilateral assistance, MAIN DATA'!$B:$B,AL$1, 'Bilateral assistance, MAIN DATA'!$I:$I,$A31)</f>
        <v>0</v>
      </c>
      <c r="AM31" s="33">
        <f>SUMIFS('Bilateral assistance, MAIN DATA'!$N:$N,'Bilateral assistance, MAIN DATA'!$B:$B,AM$1, 'Bilateral assistance, MAIN DATA'!$I:$I,$A31)</f>
        <v>0</v>
      </c>
      <c r="AN31" s="33">
        <f>SUMIFS('Bilateral assistance, MAIN DATA'!$N:$N,'Bilateral assistance, MAIN DATA'!$B:$B,AN$1, 'Bilateral assistance, MAIN DATA'!$I:$I,$A31)</f>
        <v>0</v>
      </c>
      <c r="AO31" s="33">
        <f>SUMIFS('Bilateral assistance, MAIN DATA'!$N:$N,'Bilateral assistance, MAIN DATA'!$B:$B,AO$1, 'Bilateral assistance, MAIN DATA'!$I:$I,$A31)</f>
        <v>0</v>
      </c>
      <c r="AP31" s="33">
        <f>SUMIFS('Bilateral assistance, MAIN DATA'!$N:$N,'Bilateral assistance, MAIN DATA'!$B:$B,AP$1, 'Bilateral assistance, MAIN DATA'!$I:$I,$A31)</f>
        <v>0</v>
      </c>
      <c r="AQ31" s="33">
        <f>SUMIFS('Bilateral assistance, MAIN DATA'!$N:$N,'Bilateral assistance, MAIN DATA'!$B:$B,AQ$1, 'Bilateral assistance, MAIN DATA'!$I:$I,$A31)</f>
        <v>0</v>
      </c>
      <c r="AR31" s="33">
        <f>SUMIFS('Bilateral assistance, MAIN DATA'!$N:$N,'Bilateral assistance, MAIN DATA'!$B:$B,AR$1, 'Bilateral assistance, MAIN DATA'!$I:$I,$A31)</f>
        <v>0</v>
      </c>
      <c r="AS31" s="33">
        <f>SUMIFS('Bilateral assistance, MAIN DATA'!$N:$N,'Bilateral assistance, MAIN DATA'!$B:$B,AS$1, 'Bilateral assistance, MAIN DATA'!$I:$I,$A31)</f>
        <v>0</v>
      </c>
    </row>
    <row r="32" spans="1:45">
      <c r="A32" s="27" t="s">
        <v>4157</v>
      </c>
      <c r="B32" s="33">
        <f t="shared" ref="B32" si="1">SUM(F32:AS32)</f>
        <v>0</v>
      </c>
      <c r="C32" s="645" t="s">
        <v>3256</v>
      </c>
      <c r="D32" s="33" t="s">
        <v>4152</v>
      </c>
      <c r="F32" s="33">
        <f>SUMIFS('Bilateral assistance, MAIN DATA'!$N:$N,'Bilateral assistance, MAIN DATA'!$B:$B,F$1, 'Bilateral assistance, MAIN DATA'!$I:$I,$A32)</f>
        <v>0</v>
      </c>
      <c r="G32" s="33">
        <f>SUMIFS('Bilateral assistance, MAIN DATA'!$N:$N,'Bilateral assistance, MAIN DATA'!$B:$B,G$1, 'Bilateral assistance, MAIN DATA'!$I:$I,$A32)</f>
        <v>0</v>
      </c>
      <c r="H32" s="33">
        <f>SUMIFS('Bilateral assistance, MAIN DATA'!$N:$N,'Bilateral assistance, MAIN DATA'!$B:$B,H$1, 'Bilateral assistance, MAIN DATA'!$I:$I,$A32)</f>
        <v>0</v>
      </c>
      <c r="I32" s="33">
        <f>SUMIFS('Bilateral assistance, MAIN DATA'!$N:$N,'Bilateral assistance, MAIN DATA'!$B:$B,I$1, 'Bilateral assistance, MAIN DATA'!$I:$I,$A32)</f>
        <v>0</v>
      </c>
      <c r="J32" s="33">
        <f>SUMIFS('Bilateral assistance, MAIN DATA'!$N:$N,'Bilateral assistance, MAIN DATA'!$B:$B,J$1, 'Bilateral assistance, MAIN DATA'!$I:$I,$A32)</f>
        <v>0</v>
      </c>
      <c r="K32" s="33">
        <f>SUMIFS('Bilateral assistance, MAIN DATA'!$N:$N,'Bilateral assistance, MAIN DATA'!$B:$B,K$1, 'Bilateral assistance, MAIN DATA'!$I:$I,$A32)</f>
        <v>0</v>
      </c>
      <c r="L32" s="33">
        <f>SUMIFS('Bilateral assistance, MAIN DATA'!$N:$N,'Bilateral assistance, MAIN DATA'!$B:$B,L$1, 'Bilateral assistance, MAIN DATA'!$I:$I,$A32)</f>
        <v>0</v>
      </c>
      <c r="M32" s="33">
        <f>SUMIFS('Bilateral assistance, MAIN DATA'!$N:$N,'Bilateral assistance, MAIN DATA'!$B:$B,M$1, 'Bilateral assistance, MAIN DATA'!$I:$I,$A32)</f>
        <v>0</v>
      </c>
      <c r="N32" s="33">
        <f>SUMIFS('Bilateral assistance, MAIN DATA'!$N:$N,'Bilateral assistance, MAIN DATA'!$B:$B,N$1, 'Bilateral assistance, MAIN DATA'!$I:$I,$A32)</f>
        <v>0</v>
      </c>
      <c r="O32" s="33">
        <f>SUMIFS('Bilateral assistance, MAIN DATA'!$N:$N,'Bilateral assistance, MAIN DATA'!$B:$B,O$1, 'Bilateral assistance, MAIN DATA'!$I:$I,$A32)</f>
        <v>0</v>
      </c>
      <c r="P32" s="33">
        <f>SUMIFS('Bilateral assistance, MAIN DATA'!$N:$N,'Bilateral assistance, MAIN DATA'!$B:$B,P$1, 'Bilateral assistance, MAIN DATA'!$I:$I,$A32)</f>
        <v>0</v>
      </c>
      <c r="Q32" s="33">
        <f>SUMIFS('Bilateral assistance, MAIN DATA'!$N:$N,'Bilateral assistance, MAIN DATA'!$B:$B,Q$1, 'Bilateral assistance, MAIN DATA'!$I:$I,$A32)</f>
        <v>0</v>
      </c>
      <c r="R32" s="33">
        <f>SUMIFS('Bilateral assistance, MAIN DATA'!$N:$N,'Bilateral assistance, MAIN DATA'!$B:$B,R$1, 'Bilateral assistance, MAIN DATA'!$I:$I,$A32)</f>
        <v>0</v>
      </c>
      <c r="S32" s="33">
        <f>SUMIFS('Bilateral assistance, MAIN DATA'!$N:$N,'Bilateral assistance, MAIN DATA'!$B:$B,S$1, 'Bilateral assistance, MAIN DATA'!$I:$I,$A32)</f>
        <v>0</v>
      </c>
      <c r="T32" s="33">
        <f>SUMIFS('Bilateral assistance, MAIN DATA'!$N:$N,'Bilateral assistance, MAIN DATA'!$B:$B,T$1, 'Bilateral assistance, MAIN DATA'!$I:$I,$A32)</f>
        <v>0</v>
      </c>
      <c r="U32" s="33">
        <f>SUMIFS('Bilateral assistance, MAIN DATA'!$N:$N,'Bilateral assistance, MAIN DATA'!$B:$B,U$1, 'Bilateral assistance, MAIN DATA'!$I:$I,$A32)</f>
        <v>0</v>
      </c>
      <c r="V32" s="33">
        <f>SUMIFS('Bilateral assistance, MAIN DATA'!$N:$N,'Bilateral assistance, MAIN DATA'!$B:$B,V$1, 'Bilateral assistance, MAIN DATA'!$I:$I,$A32)</f>
        <v>0</v>
      </c>
      <c r="W32" s="33">
        <f>SUMIFS('Bilateral assistance, MAIN DATA'!$N:$N,'Bilateral assistance, MAIN DATA'!$B:$B,W$1, 'Bilateral assistance, MAIN DATA'!$I:$I,$A32)</f>
        <v>0</v>
      </c>
      <c r="X32" s="33">
        <f>SUMIFS('Bilateral assistance, MAIN DATA'!$N:$N,'Bilateral assistance, MAIN DATA'!$B:$B,X$1, 'Bilateral assistance, MAIN DATA'!$I:$I,$A32)</f>
        <v>0</v>
      </c>
      <c r="Y32" s="33">
        <f>SUMIFS('Bilateral assistance, MAIN DATA'!$N:$N,'Bilateral assistance, MAIN DATA'!$B:$B,Y$1, 'Bilateral assistance, MAIN DATA'!$I:$I,$A32)</f>
        <v>0</v>
      </c>
      <c r="Z32" s="33">
        <f>SUMIFS('Bilateral assistance, MAIN DATA'!$N:$N,'Bilateral assistance, MAIN DATA'!$B:$B,Z$1, 'Bilateral assistance, MAIN DATA'!$I:$I,$A32)</f>
        <v>0</v>
      </c>
      <c r="AA32" s="33">
        <f>SUMIFS('Bilateral assistance, MAIN DATA'!$N:$N,'Bilateral assistance, MAIN DATA'!$B:$B,AA$1, 'Bilateral assistance, MAIN DATA'!$I:$I,$A32)</f>
        <v>0</v>
      </c>
      <c r="AB32" s="33">
        <f>SUMIFS('Bilateral assistance, MAIN DATA'!$N:$N,'Bilateral assistance, MAIN DATA'!$B:$B,AB$1, 'Bilateral assistance, MAIN DATA'!$I:$I,$A32)</f>
        <v>0</v>
      </c>
      <c r="AC32" s="33">
        <f>SUMIFS('Bilateral assistance, MAIN DATA'!$N:$N,'Bilateral assistance, MAIN DATA'!$B:$B,AC$1, 'Bilateral assistance, MAIN DATA'!$I:$I,$A32)</f>
        <v>0</v>
      </c>
      <c r="AD32" s="33">
        <f>SUMIFS('Bilateral assistance, MAIN DATA'!$N:$N,'Bilateral assistance, MAIN DATA'!$B:$B,AD$1, 'Bilateral assistance, MAIN DATA'!$I:$I,$A32)</f>
        <v>0</v>
      </c>
      <c r="AE32" s="33">
        <f>SUMIFS('Bilateral assistance, MAIN DATA'!$N:$N,'Bilateral assistance, MAIN DATA'!$B:$B,AE$1, 'Bilateral assistance, MAIN DATA'!$I:$I,$A32)</f>
        <v>0</v>
      </c>
      <c r="AF32" s="33">
        <f>SUMIFS('Bilateral assistance, MAIN DATA'!$N:$N,'Bilateral assistance, MAIN DATA'!$B:$B,AF$1, 'Bilateral assistance, MAIN DATA'!$I:$I,$A32)</f>
        <v>0</v>
      </c>
      <c r="AG32" s="33">
        <f>SUMIFS('Bilateral assistance, MAIN DATA'!$N:$N,'Bilateral assistance, MAIN DATA'!$B:$B,AG$1, 'Bilateral assistance, MAIN DATA'!$I:$I,$A32)</f>
        <v>0</v>
      </c>
      <c r="AH32" s="33">
        <f>SUMIFS('Bilateral assistance, MAIN DATA'!$N:$N,'Bilateral assistance, MAIN DATA'!$B:$B,AH$1, 'Bilateral assistance, MAIN DATA'!$I:$I,$A32)</f>
        <v>0</v>
      </c>
      <c r="AI32" s="33">
        <f>SUMIFS('Bilateral assistance, MAIN DATA'!$N:$N,'Bilateral assistance, MAIN DATA'!$B:$B,AI$1, 'Bilateral assistance, MAIN DATA'!$I:$I,$A32)</f>
        <v>0</v>
      </c>
      <c r="AJ32" s="33">
        <f>SUMIFS('Bilateral assistance, MAIN DATA'!$N:$N,'Bilateral assistance, MAIN DATA'!$B:$B,AJ$1, 'Bilateral assistance, MAIN DATA'!$I:$I,$A32)</f>
        <v>0</v>
      </c>
      <c r="AK32" s="33">
        <f>SUMIFS('Bilateral assistance, MAIN DATA'!$N:$N,'Bilateral assistance, MAIN DATA'!$B:$B,AK$1, 'Bilateral assistance, MAIN DATA'!$I:$I,$A32)</f>
        <v>0</v>
      </c>
      <c r="AL32" s="33">
        <f>SUMIFS('Bilateral assistance, MAIN DATA'!$N:$N,'Bilateral assistance, MAIN DATA'!$B:$B,AL$1, 'Bilateral assistance, MAIN DATA'!$I:$I,$A32)</f>
        <v>0</v>
      </c>
      <c r="AM32" s="33">
        <f>SUMIFS('Bilateral assistance, MAIN DATA'!$N:$N,'Bilateral assistance, MAIN DATA'!$B:$B,AM$1, 'Bilateral assistance, MAIN DATA'!$I:$I,$A32)</f>
        <v>0</v>
      </c>
      <c r="AN32" s="33">
        <f>SUMIFS('Bilateral assistance, MAIN DATA'!$N:$N,'Bilateral assistance, MAIN DATA'!$B:$B,AN$1, 'Bilateral assistance, MAIN DATA'!$I:$I,$A32)</f>
        <v>0</v>
      </c>
      <c r="AO32" s="33">
        <f>SUMIFS('Bilateral assistance, MAIN DATA'!$N:$N,'Bilateral assistance, MAIN DATA'!$B:$B,AO$1, 'Bilateral assistance, MAIN DATA'!$I:$I,$A32)</f>
        <v>0</v>
      </c>
      <c r="AP32" s="33">
        <f>SUMIFS('Bilateral assistance, MAIN DATA'!$N:$N,'Bilateral assistance, MAIN DATA'!$B:$B,AP$1, 'Bilateral assistance, MAIN DATA'!$I:$I,$A32)</f>
        <v>0</v>
      </c>
      <c r="AQ32" s="33">
        <f>SUMIFS('Bilateral assistance, MAIN DATA'!$N:$N,'Bilateral assistance, MAIN DATA'!$B:$B,AQ$1, 'Bilateral assistance, MAIN DATA'!$I:$I,$A32)</f>
        <v>0</v>
      </c>
      <c r="AR32" s="33">
        <f>SUMIFS('Bilateral assistance, MAIN DATA'!$N:$N,'Bilateral assistance, MAIN DATA'!$B:$B,AR$1, 'Bilateral assistance, MAIN DATA'!$I:$I,$A32)</f>
        <v>0</v>
      </c>
      <c r="AS32" s="33">
        <f>SUMIFS('Bilateral assistance, MAIN DATA'!$N:$N,'Bilateral assistance, MAIN DATA'!$B:$B,AS$1, 'Bilateral assistance, MAIN DATA'!$I:$I,$A32)</f>
        <v>0</v>
      </c>
    </row>
    <row r="33" spans="1:45">
      <c r="A33" s="27" t="s">
        <v>708</v>
      </c>
      <c r="B33" s="33">
        <f t="shared" si="0"/>
        <v>20</v>
      </c>
      <c r="C33" s="645" t="s">
        <v>3093</v>
      </c>
      <c r="D33" s="33" t="s">
        <v>4154</v>
      </c>
      <c r="F33" s="33">
        <f>SUMIFS('Bilateral assistance, MAIN DATA'!$N:$N,'Bilateral assistance, MAIN DATA'!$B:$B,F$1, 'Bilateral assistance, MAIN DATA'!$I:$I,$A33)</f>
        <v>0</v>
      </c>
      <c r="G33" s="33">
        <f>SUMIFS('Bilateral assistance, MAIN DATA'!$N:$N,'Bilateral assistance, MAIN DATA'!$B:$B,G$1, 'Bilateral assistance, MAIN DATA'!$I:$I,$A33)</f>
        <v>0</v>
      </c>
      <c r="H33" s="33">
        <f>SUMIFS('Bilateral assistance, MAIN DATA'!$N:$N,'Bilateral assistance, MAIN DATA'!$B:$B,H$1, 'Bilateral assistance, MAIN DATA'!$I:$I,$A33)</f>
        <v>0</v>
      </c>
      <c r="I33" s="33">
        <f>SUMIFS('Bilateral assistance, MAIN DATA'!$N:$N,'Bilateral assistance, MAIN DATA'!$B:$B,I$1, 'Bilateral assistance, MAIN DATA'!$I:$I,$A33)</f>
        <v>0</v>
      </c>
      <c r="J33" s="33">
        <f>SUMIFS('Bilateral assistance, MAIN DATA'!$N:$N,'Bilateral assistance, MAIN DATA'!$B:$B,J$1, 'Bilateral assistance, MAIN DATA'!$I:$I,$A33)</f>
        <v>0</v>
      </c>
      <c r="K33" s="33">
        <f>SUMIFS('Bilateral assistance, MAIN DATA'!$N:$N,'Bilateral assistance, MAIN DATA'!$B:$B,K$1, 'Bilateral assistance, MAIN DATA'!$I:$I,$A33)</f>
        <v>0</v>
      </c>
      <c r="L33" s="33">
        <f>SUMIFS('Bilateral assistance, MAIN DATA'!$N:$N,'Bilateral assistance, MAIN DATA'!$B:$B,L$1, 'Bilateral assistance, MAIN DATA'!$I:$I,$A33)</f>
        <v>0</v>
      </c>
      <c r="M33" s="33">
        <f>SUMIFS('Bilateral assistance, MAIN DATA'!$N:$N,'Bilateral assistance, MAIN DATA'!$B:$B,M$1, 'Bilateral assistance, MAIN DATA'!$I:$I,$A33)</f>
        <v>20</v>
      </c>
      <c r="N33" s="33">
        <f>SUMIFS('Bilateral assistance, MAIN DATA'!$N:$N,'Bilateral assistance, MAIN DATA'!$B:$B,N$1, 'Bilateral assistance, MAIN DATA'!$I:$I,$A33)</f>
        <v>0</v>
      </c>
      <c r="O33" s="33">
        <f>SUMIFS('Bilateral assistance, MAIN DATA'!$N:$N,'Bilateral assistance, MAIN DATA'!$B:$B,O$1, 'Bilateral assistance, MAIN DATA'!$I:$I,$A33)</f>
        <v>0</v>
      </c>
      <c r="P33" s="33">
        <f>SUMIFS('Bilateral assistance, MAIN DATA'!$N:$N,'Bilateral assistance, MAIN DATA'!$B:$B,P$1, 'Bilateral assistance, MAIN DATA'!$I:$I,$A33)</f>
        <v>0</v>
      </c>
      <c r="Q33" s="33">
        <f>SUMIFS('Bilateral assistance, MAIN DATA'!$N:$N,'Bilateral assistance, MAIN DATA'!$B:$B,Q$1, 'Bilateral assistance, MAIN DATA'!$I:$I,$A33)</f>
        <v>0</v>
      </c>
      <c r="R33" s="33">
        <f>SUMIFS('Bilateral assistance, MAIN DATA'!$N:$N,'Bilateral assistance, MAIN DATA'!$B:$B,R$1, 'Bilateral assistance, MAIN DATA'!$I:$I,$A33)</f>
        <v>0</v>
      </c>
      <c r="S33" s="33">
        <f>SUMIFS('Bilateral assistance, MAIN DATA'!$N:$N,'Bilateral assistance, MAIN DATA'!$B:$B,S$1, 'Bilateral assistance, MAIN DATA'!$I:$I,$A33)</f>
        <v>0</v>
      </c>
      <c r="T33" s="33">
        <f>SUMIFS('Bilateral assistance, MAIN DATA'!$N:$N,'Bilateral assistance, MAIN DATA'!$B:$B,T$1, 'Bilateral assistance, MAIN DATA'!$I:$I,$A33)</f>
        <v>0</v>
      </c>
      <c r="U33" s="33">
        <f>SUMIFS('Bilateral assistance, MAIN DATA'!$N:$N,'Bilateral assistance, MAIN DATA'!$B:$B,U$1, 'Bilateral assistance, MAIN DATA'!$I:$I,$A33)</f>
        <v>0</v>
      </c>
      <c r="V33" s="33">
        <f>SUMIFS('Bilateral assistance, MAIN DATA'!$N:$N,'Bilateral assistance, MAIN DATA'!$B:$B,V$1, 'Bilateral assistance, MAIN DATA'!$I:$I,$A33)</f>
        <v>0</v>
      </c>
      <c r="W33" s="33">
        <f>SUMIFS('Bilateral assistance, MAIN DATA'!$N:$N,'Bilateral assistance, MAIN DATA'!$B:$B,W$1, 'Bilateral assistance, MAIN DATA'!$I:$I,$A33)</f>
        <v>0</v>
      </c>
      <c r="X33" s="33">
        <f>SUMIFS('Bilateral assistance, MAIN DATA'!$N:$N,'Bilateral assistance, MAIN DATA'!$B:$B,X$1, 'Bilateral assistance, MAIN DATA'!$I:$I,$A33)</f>
        <v>0</v>
      </c>
      <c r="Y33" s="33">
        <f>SUMIFS('Bilateral assistance, MAIN DATA'!$N:$N,'Bilateral assistance, MAIN DATA'!$B:$B,Y$1, 'Bilateral assistance, MAIN DATA'!$I:$I,$A33)</f>
        <v>0</v>
      </c>
      <c r="Z33" s="33">
        <f>SUMIFS('Bilateral assistance, MAIN DATA'!$N:$N,'Bilateral assistance, MAIN DATA'!$B:$B,Z$1, 'Bilateral assistance, MAIN DATA'!$I:$I,$A33)</f>
        <v>0</v>
      </c>
      <c r="AA33" s="33">
        <f>SUMIFS('Bilateral assistance, MAIN DATA'!$N:$N,'Bilateral assistance, MAIN DATA'!$B:$B,AA$1, 'Bilateral assistance, MAIN DATA'!$I:$I,$A33)</f>
        <v>0</v>
      </c>
      <c r="AB33" s="33">
        <f>SUMIFS('Bilateral assistance, MAIN DATA'!$N:$N,'Bilateral assistance, MAIN DATA'!$B:$B,AB$1, 'Bilateral assistance, MAIN DATA'!$I:$I,$A33)</f>
        <v>0</v>
      </c>
      <c r="AC33" s="33">
        <f>SUMIFS('Bilateral assistance, MAIN DATA'!$N:$N,'Bilateral assistance, MAIN DATA'!$B:$B,AC$1, 'Bilateral assistance, MAIN DATA'!$I:$I,$A33)</f>
        <v>0</v>
      </c>
      <c r="AD33" s="33">
        <f>SUMIFS('Bilateral assistance, MAIN DATA'!$N:$N,'Bilateral assistance, MAIN DATA'!$B:$B,AD$1, 'Bilateral assistance, MAIN DATA'!$I:$I,$A33)</f>
        <v>0</v>
      </c>
      <c r="AE33" s="33">
        <f>SUMIFS('Bilateral assistance, MAIN DATA'!$N:$N,'Bilateral assistance, MAIN DATA'!$B:$B,AE$1, 'Bilateral assistance, MAIN DATA'!$I:$I,$A33)</f>
        <v>0</v>
      </c>
      <c r="AF33" s="33">
        <f>SUMIFS('Bilateral assistance, MAIN DATA'!$N:$N,'Bilateral assistance, MAIN DATA'!$B:$B,AF$1, 'Bilateral assistance, MAIN DATA'!$I:$I,$A33)</f>
        <v>0</v>
      </c>
      <c r="AG33" s="33">
        <f>SUMIFS('Bilateral assistance, MAIN DATA'!$N:$N,'Bilateral assistance, MAIN DATA'!$B:$B,AG$1, 'Bilateral assistance, MAIN DATA'!$I:$I,$A33)</f>
        <v>0</v>
      </c>
      <c r="AH33" s="33">
        <f>SUMIFS('Bilateral assistance, MAIN DATA'!$N:$N,'Bilateral assistance, MAIN DATA'!$B:$B,AH$1, 'Bilateral assistance, MAIN DATA'!$I:$I,$A33)</f>
        <v>0</v>
      </c>
      <c r="AI33" s="33">
        <f>SUMIFS('Bilateral assistance, MAIN DATA'!$N:$N,'Bilateral assistance, MAIN DATA'!$B:$B,AI$1, 'Bilateral assistance, MAIN DATA'!$I:$I,$A33)</f>
        <v>0</v>
      </c>
      <c r="AJ33" s="33">
        <f>SUMIFS('Bilateral assistance, MAIN DATA'!$N:$N,'Bilateral assistance, MAIN DATA'!$B:$B,AJ$1, 'Bilateral assistance, MAIN DATA'!$I:$I,$A33)</f>
        <v>0</v>
      </c>
      <c r="AK33" s="33">
        <f>SUMIFS('Bilateral assistance, MAIN DATA'!$N:$N,'Bilateral assistance, MAIN DATA'!$B:$B,AK$1, 'Bilateral assistance, MAIN DATA'!$I:$I,$A33)</f>
        <v>0</v>
      </c>
      <c r="AL33" s="33">
        <f>SUMIFS('Bilateral assistance, MAIN DATA'!$N:$N,'Bilateral assistance, MAIN DATA'!$B:$B,AL$1, 'Bilateral assistance, MAIN DATA'!$I:$I,$A33)</f>
        <v>0</v>
      </c>
      <c r="AM33" s="33">
        <f>SUMIFS('Bilateral assistance, MAIN DATA'!$N:$N,'Bilateral assistance, MAIN DATA'!$B:$B,AM$1, 'Bilateral assistance, MAIN DATA'!$I:$I,$A33)</f>
        <v>0</v>
      </c>
      <c r="AN33" s="33">
        <f>SUMIFS('Bilateral assistance, MAIN DATA'!$N:$N,'Bilateral assistance, MAIN DATA'!$B:$B,AN$1, 'Bilateral assistance, MAIN DATA'!$I:$I,$A33)</f>
        <v>0</v>
      </c>
      <c r="AO33" s="33">
        <f>SUMIFS('Bilateral assistance, MAIN DATA'!$N:$N,'Bilateral assistance, MAIN DATA'!$B:$B,AO$1, 'Bilateral assistance, MAIN DATA'!$I:$I,$A33)</f>
        <v>0</v>
      </c>
      <c r="AP33" s="33">
        <f>SUMIFS('Bilateral assistance, MAIN DATA'!$N:$N,'Bilateral assistance, MAIN DATA'!$B:$B,AP$1, 'Bilateral assistance, MAIN DATA'!$I:$I,$A33)</f>
        <v>0</v>
      </c>
      <c r="AQ33" s="33">
        <f>SUMIFS('Bilateral assistance, MAIN DATA'!$N:$N,'Bilateral assistance, MAIN DATA'!$B:$B,AQ$1, 'Bilateral assistance, MAIN DATA'!$I:$I,$A33)</f>
        <v>0</v>
      </c>
      <c r="AR33" s="33">
        <f>SUMIFS('Bilateral assistance, MAIN DATA'!$N:$N,'Bilateral assistance, MAIN DATA'!$B:$B,AR$1, 'Bilateral assistance, MAIN DATA'!$I:$I,$A33)</f>
        <v>0</v>
      </c>
      <c r="AS33" s="33">
        <f>SUMIFS('Bilateral assistance, MAIN DATA'!$N:$N,'Bilateral assistance, MAIN DATA'!$B:$B,AS$1, 'Bilateral assistance, MAIN DATA'!$I:$I,$A33)</f>
        <v>0</v>
      </c>
    </row>
    <row r="34" spans="1:45">
      <c r="A34" s="27" t="s">
        <v>1220</v>
      </c>
      <c r="B34" s="33">
        <f t="shared" si="0"/>
        <v>5</v>
      </c>
      <c r="C34" s="645" t="s">
        <v>3093</v>
      </c>
      <c r="D34" s="33" t="s">
        <v>4154</v>
      </c>
      <c r="F34" s="33">
        <f>SUMIFS('Bilateral assistance, MAIN DATA'!$N:$N,'Bilateral assistance, MAIN DATA'!$B:$B,F$1, 'Bilateral assistance, MAIN DATA'!$I:$I,$A34)</f>
        <v>0</v>
      </c>
      <c r="G34" s="33">
        <f>SUMIFS('Bilateral assistance, MAIN DATA'!$N:$N,'Bilateral assistance, MAIN DATA'!$B:$B,G$1, 'Bilateral assistance, MAIN DATA'!$I:$I,$A34)</f>
        <v>0</v>
      </c>
      <c r="H34" s="33">
        <f>SUMIFS('Bilateral assistance, MAIN DATA'!$N:$N,'Bilateral assistance, MAIN DATA'!$B:$B,H$1, 'Bilateral assistance, MAIN DATA'!$I:$I,$A34)</f>
        <v>0</v>
      </c>
      <c r="I34" s="33">
        <f>SUMIFS('Bilateral assistance, MAIN DATA'!$N:$N,'Bilateral assistance, MAIN DATA'!$B:$B,I$1, 'Bilateral assistance, MAIN DATA'!$I:$I,$A34)</f>
        <v>0</v>
      </c>
      <c r="J34" s="33">
        <f>SUMIFS('Bilateral assistance, MAIN DATA'!$N:$N,'Bilateral assistance, MAIN DATA'!$B:$B,J$1, 'Bilateral assistance, MAIN DATA'!$I:$I,$A34)</f>
        <v>0</v>
      </c>
      <c r="K34" s="33">
        <f>SUMIFS('Bilateral assistance, MAIN DATA'!$N:$N,'Bilateral assistance, MAIN DATA'!$B:$B,K$1, 'Bilateral assistance, MAIN DATA'!$I:$I,$A34)</f>
        <v>0</v>
      </c>
      <c r="L34" s="33">
        <f>SUMIFS('Bilateral assistance, MAIN DATA'!$N:$N,'Bilateral assistance, MAIN DATA'!$B:$B,L$1, 'Bilateral assistance, MAIN DATA'!$I:$I,$A34)</f>
        <v>0</v>
      </c>
      <c r="M34" s="33">
        <f>SUMIFS('Bilateral assistance, MAIN DATA'!$N:$N,'Bilateral assistance, MAIN DATA'!$B:$B,M$1, 'Bilateral assistance, MAIN DATA'!$I:$I,$A34)</f>
        <v>0</v>
      </c>
      <c r="N34" s="33">
        <f>SUMIFS('Bilateral assistance, MAIN DATA'!$N:$N,'Bilateral assistance, MAIN DATA'!$B:$B,N$1, 'Bilateral assistance, MAIN DATA'!$I:$I,$A34)</f>
        <v>0</v>
      </c>
      <c r="O34" s="33">
        <f>SUMIFS('Bilateral assistance, MAIN DATA'!$N:$N,'Bilateral assistance, MAIN DATA'!$B:$B,O$1, 'Bilateral assistance, MAIN DATA'!$I:$I,$A34)</f>
        <v>0</v>
      </c>
      <c r="P34" s="33">
        <f>SUMIFS('Bilateral assistance, MAIN DATA'!$N:$N,'Bilateral assistance, MAIN DATA'!$B:$B,P$1, 'Bilateral assistance, MAIN DATA'!$I:$I,$A34)</f>
        <v>0</v>
      </c>
      <c r="Q34" s="33">
        <f>SUMIFS('Bilateral assistance, MAIN DATA'!$N:$N,'Bilateral assistance, MAIN DATA'!$B:$B,Q$1, 'Bilateral assistance, MAIN DATA'!$I:$I,$A34)</f>
        <v>0</v>
      </c>
      <c r="R34" s="33">
        <f>SUMIFS('Bilateral assistance, MAIN DATA'!$N:$N,'Bilateral assistance, MAIN DATA'!$B:$B,R$1, 'Bilateral assistance, MAIN DATA'!$I:$I,$A34)</f>
        <v>0</v>
      </c>
      <c r="S34" s="33">
        <f>SUMIFS('Bilateral assistance, MAIN DATA'!$N:$N,'Bilateral assistance, MAIN DATA'!$B:$B,S$1, 'Bilateral assistance, MAIN DATA'!$I:$I,$A34)</f>
        <v>0</v>
      </c>
      <c r="T34" s="33">
        <f>SUMIFS('Bilateral assistance, MAIN DATA'!$N:$N,'Bilateral assistance, MAIN DATA'!$B:$B,T$1, 'Bilateral assistance, MAIN DATA'!$I:$I,$A34)</f>
        <v>0</v>
      </c>
      <c r="U34" s="33">
        <f>SUMIFS('Bilateral assistance, MAIN DATA'!$N:$N,'Bilateral assistance, MAIN DATA'!$B:$B,U$1, 'Bilateral assistance, MAIN DATA'!$I:$I,$A34)</f>
        <v>5</v>
      </c>
      <c r="V34" s="33">
        <f>SUMIFS('Bilateral assistance, MAIN DATA'!$N:$N,'Bilateral assistance, MAIN DATA'!$B:$B,V$1, 'Bilateral assistance, MAIN DATA'!$I:$I,$A34)</f>
        <v>0</v>
      </c>
      <c r="W34" s="33">
        <f>SUMIFS('Bilateral assistance, MAIN DATA'!$N:$N,'Bilateral assistance, MAIN DATA'!$B:$B,W$1, 'Bilateral assistance, MAIN DATA'!$I:$I,$A34)</f>
        <v>0</v>
      </c>
      <c r="X34" s="33">
        <f>SUMIFS('Bilateral assistance, MAIN DATA'!$N:$N,'Bilateral assistance, MAIN DATA'!$B:$B,X$1, 'Bilateral assistance, MAIN DATA'!$I:$I,$A34)</f>
        <v>0</v>
      </c>
      <c r="Y34" s="33">
        <f>SUMIFS('Bilateral assistance, MAIN DATA'!$N:$N,'Bilateral assistance, MAIN DATA'!$B:$B,Y$1, 'Bilateral assistance, MAIN DATA'!$I:$I,$A34)</f>
        <v>0</v>
      </c>
      <c r="Z34" s="33">
        <f>SUMIFS('Bilateral assistance, MAIN DATA'!$N:$N,'Bilateral assistance, MAIN DATA'!$B:$B,Z$1, 'Bilateral assistance, MAIN DATA'!$I:$I,$A34)</f>
        <v>0</v>
      </c>
      <c r="AA34" s="33">
        <f>SUMIFS('Bilateral assistance, MAIN DATA'!$N:$N,'Bilateral assistance, MAIN DATA'!$B:$B,AA$1, 'Bilateral assistance, MAIN DATA'!$I:$I,$A34)</f>
        <v>0</v>
      </c>
      <c r="AB34" s="33">
        <f>SUMIFS('Bilateral assistance, MAIN DATA'!$N:$N,'Bilateral assistance, MAIN DATA'!$B:$B,AB$1, 'Bilateral assistance, MAIN DATA'!$I:$I,$A34)</f>
        <v>0</v>
      </c>
      <c r="AC34" s="33">
        <f>SUMIFS('Bilateral assistance, MAIN DATA'!$N:$N,'Bilateral assistance, MAIN DATA'!$B:$B,AC$1, 'Bilateral assistance, MAIN DATA'!$I:$I,$A34)</f>
        <v>0</v>
      </c>
      <c r="AD34" s="33">
        <f>SUMIFS('Bilateral assistance, MAIN DATA'!$N:$N,'Bilateral assistance, MAIN DATA'!$B:$B,AD$1, 'Bilateral assistance, MAIN DATA'!$I:$I,$A34)</f>
        <v>0</v>
      </c>
      <c r="AE34" s="33">
        <f>SUMIFS('Bilateral assistance, MAIN DATA'!$N:$N,'Bilateral assistance, MAIN DATA'!$B:$B,AE$1, 'Bilateral assistance, MAIN DATA'!$I:$I,$A34)</f>
        <v>0</v>
      </c>
      <c r="AF34" s="33">
        <f>SUMIFS('Bilateral assistance, MAIN DATA'!$N:$N,'Bilateral assistance, MAIN DATA'!$B:$B,AF$1, 'Bilateral assistance, MAIN DATA'!$I:$I,$A34)</f>
        <v>0</v>
      </c>
      <c r="AG34" s="33">
        <f>SUMIFS('Bilateral assistance, MAIN DATA'!$N:$N,'Bilateral assistance, MAIN DATA'!$B:$B,AG$1, 'Bilateral assistance, MAIN DATA'!$I:$I,$A34)</f>
        <v>0</v>
      </c>
      <c r="AH34" s="33">
        <f>SUMIFS('Bilateral assistance, MAIN DATA'!$N:$N,'Bilateral assistance, MAIN DATA'!$B:$B,AH$1, 'Bilateral assistance, MAIN DATA'!$I:$I,$A34)</f>
        <v>0</v>
      </c>
      <c r="AI34" s="33">
        <f>SUMIFS('Bilateral assistance, MAIN DATA'!$N:$N,'Bilateral assistance, MAIN DATA'!$B:$B,AI$1, 'Bilateral assistance, MAIN DATA'!$I:$I,$A34)</f>
        <v>0</v>
      </c>
      <c r="AJ34" s="33">
        <f>SUMIFS('Bilateral assistance, MAIN DATA'!$N:$N,'Bilateral assistance, MAIN DATA'!$B:$B,AJ$1, 'Bilateral assistance, MAIN DATA'!$I:$I,$A34)</f>
        <v>0</v>
      </c>
      <c r="AK34" s="33">
        <f>SUMIFS('Bilateral assistance, MAIN DATA'!$N:$N,'Bilateral assistance, MAIN DATA'!$B:$B,AK$1, 'Bilateral assistance, MAIN DATA'!$I:$I,$A34)</f>
        <v>0</v>
      </c>
      <c r="AL34" s="33">
        <f>SUMIFS('Bilateral assistance, MAIN DATA'!$N:$N,'Bilateral assistance, MAIN DATA'!$B:$B,AL$1, 'Bilateral assistance, MAIN DATA'!$I:$I,$A34)</f>
        <v>0</v>
      </c>
      <c r="AM34" s="33">
        <f>SUMIFS('Bilateral assistance, MAIN DATA'!$N:$N,'Bilateral assistance, MAIN DATA'!$B:$B,AM$1, 'Bilateral assistance, MAIN DATA'!$I:$I,$A34)</f>
        <v>0</v>
      </c>
      <c r="AN34" s="33">
        <f>SUMIFS('Bilateral assistance, MAIN DATA'!$N:$N,'Bilateral assistance, MAIN DATA'!$B:$B,AN$1, 'Bilateral assistance, MAIN DATA'!$I:$I,$A34)</f>
        <v>0</v>
      </c>
      <c r="AO34" s="33">
        <f>SUMIFS('Bilateral assistance, MAIN DATA'!$N:$N,'Bilateral assistance, MAIN DATA'!$B:$B,AO$1, 'Bilateral assistance, MAIN DATA'!$I:$I,$A34)</f>
        <v>0</v>
      </c>
      <c r="AP34" s="33">
        <f>SUMIFS('Bilateral assistance, MAIN DATA'!$N:$N,'Bilateral assistance, MAIN DATA'!$B:$B,AP$1, 'Bilateral assistance, MAIN DATA'!$I:$I,$A34)</f>
        <v>0</v>
      </c>
      <c r="AQ34" s="33">
        <f>SUMIFS('Bilateral assistance, MAIN DATA'!$N:$N,'Bilateral assistance, MAIN DATA'!$B:$B,AQ$1, 'Bilateral assistance, MAIN DATA'!$I:$I,$A34)</f>
        <v>0</v>
      </c>
      <c r="AR34" s="33">
        <f>SUMIFS('Bilateral assistance, MAIN DATA'!$N:$N,'Bilateral assistance, MAIN DATA'!$B:$B,AR$1, 'Bilateral assistance, MAIN DATA'!$I:$I,$A34)</f>
        <v>0</v>
      </c>
      <c r="AS34" s="33">
        <f>SUMIFS('Bilateral assistance, MAIN DATA'!$N:$N,'Bilateral assistance, MAIN DATA'!$B:$B,AS$1, 'Bilateral assistance, MAIN DATA'!$I:$I,$A34)</f>
        <v>0</v>
      </c>
    </row>
    <row r="35" spans="1:45">
      <c r="A35" s="27" t="s">
        <v>2638</v>
      </c>
      <c r="B35" s="33">
        <f t="shared" si="0"/>
        <v>16</v>
      </c>
      <c r="C35" s="645" t="s">
        <v>3093</v>
      </c>
      <c r="D35" s="33" t="s">
        <v>4155</v>
      </c>
      <c r="F35" s="33">
        <f>SUMIFS('Bilateral assistance, MAIN DATA'!$N:$N,'Bilateral assistance, MAIN DATA'!$B:$B,F$1, 'Bilateral assistance, MAIN DATA'!$I:$I,$A35)</f>
        <v>0</v>
      </c>
      <c r="G35" s="33">
        <f>SUMIFS('Bilateral assistance, MAIN DATA'!$N:$N,'Bilateral assistance, MAIN DATA'!$B:$B,G$1, 'Bilateral assistance, MAIN DATA'!$I:$I,$A35)</f>
        <v>0</v>
      </c>
      <c r="H35" s="33">
        <f>SUMIFS('Bilateral assistance, MAIN DATA'!$N:$N,'Bilateral assistance, MAIN DATA'!$B:$B,H$1, 'Bilateral assistance, MAIN DATA'!$I:$I,$A35)</f>
        <v>0</v>
      </c>
      <c r="I35" s="33">
        <f>SUMIFS('Bilateral assistance, MAIN DATA'!$N:$N,'Bilateral assistance, MAIN DATA'!$B:$B,I$1, 'Bilateral assistance, MAIN DATA'!$I:$I,$A35)</f>
        <v>0</v>
      </c>
      <c r="J35" s="33">
        <f>SUMIFS('Bilateral assistance, MAIN DATA'!$N:$N,'Bilateral assistance, MAIN DATA'!$B:$B,J$1, 'Bilateral assistance, MAIN DATA'!$I:$I,$A35)</f>
        <v>0</v>
      </c>
      <c r="K35" s="33">
        <f>SUMIFS('Bilateral assistance, MAIN DATA'!$N:$N,'Bilateral assistance, MAIN DATA'!$B:$B,K$1, 'Bilateral assistance, MAIN DATA'!$I:$I,$A35)</f>
        <v>0</v>
      </c>
      <c r="L35" s="33">
        <f>SUMIFS('Bilateral assistance, MAIN DATA'!$N:$N,'Bilateral assistance, MAIN DATA'!$B:$B,L$1, 'Bilateral assistance, MAIN DATA'!$I:$I,$A35)</f>
        <v>0</v>
      </c>
      <c r="M35" s="33">
        <f>SUMIFS('Bilateral assistance, MAIN DATA'!$N:$N,'Bilateral assistance, MAIN DATA'!$B:$B,M$1, 'Bilateral assistance, MAIN DATA'!$I:$I,$A35)</f>
        <v>0</v>
      </c>
      <c r="N35" s="33">
        <f>SUMIFS('Bilateral assistance, MAIN DATA'!$N:$N,'Bilateral assistance, MAIN DATA'!$B:$B,N$1, 'Bilateral assistance, MAIN DATA'!$I:$I,$A35)</f>
        <v>0</v>
      </c>
      <c r="O35" s="33">
        <f>SUMIFS('Bilateral assistance, MAIN DATA'!$N:$N,'Bilateral assistance, MAIN DATA'!$B:$B,O$1, 'Bilateral assistance, MAIN DATA'!$I:$I,$A35)</f>
        <v>0</v>
      </c>
      <c r="P35" s="33">
        <f>SUMIFS('Bilateral assistance, MAIN DATA'!$N:$N,'Bilateral assistance, MAIN DATA'!$B:$B,P$1, 'Bilateral assistance, MAIN DATA'!$I:$I,$A35)</f>
        <v>0</v>
      </c>
      <c r="Q35" s="33">
        <f>SUMIFS('Bilateral assistance, MAIN DATA'!$N:$N,'Bilateral assistance, MAIN DATA'!$B:$B,Q$1, 'Bilateral assistance, MAIN DATA'!$I:$I,$A35)</f>
        <v>0</v>
      </c>
      <c r="R35" s="33">
        <f>SUMIFS('Bilateral assistance, MAIN DATA'!$N:$N,'Bilateral assistance, MAIN DATA'!$B:$B,R$1, 'Bilateral assistance, MAIN DATA'!$I:$I,$A35)</f>
        <v>0</v>
      </c>
      <c r="S35" s="33">
        <f>SUMIFS('Bilateral assistance, MAIN DATA'!$N:$N,'Bilateral assistance, MAIN DATA'!$B:$B,S$1, 'Bilateral assistance, MAIN DATA'!$I:$I,$A35)</f>
        <v>0</v>
      </c>
      <c r="T35" s="33">
        <f>SUMIFS('Bilateral assistance, MAIN DATA'!$N:$N,'Bilateral assistance, MAIN DATA'!$B:$B,T$1, 'Bilateral assistance, MAIN DATA'!$I:$I,$A35)</f>
        <v>0</v>
      </c>
      <c r="U35" s="33">
        <f>SUMIFS('Bilateral assistance, MAIN DATA'!$N:$N,'Bilateral assistance, MAIN DATA'!$B:$B,U$1, 'Bilateral assistance, MAIN DATA'!$I:$I,$A35)</f>
        <v>0</v>
      </c>
      <c r="V35" s="33">
        <f>SUMIFS('Bilateral assistance, MAIN DATA'!$N:$N,'Bilateral assistance, MAIN DATA'!$B:$B,V$1, 'Bilateral assistance, MAIN DATA'!$I:$I,$A35)</f>
        <v>0</v>
      </c>
      <c r="W35" s="33">
        <f>SUMIFS('Bilateral assistance, MAIN DATA'!$N:$N,'Bilateral assistance, MAIN DATA'!$B:$B,W$1, 'Bilateral assistance, MAIN DATA'!$I:$I,$A35)</f>
        <v>0</v>
      </c>
      <c r="X35" s="33">
        <f>SUMIFS('Bilateral assistance, MAIN DATA'!$N:$N,'Bilateral assistance, MAIN DATA'!$B:$B,X$1, 'Bilateral assistance, MAIN DATA'!$I:$I,$A35)</f>
        <v>0</v>
      </c>
      <c r="Y35" s="33">
        <f>SUMIFS('Bilateral assistance, MAIN DATA'!$N:$N,'Bilateral assistance, MAIN DATA'!$B:$B,Y$1, 'Bilateral assistance, MAIN DATA'!$I:$I,$A35)</f>
        <v>0</v>
      </c>
      <c r="Z35" s="33">
        <f>SUMIFS('Bilateral assistance, MAIN DATA'!$N:$N,'Bilateral assistance, MAIN DATA'!$B:$B,Z$1, 'Bilateral assistance, MAIN DATA'!$I:$I,$A35)</f>
        <v>0</v>
      </c>
      <c r="AA35" s="33">
        <f>SUMIFS('Bilateral assistance, MAIN DATA'!$N:$N,'Bilateral assistance, MAIN DATA'!$B:$B,AA$1, 'Bilateral assistance, MAIN DATA'!$I:$I,$A35)</f>
        <v>0</v>
      </c>
      <c r="AB35" s="33">
        <f>SUMIFS('Bilateral assistance, MAIN DATA'!$N:$N,'Bilateral assistance, MAIN DATA'!$B:$B,AB$1, 'Bilateral assistance, MAIN DATA'!$I:$I,$A35)</f>
        <v>0</v>
      </c>
      <c r="AC35" s="33">
        <f>SUMIFS('Bilateral assistance, MAIN DATA'!$N:$N,'Bilateral assistance, MAIN DATA'!$B:$B,AC$1, 'Bilateral assistance, MAIN DATA'!$I:$I,$A35)</f>
        <v>0</v>
      </c>
      <c r="AD35" s="33">
        <f>SUMIFS('Bilateral assistance, MAIN DATA'!$N:$N,'Bilateral assistance, MAIN DATA'!$B:$B,AD$1, 'Bilateral assistance, MAIN DATA'!$I:$I,$A35)</f>
        <v>0</v>
      </c>
      <c r="AE35" s="33">
        <f>SUMIFS('Bilateral assistance, MAIN DATA'!$N:$N,'Bilateral assistance, MAIN DATA'!$B:$B,AE$1, 'Bilateral assistance, MAIN DATA'!$I:$I,$A35)</f>
        <v>0</v>
      </c>
      <c r="AF35" s="33">
        <f>SUMIFS('Bilateral assistance, MAIN DATA'!$N:$N,'Bilateral assistance, MAIN DATA'!$B:$B,AF$1, 'Bilateral assistance, MAIN DATA'!$I:$I,$A35)</f>
        <v>0</v>
      </c>
      <c r="AG35" s="33">
        <f>SUMIFS('Bilateral assistance, MAIN DATA'!$N:$N,'Bilateral assistance, MAIN DATA'!$B:$B,AG$1, 'Bilateral assistance, MAIN DATA'!$I:$I,$A35)</f>
        <v>0</v>
      </c>
      <c r="AH35" s="33">
        <f>SUMIFS('Bilateral assistance, MAIN DATA'!$N:$N,'Bilateral assistance, MAIN DATA'!$B:$B,AH$1, 'Bilateral assistance, MAIN DATA'!$I:$I,$A35)</f>
        <v>0</v>
      </c>
      <c r="AI35" s="33">
        <f>SUMIFS('Bilateral assistance, MAIN DATA'!$N:$N,'Bilateral assistance, MAIN DATA'!$B:$B,AI$1, 'Bilateral assistance, MAIN DATA'!$I:$I,$A35)</f>
        <v>0</v>
      </c>
      <c r="AJ35" s="33">
        <f>SUMIFS('Bilateral assistance, MAIN DATA'!$N:$N,'Bilateral assistance, MAIN DATA'!$B:$B,AJ$1, 'Bilateral assistance, MAIN DATA'!$I:$I,$A35)</f>
        <v>0</v>
      </c>
      <c r="AK35" s="33">
        <f>SUMIFS('Bilateral assistance, MAIN DATA'!$N:$N,'Bilateral assistance, MAIN DATA'!$B:$B,AK$1, 'Bilateral assistance, MAIN DATA'!$I:$I,$A35)</f>
        <v>0</v>
      </c>
      <c r="AL35" s="33">
        <f>SUMIFS('Bilateral assistance, MAIN DATA'!$N:$N,'Bilateral assistance, MAIN DATA'!$B:$B,AL$1, 'Bilateral assistance, MAIN DATA'!$I:$I,$A35)</f>
        <v>0</v>
      </c>
      <c r="AM35" s="33">
        <f>SUMIFS('Bilateral assistance, MAIN DATA'!$N:$N,'Bilateral assistance, MAIN DATA'!$B:$B,AM$1, 'Bilateral assistance, MAIN DATA'!$I:$I,$A35)</f>
        <v>0</v>
      </c>
      <c r="AN35" s="33">
        <f>SUMIFS('Bilateral assistance, MAIN DATA'!$N:$N,'Bilateral assistance, MAIN DATA'!$B:$B,AN$1, 'Bilateral assistance, MAIN DATA'!$I:$I,$A35)</f>
        <v>0</v>
      </c>
      <c r="AO35" s="33">
        <f>SUMIFS('Bilateral assistance, MAIN DATA'!$N:$N,'Bilateral assistance, MAIN DATA'!$B:$B,AO$1, 'Bilateral assistance, MAIN DATA'!$I:$I,$A35)</f>
        <v>0</v>
      </c>
      <c r="AP35" s="33">
        <f>SUMIFS('Bilateral assistance, MAIN DATA'!$N:$N,'Bilateral assistance, MAIN DATA'!$B:$B,AP$1, 'Bilateral assistance, MAIN DATA'!$I:$I,$A35)</f>
        <v>0</v>
      </c>
      <c r="AQ35" s="33">
        <f>SUMIFS('Bilateral assistance, MAIN DATA'!$N:$N,'Bilateral assistance, MAIN DATA'!$B:$B,AQ$1, 'Bilateral assistance, MAIN DATA'!$I:$I,$A35)</f>
        <v>0</v>
      </c>
      <c r="AR35" s="33">
        <f>SUMIFS('Bilateral assistance, MAIN DATA'!$N:$N,'Bilateral assistance, MAIN DATA'!$B:$B,AR$1, 'Bilateral assistance, MAIN DATA'!$I:$I,$A35)</f>
        <v>0</v>
      </c>
      <c r="AS35" s="33">
        <f>SUMIFS('Bilateral assistance, MAIN DATA'!$N:$N,'Bilateral assistance, MAIN DATA'!$B:$B,AS$1, 'Bilateral assistance, MAIN DATA'!$I:$I,$A35)</f>
        <v>16</v>
      </c>
    </row>
    <row r="36" spans="1:45">
      <c r="A36" s="27" t="s">
        <v>1133</v>
      </c>
      <c r="B36" s="33">
        <f t="shared" si="0"/>
        <v>5</v>
      </c>
      <c r="C36" s="645" t="s">
        <v>3093</v>
      </c>
      <c r="D36" s="33" t="s">
        <v>4155</v>
      </c>
      <c r="F36" s="33">
        <f>SUMIFS('Bilateral assistance, MAIN DATA'!$N:$N,'Bilateral assistance, MAIN DATA'!$B:$B,F$1, 'Bilateral assistance, MAIN DATA'!$I:$I,$A36)</f>
        <v>0</v>
      </c>
      <c r="G36" s="33">
        <f>SUMIFS('Bilateral assistance, MAIN DATA'!$N:$N,'Bilateral assistance, MAIN DATA'!$B:$B,G$1, 'Bilateral assistance, MAIN DATA'!$I:$I,$A36)</f>
        <v>0</v>
      </c>
      <c r="H36" s="33">
        <f>SUMIFS('Bilateral assistance, MAIN DATA'!$N:$N,'Bilateral assistance, MAIN DATA'!$B:$B,H$1, 'Bilateral assistance, MAIN DATA'!$I:$I,$A36)</f>
        <v>0</v>
      </c>
      <c r="I36" s="33">
        <f>SUMIFS('Bilateral assistance, MAIN DATA'!$N:$N,'Bilateral assistance, MAIN DATA'!$B:$B,I$1, 'Bilateral assistance, MAIN DATA'!$I:$I,$A36)</f>
        <v>0</v>
      </c>
      <c r="J36" s="33">
        <f>SUMIFS('Bilateral assistance, MAIN DATA'!$N:$N,'Bilateral assistance, MAIN DATA'!$B:$B,J$1, 'Bilateral assistance, MAIN DATA'!$I:$I,$A36)</f>
        <v>0</v>
      </c>
      <c r="K36" s="33">
        <f>SUMIFS('Bilateral assistance, MAIN DATA'!$N:$N,'Bilateral assistance, MAIN DATA'!$B:$B,K$1, 'Bilateral assistance, MAIN DATA'!$I:$I,$A36)</f>
        <v>0</v>
      </c>
      <c r="L36" s="33">
        <f>SUMIFS('Bilateral assistance, MAIN DATA'!$N:$N,'Bilateral assistance, MAIN DATA'!$B:$B,L$1, 'Bilateral assistance, MAIN DATA'!$I:$I,$A36)</f>
        <v>0</v>
      </c>
      <c r="M36" s="33">
        <f>SUMIFS('Bilateral assistance, MAIN DATA'!$N:$N,'Bilateral assistance, MAIN DATA'!$B:$B,M$1, 'Bilateral assistance, MAIN DATA'!$I:$I,$A36)</f>
        <v>0</v>
      </c>
      <c r="N36" s="33">
        <f>SUMIFS('Bilateral assistance, MAIN DATA'!$N:$N,'Bilateral assistance, MAIN DATA'!$B:$B,N$1, 'Bilateral assistance, MAIN DATA'!$I:$I,$A36)</f>
        <v>0</v>
      </c>
      <c r="O36" s="33">
        <f>SUMIFS('Bilateral assistance, MAIN DATA'!$N:$N,'Bilateral assistance, MAIN DATA'!$B:$B,O$1, 'Bilateral assistance, MAIN DATA'!$I:$I,$A36)</f>
        <v>0</v>
      </c>
      <c r="P36" s="33">
        <f>SUMIFS('Bilateral assistance, MAIN DATA'!$N:$N,'Bilateral assistance, MAIN DATA'!$B:$B,P$1, 'Bilateral assistance, MAIN DATA'!$I:$I,$A36)</f>
        <v>0</v>
      </c>
      <c r="Q36" s="33">
        <f>SUMIFS('Bilateral assistance, MAIN DATA'!$N:$N,'Bilateral assistance, MAIN DATA'!$B:$B,Q$1, 'Bilateral assistance, MAIN DATA'!$I:$I,$A36)</f>
        <v>0</v>
      </c>
      <c r="R36" s="33">
        <f>SUMIFS('Bilateral assistance, MAIN DATA'!$N:$N,'Bilateral assistance, MAIN DATA'!$B:$B,R$1, 'Bilateral assistance, MAIN DATA'!$I:$I,$A36)</f>
        <v>0</v>
      </c>
      <c r="S36" s="33">
        <f>SUMIFS('Bilateral assistance, MAIN DATA'!$N:$N,'Bilateral assistance, MAIN DATA'!$B:$B,S$1, 'Bilateral assistance, MAIN DATA'!$I:$I,$A36)</f>
        <v>0</v>
      </c>
      <c r="T36" s="33">
        <f>SUMIFS('Bilateral assistance, MAIN DATA'!$N:$N,'Bilateral assistance, MAIN DATA'!$B:$B,T$1, 'Bilateral assistance, MAIN DATA'!$I:$I,$A36)</f>
        <v>0</v>
      </c>
      <c r="U36" s="33">
        <f>SUMIFS('Bilateral assistance, MAIN DATA'!$N:$N,'Bilateral assistance, MAIN DATA'!$B:$B,U$1, 'Bilateral assistance, MAIN DATA'!$I:$I,$A36)</f>
        <v>0</v>
      </c>
      <c r="V36" s="33">
        <f>SUMIFS('Bilateral assistance, MAIN DATA'!$N:$N,'Bilateral assistance, MAIN DATA'!$B:$B,V$1, 'Bilateral assistance, MAIN DATA'!$I:$I,$A36)</f>
        <v>0</v>
      </c>
      <c r="W36" s="33">
        <f>SUMIFS('Bilateral assistance, MAIN DATA'!$N:$N,'Bilateral assistance, MAIN DATA'!$B:$B,W$1, 'Bilateral assistance, MAIN DATA'!$I:$I,$A36)</f>
        <v>0</v>
      </c>
      <c r="X36" s="33">
        <f>SUMIFS('Bilateral assistance, MAIN DATA'!$N:$N,'Bilateral assistance, MAIN DATA'!$B:$B,X$1, 'Bilateral assistance, MAIN DATA'!$I:$I,$A36)</f>
        <v>0</v>
      </c>
      <c r="Y36" s="33">
        <f>SUMIFS('Bilateral assistance, MAIN DATA'!$N:$N,'Bilateral assistance, MAIN DATA'!$B:$B,Y$1, 'Bilateral assistance, MAIN DATA'!$I:$I,$A36)</f>
        <v>2</v>
      </c>
      <c r="Z36" s="33">
        <f>SUMIFS('Bilateral assistance, MAIN DATA'!$N:$N,'Bilateral assistance, MAIN DATA'!$B:$B,Z$1, 'Bilateral assistance, MAIN DATA'!$I:$I,$A36)</f>
        <v>0</v>
      </c>
      <c r="AA36" s="33">
        <f>SUMIFS('Bilateral assistance, MAIN DATA'!$N:$N,'Bilateral assistance, MAIN DATA'!$B:$B,AA$1, 'Bilateral assistance, MAIN DATA'!$I:$I,$A36)</f>
        <v>0</v>
      </c>
      <c r="AB36" s="33">
        <f>SUMIFS('Bilateral assistance, MAIN DATA'!$N:$N,'Bilateral assistance, MAIN DATA'!$B:$B,AB$1, 'Bilateral assistance, MAIN DATA'!$I:$I,$A36)</f>
        <v>0</v>
      </c>
      <c r="AC36" s="33">
        <f>SUMIFS('Bilateral assistance, MAIN DATA'!$N:$N,'Bilateral assistance, MAIN DATA'!$B:$B,AC$1, 'Bilateral assistance, MAIN DATA'!$I:$I,$A36)</f>
        <v>0</v>
      </c>
      <c r="AD36" s="33">
        <f>SUMIFS('Bilateral assistance, MAIN DATA'!$N:$N,'Bilateral assistance, MAIN DATA'!$B:$B,AD$1, 'Bilateral assistance, MAIN DATA'!$I:$I,$A36)</f>
        <v>0</v>
      </c>
      <c r="AE36" s="33">
        <f>SUMIFS('Bilateral assistance, MAIN DATA'!$N:$N,'Bilateral assistance, MAIN DATA'!$B:$B,AE$1, 'Bilateral assistance, MAIN DATA'!$I:$I,$A36)</f>
        <v>0</v>
      </c>
      <c r="AF36" s="33">
        <f>SUMIFS('Bilateral assistance, MAIN DATA'!$N:$N,'Bilateral assistance, MAIN DATA'!$B:$B,AF$1, 'Bilateral assistance, MAIN DATA'!$I:$I,$A36)</f>
        <v>0</v>
      </c>
      <c r="AG36" s="33">
        <f>SUMIFS('Bilateral assistance, MAIN DATA'!$N:$N,'Bilateral assistance, MAIN DATA'!$B:$B,AG$1, 'Bilateral assistance, MAIN DATA'!$I:$I,$A36)</f>
        <v>0</v>
      </c>
      <c r="AH36" s="33">
        <f>SUMIFS('Bilateral assistance, MAIN DATA'!$N:$N,'Bilateral assistance, MAIN DATA'!$B:$B,AH$1, 'Bilateral assistance, MAIN DATA'!$I:$I,$A36)</f>
        <v>0</v>
      </c>
      <c r="AI36" s="33">
        <f>SUMIFS('Bilateral assistance, MAIN DATA'!$N:$N,'Bilateral assistance, MAIN DATA'!$B:$B,AI$1, 'Bilateral assistance, MAIN DATA'!$I:$I,$A36)</f>
        <v>0</v>
      </c>
      <c r="AJ36" s="33">
        <f>SUMIFS('Bilateral assistance, MAIN DATA'!$N:$N,'Bilateral assistance, MAIN DATA'!$B:$B,AJ$1, 'Bilateral assistance, MAIN DATA'!$I:$I,$A36)</f>
        <v>0</v>
      </c>
      <c r="AK36" s="33">
        <f>SUMIFS('Bilateral assistance, MAIN DATA'!$N:$N,'Bilateral assistance, MAIN DATA'!$B:$B,AK$1, 'Bilateral assistance, MAIN DATA'!$I:$I,$A36)</f>
        <v>0</v>
      </c>
      <c r="AL36" s="33">
        <f>SUMIFS('Bilateral assistance, MAIN DATA'!$N:$N,'Bilateral assistance, MAIN DATA'!$B:$B,AL$1, 'Bilateral assistance, MAIN DATA'!$I:$I,$A36)</f>
        <v>0</v>
      </c>
      <c r="AM36" s="33">
        <f>SUMIFS('Bilateral assistance, MAIN DATA'!$N:$N,'Bilateral assistance, MAIN DATA'!$B:$B,AM$1, 'Bilateral assistance, MAIN DATA'!$I:$I,$A36)</f>
        <v>0</v>
      </c>
      <c r="AN36" s="33">
        <f>SUMIFS('Bilateral assistance, MAIN DATA'!$N:$N,'Bilateral assistance, MAIN DATA'!$B:$B,AN$1, 'Bilateral assistance, MAIN DATA'!$I:$I,$A36)</f>
        <v>0</v>
      </c>
      <c r="AO36" s="33">
        <f>SUMIFS('Bilateral assistance, MAIN DATA'!$N:$N,'Bilateral assistance, MAIN DATA'!$B:$B,AO$1, 'Bilateral assistance, MAIN DATA'!$I:$I,$A36)</f>
        <v>0</v>
      </c>
      <c r="AP36" s="33">
        <f>SUMIFS('Bilateral assistance, MAIN DATA'!$N:$N,'Bilateral assistance, MAIN DATA'!$B:$B,AP$1, 'Bilateral assistance, MAIN DATA'!$I:$I,$A36)</f>
        <v>0</v>
      </c>
      <c r="AQ36" s="33">
        <f>SUMIFS('Bilateral assistance, MAIN DATA'!$N:$N,'Bilateral assistance, MAIN DATA'!$B:$B,AQ$1, 'Bilateral assistance, MAIN DATA'!$I:$I,$A36)</f>
        <v>0</v>
      </c>
      <c r="AR36" s="33">
        <f>SUMIFS('Bilateral assistance, MAIN DATA'!$N:$N,'Bilateral assistance, MAIN DATA'!$B:$B,AR$1, 'Bilateral assistance, MAIN DATA'!$I:$I,$A36)</f>
        <v>3</v>
      </c>
      <c r="AS36" s="33">
        <f>SUMIFS('Bilateral assistance, MAIN DATA'!$N:$N,'Bilateral assistance, MAIN DATA'!$B:$B,AS$1, 'Bilateral assistance, MAIN DATA'!$I:$I,$A36)</f>
        <v>0</v>
      </c>
    </row>
    <row r="39" spans="1:45">
      <c r="A39" s="27"/>
    </row>
  </sheetData>
  <autoFilter ref="A1:AS36" xr:uid="{00000000-0009-0000-0000-000021000000}"/>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59999389629810485"/>
  </sheetPr>
  <dimension ref="A1:O41"/>
  <sheetViews>
    <sheetView zoomScaleNormal="100" workbookViewId="0"/>
  </sheetViews>
  <sheetFormatPr defaultColWidth="8.5" defaultRowHeight="15.6"/>
  <cols>
    <col min="1" max="5" width="8.5" style="33"/>
    <col min="6" max="6" width="10.5" style="33" bestFit="1" customWidth="1"/>
    <col min="7" max="7" width="8" style="33" bestFit="1" customWidth="1"/>
    <col min="8" max="9" width="8.5" style="33"/>
    <col min="10" max="10" width="10.5" style="33" bestFit="1" customWidth="1"/>
    <col min="11" max="12" width="8.5" style="33"/>
    <col min="13" max="13" width="14" style="33" customWidth="1"/>
    <col min="14" max="14" width="8.5" style="33"/>
    <col min="15" max="15" width="17.5" style="33" bestFit="1" customWidth="1"/>
    <col min="16" max="16384" width="8.5" style="33"/>
  </cols>
  <sheetData>
    <row r="1" spans="1:15">
      <c r="A1" s="222"/>
      <c r="B1" s="746" t="s">
        <v>4158</v>
      </c>
      <c r="C1" s="746" t="s">
        <v>4159</v>
      </c>
      <c r="D1" s="746"/>
      <c r="E1" s="222"/>
      <c r="F1" s="746" t="s">
        <v>4160</v>
      </c>
      <c r="G1" s="746" t="s">
        <v>4161</v>
      </c>
      <c r="H1" s="746"/>
      <c r="I1" s="222"/>
      <c r="J1" s="746" t="s">
        <v>4162</v>
      </c>
      <c r="K1" s="746" t="s">
        <v>4163</v>
      </c>
      <c r="L1" s="746"/>
      <c r="M1" s="222"/>
      <c r="N1" s="746" t="s">
        <v>4164</v>
      </c>
      <c r="O1" s="746" t="s">
        <v>4165</v>
      </c>
    </row>
    <row r="2" spans="1:15">
      <c r="A2" s="33" t="s">
        <v>2548</v>
      </c>
      <c r="B2" s="645">
        <f>SUMIFS('Bilateral assistance, MAIN DATA'!$M:$M,'Bilateral assistance, MAIN DATA'!$B:$B,A2,'Bilateral assistance, MAIN DATA'!$AO:$AO,"155mm howitzer")</f>
        <v>126</v>
      </c>
      <c r="C2" s="645">
        <f>SUMIFS('Bilateral assistance, MAIN DATA'!$N:$N,'Bilateral assistance, MAIN DATA'!$B:$B,A2,'Bilateral assistance, MAIN DATA'!$AO:$AO,"155mm howitzer")</f>
        <v>108</v>
      </c>
      <c r="D2" s="645"/>
      <c r="E2" s="33" t="s">
        <v>632</v>
      </c>
      <c r="F2" s="645">
        <f>SUMIFS('Bilateral assistance, MAIN DATA'!$M:$M,'Bilateral assistance, MAIN DATA'!$B:$B,E2,'Bilateral assistance, MAIN DATA'!$AO:$AO,"122mm MLRS")+SUMIFS('Bilateral assistance, MAIN DATA'!$M:$M,'Bilateral assistance, MAIN DATA'!$B:$B,E2,'Bilateral assistance, MAIN DATA'!$AO:$AO,"127mm MLRS")+SUMIFS('Bilateral assistance, MAIN DATA'!$M:$M,'Bilateral assistance, MAIN DATA'!$B:$B,E2,'Bilateral assistance, MAIN DATA'!$AO:$AO,"227mm MLRS")</f>
        <v>20</v>
      </c>
      <c r="G2" s="645">
        <f>SUMIFS('Bilateral assistance, MAIN DATA'!$N:$N,'Bilateral assistance, MAIN DATA'!$B:$B,E2,'Bilateral assistance, MAIN DATA'!$AO:$AO,"122mm MLRS")+SUMIFS('Bilateral assistance, MAIN DATA'!$N:$N,'Bilateral assistance, MAIN DATA'!$B:$B,E2,'Bilateral assistance, MAIN DATA'!$AO:$AO,"127mm MLRS")+SUMIFS('Bilateral assistance, MAIN DATA'!$N:$N,'Bilateral assistance, MAIN DATA'!$B:$B,E2,'Bilateral assistance, MAIN DATA'!$AO:$AO,"227mm MLRS")</f>
        <v>20</v>
      </c>
      <c r="H2" s="645"/>
      <c r="I2" s="33" t="s">
        <v>1894</v>
      </c>
      <c r="J2" s="645">
        <f>SUMIFS('Bilateral assistance, MAIN DATA'!$M:$M,'Bilateral assistance, MAIN DATA'!$B:$B,I2,'Bilateral assistance, MAIN DATA'!$AO:$AO,"Main Battle Tank (MBT)")</f>
        <v>240</v>
      </c>
      <c r="K2" s="645">
        <f>SUMIFS('Bilateral assistance, MAIN DATA'!$N:$N,'Bilateral assistance, MAIN DATA'!$B:$B,I2,'Bilateral assistance, MAIN DATA'!$AO:$AO,"Main Battle Tank (MBT)")</f>
        <v>240</v>
      </c>
      <c r="L2" s="645"/>
      <c r="M2" s="33" t="s">
        <v>2548</v>
      </c>
      <c r="N2" s="645">
        <f>SUMIFS('Bilateral assistance, MAIN DATA'!$M:$M,'Bilateral assistance, MAIN DATA'!$B:$B,M2,'Bilateral assistance, MAIN DATA'!$AO:$AO,"Armoured Personnel Carrier (APC)")+SUMIFS('Bilateral assistance, MAIN DATA'!$M:$M,'Bilateral assistance, MAIN DATA'!$B:$B,M2,'Bilateral assistance, MAIN DATA'!$AO:$AO,"Protected Patrol Vehicle (PPV)")+SUMIFS('Bilateral assistance, MAIN DATA'!$M:$M,'Bilateral assistance, MAIN DATA'!$B:$B,M2,'Bilateral assistance, MAIN DATA'!$AO:$AO,"Armoured Utility Vehicle (AUV)")+SUMIFS('Bilateral assistance, MAIN DATA'!$M:$M,'Bilateral assistance, MAIN DATA'!$B:$B,M2,'Bilateral assistance, MAIN DATA'!$AO:$AO,"Infantry fighting vehicle (IFV)")</f>
        <v>1029</v>
      </c>
      <c r="O2" s="645">
        <f>SUMIFS('Bilateral assistance, MAIN DATA'!$N:$N,'Bilateral assistance, MAIN DATA'!$B:$B,M2,'Bilateral assistance, MAIN DATA'!$AO:$AO,"Armoured Personnel Carrier (APC)")+SUMIFS('Bilateral assistance, MAIN DATA'!$N:$N,'Bilateral assistance, MAIN DATA'!$B:$B,M2,'Bilateral assistance, MAIN DATA'!$AO:$AO,"Protected Patrol Vehicle (PPV)")+SUMIFS('Bilateral assistance, MAIN DATA'!$N:$N,'Bilateral assistance, MAIN DATA'!$B:$B,M2,'Bilateral assistance, MAIN DATA'!$AO:$AO,"Armoured Utility Vehicle (AUV)")+SUMIFS('Bilateral assistance, MAIN DATA'!$N:$N,'Bilateral assistance, MAIN DATA'!$B:$B,M2,'Bilateral assistance, MAIN DATA'!$AO:$AO,"Infantry fighting vehicle (IFV)")</f>
        <v>300</v>
      </c>
    </row>
    <row r="3" spans="1:15">
      <c r="A3" s="33" t="s">
        <v>1804</v>
      </c>
      <c r="B3" s="645">
        <f>SUMIFS('Bilateral assistance, MAIN DATA'!$M:$M, 'Bilateral assistance, MAIN DATA'!$I:$I,"M777 howitzer",'Bilateral assistance, MAIN DATA'!$B:$B,A3)+SUMIFS('Bilateral assistance, MAIN DATA'!$M:$M, 'Bilateral assistance, MAIN DATA'!$I:$I,"FH70 155mm howitzer",'Bilateral assistance, MAIN DATA'!$B:$B,A3)+SUMIFS('Bilateral assistance, MAIN DATA'!$M:$M, 'Bilateral assistance, MAIN DATA'!$I:$I,"CAESAR artillery howitzer",'Bilateral assistance, MAIN DATA'!$B:$B,A3)+SUMIFS('Bilateral assistance, MAIN DATA'!$M:$M, 'Bilateral assistance, MAIN DATA'!$I:$I,"M109 155mm howitzer",'Bilateral assistance, MAIN DATA'!$B:$B,A3)+SUMIFS('Bilateral assistance, MAIN DATA'!$M:$M, 'Bilateral assistance, MAIN DATA'!$I:$I,"AHS Krab self-propelled howitzer",'Bilateral assistance, MAIN DATA'!$B:$B,A3)+SUMIFS('Bilateral assistance, MAIN DATA'!$M:$M, 'Bilateral assistance, MAIN DATA'!$I:$I,"M114 155mm Howitzer",'Bilateral assistance, MAIN DATA'!$B:$B,A3)+SUMIFS('Bilateral assistance, MAIN DATA'!$M:$M, 'Bilateral assistance, MAIN DATA'!$I:$I,"Panzerhaubitze 2000",'Bilateral assistance, MAIN DATA'!$B:$B,A3)+SUMIFS('Bilateral assistance, MAIN DATA'!$M:$M, 'Bilateral assistance, MAIN DATA'!$I:$I,"155mm Howitzer",'Bilateral assistance, MAIN DATA'!$B:$B,A3)+SUMIFS('Bilateral assistance, MAIN DATA'!$M:$M, 'Bilateral assistance, MAIN DATA'!$I:$I,"M109 A3GM 155mm howitzer",'Bilateral assistance, MAIN DATA'!$B:$B,A3)+SUMIFS('Bilateral assistance, MAIN DATA'!$M:$M, 'Bilateral assistance, MAIN DATA'!$I:$I,"Zusana-2 howitzer",'Bilateral assistance, MAIN DATA'!$B:$B,A3)+SUMIFS('Bilateral assistance, MAIN DATA'!$M:$M, 'Bilateral assistance, MAIN DATA'!$I:$I,"AS-90",'Bilateral assistance, MAIN DATA'!$B:$B,A3)</f>
        <v>27</v>
      </c>
      <c r="C3" s="645">
        <f>SUMIFS('Bilateral assistance, MAIN DATA'!$N:$N,'Bilateral assistance, MAIN DATA'!$B:$B,A3,'Bilateral assistance, MAIN DATA'!$AO:$AO,"155mm howitzer")</f>
        <v>22</v>
      </c>
      <c r="D3" s="645"/>
      <c r="E3" s="33" t="s">
        <v>2548</v>
      </c>
      <c r="F3" s="645">
        <f>SUMIFS('Bilateral assistance, MAIN DATA'!$M:$M,'Bilateral assistance, MAIN DATA'!$B:$B,E3,'Bilateral assistance, MAIN DATA'!$AO:$AO,"122mm MLRS")+SUMIFS('Bilateral assistance, MAIN DATA'!$M:$M,'Bilateral assistance, MAIN DATA'!$B:$B,E3,'Bilateral assistance, MAIN DATA'!$AO:$AO,"127mm MLRS")+SUMIFS('Bilateral assistance, MAIN DATA'!$M:$M,'Bilateral assistance, MAIN DATA'!$B:$B,E3,'Bilateral assistance, MAIN DATA'!$AO:$AO,"227mm MLRS")</f>
        <v>38</v>
      </c>
      <c r="G3" s="645">
        <f>SUMIFS('Bilateral assistance, MAIN DATA'!$N:$N,'Bilateral assistance, MAIN DATA'!$B:$B,E3,'Bilateral assistance, MAIN DATA'!$AO:$AO,"122mm MLRS")+SUMIFS('Bilateral assistance, MAIN DATA'!$N:$N,'Bilateral assistance, MAIN DATA'!$B:$B,E3,'Bilateral assistance, MAIN DATA'!$AO:$AO,"127mm MLRS")+SUMIFS('Bilateral assistance, MAIN DATA'!$N:$N,'Bilateral assistance, MAIN DATA'!$B:$B,E3,'Bilateral assistance, MAIN DATA'!$AO:$AO,"227mm MLRS")</f>
        <v>16</v>
      </c>
      <c r="H3" s="645"/>
      <c r="I3" s="33" t="s">
        <v>632</v>
      </c>
      <c r="J3" s="645">
        <f>SUMIFS('Bilateral assistance, MAIN DATA'!$M:$M,'Bilateral assistance, MAIN DATA'!$B:$B,I3,'Bilateral assistance, MAIN DATA'!$AO:$AO,"Main Battle Tank (MBT)")</f>
        <v>130</v>
      </c>
      <c r="K3" s="645">
        <f>SUMIFS('Bilateral assistance, MAIN DATA'!$N:$N,'Bilateral assistance, MAIN DATA'!$B:$B,I3,'Bilateral assistance, MAIN DATA'!$AO:$AO,"Main Battle Tank (MBT)")</f>
        <v>40</v>
      </c>
      <c r="L3" s="645"/>
      <c r="M3" s="33" t="s">
        <v>1136</v>
      </c>
      <c r="N3" s="645">
        <f>SUMIFS('Bilateral assistance, MAIN DATA'!$M:$M,'Bilateral assistance, MAIN DATA'!$B:$B,M3,'Bilateral assistance, MAIN DATA'!$AO:$AO,"Armoured Personnel Carrier (APC)")+SUMIFS('Bilateral assistance, MAIN DATA'!$M:$M,'Bilateral assistance, MAIN DATA'!$B:$B,M3,'Bilateral assistance, MAIN DATA'!$AO:$AO,"Protected Patrol Vehicle (PPV)")+SUMIFS('Bilateral assistance, MAIN DATA'!$M:$M,'Bilateral assistance, MAIN DATA'!$B:$B,M3,'Bilateral assistance, MAIN DATA'!$AO:$AO,"Armoured Utility Vehicle (AUV)")+SUMIFS('Bilateral assistance, MAIN DATA'!$M:$M,'Bilateral assistance, MAIN DATA'!$B:$B,M3,'Bilateral assistance, MAIN DATA'!$AO:$AO,"Infantry fighting vehicle (IFV)")</f>
        <v>133</v>
      </c>
      <c r="O3" s="645">
        <f>SUMIFS('Bilateral assistance, MAIN DATA'!$N:$N,'Bilateral assistance, MAIN DATA'!$B:$B,M3,'Bilateral assistance, MAIN DATA'!$AO:$AO,"Armoured Personnel Carrier (APC)")+SUMIFS('Bilateral assistance, MAIN DATA'!$N:$N,'Bilateral assistance, MAIN DATA'!$B:$B,M3,'Bilateral assistance, MAIN DATA'!$AO:$AO,"Protected Patrol Vehicle (PPV)")+SUMIFS('Bilateral assistance, MAIN DATA'!$N:$N,'Bilateral assistance, MAIN DATA'!$B:$B,M3,'Bilateral assistance, MAIN DATA'!$AO:$AO,"Armoured Utility Vehicle (AUV)")+SUMIFS('Bilateral assistance, MAIN DATA'!$N:$N,'Bilateral assistance, MAIN DATA'!$B:$B,M3,'Bilateral assistance, MAIN DATA'!$AO:$AO,"Infantry fighting vehicle (IFV)")</f>
        <v>80</v>
      </c>
    </row>
    <row r="4" spans="1:15">
      <c r="A4" s="33" t="s">
        <v>1012</v>
      </c>
      <c r="B4" s="645">
        <f>SUMIFS('Bilateral assistance, MAIN DATA'!$M:$M,'Bilateral assistance, MAIN DATA'!$B:$B,A4,'Bilateral assistance, MAIN DATA'!$AO:$AO,"155mm howitzer")</f>
        <v>24</v>
      </c>
      <c r="C4" s="645">
        <f>SUMIFS('Bilateral assistance, MAIN DATA'!$N:$N,'Bilateral assistance, MAIN DATA'!$B:$B,A4,'Bilateral assistance, MAIN DATA'!$AO:$AO,"155mm howitzer")</f>
        <v>18</v>
      </c>
      <c r="D4" s="645"/>
      <c r="E4" s="33" t="s">
        <v>1136</v>
      </c>
      <c r="F4" s="645">
        <f>SUMIFS('Bilateral assistance, MAIN DATA'!$M:$M,'Bilateral assistance, MAIN DATA'!$B:$B,E4,'Bilateral assistance, MAIN DATA'!$AO:$AO,"122mm MLRS")+SUMIFS('Bilateral assistance, MAIN DATA'!$M:$M,'Bilateral assistance, MAIN DATA'!$B:$B,E4,'Bilateral assistance, MAIN DATA'!$AO:$AO,"127mm MLRS")+SUMIFS('Bilateral assistance, MAIN DATA'!$M:$M,'Bilateral assistance, MAIN DATA'!$B:$B,E4,'Bilateral assistance, MAIN DATA'!$AO:$AO,"227mm MLRS")</f>
        <v>5</v>
      </c>
      <c r="G4" s="645">
        <f>SUMIFS('Bilateral assistance, MAIN DATA'!$N:$N,'Bilateral assistance, MAIN DATA'!$B:$B,E4,'Bilateral assistance, MAIN DATA'!$AO:$AO,"122mm MLRS")+SUMIFS('Bilateral assistance, MAIN DATA'!$N:$N,'Bilateral assistance, MAIN DATA'!$B:$B,E4,'Bilateral assistance, MAIN DATA'!$AO:$AO,"127mm MLRS")+SUMIFS('Bilateral assistance, MAIN DATA'!$N:$N,'Bilateral assistance, MAIN DATA'!$B:$B,E4,'Bilateral assistance, MAIN DATA'!$AO:$AO,"227mm MLRS")</f>
        <v>5</v>
      </c>
      <c r="H4" s="645"/>
      <c r="I4" s="33" t="s">
        <v>2106</v>
      </c>
      <c r="J4" s="645">
        <f>SUMIFS('Bilateral assistance, MAIN DATA'!$M:$M,'Bilateral assistance, MAIN DATA'!$B:$B,I4,'Bilateral assistance, MAIN DATA'!$AO:$AO,"Main Battle Tank (MBT)")</f>
        <v>28</v>
      </c>
      <c r="K4" s="645">
        <f>SUMIFS('Bilateral assistance, MAIN DATA'!$N:$N,'Bilateral assistance, MAIN DATA'!$B:$B,I4,'Bilateral assistance, MAIN DATA'!$AO:$AO,"Main Battle Tank (MBT)")</f>
        <v>0</v>
      </c>
      <c r="L4" s="645"/>
      <c r="M4" s="33" t="s">
        <v>2392</v>
      </c>
      <c r="N4" s="645">
        <f>SUMIFS('Bilateral assistance, MAIN DATA'!$M:$M,'Bilateral assistance, MAIN DATA'!$B:$B,M4,'Bilateral assistance, MAIN DATA'!$AO:$AO,"Armoured Personnel Carrier (APC)")+SUMIFS('Bilateral assistance, MAIN DATA'!$M:$M,'Bilateral assistance, MAIN DATA'!$B:$B,M4,'Bilateral assistance, MAIN DATA'!$AO:$AO,"Protected Patrol Vehicle (PPV)")+SUMIFS('Bilateral assistance, MAIN DATA'!$M:$M,'Bilateral assistance, MAIN DATA'!$B:$B,M4,'Bilateral assistance, MAIN DATA'!$AO:$AO,"Armoured Utility Vehicle (AUV)")+SUMIFS('Bilateral assistance, MAIN DATA'!$M:$M,'Bilateral assistance, MAIN DATA'!$B:$B,M4,'Bilateral assistance, MAIN DATA'!$AO:$AO,"Infantry fighting vehicle (IFV)")</f>
        <v>120</v>
      </c>
      <c r="O4" s="645">
        <f>SUMIFS('Bilateral assistance, MAIN DATA'!$N:$N,'Bilateral assistance, MAIN DATA'!$B:$B,M4,'Bilateral assistance, MAIN DATA'!$AO:$AO,"Armoured Personnel Carrier (APC)")+SUMIFS('Bilateral assistance, MAIN DATA'!$N:$N,'Bilateral assistance, MAIN DATA'!$B:$B,M4,'Bilateral assistance, MAIN DATA'!$AO:$AO,"Protected Patrol Vehicle (PPV)")+SUMIFS('Bilateral assistance, MAIN DATA'!$N:$N,'Bilateral assistance, MAIN DATA'!$B:$B,M4,'Bilateral assistance, MAIN DATA'!$AO:$AO,"Armoured Utility Vehicle (AUV)")+SUMIFS('Bilateral assistance, MAIN DATA'!$N:$N,'Bilateral assistance, MAIN DATA'!$B:$B,M4,'Bilateral assistance, MAIN DATA'!$AO:$AO,"Infantry fighting vehicle (IFV)")</f>
        <v>120</v>
      </c>
    </row>
    <row r="5" spans="1:15">
      <c r="A5" s="33" t="s">
        <v>1894</v>
      </c>
      <c r="B5" s="645">
        <f>SUMIFS('Bilateral assistance, MAIN DATA'!$M:$M,'Bilateral assistance, MAIN DATA'!$B:$B,A5,'Bilateral assistance, MAIN DATA'!$AO:$AO,"155mm howitzer")</f>
        <v>18</v>
      </c>
      <c r="C5" s="645">
        <f>SUMIFS('Bilateral assistance, MAIN DATA'!$N:$N,'Bilateral assistance, MAIN DATA'!$B:$B,A5,'Bilateral assistance, MAIN DATA'!$AO:$AO,"155mm howitzer")</f>
        <v>18</v>
      </c>
      <c r="D5" s="645"/>
      <c r="E5" s="33" t="s">
        <v>2392</v>
      </c>
      <c r="F5" s="645">
        <f>SUMIFS('Bilateral assistance, MAIN DATA'!$M:$M,'Bilateral assistance, MAIN DATA'!$B:$B,E5,'Bilateral assistance, MAIN DATA'!$AO:$AO,"122mm MLRS")+SUMIFS('Bilateral assistance, MAIN DATA'!$M:$M,'Bilateral assistance, MAIN DATA'!$B:$B,E5,'Bilateral assistance, MAIN DATA'!$AO:$AO,"127mm MLRS")+SUMIFS('Bilateral assistance, MAIN DATA'!$M:$M,'Bilateral assistance, MAIN DATA'!$B:$B,E5,'Bilateral assistance, MAIN DATA'!$AO:$AO,"227mm MLRS")</f>
        <v>6</v>
      </c>
      <c r="G5" s="645">
        <f>SUMIFS('Bilateral assistance, MAIN DATA'!$N:$N,'Bilateral assistance, MAIN DATA'!$B:$B,E5,'Bilateral assistance, MAIN DATA'!$AO:$AO,"122mm MLRS")+SUMIFS('Bilateral assistance, MAIN DATA'!$N:$N,'Bilateral assistance, MAIN DATA'!$B:$B,E5,'Bilateral assistance, MAIN DATA'!$AO:$AO,"127mm MLRS")+SUMIFS('Bilateral assistance, MAIN DATA'!$N:$N,'Bilateral assistance, MAIN DATA'!$B:$B,E5,'Bilateral assistance, MAIN DATA'!$AO:$AO,"227mm MLRS")</f>
        <v>3</v>
      </c>
      <c r="H5" s="645"/>
      <c r="I5" s="33" t="s">
        <v>2548</v>
      </c>
      <c r="J5" s="645">
        <f>SUMIFS('Bilateral assistance, MAIN DATA'!$M:$M,'Bilateral assistance, MAIN DATA'!$B:$B,I5,'Bilateral assistance, MAIN DATA'!$AO:$AO,"Main Battle Tank (MBT)")</f>
        <v>45</v>
      </c>
      <c r="K5" s="645">
        <f>SUMIFS('Bilateral assistance, MAIN DATA'!$N:$N,'Bilateral assistance, MAIN DATA'!$B:$B,I5,'Bilateral assistance, MAIN DATA'!$AO:$AO,"Main Battle Tank (MBT)")</f>
        <v>0</v>
      </c>
      <c r="L5" s="645"/>
      <c r="M5" s="33" t="s">
        <v>1562</v>
      </c>
      <c r="N5" s="645">
        <f>SUMIFS('Bilateral assistance, MAIN DATA'!$M:$M,'Bilateral assistance, MAIN DATA'!$B:$B,M5,'Bilateral assistance, MAIN DATA'!$AO:$AO,"Armoured Personnel Carrier (APC)")+SUMIFS('Bilateral assistance, MAIN DATA'!$M:$M,'Bilateral assistance, MAIN DATA'!$B:$B,M5,'Bilateral assistance, MAIN DATA'!$AO:$AO,"Protected Patrol Vehicle (PPV)")+SUMIFS('Bilateral assistance, MAIN DATA'!$M:$M,'Bilateral assistance, MAIN DATA'!$B:$B,M5,'Bilateral assistance, MAIN DATA'!$AO:$AO,"Armoured Utility Vehicle (AUV)")+SUMIFS('Bilateral assistance, MAIN DATA'!$M:$M,'Bilateral assistance, MAIN DATA'!$B:$B,M5,'Bilateral assistance, MAIN DATA'!$AO:$AO,"Infantry fighting vehicle (IFV)")</f>
        <v>99</v>
      </c>
      <c r="O5" s="645">
        <f>SUMIFS('Bilateral assistance, MAIN DATA'!$N:$N,'Bilateral assistance, MAIN DATA'!$B:$B,M5,'Bilateral assistance, MAIN DATA'!$AO:$AO,"Armoured Personnel Carrier (APC)")+SUMIFS('Bilateral assistance, MAIN DATA'!$N:$N,'Bilateral assistance, MAIN DATA'!$B:$B,M5,'Bilateral assistance, MAIN DATA'!$AO:$AO,"Protected Patrol Vehicle (PPV)")+SUMIFS('Bilateral assistance, MAIN DATA'!$N:$N,'Bilateral assistance, MAIN DATA'!$B:$B,M5,'Bilateral assistance, MAIN DATA'!$AO:$AO,"Armoured Utility Vehicle (AUV)")+SUMIFS('Bilateral assistance, MAIN DATA'!$N:$N,'Bilateral assistance, MAIN DATA'!$B:$B,M5,'Bilateral assistance, MAIN DATA'!$AO:$AO,"Infantry fighting vehicle (IFV)")</f>
        <v>89</v>
      </c>
    </row>
    <row r="6" spans="1:15">
      <c r="A6" s="33" t="s">
        <v>1136</v>
      </c>
      <c r="B6" s="645">
        <f>SUMIFS('Bilateral assistance, MAIN DATA'!$M:$M,'Bilateral assistance, MAIN DATA'!$B:$B,A6,'Bilateral assistance, MAIN DATA'!$AO:$AO,"155mm howitzer")</f>
        <v>19</v>
      </c>
      <c r="C6" s="645">
        <f>SUMIFS('Bilateral assistance, MAIN DATA'!$N:$N,'Bilateral assistance, MAIN DATA'!$B:$B,A6,'Bilateral assistance, MAIN DATA'!$AO:$AO,"155mm howitzer")</f>
        <v>14</v>
      </c>
      <c r="D6" s="645"/>
      <c r="E6" s="33" t="s">
        <v>1804</v>
      </c>
      <c r="F6" s="645">
        <f>SUMIFS('Bilateral assistance, MAIN DATA'!$M:$M,'Bilateral assistance, MAIN DATA'!$B:$B,E6,'Bilateral assistance, MAIN DATA'!$AO:$AO,"122mm MLRS")+SUMIFS('Bilateral assistance, MAIN DATA'!$M:$M,'Bilateral assistance, MAIN DATA'!$B:$B,E6,'Bilateral assistance, MAIN DATA'!$AO:$AO,"127mm MLRS")+SUMIFS('Bilateral assistance, MAIN DATA'!$M:$M,'Bilateral assistance, MAIN DATA'!$B:$B,E6,'Bilateral assistance, MAIN DATA'!$AO:$AO,"227mm MLRS")</f>
        <v>3</v>
      </c>
      <c r="G6" s="645">
        <f>SUMIFS('Bilateral assistance, MAIN DATA'!$N:$N,'Bilateral assistance, MAIN DATA'!$B:$B,E6,'Bilateral assistance, MAIN DATA'!$AO:$AO,"122mm MLRS")+SUMIFS('Bilateral assistance, MAIN DATA'!$N:$N,'Bilateral assistance, MAIN DATA'!$B:$B,E6,'Bilateral assistance, MAIN DATA'!$AO:$AO,"127mm MLRS")+SUMIFS('Bilateral assistance, MAIN DATA'!$N:$N,'Bilateral assistance, MAIN DATA'!$B:$B,E6,'Bilateral assistance, MAIN DATA'!$AO:$AO,"227mm MLRS")</f>
        <v>3</v>
      </c>
      <c r="H6" s="645"/>
      <c r="I6" s="33" t="s">
        <v>2392</v>
      </c>
      <c r="J6" s="645">
        <f>SUMIFS('Bilateral assistance, MAIN DATA'!$M:$M,'Bilateral assistance, MAIN DATA'!$B:$B,I6,'Bilateral assistance, MAIN DATA'!$AO:$AO,"Main Battle Tank (MBT)")</f>
        <v>0</v>
      </c>
      <c r="K6" s="645">
        <f>SUMIFS('Bilateral assistance, MAIN DATA'!$N:$N,'Bilateral assistance, MAIN DATA'!$B:$B,I6,'Bilateral assistance, MAIN DATA'!$AO:$AO,"Main Battle Tank (MBT)")</f>
        <v>0</v>
      </c>
      <c r="L6" s="645"/>
      <c r="M6" s="33" t="s">
        <v>227</v>
      </c>
      <c r="N6" s="645">
        <f>SUMIFS('Bilateral assistance, MAIN DATA'!$M:$M,'Bilateral assistance, MAIN DATA'!$B:$B,M6,'Bilateral assistance, MAIN DATA'!$AO:$AO,"Armoured Personnel Carrier (APC)")+SUMIFS('Bilateral assistance, MAIN DATA'!$M:$M,'Bilateral assistance, MAIN DATA'!$B:$B,M6,'Bilateral assistance, MAIN DATA'!$AO:$AO,"Protected Patrol Vehicle (PPV)")+SUMIFS('Bilateral assistance, MAIN DATA'!$M:$M,'Bilateral assistance, MAIN DATA'!$B:$B,M6,'Bilateral assistance, MAIN DATA'!$AO:$AO,"Armoured Utility Vehicle (AUV)")+SUMIFS('Bilateral assistance, MAIN DATA'!$M:$M,'Bilateral assistance, MAIN DATA'!$B:$B,M6,'Bilateral assistance, MAIN DATA'!$AO:$AO,"Infantry fighting vehicle (IFV)")</f>
        <v>118</v>
      </c>
      <c r="O6" s="645">
        <f>SUMIFS('Bilateral assistance, MAIN DATA'!$N:$N,'Bilateral assistance, MAIN DATA'!$B:$B,M6,'Bilateral assistance, MAIN DATA'!$AO:$AO,"Armoured Personnel Carrier (APC)")+SUMIFS('Bilateral assistance, MAIN DATA'!$N:$N,'Bilateral assistance, MAIN DATA'!$B:$B,M6,'Bilateral assistance, MAIN DATA'!$AO:$AO,"Protected Patrol Vehicle (PPV)")+SUMIFS('Bilateral assistance, MAIN DATA'!$N:$N,'Bilateral assistance, MAIN DATA'!$B:$B,M6,'Bilateral assistance, MAIN DATA'!$AO:$AO,"Armoured Utility Vehicle (AUV)")+SUMIFS('Bilateral assistance, MAIN DATA'!$N:$N,'Bilateral assistance, MAIN DATA'!$B:$B,M6,'Bilateral assistance, MAIN DATA'!$AO:$AO,"Infantry fighting vehicle (IFV)")</f>
        <v>88</v>
      </c>
    </row>
    <row r="7" spans="1:15">
      <c r="A7" s="33" t="s">
        <v>227</v>
      </c>
      <c r="B7" s="645">
        <f>SUMIFS('Bilateral assistance, MAIN DATA'!$M:$M,'Bilateral assistance, MAIN DATA'!$B:$B,A7,'Bilateral assistance, MAIN DATA'!$AO:$AO,"155mm howitzer")</f>
        <v>6</v>
      </c>
      <c r="C7" s="645">
        <f>SUMIFS('Bilateral assistance, MAIN DATA'!$N:$N,'Bilateral assistance, MAIN DATA'!$B:$B,A7,'Bilateral assistance, MAIN DATA'!$AO:$AO,"155mm howitzer")</f>
        <v>6</v>
      </c>
      <c r="D7" s="645"/>
      <c r="E7" s="33" t="s">
        <v>1012</v>
      </c>
      <c r="F7" s="645">
        <f>SUMIFS('Bilateral assistance, MAIN DATA'!$M:$M,'Bilateral assistance, MAIN DATA'!$B:$B,E7,'Bilateral assistance, MAIN DATA'!$AO:$AO,"122mm MLRS")+SUMIFS('Bilateral assistance, MAIN DATA'!$M:$M,'Bilateral assistance, MAIN DATA'!$B:$B,E7,'Bilateral assistance, MAIN DATA'!$AO:$AO,"127mm MLRS")+SUMIFS('Bilateral assistance, MAIN DATA'!$M:$M,'Bilateral assistance, MAIN DATA'!$B:$B,E7,'Bilateral assistance, MAIN DATA'!$AO:$AO,"227mm MLRS")</f>
        <v>2</v>
      </c>
      <c r="G7" s="645">
        <f>SUMIFS('Bilateral assistance, MAIN DATA'!$N:$N,'Bilateral assistance, MAIN DATA'!$B:$B,E7,'Bilateral assistance, MAIN DATA'!$AO:$AO,"122mm MLRS")+SUMIFS('Bilateral assistance, MAIN DATA'!$N:$N,'Bilateral assistance, MAIN DATA'!$B:$B,E7,'Bilateral assistance, MAIN DATA'!$AO:$AO,"127mm MLRS")+SUMIFS('Bilateral assistance, MAIN DATA'!$N:$N,'Bilateral assistance, MAIN DATA'!$B:$B,E7,'Bilateral assistance, MAIN DATA'!$AO:$AO,"227mm MLRS")</f>
        <v>0</v>
      </c>
      <c r="H7" s="645"/>
      <c r="I7" s="33" t="s">
        <v>1804</v>
      </c>
      <c r="J7" s="645">
        <f>SUMIFS('Bilateral assistance, MAIN DATA'!$M:$M,'Bilateral assistance, MAIN DATA'!$B:$B,I7,'Bilateral assistance, MAIN DATA'!$AO:$AO,"Main Battle Tank (MBT)")</f>
        <v>0</v>
      </c>
      <c r="K7" s="645">
        <f>SUMIFS('Bilateral assistance, MAIN DATA'!$N:$N,'Bilateral assistance, MAIN DATA'!$B:$B,I7,'Bilateral assistance, MAIN DATA'!$AO:$AO,"Main Battle Tank (MBT)")</f>
        <v>0</v>
      </c>
      <c r="L7" s="645"/>
      <c r="M7" s="33" t="s">
        <v>1012</v>
      </c>
      <c r="N7" s="645">
        <f>SUMIFS('Bilateral assistance, MAIN DATA'!$M:$M,'Bilateral assistance, MAIN DATA'!$B:$B,M7,'Bilateral assistance, MAIN DATA'!$AO:$AO,"Armoured Personnel Carrier (APC)")+SUMIFS('Bilateral assistance, MAIN DATA'!$M:$M,'Bilateral assistance, MAIN DATA'!$B:$B,M7,'Bilateral assistance, MAIN DATA'!$AO:$AO,"Protected Patrol Vehicle (PPV)")+SUMIFS('Bilateral assistance, MAIN DATA'!$M:$M,'Bilateral assistance, MAIN DATA'!$B:$B,M7,'Bilateral assistance, MAIN DATA'!$AO:$AO,"Armoured Utility Vehicle (AUV)")+SUMIFS('Bilateral assistance, MAIN DATA'!$M:$M,'Bilateral assistance, MAIN DATA'!$B:$B,M7,'Bilateral assistance, MAIN DATA'!$AO:$AO,"Infantry fighting vehicle (IFV)")</f>
        <v>60</v>
      </c>
      <c r="O7" s="645">
        <f>SUMIFS('Bilateral assistance, MAIN DATA'!$N:$N,'Bilateral assistance, MAIN DATA'!$B:$B,M7,'Bilateral assistance, MAIN DATA'!$AO:$AO,"Armoured Personnel Carrier (APC)")+SUMIFS('Bilateral assistance, MAIN DATA'!$N:$N,'Bilateral assistance, MAIN DATA'!$B:$B,M7,'Bilateral assistance, MAIN DATA'!$AO:$AO,"Protected Patrol Vehicle (PPV)")+SUMIFS('Bilateral assistance, MAIN DATA'!$N:$N,'Bilateral assistance, MAIN DATA'!$B:$B,M7,'Bilateral assistance, MAIN DATA'!$AO:$AO,"Armoured Utility Vehicle (AUV)")+SUMIFS('Bilateral assistance, MAIN DATA'!$N:$N,'Bilateral assistance, MAIN DATA'!$B:$B,M7,'Bilateral assistance, MAIN DATA'!$AO:$AO,"Infantry fighting vehicle (IFV)")</f>
        <v>60</v>
      </c>
    </row>
    <row r="8" spans="1:15">
      <c r="A8" s="33" t="s">
        <v>1516</v>
      </c>
      <c r="B8" s="645">
        <f>SUMIFS('Bilateral assistance, MAIN DATA'!$M:$M,'Bilateral assistance, MAIN DATA'!$B:$B,A8,'Bilateral assistance, MAIN DATA'!$AO:$AO,"155mm howitzer")</f>
        <v>6</v>
      </c>
      <c r="C8" s="645">
        <f>SUMIFS('Bilateral assistance, MAIN DATA'!$N:$N,'Bilateral assistance, MAIN DATA'!$B:$B,A8,'Bilateral assistance, MAIN DATA'!$AO:$AO,"155mm howitzer")</f>
        <v>6</v>
      </c>
      <c r="D8" s="645"/>
      <c r="E8" s="33" t="s">
        <v>1894</v>
      </c>
      <c r="F8" s="645">
        <f>SUMIFS('Bilateral assistance, MAIN DATA'!$M:$M,'Bilateral assistance, MAIN DATA'!$B:$B,E8,'Bilateral assistance, MAIN DATA'!$AO:$AO,"122mm MLRS")+SUMIFS('Bilateral assistance, MAIN DATA'!$M:$M,'Bilateral assistance, MAIN DATA'!$B:$B,E8,'Bilateral assistance, MAIN DATA'!$AO:$AO,"127mm MLRS")+SUMIFS('Bilateral assistance, MAIN DATA'!$M:$M,'Bilateral assistance, MAIN DATA'!$B:$B,E8,'Bilateral assistance, MAIN DATA'!$AO:$AO,"227mm MLRS")</f>
        <v>0</v>
      </c>
      <c r="G8" s="645">
        <f>SUMIFS('Bilateral assistance, MAIN DATA'!$N:$N,'Bilateral assistance, MAIN DATA'!$B:$B,E8,'Bilateral assistance, MAIN DATA'!$AO:$AO,"122mm MLRS")+SUMIFS('Bilateral assistance, MAIN DATA'!$N:$N,'Bilateral assistance, MAIN DATA'!$B:$B,E8,'Bilateral assistance, MAIN DATA'!$AO:$AO,"127mm MLRS")+SUMIFS('Bilateral assistance, MAIN DATA'!$N:$N,'Bilateral assistance, MAIN DATA'!$B:$B,E8,'Bilateral assistance, MAIN DATA'!$AO:$AO,"227mm MLRS")</f>
        <v>0</v>
      </c>
      <c r="H8" s="645"/>
      <c r="I8" s="33" t="s">
        <v>1012</v>
      </c>
      <c r="J8" s="645">
        <f>SUMIFS('Bilateral assistance, MAIN DATA'!$M:$M,'Bilateral assistance, MAIN DATA'!$B:$B,I8,'Bilateral assistance, MAIN DATA'!$AO:$AO,"Main Battle Tank (MBT)")</f>
        <v>0</v>
      </c>
      <c r="K8" s="645">
        <f>SUMIFS('Bilateral assistance, MAIN DATA'!$N:$N,'Bilateral assistance, MAIN DATA'!$B:$B,I8,'Bilateral assistance, MAIN DATA'!$AO:$AO,"Main Battle Tank (MBT)")</f>
        <v>0</v>
      </c>
      <c r="L8" s="645"/>
      <c r="M8" s="33" t="s">
        <v>2348</v>
      </c>
      <c r="N8" s="645">
        <f>SUMIFS('Bilateral assistance, MAIN DATA'!$M:$M,'Bilateral assistance, MAIN DATA'!$B:$B,M8,'Bilateral assistance, MAIN DATA'!$AO:$AO,"Armoured Personnel Carrier (APC)")+SUMIFS('Bilateral assistance, MAIN DATA'!$M:$M,'Bilateral assistance, MAIN DATA'!$B:$B,M8,'Bilateral assistance, MAIN DATA'!$AO:$AO,"Protected Patrol Vehicle (PPV)")+SUMIFS('Bilateral assistance, MAIN DATA'!$M:$M,'Bilateral assistance, MAIN DATA'!$B:$B,M8,'Bilateral assistance, MAIN DATA'!$AO:$AO,"Armoured Utility Vehicle (AUV)")+SUMIFS('Bilateral assistance, MAIN DATA'!$M:$M,'Bilateral assistance, MAIN DATA'!$B:$B,M8,'Bilateral assistance, MAIN DATA'!$AO:$AO,"Infantry fighting vehicle (IFV)")</f>
        <v>50</v>
      </c>
      <c r="O8" s="645">
        <f>SUMIFS('Bilateral assistance, MAIN DATA'!$N:$N,'Bilateral assistance, MAIN DATA'!$B:$B,M8,'Bilateral assistance, MAIN DATA'!$AO:$AO,"Armoured Personnel Carrier (APC)")+SUMIFS('Bilateral assistance, MAIN DATA'!$N:$N,'Bilateral assistance, MAIN DATA'!$B:$B,M8,'Bilateral assistance, MAIN DATA'!$AO:$AO,"Protected Patrol Vehicle (PPV)")+SUMIFS('Bilateral assistance, MAIN DATA'!$N:$N,'Bilateral assistance, MAIN DATA'!$B:$B,M8,'Bilateral assistance, MAIN DATA'!$AO:$AO,"Armoured Utility Vehicle (AUV)")+SUMIFS('Bilateral assistance, MAIN DATA'!$N:$N,'Bilateral assistance, MAIN DATA'!$B:$B,M8,'Bilateral assistance, MAIN DATA'!$AO:$AO,"Infantry fighting vehicle (IFV)")</f>
        <v>50</v>
      </c>
    </row>
    <row r="9" spans="1:15">
      <c r="A9" s="33" t="s">
        <v>1687</v>
      </c>
      <c r="B9" s="645">
        <f>SUMIFS('Bilateral assistance, MAIN DATA'!$M:$M,'Bilateral assistance, MAIN DATA'!$B:$B,A9,'Bilateral assistance, MAIN DATA'!$AO:$AO,"155mm howitzer")</f>
        <v>8</v>
      </c>
      <c r="C9" s="645">
        <f>SUMIFS('Bilateral assistance, MAIN DATA'!$N:$N,'Bilateral assistance, MAIN DATA'!$B:$B,A9,'Bilateral assistance, MAIN DATA'!$AO:$AO,"155mm howitzer")</f>
        <v>5</v>
      </c>
      <c r="D9" s="645"/>
      <c r="E9" s="33" t="s">
        <v>1687</v>
      </c>
      <c r="F9" s="645">
        <f>SUMIFS('Bilateral assistance, MAIN DATA'!$M:$M,'Bilateral assistance, MAIN DATA'!$B:$B,E9,'Bilateral assistance, MAIN DATA'!$AO:$AO,"122mm MLRS")+SUMIFS('Bilateral assistance, MAIN DATA'!$M:$M,'Bilateral assistance, MAIN DATA'!$B:$B,E9,'Bilateral assistance, MAIN DATA'!$AO:$AO,"127mm MLRS")+SUMIFS('Bilateral assistance, MAIN DATA'!$M:$M,'Bilateral assistance, MAIN DATA'!$B:$B,E9,'Bilateral assistance, MAIN DATA'!$AO:$AO,"227mm MLRS")</f>
        <v>0</v>
      </c>
      <c r="G9" s="645">
        <f>SUMIFS('Bilateral assistance, MAIN DATA'!$N:$N,'Bilateral assistance, MAIN DATA'!$B:$B,E9,'Bilateral assistance, MAIN DATA'!$AO:$AO,"122mm MLRS")+SUMIFS('Bilateral assistance, MAIN DATA'!$N:$N,'Bilateral assistance, MAIN DATA'!$B:$B,E9,'Bilateral assistance, MAIN DATA'!$AO:$AO,"127mm MLRS")+SUMIFS('Bilateral assistance, MAIN DATA'!$N:$N,'Bilateral assistance, MAIN DATA'!$B:$B,E9,'Bilateral assistance, MAIN DATA'!$AO:$AO,"227mm MLRS")</f>
        <v>0</v>
      </c>
      <c r="H9" s="645"/>
      <c r="I9" s="33" t="s">
        <v>1136</v>
      </c>
      <c r="J9" s="645">
        <f>SUMIFS('Bilateral assistance, MAIN DATA'!$M:$M,'Bilateral assistance, MAIN DATA'!$B:$B,I9,'Bilateral assistance, MAIN DATA'!$AO:$AO,"Main Battle Tank (MBT)")</f>
        <v>0</v>
      </c>
      <c r="K9" s="645">
        <f>SUMIFS('Bilateral assistance, MAIN DATA'!$N:$N,'Bilateral assistance, MAIN DATA'!$B:$B,I9,'Bilateral assistance, MAIN DATA'!$AO:$AO,"Main Battle Tank (MBT)")</f>
        <v>0</v>
      </c>
      <c r="L9" s="645"/>
      <c r="M9" s="33" t="s">
        <v>1894</v>
      </c>
      <c r="N9" s="645">
        <f>SUMIFS('Bilateral assistance, MAIN DATA'!$M:$M,'Bilateral assistance, MAIN DATA'!$B:$B,M9,'Bilateral assistance, MAIN DATA'!$AO:$AO,"Armoured Personnel Carrier (APC)")+SUMIFS('Bilateral assistance, MAIN DATA'!$M:$M,'Bilateral assistance, MAIN DATA'!$B:$B,M9,'Bilateral assistance, MAIN DATA'!$AO:$AO,"Protected Patrol Vehicle (PPV)")+SUMIFS('Bilateral assistance, MAIN DATA'!$M:$M,'Bilateral assistance, MAIN DATA'!$B:$B,M9,'Bilateral assistance, MAIN DATA'!$AO:$AO,"Armoured Utility Vehicle (AUV)")+SUMIFS('Bilateral assistance, MAIN DATA'!$M:$M,'Bilateral assistance, MAIN DATA'!$B:$B,M9,'Bilateral assistance, MAIN DATA'!$AO:$AO,"Infantry fighting vehicle (IFV)")</f>
        <v>40</v>
      </c>
      <c r="O9" s="645">
        <f>SUMIFS('Bilateral assistance, MAIN DATA'!$N:$N,'Bilateral assistance, MAIN DATA'!$B:$B,M9,'Bilateral assistance, MAIN DATA'!$AO:$AO,"Armoured Personnel Carrier (APC)")+SUMIFS('Bilateral assistance, MAIN DATA'!$N:$N,'Bilateral assistance, MAIN DATA'!$B:$B,M9,'Bilateral assistance, MAIN DATA'!$AO:$AO,"Protected Patrol Vehicle (PPV)")+SUMIFS('Bilateral assistance, MAIN DATA'!$N:$N,'Bilateral assistance, MAIN DATA'!$B:$B,M9,'Bilateral assistance, MAIN DATA'!$AO:$AO,"Armoured Utility Vehicle (AUV)")+SUMIFS('Bilateral assistance, MAIN DATA'!$N:$N,'Bilateral assistance, MAIN DATA'!$B:$B,M9,'Bilateral assistance, MAIN DATA'!$AO:$AO,"Infantry fighting vehicle (IFV)")</f>
        <v>40</v>
      </c>
    </row>
    <row r="10" spans="1:15">
      <c r="A10" s="33" t="s">
        <v>452</v>
      </c>
      <c r="B10" s="645">
        <f>SUMIFS('Bilateral assistance, MAIN DATA'!$M:$M,'Bilateral assistance, MAIN DATA'!$B:$B,A10,'Bilateral assistance, MAIN DATA'!$AO:$AO,"155mm howitzer")</f>
        <v>4</v>
      </c>
      <c r="C10" s="645">
        <f>SUMIFS('Bilateral assistance, MAIN DATA'!$N:$N,'Bilateral assistance, MAIN DATA'!$B:$B,A10,'Bilateral assistance, MAIN DATA'!$AO:$AO,"155mm howitzer")</f>
        <v>4</v>
      </c>
      <c r="D10" s="645"/>
      <c r="E10" s="33" t="s">
        <v>227</v>
      </c>
      <c r="F10" s="645">
        <f>SUMIFS('Bilateral assistance, MAIN DATA'!$M:$M,'Bilateral assistance, MAIN DATA'!$B:$B,E10,'Bilateral assistance, MAIN DATA'!$AO:$AO,"122mm MLRS")+SUMIFS('Bilateral assistance, MAIN DATA'!$M:$M,'Bilateral assistance, MAIN DATA'!$B:$B,E10,'Bilateral assistance, MAIN DATA'!$AO:$AO,"127mm MLRS")+SUMIFS('Bilateral assistance, MAIN DATA'!$M:$M,'Bilateral assistance, MAIN DATA'!$B:$B,E10,'Bilateral assistance, MAIN DATA'!$AO:$AO,"227mm MLRS")</f>
        <v>0</v>
      </c>
      <c r="G10" s="645">
        <f>SUMIFS('Bilateral assistance, MAIN DATA'!$N:$N,'Bilateral assistance, MAIN DATA'!$B:$B,E10,'Bilateral assistance, MAIN DATA'!$AO:$AO,"122mm MLRS")+SUMIFS('Bilateral assistance, MAIN DATA'!$N:$N,'Bilateral assistance, MAIN DATA'!$B:$B,E10,'Bilateral assistance, MAIN DATA'!$AO:$AO,"127mm MLRS")+SUMIFS('Bilateral assistance, MAIN DATA'!$N:$N,'Bilateral assistance, MAIN DATA'!$B:$B,E10,'Bilateral assistance, MAIN DATA'!$AO:$AO,"227mm MLRS")</f>
        <v>0</v>
      </c>
      <c r="H10" s="645"/>
      <c r="I10" s="33" t="s">
        <v>1687</v>
      </c>
      <c r="J10" s="645">
        <f>SUMIFS('Bilateral assistance, MAIN DATA'!$M:$M,'Bilateral assistance, MAIN DATA'!$B:$B,I10,'Bilateral assistance, MAIN DATA'!$AO:$AO,"Main Battle Tank (MBT)")</f>
        <v>0</v>
      </c>
      <c r="K10" s="645">
        <f>SUMIFS('Bilateral assistance, MAIN DATA'!$N:$N,'Bilateral assistance, MAIN DATA'!$B:$B,I10,'Bilateral assistance, MAIN DATA'!$AO:$AO,"Main Battle Tank (MBT)")</f>
        <v>0</v>
      </c>
      <c r="L10" s="645"/>
      <c r="M10" s="33" t="s">
        <v>1294</v>
      </c>
      <c r="N10" s="645">
        <f>SUMIFS('Bilateral assistance, MAIN DATA'!$M:$M,'Bilateral assistance, MAIN DATA'!$B:$B,M10,'Bilateral assistance, MAIN DATA'!$AO:$AO,"Armoured Personnel Carrier (APC)")+SUMIFS('Bilateral assistance, MAIN DATA'!$M:$M,'Bilateral assistance, MAIN DATA'!$B:$B,M10,'Bilateral assistance, MAIN DATA'!$AO:$AO,"Protected Patrol Vehicle (PPV)")+SUMIFS('Bilateral assistance, MAIN DATA'!$M:$M,'Bilateral assistance, MAIN DATA'!$B:$B,M10,'Bilateral assistance, MAIN DATA'!$AO:$AO,"Armoured Utility Vehicle (AUV)")+SUMIFS('Bilateral assistance, MAIN DATA'!$M:$M,'Bilateral assistance, MAIN DATA'!$B:$B,M10,'Bilateral assistance, MAIN DATA'!$AO:$AO,"Infantry fighting vehicle (IFV)")</f>
        <v>40</v>
      </c>
      <c r="O10" s="645">
        <f>SUMIFS('Bilateral assistance, MAIN DATA'!$N:$N,'Bilateral assistance, MAIN DATA'!$B:$B,M10,'Bilateral assistance, MAIN DATA'!$AO:$AO,"Armoured Personnel Carrier (APC)")+SUMIFS('Bilateral assistance, MAIN DATA'!$N:$N,'Bilateral assistance, MAIN DATA'!$B:$B,M10,'Bilateral assistance, MAIN DATA'!$AO:$AO,"Protected Patrol Vehicle (PPV)")+SUMIFS('Bilateral assistance, MAIN DATA'!$N:$N,'Bilateral assistance, MAIN DATA'!$B:$B,M10,'Bilateral assistance, MAIN DATA'!$AO:$AO,"Armoured Utility Vehicle (AUV)")+SUMIFS('Bilateral assistance, MAIN DATA'!$N:$N,'Bilateral assistance, MAIN DATA'!$B:$B,M10,'Bilateral assistance, MAIN DATA'!$AO:$AO,"Infantry fighting vehicle (IFV)")</f>
        <v>40</v>
      </c>
    </row>
    <row r="11" spans="1:15">
      <c r="A11" s="33" t="s">
        <v>2392</v>
      </c>
      <c r="B11" s="645">
        <f>SUMIFS('Bilateral assistance, MAIN DATA'!$M:$M,'Bilateral assistance, MAIN DATA'!$B:$B,A11,'Bilateral assistance, MAIN DATA'!$AO:$AO,"155mm howitzer")</f>
        <v>28</v>
      </c>
      <c r="C11" s="645">
        <f>SUMIFS('Bilateral assistance, MAIN DATA'!$N:$N,'Bilateral assistance, MAIN DATA'!$B:$B,A11,'Bilateral assistance, MAIN DATA'!$AO:$AO,"155mm howitzer")</f>
        <v>28</v>
      </c>
      <c r="D11" s="645"/>
      <c r="E11" s="33" t="s">
        <v>1957</v>
      </c>
      <c r="F11" s="645">
        <f>SUMIFS('Bilateral assistance, MAIN DATA'!$M:$M,'Bilateral assistance, MAIN DATA'!$B:$B,E11,'Bilateral assistance, MAIN DATA'!$AO:$AO,"122mm MLRS")+SUMIFS('Bilateral assistance, MAIN DATA'!$M:$M,'Bilateral assistance, MAIN DATA'!$B:$B,E11,'Bilateral assistance, MAIN DATA'!$AO:$AO,"127mm MLRS")+SUMIFS('Bilateral assistance, MAIN DATA'!$M:$M,'Bilateral assistance, MAIN DATA'!$B:$B,E11,'Bilateral assistance, MAIN DATA'!$AO:$AO,"227mm MLRS")</f>
        <v>0</v>
      </c>
      <c r="G11" s="645">
        <f>SUMIFS('Bilateral assistance, MAIN DATA'!$N:$N,'Bilateral assistance, MAIN DATA'!$B:$B,E11,'Bilateral assistance, MAIN DATA'!$AO:$AO,"122mm MLRS")+SUMIFS('Bilateral assistance, MAIN DATA'!$N:$N,'Bilateral assistance, MAIN DATA'!$B:$B,E11,'Bilateral assistance, MAIN DATA'!$AO:$AO,"127mm MLRS")+SUMIFS('Bilateral assistance, MAIN DATA'!$N:$N,'Bilateral assistance, MAIN DATA'!$B:$B,E11,'Bilateral assistance, MAIN DATA'!$AO:$AO,"227mm MLRS")</f>
        <v>0</v>
      </c>
      <c r="H11" s="645"/>
      <c r="I11" s="33" t="s">
        <v>227</v>
      </c>
      <c r="J11" s="645">
        <f>SUMIFS('Bilateral assistance, MAIN DATA'!$M:$M,'Bilateral assistance, MAIN DATA'!$B:$B,I11,'Bilateral assistance, MAIN DATA'!$AO:$AO,"Main Battle Tank (MBT)")</f>
        <v>0</v>
      </c>
      <c r="K11" s="645">
        <f>SUMIFS('Bilateral assistance, MAIN DATA'!$N:$N,'Bilateral assistance, MAIN DATA'!$B:$B,I11,'Bilateral assistance, MAIN DATA'!$AO:$AO,"Main Battle Tank (MBT)")</f>
        <v>0</v>
      </c>
      <c r="L11" s="645"/>
      <c r="M11" s="33" t="s">
        <v>2106</v>
      </c>
      <c r="N11" s="645">
        <f>SUMIFS('Bilateral assistance, MAIN DATA'!$M:$M,'Bilateral assistance, MAIN DATA'!$B:$B,M11,'Bilateral assistance, MAIN DATA'!$AO:$AO,"Armoured Personnel Carrier (APC)")+SUMIFS('Bilateral assistance, MAIN DATA'!$M:$M,'Bilateral assistance, MAIN DATA'!$B:$B,M11,'Bilateral assistance, MAIN DATA'!$AO:$AO,"Protected Patrol Vehicle (PPV)")+SUMIFS('Bilateral assistance, MAIN DATA'!$M:$M,'Bilateral assistance, MAIN DATA'!$B:$B,M11,'Bilateral assistance, MAIN DATA'!$AO:$AO,"Armoured Utility Vehicle (AUV)")+SUMIFS('Bilateral assistance, MAIN DATA'!$M:$M,'Bilateral assistance, MAIN DATA'!$B:$B,M11,'Bilateral assistance, MAIN DATA'!$AO:$AO,"Infantry fighting vehicle (IFV)")</f>
        <v>35</v>
      </c>
      <c r="O11" s="645">
        <f>SUMIFS('Bilateral assistance, MAIN DATA'!$N:$N,'Bilateral assistance, MAIN DATA'!$B:$B,M11,'Bilateral assistance, MAIN DATA'!$AO:$AO,"Armoured Personnel Carrier (APC)")+SUMIFS('Bilateral assistance, MAIN DATA'!$N:$N,'Bilateral assistance, MAIN DATA'!$B:$B,M11,'Bilateral assistance, MAIN DATA'!$AO:$AO,"Protected Patrol Vehicle (PPV)")+SUMIFS('Bilateral assistance, MAIN DATA'!$N:$N,'Bilateral assistance, MAIN DATA'!$B:$B,M11,'Bilateral assistance, MAIN DATA'!$AO:$AO,"Armoured Utility Vehicle (AUV)")+SUMIFS('Bilateral assistance, MAIN DATA'!$N:$N,'Bilateral assistance, MAIN DATA'!$B:$B,M11,'Bilateral assistance, MAIN DATA'!$AO:$AO,"Infantry fighting vehicle (IFV)")</f>
        <v>35</v>
      </c>
    </row>
    <row r="12" spans="1:15">
      <c r="A12" s="33" t="s">
        <v>1957</v>
      </c>
      <c r="B12" s="645">
        <f>SUMIFS('Bilateral assistance, MAIN DATA'!$M:$M,'Bilateral assistance, MAIN DATA'!$B:$B,A12,'Bilateral assistance, MAIN DATA'!$AO:$AO,"155mm howitzer")</f>
        <v>5</v>
      </c>
      <c r="C12" s="645">
        <f>SUMIFS('Bilateral assistance, MAIN DATA'!$N:$N,'Bilateral assistance, MAIN DATA'!$B:$B,A12,'Bilateral assistance, MAIN DATA'!$AO:$AO,"155mm howitzer")</f>
        <v>0</v>
      </c>
      <c r="D12" s="645"/>
      <c r="E12" s="33" t="s">
        <v>452</v>
      </c>
      <c r="F12" s="645">
        <f>SUMIFS('Bilateral assistance, MAIN DATA'!$M:$M,'Bilateral assistance, MAIN DATA'!$B:$B,E12,'Bilateral assistance, MAIN DATA'!$AO:$AO,"122mm MLRS")+SUMIFS('Bilateral assistance, MAIN DATA'!$M:$M,'Bilateral assistance, MAIN DATA'!$B:$B,E12,'Bilateral assistance, MAIN DATA'!$AO:$AO,"127mm MLRS")+SUMIFS('Bilateral assistance, MAIN DATA'!$M:$M,'Bilateral assistance, MAIN DATA'!$B:$B,E12,'Bilateral assistance, MAIN DATA'!$AO:$AO,"227mm MLRS")</f>
        <v>0</v>
      </c>
      <c r="G12" s="645">
        <f>SUMIFS('Bilateral assistance, MAIN DATA'!$N:$N,'Bilateral assistance, MAIN DATA'!$B:$B,E12,'Bilateral assistance, MAIN DATA'!$AO:$AO,"122mm MLRS")+SUMIFS('Bilateral assistance, MAIN DATA'!$N:$N,'Bilateral assistance, MAIN DATA'!$B:$B,E12,'Bilateral assistance, MAIN DATA'!$AO:$AO,"127mm MLRS")+SUMIFS('Bilateral assistance, MAIN DATA'!$N:$N,'Bilateral assistance, MAIN DATA'!$B:$B,E12,'Bilateral assistance, MAIN DATA'!$AO:$AO,"227mm MLRS")</f>
        <v>0</v>
      </c>
      <c r="H12" s="645"/>
      <c r="I12" s="33" t="s">
        <v>1957</v>
      </c>
      <c r="J12" s="645">
        <f>SUMIFS('Bilateral assistance, MAIN DATA'!$M:$M,'Bilateral assistance, MAIN DATA'!$B:$B,I12,'Bilateral assistance, MAIN DATA'!$AO:$AO,"Main Battle Tank (MBT)")</f>
        <v>0</v>
      </c>
      <c r="K12" s="645">
        <f>SUMIFS('Bilateral assistance, MAIN DATA'!$N:$N,'Bilateral assistance, MAIN DATA'!$B:$B,I12,'Bilateral assistance, MAIN DATA'!$AO:$AO,"Main Battle Tank (MBT)")</f>
        <v>0</v>
      </c>
      <c r="L12" s="645"/>
      <c r="M12" s="33" t="s">
        <v>2162</v>
      </c>
      <c r="N12" s="645">
        <f>SUMIFS('Bilateral assistance, MAIN DATA'!$M:$M,'Bilateral assistance, MAIN DATA'!$B:$B,M12,'Bilateral assistance, MAIN DATA'!$AO:$AO,"Armoured Personnel Carrier (APC)")+SUMIFS('Bilateral assistance, MAIN DATA'!$M:$M,'Bilateral assistance, MAIN DATA'!$B:$B,M12,'Bilateral assistance, MAIN DATA'!$AO:$AO,"Protected Patrol Vehicle (PPV)")+SUMIFS('Bilateral assistance, MAIN DATA'!$M:$M,'Bilateral assistance, MAIN DATA'!$B:$B,M12,'Bilateral assistance, MAIN DATA'!$AO:$AO,"Armoured Utility Vehicle (AUV)")+SUMIFS('Bilateral assistance, MAIN DATA'!$M:$M,'Bilateral assistance, MAIN DATA'!$B:$B,M12,'Bilateral assistance, MAIN DATA'!$AO:$AO,"Infantry fighting vehicle (IFV)")</f>
        <v>29</v>
      </c>
      <c r="O12" s="645">
        <f>SUMIFS('Bilateral assistance, MAIN DATA'!$N:$N,'Bilateral assistance, MAIN DATA'!$B:$B,M12,'Bilateral assistance, MAIN DATA'!$AO:$AO,"Armoured Personnel Carrier (APC)")+SUMIFS('Bilateral assistance, MAIN DATA'!$N:$N,'Bilateral assistance, MAIN DATA'!$B:$B,M12,'Bilateral assistance, MAIN DATA'!$AO:$AO,"Protected Patrol Vehicle (PPV)")+SUMIFS('Bilateral assistance, MAIN DATA'!$N:$N,'Bilateral assistance, MAIN DATA'!$B:$B,M12,'Bilateral assistance, MAIN DATA'!$AO:$AO,"Armoured Utility Vehicle (AUV)")+SUMIFS('Bilateral assistance, MAIN DATA'!$N:$N,'Bilateral assistance, MAIN DATA'!$B:$B,M12,'Bilateral assistance, MAIN DATA'!$AO:$AO,"Infantry fighting vehicle (IFV)")</f>
        <v>29</v>
      </c>
    </row>
    <row r="13" spans="1:15">
      <c r="A13" s="33" t="s">
        <v>312</v>
      </c>
      <c r="B13" s="645">
        <f>SUMIFS('Bilateral assistance, MAIN DATA'!$M:$M,'Bilateral assistance, MAIN DATA'!$B:$B,A13,'Bilateral assistance, MAIN DATA'!$AO:$AO,"155mm howitzer")</f>
        <v>0</v>
      </c>
      <c r="C13" s="645">
        <f>SUMIFS('Bilateral assistance, MAIN DATA'!$N:$N,'Bilateral assistance, MAIN DATA'!$B:$B,A13,'Bilateral assistance, MAIN DATA'!$AO:$AO,"155mm howitzer")</f>
        <v>0</v>
      </c>
      <c r="D13" s="645"/>
      <c r="E13" s="33" t="s">
        <v>312</v>
      </c>
      <c r="F13" s="645">
        <f>SUMIFS('Bilateral assistance, MAIN DATA'!$M:$M,'Bilateral assistance, MAIN DATA'!$B:$B,E13,'Bilateral assistance, MAIN DATA'!$AO:$AO,"122mm MLRS")+SUMIFS('Bilateral assistance, MAIN DATA'!$M:$M,'Bilateral assistance, MAIN DATA'!$B:$B,E13,'Bilateral assistance, MAIN DATA'!$AO:$AO,"127mm MLRS")+SUMIFS('Bilateral assistance, MAIN DATA'!$M:$M,'Bilateral assistance, MAIN DATA'!$B:$B,E13,'Bilateral assistance, MAIN DATA'!$AO:$AO,"227mm MLRS")</f>
        <v>0</v>
      </c>
      <c r="G13" s="645">
        <f>SUMIFS('Bilateral assistance, MAIN DATA'!$N:$N,'Bilateral assistance, MAIN DATA'!$B:$B,E13,'Bilateral assistance, MAIN DATA'!$AO:$AO,"122mm MLRS")+SUMIFS('Bilateral assistance, MAIN DATA'!$N:$N,'Bilateral assistance, MAIN DATA'!$B:$B,E13,'Bilateral assistance, MAIN DATA'!$AO:$AO,"127mm MLRS")+SUMIFS('Bilateral assistance, MAIN DATA'!$N:$N,'Bilateral assistance, MAIN DATA'!$B:$B,E13,'Bilateral assistance, MAIN DATA'!$AO:$AO,"227mm MLRS")</f>
        <v>0</v>
      </c>
      <c r="H13" s="645"/>
      <c r="I13" s="33" t="s">
        <v>452</v>
      </c>
      <c r="J13" s="645">
        <f>SUMIFS('Bilateral assistance, MAIN DATA'!$M:$M,'Bilateral assistance, MAIN DATA'!$B:$B,I13,'Bilateral assistance, MAIN DATA'!$AO:$AO,"Main Battle Tank (MBT)")</f>
        <v>0</v>
      </c>
      <c r="K13" s="645">
        <f>SUMIFS('Bilateral assistance, MAIN DATA'!$N:$N,'Bilateral assistance, MAIN DATA'!$B:$B,I13,'Bilateral assistance, MAIN DATA'!$AO:$AO,"Main Battle Tank (MBT)")</f>
        <v>0</v>
      </c>
      <c r="L13" s="645"/>
      <c r="M13" s="33" t="s">
        <v>1957</v>
      </c>
      <c r="N13" s="645">
        <f>SUMIFS('Bilateral assistance, MAIN DATA'!$M:$M,'Bilateral assistance, MAIN DATA'!$B:$B,M13,'Bilateral assistance, MAIN DATA'!$AO:$AO,"Armoured Personnel Carrier (APC)")+SUMIFS('Bilateral assistance, MAIN DATA'!$M:$M,'Bilateral assistance, MAIN DATA'!$B:$B,M13,'Bilateral assistance, MAIN DATA'!$AO:$AO,"Protected Patrol Vehicle (PPV)")+SUMIFS('Bilateral assistance, MAIN DATA'!$M:$M,'Bilateral assistance, MAIN DATA'!$B:$B,M13,'Bilateral assistance, MAIN DATA'!$AO:$AO,"Armoured Utility Vehicle (AUV)")+SUMIFS('Bilateral assistance, MAIN DATA'!$M:$M,'Bilateral assistance, MAIN DATA'!$B:$B,M13,'Bilateral assistance, MAIN DATA'!$AO:$AO,"Infantry fighting vehicle (IFV)")</f>
        <v>19</v>
      </c>
      <c r="O13" s="645">
        <f>SUMIFS('Bilateral assistance, MAIN DATA'!$N:$N,'Bilateral assistance, MAIN DATA'!$B:$B,M13,'Bilateral assistance, MAIN DATA'!$AO:$AO,"Armoured Personnel Carrier (APC)")+SUMIFS('Bilateral assistance, MAIN DATA'!$N:$N,'Bilateral assistance, MAIN DATA'!$B:$B,M13,'Bilateral assistance, MAIN DATA'!$AO:$AO,"Protected Patrol Vehicle (PPV)")+SUMIFS('Bilateral assistance, MAIN DATA'!$N:$N,'Bilateral assistance, MAIN DATA'!$B:$B,M13,'Bilateral assistance, MAIN DATA'!$AO:$AO,"Armoured Utility Vehicle (AUV)")+SUMIFS('Bilateral assistance, MAIN DATA'!$N:$N,'Bilateral assistance, MAIN DATA'!$B:$B,M13,'Bilateral assistance, MAIN DATA'!$AO:$AO,"Infantry fighting vehicle (IFV)")</f>
        <v>14</v>
      </c>
    </row>
    <row r="14" spans="1:15">
      <c r="A14" s="33" t="s">
        <v>370</v>
      </c>
      <c r="B14" s="645">
        <f>SUMIFS('Bilateral assistance, MAIN DATA'!$M:$M,'Bilateral assistance, MAIN DATA'!$B:$B,A14,'Bilateral assistance, MAIN DATA'!$AO:$AO,"155mm howitzer")</f>
        <v>0</v>
      </c>
      <c r="C14" s="645">
        <f>SUMIFS('Bilateral assistance, MAIN DATA'!$N:$N,'Bilateral assistance, MAIN DATA'!$B:$B,A14,'Bilateral assistance, MAIN DATA'!$AO:$AO,"155mm howitzer")</f>
        <v>0</v>
      </c>
      <c r="D14" s="645"/>
      <c r="E14" s="33" t="s">
        <v>370</v>
      </c>
      <c r="F14" s="645">
        <f>SUMIFS('Bilateral assistance, MAIN DATA'!$M:$M,'Bilateral assistance, MAIN DATA'!$B:$B,E14,'Bilateral assistance, MAIN DATA'!$AO:$AO,"122mm MLRS")+SUMIFS('Bilateral assistance, MAIN DATA'!$M:$M,'Bilateral assistance, MAIN DATA'!$B:$B,E14,'Bilateral assistance, MAIN DATA'!$AO:$AO,"127mm MLRS")+SUMIFS('Bilateral assistance, MAIN DATA'!$M:$M,'Bilateral assistance, MAIN DATA'!$B:$B,E14,'Bilateral assistance, MAIN DATA'!$AO:$AO,"227mm MLRS")</f>
        <v>0</v>
      </c>
      <c r="G14" s="645">
        <f>SUMIFS('Bilateral assistance, MAIN DATA'!$N:$N,'Bilateral assistance, MAIN DATA'!$B:$B,E14,'Bilateral assistance, MAIN DATA'!$AO:$AO,"122mm MLRS")+SUMIFS('Bilateral assistance, MAIN DATA'!$N:$N,'Bilateral assistance, MAIN DATA'!$B:$B,E14,'Bilateral assistance, MAIN DATA'!$AO:$AO,"127mm MLRS")+SUMIFS('Bilateral assistance, MAIN DATA'!$N:$N,'Bilateral assistance, MAIN DATA'!$B:$B,E14,'Bilateral assistance, MAIN DATA'!$AO:$AO,"227mm MLRS")</f>
        <v>0</v>
      </c>
      <c r="H14" s="645"/>
      <c r="I14" s="33" t="s">
        <v>312</v>
      </c>
      <c r="J14" s="645">
        <f>SUMIFS('Bilateral assistance, MAIN DATA'!$M:$M,'Bilateral assistance, MAIN DATA'!$B:$B,I14,'Bilateral assistance, MAIN DATA'!$AO:$AO,"Main Battle Tank (MBT)")</f>
        <v>0</v>
      </c>
      <c r="K14" s="645">
        <f>SUMIFS('Bilateral assistance, MAIN DATA'!$N:$N,'Bilateral assistance, MAIN DATA'!$B:$B,I14,'Bilateral assistance, MAIN DATA'!$AO:$AO,"Main Battle Tank (MBT)")</f>
        <v>0</v>
      </c>
      <c r="L14" s="645"/>
      <c r="M14" s="33" t="s">
        <v>1804</v>
      </c>
      <c r="N14" s="645">
        <f>SUMIFS('Bilateral assistance, MAIN DATA'!$M:$M,'Bilateral assistance, MAIN DATA'!$B:$B,M14,'Bilateral assistance, MAIN DATA'!$AO:$AO,"Armoured Personnel Carrier (APC)")+SUMIFS('Bilateral assistance, MAIN DATA'!$M:$M,'Bilateral assistance, MAIN DATA'!$B:$B,M14,'Bilateral assistance, MAIN DATA'!$AO:$AO,"Protected Patrol Vehicle (PPV)")+SUMIFS('Bilateral assistance, MAIN DATA'!$M:$M,'Bilateral assistance, MAIN DATA'!$B:$B,M14,'Bilateral assistance, MAIN DATA'!$AO:$AO,"Armoured Utility Vehicle (AUV)")+SUMIFS('Bilateral assistance, MAIN DATA'!$M:$M,'Bilateral assistance, MAIN DATA'!$B:$B,M14,'Bilateral assistance, MAIN DATA'!$AO:$AO,"Infantry fighting vehicle (IFV)")</f>
        <v>14</v>
      </c>
      <c r="O14" s="645">
        <f>SUMIFS('Bilateral assistance, MAIN DATA'!$N:$N,'Bilateral assistance, MAIN DATA'!$B:$B,M14,'Bilateral assistance, MAIN DATA'!$AO:$AO,"Armoured Personnel Carrier (APC)")+SUMIFS('Bilateral assistance, MAIN DATA'!$N:$N,'Bilateral assistance, MAIN DATA'!$B:$B,M14,'Bilateral assistance, MAIN DATA'!$AO:$AO,"Protected Patrol Vehicle (PPV)")+SUMIFS('Bilateral assistance, MAIN DATA'!$N:$N,'Bilateral assistance, MAIN DATA'!$B:$B,M14,'Bilateral assistance, MAIN DATA'!$AO:$AO,"Armoured Utility Vehicle (AUV)")+SUMIFS('Bilateral assistance, MAIN DATA'!$N:$N,'Bilateral assistance, MAIN DATA'!$B:$B,M14,'Bilateral assistance, MAIN DATA'!$AO:$AO,"Infantry fighting vehicle (IFV)")</f>
        <v>14</v>
      </c>
    </row>
    <row r="15" spans="1:15">
      <c r="A15" s="33" t="s">
        <v>428</v>
      </c>
      <c r="B15" s="645">
        <f>SUMIFS('Bilateral assistance, MAIN DATA'!$M:$M,'Bilateral assistance, MAIN DATA'!$B:$B,A15,'Bilateral assistance, MAIN DATA'!$AO:$AO,"155mm howitzer")</f>
        <v>0</v>
      </c>
      <c r="C15" s="645">
        <f>SUMIFS('Bilateral assistance, MAIN DATA'!$N:$N,'Bilateral assistance, MAIN DATA'!$B:$B,A15,'Bilateral assistance, MAIN DATA'!$AO:$AO,"155mm howitzer")</f>
        <v>0</v>
      </c>
      <c r="D15" s="645"/>
      <c r="E15" s="33" t="s">
        <v>428</v>
      </c>
      <c r="F15" s="645">
        <f>SUMIFS('Bilateral assistance, MAIN DATA'!$M:$M,'Bilateral assistance, MAIN DATA'!$B:$B,E15,'Bilateral assistance, MAIN DATA'!$AO:$AO,"122mm MLRS")+SUMIFS('Bilateral assistance, MAIN DATA'!$M:$M,'Bilateral assistance, MAIN DATA'!$B:$B,E15,'Bilateral assistance, MAIN DATA'!$AO:$AO,"127mm MLRS")+SUMIFS('Bilateral assistance, MAIN DATA'!$M:$M,'Bilateral assistance, MAIN DATA'!$B:$B,E15,'Bilateral assistance, MAIN DATA'!$AO:$AO,"227mm MLRS")</f>
        <v>0</v>
      </c>
      <c r="G15" s="645">
        <f>SUMIFS('Bilateral assistance, MAIN DATA'!$N:$N,'Bilateral assistance, MAIN DATA'!$B:$B,E15,'Bilateral assistance, MAIN DATA'!$AO:$AO,"122mm MLRS")+SUMIFS('Bilateral assistance, MAIN DATA'!$N:$N,'Bilateral assistance, MAIN DATA'!$B:$B,E15,'Bilateral assistance, MAIN DATA'!$AO:$AO,"127mm MLRS")+SUMIFS('Bilateral assistance, MAIN DATA'!$N:$N,'Bilateral assistance, MAIN DATA'!$B:$B,E15,'Bilateral assistance, MAIN DATA'!$AO:$AO,"227mm MLRS")</f>
        <v>0</v>
      </c>
      <c r="H15" s="645"/>
      <c r="I15" s="33" t="s">
        <v>370</v>
      </c>
      <c r="J15" s="645">
        <f>SUMIFS('Bilateral assistance, MAIN DATA'!$M:$M,'Bilateral assistance, MAIN DATA'!$B:$B,I15,'Bilateral assistance, MAIN DATA'!$AO:$AO,"Main Battle Tank (MBT)")</f>
        <v>0</v>
      </c>
      <c r="K15" s="645">
        <f>SUMIFS('Bilateral assistance, MAIN DATA'!$N:$N,'Bilateral assistance, MAIN DATA'!$B:$B,I15,'Bilateral assistance, MAIN DATA'!$AO:$AO,"Main Battle Tank (MBT)")</f>
        <v>0</v>
      </c>
      <c r="L15" s="645"/>
      <c r="M15" s="33" t="s">
        <v>452</v>
      </c>
      <c r="N15" s="645">
        <f>SUMIFS('Bilateral assistance, MAIN DATA'!$M:$M,'Bilateral assistance, MAIN DATA'!$B:$B,M15,'Bilateral assistance, MAIN DATA'!$AO:$AO,"Armoured Personnel Carrier (APC)")+SUMIFS('Bilateral assistance, MAIN DATA'!$M:$M,'Bilateral assistance, MAIN DATA'!$B:$B,M15,'Bilateral assistance, MAIN DATA'!$AO:$AO,"Protected Patrol Vehicle (PPV)")+SUMIFS('Bilateral assistance, MAIN DATA'!$M:$M,'Bilateral assistance, MAIN DATA'!$B:$B,M15,'Bilateral assistance, MAIN DATA'!$AO:$AO,"Armoured Utility Vehicle (AUV)")+SUMIFS('Bilateral assistance, MAIN DATA'!$M:$M,'Bilateral assistance, MAIN DATA'!$B:$B,M15,'Bilateral assistance, MAIN DATA'!$AO:$AO,"Infantry fighting vehicle (IFV)")</f>
        <v>47</v>
      </c>
      <c r="O15" s="645">
        <f>SUMIFS('Bilateral assistance, MAIN DATA'!$N:$N,'Bilateral assistance, MAIN DATA'!$B:$B,M15,'Bilateral assistance, MAIN DATA'!$AO:$AO,"Armoured Personnel Carrier (APC)")+SUMIFS('Bilateral assistance, MAIN DATA'!$N:$N,'Bilateral assistance, MAIN DATA'!$B:$B,M15,'Bilateral assistance, MAIN DATA'!$AO:$AO,"Protected Patrol Vehicle (PPV)")+SUMIFS('Bilateral assistance, MAIN DATA'!$N:$N,'Bilateral assistance, MAIN DATA'!$B:$B,M15,'Bilateral assistance, MAIN DATA'!$AO:$AO,"Armoured Utility Vehicle (AUV)")+SUMIFS('Bilateral assistance, MAIN DATA'!$N:$N,'Bilateral assistance, MAIN DATA'!$B:$B,M15,'Bilateral assistance, MAIN DATA'!$AO:$AO,"Infantry fighting vehicle (IFV)")</f>
        <v>8</v>
      </c>
    </row>
    <row r="16" spans="1:15">
      <c r="A16" s="33" t="s">
        <v>591</v>
      </c>
      <c r="B16" s="645">
        <f>SUMIFS('Bilateral assistance, MAIN DATA'!$M:$M,'Bilateral assistance, MAIN DATA'!$B:$B,A16,'Bilateral assistance, MAIN DATA'!$AO:$AO,"155mm howitzer")</f>
        <v>0</v>
      </c>
      <c r="C16" s="645">
        <f>SUMIFS('Bilateral assistance, MAIN DATA'!$N:$N,'Bilateral assistance, MAIN DATA'!$B:$B,A16,'Bilateral assistance, MAIN DATA'!$AO:$AO,"155mm howitzer")</f>
        <v>0</v>
      </c>
      <c r="D16" s="645"/>
      <c r="E16" s="33" t="s">
        <v>591</v>
      </c>
      <c r="F16" s="645">
        <f>SUMIFS('Bilateral assistance, MAIN DATA'!$M:$M,'Bilateral assistance, MAIN DATA'!$B:$B,E16,'Bilateral assistance, MAIN DATA'!$AO:$AO,"122mm MLRS")+SUMIFS('Bilateral assistance, MAIN DATA'!$M:$M,'Bilateral assistance, MAIN DATA'!$B:$B,E16,'Bilateral assistance, MAIN DATA'!$AO:$AO,"127mm MLRS")+SUMIFS('Bilateral assistance, MAIN DATA'!$M:$M,'Bilateral assistance, MAIN DATA'!$B:$B,E16,'Bilateral assistance, MAIN DATA'!$AO:$AO,"227mm MLRS")</f>
        <v>0</v>
      </c>
      <c r="G16" s="645">
        <f>SUMIFS('Bilateral assistance, MAIN DATA'!$N:$N,'Bilateral assistance, MAIN DATA'!$B:$B,E16,'Bilateral assistance, MAIN DATA'!$AO:$AO,"122mm MLRS")+SUMIFS('Bilateral assistance, MAIN DATA'!$N:$N,'Bilateral assistance, MAIN DATA'!$B:$B,E16,'Bilateral assistance, MAIN DATA'!$AO:$AO,"127mm MLRS")+SUMIFS('Bilateral assistance, MAIN DATA'!$N:$N,'Bilateral assistance, MAIN DATA'!$B:$B,E16,'Bilateral assistance, MAIN DATA'!$AO:$AO,"227mm MLRS")</f>
        <v>0</v>
      </c>
      <c r="H16" s="645"/>
      <c r="I16" s="33" t="s">
        <v>428</v>
      </c>
      <c r="J16" s="645">
        <f>SUMIFS('Bilateral assistance, MAIN DATA'!$M:$M,'Bilateral assistance, MAIN DATA'!$B:$B,I16,'Bilateral assistance, MAIN DATA'!$AO:$AO,"Main Battle Tank (MBT)")</f>
        <v>0</v>
      </c>
      <c r="K16" s="645">
        <f>SUMIFS('Bilateral assistance, MAIN DATA'!$N:$N,'Bilateral assistance, MAIN DATA'!$B:$B,I16,'Bilateral assistance, MAIN DATA'!$AO:$AO,"Main Battle Tank (MBT)")</f>
        <v>0</v>
      </c>
      <c r="L16" s="645"/>
      <c r="M16" s="33" t="s">
        <v>840</v>
      </c>
      <c r="N16" s="645">
        <f>SUMIFS('Bilateral assistance, MAIN DATA'!$M:$M,'Bilateral assistance, MAIN DATA'!$B:$B,M16,'Bilateral assistance, MAIN DATA'!$AO:$AO,"Armoured Personnel Carrier (APC)")+SUMIFS('Bilateral assistance, MAIN DATA'!$M:$M,'Bilateral assistance, MAIN DATA'!$B:$B,M16,'Bilateral assistance, MAIN DATA'!$AO:$AO,"Protected Patrol Vehicle (PPV)")+SUMIFS('Bilateral assistance, MAIN DATA'!$M:$M,'Bilateral assistance, MAIN DATA'!$B:$B,M16,'Bilateral assistance, MAIN DATA'!$AO:$AO,"Armoured Utility Vehicle (AUV)")+SUMIFS('Bilateral assistance, MAIN DATA'!$M:$M,'Bilateral assistance, MAIN DATA'!$B:$B,M16,'Bilateral assistance, MAIN DATA'!$AO:$AO,"Infantry fighting vehicle (IFV)")</f>
        <v>7</v>
      </c>
      <c r="O16" s="645">
        <f>SUMIFS('Bilateral assistance, MAIN DATA'!$N:$N,'Bilateral assistance, MAIN DATA'!$B:$B,M16,'Bilateral assistance, MAIN DATA'!$AO:$AO,"Armoured Personnel Carrier (APC)")+SUMIFS('Bilateral assistance, MAIN DATA'!$N:$N,'Bilateral assistance, MAIN DATA'!$B:$B,M16,'Bilateral assistance, MAIN DATA'!$AO:$AO,"Protected Patrol Vehicle (PPV)")+SUMIFS('Bilateral assistance, MAIN DATA'!$N:$N,'Bilateral assistance, MAIN DATA'!$B:$B,M16,'Bilateral assistance, MAIN DATA'!$AO:$AO,"Armoured Utility Vehicle (AUV)")+SUMIFS('Bilateral assistance, MAIN DATA'!$N:$N,'Bilateral assistance, MAIN DATA'!$B:$B,M16,'Bilateral assistance, MAIN DATA'!$AO:$AO,"Infantry fighting vehicle (IFV)")</f>
        <v>7</v>
      </c>
    </row>
    <row r="17" spans="1:15">
      <c r="A17" s="33" t="s">
        <v>618</v>
      </c>
      <c r="B17" s="645">
        <f>SUMIFS('Bilateral assistance, MAIN DATA'!$M:$M,'Bilateral assistance, MAIN DATA'!$B:$B,A17,'Bilateral assistance, MAIN DATA'!$AO:$AO,"155mm howitzer")</f>
        <v>0</v>
      </c>
      <c r="C17" s="645">
        <f>SUMIFS('Bilateral assistance, MAIN DATA'!$N:$N,'Bilateral assistance, MAIN DATA'!$B:$B,A17,'Bilateral assistance, MAIN DATA'!$AO:$AO,"155mm howitzer")</f>
        <v>0</v>
      </c>
      <c r="D17" s="645"/>
      <c r="E17" s="33" t="s">
        <v>618</v>
      </c>
      <c r="F17" s="645">
        <f>SUMIFS('Bilateral assistance, MAIN DATA'!$M:$M,'Bilateral assistance, MAIN DATA'!$B:$B,E17,'Bilateral assistance, MAIN DATA'!$AO:$AO,"122mm MLRS")+SUMIFS('Bilateral assistance, MAIN DATA'!$M:$M,'Bilateral assistance, MAIN DATA'!$B:$B,E17,'Bilateral assistance, MAIN DATA'!$AO:$AO,"127mm MLRS")+SUMIFS('Bilateral assistance, MAIN DATA'!$M:$M,'Bilateral assistance, MAIN DATA'!$B:$B,E17,'Bilateral assistance, MAIN DATA'!$AO:$AO,"227mm MLRS")</f>
        <v>0</v>
      </c>
      <c r="G17" s="645">
        <f>SUMIFS('Bilateral assistance, MAIN DATA'!$N:$N,'Bilateral assistance, MAIN DATA'!$B:$B,E17,'Bilateral assistance, MAIN DATA'!$AO:$AO,"122mm MLRS")+SUMIFS('Bilateral assistance, MAIN DATA'!$N:$N,'Bilateral assistance, MAIN DATA'!$B:$B,E17,'Bilateral assistance, MAIN DATA'!$AO:$AO,"127mm MLRS")+SUMIFS('Bilateral assistance, MAIN DATA'!$N:$N,'Bilateral assistance, MAIN DATA'!$B:$B,E17,'Bilateral assistance, MAIN DATA'!$AO:$AO,"227mm MLRS")</f>
        <v>0</v>
      </c>
      <c r="H17" s="645"/>
      <c r="I17" s="33" t="s">
        <v>591</v>
      </c>
      <c r="J17" s="645">
        <f>SUMIFS('Bilateral assistance, MAIN DATA'!$M:$M,'Bilateral assistance, MAIN DATA'!$B:$B,I17,'Bilateral assistance, MAIN DATA'!$AO:$AO,"Main Battle Tank (MBT)")</f>
        <v>0</v>
      </c>
      <c r="K17" s="645">
        <f>SUMIFS('Bilateral assistance, MAIN DATA'!$N:$N,'Bilateral assistance, MAIN DATA'!$B:$B,I17,'Bilateral assistance, MAIN DATA'!$AO:$AO,"Main Battle Tank (MBT)")</f>
        <v>0</v>
      </c>
      <c r="L17" s="645"/>
      <c r="M17" s="33" t="s">
        <v>632</v>
      </c>
      <c r="N17" s="645">
        <f>SUMIFS('Bilateral assistance, MAIN DATA'!$M:$M,'Bilateral assistance, MAIN DATA'!$B:$B,M17,'Bilateral assistance, MAIN DATA'!$AO:$AO,"Armoured Personnel Carrier (APC)")+SUMIFS('Bilateral assistance, MAIN DATA'!$M:$M,'Bilateral assistance, MAIN DATA'!$B:$B,M17,'Bilateral assistance, MAIN DATA'!$AO:$AO,"Protected Patrol Vehicle (PPV)")+SUMIFS('Bilateral assistance, MAIN DATA'!$M:$M,'Bilateral assistance, MAIN DATA'!$B:$B,M17,'Bilateral assistance, MAIN DATA'!$AO:$AO,"Armoured Utility Vehicle (AUV)")+SUMIFS('Bilateral assistance, MAIN DATA'!$M:$M,'Bilateral assistance, MAIN DATA'!$B:$B,M17,'Bilateral assistance, MAIN DATA'!$AO:$AO,"Infantry fighting vehicle (IFV)")</f>
        <v>5</v>
      </c>
      <c r="O17" s="645">
        <f>SUMIFS('Bilateral assistance, MAIN DATA'!$N:$N,'Bilateral assistance, MAIN DATA'!$B:$B,M17,'Bilateral assistance, MAIN DATA'!$AO:$AO,"Armoured Personnel Carrier (APC)")+SUMIFS('Bilateral assistance, MAIN DATA'!$N:$N,'Bilateral assistance, MAIN DATA'!$B:$B,M17,'Bilateral assistance, MAIN DATA'!$AO:$AO,"Protected Patrol Vehicle (PPV)")+SUMIFS('Bilateral assistance, MAIN DATA'!$N:$N,'Bilateral assistance, MAIN DATA'!$B:$B,M17,'Bilateral assistance, MAIN DATA'!$AO:$AO,"Armoured Utility Vehicle (AUV)")+SUMIFS('Bilateral assistance, MAIN DATA'!$N:$N,'Bilateral assistance, MAIN DATA'!$B:$B,M17,'Bilateral assistance, MAIN DATA'!$AO:$AO,"Infantry fighting vehicle (IFV)")</f>
        <v>5</v>
      </c>
    </row>
    <row r="18" spans="1:15">
      <c r="A18" s="33" t="s">
        <v>632</v>
      </c>
      <c r="B18" s="645">
        <f>SUMIFS('Bilateral assistance, MAIN DATA'!$M:$M,'Bilateral assistance, MAIN DATA'!$B:$B,A18,'Bilateral assistance, MAIN DATA'!$AO:$AO,"155mm howitzer")</f>
        <v>0</v>
      </c>
      <c r="C18" s="645">
        <f>SUMIFS('Bilateral assistance, MAIN DATA'!$N:$N,'Bilateral assistance, MAIN DATA'!$B:$B,A18,'Bilateral assistance, MAIN DATA'!$AO:$AO,"155mm howitzer")</f>
        <v>0</v>
      </c>
      <c r="D18" s="645"/>
      <c r="E18" s="33" t="s">
        <v>767</v>
      </c>
      <c r="F18" s="645">
        <f>SUMIFS('Bilateral assistance, MAIN DATA'!$M:$M,'Bilateral assistance, MAIN DATA'!$B:$B,E18,'Bilateral assistance, MAIN DATA'!$AO:$AO,"122mm MLRS")+SUMIFS('Bilateral assistance, MAIN DATA'!$M:$M,'Bilateral assistance, MAIN DATA'!$B:$B,E18,'Bilateral assistance, MAIN DATA'!$AO:$AO,"127mm MLRS")+SUMIFS('Bilateral assistance, MAIN DATA'!$M:$M,'Bilateral assistance, MAIN DATA'!$B:$B,E18,'Bilateral assistance, MAIN DATA'!$AO:$AO,"227mm MLRS")</f>
        <v>0</v>
      </c>
      <c r="G18" s="645">
        <f>SUMIFS('Bilateral assistance, MAIN DATA'!$N:$N,'Bilateral assistance, MAIN DATA'!$B:$B,E18,'Bilateral assistance, MAIN DATA'!$AO:$AO,"122mm MLRS")+SUMIFS('Bilateral assistance, MAIN DATA'!$N:$N,'Bilateral assistance, MAIN DATA'!$B:$B,E18,'Bilateral assistance, MAIN DATA'!$AO:$AO,"127mm MLRS")+SUMIFS('Bilateral assistance, MAIN DATA'!$N:$N,'Bilateral assistance, MAIN DATA'!$B:$B,E18,'Bilateral assistance, MAIN DATA'!$AO:$AO,"227mm MLRS")</f>
        <v>0</v>
      </c>
      <c r="H18" s="645"/>
      <c r="I18" s="33" t="s">
        <v>618</v>
      </c>
      <c r="J18" s="645">
        <f>SUMIFS('Bilateral assistance, MAIN DATA'!$M:$M,'Bilateral assistance, MAIN DATA'!$B:$B,I18,'Bilateral assistance, MAIN DATA'!$AO:$AO,"Main Battle Tank (MBT)")</f>
        <v>0</v>
      </c>
      <c r="K18" s="645">
        <f>SUMIFS('Bilateral assistance, MAIN DATA'!$N:$N,'Bilateral assistance, MAIN DATA'!$B:$B,I18,'Bilateral assistance, MAIN DATA'!$AO:$AO,"Main Battle Tank (MBT)")</f>
        <v>0</v>
      </c>
      <c r="L18" s="645"/>
      <c r="M18" s="33" t="s">
        <v>767</v>
      </c>
      <c r="N18" s="645">
        <f>SUMIFS('Bilateral assistance, MAIN DATA'!$M:$M,'Bilateral assistance, MAIN DATA'!$B:$B,M18,'Bilateral assistance, MAIN DATA'!$AO:$AO,"Armoured Personnel Carrier (APC)")+SUMIFS('Bilateral assistance, MAIN DATA'!$M:$M,'Bilateral assistance, MAIN DATA'!$B:$B,M18,'Bilateral assistance, MAIN DATA'!$AO:$AO,"Protected Patrol Vehicle (PPV)")+SUMIFS('Bilateral assistance, MAIN DATA'!$M:$M,'Bilateral assistance, MAIN DATA'!$B:$B,M18,'Bilateral assistance, MAIN DATA'!$AO:$AO,"Armoured Utility Vehicle (AUV)")+SUMIFS('Bilateral assistance, MAIN DATA'!$M:$M,'Bilateral assistance, MAIN DATA'!$B:$B,M18,'Bilateral assistance, MAIN DATA'!$AO:$AO,"Infantry fighting vehicle (IFV)")</f>
        <v>50</v>
      </c>
      <c r="O18" s="645">
        <f>SUMIFS('Bilateral assistance, MAIN DATA'!$N:$N,'Bilateral assistance, MAIN DATA'!$B:$B,M18,'Bilateral assistance, MAIN DATA'!$AO:$AO,"Armoured Personnel Carrier (APC)")+SUMIFS('Bilateral assistance, MAIN DATA'!$N:$N,'Bilateral assistance, MAIN DATA'!$B:$B,M18,'Bilateral assistance, MAIN DATA'!$AO:$AO,"Protected Patrol Vehicle (PPV)")+SUMIFS('Bilateral assistance, MAIN DATA'!$N:$N,'Bilateral assistance, MAIN DATA'!$B:$B,M18,'Bilateral assistance, MAIN DATA'!$AO:$AO,"Armoured Utility Vehicle (AUV)")+SUMIFS('Bilateral assistance, MAIN DATA'!$N:$N,'Bilateral assistance, MAIN DATA'!$B:$B,M18,'Bilateral assistance, MAIN DATA'!$AO:$AO,"Infantry fighting vehicle (IFV)")</f>
        <v>0</v>
      </c>
    </row>
    <row r="19" spans="1:15">
      <c r="A19" s="33" t="s">
        <v>767</v>
      </c>
      <c r="B19" s="645">
        <f>SUMIFS('Bilateral assistance, MAIN DATA'!$M:$M,'Bilateral assistance, MAIN DATA'!$B:$B,A19,'Bilateral assistance, MAIN DATA'!$AO:$AO,"155mm howitzer")</f>
        <v>5</v>
      </c>
      <c r="C19" s="645">
        <f>SUMIFS('Bilateral assistance, MAIN DATA'!$N:$N,'Bilateral assistance, MAIN DATA'!$B:$B,A19,'Bilateral assistance, MAIN DATA'!$AO:$AO,"155mm howitzer")</f>
        <v>0</v>
      </c>
      <c r="D19" s="645"/>
      <c r="E19" s="33" t="s">
        <v>840</v>
      </c>
      <c r="F19" s="645">
        <f>SUMIFS('Bilateral assistance, MAIN DATA'!$M:$M,'Bilateral assistance, MAIN DATA'!$B:$B,E19,'Bilateral assistance, MAIN DATA'!$AO:$AO,"122mm MLRS")+SUMIFS('Bilateral assistance, MAIN DATA'!$M:$M,'Bilateral assistance, MAIN DATA'!$B:$B,E19,'Bilateral assistance, MAIN DATA'!$AO:$AO,"127mm MLRS")+SUMIFS('Bilateral assistance, MAIN DATA'!$M:$M,'Bilateral assistance, MAIN DATA'!$B:$B,E19,'Bilateral assistance, MAIN DATA'!$AO:$AO,"227mm MLRS")</f>
        <v>0</v>
      </c>
      <c r="G19" s="645">
        <f>SUMIFS('Bilateral assistance, MAIN DATA'!$N:$N,'Bilateral assistance, MAIN DATA'!$B:$B,E19,'Bilateral assistance, MAIN DATA'!$AO:$AO,"122mm MLRS")+SUMIFS('Bilateral assistance, MAIN DATA'!$N:$N,'Bilateral assistance, MAIN DATA'!$B:$B,E19,'Bilateral assistance, MAIN DATA'!$AO:$AO,"127mm MLRS")+SUMIFS('Bilateral assistance, MAIN DATA'!$N:$N,'Bilateral assistance, MAIN DATA'!$B:$B,E19,'Bilateral assistance, MAIN DATA'!$AO:$AO,"227mm MLRS")</f>
        <v>0</v>
      </c>
      <c r="H19" s="645"/>
      <c r="I19" s="33" t="s">
        <v>767</v>
      </c>
      <c r="J19" s="645">
        <f>SUMIFS('Bilateral assistance, MAIN DATA'!$M:$M,'Bilateral assistance, MAIN DATA'!$B:$B,I19,'Bilateral assistance, MAIN DATA'!$AO:$AO,"Main Battle Tank (MBT)")</f>
        <v>0</v>
      </c>
      <c r="K19" s="645">
        <f>SUMIFS('Bilateral assistance, MAIN DATA'!$N:$N,'Bilateral assistance, MAIN DATA'!$B:$B,I19,'Bilateral assistance, MAIN DATA'!$AO:$AO,"Main Battle Tank (MBT)")</f>
        <v>0</v>
      </c>
      <c r="L19" s="645"/>
      <c r="M19" s="33" t="s">
        <v>2063</v>
      </c>
      <c r="N19" s="645">
        <f>SUMIFS('Bilateral assistance, MAIN DATA'!$M:$M,'Bilateral assistance, MAIN DATA'!$B:$B,M19,'Bilateral assistance, MAIN DATA'!$AO:$AO,"Armoured Personnel Carrier (APC)")+SUMIFS('Bilateral assistance, MAIN DATA'!$M:$M,'Bilateral assistance, MAIN DATA'!$B:$B,M19,'Bilateral assistance, MAIN DATA'!$AO:$AO,"Protected Patrol Vehicle (PPV)")+SUMIFS('Bilateral assistance, MAIN DATA'!$M:$M,'Bilateral assistance, MAIN DATA'!$B:$B,M19,'Bilateral assistance, MAIN DATA'!$AO:$AO,"Armoured Utility Vehicle (AUV)")+SUMIFS('Bilateral assistance, MAIN DATA'!$M:$M,'Bilateral assistance, MAIN DATA'!$B:$B,M19,'Bilateral assistance, MAIN DATA'!$AO:$AO,"Infantry fighting vehicle (IFV)")</f>
        <v>30</v>
      </c>
      <c r="O19" s="645">
        <f>SUMIFS('Bilateral assistance, MAIN DATA'!$N:$N,'Bilateral assistance, MAIN DATA'!$B:$B,M19,'Bilateral assistance, MAIN DATA'!$AO:$AO,"Armoured Personnel Carrier (APC)")+SUMIFS('Bilateral assistance, MAIN DATA'!$N:$N,'Bilateral assistance, MAIN DATA'!$B:$B,M19,'Bilateral assistance, MAIN DATA'!$AO:$AO,"Protected Patrol Vehicle (PPV)")+SUMIFS('Bilateral assistance, MAIN DATA'!$N:$N,'Bilateral assistance, MAIN DATA'!$B:$B,M19,'Bilateral assistance, MAIN DATA'!$AO:$AO,"Armoured Utility Vehicle (AUV)")+SUMIFS('Bilateral assistance, MAIN DATA'!$N:$N,'Bilateral assistance, MAIN DATA'!$B:$B,M19,'Bilateral assistance, MAIN DATA'!$AO:$AO,"Infantry fighting vehicle (IFV)")</f>
        <v>0</v>
      </c>
    </row>
    <row r="20" spans="1:15">
      <c r="A20" s="33" t="s">
        <v>840</v>
      </c>
      <c r="B20" s="645">
        <f>SUMIFS('Bilateral assistance, MAIN DATA'!$M:$M,'Bilateral assistance, MAIN DATA'!$B:$B,A20,'Bilateral assistance, MAIN DATA'!$AO:$AO,"155mm howitzer")</f>
        <v>0</v>
      </c>
      <c r="C20" s="645">
        <f>SUMIFS('Bilateral assistance, MAIN DATA'!$N:$N,'Bilateral assistance, MAIN DATA'!$B:$B,A20,'Bilateral assistance, MAIN DATA'!$AO:$AO,"155mm howitzer")</f>
        <v>0</v>
      </c>
      <c r="D20" s="645"/>
      <c r="E20" s="33" t="s">
        <v>2825</v>
      </c>
      <c r="F20" s="645">
        <f>SUMIFS('Bilateral assistance, MAIN DATA'!$M:$M,'Bilateral assistance, MAIN DATA'!$B:$B,E20,'Bilateral assistance, MAIN DATA'!$AO:$AO,"122mm MLRS")+SUMIFS('Bilateral assistance, MAIN DATA'!$M:$M,'Bilateral assistance, MAIN DATA'!$B:$B,E20,'Bilateral assistance, MAIN DATA'!$AO:$AO,"127mm MLRS")+SUMIFS('Bilateral assistance, MAIN DATA'!$M:$M,'Bilateral assistance, MAIN DATA'!$B:$B,E20,'Bilateral assistance, MAIN DATA'!$AO:$AO,"227mm MLRS")</f>
        <v>0</v>
      </c>
      <c r="G20" s="645">
        <f>SUMIFS('Bilateral assistance, MAIN DATA'!$N:$N,'Bilateral assistance, MAIN DATA'!$B:$B,E20,'Bilateral assistance, MAIN DATA'!$AO:$AO,"122mm MLRS")+SUMIFS('Bilateral assistance, MAIN DATA'!$N:$N,'Bilateral assistance, MAIN DATA'!$B:$B,E20,'Bilateral assistance, MAIN DATA'!$AO:$AO,"127mm MLRS")+SUMIFS('Bilateral assistance, MAIN DATA'!$N:$N,'Bilateral assistance, MAIN DATA'!$B:$B,E20,'Bilateral assistance, MAIN DATA'!$AO:$AO,"227mm MLRS")</f>
        <v>0</v>
      </c>
      <c r="H20" s="645"/>
      <c r="I20" s="33" t="s">
        <v>840</v>
      </c>
      <c r="J20" s="645">
        <f>SUMIFS('Bilateral assistance, MAIN DATA'!$M:$M,'Bilateral assistance, MAIN DATA'!$B:$B,I20,'Bilateral assistance, MAIN DATA'!$AO:$AO,"Main Battle Tank (MBT)")</f>
        <v>0</v>
      </c>
      <c r="K20" s="645">
        <f>SUMIFS('Bilateral assistance, MAIN DATA'!$N:$N,'Bilateral assistance, MAIN DATA'!$B:$B,I20,'Bilateral assistance, MAIN DATA'!$AO:$AO,"Main Battle Tank (MBT)")</f>
        <v>0</v>
      </c>
      <c r="L20" s="645"/>
      <c r="M20" s="33" t="s">
        <v>1412</v>
      </c>
      <c r="N20" s="645">
        <f>SUMIFS('Bilateral assistance, MAIN DATA'!$M:$M,'Bilateral assistance, MAIN DATA'!$B:$B,M20,'Bilateral assistance, MAIN DATA'!$AO:$AO,"Armoured Personnel Carrier (APC)")+SUMIFS('Bilateral assistance, MAIN DATA'!$M:$M,'Bilateral assistance, MAIN DATA'!$B:$B,M20,'Bilateral assistance, MAIN DATA'!$AO:$AO,"Protected Patrol Vehicle (PPV)")+SUMIFS('Bilateral assistance, MAIN DATA'!$M:$M,'Bilateral assistance, MAIN DATA'!$B:$B,M20,'Bilateral assistance, MAIN DATA'!$AO:$AO,"Armoured Utility Vehicle (AUV)")+SUMIFS('Bilateral assistance, MAIN DATA'!$M:$M,'Bilateral assistance, MAIN DATA'!$B:$B,M20,'Bilateral assistance, MAIN DATA'!$AO:$AO,"Infantry fighting vehicle (IFV)")</f>
        <v>24</v>
      </c>
      <c r="O20" s="645">
        <f>SUMIFS('Bilateral assistance, MAIN DATA'!$N:$N,'Bilateral assistance, MAIN DATA'!$B:$B,M20,'Bilateral assistance, MAIN DATA'!$AO:$AO,"Armoured Personnel Carrier (APC)")+SUMIFS('Bilateral assistance, MAIN DATA'!$N:$N,'Bilateral assistance, MAIN DATA'!$B:$B,M20,'Bilateral assistance, MAIN DATA'!$AO:$AO,"Protected Patrol Vehicle (PPV)")+SUMIFS('Bilateral assistance, MAIN DATA'!$N:$N,'Bilateral assistance, MAIN DATA'!$B:$B,M20,'Bilateral assistance, MAIN DATA'!$AO:$AO,"Armoured Utility Vehicle (AUV)")+SUMIFS('Bilateral assistance, MAIN DATA'!$N:$N,'Bilateral assistance, MAIN DATA'!$B:$B,M20,'Bilateral assistance, MAIN DATA'!$AO:$AO,"Infantry fighting vehicle (IFV)")</f>
        <v>0</v>
      </c>
    </row>
    <row r="21" spans="1:15">
      <c r="A21" s="33" t="s">
        <v>2825</v>
      </c>
      <c r="B21" s="645">
        <f>SUMIFS('Bilateral assistance, MAIN DATA'!$M:$M,'Bilateral assistance, MAIN DATA'!$B:$B,A21,'Bilateral assistance, MAIN DATA'!$AO:$AO,"155mm howitzer")</f>
        <v>0</v>
      </c>
      <c r="C21" s="645">
        <f>SUMIFS('Bilateral assistance, MAIN DATA'!$N:$N,'Bilateral assistance, MAIN DATA'!$B:$B,A21,'Bilateral assistance, MAIN DATA'!$AO:$AO,"155mm howitzer")</f>
        <v>0</v>
      </c>
      <c r="D21" s="645"/>
      <c r="E21" s="33" t="s">
        <v>2885</v>
      </c>
      <c r="F21" s="645">
        <f>SUMIFS('Bilateral assistance, MAIN DATA'!$M:$M,'Bilateral assistance, MAIN DATA'!$B:$B,E21,'Bilateral assistance, MAIN DATA'!$AO:$AO,"122mm MLRS")+SUMIFS('Bilateral assistance, MAIN DATA'!$M:$M,'Bilateral assistance, MAIN DATA'!$B:$B,E21,'Bilateral assistance, MAIN DATA'!$AO:$AO,"127mm MLRS")+SUMIFS('Bilateral assistance, MAIN DATA'!$M:$M,'Bilateral assistance, MAIN DATA'!$B:$B,E21,'Bilateral assistance, MAIN DATA'!$AO:$AO,"227mm MLRS")</f>
        <v>0</v>
      </c>
      <c r="G21" s="645">
        <f>SUMIFS('Bilateral assistance, MAIN DATA'!$N:$N,'Bilateral assistance, MAIN DATA'!$B:$B,E21,'Bilateral assistance, MAIN DATA'!$AO:$AO,"122mm MLRS")+SUMIFS('Bilateral assistance, MAIN DATA'!$N:$N,'Bilateral assistance, MAIN DATA'!$B:$B,E21,'Bilateral assistance, MAIN DATA'!$AO:$AO,"127mm MLRS")+SUMIFS('Bilateral assistance, MAIN DATA'!$N:$N,'Bilateral assistance, MAIN DATA'!$B:$B,E21,'Bilateral assistance, MAIN DATA'!$AO:$AO,"227mm MLRS")</f>
        <v>0</v>
      </c>
      <c r="H21" s="645"/>
      <c r="I21" s="33" t="s">
        <v>2825</v>
      </c>
      <c r="J21" s="645">
        <f>SUMIFS('Bilateral assistance, MAIN DATA'!$M:$M,'Bilateral assistance, MAIN DATA'!$B:$B,I21,'Bilateral assistance, MAIN DATA'!$AO:$AO,"Main Battle Tank (MBT)")</f>
        <v>0</v>
      </c>
      <c r="K21" s="645">
        <f>SUMIFS('Bilateral assistance, MAIN DATA'!$N:$N,'Bilateral assistance, MAIN DATA'!$B:$B,I21,'Bilateral assistance, MAIN DATA'!$AO:$AO,"Main Battle Tank (MBT)")</f>
        <v>0</v>
      </c>
      <c r="L21" s="645"/>
      <c r="M21" s="33" t="s">
        <v>1687</v>
      </c>
      <c r="N21" s="645">
        <f>SUMIFS('Bilateral assistance, MAIN DATA'!$M:$M,'Bilateral assistance, MAIN DATA'!$B:$B,M21,'Bilateral assistance, MAIN DATA'!$AO:$AO,"Armoured Personnel Carrier (APC)")+SUMIFS('Bilateral assistance, MAIN DATA'!$M:$M,'Bilateral assistance, MAIN DATA'!$B:$B,M21,'Bilateral assistance, MAIN DATA'!$AO:$AO,"Protected Patrol Vehicle (PPV)")+SUMIFS('Bilateral assistance, MAIN DATA'!$M:$M,'Bilateral assistance, MAIN DATA'!$B:$B,M21,'Bilateral assistance, MAIN DATA'!$AO:$AO,"Armoured Utility Vehicle (AUV)")+SUMIFS('Bilateral assistance, MAIN DATA'!$M:$M,'Bilateral assistance, MAIN DATA'!$B:$B,M21,'Bilateral assistance, MAIN DATA'!$AO:$AO,"Infantry fighting vehicle (IFV)")</f>
        <v>0</v>
      </c>
      <c r="O21" s="645">
        <f>SUMIFS('Bilateral assistance, MAIN DATA'!$N:$N,'Bilateral assistance, MAIN DATA'!$B:$B,M21,'Bilateral assistance, MAIN DATA'!$AO:$AO,"Armoured Personnel Carrier (APC)")+SUMIFS('Bilateral assistance, MAIN DATA'!$N:$N,'Bilateral assistance, MAIN DATA'!$B:$B,M21,'Bilateral assistance, MAIN DATA'!$AO:$AO,"Protected Patrol Vehicle (PPV)")+SUMIFS('Bilateral assistance, MAIN DATA'!$N:$N,'Bilateral assistance, MAIN DATA'!$B:$B,M21,'Bilateral assistance, MAIN DATA'!$AO:$AO,"Armoured Utility Vehicle (AUV)")+SUMIFS('Bilateral assistance, MAIN DATA'!$N:$N,'Bilateral assistance, MAIN DATA'!$B:$B,M21,'Bilateral assistance, MAIN DATA'!$AO:$AO,"Infantry fighting vehicle (IFV)")</f>
        <v>0</v>
      </c>
    </row>
    <row r="22" spans="1:15">
      <c r="A22" s="33" t="s">
        <v>2885</v>
      </c>
      <c r="B22" s="645">
        <f>SUMIFS('Bilateral assistance, MAIN DATA'!$M:$M, 'Bilateral assistance, MAIN DATA'!$I:$I,"M777 howitzer",'Bilateral assistance, MAIN DATA'!$B:$B,A22)+SUMIFS('Bilateral assistance, MAIN DATA'!$M:$M, 'Bilateral assistance, MAIN DATA'!$I:$I,"FH70 155mm howitzer",'Bilateral assistance, MAIN DATA'!$B:$B,A22)+SUMIFS('Bilateral assistance, MAIN DATA'!$M:$M, 'Bilateral assistance, MAIN DATA'!$I:$I,"CAESAR artillery howitzer",'Bilateral assistance, MAIN DATA'!$B:$B,A22)+SUMIFS('Bilateral assistance, MAIN DATA'!$M:$M, 'Bilateral assistance, MAIN DATA'!$I:$I,"M109 155mm howitzer",'Bilateral assistance, MAIN DATA'!$B:$B,A22)+SUMIFS('Bilateral assistance, MAIN DATA'!$M:$M, 'Bilateral assistance, MAIN DATA'!$I:$I,"AHS Krab self-propelled howitzer",'Bilateral assistance, MAIN DATA'!$B:$B,A22)+SUMIFS('Bilateral assistance, MAIN DATA'!$M:$M, 'Bilateral assistance, MAIN DATA'!$I:$I,"M114 155mm Howitzer",'Bilateral assistance, MAIN DATA'!$B:$B,A22)+SUMIFS('Bilateral assistance, MAIN DATA'!$M:$M, 'Bilateral assistance, MAIN DATA'!$I:$I,"Panzerhaubitze 2000",'Bilateral assistance, MAIN DATA'!$B:$B,A22)+SUMIFS('Bilateral assistance, MAIN DATA'!$M:$M, 'Bilateral assistance, MAIN DATA'!$I:$I,"155mm Howitzer",'Bilateral assistance, MAIN DATA'!$B:$B,A22)+SUMIFS('Bilateral assistance, MAIN DATA'!$M:$M, 'Bilateral assistance, MAIN DATA'!$I:$I,"M109 A3GM 155mm howitzer",'Bilateral assistance, MAIN DATA'!$B:$B,A22)+SUMIFS('Bilateral assistance, MAIN DATA'!$M:$M, 'Bilateral assistance, MAIN DATA'!$I:$I,"Zusana-2 howitzer",'Bilateral assistance, MAIN DATA'!$B:$B,A22)+SUMIFS('Bilateral assistance, MAIN DATA'!$M:$M, 'Bilateral assistance, MAIN DATA'!$I:$I,"AS-90",'Bilateral assistance, MAIN DATA'!$B:$B,A22)</f>
        <v>0</v>
      </c>
      <c r="C22" s="645">
        <f>SUMIFS('Bilateral assistance, MAIN DATA'!$N:$N,'Bilateral assistance, MAIN DATA'!$B:$B,A22,'Bilateral assistance, MAIN DATA'!$AO:$AO,"155mm howitzer")</f>
        <v>0</v>
      </c>
      <c r="D22" s="645"/>
      <c r="E22" s="33" t="s">
        <v>2861</v>
      </c>
      <c r="F22" s="645">
        <f>SUMIFS('Bilateral assistance, MAIN DATA'!$M:$M,'Bilateral assistance, MAIN DATA'!$B:$B,E22,'Bilateral assistance, MAIN DATA'!$AO:$AO,"122mm MLRS")+SUMIFS('Bilateral assistance, MAIN DATA'!$M:$M,'Bilateral assistance, MAIN DATA'!$B:$B,E22,'Bilateral assistance, MAIN DATA'!$AO:$AO,"127mm MLRS")+SUMIFS('Bilateral assistance, MAIN DATA'!$M:$M,'Bilateral assistance, MAIN DATA'!$B:$B,E22,'Bilateral assistance, MAIN DATA'!$AO:$AO,"227mm MLRS")</f>
        <v>0</v>
      </c>
      <c r="G22" s="645">
        <f>SUMIFS('Bilateral assistance, MAIN DATA'!$N:$N,'Bilateral assistance, MAIN DATA'!$B:$B,E22,'Bilateral assistance, MAIN DATA'!$AO:$AO,"122mm MLRS")+SUMIFS('Bilateral assistance, MAIN DATA'!$N:$N,'Bilateral assistance, MAIN DATA'!$B:$B,E22,'Bilateral assistance, MAIN DATA'!$AO:$AO,"127mm MLRS")+SUMIFS('Bilateral assistance, MAIN DATA'!$N:$N,'Bilateral assistance, MAIN DATA'!$B:$B,E22,'Bilateral assistance, MAIN DATA'!$AO:$AO,"227mm MLRS")</f>
        <v>0</v>
      </c>
      <c r="H22" s="645"/>
      <c r="I22" s="33" t="s">
        <v>2885</v>
      </c>
      <c r="J22" s="645">
        <f>SUMIFS('Bilateral assistance, MAIN DATA'!$M:$M,'Bilateral assistance, MAIN DATA'!$B:$B,I22,'Bilateral assistance, MAIN DATA'!$AO:$AO,"Main Battle Tank (MBT)")</f>
        <v>0</v>
      </c>
      <c r="K22" s="645">
        <f>SUMIFS('Bilateral assistance, MAIN DATA'!$N:$N,'Bilateral assistance, MAIN DATA'!$B:$B,I22,'Bilateral assistance, MAIN DATA'!$AO:$AO,"Main Battle Tank (MBT)")</f>
        <v>0</v>
      </c>
      <c r="L22" s="645"/>
      <c r="M22" s="33" t="s">
        <v>312</v>
      </c>
      <c r="N22" s="645">
        <f>SUMIFS('Bilateral assistance, MAIN DATA'!$M:$M,'Bilateral assistance, MAIN DATA'!$B:$B,M22,'Bilateral assistance, MAIN DATA'!$AO:$AO,"Armoured Personnel Carrier (APC)")+SUMIFS('Bilateral assistance, MAIN DATA'!$M:$M,'Bilateral assistance, MAIN DATA'!$B:$B,M22,'Bilateral assistance, MAIN DATA'!$AO:$AO,"Protected Patrol Vehicle (PPV)")+SUMIFS('Bilateral assistance, MAIN DATA'!$M:$M,'Bilateral assistance, MAIN DATA'!$B:$B,M22,'Bilateral assistance, MAIN DATA'!$AO:$AO,"Armoured Utility Vehicle (AUV)")+SUMIFS('Bilateral assistance, MAIN DATA'!$M:$M,'Bilateral assistance, MAIN DATA'!$B:$B,M22,'Bilateral assistance, MAIN DATA'!$AO:$AO,"Infantry fighting vehicle (IFV)")</f>
        <v>0</v>
      </c>
      <c r="O22" s="645">
        <f>SUMIFS('Bilateral assistance, MAIN DATA'!$N:$N,'Bilateral assistance, MAIN DATA'!$B:$B,M22,'Bilateral assistance, MAIN DATA'!$AO:$AO,"Armoured Personnel Carrier (APC)")+SUMIFS('Bilateral assistance, MAIN DATA'!$N:$N,'Bilateral assistance, MAIN DATA'!$B:$B,M22,'Bilateral assistance, MAIN DATA'!$AO:$AO,"Protected Patrol Vehicle (PPV)")+SUMIFS('Bilateral assistance, MAIN DATA'!$N:$N,'Bilateral assistance, MAIN DATA'!$B:$B,M22,'Bilateral assistance, MAIN DATA'!$AO:$AO,"Armoured Utility Vehicle (AUV)")+SUMIFS('Bilateral assistance, MAIN DATA'!$N:$N,'Bilateral assistance, MAIN DATA'!$B:$B,M22,'Bilateral assistance, MAIN DATA'!$AO:$AO,"Infantry fighting vehicle (IFV)")</f>
        <v>0</v>
      </c>
    </row>
    <row r="23" spans="1:15">
      <c r="A23" s="33" t="s">
        <v>2861</v>
      </c>
      <c r="B23" s="645">
        <f>SUMIFS('Bilateral assistance, MAIN DATA'!$M:$M, 'Bilateral assistance, MAIN DATA'!$I:$I,"M777 howitzer",'Bilateral assistance, MAIN DATA'!$B:$B,A23)+SUMIFS('Bilateral assistance, MAIN DATA'!$M:$M, 'Bilateral assistance, MAIN DATA'!$I:$I,"FH70 155mm howitzer",'Bilateral assistance, MAIN DATA'!$B:$B,A23)+SUMIFS('Bilateral assistance, MAIN DATA'!$M:$M, 'Bilateral assistance, MAIN DATA'!$I:$I,"CAESAR artillery howitzer",'Bilateral assistance, MAIN DATA'!$B:$B,A23)+SUMIFS('Bilateral assistance, MAIN DATA'!$M:$M, 'Bilateral assistance, MAIN DATA'!$I:$I,"M109 155mm howitzer",'Bilateral assistance, MAIN DATA'!$B:$B,A23)+SUMIFS('Bilateral assistance, MAIN DATA'!$M:$M, 'Bilateral assistance, MAIN DATA'!$I:$I,"AHS Krab self-propelled howitzer",'Bilateral assistance, MAIN DATA'!$B:$B,A23)+SUMIFS('Bilateral assistance, MAIN DATA'!$M:$M, 'Bilateral assistance, MAIN DATA'!$I:$I,"M114 155mm Howitzer",'Bilateral assistance, MAIN DATA'!$B:$B,A23)+SUMIFS('Bilateral assistance, MAIN DATA'!$M:$M, 'Bilateral assistance, MAIN DATA'!$I:$I,"Panzerhaubitze 2000",'Bilateral assistance, MAIN DATA'!$B:$B,A23)+SUMIFS('Bilateral assistance, MAIN DATA'!$M:$M, 'Bilateral assistance, MAIN DATA'!$I:$I,"155mm Howitzer",'Bilateral assistance, MAIN DATA'!$B:$B,A23)+SUMIFS('Bilateral assistance, MAIN DATA'!$M:$M, 'Bilateral assistance, MAIN DATA'!$I:$I,"M109 A3GM 155mm howitzer",'Bilateral assistance, MAIN DATA'!$B:$B,A23)+SUMIFS('Bilateral assistance, MAIN DATA'!$M:$M, 'Bilateral assistance, MAIN DATA'!$I:$I,"Zusana-2 howitzer",'Bilateral assistance, MAIN DATA'!$B:$B,A23)+SUMIFS('Bilateral assistance, MAIN DATA'!$M:$M, 'Bilateral assistance, MAIN DATA'!$I:$I,"AS-90",'Bilateral assistance, MAIN DATA'!$B:$B,A23)</f>
        <v>0</v>
      </c>
      <c r="C23" s="645">
        <f>SUMIFS('Bilateral assistance, MAIN DATA'!$N:$N,'Bilateral assistance, MAIN DATA'!$B:$B,A23,'Bilateral assistance, MAIN DATA'!$AO:$AO,"155mm howitzer")</f>
        <v>0</v>
      </c>
      <c r="D23" s="645"/>
      <c r="E23" s="33" t="s">
        <v>917</v>
      </c>
      <c r="F23" s="645">
        <f>SUMIFS('Bilateral assistance, MAIN DATA'!$M:$M,'Bilateral assistance, MAIN DATA'!$B:$B,E23,'Bilateral assistance, MAIN DATA'!$AO:$AO,"122mm MLRS")+SUMIFS('Bilateral assistance, MAIN DATA'!$M:$M,'Bilateral assistance, MAIN DATA'!$B:$B,E23,'Bilateral assistance, MAIN DATA'!$AO:$AO,"127mm MLRS")+SUMIFS('Bilateral assistance, MAIN DATA'!$M:$M,'Bilateral assistance, MAIN DATA'!$B:$B,E23,'Bilateral assistance, MAIN DATA'!$AO:$AO,"227mm MLRS")</f>
        <v>0</v>
      </c>
      <c r="G23" s="645">
        <f>SUMIFS('Bilateral assistance, MAIN DATA'!$N:$N,'Bilateral assistance, MAIN DATA'!$B:$B,E23,'Bilateral assistance, MAIN DATA'!$AO:$AO,"122mm MLRS")+SUMIFS('Bilateral assistance, MAIN DATA'!$N:$N,'Bilateral assistance, MAIN DATA'!$B:$B,E23,'Bilateral assistance, MAIN DATA'!$AO:$AO,"127mm MLRS")+SUMIFS('Bilateral assistance, MAIN DATA'!$N:$N,'Bilateral assistance, MAIN DATA'!$B:$B,E23,'Bilateral assistance, MAIN DATA'!$AO:$AO,"227mm MLRS")</f>
        <v>0</v>
      </c>
      <c r="H23" s="645"/>
      <c r="I23" s="33" t="s">
        <v>2861</v>
      </c>
      <c r="J23" s="645">
        <f>SUMIFS('Bilateral assistance, MAIN DATA'!$M:$M,'Bilateral assistance, MAIN DATA'!$B:$B,I23,'Bilateral assistance, MAIN DATA'!$AO:$AO,"Main Battle Tank (MBT)")</f>
        <v>0</v>
      </c>
      <c r="K23" s="645">
        <f>SUMIFS('Bilateral assistance, MAIN DATA'!$N:$N,'Bilateral assistance, MAIN DATA'!$B:$B,I23,'Bilateral assistance, MAIN DATA'!$AO:$AO,"Main Battle Tank (MBT)")</f>
        <v>0</v>
      </c>
      <c r="L23" s="645"/>
      <c r="M23" s="33" t="s">
        <v>370</v>
      </c>
      <c r="N23" s="645">
        <f>SUMIFS('Bilateral assistance, MAIN DATA'!$M:$M,'Bilateral assistance, MAIN DATA'!$B:$B,M23,'Bilateral assistance, MAIN DATA'!$AO:$AO,"Armoured Personnel Carrier (APC)")+SUMIFS('Bilateral assistance, MAIN DATA'!$M:$M,'Bilateral assistance, MAIN DATA'!$B:$B,M23,'Bilateral assistance, MAIN DATA'!$AO:$AO,"Protected Patrol Vehicle (PPV)")+SUMIFS('Bilateral assistance, MAIN DATA'!$M:$M,'Bilateral assistance, MAIN DATA'!$B:$B,M23,'Bilateral assistance, MAIN DATA'!$AO:$AO,"Armoured Utility Vehicle (AUV)")+SUMIFS('Bilateral assistance, MAIN DATA'!$M:$M,'Bilateral assistance, MAIN DATA'!$B:$B,M23,'Bilateral assistance, MAIN DATA'!$AO:$AO,"Infantry fighting vehicle (IFV)")</f>
        <v>0</v>
      </c>
      <c r="O23" s="645">
        <f>SUMIFS('Bilateral assistance, MAIN DATA'!$N:$N,'Bilateral assistance, MAIN DATA'!$B:$B,M23,'Bilateral assistance, MAIN DATA'!$AO:$AO,"Armoured Personnel Carrier (APC)")+SUMIFS('Bilateral assistance, MAIN DATA'!$N:$N,'Bilateral assistance, MAIN DATA'!$B:$B,M23,'Bilateral assistance, MAIN DATA'!$AO:$AO,"Protected Patrol Vehicle (PPV)")+SUMIFS('Bilateral assistance, MAIN DATA'!$N:$N,'Bilateral assistance, MAIN DATA'!$B:$B,M23,'Bilateral assistance, MAIN DATA'!$AO:$AO,"Armoured Utility Vehicle (AUV)")+SUMIFS('Bilateral assistance, MAIN DATA'!$N:$N,'Bilateral assistance, MAIN DATA'!$B:$B,M23,'Bilateral assistance, MAIN DATA'!$AO:$AO,"Infantry fighting vehicle (IFV)")</f>
        <v>0</v>
      </c>
    </row>
    <row r="24" spans="1:15">
      <c r="A24" s="33" t="s">
        <v>917</v>
      </c>
      <c r="B24" s="645">
        <f>SUMIFS('Bilateral assistance, MAIN DATA'!$M:$M, 'Bilateral assistance, MAIN DATA'!$I:$I,"M777 howitzer",'Bilateral assistance, MAIN DATA'!$B:$B,A24)+SUMIFS('Bilateral assistance, MAIN DATA'!$M:$M, 'Bilateral assistance, MAIN DATA'!$I:$I,"FH70 155mm howitzer",'Bilateral assistance, MAIN DATA'!$B:$B,A24)+SUMIFS('Bilateral assistance, MAIN DATA'!$M:$M, 'Bilateral assistance, MAIN DATA'!$I:$I,"CAESAR artillery howitzer",'Bilateral assistance, MAIN DATA'!$B:$B,A24)+SUMIFS('Bilateral assistance, MAIN DATA'!$M:$M, 'Bilateral assistance, MAIN DATA'!$I:$I,"M109 155mm howitzer",'Bilateral assistance, MAIN DATA'!$B:$B,A24)+SUMIFS('Bilateral assistance, MAIN DATA'!$M:$M, 'Bilateral assistance, MAIN DATA'!$I:$I,"AHS Krab self-propelled howitzer",'Bilateral assistance, MAIN DATA'!$B:$B,A24)+SUMIFS('Bilateral assistance, MAIN DATA'!$M:$M, 'Bilateral assistance, MAIN DATA'!$I:$I,"M114 155mm Howitzer",'Bilateral assistance, MAIN DATA'!$B:$B,A24)+SUMIFS('Bilateral assistance, MAIN DATA'!$M:$M, 'Bilateral assistance, MAIN DATA'!$I:$I,"Panzerhaubitze 2000",'Bilateral assistance, MAIN DATA'!$B:$B,A24)+SUMIFS('Bilateral assistance, MAIN DATA'!$M:$M, 'Bilateral assistance, MAIN DATA'!$I:$I,"155mm Howitzer",'Bilateral assistance, MAIN DATA'!$B:$B,A24)+SUMIFS('Bilateral assistance, MAIN DATA'!$M:$M, 'Bilateral assistance, MAIN DATA'!$I:$I,"M109 A3GM 155mm howitzer",'Bilateral assistance, MAIN DATA'!$B:$B,A24)+SUMIFS('Bilateral assistance, MAIN DATA'!$M:$M, 'Bilateral assistance, MAIN DATA'!$I:$I,"Zusana-2 howitzer",'Bilateral assistance, MAIN DATA'!$B:$B,A24)+SUMIFS('Bilateral assistance, MAIN DATA'!$M:$M, 'Bilateral assistance, MAIN DATA'!$I:$I,"AS-90",'Bilateral assistance, MAIN DATA'!$B:$B,A24)</f>
        <v>0</v>
      </c>
      <c r="C24" s="645">
        <f>SUMIFS('Bilateral assistance, MAIN DATA'!$N:$N,'Bilateral assistance, MAIN DATA'!$B:$B,A24,'Bilateral assistance, MAIN DATA'!$AO:$AO,"155mm howitzer")</f>
        <v>0</v>
      </c>
      <c r="D24" s="645"/>
      <c r="E24" s="33" t="s">
        <v>1294</v>
      </c>
      <c r="F24" s="645">
        <f>SUMIFS('Bilateral assistance, MAIN DATA'!$M:$M,'Bilateral assistance, MAIN DATA'!$B:$B,E24,'Bilateral assistance, MAIN DATA'!$AO:$AO,"122mm MLRS")+SUMIFS('Bilateral assistance, MAIN DATA'!$M:$M,'Bilateral assistance, MAIN DATA'!$B:$B,E24,'Bilateral assistance, MAIN DATA'!$AO:$AO,"127mm MLRS")+SUMIFS('Bilateral assistance, MAIN DATA'!$M:$M,'Bilateral assistance, MAIN DATA'!$B:$B,E24,'Bilateral assistance, MAIN DATA'!$AO:$AO,"227mm MLRS")</f>
        <v>0</v>
      </c>
      <c r="G24" s="645">
        <f>SUMIFS('Bilateral assistance, MAIN DATA'!$N:$N,'Bilateral assistance, MAIN DATA'!$B:$B,E24,'Bilateral assistance, MAIN DATA'!$AO:$AO,"122mm MLRS")+SUMIFS('Bilateral assistance, MAIN DATA'!$N:$N,'Bilateral assistance, MAIN DATA'!$B:$B,E24,'Bilateral assistance, MAIN DATA'!$AO:$AO,"127mm MLRS")+SUMIFS('Bilateral assistance, MAIN DATA'!$N:$N,'Bilateral assistance, MAIN DATA'!$B:$B,E24,'Bilateral assistance, MAIN DATA'!$AO:$AO,"227mm MLRS")</f>
        <v>0</v>
      </c>
      <c r="H24" s="645"/>
      <c r="I24" s="33" t="s">
        <v>917</v>
      </c>
      <c r="J24" s="645">
        <f>SUMIFS('Bilateral assistance, MAIN DATA'!$M:$M,'Bilateral assistance, MAIN DATA'!$B:$B,I24,'Bilateral assistance, MAIN DATA'!$AO:$AO,"Main Battle Tank (MBT)")</f>
        <v>0</v>
      </c>
      <c r="K24" s="645">
        <f>SUMIFS('Bilateral assistance, MAIN DATA'!$N:$N,'Bilateral assistance, MAIN DATA'!$B:$B,I24,'Bilateral assistance, MAIN DATA'!$AO:$AO,"Main Battle Tank (MBT)")</f>
        <v>0</v>
      </c>
      <c r="L24" s="645"/>
      <c r="M24" s="33" t="s">
        <v>428</v>
      </c>
      <c r="N24" s="645">
        <f>SUMIFS('Bilateral assistance, MAIN DATA'!$M:$M,'Bilateral assistance, MAIN DATA'!$B:$B,M24,'Bilateral assistance, MAIN DATA'!$AO:$AO,"Armoured Personnel Carrier (APC)")+SUMIFS('Bilateral assistance, MAIN DATA'!$M:$M,'Bilateral assistance, MAIN DATA'!$B:$B,M24,'Bilateral assistance, MAIN DATA'!$AO:$AO,"Protected Patrol Vehicle (PPV)")+SUMIFS('Bilateral assistance, MAIN DATA'!$M:$M,'Bilateral assistance, MAIN DATA'!$B:$B,M24,'Bilateral assistance, MAIN DATA'!$AO:$AO,"Armoured Utility Vehicle (AUV)")+SUMIFS('Bilateral assistance, MAIN DATA'!$M:$M,'Bilateral assistance, MAIN DATA'!$B:$B,M24,'Bilateral assistance, MAIN DATA'!$AO:$AO,"Infantry fighting vehicle (IFV)")</f>
        <v>0</v>
      </c>
      <c r="O24" s="645">
        <f>SUMIFS('Bilateral assistance, MAIN DATA'!$N:$N,'Bilateral assistance, MAIN DATA'!$B:$B,M24,'Bilateral assistance, MAIN DATA'!$AO:$AO,"Armoured Personnel Carrier (APC)")+SUMIFS('Bilateral assistance, MAIN DATA'!$N:$N,'Bilateral assistance, MAIN DATA'!$B:$B,M24,'Bilateral assistance, MAIN DATA'!$AO:$AO,"Protected Patrol Vehicle (PPV)")+SUMIFS('Bilateral assistance, MAIN DATA'!$N:$N,'Bilateral assistance, MAIN DATA'!$B:$B,M24,'Bilateral assistance, MAIN DATA'!$AO:$AO,"Armoured Utility Vehicle (AUV)")+SUMIFS('Bilateral assistance, MAIN DATA'!$N:$N,'Bilateral assistance, MAIN DATA'!$B:$B,M24,'Bilateral assistance, MAIN DATA'!$AO:$AO,"Infantry fighting vehicle (IFV)")</f>
        <v>0</v>
      </c>
    </row>
    <row r="25" spans="1:15">
      <c r="A25" s="33" t="s">
        <v>1294</v>
      </c>
      <c r="B25" s="645">
        <f>SUMIFS('Bilateral assistance, MAIN DATA'!$M:$M, 'Bilateral assistance, MAIN DATA'!$I:$I,"M777 howitzer",'Bilateral assistance, MAIN DATA'!$B:$B,A25)+SUMIFS('Bilateral assistance, MAIN DATA'!$M:$M, 'Bilateral assistance, MAIN DATA'!$I:$I,"FH70 155mm howitzer",'Bilateral assistance, MAIN DATA'!$B:$B,A25)+SUMIFS('Bilateral assistance, MAIN DATA'!$M:$M, 'Bilateral assistance, MAIN DATA'!$I:$I,"CAESAR artillery howitzer",'Bilateral assistance, MAIN DATA'!$B:$B,A25)+SUMIFS('Bilateral assistance, MAIN DATA'!$M:$M, 'Bilateral assistance, MAIN DATA'!$I:$I,"M109 155mm howitzer",'Bilateral assistance, MAIN DATA'!$B:$B,A25)+SUMIFS('Bilateral assistance, MAIN DATA'!$M:$M, 'Bilateral assistance, MAIN DATA'!$I:$I,"AHS Krab self-propelled howitzer",'Bilateral assistance, MAIN DATA'!$B:$B,A25)+SUMIFS('Bilateral assistance, MAIN DATA'!$M:$M, 'Bilateral assistance, MAIN DATA'!$I:$I,"M114 155mm Howitzer",'Bilateral assistance, MAIN DATA'!$B:$B,A25)+SUMIFS('Bilateral assistance, MAIN DATA'!$M:$M, 'Bilateral assistance, MAIN DATA'!$I:$I,"Panzerhaubitze 2000",'Bilateral assistance, MAIN DATA'!$B:$B,A25)+SUMIFS('Bilateral assistance, MAIN DATA'!$M:$M, 'Bilateral assistance, MAIN DATA'!$I:$I,"155mm Howitzer",'Bilateral assistance, MAIN DATA'!$B:$B,A25)+SUMIFS('Bilateral assistance, MAIN DATA'!$M:$M, 'Bilateral assistance, MAIN DATA'!$I:$I,"M109 A3GM 155mm howitzer",'Bilateral assistance, MAIN DATA'!$B:$B,A25)+SUMIFS('Bilateral assistance, MAIN DATA'!$M:$M, 'Bilateral assistance, MAIN DATA'!$I:$I,"Zusana-2 howitzer",'Bilateral assistance, MAIN DATA'!$B:$B,A25)+SUMIFS('Bilateral assistance, MAIN DATA'!$M:$M, 'Bilateral assistance, MAIN DATA'!$I:$I,"AS-90",'Bilateral assistance, MAIN DATA'!$B:$B,A25)</f>
        <v>0</v>
      </c>
      <c r="C25" s="645">
        <f>SUMIFS('Bilateral assistance, MAIN DATA'!$N:$N,'Bilateral assistance, MAIN DATA'!$B:$B,A25,'Bilateral assistance, MAIN DATA'!$AO:$AO,"155mm howitzer")</f>
        <v>0</v>
      </c>
      <c r="D25" s="645"/>
      <c r="E25" s="33" t="s">
        <v>1335</v>
      </c>
      <c r="F25" s="645">
        <f>SUMIFS('Bilateral assistance, MAIN DATA'!$M:$M,'Bilateral assistance, MAIN DATA'!$B:$B,E25,'Bilateral assistance, MAIN DATA'!$AO:$AO,"122mm MLRS")+SUMIFS('Bilateral assistance, MAIN DATA'!$M:$M,'Bilateral assistance, MAIN DATA'!$B:$B,E25,'Bilateral assistance, MAIN DATA'!$AO:$AO,"127mm MLRS")+SUMIFS('Bilateral assistance, MAIN DATA'!$M:$M,'Bilateral assistance, MAIN DATA'!$B:$B,E25,'Bilateral assistance, MAIN DATA'!$AO:$AO,"227mm MLRS")</f>
        <v>0</v>
      </c>
      <c r="G25" s="645">
        <f>SUMIFS('Bilateral assistance, MAIN DATA'!$N:$N,'Bilateral assistance, MAIN DATA'!$B:$B,E25,'Bilateral assistance, MAIN DATA'!$AO:$AO,"122mm MLRS")+SUMIFS('Bilateral assistance, MAIN DATA'!$N:$N,'Bilateral assistance, MAIN DATA'!$B:$B,E25,'Bilateral assistance, MAIN DATA'!$AO:$AO,"127mm MLRS")+SUMIFS('Bilateral assistance, MAIN DATA'!$N:$N,'Bilateral assistance, MAIN DATA'!$B:$B,E25,'Bilateral assistance, MAIN DATA'!$AO:$AO,"227mm MLRS")</f>
        <v>0</v>
      </c>
      <c r="H25" s="645"/>
      <c r="I25" s="33" t="s">
        <v>1294</v>
      </c>
      <c r="J25" s="645">
        <f>SUMIFS('Bilateral assistance, MAIN DATA'!$M:$M,'Bilateral assistance, MAIN DATA'!$B:$B,I25,'Bilateral assistance, MAIN DATA'!$AO:$AO,"Main Battle Tank (MBT)")</f>
        <v>0</v>
      </c>
      <c r="K25" s="645">
        <f>SUMIFS('Bilateral assistance, MAIN DATA'!$N:$N,'Bilateral assistance, MAIN DATA'!$B:$B,I25,'Bilateral assistance, MAIN DATA'!$AO:$AO,"Main Battle Tank (MBT)")</f>
        <v>0</v>
      </c>
      <c r="L25" s="645"/>
      <c r="M25" s="33" t="s">
        <v>591</v>
      </c>
      <c r="N25" s="645">
        <f>SUMIFS('Bilateral assistance, MAIN DATA'!$M:$M,'Bilateral assistance, MAIN DATA'!$B:$B,M25,'Bilateral assistance, MAIN DATA'!$AO:$AO,"Armoured Personnel Carrier (APC)")+SUMIFS('Bilateral assistance, MAIN DATA'!$M:$M,'Bilateral assistance, MAIN DATA'!$B:$B,M25,'Bilateral assistance, MAIN DATA'!$AO:$AO,"Protected Patrol Vehicle (PPV)")+SUMIFS('Bilateral assistance, MAIN DATA'!$M:$M,'Bilateral assistance, MAIN DATA'!$B:$B,M25,'Bilateral assistance, MAIN DATA'!$AO:$AO,"Armoured Utility Vehicle (AUV)")+SUMIFS('Bilateral assistance, MAIN DATA'!$M:$M,'Bilateral assistance, MAIN DATA'!$B:$B,M25,'Bilateral assistance, MAIN DATA'!$AO:$AO,"Infantry fighting vehicle (IFV)")</f>
        <v>0</v>
      </c>
      <c r="O25" s="645">
        <f>SUMIFS('Bilateral assistance, MAIN DATA'!$N:$N,'Bilateral assistance, MAIN DATA'!$B:$B,M25,'Bilateral assistance, MAIN DATA'!$AO:$AO,"Armoured Personnel Carrier (APC)")+SUMIFS('Bilateral assistance, MAIN DATA'!$N:$N,'Bilateral assistance, MAIN DATA'!$B:$B,M25,'Bilateral assistance, MAIN DATA'!$AO:$AO,"Protected Patrol Vehicle (PPV)")+SUMIFS('Bilateral assistance, MAIN DATA'!$N:$N,'Bilateral assistance, MAIN DATA'!$B:$B,M25,'Bilateral assistance, MAIN DATA'!$AO:$AO,"Armoured Utility Vehicle (AUV)")+SUMIFS('Bilateral assistance, MAIN DATA'!$N:$N,'Bilateral assistance, MAIN DATA'!$B:$B,M25,'Bilateral assistance, MAIN DATA'!$AO:$AO,"Infantry fighting vehicle (IFV)")</f>
        <v>0</v>
      </c>
    </row>
    <row r="26" spans="1:15">
      <c r="A26" s="33" t="s">
        <v>1335</v>
      </c>
      <c r="B26" s="645">
        <f>SUMIFS('Bilateral assistance, MAIN DATA'!$M:$M, 'Bilateral assistance, MAIN DATA'!$I:$I,"M777 howitzer",'Bilateral assistance, MAIN DATA'!$B:$B,A26)+SUMIFS('Bilateral assistance, MAIN DATA'!$M:$M, 'Bilateral assistance, MAIN DATA'!$I:$I,"FH70 155mm howitzer",'Bilateral assistance, MAIN DATA'!$B:$B,A26)+SUMIFS('Bilateral assistance, MAIN DATA'!$M:$M, 'Bilateral assistance, MAIN DATA'!$I:$I,"CAESAR artillery howitzer",'Bilateral assistance, MAIN DATA'!$B:$B,A26)+SUMIFS('Bilateral assistance, MAIN DATA'!$M:$M, 'Bilateral assistance, MAIN DATA'!$I:$I,"M109 155mm howitzer",'Bilateral assistance, MAIN DATA'!$B:$B,A26)+SUMIFS('Bilateral assistance, MAIN DATA'!$M:$M, 'Bilateral assistance, MAIN DATA'!$I:$I,"AHS Krab self-propelled howitzer",'Bilateral assistance, MAIN DATA'!$B:$B,A26)+SUMIFS('Bilateral assistance, MAIN DATA'!$M:$M, 'Bilateral assistance, MAIN DATA'!$I:$I,"M114 155mm Howitzer",'Bilateral assistance, MAIN DATA'!$B:$B,A26)+SUMIFS('Bilateral assistance, MAIN DATA'!$M:$M, 'Bilateral assistance, MAIN DATA'!$I:$I,"Panzerhaubitze 2000",'Bilateral assistance, MAIN DATA'!$B:$B,A26)+SUMIFS('Bilateral assistance, MAIN DATA'!$M:$M, 'Bilateral assistance, MAIN DATA'!$I:$I,"155mm Howitzer",'Bilateral assistance, MAIN DATA'!$B:$B,A26)+SUMIFS('Bilateral assistance, MAIN DATA'!$M:$M, 'Bilateral assistance, MAIN DATA'!$I:$I,"M109 A3GM 155mm howitzer",'Bilateral assistance, MAIN DATA'!$B:$B,A26)+SUMIFS('Bilateral assistance, MAIN DATA'!$M:$M, 'Bilateral assistance, MAIN DATA'!$I:$I,"Zusana-2 howitzer",'Bilateral assistance, MAIN DATA'!$B:$B,A26)+SUMIFS('Bilateral assistance, MAIN DATA'!$M:$M, 'Bilateral assistance, MAIN DATA'!$I:$I,"AS-90",'Bilateral assistance, MAIN DATA'!$B:$B,A26)</f>
        <v>0</v>
      </c>
      <c r="C26" s="645">
        <f>SUMIFS('Bilateral assistance, MAIN DATA'!$N:$N,'Bilateral assistance, MAIN DATA'!$B:$B,A26,'Bilateral assistance, MAIN DATA'!$AO:$AO,"155mm howitzer")</f>
        <v>0</v>
      </c>
      <c r="D26" s="645"/>
      <c r="E26" s="33" t="s">
        <v>1383</v>
      </c>
      <c r="F26" s="645">
        <f>SUMIFS('Bilateral assistance, MAIN DATA'!$M:$M,'Bilateral assistance, MAIN DATA'!$B:$B,E26,'Bilateral assistance, MAIN DATA'!$AO:$AO,"122mm MLRS")+SUMIFS('Bilateral assistance, MAIN DATA'!$M:$M,'Bilateral assistance, MAIN DATA'!$B:$B,E26,'Bilateral assistance, MAIN DATA'!$AO:$AO,"127mm MLRS")+SUMIFS('Bilateral assistance, MAIN DATA'!$M:$M,'Bilateral assistance, MAIN DATA'!$B:$B,E26,'Bilateral assistance, MAIN DATA'!$AO:$AO,"227mm MLRS")</f>
        <v>0</v>
      </c>
      <c r="G26" s="645">
        <f>SUMIFS('Bilateral assistance, MAIN DATA'!$N:$N,'Bilateral assistance, MAIN DATA'!$B:$B,E26,'Bilateral assistance, MAIN DATA'!$AO:$AO,"122mm MLRS")+SUMIFS('Bilateral assistance, MAIN DATA'!$N:$N,'Bilateral assistance, MAIN DATA'!$B:$B,E26,'Bilateral assistance, MAIN DATA'!$AO:$AO,"127mm MLRS")+SUMIFS('Bilateral assistance, MAIN DATA'!$N:$N,'Bilateral assistance, MAIN DATA'!$B:$B,E26,'Bilateral assistance, MAIN DATA'!$AO:$AO,"227mm MLRS")</f>
        <v>0</v>
      </c>
      <c r="H26" s="645"/>
      <c r="I26" s="33" t="s">
        <v>1335</v>
      </c>
      <c r="J26" s="645">
        <f>SUMIFS('Bilateral assistance, MAIN DATA'!$M:$M,'Bilateral assistance, MAIN DATA'!$B:$B,I26,'Bilateral assistance, MAIN DATA'!$AO:$AO,"Main Battle Tank (MBT)")</f>
        <v>0</v>
      </c>
      <c r="K26" s="645">
        <f>SUMIFS('Bilateral assistance, MAIN DATA'!$N:$N,'Bilateral assistance, MAIN DATA'!$B:$B,I26,'Bilateral assistance, MAIN DATA'!$AO:$AO,"Main Battle Tank (MBT)")</f>
        <v>0</v>
      </c>
      <c r="L26" s="645"/>
      <c r="M26" s="33" t="s">
        <v>618</v>
      </c>
      <c r="N26" s="645">
        <f>SUMIFS('Bilateral assistance, MAIN DATA'!$M:$M,'Bilateral assistance, MAIN DATA'!$B:$B,M26,'Bilateral assistance, MAIN DATA'!$AO:$AO,"Armoured Personnel Carrier (APC)")+SUMIFS('Bilateral assistance, MAIN DATA'!$M:$M,'Bilateral assistance, MAIN DATA'!$B:$B,M26,'Bilateral assistance, MAIN DATA'!$AO:$AO,"Protected Patrol Vehicle (PPV)")+SUMIFS('Bilateral assistance, MAIN DATA'!$M:$M,'Bilateral assistance, MAIN DATA'!$B:$B,M26,'Bilateral assistance, MAIN DATA'!$AO:$AO,"Armoured Utility Vehicle (AUV)")+SUMIFS('Bilateral assistance, MAIN DATA'!$M:$M,'Bilateral assistance, MAIN DATA'!$B:$B,M26,'Bilateral assistance, MAIN DATA'!$AO:$AO,"Infantry fighting vehicle (IFV)")</f>
        <v>0</v>
      </c>
      <c r="O26" s="645">
        <f>SUMIFS('Bilateral assistance, MAIN DATA'!$N:$N,'Bilateral assistance, MAIN DATA'!$B:$B,M26,'Bilateral assistance, MAIN DATA'!$AO:$AO,"Armoured Personnel Carrier (APC)")+SUMIFS('Bilateral assistance, MAIN DATA'!$N:$N,'Bilateral assistance, MAIN DATA'!$B:$B,M26,'Bilateral assistance, MAIN DATA'!$AO:$AO,"Protected Patrol Vehicle (PPV)")+SUMIFS('Bilateral assistance, MAIN DATA'!$N:$N,'Bilateral assistance, MAIN DATA'!$B:$B,M26,'Bilateral assistance, MAIN DATA'!$AO:$AO,"Armoured Utility Vehicle (AUV)")+SUMIFS('Bilateral assistance, MAIN DATA'!$N:$N,'Bilateral assistance, MAIN DATA'!$B:$B,M26,'Bilateral assistance, MAIN DATA'!$AO:$AO,"Infantry fighting vehicle (IFV)")</f>
        <v>0</v>
      </c>
    </row>
    <row r="27" spans="1:15">
      <c r="A27" s="33" t="s">
        <v>1383</v>
      </c>
      <c r="B27" s="645">
        <f>SUMIFS('Bilateral assistance, MAIN DATA'!$M:$M, 'Bilateral assistance, MAIN DATA'!$I:$I,"M777 howitzer",'Bilateral assistance, MAIN DATA'!$B:$B,A27)+SUMIFS('Bilateral assistance, MAIN DATA'!$M:$M, 'Bilateral assistance, MAIN DATA'!$I:$I,"FH70 155mm howitzer",'Bilateral assistance, MAIN DATA'!$B:$B,A27)+SUMIFS('Bilateral assistance, MAIN DATA'!$M:$M, 'Bilateral assistance, MAIN DATA'!$I:$I,"CAESAR artillery howitzer",'Bilateral assistance, MAIN DATA'!$B:$B,A27)+SUMIFS('Bilateral assistance, MAIN DATA'!$M:$M, 'Bilateral assistance, MAIN DATA'!$I:$I,"M109 155mm howitzer",'Bilateral assistance, MAIN DATA'!$B:$B,A27)+SUMIFS('Bilateral assistance, MAIN DATA'!$M:$M, 'Bilateral assistance, MAIN DATA'!$I:$I,"AHS Krab self-propelled howitzer",'Bilateral assistance, MAIN DATA'!$B:$B,A27)+SUMIFS('Bilateral assistance, MAIN DATA'!$M:$M, 'Bilateral assistance, MAIN DATA'!$I:$I,"M114 155mm Howitzer",'Bilateral assistance, MAIN DATA'!$B:$B,A27)+SUMIFS('Bilateral assistance, MAIN DATA'!$M:$M, 'Bilateral assistance, MAIN DATA'!$I:$I,"Panzerhaubitze 2000",'Bilateral assistance, MAIN DATA'!$B:$B,A27)+SUMIFS('Bilateral assistance, MAIN DATA'!$M:$M, 'Bilateral assistance, MAIN DATA'!$I:$I,"155mm Howitzer",'Bilateral assistance, MAIN DATA'!$B:$B,A27)+SUMIFS('Bilateral assistance, MAIN DATA'!$M:$M, 'Bilateral assistance, MAIN DATA'!$I:$I,"M109 A3GM 155mm howitzer",'Bilateral assistance, MAIN DATA'!$B:$B,A27)+SUMIFS('Bilateral assistance, MAIN DATA'!$M:$M, 'Bilateral assistance, MAIN DATA'!$I:$I,"Zusana-2 howitzer",'Bilateral assistance, MAIN DATA'!$B:$B,A27)+SUMIFS('Bilateral assistance, MAIN DATA'!$M:$M, 'Bilateral assistance, MAIN DATA'!$I:$I,"AS-90",'Bilateral assistance, MAIN DATA'!$B:$B,A27)</f>
        <v>0</v>
      </c>
      <c r="C27" s="645">
        <f>SUMIFS('Bilateral assistance, MAIN DATA'!$N:$N,'Bilateral assistance, MAIN DATA'!$B:$B,A27,'Bilateral assistance, MAIN DATA'!$AO:$AO,"155mm howitzer")</f>
        <v>0</v>
      </c>
      <c r="D27" s="645"/>
      <c r="E27" s="33" t="s">
        <v>1412</v>
      </c>
      <c r="F27" s="645">
        <f>SUMIFS('Bilateral assistance, MAIN DATA'!$M:$M,'Bilateral assistance, MAIN DATA'!$B:$B,E27,'Bilateral assistance, MAIN DATA'!$AO:$AO,"122mm MLRS")+SUMIFS('Bilateral assistance, MAIN DATA'!$M:$M,'Bilateral assistance, MAIN DATA'!$B:$B,E27,'Bilateral assistance, MAIN DATA'!$AO:$AO,"127mm MLRS")+SUMIFS('Bilateral assistance, MAIN DATA'!$M:$M,'Bilateral assistance, MAIN DATA'!$B:$B,E27,'Bilateral assistance, MAIN DATA'!$AO:$AO,"227mm MLRS")</f>
        <v>2</v>
      </c>
      <c r="G27" s="645">
        <f>SUMIFS('Bilateral assistance, MAIN DATA'!$N:$N,'Bilateral assistance, MAIN DATA'!$B:$B,E27,'Bilateral assistance, MAIN DATA'!$AO:$AO,"122mm MLRS")+SUMIFS('Bilateral assistance, MAIN DATA'!$N:$N,'Bilateral assistance, MAIN DATA'!$B:$B,E27,'Bilateral assistance, MAIN DATA'!$AO:$AO,"127mm MLRS")+SUMIFS('Bilateral assistance, MAIN DATA'!$N:$N,'Bilateral assistance, MAIN DATA'!$B:$B,E27,'Bilateral assistance, MAIN DATA'!$AO:$AO,"227mm MLRS")</f>
        <v>2</v>
      </c>
      <c r="H27" s="645"/>
      <c r="I27" s="33" t="s">
        <v>1383</v>
      </c>
      <c r="J27" s="645">
        <f>SUMIFS('Bilateral assistance, MAIN DATA'!$M:$M,'Bilateral assistance, MAIN DATA'!$B:$B,I27,'Bilateral assistance, MAIN DATA'!$AO:$AO,"Main Battle Tank (MBT)")</f>
        <v>0</v>
      </c>
      <c r="K27" s="645">
        <f>SUMIFS('Bilateral assistance, MAIN DATA'!$N:$N,'Bilateral assistance, MAIN DATA'!$B:$B,I27,'Bilateral assistance, MAIN DATA'!$AO:$AO,"Main Battle Tank (MBT)")</f>
        <v>0</v>
      </c>
      <c r="L27" s="645"/>
      <c r="M27" s="33" t="s">
        <v>2825</v>
      </c>
      <c r="N27" s="645">
        <f>SUMIFS('Bilateral assistance, MAIN DATA'!$M:$M,'Bilateral assistance, MAIN DATA'!$B:$B,M27,'Bilateral assistance, MAIN DATA'!$AO:$AO,"Armoured Personnel Carrier (APC)")+SUMIFS('Bilateral assistance, MAIN DATA'!$M:$M,'Bilateral assistance, MAIN DATA'!$B:$B,M27,'Bilateral assistance, MAIN DATA'!$AO:$AO,"Protected Patrol Vehicle (PPV)")+SUMIFS('Bilateral assistance, MAIN DATA'!$M:$M,'Bilateral assistance, MAIN DATA'!$B:$B,M27,'Bilateral assistance, MAIN DATA'!$AO:$AO,"Armoured Utility Vehicle (AUV)")+SUMIFS('Bilateral assistance, MAIN DATA'!$M:$M,'Bilateral assistance, MAIN DATA'!$B:$B,M27,'Bilateral assistance, MAIN DATA'!$AO:$AO,"Infantry fighting vehicle (IFV)")</f>
        <v>0</v>
      </c>
      <c r="O27" s="645">
        <f>SUMIFS('Bilateral assistance, MAIN DATA'!$N:$N,'Bilateral assistance, MAIN DATA'!$B:$B,M27,'Bilateral assistance, MAIN DATA'!$AO:$AO,"Armoured Personnel Carrier (APC)")+SUMIFS('Bilateral assistance, MAIN DATA'!$N:$N,'Bilateral assistance, MAIN DATA'!$B:$B,M27,'Bilateral assistance, MAIN DATA'!$AO:$AO,"Protected Patrol Vehicle (PPV)")+SUMIFS('Bilateral assistance, MAIN DATA'!$N:$N,'Bilateral assistance, MAIN DATA'!$B:$B,M27,'Bilateral assistance, MAIN DATA'!$AO:$AO,"Armoured Utility Vehicle (AUV)")+SUMIFS('Bilateral assistance, MAIN DATA'!$N:$N,'Bilateral assistance, MAIN DATA'!$B:$B,M27,'Bilateral assistance, MAIN DATA'!$AO:$AO,"Infantry fighting vehicle (IFV)")</f>
        <v>0</v>
      </c>
    </row>
    <row r="28" spans="1:15">
      <c r="A28" s="33" t="s">
        <v>1412</v>
      </c>
      <c r="B28" s="645">
        <f>SUMIFS('Bilateral assistance, MAIN DATA'!$M:$M, 'Bilateral assistance, MAIN DATA'!$I:$I,"M777 howitzer",'Bilateral assistance, MAIN DATA'!$B:$B,A28)+SUMIFS('Bilateral assistance, MAIN DATA'!$M:$M, 'Bilateral assistance, MAIN DATA'!$I:$I,"FH70 155mm howitzer",'Bilateral assistance, MAIN DATA'!$B:$B,A28)+SUMIFS('Bilateral assistance, MAIN DATA'!$M:$M, 'Bilateral assistance, MAIN DATA'!$I:$I,"CAESAR artillery howitzer",'Bilateral assistance, MAIN DATA'!$B:$B,A28)+SUMIFS('Bilateral assistance, MAIN DATA'!$M:$M, 'Bilateral assistance, MAIN DATA'!$I:$I,"M109 155mm howitzer",'Bilateral assistance, MAIN DATA'!$B:$B,A28)+SUMIFS('Bilateral assistance, MAIN DATA'!$M:$M, 'Bilateral assistance, MAIN DATA'!$I:$I,"AHS Krab self-propelled howitzer",'Bilateral assistance, MAIN DATA'!$B:$B,A28)+SUMIFS('Bilateral assistance, MAIN DATA'!$M:$M, 'Bilateral assistance, MAIN DATA'!$I:$I,"M114 155mm Howitzer",'Bilateral assistance, MAIN DATA'!$B:$B,A28)+SUMIFS('Bilateral assistance, MAIN DATA'!$M:$M, 'Bilateral assistance, MAIN DATA'!$I:$I,"Panzerhaubitze 2000",'Bilateral assistance, MAIN DATA'!$B:$B,A28)+SUMIFS('Bilateral assistance, MAIN DATA'!$M:$M, 'Bilateral assistance, MAIN DATA'!$I:$I,"155mm Howitzer",'Bilateral assistance, MAIN DATA'!$B:$B,A28)+SUMIFS('Bilateral assistance, MAIN DATA'!$M:$M, 'Bilateral assistance, MAIN DATA'!$I:$I,"M109 A3GM 155mm howitzer",'Bilateral assistance, MAIN DATA'!$B:$B,A28)+SUMIFS('Bilateral assistance, MAIN DATA'!$M:$M, 'Bilateral assistance, MAIN DATA'!$I:$I,"Zusana-2 howitzer",'Bilateral assistance, MAIN DATA'!$B:$B,A28)+SUMIFS('Bilateral assistance, MAIN DATA'!$M:$M, 'Bilateral assistance, MAIN DATA'!$I:$I,"AS-90",'Bilateral assistance, MAIN DATA'!$B:$B,A28)</f>
        <v>36</v>
      </c>
      <c r="C28" s="645">
        <f>SUMIFS('Bilateral assistance, MAIN DATA'!$N:$N,'Bilateral assistance, MAIN DATA'!$B:$B,A28,'Bilateral assistance, MAIN DATA'!$AO:$AO,"155mm howitzer")</f>
        <v>36</v>
      </c>
      <c r="D28" s="645"/>
      <c r="E28" s="33" t="s">
        <v>1471</v>
      </c>
      <c r="F28" s="645">
        <f>SUMIFS('Bilateral assistance, MAIN DATA'!$M:$M,'Bilateral assistance, MAIN DATA'!$B:$B,E28,'Bilateral assistance, MAIN DATA'!$AO:$AO,"122mm MLRS")+SUMIFS('Bilateral assistance, MAIN DATA'!$M:$M,'Bilateral assistance, MAIN DATA'!$B:$B,E28,'Bilateral assistance, MAIN DATA'!$AO:$AO,"127mm MLRS")+SUMIFS('Bilateral assistance, MAIN DATA'!$M:$M,'Bilateral assistance, MAIN DATA'!$B:$B,E28,'Bilateral assistance, MAIN DATA'!$AO:$AO,"227mm MLRS")</f>
        <v>0</v>
      </c>
      <c r="G28" s="645">
        <f>SUMIFS('Bilateral assistance, MAIN DATA'!$N:$N,'Bilateral assistance, MAIN DATA'!$B:$B,E28,'Bilateral assistance, MAIN DATA'!$AO:$AO,"122mm MLRS")+SUMIFS('Bilateral assistance, MAIN DATA'!$N:$N,'Bilateral assistance, MAIN DATA'!$B:$B,E28,'Bilateral assistance, MAIN DATA'!$AO:$AO,"127mm MLRS")+SUMIFS('Bilateral assistance, MAIN DATA'!$N:$N,'Bilateral assistance, MAIN DATA'!$B:$B,E28,'Bilateral assistance, MAIN DATA'!$AO:$AO,"227mm MLRS")</f>
        <v>0</v>
      </c>
      <c r="H28" s="645"/>
      <c r="I28" s="33" t="s">
        <v>1412</v>
      </c>
      <c r="J28" s="645">
        <f>SUMIFS('Bilateral assistance, MAIN DATA'!$M:$M,'Bilateral assistance, MAIN DATA'!$B:$B,I28,'Bilateral assistance, MAIN DATA'!$AO:$AO,"Main Battle Tank (MBT)")</f>
        <v>0</v>
      </c>
      <c r="K28" s="645">
        <f>SUMIFS('Bilateral assistance, MAIN DATA'!$N:$N,'Bilateral assistance, MAIN DATA'!$B:$B,I28,'Bilateral assistance, MAIN DATA'!$AO:$AO,"Main Battle Tank (MBT)")</f>
        <v>0</v>
      </c>
      <c r="L28" s="645"/>
      <c r="M28" s="33" t="s">
        <v>2885</v>
      </c>
      <c r="N28" s="645">
        <f>SUMIFS('Bilateral assistance, MAIN DATA'!$M:$M,'Bilateral assistance, MAIN DATA'!$B:$B,M28,'Bilateral assistance, MAIN DATA'!$AO:$AO,"Armoured Personnel Carrier (APC)")+SUMIFS('Bilateral assistance, MAIN DATA'!$M:$M,'Bilateral assistance, MAIN DATA'!$B:$B,M28,'Bilateral assistance, MAIN DATA'!$AO:$AO,"Protected Patrol Vehicle (PPV)")+SUMIFS('Bilateral assistance, MAIN DATA'!$M:$M,'Bilateral assistance, MAIN DATA'!$B:$B,M28,'Bilateral assistance, MAIN DATA'!$AO:$AO,"Armoured Utility Vehicle (AUV)")+SUMIFS('Bilateral assistance, MAIN DATA'!$M:$M,'Bilateral assistance, MAIN DATA'!$B:$B,M28,'Bilateral assistance, MAIN DATA'!$AO:$AO,"Infantry fighting vehicle (IFV)")</f>
        <v>0</v>
      </c>
      <c r="O28" s="645">
        <f>SUMIFS('Bilateral assistance, MAIN DATA'!$N:$N,'Bilateral assistance, MAIN DATA'!$B:$B,M28,'Bilateral assistance, MAIN DATA'!$AO:$AO,"Armoured Personnel Carrier (APC)")+SUMIFS('Bilateral assistance, MAIN DATA'!$N:$N,'Bilateral assistance, MAIN DATA'!$B:$B,M28,'Bilateral assistance, MAIN DATA'!$AO:$AO,"Protected Patrol Vehicle (PPV)")+SUMIFS('Bilateral assistance, MAIN DATA'!$N:$N,'Bilateral assistance, MAIN DATA'!$B:$B,M28,'Bilateral assistance, MAIN DATA'!$AO:$AO,"Armoured Utility Vehicle (AUV)")+SUMIFS('Bilateral assistance, MAIN DATA'!$N:$N,'Bilateral assistance, MAIN DATA'!$B:$B,M28,'Bilateral assistance, MAIN DATA'!$AO:$AO,"Infantry fighting vehicle (IFV)")</f>
        <v>0</v>
      </c>
    </row>
    <row r="29" spans="1:15">
      <c r="A29" s="33" t="s">
        <v>1471</v>
      </c>
      <c r="B29" s="645">
        <f>SUMIFS('Bilateral assistance, MAIN DATA'!$M:$M, 'Bilateral assistance, MAIN DATA'!$I:$I,"M777 howitzer",'Bilateral assistance, MAIN DATA'!$B:$B,A29)+SUMIFS('Bilateral assistance, MAIN DATA'!$M:$M, 'Bilateral assistance, MAIN DATA'!$I:$I,"FH70 155mm howitzer",'Bilateral assistance, MAIN DATA'!$B:$B,A29)+SUMIFS('Bilateral assistance, MAIN DATA'!$M:$M, 'Bilateral assistance, MAIN DATA'!$I:$I,"CAESAR artillery howitzer",'Bilateral assistance, MAIN DATA'!$B:$B,A29)+SUMIFS('Bilateral assistance, MAIN DATA'!$M:$M, 'Bilateral assistance, MAIN DATA'!$I:$I,"M109 155mm howitzer",'Bilateral assistance, MAIN DATA'!$B:$B,A29)+SUMIFS('Bilateral assistance, MAIN DATA'!$M:$M, 'Bilateral assistance, MAIN DATA'!$I:$I,"AHS Krab self-propelled howitzer",'Bilateral assistance, MAIN DATA'!$B:$B,A29)+SUMIFS('Bilateral assistance, MAIN DATA'!$M:$M, 'Bilateral assistance, MAIN DATA'!$I:$I,"M114 155mm Howitzer",'Bilateral assistance, MAIN DATA'!$B:$B,A29)+SUMIFS('Bilateral assistance, MAIN DATA'!$M:$M, 'Bilateral assistance, MAIN DATA'!$I:$I,"Panzerhaubitze 2000",'Bilateral assistance, MAIN DATA'!$B:$B,A29)+SUMIFS('Bilateral assistance, MAIN DATA'!$M:$M, 'Bilateral assistance, MAIN DATA'!$I:$I,"155mm Howitzer",'Bilateral assistance, MAIN DATA'!$B:$B,A29)+SUMIFS('Bilateral assistance, MAIN DATA'!$M:$M, 'Bilateral assistance, MAIN DATA'!$I:$I,"M109 A3GM 155mm howitzer",'Bilateral assistance, MAIN DATA'!$B:$B,A29)+SUMIFS('Bilateral assistance, MAIN DATA'!$M:$M, 'Bilateral assistance, MAIN DATA'!$I:$I,"Zusana-2 howitzer",'Bilateral assistance, MAIN DATA'!$B:$B,A29)+SUMIFS('Bilateral assistance, MAIN DATA'!$M:$M, 'Bilateral assistance, MAIN DATA'!$I:$I,"AS-90",'Bilateral assistance, MAIN DATA'!$B:$B,A29)</f>
        <v>0</v>
      </c>
      <c r="C29" s="645">
        <f>SUMIFS('Bilateral assistance, MAIN DATA'!$N:$N,'Bilateral assistance, MAIN DATA'!$B:$B,A29,'Bilateral assistance, MAIN DATA'!$AO:$AO,"155mm howitzer")</f>
        <v>0</v>
      </c>
      <c r="D29" s="645"/>
      <c r="E29" s="33" t="s">
        <v>1516</v>
      </c>
      <c r="F29" s="645">
        <f>SUMIFS('Bilateral assistance, MAIN DATA'!$M:$M,'Bilateral assistance, MAIN DATA'!$B:$B,E29,'Bilateral assistance, MAIN DATA'!$AO:$AO,"122mm MLRS")+SUMIFS('Bilateral assistance, MAIN DATA'!$M:$M,'Bilateral assistance, MAIN DATA'!$B:$B,E29,'Bilateral assistance, MAIN DATA'!$AO:$AO,"127mm MLRS")+SUMIFS('Bilateral assistance, MAIN DATA'!$M:$M,'Bilateral assistance, MAIN DATA'!$B:$B,E29,'Bilateral assistance, MAIN DATA'!$AO:$AO,"227mm MLRS")</f>
        <v>0</v>
      </c>
      <c r="G29" s="645">
        <f>SUMIFS('Bilateral assistance, MAIN DATA'!$N:$N,'Bilateral assistance, MAIN DATA'!$B:$B,E29,'Bilateral assistance, MAIN DATA'!$AO:$AO,"122mm MLRS")+SUMIFS('Bilateral assistance, MAIN DATA'!$N:$N,'Bilateral assistance, MAIN DATA'!$B:$B,E29,'Bilateral assistance, MAIN DATA'!$AO:$AO,"127mm MLRS")+SUMIFS('Bilateral assistance, MAIN DATA'!$N:$N,'Bilateral assistance, MAIN DATA'!$B:$B,E29,'Bilateral assistance, MAIN DATA'!$AO:$AO,"227mm MLRS")</f>
        <v>0</v>
      </c>
      <c r="H29" s="645"/>
      <c r="I29" s="33" t="s">
        <v>1471</v>
      </c>
      <c r="J29" s="645">
        <f>SUMIFS('Bilateral assistance, MAIN DATA'!$M:$M,'Bilateral assistance, MAIN DATA'!$B:$B,I29,'Bilateral assistance, MAIN DATA'!$AO:$AO,"Main Battle Tank (MBT)")</f>
        <v>0</v>
      </c>
      <c r="K29" s="645">
        <f>SUMIFS('Bilateral assistance, MAIN DATA'!$N:$N,'Bilateral assistance, MAIN DATA'!$B:$B,I29,'Bilateral assistance, MAIN DATA'!$AO:$AO,"Main Battle Tank (MBT)")</f>
        <v>0</v>
      </c>
      <c r="L29" s="645"/>
      <c r="M29" s="33" t="s">
        <v>2861</v>
      </c>
      <c r="N29" s="645">
        <f>SUMIFS('Bilateral assistance, MAIN DATA'!$M:$M,'Bilateral assistance, MAIN DATA'!$B:$B,M29,'Bilateral assistance, MAIN DATA'!$AO:$AO,"Armoured Personnel Carrier (APC)")+SUMIFS('Bilateral assistance, MAIN DATA'!$M:$M,'Bilateral assistance, MAIN DATA'!$B:$B,M29,'Bilateral assistance, MAIN DATA'!$AO:$AO,"Protected Patrol Vehicle (PPV)")+SUMIFS('Bilateral assistance, MAIN DATA'!$M:$M,'Bilateral assistance, MAIN DATA'!$B:$B,M29,'Bilateral assistance, MAIN DATA'!$AO:$AO,"Armoured Utility Vehicle (AUV)")+SUMIFS('Bilateral assistance, MAIN DATA'!$M:$M,'Bilateral assistance, MAIN DATA'!$B:$B,M29,'Bilateral assistance, MAIN DATA'!$AO:$AO,"Infantry fighting vehicle (IFV)")</f>
        <v>0</v>
      </c>
      <c r="O29" s="645">
        <f>SUMIFS('Bilateral assistance, MAIN DATA'!$N:$N,'Bilateral assistance, MAIN DATA'!$B:$B,M29,'Bilateral assistance, MAIN DATA'!$AO:$AO,"Armoured Personnel Carrier (APC)")+SUMIFS('Bilateral assistance, MAIN DATA'!$N:$N,'Bilateral assistance, MAIN DATA'!$B:$B,M29,'Bilateral assistance, MAIN DATA'!$AO:$AO,"Protected Patrol Vehicle (PPV)")+SUMIFS('Bilateral assistance, MAIN DATA'!$N:$N,'Bilateral assistance, MAIN DATA'!$B:$B,M29,'Bilateral assistance, MAIN DATA'!$AO:$AO,"Armoured Utility Vehicle (AUV)")+SUMIFS('Bilateral assistance, MAIN DATA'!$N:$N,'Bilateral assistance, MAIN DATA'!$B:$B,M29,'Bilateral assistance, MAIN DATA'!$AO:$AO,"Infantry fighting vehicle (IFV)")</f>
        <v>0</v>
      </c>
    </row>
    <row r="30" spans="1:15">
      <c r="A30" s="33" t="s">
        <v>1562</v>
      </c>
      <c r="B30" s="645">
        <f>SUMIFS('Bilateral assistance, MAIN DATA'!$M:$M, 'Bilateral assistance, MAIN DATA'!$I:$I,"M777 howitzer",'Bilateral assistance, MAIN DATA'!$B:$B,A30)+SUMIFS('Bilateral assistance, MAIN DATA'!$M:$M, 'Bilateral assistance, MAIN DATA'!$I:$I,"FH70 155mm howitzer",'Bilateral assistance, MAIN DATA'!$B:$B,A30)+SUMIFS('Bilateral assistance, MAIN DATA'!$M:$M, 'Bilateral assistance, MAIN DATA'!$I:$I,"CAESAR artillery howitzer",'Bilateral assistance, MAIN DATA'!$B:$B,A30)+SUMIFS('Bilateral assistance, MAIN DATA'!$M:$M, 'Bilateral assistance, MAIN DATA'!$I:$I,"M109 155mm howitzer",'Bilateral assistance, MAIN DATA'!$B:$B,A30)+SUMIFS('Bilateral assistance, MAIN DATA'!$M:$M, 'Bilateral assistance, MAIN DATA'!$I:$I,"AHS Krab self-propelled howitzer",'Bilateral assistance, MAIN DATA'!$B:$B,A30)+SUMIFS('Bilateral assistance, MAIN DATA'!$M:$M, 'Bilateral assistance, MAIN DATA'!$I:$I,"M114 155mm Howitzer",'Bilateral assistance, MAIN DATA'!$B:$B,A30)+SUMIFS('Bilateral assistance, MAIN DATA'!$M:$M, 'Bilateral assistance, MAIN DATA'!$I:$I,"Panzerhaubitze 2000",'Bilateral assistance, MAIN DATA'!$B:$B,A30)+SUMIFS('Bilateral assistance, MAIN DATA'!$M:$M, 'Bilateral assistance, MAIN DATA'!$I:$I,"155mm Howitzer",'Bilateral assistance, MAIN DATA'!$B:$B,A30)+SUMIFS('Bilateral assistance, MAIN DATA'!$M:$M, 'Bilateral assistance, MAIN DATA'!$I:$I,"M109 A3GM 155mm howitzer",'Bilateral assistance, MAIN DATA'!$B:$B,A30)+SUMIFS('Bilateral assistance, MAIN DATA'!$M:$M, 'Bilateral assistance, MAIN DATA'!$I:$I,"Zusana-2 howitzer",'Bilateral assistance, MAIN DATA'!$B:$B,A30)+SUMIFS('Bilateral assistance, MAIN DATA'!$M:$M, 'Bilateral assistance, MAIN DATA'!$I:$I,"AS-90",'Bilateral assistance, MAIN DATA'!$B:$B,A30)</f>
        <v>0</v>
      </c>
      <c r="C30" s="645">
        <f>SUMIFS('Bilateral assistance, MAIN DATA'!$N:$N,'Bilateral assistance, MAIN DATA'!$B:$B,A30,'Bilateral assistance, MAIN DATA'!$AO:$AO,"155mm howitzer")</f>
        <v>0</v>
      </c>
      <c r="D30" s="645"/>
      <c r="E30" s="33" t="s">
        <v>1562</v>
      </c>
      <c r="F30" s="645">
        <f>SUMIFS('Bilateral assistance, MAIN DATA'!$M:$M,'Bilateral assistance, MAIN DATA'!$B:$B,E30,'Bilateral assistance, MAIN DATA'!$AO:$AO,"122mm MLRS")+SUMIFS('Bilateral assistance, MAIN DATA'!$M:$M,'Bilateral assistance, MAIN DATA'!$B:$B,E30,'Bilateral assistance, MAIN DATA'!$AO:$AO,"127mm MLRS")+SUMIFS('Bilateral assistance, MAIN DATA'!$M:$M,'Bilateral assistance, MAIN DATA'!$B:$B,E30,'Bilateral assistance, MAIN DATA'!$AO:$AO,"227mm MLRS")</f>
        <v>0</v>
      </c>
      <c r="G30" s="645">
        <f>SUMIFS('Bilateral assistance, MAIN DATA'!$N:$N,'Bilateral assistance, MAIN DATA'!$B:$B,E30,'Bilateral assistance, MAIN DATA'!$AO:$AO,"122mm MLRS")+SUMIFS('Bilateral assistance, MAIN DATA'!$N:$N,'Bilateral assistance, MAIN DATA'!$B:$B,E30,'Bilateral assistance, MAIN DATA'!$AO:$AO,"127mm MLRS")+SUMIFS('Bilateral assistance, MAIN DATA'!$N:$N,'Bilateral assistance, MAIN DATA'!$B:$B,E30,'Bilateral assistance, MAIN DATA'!$AO:$AO,"227mm MLRS")</f>
        <v>0</v>
      </c>
      <c r="H30" s="645"/>
      <c r="I30" s="33" t="s">
        <v>1516</v>
      </c>
      <c r="J30" s="645">
        <f>SUMIFS('Bilateral assistance, MAIN DATA'!$M:$M,'Bilateral assistance, MAIN DATA'!$B:$B,I30,'Bilateral assistance, MAIN DATA'!$AO:$AO,"Main Battle Tank (MBT)")</f>
        <v>0</v>
      </c>
      <c r="K30" s="645">
        <f>SUMIFS('Bilateral assistance, MAIN DATA'!$N:$N,'Bilateral assistance, MAIN DATA'!$B:$B,I30,'Bilateral assistance, MAIN DATA'!$AO:$AO,"Main Battle Tank (MBT)")</f>
        <v>0</v>
      </c>
      <c r="L30" s="645"/>
      <c r="M30" s="33" t="s">
        <v>917</v>
      </c>
      <c r="N30" s="645">
        <f>SUMIFS('Bilateral assistance, MAIN DATA'!$M:$M,'Bilateral assistance, MAIN DATA'!$B:$B,M30,'Bilateral assistance, MAIN DATA'!$AO:$AO,"Armoured Personnel Carrier (APC)")+SUMIFS('Bilateral assistance, MAIN DATA'!$M:$M,'Bilateral assistance, MAIN DATA'!$B:$B,M30,'Bilateral assistance, MAIN DATA'!$AO:$AO,"Protected Patrol Vehicle (PPV)")+SUMIFS('Bilateral assistance, MAIN DATA'!$M:$M,'Bilateral assistance, MAIN DATA'!$B:$B,M30,'Bilateral assistance, MAIN DATA'!$AO:$AO,"Armoured Utility Vehicle (AUV)")+SUMIFS('Bilateral assistance, MAIN DATA'!$M:$M,'Bilateral assistance, MAIN DATA'!$B:$B,M30,'Bilateral assistance, MAIN DATA'!$AO:$AO,"Infantry fighting vehicle (IFV)")</f>
        <v>0</v>
      </c>
      <c r="O30" s="645">
        <f>SUMIFS('Bilateral assistance, MAIN DATA'!$N:$N,'Bilateral assistance, MAIN DATA'!$B:$B,M30,'Bilateral assistance, MAIN DATA'!$AO:$AO,"Armoured Personnel Carrier (APC)")+SUMIFS('Bilateral assistance, MAIN DATA'!$N:$N,'Bilateral assistance, MAIN DATA'!$B:$B,M30,'Bilateral assistance, MAIN DATA'!$AO:$AO,"Protected Patrol Vehicle (PPV)")+SUMIFS('Bilateral assistance, MAIN DATA'!$N:$N,'Bilateral assistance, MAIN DATA'!$B:$B,M30,'Bilateral assistance, MAIN DATA'!$AO:$AO,"Armoured Utility Vehicle (AUV)")+SUMIFS('Bilateral assistance, MAIN DATA'!$N:$N,'Bilateral assistance, MAIN DATA'!$B:$B,M30,'Bilateral assistance, MAIN DATA'!$AO:$AO,"Infantry fighting vehicle (IFV)")</f>
        <v>0</v>
      </c>
    </row>
    <row r="31" spans="1:15">
      <c r="A31" s="33" t="s">
        <v>1653</v>
      </c>
      <c r="B31" s="645">
        <f>SUMIFS('Bilateral assistance, MAIN DATA'!$M:$M, 'Bilateral assistance, MAIN DATA'!$I:$I,"M777 howitzer",'Bilateral assistance, MAIN DATA'!$B:$B,A31)+SUMIFS('Bilateral assistance, MAIN DATA'!$M:$M, 'Bilateral assistance, MAIN DATA'!$I:$I,"FH70 155mm howitzer",'Bilateral assistance, MAIN DATA'!$B:$B,A31)+SUMIFS('Bilateral assistance, MAIN DATA'!$M:$M, 'Bilateral assistance, MAIN DATA'!$I:$I,"CAESAR artillery howitzer",'Bilateral assistance, MAIN DATA'!$B:$B,A31)+SUMIFS('Bilateral assistance, MAIN DATA'!$M:$M, 'Bilateral assistance, MAIN DATA'!$I:$I,"M109 155mm howitzer",'Bilateral assistance, MAIN DATA'!$B:$B,A31)+SUMIFS('Bilateral assistance, MAIN DATA'!$M:$M, 'Bilateral assistance, MAIN DATA'!$I:$I,"AHS Krab self-propelled howitzer",'Bilateral assistance, MAIN DATA'!$B:$B,A31)+SUMIFS('Bilateral assistance, MAIN DATA'!$M:$M, 'Bilateral assistance, MAIN DATA'!$I:$I,"M114 155mm Howitzer",'Bilateral assistance, MAIN DATA'!$B:$B,A31)+SUMIFS('Bilateral assistance, MAIN DATA'!$M:$M, 'Bilateral assistance, MAIN DATA'!$I:$I,"Panzerhaubitze 2000",'Bilateral assistance, MAIN DATA'!$B:$B,A31)+SUMIFS('Bilateral assistance, MAIN DATA'!$M:$M, 'Bilateral assistance, MAIN DATA'!$I:$I,"155mm Howitzer",'Bilateral assistance, MAIN DATA'!$B:$B,A31)+SUMIFS('Bilateral assistance, MAIN DATA'!$M:$M, 'Bilateral assistance, MAIN DATA'!$I:$I,"M109 A3GM 155mm howitzer",'Bilateral assistance, MAIN DATA'!$B:$B,A31)+SUMIFS('Bilateral assistance, MAIN DATA'!$M:$M, 'Bilateral assistance, MAIN DATA'!$I:$I,"Zusana-2 howitzer",'Bilateral assistance, MAIN DATA'!$B:$B,A31)+SUMIFS('Bilateral assistance, MAIN DATA'!$M:$M, 'Bilateral assistance, MAIN DATA'!$I:$I,"AS-90",'Bilateral assistance, MAIN DATA'!$B:$B,A31)</f>
        <v>0</v>
      </c>
      <c r="C31" s="645">
        <f>SUMIFS('Bilateral assistance, MAIN DATA'!$N:$N,'Bilateral assistance, MAIN DATA'!$B:$B,A31,'Bilateral assistance, MAIN DATA'!$AO:$AO,"155mm howitzer")</f>
        <v>0</v>
      </c>
      <c r="D31" s="645"/>
      <c r="E31" s="33" t="s">
        <v>1653</v>
      </c>
      <c r="F31" s="645">
        <f>SUMIFS('Bilateral assistance, MAIN DATA'!$M:$M,'Bilateral assistance, MAIN DATA'!$B:$B,E31,'Bilateral assistance, MAIN DATA'!$AO:$AO,"122mm MLRS")+SUMIFS('Bilateral assistance, MAIN DATA'!$M:$M,'Bilateral assistance, MAIN DATA'!$B:$B,E31,'Bilateral assistance, MAIN DATA'!$AO:$AO,"127mm MLRS")+SUMIFS('Bilateral assistance, MAIN DATA'!$M:$M,'Bilateral assistance, MAIN DATA'!$B:$B,E31,'Bilateral assistance, MAIN DATA'!$AO:$AO,"227mm MLRS")</f>
        <v>0</v>
      </c>
      <c r="G31" s="645">
        <f>SUMIFS('Bilateral assistance, MAIN DATA'!$N:$N,'Bilateral assistance, MAIN DATA'!$B:$B,E31,'Bilateral assistance, MAIN DATA'!$AO:$AO,"122mm MLRS")+SUMIFS('Bilateral assistance, MAIN DATA'!$N:$N,'Bilateral assistance, MAIN DATA'!$B:$B,E31,'Bilateral assistance, MAIN DATA'!$AO:$AO,"127mm MLRS")+SUMIFS('Bilateral assistance, MAIN DATA'!$N:$N,'Bilateral assistance, MAIN DATA'!$B:$B,E31,'Bilateral assistance, MAIN DATA'!$AO:$AO,"227mm MLRS")</f>
        <v>0</v>
      </c>
      <c r="H31" s="645"/>
      <c r="I31" s="33" t="s">
        <v>1562</v>
      </c>
      <c r="J31" s="645">
        <f>SUMIFS('Bilateral assistance, MAIN DATA'!$M:$M,'Bilateral assistance, MAIN DATA'!$B:$B,I31,'Bilateral assistance, MAIN DATA'!$AO:$AO,"Main Battle Tank (MBT)")</f>
        <v>0</v>
      </c>
      <c r="K31" s="645">
        <f>SUMIFS('Bilateral assistance, MAIN DATA'!$N:$N,'Bilateral assistance, MAIN DATA'!$B:$B,I31,'Bilateral assistance, MAIN DATA'!$AO:$AO,"Main Battle Tank (MBT)")</f>
        <v>0</v>
      </c>
      <c r="L31" s="645"/>
      <c r="M31" s="33" t="s">
        <v>1335</v>
      </c>
      <c r="N31" s="645">
        <f>SUMIFS('Bilateral assistance, MAIN DATA'!$M:$M,'Bilateral assistance, MAIN DATA'!$B:$B,M31,'Bilateral assistance, MAIN DATA'!$AO:$AO,"Armoured Personnel Carrier (APC)")+SUMIFS('Bilateral assistance, MAIN DATA'!$M:$M,'Bilateral assistance, MAIN DATA'!$B:$B,M31,'Bilateral assistance, MAIN DATA'!$AO:$AO,"Protected Patrol Vehicle (PPV)")+SUMIFS('Bilateral assistance, MAIN DATA'!$M:$M,'Bilateral assistance, MAIN DATA'!$B:$B,M31,'Bilateral assistance, MAIN DATA'!$AO:$AO,"Armoured Utility Vehicle (AUV)")+SUMIFS('Bilateral assistance, MAIN DATA'!$M:$M,'Bilateral assistance, MAIN DATA'!$B:$B,M31,'Bilateral assistance, MAIN DATA'!$AO:$AO,"Infantry fighting vehicle (IFV)")</f>
        <v>0</v>
      </c>
      <c r="O31" s="645">
        <f>SUMIFS('Bilateral assistance, MAIN DATA'!$N:$N,'Bilateral assistance, MAIN DATA'!$B:$B,M31,'Bilateral assistance, MAIN DATA'!$AO:$AO,"Armoured Personnel Carrier (APC)")+SUMIFS('Bilateral assistance, MAIN DATA'!$N:$N,'Bilateral assistance, MAIN DATA'!$B:$B,M31,'Bilateral assistance, MAIN DATA'!$AO:$AO,"Protected Patrol Vehicle (PPV)")+SUMIFS('Bilateral assistance, MAIN DATA'!$N:$N,'Bilateral assistance, MAIN DATA'!$B:$B,M31,'Bilateral assistance, MAIN DATA'!$AO:$AO,"Armoured Utility Vehicle (AUV)")+SUMIFS('Bilateral assistance, MAIN DATA'!$N:$N,'Bilateral assistance, MAIN DATA'!$B:$B,M31,'Bilateral assistance, MAIN DATA'!$AO:$AO,"Infantry fighting vehicle (IFV)")</f>
        <v>0</v>
      </c>
    </row>
    <row r="32" spans="1:15">
      <c r="A32" s="33" t="s">
        <v>1682</v>
      </c>
      <c r="B32" s="645">
        <f>SUMIFS('Bilateral assistance, MAIN DATA'!$M:$M, 'Bilateral assistance, MAIN DATA'!$I:$I,"M777 howitzer",'Bilateral assistance, MAIN DATA'!$B:$B,A32)+SUMIFS('Bilateral assistance, MAIN DATA'!$M:$M, 'Bilateral assistance, MAIN DATA'!$I:$I,"FH70 155mm howitzer",'Bilateral assistance, MAIN DATA'!$B:$B,A32)+SUMIFS('Bilateral assistance, MAIN DATA'!$M:$M, 'Bilateral assistance, MAIN DATA'!$I:$I,"CAESAR artillery howitzer",'Bilateral assistance, MAIN DATA'!$B:$B,A32)+SUMIFS('Bilateral assistance, MAIN DATA'!$M:$M, 'Bilateral assistance, MAIN DATA'!$I:$I,"M109 155mm howitzer",'Bilateral assistance, MAIN DATA'!$B:$B,A32)+SUMIFS('Bilateral assistance, MAIN DATA'!$M:$M, 'Bilateral assistance, MAIN DATA'!$I:$I,"AHS Krab self-propelled howitzer",'Bilateral assistance, MAIN DATA'!$B:$B,A32)+SUMIFS('Bilateral assistance, MAIN DATA'!$M:$M, 'Bilateral assistance, MAIN DATA'!$I:$I,"M114 155mm Howitzer",'Bilateral assistance, MAIN DATA'!$B:$B,A32)+SUMIFS('Bilateral assistance, MAIN DATA'!$M:$M, 'Bilateral assistance, MAIN DATA'!$I:$I,"Panzerhaubitze 2000",'Bilateral assistance, MAIN DATA'!$B:$B,A32)+SUMIFS('Bilateral assistance, MAIN DATA'!$M:$M, 'Bilateral assistance, MAIN DATA'!$I:$I,"155mm Howitzer",'Bilateral assistance, MAIN DATA'!$B:$B,A32)+SUMIFS('Bilateral assistance, MAIN DATA'!$M:$M, 'Bilateral assistance, MAIN DATA'!$I:$I,"M109 A3GM 155mm howitzer",'Bilateral assistance, MAIN DATA'!$B:$B,A32)+SUMIFS('Bilateral assistance, MAIN DATA'!$M:$M, 'Bilateral assistance, MAIN DATA'!$I:$I,"Zusana-2 howitzer",'Bilateral assistance, MAIN DATA'!$B:$B,A32)+SUMIFS('Bilateral assistance, MAIN DATA'!$M:$M, 'Bilateral assistance, MAIN DATA'!$I:$I,"AS-90",'Bilateral assistance, MAIN DATA'!$B:$B,A32)</f>
        <v>0</v>
      </c>
      <c r="C32" s="645">
        <f>SUMIFS('Bilateral assistance, MAIN DATA'!$N:$N,'Bilateral assistance, MAIN DATA'!$B:$B,A32,'Bilateral assistance, MAIN DATA'!$AO:$AO,"155mm howitzer")</f>
        <v>0</v>
      </c>
      <c r="D32" s="645"/>
      <c r="E32" s="33" t="s">
        <v>1682</v>
      </c>
      <c r="F32" s="645">
        <f>SUMIFS('Bilateral assistance, MAIN DATA'!$M:$M,'Bilateral assistance, MAIN DATA'!$B:$B,E32,'Bilateral assistance, MAIN DATA'!$AO:$AO,"122mm MLRS")+SUMIFS('Bilateral assistance, MAIN DATA'!$M:$M,'Bilateral assistance, MAIN DATA'!$B:$B,E32,'Bilateral assistance, MAIN DATA'!$AO:$AO,"127mm MLRS")+SUMIFS('Bilateral assistance, MAIN DATA'!$M:$M,'Bilateral assistance, MAIN DATA'!$B:$B,E32,'Bilateral assistance, MAIN DATA'!$AO:$AO,"227mm MLRS")</f>
        <v>0</v>
      </c>
      <c r="G32" s="645">
        <f>SUMIFS('Bilateral assistance, MAIN DATA'!$N:$N,'Bilateral assistance, MAIN DATA'!$B:$B,E32,'Bilateral assistance, MAIN DATA'!$AO:$AO,"122mm MLRS")+SUMIFS('Bilateral assistance, MAIN DATA'!$N:$N,'Bilateral assistance, MAIN DATA'!$B:$B,E32,'Bilateral assistance, MAIN DATA'!$AO:$AO,"127mm MLRS")+SUMIFS('Bilateral assistance, MAIN DATA'!$N:$N,'Bilateral assistance, MAIN DATA'!$B:$B,E32,'Bilateral assistance, MAIN DATA'!$AO:$AO,"227mm MLRS")</f>
        <v>0</v>
      </c>
      <c r="H32" s="645"/>
      <c r="I32" s="33" t="s">
        <v>1653</v>
      </c>
      <c r="J32" s="645">
        <f>SUMIFS('Bilateral assistance, MAIN DATA'!$M:$M,'Bilateral assistance, MAIN DATA'!$B:$B,I32,'Bilateral assistance, MAIN DATA'!$AO:$AO,"Main Battle Tank (MBT)")</f>
        <v>0</v>
      </c>
      <c r="K32" s="645">
        <f>SUMIFS('Bilateral assistance, MAIN DATA'!$N:$N,'Bilateral assistance, MAIN DATA'!$B:$B,I32,'Bilateral assistance, MAIN DATA'!$AO:$AO,"Main Battle Tank (MBT)")</f>
        <v>0</v>
      </c>
      <c r="L32" s="645"/>
      <c r="M32" s="33" t="s">
        <v>1383</v>
      </c>
      <c r="N32" s="645">
        <f>SUMIFS('Bilateral assistance, MAIN DATA'!$M:$M,'Bilateral assistance, MAIN DATA'!$B:$B,M32,'Bilateral assistance, MAIN DATA'!$AO:$AO,"Armoured Personnel Carrier (APC)")+SUMIFS('Bilateral assistance, MAIN DATA'!$M:$M,'Bilateral assistance, MAIN DATA'!$B:$B,M32,'Bilateral assistance, MAIN DATA'!$AO:$AO,"Protected Patrol Vehicle (PPV)")+SUMIFS('Bilateral assistance, MAIN DATA'!$M:$M,'Bilateral assistance, MAIN DATA'!$B:$B,M32,'Bilateral assistance, MAIN DATA'!$AO:$AO,"Armoured Utility Vehicle (AUV)")+SUMIFS('Bilateral assistance, MAIN DATA'!$M:$M,'Bilateral assistance, MAIN DATA'!$B:$B,M32,'Bilateral assistance, MAIN DATA'!$AO:$AO,"Infantry fighting vehicle (IFV)")</f>
        <v>0</v>
      </c>
      <c r="O32" s="645">
        <f>SUMIFS('Bilateral assistance, MAIN DATA'!$N:$N,'Bilateral assistance, MAIN DATA'!$B:$B,M32,'Bilateral assistance, MAIN DATA'!$AO:$AO,"Armoured Personnel Carrier (APC)")+SUMIFS('Bilateral assistance, MAIN DATA'!$N:$N,'Bilateral assistance, MAIN DATA'!$B:$B,M32,'Bilateral assistance, MAIN DATA'!$AO:$AO,"Protected Patrol Vehicle (PPV)")+SUMIFS('Bilateral assistance, MAIN DATA'!$N:$N,'Bilateral assistance, MAIN DATA'!$B:$B,M32,'Bilateral assistance, MAIN DATA'!$AO:$AO,"Armoured Utility Vehicle (AUV)")+SUMIFS('Bilateral assistance, MAIN DATA'!$N:$N,'Bilateral assistance, MAIN DATA'!$B:$B,M32,'Bilateral assistance, MAIN DATA'!$AO:$AO,"Infantry fighting vehicle (IFV)")</f>
        <v>0</v>
      </c>
    </row>
    <row r="33" spans="1:15">
      <c r="A33" s="33" t="s">
        <v>1766</v>
      </c>
      <c r="B33" s="645">
        <f>SUMIFS('Bilateral assistance, MAIN DATA'!$M:$M, 'Bilateral assistance, MAIN DATA'!$I:$I,"M777 howitzer",'Bilateral assistance, MAIN DATA'!$B:$B,A33)+SUMIFS('Bilateral assistance, MAIN DATA'!$M:$M, 'Bilateral assistance, MAIN DATA'!$I:$I,"FH70 155mm howitzer",'Bilateral assistance, MAIN DATA'!$B:$B,A33)+SUMIFS('Bilateral assistance, MAIN DATA'!$M:$M, 'Bilateral assistance, MAIN DATA'!$I:$I,"CAESAR artillery howitzer",'Bilateral assistance, MAIN DATA'!$B:$B,A33)+SUMIFS('Bilateral assistance, MAIN DATA'!$M:$M, 'Bilateral assistance, MAIN DATA'!$I:$I,"M109 155mm howitzer",'Bilateral assistance, MAIN DATA'!$B:$B,A33)+SUMIFS('Bilateral assistance, MAIN DATA'!$M:$M, 'Bilateral assistance, MAIN DATA'!$I:$I,"AHS Krab self-propelled howitzer",'Bilateral assistance, MAIN DATA'!$B:$B,A33)+SUMIFS('Bilateral assistance, MAIN DATA'!$M:$M, 'Bilateral assistance, MAIN DATA'!$I:$I,"M114 155mm Howitzer",'Bilateral assistance, MAIN DATA'!$B:$B,A33)+SUMIFS('Bilateral assistance, MAIN DATA'!$M:$M, 'Bilateral assistance, MAIN DATA'!$I:$I,"Panzerhaubitze 2000",'Bilateral assistance, MAIN DATA'!$B:$B,A33)+SUMIFS('Bilateral assistance, MAIN DATA'!$M:$M, 'Bilateral assistance, MAIN DATA'!$I:$I,"155mm Howitzer",'Bilateral assistance, MAIN DATA'!$B:$B,A33)+SUMIFS('Bilateral assistance, MAIN DATA'!$M:$M, 'Bilateral assistance, MAIN DATA'!$I:$I,"M109 A3GM 155mm howitzer",'Bilateral assistance, MAIN DATA'!$B:$B,A33)+SUMIFS('Bilateral assistance, MAIN DATA'!$M:$M, 'Bilateral assistance, MAIN DATA'!$I:$I,"Zusana-2 howitzer",'Bilateral assistance, MAIN DATA'!$B:$B,A33)+SUMIFS('Bilateral assistance, MAIN DATA'!$M:$M, 'Bilateral assistance, MAIN DATA'!$I:$I,"AS-90",'Bilateral assistance, MAIN DATA'!$B:$B,A33)</f>
        <v>0</v>
      </c>
      <c r="C33" s="645">
        <f>SUMIFS('Bilateral assistance, MAIN DATA'!$N:$N,'Bilateral assistance, MAIN DATA'!$B:$B,A33,'Bilateral assistance, MAIN DATA'!$AO:$AO,"155mm howitzer")</f>
        <v>0</v>
      </c>
      <c r="D33" s="645"/>
      <c r="E33" s="33" t="s">
        <v>1766</v>
      </c>
      <c r="F33" s="645">
        <f>SUMIFS('Bilateral assistance, MAIN DATA'!$M:$M,'Bilateral assistance, MAIN DATA'!$B:$B,E33,'Bilateral assistance, MAIN DATA'!$AO:$AO,"122mm MLRS")+SUMIFS('Bilateral assistance, MAIN DATA'!$M:$M,'Bilateral assistance, MAIN DATA'!$B:$B,E33,'Bilateral assistance, MAIN DATA'!$AO:$AO,"127mm MLRS")+SUMIFS('Bilateral assistance, MAIN DATA'!$M:$M,'Bilateral assistance, MAIN DATA'!$B:$B,E33,'Bilateral assistance, MAIN DATA'!$AO:$AO,"227mm MLRS")</f>
        <v>0</v>
      </c>
      <c r="G33" s="645">
        <f>SUMIFS('Bilateral assistance, MAIN DATA'!$N:$N,'Bilateral assistance, MAIN DATA'!$B:$B,E33,'Bilateral assistance, MAIN DATA'!$AO:$AO,"122mm MLRS")+SUMIFS('Bilateral assistance, MAIN DATA'!$N:$N,'Bilateral assistance, MAIN DATA'!$B:$B,E33,'Bilateral assistance, MAIN DATA'!$AO:$AO,"127mm MLRS")+SUMIFS('Bilateral assistance, MAIN DATA'!$N:$N,'Bilateral assistance, MAIN DATA'!$B:$B,E33,'Bilateral assistance, MAIN DATA'!$AO:$AO,"227mm MLRS")</f>
        <v>0</v>
      </c>
      <c r="H33" s="645"/>
      <c r="I33" s="33" t="s">
        <v>1682</v>
      </c>
      <c r="J33" s="645">
        <f>SUMIFS('Bilateral assistance, MAIN DATA'!$M:$M,'Bilateral assistance, MAIN DATA'!$B:$B,I33,'Bilateral assistance, MAIN DATA'!$AO:$AO,"Main Battle Tank (MBT)")</f>
        <v>0</v>
      </c>
      <c r="K33" s="645">
        <f>SUMIFS('Bilateral assistance, MAIN DATA'!$N:$N,'Bilateral assistance, MAIN DATA'!$B:$B,I33,'Bilateral assistance, MAIN DATA'!$AO:$AO,"Main Battle Tank (MBT)")</f>
        <v>0</v>
      </c>
      <c r="L33" s="645"/>
      <c r="M33" s="33" t="s">
        <v>1471</v>
      </c>
      <c r="N33" s="645">
        <f>SUMIFS('Bilateral assistance, MAIN DATA'!$M:$M,'Bilateral assistance, MAIN DATA'!$B:$B,M33,'Bilateral assistance, MAIN DATA'!$AO:$AO,"Armoured Personnel Carrier (APC)")+SUMIFS('Bilateral assistance, MAIN DATA'!$M:$M,'Bilateral assistance, MAIN DATA'!$B:$B,M33,'Bilateral assistance, MAIN DATA'!$AO:$AO,"Protected Patrol Vehicle (PPV)")+SUMIFS('Bilateral assistance, MAIN DATA'!$M:$M,'Bilateral assistance, MAIN DATA'!$B:$B,M33,'Bilateral assistance, MAIN DATA'!$AO:$AO,"Armoured Utility Vehicle (AUV)")+SUMIFS('Bilateral assistance, MAIN DATA'!$M:$M,'Bilateral assistance, MAIN DATA'!$B:$B,M33,'Bilateral assistance, MAIN DATA'!$AO:$AO,"Infantry fighting vehicle (IFV)")</f>
        <v>0</v>
      </c>
      <c r="O33" s="645">
        <f>SUMIFS('Bilateral assistance, MAIN DATA'!$N:$N,'Bilateral assistance, MAIN DATA'!$B:$B,M33,'Bilateral assistance, MAIN DATA'!$AO:$AO,"Armoured Personnel Carrier (APC)")+SUMIFS('Bilateral assistance, MAIN DATA'!$N:$N,'Bilateral assistance, MAIN DATA'!$B:$B,M33,'Bilateral assistance, MAIN DATA'!$AO:$AO,"Protected Patrol Vehicle (PPV)")+SUMIFS('Bilateral assistance, MAIN DATA'!$N:$N,'Bilateral assistance, MAIN DATA'!$B:$B,M33,'Bilateral assistance, MAIN DATA'!$AO:$AO,"Armoured Utility Vehicle (AUV)")+SUMIFS('Bilateral assistance, MAIN DATA'!$N:$N,'Bilateral assistance, MAIN DATA'!$B:$B,M33,'Bilateral assistance, MAIN DATA'!$AO:$AO,"Infantry fighting vehicle (IFV)")</f>
        <v>0</v>
      </c>
    </row>
    <row r="34" spans="1:15">
      <c r="A34" s="33" t="s">
        <v>2034</v>
      </c>
      <c r="B34" s="645">
        <f>SUMIFS('Bilateral assistance, MAIN DATA'!$M:$M, 'Bilateral assistance, MAIN DATA'!$I:$I,"M777 howitzer",'Bilateral assistance, MAIN DATA'!$B:$B,A34)+SUMIFS('Bilateral assistance, MAIN DATA'!$M:$M, 'Bilateral assistance, MAIN DATA'!$I:$I,"FH70 155mm howitzer",'Bilateral assistance, MAIN DATA'!$B:$B,A34)+SUMIFS('Bilateral assistance, MAIN DATA'!$M:$M, 'Bilateral assistance, MAIN DATA'!$I:$I,"CAESAR artillery howitzer",'Bilateral assistance, MAIN DATA'!$B:$B,A34)+SUMIFS('Bilateral assistance, MAIN DATA'!$M:$M, 'Bilateral assistance, MAIN DATA'!$I:$I,"M109 155mm howitzer",'Bilateral assistance, MAIN DATA'!$B:$B,A34)+SUMIFS('Bilateral assistance, MAIN DATA'!$M:$M, 'Bilateral assistance, MAIN DATA'!$I:$I,"AHS Krab self-propelled howitzer",'Bilateral assistance, MAIN DATA'!$B:$B,A34)+SUMIFS('Bilateral assistance, MAIN DATA'!$M:$M, 'Bilateral assistance, MAIN DATA'!$I:$I,"M114 155mm Howitzer",'Bilateral assistance, MAIN DATA'!$B:$B,A34)+SUMIFS('Bilateral assistance, MAIN DATA'!$M:$M, 'Bilateral assistance, MAIN DATA'!$I:$I,"Panzerhaubitze 2000",'Bilateral assistance, MAIN DATA'!$B:$B,A34)+SUMIFS('Bilateral assistance, MAIN DATA'!$M:$M, 'Bilateral assistance, MAIN DATA'!$I:$I,"155mm Howitzer",'Bilateral assistance, MAIN DATA'!$B:$B,A34)+SUMIFS('Bilateral assistance, MAIN DATA'!$M:$M, 'Bilateral assistance, MAIN DATA'!$I:$I,"M109 A3GM 155mm howitzer",'Bilateral assistance, MAIN DATA'!$B:$B,A34)+SUMIFS('Bilateral assistance, MAIN DATA'!$M:$M, 'Bilateral assistance, MAIN DATA'!$I:$I,"Zusana-2 howitzer",'Bilateral assistance, MAIN DATA'!$B:$B,A34)+SUMIFS('Bilateral assistance, MAIN DATA'!$M:$M, 'Bilateral assistance, MAIN DATA'!$I:$I,"AS-90",'Bilateral assistance, MAIN DATA'!$B:$B,A34)</f>
        <v>0</v>
      </c>
      <c r="C34" s="645">
        <f>SUMIFS('Bilateral assistance, MAIN DATA'!$N:$N,'Bilateral assistance, MAIN DATA'!$B:$B,A34,'Bilateral assistance, MAIN DATA'!$AO:$AO,"155mm howitzer")</f>
        <v>0</v>
      </c>
      <c r="D34" s="645"/>
      <c r="E34" s="33" t="s">
        <v>2034</v>
      </c>
      <c r="F34" s="645">
        <f>SUMIFS('Bilateral assistance, MAIN DATA'!$M:$M,'Bilateral assistance, MAIN DATA'!$B:$B,E34,'Bilateral assistance, MAIN DATA'!$AO:$AO,"122mm MLRS")+SUMIFS('Bilateral assistance, MAIN DATA'!$M:$M,'Bilateral assistance, MAIN DATA'!$B:$B,E34,'Bilateral assistance, MAIN DATA'!$AO:$AO,"127mm MLRS")+SUMIFS('Bilateral assistance, MAIN DATA'!$M:$M,'Bilateral assistance, MAIN DATA'!$B:$B,E34,'Bilateral assistance, MAIN DATA'!$AO:$AO,"227mm MLRS")</f>
        <v>0</v>
      </c>
      <c r="G34" s="645">
        <f>SUMIFS('Bilateral assistance, MAIN DATA'!$N:$N,'Bilateral assistance, MAIN DATA'!$B:$B,E34,'Bilateral assistance, MAIN DATA'!$AO:$AO,"122mm MLRS")+SUMIFS('Bilateral assistance, MAIN DATA'!$N:$N,'Bilateral assistance, MAIN DATA'!$B:$B,E34,'Bilateral assistance, MAIN DATA'!$AO:$AO,"127mm MLRS")+SUMIFS('Bilateral assistance, MAIN DATA'!$N:$N,'Bilateral assistance, MAIN DATA'!$B:$B,E34,'Bilateral assistance, MAIN DATA'!$AO:$AO,"227mm MLRS")</f>
        <v>0</v>
      </c>
      <c r="H34" s="645"/>
      <c r="I34" s="33" t="s">
        <v>1766</v>
      </c>
      <c r="J34" s="645">
        <f>SUMIFS('Bilateral assistance, MAIN DATA'!$M:$M,'Bilateral assistance, MAIN DATA'!$B:$B,I34,'Bilateral assistance, MAIN DATA'!$AO:$AO,"Main Battle Tank (MBT)")</f>
        <v>0</v>
      </c>
      <c r="K34" s="645">
        <f>SUMIFS('Bilateral assistance, MAIN DATA'!$N:$N,'Bilateral assistance, MAIN DATA'!$B:$B,I34,'Bilateral assistance, MAIN DATA'!$AO:$AO,"Main Battle Tank (MBT)")</f>
        <v>0</v>
      </c>
      <c r="L34" s="645"/>
      <c r="M34" s="33" t="s">
        <v>1516</v>
      </c>
      <c r="N34" s="645">
        <f>SUMIFS('Bilateral assistance, MAIN DATA'!$M:$M,'Bilateral assistance, MAIN DATA'!$B:$B,M34,'Bilateral assistance, MAIN DATA'!$AO:$AO,"Armoured Personnel Carrier (APC)")+SUMIFS('Bilateral assistance, MAIN DATA'!$M:$M,'Bilateral assistance, MAIN DATA'!$B:$B,M34,'Bilateral assistance, MAIN DATA'!$AO:$AO,"Protected Patrol Vehicle (PPV)")+SUMIFS('Bilateral assistance, MAIN DATA'!$M:$M,'Bilateral assistance, MAIN DATA'!$B:$B,M34,'Bilateral assistance, MAIN DATA'!$AO:$AO,"Armoured Utility Vehicle (AUV)")+SUMIFS('Bilateral assistance, MAIN DATA'!$M:$M,'Bilateral assistance, MAIN DATA'!$B:$B,M34,'Bilateral assistance, MAIN DATA'!$AO:$AO,"Infantry fighting vehicle (IFV)")</f>
        <v>0</v>
      </c>
      <c r="O34" s="645">
        <f>SUMIFS('Bilateral assistance, MAIN DATA'!$N:$N,'Bilateral assistance, MAIN DATA'!$B:$B,M34,'Bilateral assistance, MAIN DATA'!$AO:$AO,"Armoured Personnel Carrier (APC)")+SUMIFS('Bilateral assistance, MAIN DATA'!$N:$N,'Bilateral assistance, MAIN DATA'!$B:$B,M34,'Bilateral assistance, MAIN DATA'!$AO:$AO,"Protected Patrol Vehicle (PPV)")+SUMIFS('Bilateral assistance, MAIN DATA'!$N:$N,'Bilateral assistance, MAIN DATA'!$B:$B,M34,'Bilateral assistance, MAIN DATA'!$AO:$AO,"Armoured Utility Vehicle (AUV)")+SUMIFS('Bilateral assistance, MAIN DATA'!$N:$N,'Bilateral assistance, MAIN DATA'!$B:$B,M34,'Bilateral assistance, MAIN DATA'!$AO:$AO,"Infantry fighting vehicle (IFV)")</f>
        <v>0</v>
      </c>
    </row>
    <row r="35" spans="1:15">
      <c r="A35" s="33" t="s">
        <v>2063</v>
      </c>
      <c r="B35" s="645">
        <f>SUMIFS('Bilateral assistance, MAIN DATA'!$M:$M, 'Bilateral assistance, MAIN DATA'!$I:$I,"M777 howitzer",'Bilateral assistance, MAIN DATA'!$B:$B,A35)+SUMIFS('Bilateral assistance, MAIN DATA'!$M:$M, 'Bilateral assistance, MAIN DATA'!$I:$I,"FH70 155mm howitzer",'Bilateral assistance, MAIN DATA'!$B:$B,A35)+SUMIFS('Bilateral assistance, MAIN DATA'!$M:$M, 'Bilateral assistance, MAIN DATA'!$I:$I,"CAESAR artillery howitzer",'Bilateral assistance, MAIN DATA'!$B:$B,A35)+SUMIFS('Bilateral assistance, MAIN DATA'!$M:$M, 'Bilateral assistance, MAIN DATA'!$I:$I,"M109 155mm howitzer",'Bilateral assistance, MAIN DATA'!$B:$B,A35)+SUMIFS('Bilateral assistance, MAIN DATA'!$M:$M, 'Bilateral assistance, MAIN DATA'!$I:$I,"AHS Krab self-propelled howitzer",'Bilateral assistance, MAIN DATA'!$B:$B,A35)+SUMIFS('Bilateral assistance, MAIN DATA'!$M:$M, 'Bilateral assistance, MAIN DATA'!$I:$I,"M114 155mm Howitzer",'Bilateral assistance, MAIN DATA'!$B:$B,A35)+SUMIFS('Bilateral assistance, MAIN DATA'!$M:$M, 'Bilateral assistance, MAIN DATA'!$I:$I,"Panzerhaubitze 2000",'Bilateral assistance, MAIN DATA'!$B:$B,A35)+SUMIFS('Bilateral assistance, MAIN DATA'!$M:$M, 'Bilateral assistance, MAIN DATA'!$I:$I,"155mm Howitzer",'Bilateral assistance, MAIN DATA'!$B:$B,A35)+SUMIFS('Bilateral assistance, MAIN DATA'!$M:$M, 'Bilateral assistance, MAIN DATA'!$I:$I,"M109 A3GM 155mm howitzer",'Bilateral assistance, MAIN DATA'!$B:$B,A35)+SUMIFS('Bilateral assistance, MAIN DATA'!$M:$M, 'Bilateral assistance, MAIN DATA'!$I:$I,"Zusana-2 howitzer",'Bilateral assistance, MAIN DATA'!$B:$B,A35)+SUMIFS('Bilateral assistance, MAIN DATA'!$M:$M, 'Bilateral assistance, MAIN DATA'!$I:$I,"AS-90",'Bilateral assistance, MAIN DATA'!$B:$B,A35)</f>
        <v>0</v>
      </c>
      <c r="C35" s="645">
        <f>SUMIFS('Bilateral assistance, MAIN DATA'!$N:$N,'Bilateral assistance, MAIN DATA'!$B:$B,A35,'Bilateral assistance, MAIN DATA'!$AO:$AO,"155mm howitzer")</f>
        <v>0</v>
      </c>
      <c r="D35" s="645"/>
      <c r="E35" s="33" t="s">
        <v>2063</v>
      </c>
      <c r="F35" s="645">
        <f>SUMIFS('Bilateral assistance, MAIN DATA'!$M:$M,'Bilateral assistance, MAIN DATA'!$B:$B,E35,'Bilateral assistance, MAIN DATA'!$AO:$AO,"122mm MLRS")+SUMIFS('Bilateral assistance, MAIN DATA'!$M:$M,'Bilateral assistance, MAIN DATA'!$B:$B,E35,'Bilateral assistance, MAIN DATA'!$AO:$AO,"127mm MLRS")+SUMIFS('Bilateral assistance, MAIN DATA'!$M:$M,'Bilateral assistance, MAIN DATA'!$B:$B,E35,'Bilateral assistance, MAIN DATA'!$AO:$AO,"227mm MLRS")</f>
        <v>0</v>
      </c>
      <c r="G35" s="645">
        <f>SUMIFS('Bilateral assistance, MAIN DATA'!$N:$N,'Bilateral assistance, MAIN DATA'!$B:$B,E35,'Bilateral assistance, MAIN DATA'!$AO:$AO,"122mm MLRS")+SUMIFS('Bilateral assistance, MAIN DATA'!$N:$N,'Bilateral assistance, MAIN DATA'!$B:$B,E35,'Bilateral assistance, MAIN DATA'!$AO:$AO,"127mm MLRS")+SUMIFS('Bilateral assistance, MAIN DATA'!$N:$N,'Bilateral assistance, MAIN DATA'!$B:$B,E35,'Bilateral assistance, MAIN DATA'!$AO:$AO,"227mm MLRS")</f>
        <v>0</v>
      </c>
      <c r="H35" s="645"/>
      <c r="I35" s="33" t="s">
        <v>2034</v>
      </c>
      <c r="J35" s="645">
        <f>SUMIFS('Bilateral assistance, MAIN DATA'!$M:$M,'Bilateral assistance, MAIN DATA'!$B:$B,I35,'Bilateral assistance, MAIN DATA'!$AO:$AO,"Main Battle Tank (MBT)")</f>
        <v>0</v>
      </c>
      <c r="K35" s="645">
        <f>SUMIFS('Bilateral assistance, MAIN DATA'!$N:$N,'Bilateral assistance, MAIN DATA'!$B:$B,I35,'Bilateral assistance, MAIN DATA'!$AO:$AO,"Main Battle Tank (MBT)")</f>
        <v>0</v>
      </c>
      <c r="L35" s="645"/>
      <c r="M35" s="33" t="s">
        <v>1653</v>
      </c>
      <c r="N35" s="645">
        <f>SUMIFS('Bilateral assistance, MAIN DATA'!$M:$M,'Bilateral assistance, MAIN DATA'!$B:$B,M35,'Bilateral assistance, MAIN DATA'!$AO:$AO,"Armoured Personnel Carrier (APC)")+SUMIFS('Bilateral assistance, MAIN DATA'!$M:$M,'Bilateral assistance, MAIN DATA'!$B:$B,M35,'Bilateral assistance, MAIN DATA'!$AO:$AO,"Protected Patrol Vehicle (PPV)")+SUMIFS('Bilateral assistance, MAIN DATA'!$M:$M,'Bilateral assistance, MAIN DATA'!$B:$B,M35,'Bilateral assistance, MAIN DATA'!$AO:$AO,"Armoured Utility Vehicle (AUV)")+SUMIFS('Bilateral assistance, MAIN DATA'!$M:$M,'Bilateral assistance, MAIN DATA'!$B:$B,M35,'Bilateral assistance, MAIN DATA'!$AO:$AO,"Infantry fighting vehicle (IFV)")</f>
        <v>0</v>
      </c>
      <c r="O35" s="645">
        <f>SUMIFS('Bilateral assistance, MAIN DATA'!$N:$N,'Bilateral assistance, MAIN DATA'!$B:$B,M35,'Bilateral assistance, MAIN DATA'!$AO:$AO,"Armoured Personnel Carrier (APC)")+SUMIFS('Bilateral assistance, MAIN DATA'!$N:$N,'Bilateral assistance, MAIN DATA'!$B:$B,M35,'Bilateral assistance, MAIN DATA'!$AO:$AO,"Protected Patrol Vehicle (PPV)")+SUMIFS('Bilateral assistance, MAIN DATA'!$N:$N,'Bilateral assistance, MAIN DATA'!$B:$B,M35,'Bilateral assistance, MAIN DATA'!$AO:$AO,"Armoured Utility Vehicle (AUV)")+SUMIFS('Bilateral assistance, MAIN DATA'!$N:$N,'Bilateral assistance, MAIN DATA'!$B:$B,M35,'Bilateral assistance, MAIN DATA'!$AO:$AO,"Infantry fighting vehicle (IFV)")</f>
        <v>0</v>
      </c>
    </row>
    <row r="36" spans="1:15">
      <c r="A36" s="33" t="s">
        <v>2106</v>
      </c>
      <c r="B36" s="645">
        <f>SUMIFS('Bilateral assistance, MAIN DATA'!$M:$M, 'Bilateral assistance, MAIN DATA'!$I:$I,"M777 howitzer",'Bilateral assistance, MAIN DATA'!$B:$B,A36)+SUMIFS('Bilateral assistance, MAIN DATA'!$M:$M, 'Bilateral assistance, MAIN DATA'!$I:$I,"FH70 155mm howitzer",'Bilateral assistance, MAIN DATA'!$B:$B,A36)+SUMIFS('Bilateral assistance, MAIN DATA'!$M:$M, 'Bilateral assistance, MAIN DATA'!$I:$I,"CAESAR artillery howitzer",'Bilateral assistance, MAIN DATA'!$B:$B,A36)+SUMIFS('Bilateral assistance, MAIN DATA'!$M:$M, 'Bilateral assistance, MAIN DATA'!$I:$I,"M109 155mm howitzer",'Bilateral assistance, MAIN DATA'!$B:$B,A36)+SUMIFS('Bilateral assistance, MAIN DATA'!$M:$M, 'Bilateral assistance, MAIN DATA'!$I:$I,"AHS Krab self-propelled howitzer",'Bilateral assistance, MAIN DATA'!$B:$B,A36)+SUMIFS('Bilateral assistance, MAIN DATA'!$M:$M, 'Bilateral assistance, MAIN DATA'!$I:$I,"M114 155mm Howitzer",'Bilateral assistance, MAIN DATA'!$B:$B,A36)+SUMIFS('Bilateral assistance, MAIN DATA'!$M:$M, 'Bilateral assistance, MAIN DATA'!$I:$I,"Panzerhaubitze 2000",'Bilateral assistance, MAIN DATA'!$B:$B,A36)+SUMIFS('Bilateral assistance, MAIN DATA'!$M:$M, 'Bilateral assistance, MAIN DATA'!$I:$I,"155mm Howitzer",'Bilateral assistance, MAIN DATA'!$B:$B,A36)+SUMIFS('Bilateral assistance, MAIN DATA'!$M:$M, 'Bilateral assistance, MAIN DATA'!$I:$I,"M109 A3GM 155mm howitzer",'Bilateral assistance, MAIN DATA'!$B:$B,A36)+SUMIFS('Bilateral assistance, MAIN DATA'!$M:$M, 'Bilateral assistance, MAIN DATA'!$I:$I,"Zusana-2 howitzer",'Bilateral assistance, MAIN DATA'!$B:$B,A36)+SUMIFS('Bilateral assistance, MAIN DATA'!$M:$M, 'Bilateral assistance, MAIN DATA'!$I:$I,"AS-90",'Bilateral assistance, MAIN DATA'!$B:$B,A36)</f>
        <v>0</v>
      </c>
      <c r="C36" s="645">
        <f>SUMIFS('Bilateral assistance, MAIN DATA'!$N:$N,'Bilateral assistance, MAIN DATA'!$B:$B,A36,'Bilateral assistance, MAIN DATA'!$AO:$AO,"155mm howitzer")</f>
        <v>0</v>
      </c>
      <c r="D36" s="645"/>
      <c r="E36" s="33" t="s">
        <v>2106</v>
      </c>
      <c r="F36" s="645">
        <f>SUMIFS('Bilateral assistance, MAIN DATA'!$M:$M,'Bilateral assistance, MAIN DATA'!$B:$B,E36,'Bilateral assistance, MAIN DATA'!$AO:$AO,"122mm MLRS")+SUMIFS('Bilateral assistance, MAIN DATA'!$M:$M,'Bilateral assistance, MAIN DATA'!$B:$B,E36,'Bilateral assistance, MAIN DATA'!$AO:$AO,"127mm MLRS")+SUMIFS('Bilateral assistance, MAIN DATA'!$M:$M,'Bilateral assistance, MAIN DATA'!$B:$B,E36,'Bilateral assistance, MAIN DATA'!$AO:$AO,"227mm MLRS")</f>
        <v>0</v>
      </c>
      <c r="G36" s="645">
        <f>SUMIFS('Bilateral assistance, MAIN DATA'!$N:$N,'Bilateral assistance, MAIN DATA'!$B:$B,E36,'Bilateral assistance, MAIN DATA'!$AO:$AO,"122mm MLRS")+SUMIFS('Bilateral assistance, MAIN DATA'!$N:$N,'Bilateral assistance, MAIN DATA'!$B:$B,E36,'Bilateral assistance, MAIN DATA'!$AO:$AO,"127mm MLRS")+SUMIFS('Bilateral assistance, MAIN DATA'!$N:$N,'Bilateral assistance, MAIN DATA'!$B:$B,E36,'Bilateral assistance, MAIN DATA'!$AO:$AO,"227mm MLRS")</f>
        <v>0</v>
      </c>
      <c r="H36" s="645"/>
      <c r="I36" s="33" t="s">
        <v>2063</v>
      </c>
      <c r="J36" s="645">
        <f>SUMIFS('Bilateral assistance, MAIN DATA'!$M:$M,'Bilateral assistance, MAIN DATA'!$B:$B,I36,'Bilateral assistance, MAIN DATA'!$AO:$AO,"Main Battle Tank (MBT)")</f>
        <v>0</v>
      </c>
      <c r="K36" s="645">
        <f>SUMIFS('Bilateral assistance, MAIN DATA'!$N:$N,'Bilateral assistance, MAIN DATA'!$B:$B,I36,'Bilateral assistance, MAIN DATA'!$AO:$AO,"Main Battle Tank (MBT)")</f>
        <v>0</v>
      </c>
      <c r="L36" s="645"/>
      <c r="M36" s="33" t="s">
        <v>1682</v>
      </c>
      <c r="N36" s="645">
        <f>SUMIFS('Bilateral assistance, MAIN DATA'!$M:$M,'Bilateral assistance, MAIN DATA'!$B:$B,M36,'Bilateral assistance, MAIN DATA'!$AO:$AO,"Armoured Personnel Carrier (APC)")+SUMIFS('Bilateral assistance, MAIN DATA'!$M:$M,'Bilateral assistance, MAIN DATA'!$B:$B,M36,'Bilateral assistance, MAIN DATA'!$AO:$AO,"Protected Patrol Vehicle (PPV)")+SUMIFS('Bilateral assistance, MAIN DATA'!$M:$M,'Bilateral assistance, MAIN DATA'!$B:$B,M36,'Bilateral assistance, MAIN DATA'!$AO:$AO,"Armoured Utility Vehicle (AUV)")+SUMIFS('Bilateral assistance, MAIN DATA'!$M:$M,'Bilateral assistance, MAIN DATA'!$B:$B,M36,'Bilateral assistance, MAIN DATA'!$AO:$AO,"Infantry fighting vehicle (IFV)")</f>
        <v>0</v>
      </c>
      <c r="O36" s="645">
        <f>SUMIFS('Bilateral assistance, MAIN DATA'!$N:$N,'Bilateral assistance, MAIN DATA'!$B:$B,M36,'Bilateral assistance, MAIN DATA'!$AO:$AO,"Armoured Personnel Carrier (APC)")+SUMIFS('Bilateral assistance, MAIN DATA'!$N:$N,'Bilateral assistance, MAIN DATA'!$B:$B,M36,'Bilateral assistance, MAIN DATA'!$AO:$AO,"Protected Patrol Vehicle (PPV)")+SUMIFS('Bilateral assistance, MAIN DATA'!$N:$N,'Bilateral assistance, MAIN DATA'!$B:$B,M36,'Bilateral assistance, MAIN DATA'!$AO:$AO,"Armoured Utility Vehicle (AUV)")+SUMIFS('Bilateral assistance, MAIN DATA'!$N:$N,'Bilateral assistance, MAIN DATA'!$B:$B,M36,'Bilateral assistance, MAIN DATA'!$AO:$AO,"Infantry fighting vehicle (IFV)")</f>
        <v>0</v>
      </c>
    </row>
    <row r="37" spans="1:15">
      <c r="A37" s="33" t="s">
        <v>2002</v>
      </c>
      <c r="B37" s="645">
        <f>SUMIFS('Bilateral assistance, MAIN DATA'!$M:$M, 'Bilateral assistance, MAIN DATA'!$I:$I,"M777 howitzer",'Bilateral assistance, MAIN DATA'!$B:$B,A37)+SUMIFS('Bilateral assistance, MAIN DATA'!$M:$M, 'Bilateral assistance, MAIN DATA'!$I:$I,"FH70 155mm howitzer",'Bilateral assistance, MAIN DATA'!$B:$B,A37)+SUMIFS('Bilateral assistance, MAIN DATA'!$M:$M, 'Bilateral assistance, MAIN DATA'!$I:$I,"CAESAR artillery howitzer",'Bilateral assistance, MAIN DATA'!$B:$B,A37)+SUMIFS('Bilateral assistance, MAIN DATA'!$M:$M, 'Bilateral assistance, MAIN DATA'!$I:$I,"M109 155mm howitzer",'Bilateral assistance, MAIN DATA'!$B:$B,A37)+SUMIFS('Bilateral assistance, MAIN DATA'!$M:$M, 'Bilateral assistance, MAIN DATA'!$I:$I,"AHS Krab self-propelled howitzer",'Bilateral assistance, MAIN DATA'!$B:$B,A37)+SUMIFS('Bilateral assistance, MAIN DATA'!$M:$M, 'Bilateral assistance, MAIN DATA'!$I:$I,"M114 155mm Howitzer",'Bilateral assistance, MAIN DATA'!$B:$B,A37)+SUMIFS('Bilateral assistance, MAIN DATA'!$M:$M, 'Bilateral assistance, MAIN DATA'!$I:$I,"Panzerhaubitze 2000",'Bilateral assistance, MAIN DATA'!$B:$B,A37)+SUMIFS('Bilateral assistance, MAIN DATA'!$M:$M, 'Bilateral assistance, MAIN DATA'!$I:$I,"155mm Howitzer",'Bilateral assistance, MAIN DATA'!$B:$B,A37)+SUMIFS('Bilateral assistance, MAIN DATA'!$M:$M, 'Bilateral assistance, MAIN DATA'!$I:$I,"M109 A3GM 155mm howitzer",'Bilateral assistance, MAIN DATA'!$B:$B,A37)+SUMIFS('Bilateral assistance, MAIN DATA'!$M:$M, 'Bilateral assistance, MAIN DATA'!$I:$I,"Zusana-2 howitzer",'Bilateral assistance, MAIN DATA'!$B:$B,A37)+SUMIFS('Bilateral assistance, MAIN DATA'!$M:$M, 'Bilateral assistance, MAIN DATA'!$I:$I,"AS-90",'Bilateral assistance, MAIN DATA'!$B:$B,A37)</f>
        <v>0</v>
      </c>
      <c r="C37" s="645">
        <f>SUMIFS('Bilateral assistance, MAIN DATA'!$N:$N,'Bilateral assistance, MAIN DATA'!$B:$B,A37,'Bilateral assistance, MAIN DATA'!$AO:$AO,"155mm howitzer")</f>
        <v>0</v>
      </c>
      <c r="D37" s="645"/>
      <c r="E37" s="33" t="s">
        <v>2002</v>
      </c>
      <c r="F37" s="645">
        <f>SUMIFS('Bilateral assistance, MAIN DATA'!$M:$M,'Bilateral assistance, MAIN DATA'!$B:$B,E37,'Bilateral assistance, MAIN DATA'!$AO:$AO,"122mm MLRS")+SUMIFS('Bilateral assistance, MAIN DATA'!$M:$M,'Bilateral assistance, MAIN DATA'!$B:$B,E37,'Bilateral assistance, MAIN DATA'!$AO:$AO,"127mm MLRS")+SUMIFS('Bilateral assistance, MAIN DATA'!$M:$M,'Bilateral assistance, MAIN DATA'!$B:$B,E37,'Bilateral assistance, MAIN DATA'!$AO:$AO,"227mm MLRS")</f>
        <v>0</v>
      </c>
      <c r="G37" s="645">
        <f>SUMIFS('Bilateral assistance, MAIN DATA'!$N:$N,'Bilateral assistance, MAIN DATA'!$B:$B,E37,'Bilateral assistance, MAIN DATA'!$AO:$AO,"122mm MLRS")+SUMIFS('Bilateral assistance, MAIN DATA'!$N:$N,'Bilateral assistance, MAIN DATA'!$B:$B,E37,'Bilateral assistance, MAIN DATA'!$AO:$AO,"127mm MLRS")+SUMIFS('Bilateral assistance, MAIN DATA'!$N:$N,'Bilateral assistance, MAIN DATA'!$B:$B,E37,'Bilateral assistance, MAIN DATA'!$AO:$AO,"227mm MLRS")</f>
        <v>0</v>
      </c>
      <c r="H37" s="645"/>
      <c r="I37" s="33" t="s">
        <v>2002</v>
      </c>
      <c r="J37" s="645">
        <f>SUMIFS('Bilateral assistance, MAIN DATA'!$M:$M,'Bilateral assistance, MAIN DATA'!$B:$B,I37,'Bilateral assistance, MAIN DATA'!$AO:$AO,"Main Battle Tank (MBT)")</f>
        <v>0</v>
      </c>
      <c r="K37" s="645">
        <f>SUMIFS('Bilateral assistance, MAIN DATA'!$N:$N,'Bilateral assistance, MAIN DATA'!$B:$B,I37,'Bilateral assistance, MAIN DATA'!$AO:$AO,"Main Battle Tank (MBT)")</f>
        <v>0</v>
      </c>
      <c r="L37" s="645"/>
      <c r="M37" s="33" t="s">
        <v>1766</v>
      </c>
      <c r="N37" s="645">
        <f>SUMIFS('Bilateral assistance, MAIN DATA'!$M:$M,'Bilateral assistance, MAIN DATA'!$B:$B,M37,'Bilateral assistance, MAIN DATA'!$AO:$AO,"Armoured Personnel Carrier (APC)")+SUMIFS('Bilateral assistance, MAIN DATA'!$M:$M,'Bilateral assistance, MAIN DATA'!$B:$B,M37,'Bilateral assistance, MAIN DATA'!$AO:$AO,"Protected Patrol Vehicle (PPV)")+SUMIFS('Bilateral assistance, MAIN DATA'!$M:$M,'Bilateral assistance, MAIN DATA'!$B:$B,M37,'Bilateral assistance, MAIN DATA'!$AO:$AO,"Armoured Utility Vehicle (AUV)")+SUMIFS('Bilateral assistance, MAIN DATA'!$M:$M,'Bilateral assistance, MAIN DATA'!$B:$B,M37,'Bilateral assistance, MAIN DATA'!$AO:$AO,"Infantry fighting vehicle (IFV)")</f>
        <v>0</v>
      </c>
      <c r="O37" s="645">
        <f>SUMIFS('Bilateral assistance, MAIN DATA'!$N:$N,'Bilateral assistance, MAIN DATA'!$B:$B,M37,'Bilateral assistance, MAIN DATA'!$AO:$AO,"Armoured Personnel Carrier (APC)")+SUMIFS('Bilateral assistance, MAIN DATA'!$N:$N,'Bilateral assistance, MAIN DATA'!$B:$B,M37,'Bilateral assistance, MAIN DATA'!$AO:$AO,"Protected Patrol Vehicle (PPV)")+SUMIFS('Bilateral assistance, MAIN DATA'!$N:$N,'Bilateral assistance, MAIN DATA'!$B:$B,M37,'Bilateral assistance, MAIN DATA'!$AO:$AO,"Armoured Utility Vehicle (AUV)")+SUMIFS('Bilateral assistance, MAIN DATA'!$N:$N,'Bilateral assistance, MAIN DATA'!$B:$B,M37,'Bilateral assistance, MAIN DATA'!$AO:$AO,"Infantry fighting vehicle (IFV)")</f>
        <v>0</v>
      </c>
    </row>
    <row r="38" spans="1:15">
      <c r="A38" s="33" t="s">
        <v>2162</v>
      </c>
      <c r="B38" s="645">
        <f>SUMIFS('Bilateral assistance, MAIN DATA'!$M:$M, 'Bilateral assistance, MAIN DATA'!$I:$I,"M777 howitzer",'Bilateral assistance, MAIN DATA'!$B:$B,A38)+SUMIFS('Bilateral assistance, MAIN DATA'!$M:$M, 'Bilateral assistance, MAIN DATA'!$I:$I,"FH70 155mm howitzer",'Bilateral assistance, MAIN DATA'!$B:$B,A38)+SUMIFS('Bilateral assistance, MAIN DATA'!$M:$M, 'Bilateral assistance, MAIN DATA'!$I:$I,"CAESAR artillery howitzer",'Bilateral assistance, MAIN DATA'!$B:$B,A38)+SUMIFS('Bilateral assistance, MAIN DATA'!$M:$M, 'Bilateral assistance, MAIN DATA'!$I:$I,"M109 155mm howitzer",'Bilateral assistance, MAIN DATA'!$B:$B,A38)+SUMIFS('Bilateral assistance, MAIN DATA'!$M:$M, 'Bilateral assistance, MAIN DATA'!$I:$I,"AHS Krab self-propelled howitzer",'Bilateral assistance, MAIN DATA'!$B:$B,A38)+SUMIFS('Bilateral assistance, MAIN DATA'!$M:$M, 'Bilateral assistance, MAIN DATA'!$I:$I,"M114 155mm Howitzer",'Bilateral assistance, MAIN DATA'!$B:$B,A38)+SUMIFS('Bilateral assistance, MAIN DATA'!$M:$M, 'Bilateral assistance, MAIN DATA'!$I:$I,"Panzerhaubitze 2000",'Bilateral assistance, MAIN DATA'!$B:$B,A38)+SUMIFS('Bilateral assistance, MAIN DATA'!$M:$M, 'Bilateral assistance, MAIN DATA'!$I:$I,"155mm Howitzer",'Bilateral assistance, MAIN DATA'!$B:$B,A38)+SUMIFS('Bilateral assistance, MAIN DATA'!$M:$M, 'Bilateral assistance, MAIN DATA'!$I:$I,"M109 A3GM 155mm howitzer",'Bilateral assistance, MAIN DATA'!$B:$B,A38)+SUMIFS('Bilateral assistance, MAIN DATA'!$M:$M, 'Bilateral assistance, MAIN DATA'!$I:$I,"Zusana-2 howitzer",'Bilateral assistance, MAIN DATA'!$B:$B,A38)+SUMIFS('Bilateral assistance, MAIN DATA'!$M:$M, 'Bilateral assistance, MAIN DATA'!$I:$I,"AS-90",'Bilateral assistance, MAIN DATA'!$B:$B,A38)</f>
        <v>0</v>
      </c>
      <c r="C38" s="645">
        <f>SUMIFS('Bilateral assistance, MAIN DATA'!$N:$N,'Bilateral assistance, MAIN DATA'!$B:$B,A38,'Bilateral assistance, MAIN DATA'!$AO:$AO,"155mm howitzer")</f>
        <v>0</v>
      </c>
      <c r="D38" s="645"/>
      <c r="E38" s="33" t="s">
        <v>2162</v>
      </c>
      <c r="F38" s="645">
        <f>SUMIFS('Bilateral assistance, MAIN DATA'!$M:$M,'Bilateral assistance, MAIN DATA'!$B:$B,E38,'Bilateral assistance, MAIN DATA'!$AO:$AO,"122mm MLRS")+SUMIFS('Bilateral assistance, MAIN DATA'!$M:$M,'Bilateral assistance, MAIN DATA'!$B:$B,E38,'Bilateral assistance, MAIN DATA'!$AO:$AO,"127mm MLRS")+SUMIFS('Bilateral assistance, MAIN DATA'!$M:$M,'Bilateral assistance, MAIN DATA'!$B:$B,E38,'Bilateral assistance, MAIN DATA'!$AO:$AO,"227mm MLRS")</f>
        <v>0</v>
      </c>
      <c r="G38" s="645">
        <f>SUMIFS('Bilateral assistance, MAIN DATA'!$N:$N,'Bilateral assistance, MAIN DATA'!$B:$B,E38,'Bilateral assistance, MAIN DATA'!$AO:$AO,"122mm MLRS")+SUMIFS('Bilateral assistance, MAIN DATA'!$N:$N,'Bilateral assistance, MAIN DATA'!$B:$B,E38,'Bilateral assistance, MAIN DATA'!$AO:$AO,"127mm MLRS")+SUMIFS('Bilateral assistance, MAIN DATA'!$N:$N,'Bilateral assistance, MAIN DATA'!$B:$B,E38,'Bilateral assistance, MAIN DATA'!$AO:$AO,"227mm MLRS")</f>
        <v>0</v>
      </c>
      <c r="H38" s="645"/>
      <c r="I38" s="33" t="s">
        <v>2162</v>
      </c>
      <c r="J38" s="645">
        <f>SUMIFS('Bilateral assistance, MAIN DATA'!$M:$M,'Bilateral assistance, MAIN DATA'!$B:$B,I38,'Bilateral assistance, MAIN DATA'!$AO:$AO,"Main Battle Tank (MBT)")</f>
        <v>0</v>
      </c>
      <c r="K38" s="645">
        <f>SUMIFS('Bilateral assistance, MAIN DATA'!$N:$N,'Bilateral assistance, MAIN DATA'!$B:$B,I38,'Bilateral assistance, MAIN DATA'!$AO:$AO,"Main Battle Tank (MBT)")</f>
        <v>0</v>
      </c>
      <c r="L38" s="645"/>
      <c r="M38" s="33" t="s">
        <v>2034</v>
      </c>
      <c r="N38" s="645">
        <f>SUMIFS('Bilateral assistance, MAIN DATA'!$M:$M,'Bilateral assistance, MAIN DATA'!$B:$B,M38,'Bilateral assistance, MAIN DATA'!$AO:$AO,"Armoured Personnel Carrier (APC)")+SUMIFS('Bilateral assistance, MAIN DATA'!$M:$M,'Bilateral assistance, MAIN DATA'!$B:$B,M38,'Bilateral assistance, MAIN DATA'!$AO:$AO,"Protected Patrol Vehicle (PPV)")+SUMIFS('Bilateral assistance, MAIN DATA'!$M:$M,'Bilateral assistance, MAIN DATA'!$B:$B,M38,'Bilateral assistance, MAIN DATA'!$AO:$AO,"Armoured Utility Vehicle (AUV)")+SUMIFS('Bilateral assistance, MAIN DATA'!$M:$M,'Bilateral assistance, MAIN DATA'!$B:$B,M38,'Bilateral assistance, MAIN DATA'!$AO:$AO,"Infantry fighting vehicle (IFV)")</f>
        <v>0</v>
      </c>
      <c r="O38" s="645">
        <f>SUMIFS('Bilateral assistance, MAIN DATA'!$N:$N,'Bilateral assistance, MAIN DATA'!$B:$B,M38,'Bilateral assistance, MAIN DATA'!$AO:$AO,"Armoured Personnel Carrier (APC)")+SUMIFS('Bilateral assistance, MAIN DATA'!$N:$N,'Bilateral assistance, MAIN DATA'!$B:$B,M38,'Bilateral assistance, MAIN DATA'!$AO:$AO,"Protected Patrol Vehicle (PPV)")+SUMIFS('Bilateral assistance, MAIN DATA'!$N:$N,'Bilateral assistance, MAIN DATA'!$B:$B,M38,'Bilateral assistance, MAIN DATA'!$AO:$AO,"Armoured Utility Vehicle (AUV)")+SUMIFS('Bilateral assistance, MAIN DATA'!$N:$N,'Bilateral assistance, MAIN DATA'!$B:$B,M38,'Bilateral assistance, MAIN DATA'!$AO:$AO,"Infantry fighting vehicle (IFV)")</f>
        <v>0</v>
      </c>
    </row>
    <row r="39" spans="1:15">
      <c r="A39" s="33" t="s">
        <v>2258</v>
      </c>
      <c r="B39" s="645">
        <f>SUMIFS('Bilateral assistance, MAIN DATA'!$M:$M, 'Bilateral assistance, MAIN DATA'!$I:$I,"M777 howitzer",'Bilateral assistance, MAIN DATA'!$B:$B,A39)+SUMIFS('Bilateral assistance, MAIN DATA'!$M:$M, 'Bilateral assistance, MAIN DATA'!$I:$I,"FH70 155mm howitzer",'Bilateral assistance, MAIN DATA'!$B:$B,A39)+SUMIFS('Bilateral assistance, MAIN DATA'!$M:$M, 'Bilateral assistance, MAIN DATA'!$I:$I,"CAESAR artillery howitzer",'Bilateral assistance, MAIN DATA'!$B:$B,A39)+SUMIFS('Bilateral assistance, MAIN DATA'!$M:$M, 'Bilateral assistance, MAIN DATA'!$I:$I,"M109 155mm howitzer",'Bilateral assistance, MAIN DATA'!$B:$B,A39)+SUMIFS('Bilateral assistance, MAIN DATA'!$M:$M, 'Bilateral assistance, MAIN DATA'!$I:$I,"AHS Krab self-propelled howitzer",'Bilateral assistance, MAIN DATA'!$B:$B,A39)+SUMIFS('Bilateral assistance, MAIN DATA'!$M:$M, 'Bilateral assistance, MAIN DATA'!$I:$I,"M114 155mm Howitzer",'Bilateral assistance, MAIN DATA'!$B:$B,A39)+SUMIFS('Bilateral assistance, MAIN DATA'!$M:$M, 'Bilateral assistance, MAIN DATA'!$I:$I,"Panzerhaubitze 2000",'Bilateral assistance, MAIN DATA'!$B:$B,A39)+SUMIFS('Bilateral assistance, MAIN DATA'!$M:$M, 'Bilateral assistance, MAIN DATA'!$I:$I,"155mm Howitzer",'Bilateral assistance, MAIN DATA'!$B:$B,A39)+SUMIFS('Bilateral assistance, MAIN DATA'!$M:$M, 'Bilateral assistance, MAIN DATA'!$I:$I,"M109 A3GM 155mm howitzer",'Bilateral assistance, MAIN DATA'!$B:$B,A39)+SUMIFS('Bilateral assistance, MAIN DATA'!$M:$M, 'Bilateral assistance, MAIN DATA'!$I:$I,"Zusana-2 howitzer",'Bilateral assistance, MAIN DATA'!$B:$B,A39)+SUMIFS('Bilateral assistance, MAIN DATA'!$M:$M, 'Bilateral assistance, MAIN DATA'!$I:$I,"AS-90",'Bilateral assistance, MAIN DATA'!$B:$B,A39)</f>
        <v>0</v>
      </c>
      <c r="C39" s="645">
        <f>SUMIFS('Bilateral assistance, MAIN DATA'!$N:$N,'Bilateral assistance, MAIN DATA'!$B:$B,A39,'Bilateral assistance, MAIN DATA'!$AO:$AO,"155mm howitzer")</f>
        <v>0</v>
      </c>
      <c r="D39" s="645"/>
      <c r="E39" s="33" t="s">
        <v>2258</v>
      </c>
      <c r="F39" s="645">
        <f>SUMIFS('Bilateral assistance, MAIN DATA'!$M:$M,'Bilateral assistance, MAIN DATA'!$B:$B,E39,'Bilateral assistance, MAIN DATA'!$AO:$AO,"122mm MLRS")+SUMIFS('Bilateral assistance, MAIN DATA'!$M:$M,'Bilateral assistance, MAIN DATA'!$B:$B,E39,'Bilateral assistance, MAIN DATA'!$AO:$AO,"127mm MLRS")+SUMIFS('Bilateral assistance, MAIN DATA'!$M:$M,'Bilateral assistance, MAIN DATA'!$B:$B,E39,'Bilateral assistance, MAIN DATA'!$AO:$AO,"227mm MLRS")</f>
        <v>0</v>
      </c>
      <c r="G39" s="645">
        <f>SUMIFS('Bilateral assistance, MAIN DATA'!$N:$N,'Bilateral assistance, MAIN DATA'!$B:$B,E39,'Bilateral assistance, MAIN DATA'!$AO:$AO,"122mm MLRS")+SUMIFS('Bilateral assistance, MAIN DATA'!$N:$N,'Bilateral assistance, MAIN DATA'!$B:$B,E39,'Bilateral assistance, MAIN DATA'!$AO:$AO,"127mm MLRS")+SUMIFS('Bilateral assistance, MAIN DATA'!$N:$N,'Bilateral assistance, MAIN DATA'!$B:$B,E39,'Bilateral assistance, MAIN DATA'!$AO:$AO,"227mm MLRS")</f>
        <v>0</v>
      </c>
      <c r="H39" s="645"/>
      <c r="I39" s="33" t="s">
        <v>2258</v>
      </c>
      <c r="J39" s="645">
        <f>SUMIFS('Bilateral assistance, MAIN DATA'!$M:$M,'Bilateral assistance, MAIN DATA'!$B:$B,I39,'Bilateral assistance, MAIN DATA'!$AO:$AO,"Main Battle Tank (MBT)")</f>
        <v>0</v>
      </c>
      <c r="K39" s="645">
        <f>SUMIFS('Bilateral assistance, MAIN DATA'!$N:$N,'Bilateral assistance, MAIN DATA'!$B:$B,I39,'Bilateral assistance, MAIN DATA'!$AO:$AO,"Main Battle Tank (MBT)")</f>
        <v>0</v>
      </c>
      <c r="L39" s="645"/>
      <c r="M39" s="33" t="s">
        <v>2002</v>
      </c>
      <c r="N39" s="645">
        <f>SUMIFS('Bilateral assistance, MAIN DATA'!$M:$M,'Bilateral assistance, MAIN DATA'!$B:$B,M39,'Bilateral assistance, MAIN DATA'!$AO:$AO,"Armoured Personnel Carrier (APC)")+SUMIFS('Bilateral assistance, MAIN DATA'!$M:$M,'Bilateral assistance, MAIN DATA'!$B:$B,M39,'Bilateral assistance, MAIN DATA'!$AO:$AO,"Protected Patrol Vehicle (PPV)")+SUMIFS('Bilateral assistance, MAIN DATA'!$M:$M,'Bilateral assistance, MAIN DATA'!$B:$B,M39,'Bilateral assistance, MAIN DATA'!$AO:$AO,"Armoured Utility Vehicle (AUV)")+SUMIFS('Bilateral assistance, MAIN DATA'!$M:$M,'Bilateral assistance, MAIN DATA'!$B:$B,M39,'Bilateral assistance, MAIN DATA'!$AO:$AO,"Infantry fighting vehicle (IFV)")</f>
        <v>0</v>
      </c>
      <c r="O39" s="645">
        <f>SUMIFS('Bilateral assistance, MAIN DATA'!$N:$N,'Bilateral assistance, MAIN DATA'!$B:$B,M39,'Bilateral assistance, MAIN DATA'!$AO:$AO,"Armoured Personnel Carrier (APC)")+SUMIFS('Bilateral assistance, MAIN DATA'!$N:$N,'Bilateral assistance, MAIN DATA'!$B:$B,M39,'Bilateral assistance, MAIN DATA'!$AO:$AO,"Protected Patrol Vehicle (PPV)")+SUMIFS('Bilateral assistance, MAIN DATA'!$N:$N,'Bilateral assistance, MAIN DATA'!$B:$B,M39,'Bilateral assistance, MAIN DATA'!$AO:$AO,"Armoured Utility Vehicle (AUV)")+SUMIFS('Bilateral assistance, MAIN DATA'!$N:$N,'Bilateral assistance, MAIN DATA'!$B:$B,M39,'Bilateral assistance, MAIN DATA'!$AO:$AO,"Infantry fighting vehicle (IFV)")</f>
        <v>0</v>
      </c>
    </row>
    <row r="40" spans="1:15">
      <c r="A40" s="33" t="s">
        <v>2329</v>
      </c>
      <c r="B40" s="645">
        <f>SUMIFS('Bilateral assistance, MAIN DATA'!$M:$M, 'Bilateral assistance, MAIN DATA'!$I:$I,"M777 howitzer",'Bilateral assistance, MAIN DATA'!$B:$B,A40)+SUMIFS('Bilateral assistance, MAIN DATA'!$M:$M, 'Bilateral assistance, MAIN DATA'!$I:$I,"FH70 155mm howitzer",'Bilateral assistance, MAIN DATA'!$B:$B,A40)+SUMIFS('Bilateral assistance, MAIN DATA'!$M:$M, 'Bilateral assistance, MAIN DATA'!$I:$I,"CAESAR artillery howitzer",'Bilateral assistance, MAIN DATA'!$B:$B,A40)+SUMIFS('Bilateral assistance, MAIN DATA'!$M:$M, 'Bilateral assistance, MAIN DATA'!$I:$I,"M109 155mm howitzer",'Bilateral assistance, MAIN DATA'!$B:$B,A40)+SUMIFS('Bilateral assistance, MAIN DATA'!$M:$M, 'Bilateral assistance, MAIN DATA'!$I:$I,"AHS Krab self-propelled howitzer",'Bilateral assistance, MAIN DATA'!$B:$B,A40)+SUMIFS('Bilateral assistance, MAIN DATA'!$M:$M, 'Bilateral assistance, MAIN DATA'!$I:$I,"M114 155mm Howitzer",'Bilateral assistance, MAIN DATA'!$B:$B,A40)+SUMIFS('Bilateral assistance, MAIN DATA'!$M:$M, 'Bilateral assistance, MAIN DATA'!$I:$I,"Panzerhaubitze 2000",'Bilateral assistance, MAIN DATA'!$B:$B,A40)+SUMIFS('Bilateral assistance, MAIN DATA'!$M:$M, 'Bilateral assistance, MAIN DATA'!$I:$I,"155mm Howitzer",'Bilateral assistance, MAIN DATA'!$B:$B,A40)+SUMIFS('Bilateral assistance, MAIN DATA'!$M:$M, 'Bilateral assistance, MAIN DATA'!$I:$I,"M109 A3GM 155mm howitzer",'Bilateral assistance, MAIN DATA'!$B:$B,A40)+SUMIFS('Bilateral assistance, MAIN DATA'!$M:$M, 'Bilateral assistance, MAIN DATA'!$I:$I,"Zusana-2 howitzer",'Bilateral assistance, MAIN DATA'!$B:$B,A40)+SUMIFS('Bilateral assistance, MAIN DATA'!$M:$M, 'Bilateral assistance, MAIN DATA'!$I:$I,"AS-90",'Bilateral assistance, MAIN DATA'!$B:$B,A40)</f>
        <v>0</v>
      </c>
      <c r="C40" s="645">
        <f>SUMIFS('Bilateral assistance, MAIN DATA'!$N:$N,'Bilateral assistance, MAIN DATA'!$B:$B,A40,'Bilateral assistance, MAIN DATA'!$AO:$AO,"155mm howitzer")</f>
        <v>0</v>
      </c>
      <c r="D40" s="645"/>
      <c r="E40" s="33" t="s">
        <v>2329</v>
      </c>
      <c r="F40" s="645">
        <f>SUMIFS('Bilateral assistance, MAIN DATA'!$M:$M,'Bilateral assistance, MAIN DATA'!$B:$B,E40,'Bilateral assistance, MAIN DATA'!$AO:$AO,"122mm MLRS")+SUMIFS('Bilateral assistance, MAIN DATA'!$M:$M,'Bilateral assistance, MAIN DATA'!$B:$B,E40,'Bilateral assistance, MAIN DATA'!$AO:$AO,"127mm MLRS")+SUMIFS('Bilateral assistance, MAIN DATA'!$M:$M,'Bilateral assistance, MAIN DATA'!$B:$B,E40,'Bilateral assistance, MAIN DATA'!$AO:$AO,"227mm MLRS")</f>
        <v>0</v>
      </c>
      <c r="G40" s="645">
        <f>SUMIFS('Bilateral assistance, MAIN DATA'!$N:$N,'Bilateral assistance, MAIN DATA'!$B:$B,E40,'Bilateral assistance, MAIN DATA'!$AO:$AO,"122mm MLRS")+SUMIFS('Bilateral assistance, MAIN DATA'!$N:$N,'Bilateral assistance, MAIN DATA'!$B:$B,E40,'Bilateral assistance, MAIN DATA'!$AO:$AO,"127mm MLRS")+SUMIFS('Bilateral assistance, MAIN DATA'!$N:$N,'Bilateral assistance, MAIN DATA'!$B:$B,E40,'Bilateral assistance, MAIN DATA'!$AO:$AO,"227mm MLRS")</f>
        <v>0</v>
      </c>
      <c r="H40" s="645"/>
      <c r="I40" s="33" t="s">
        <v>2329</v>
      </c>
      <c r="J40" s="645">
        <f>SUMIFS('Bilateral assistance, MAIN DATA'!$M:$M,'Bilateral assistance, MAIN DATA'!$B:$B,I40,'Bilateral assistance, MAIN DATA'!$AO:$AO,"Main Battle Tank (MBT)")</f>
        <v>0</v>
      </c>
      <c r="K40" s="645">
        <f>SUMIFS('Bilateral assistance, MAIN DATA'!$N:$N,'Bilateral assistance, MAIN DATA'!$B:$B,I40,'Bilateral assistance, MAIN DATA'!$AO:$AO,"Main Battle Tank (MBT)")</f>
        <v>0</v>
      </c>
      <c r="L40" s="645"/>
      <c r="M40" s="33" t="s">
        <v>2258</v>
      </c>
      <c r="N40" s="645">
        <f>SUMIFS('Bilateral assistance, MAIN DATA'!$M:$M,'Bilateral assistance, MAIN DATA'!$B:$B,M40,'Bilateral assistance, MAIN DATA'!$AO:$AO,"Armoured Personnel Carrier (APC)")+SUMIFS('Bilateral assistance, MAIN DATA'!$M:$M,'Bilateral assistance, MAIN DATA'!$B:$B,M40,'Bilateral assistance, MAIN DATA'!$AO:$AO,"Protected Patrol Vehicle (PPV)")+SUMIFS('Bilateral assistance, MAIN DATA'!$M:$M,'Bilateral assistance, MAIN DATA'!$B:$B,M40,'Bilateral assistance, MAIN DATA'!$AO:$AO,"Armoured Utility Vehicle (AUV)")+SUMIFS('Bilateral assistance, MAIN DATA'!$M:$M,'Bilateral assistance, MAIN DATA'!$B:$B,M40,'Bilateral assistance, MAIN DATA'!$AO:$AO,"Infantry fighting vehicle (IFV)")</f>
        <v>0</v>
      </c>
      <c r="O40" s="645">
        <f>SUMIFS('Bilateral assistance, MAIN DATA'!$N:$N,'Bilateral assistance, MAIN DATA'!$B:$B,M40,'Bilateral assistance, MAIN DATA'!$AO:$AO,"Armoured Personnel Carrier (APC)")+SUMIFS('Bilateral assistance, MAIN DATA'!$N:$N,'Bilateral assistance, MAIN DATA'!$B:$B,M40,'Bilateral assistance, MAIN DATA'!$AO:$AO,"Protected Patrol Vehicle (PPV)")+SUMIFS('Bilateral assistance, MAIN DATA'!$N:$N,'Bilateral assistance, MAIN DATA'!$B:$B,M40,'Bilateral assistance, MAIN DATA'!$AO:$AO,"Armoured Utility Vehicle (AUV)")+SUMIFS('Bilateral assistance, MAIN DATA'!$N:$N,'Bilateral assistance, MAIN DATA'!$B:$B,M40,'Bilateral assistance, MAIN DATA'!$AO:$AO,"Infantry fighting vehicle (IFV)")</f>
        <v>0</v>
      </c>
    </row>
    <row r="41" spans="1:15">
      <c r="A41" s="165" t="s">
        <v>2348</v>
      </c>
      <c r="B41" s="747">
        <f>SUMIFS('Bilateral assistance, MAIN DATA'!$M:$M, 'Bilateral assistance, MAIN DATA'!$I:$I,"M777 howitzer",'Bilateral assistance, MAIN DATA'!$B:$B,A41)+SUMIFS('Bilateral assistance, MAIN DATA'!$M:$M, 'Bilateral assistance, MAIN DATA'!$I:$I,"FH70 155mm howitzer",'Bilateral assistance, MAIN DATA'!$B:$B,A41)+SUMIFS('Bilateral assistance, MAIN DATA'!$M:$M, 'Bilateral assistance, MAIN DATA'!$I:$I,"CAESAR artillery howitzer",'Bilateral assistance, MAIN DATA'!$B:$B,A41)+SUMIFS('Bilateral assistance, MAIN DATA'!$M:$M, 'Bilateral assistance, MAIN DATA'!$I:$I,"M109 155mm howitzer",'Bilateral assistance, MAIN DATA'!$B:$B,A41)+SUMIFS('Bilateral assistance, MAIN DATA'!$M:$M, 'Bilateral assistance, MAIN DATA'!$I:$I,"AHS Krab self-propelled howitzer",'Bilateral assistance, MAIN DATA'!$B:$B,A41)+SUMIFS('Bilateral assistance, MAIN DATA'!$M:$M, 'Bilateral assistance, MAIN DATA'!$I:$I,"M114 155mm Howitzer",'Bilateral assistance, MAIN DATA'!$B:$B,A41)+SUMIFS('Bilateral assistance, MAIN DATA'!$M:$M, 'Bilateral assistance, MAIN DATA'!$I:$I,"Panzerhaubitze 2000",'Bilateral assistance, MAIN DATA'!$B:$B,A41)+SUMIFS('Bilateral assistance, MAIN DATA'!$M:$M, 'Bilateral assistance, MAIN DATA'!$I:$I,"155mm Howitzer",'Bilateral assistance, MAIN DATA'!$B:$B,A41)+SUMIFS('Bilateral assistance, MAIN DATA'!$M:$M, 'Bilateral assistance, MAIN DATA'!$I:$I,"M109 A3GM 155mm howitzer",'Bilateral assistance, MAIN DATA'!$B:$B,A41)+SUMIFS('Bilateral assistance, MAIN DATA'!$M:$M, 'Bilateral assistance, MAIN DATA'!$I:$I,"Zusana-2 howitzer",'Bilateral assistance, MAIN DATA'!$B:$B,A41)+SUMIFS('Bilateral assistance, MAIN DATA'!$M:$M, 'Bilateral assistance, MAIN DATA'!$I:$I,"AS-90",'Bilateral assistance, MAIN DATA'!$B:$B,A41)</f>
        <v>0</v>
      </c>
      <c r="C41" s="645">
        <f>SUMIFS('Bilateral assistance, MAIN DATA'!$N:$N,'Bilateral assistance, MAIN DATA'!$B:$B,A41,'Bilateral assistance, MAIN DATA'!$AO:$AO,"155mm howitzer")</f>
        <v>0</v>
      </c>
      <c r="D41" s="747"/>
      <c r="E41" s="165" t="s">
        <v>2348</v>
      </c>
      <c r="F41" s="645">
        <f>SUMIFS('Bilateral assistance, MAIN DATA'!$M:$M,'Bilateral assistance, MAIN DATA'!$B:$B,E41,'Bilateral assistance, MAIN DATA'!$AO:$AO,"122mm MLRS")+SUMIFS('Bilateral assistance, MAIN DATA'!$M:$M,'Bilateral assistance, MAIN DATA'!$B:$B,E41,'Bilateral assistance, MAIN DATA'!$AO:$AO,"127mm MLRS")+SUMIFS('Bilateral assistance, MAIN DATA'!$M:$M,'Bilateral assistance, MAIN DATA'!$B:$B,E41,'Bilateral assistance, MAIN DATA'!$AO:$AO,"227mm MLRS")</f>
        <v>0</v>
      </c>
      <c r="G41" s="645">
        <f>SUMIFS('Bilateral assistance, MAIN DATA'!$N:$N,'Bilateral assistance, MAIN DATA'!$B:$B,E41,'Bilateral assistance, MAIN DATA'!$AO:$AO,"122mm MLRS")+SUMIFS('Bilateral assistance, MAIN DATA'!$N:$N,'Bilateral assistance, MAIN DATA'!$B:$B,E41,'Bilateral assistance, MAIN DATA'!$AO:$AO,"127mm MLRS")+SUMIFS('Bilateral assistance, MAIN DATA'!$N:$N,'Bilateral assistance, MAIN DATA'!$B:$B,E41,'Bilateral assistance, MAIN DATA'!$AO:$AO,"227mm MLRS")</f>
        <v>0</v>
      </c>
      <c r="H41" s="747"/>
      <c r="I41" s="165" t="s">
        <v>2348</v>
      </c>
      <c r="J41" s="645">
        <f>SUMIFS('Bilateral assistance, MAIN DATA'!$M:$M,'Bilateral assistance, MAIN DATA'!$B:$B,I41,'Bilateral assistance, MAIN DATA'!$AO:$AO,"Main Battle Tank (MBT)")</f>
        <v>0</v>
      </c>
      <c r="K41" s="645">
        <f>SUMIFS('Bilateral assistance, MAIN DATA'!$N:$N,'Bilateral assistance, MAIN DATA'!$B:$B,I41,'Bilateral assistance, MAIN DATA'!$AO:$AO,"Main Battle Tank (MBT)")</f>
        <v>0</v>
      </c>
      <c r="L41" s="747"/>
      <c r="M41" s="165" t="s">
        <v>2329</v>
      </c>
      <c r="N41" s="645">
        <f>SUMIFS('Bilateral assistance, MAIN DATA'!$M:$M,'Bilateral assistance, MAIN DATA'!$B:$B,M41,'Bilateral assistance, MAIN DATA'!$AO:$AO,"Armoured Personnel Carrier (APC)")+SUMIFS('Bilateral assistance, MAIN DATA'!$M:$M,'Bilateral assistance, MAIN DATA'!$B:$B,M41,'Bilateral assistance, MAIN DATA'!$AO:$AO,"Protected Patrol Vehicle (PPV)")+SUMIFS('Bilateral assistance, MAIN DATA'!$M:$M,'Bilateral assistance, MAIN DATA'!$B:$B,M41,'Bilateral assistance, MAIN DATA'!$AO:$AO,"Armoured Utility Vehicle (AUV)")+SUMIFS('Bilateral assistance, MAIN DATA'!$M:$M,'Bilateral assistance, MAIN DATA'!$B:$B,M41,'Bilateral assistance, MAIN DATA'!$AO:$AO,"Infantry fighting vehicle (IFV)")</f>
        <v>0</v>
      </c>
      <c r="O41" s="645">
        <f>SUMIFS('Bilateral assistance, MAIN DATA'!$N:$N,'Bilateral assistance, MAIN DATA'!$B:$B,M41,'Bilateral assistance, MAIN DATA'!$AO:$AO,"Armoured Personnel Carrier (APC)")+SUMIFS('Bilateral assistance, MAIN DATA'!$N:$N,'Bilateral assistance, MAIN DATA'!$B:$B,M41,'Bilateral assistance, MAIN DATA'!$AO:$AO,"Protected Patrol Vehicle (PPV)")+SUMIFS('Bilateral assistance, MAIN DATA'!$N:$N,'Bilateral assistance, MAIN DATA'!$B:$B,M41,'Bilateral assistance, MAIN DATA'!$AO:$AO,"Armoured Utility Vehicle (AUV)")+SUMIFS('Bilateral assistance, MAIN DATA'!$N:$N,'Bilateral assistance, MAIN DATA'!$B:$B,M41,'Bilateral assistance, MAIN DATA'!$AO:$AO,"Infantry fighting vehicle (IFV)")</f>
        <v>0</v>
      </c>
    </row>
  </sheetData>
  <autoFilter ref="M1:O1" xr:uid="{00000000-0001-0000-2200-000000000000}">
    <sortState xmlns:xlrd2="http://schemas.microsoft.com/office/spreadsheetml/2017/richdata2" ref="M2:O41">
      <sortCondition descending="1" ref="O1"/>
    </sortState>
  </autoFilter>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59999389629810485"/>
  </sheetPr>
  <dimension ref="A1:DN42"/>
  <sheetViews>
    <sheetView zoomScaleNormal="100" workbookViewId="0"/>
  </sheetViews>
  <sheetFormatPr defaultColWidth="8.5" defaultRowHeight="15.75" customHeight="1"/>
  <cols>
    <col min="1" max="1" width="28" style="801" customWidth="1"/>
    <col min="2" max="2" width="12.5" style="801" customWidth="1"/>
    <col min="3" max="3" width="8" style="33"/>
    <col min="4" max="4" width="16.5" style="799" customWidth="1"/>
    <col min="5" max="5" width="8.5" style="802"/>
    <col min="6" max="20" width="8.5" style="801"/>
    <col min="21" max="21" width="21.5" style="799" customWidth="1"/>
    <col min="22" max="24" width="16.5" style="801" customWidth="1"/>
    <col min="25" max="28" width="8.5" style="801"/>
    <col min="29" max="29" width="16.5" style="799" customWidth="1"/>
    <col min="30" max="42" width="8.5" style="33"/>
    <col min="43" max="43" width="16.5" style="799" customWidth="1"/>
    <col min="44" max="56" width="8.5" style="33"/>
    <col min="57" max="57" width="16.5" style="799" customWidth="1"/>
    <col min="58" max="58" width="11" style="33" bestFit="1" customWidth="1"/>
    <col min="59" max="70" width="8.5" style="33"/>
    <col min="71" max="71" width="16.5" style="799" customWidth="1"/>
    <col min="72" max="84" width="8.5" style="33"/>
    <col min="85" max="85" width="16.5" style="799" customWidth="1"/>
    <col min="86" max="88" width="8.5" style="33"/>
    <col min="89" max="89" width="16.5" style="799" customWidth="1"/>
    <col min="90" max="92" width="8.5" style="33"/>
    <col min="93" max="93" width="16.5" style="799" customWidth="1"/>
    <col min="94" max="96" width="8.5" style="33"/>
    <col min="97" max="97" width="16.5" style="799" customWidth="1"/>
    <col min="98" max="100" width="8.5" style="33"/>
    <col min="101" max="101" width="16.5" style="799" customWidth="1"/>
    <col min="102" max="104" width="8.5" style="33"/>
    <col min="105" max="105" width="16.5" style="799" customWidth="1"/>
    <col min="106" max="106" width="8.5" style="33"/>
    <col min="107" max="107" width="11" style="33" bestFit="1" customWidth="1"/>
    <col min="108" max="108" width="8.5" style="33"/>
    <col min="109" max="109" width="16.5" style="799" customWidth="1"/>
    <col min="110" max="113" width="8.5" style="33"/>
    <col min="114" max="114" width="16.5" style="799" customWidth="1"/>
    <col min="115" max="16384" width="8.5" style="33"/>
  </cols>
  <sheetData>
    <row r="1" spans="1:118">
      <c r="B1" s="801" t="s">
        <v>4166</v>
      </c>
      <c r="C1" s="33" t="s">
        <v>3139</v>
      </c>
      <c r="D1" s="798" t="s">
        <v>4167</v>
      </c>
      <c r="E1" s="802" t="s">
        <v>4168</v>
      </c>
      <c r="F1" s="801" t="s">
        <v>3257</v>
      </c>
      <c r="G1" s="801" t="s">
        <v>3346</v>
      </c>
      <c r="H1" s="801" t="s">
        <v>3252</v>
      </c>
      <c r="I1" s="801" t="s">
        <v>3340</v>
      </c>
      <c r="J1" s="801" t="s">
        <v>3343</v>
      </c>
      <c r="K1" s="801" t="s">
        <v>3095</v>
      </c>
      <c r="L1" s="801" t="s">
        <v>4169</v>
      </c>
      <c r="M1" s="801" t="s">
        <v>3166</v>
      </c>
      <c r="N1" s="801" t="s">
        <v>4170</v>
      </c>
      <c r="O1" s="801" t="s">
        <v>4171</v>
      </c>
      <c r="P1" s="801" t="s">
        <v>3552</v>
      </c>
      <c r="Q1" s="801" t="s">
        <v>3167</v>
      </c>
      <c r="R1" s="801" t="s">
        <v>3168</v>
      </c>
      <c r="S1" s="801" t="s">
        <v>3169</v>
      </c>
      <c r="T1" s="801" t="s">
        <v>3170</v>
      </c>
      <c r="U1" s="798" t="s">
        <v>4172</v>
      </c>
      <c r="V1" s="801" t="s">
        <v>4173</v>
      </c>
      <c r="W1" s="801" t="s">
        <v>3252</v>
      </c>
      <c r="X1" s="801" t="s">
        <v>3343</v>
      </c>
      <c r="Y1" s="801" t="s">
        <v>4169</v>
      </c>
      <c r="Z1" s="801" t="s">
        <v>4174</v>
      </c>
      <c r="AA1" s="801" t="s">
        <v>4175</v>
      </c>
      <c r="AB1" s="801" t="s">
        <v>4176</v>
      </c>
      <c r="AC1" s="798" t="s">
        <v>4177</v>
      </c>
      <c r="AD1" s="33" t="s">
        <v>3257</v>
      </c>
      <c r="AE1" s="33" t="s">
        <v>3346</v>
      </c>
      <c r="AF1" s="33" t="s">
        <v>3252</v>
      </c>
      <c r="AG1" s="33" t="s">
        <v>3340</v>
      </c>
      <c r="AH1" s="276" t="s">
        <v>3343</v>
      </c>
      <c r="AI1" s="276" t="s">
        <v>3095</v>
      </c>
      <c r="AJ1" s="33" t="s">
        <v>3281</v>
      </c>
      <c r="AK1" s="33" t="s">
        <v>3166</v>
      </c>
      <c r="AL1" s="33" t="s">
        <v>4178</v>
      </c>
      <c r="AM1" s="801" t="s">
        <v>3167</v>
      </c>
      <c r="AN1" s="801" t="s">
        <v>3168</v>
      </c>
      <c r="AO1" s="801" t="s">
        <v>3169</v>
      </c>
      <c r="AP1" s="801" t="s">
        <v>3170</v>
      </c>
      <c r="AQ1" s="798" t="s">
        <v>4179</v>
      </c>
      <c r="AR1" s="33" t="s">
        <v>3257</v>
      </c>
      <c r="AS1" s="33" t="s">
        <v>3346</v>
      </c>
      <c r="AT1" s="33" t="s">
        <v>3252</v>
      </c>
      <c r="AU1" s="33" t="s">
        <v>3340</v>
      </c>
      <c r="AV1" s="276" t="s">
        <v>3343</v>
      </c>
      <c r="AW1" s="276" t="s">
        <v>3095</v>
      </c>
      <c r="AX1" s="33" t="s">
        <v>3281</v>
      </c>
      <c r="AY1" s="33" t="s">
        <v>3166</v>
      </c>
      <c r="AZ1" s="33" t="s">
        <v>4178</v>
      </c>
      <c r="BA1" s="801" t="s">
        <v>3167</v>
      </c>
      <c r="BB1" s="801" t="s">
        <v>3168</v>
      </c>
      <c r="BC1" s="801" t="s">
        <v>3169</v>
      </c>
      <c r="BD1" s="801" t="s">
        <v>3170</v>
      </c>
      <c r="BE1" s="798" t="s">
        <v>4180</v>
      </c>
      <c r="BF1" s="33" t="s">
        <v>3257</v>
      </c>
      <c r="BG1" s="33" t="s">
        <v>3346</v>
      </c>
      <c r="BH1" s="33" t="s">
        <v>3252</v>
      </c>
      <c r="BI1" s="33" t="s">
        <v>3340</v>
      </c>
      <c r="BJ1" s="276" t="s">
        <v>3343</v>
      </c>
      <c r="BK1" s="276" t="s">
        <v>3095</v>
      </c>
      <c r="BL1" s="33" t="s">
        <v>3281</v>
      </c>
      <c r="BM1" s="33" t="s">
        <v>3166</v>
      </c>
      <c r="BN1" s="33" t="s">
        <v>4178</v>
      </c>
      <c r="BO1" s="801" t="s">
        <v>3167</v>
      </c>
      <c r="BP1" s="801" t="s">
        <v>3168</v>
      </c>
      <c r="BQ1" s="801" t="s">
        <v>3169</v>
      </c>
      <c r="BR1" s="801" t="s">
        <v>3170</v>
      </c>
      <c r="BS1" s="798" t="s">
        <v>4181</v>
      </c>
      <c r="BT1" s="33" t="s">
        <v>3257</v>
      </c>
      <c r="BU1" s="33" t="s">
        <v>3346</v>
      </c>
      <c r="BV1" s="33" t="s">
        <v>3252</v>
      </c>
      <c r="BW1" s="33" t="s">
        <v>3340</v>
      </c>
      <c r="BX1" s="276" t="s">
        <v>3343</v>
      </c>
      <c r="BY1" s="276" t="s">
        <v>3095</v>
      </c>
      <c r="BZ1" s="33" t="s">
        <v>3281</v>
      </c>
      <c r="CA1" s="33" t="s">
        <v>3166</v>
      </c>
      <c r="CB1" s="33" t="s">
        <v>4178</v>
      </c>
      <c r="CC1" s="801" t="s">
        <v>3167</v>
      </c>
      <c r="CD1" s="801" t="s">
        <v>3168</v>
      </c>
      <c r="CE1" s="801" t="s">
        <v>3169</v>
      </c>
      <c r="CF1" s="801" t="s">
        <v>3170</v>
      </c>
      <c r="CG1" s="798" t="s">
        <v>4182</v>
      </c>
      <c r="CH1" s="33" t="s">
        <v>3257</v>
      </c>
      <c r="CI1" s="33" t="s">
        <v>3281</v>
      </c>
      <c r="CJ1" s="33" t="s">
        <v>3166</v>
      </c>
      <c r="CK1" s="798" t="s">
        <v>4183</v>
      </c>
      <c r="CL1" s="33" t="s">
        <v>3257</v>
      </c>
      <c r="CM1" s="33" t="s">
        <v>3281</v>
      </c>
      <c r="CN1" s="33" t="s">
        <v>3166</v>
      </c>
      <c r="CO1" s="798" t="s">
        <v>4184</v>
      </c>
      <c r="CP1" s="33" t="s">
        <v>3257</v>
      </c>
      <c r="CQ1" s="33" t="s">
        <v>3281</v>
      </c>
      <c r="CR1" s="33" t="s">
        <v>3166</v>
      </c>
      <c r="CS1" s="798" t="s">
        <v>4185</v>
      </c>
      <c r="CT1" s="33" t="s">
        <v>3257</v>
      </c>
      <c r="CU1" s="33" t="s">
        <v>3281</v>
      </c>
      <c r="CV1" s="33" t="s">
        <v>3166</v>
      </c>
      <c r="CW1" s="798" t="s">
        <v>4186</v>
      </c>
      <c r="CX1" s="33" t="s">
        <v>3257</v>
      </c>
      <c r="CY1" s="33" t="s">
        <v>3281</v>
      </c>
      <c r="CZ1" s="33" t="s">
        <v>3166</v>
      </c>
      <c r="DA1" s="798" t="s">
        <v>4184</v>
      </c>
      <c r="DB1" s="33" t="s">
        <v>3257</v>
      </c>
      <c r="DC1" s="33" t="s">
        <v>3281</v>
      </c>
      <c r="DD1" s="33" t="s">
        <v>3166</v>
      </c>
      <c r="DE1" s="798" t="s">
        <v>4187</v>
      </c>
      <c r="DF1" s="801" t="s">
        <v>3167</v>
      </c>
      <c r="DG1" s="801" t="s">
        <v>3168</v>
      </c>
      <c r="DH1" s="801" t="s">
        <v>3169</v>
      </c>
      <c r="DI1" s="801" t="s">
        <v>3170</v>
      </c>
      <c r="DJ1" s="798" t="s">
        <v>4188</v>
      </c>
      <c r="DK1" s="801" t="s">
        <v>3167</v>
      </c>
      <c r="DL1" s="801" t="s">
        <v>3168</v>
      </c>
      <c r="DM1" s="801" t="s">
        <v>3169</v>
      </c>
      <c r="DN1" s="801" t="s">
        <v>3170</v>
      </c>
    </row>
    <row r="2" spans="1:118">
      <c r="A2" s="801" t="s">
        <v>2548</v>
      </c>
      <c r="B2" s="801">
        <v>1</v>
      </c>
      <c r="C2" s="33">
        <v>0</v>
      </c>
      <c r="E2" s="802">
        <v>754</v>
      </c>
      <c r="F2" s="801">
        <f>VLOOKUP(A2,'Heavy weapon stocks'!A:OH,COLUMN('Heavy weapon stocks'!$G$1),0)</f>
        <v>6095</v>
      </c>
      <c r="G2" s="801">
        <f>VLOOKUP(A2,'Heavy weapon stocks'!A:OH,COLUMN('Heavy weapon stocks'!$AW$1),0)</f>
        <v>15908</v>
      </c>
      <c r="H2" s="801">
        <f>VLOOKUP(A2,'Heavy weapon stocks'!A:OH,COLUMN('Heavy weapon stocks'!$DQ$1),0)</f>
        <v>2934</v>
      </c>
      <c r="I2" s="801">
        <f>VLOOKUP(A2,'Heavy weapon stocks'!A:OH,COLUMN('Heavy weapon stocks'!$EE$1),0)</f>
        <v>26285</v>
      </c>
      <c r="J2" s="801">
        <f>VLOOKUP(A2,'Heavy weapon stocks'!A:OH,COLUMN('Heavy weapon stocks'!$FG$1),0)</f>
        <v>5419</v>
      </c>
      <c r="K2" s="801">
        <f>SUM(G2:J2)</f>
        <v>50546</v>
      </c>
      <c r="L2" s="801">
        <f>VLOOKUP(A2,'Heavy weapon stocks'!A:OH,COLUMN('Heavy weapon stocks'!$HC$1),0)+VLOOKUP(A2,'Heavy weapon stocks'!A:OH,COLUMN('Heavy weapon stocks'!$II$1),0)</f>
        <v>2538</v>
      </c>
      <c r="M2" s="801">
        <f>VLOOKUP(A2,'Heavy weapon stocks'!A:OH,COLUMN('Heavy weapon stocks'!$IN$1),0)</f>
        <v>635</v>
      </c>
      <c r="N2" s="801">
        <f>VLOOKUP(A2,'Heavy weapon stocks'!A:OH,COLUMN('Heavy weapon stocks'!$JH$1),0)+VLOOKUP(A2,'Heavy weapon stocks'!A:OH,COLUMN('Heavy weapon stocks'!$KE$1),0)</f>
        <v>2920</v>
      </c>
      <c r="O2" s="801">
        <f>VLOOKUP(A2,'Heavy weapon stocks'!A:OH,COLUMN('Heavy weapon stocks'!$LU$1),0)</f>
        <v>0</v>
      </c>
      <c r="Q2" s="801">
        <f>VLOOKUP(A2,'Heavy weapon stocks'!A:OH,COLUMN('Heavy weapon stocks'!$LV$1),0)</f>
        <v>480</v>
      </c>
      <c r="R2" s="801">
        <f>VLOOKUP(A2,'Heavy weapon stocks'!A:OH,COLUMN('Heavy weapon stocks'!$MF$1),0)</f>
        <v>0</v>
      </c>
      <c r="S2" s="801">
        <f>VLOOKUP(A2,'Heavy weapon stocks'!A:OH,COLUMN('Heavy weapon stocks'!$MM$1),0)</f>
        <v>81</v>
      </c>
      <c r="T2" s="801">
        <f>VLOOKUP(A2,'Heavy weapon stocks'!A:OH,COLUMN('Heavy weapon stocks'!$NR$1),0)</f>
        <v>457</v>
      </c>
      <c r="V2" s="801">
        <f>VLOOKUP(A2,'Heavy weapon stocks'!A:OH,COLUMN('Heavy weapon stocks'!$H$1),0)</f>
        <v>0</v>
      </c>
      <c r="W2" s="801">
        <f>VLOOKUP(A2,'Heavy weapon stocks'!A:OH,COLUMN('Heavy weapon stocks'!$DQ$1),0)</f>
        <v>2934</v>
      </c>
      <c r="X2" s="801">
        <f>VLOOKUP(A2,'Heavy weapon stocks'!A:OH,COLUMN('Heavy weapon stocks'!$FG$1),0)</f>
        <v>5419</v>
      </c>
      <c r="Y2" s="801">
        <f>VLOOKUP(A2,'Heavy weapon stocks'!A:OH,COLUMN('Heavy weapon stocks'!$HC$1),0)+VLOOKUP(A2,'Heavy weapon stocks'!A:OH,COLUMN('Heavy weapon stocks'!$II$1),0)</f>
        <v>2538</v>
      </c>
      <c r="Z2" s="801">
        <f>VLOOKUP(A2,'Heavy weapon stocks'!A:OH,COLUMN('Heavy weapon stocks'!$IO$1),0)+VLOOKUP(A2,'Heavy weapon stocks'!A:OH,COLUMN('Heavy weapon stocks'!$IP$1),0)+VLOOKUP(A2,'Heavy weapon stocks'!A:OH,COLUMN('Heavy weapon stocks'!$IU$1),0)</f>
        <v>635</v>
      </c>
      <c r="AA2" s="801">
        <f>VLOOKUP(A2,'Heavy weapon stocks'!A:OH,COLUMN('Heavy weapon stocks'!$MI$1),0)</f>
        <v>0</v>
      </c>
      <c r="AB2" s="801">
        <f>VLOOKUP(A2,'Heavy weapon stocks'!A:OH,COLUMN('Heavy weapon stocks'!$MT$1),0)+VLOOKUP(A2,'Heavy weapon stocks'!A:OH,COLUMN('Heavy weapon stocks'!$MU$1),0)+VLOOKUP(A2,'Heavy weapon stocks'!A:OH,COLUMN('Heavy weapon stocks'!$MV$1),0)</f>
        <v>81</v>
      </c>
      <c r="AD2" s="33">
        <f>SUMIFS('Bilateral assistance, MAIN DATA'!$M:$M,'Bilateral assistance, MAIN DATA'!$B:$B,'Share, heavy weapons to Ukraine'!$A2,'Bilateral assistance, MAIN DATA'!$AO:$AO,'Share, heavy weapons to Ukraine'!AD$1)</f>
        <v>45</v>
      </c>
      <c r="AE2" s="33">
        <f>SUMIFS('Bilateral assistance, MAIN DATA'!$M:$M,'Bilateral assistance, MAIN DATA'!$B:$B,'Share, heavy weapons to Ukraine'!$A2,'Bilateral assistance, MAIN DATA'!$AO:$AO,'Share, heavy weapons to Ukraine'!AE$1)</f>
        <v>204</v>
      </c>
      <c r="AF2" s="33">
        <f>SUMIFS('Bilateral assistance, MAIN DATA'!$M:$M,'Bilateral assistance, MAIN DATA'!$B:$B,'Share, heavy weapons to Ukraine'!$A2,'Bilateral assistance, MAIN DATA'!$AO:$AO,'Share, heavy weapons to Ukraine'!AF$1)</f>
        <v>0</v>
      </c>
      <c r="AG2" s="33">
        <f>SUMIFS('Bilateral assistance, MAIN DATA'!$M:$M,'Bilateral assistance, MAIN DATA'!$B:$B,'Share, heavy weapons to Ukraine'!$A2,'Bilateral assistance, MAIN DATA'!$AO:$AO,'Share, heavy weapons to Ukraine'!AG$1)</f>
        <v>825</v>
      </c>
      <c r="AH2" s="33">
        <f>SUMIFS('Bilateral assistance, MAIN DATA'!$M:$M,'Bilateral assistance, MAIN DATA'!$B:$B,'Share, heavy weapons to Ukraine'!$A2,'Bilateral assistance, MAIN DATA'!$AO:$AO,'Share, heavy weapons to Ukraine'!AH$1)</f>
        <v>0</v>
      </c>
      <c r="AI2" s="33">
        <f>SUM(AE2:AH2)</f>
        <v>1029</v>
      </c>
      <c r="AJ2" s="33">
        <f>SUMIFS('Bilateral assistance, MAIN DATA'!$M:$M,'Bilateral assistance, MAIN DATA'!$B:$B,'Share, heavy weapons to Ukraine'!$A2,'Bilateral assistance, MAIN DATA'!$AO:$AO,'Share, heavy weapons to Ukraine'!AJ$1)</f>
        <v>126</v>
      </c>
      <c r="AK2" s="645">
        <f>SUMIFS('Bilateral assistance, MAIN DATA'!$M:$M,'Bilateral assistance, MAIN DATA'!$B:$B,'Share, heavy weapons to Ukraine'!$A2,'Bilateral assistance, MAIN DATA'!$AO:$AO,"122mm MLRS")+SUMIFS('Bilateral assistance, MAIN DATA'!$M:$M,'Bilateral assistance, MAIN DATA'!$B:$B,'Share, heavy weapons to Ukraine'!$A2,'Bilateral assistance, MAIN DATA'!$AO:$AO,"127mm MLRS")+SUMIFS('Bilateral assistance, MAIN DATA'!$M:$M,'Bilateral assistance, MAIN DATA'!$B:$B,'Share, heavy weapons to Ukraine'!$A2,'Bilateral assistance, MAIN DATA'!$AO:$AO,"227mm MLRS")</f>
        <v>38</v>
      </c>
      <c r="AL2" s="33">
        <f>SUMIFS('Bilateral assistance, MAIN DATA'!$M:$M,'Bilateral assistance, MAIN DATA'!$B:$B,'Share, heavy weapons to Ukraine'!$A2,'Bilateral assistance, MAIN DATA'!$AO:$AO,'Share, heavy weapons to Ukraine'!AL$1)</f>
        <v>0</v>
      </c>
      <c r="AM2" s="33">
        <f>SUMIFS('Bilateral assistance, MAIN DATA'!$M:$M,'Bilateral assistance, MAIN DATA'!$B:$B,'Share, heavy weapons to Ukraine'!$A2,'Bilateral assistance, MAIN DATA'!$AO:$AO,'Share, heavy weapons to Ukraine'!AM$1)</f>
        <v>0</v>
      </c>
      <c r="AN2" s="33">
        <f>SUMIFS('Bilateral assistance, MAIN DATA'!$M:$M,'Bilateral assistance, MAIN DATA'!$B:$B,'Share, heavy weapons to Ukraine'!$A2,'Bilateral assistance, MAIN DATA'!$AO:$AO,'Share, heavy weapons to Ukraine'!AN$1)</f>
        <v>0</v>
      </c>
      <c r="AO2" s="33">
        <f>SUMIFS('Bilateral assistance, MAIN DATA'!$M:$M,'Bilateral assistance, MAIN DATA'!$B:$B,'Share, heavy weapons to Ukraine'!$A2,'Bilateral assistance, MAIN DATA'!$AO:$AO,'Share, heavy weapons to Ukraine'!AO$1)</f>
        <v>8</v>
      </c>
      <c r="AP2" s="33">
        <f>SUMIFS('Bilateral assistance, MAIN DATA'!$M:$M,'Bilateral assistance, MAIN DATA'!$B:$B,'Share, heavy weapons to Ukraine'!$A2,'Bilateral assistance, MAIN DATA'!$AO:$AO,'Share, heavy weapons to Ukraine'!AP$1)</f>
        <v>4</v>
      </c>
      <c r="AR2" s="33">
        <f>SUMIFS('Bilateral assistance, MAIN DATA'!$N:$N,'Bilateral assistance, MAIN DATA'!$B:$B,'Share, heavy weapons to Ukraine'!$A2,'Bilateral assistance, MAIN DATA'!$AO:$AO,'Share, heavy weapons to Ukraine'!AR$1)</f>
        <v>0</v>
      </c>
      <c r="AS2" s="33">
        <f>SUMIFS('Bilateral assistance, MAIN DATA'!$N:$N,'Bilateral assistance, MAIN DATA'!$B:$B,'Share, heavy weapons to Ukraine'!$A2,'Bilateral assistance, MAIN DATA'!$AO:$AO,'Share, heavy weapons to Ukraine'!AS$1)</f>
        <v>200</v>
      </c>
      <c r="AT2" s="33">
        <f>SUMIFS('Bilateral assistance, MAIN DATA'!$N:$N,'Bilateral assistance, MAIN DATA'!$B:$B,'Share, heavy weapons to Ukraine'!$A2,'Bilateral assistance, MAIN DATA'!$AO:$AO,'Share, heavy weapons to Ukraine'!AT$1)</f>
        <v>0</v>
      </c>
      <c r="AU2" s="33">
        <f>SUMIFS('Bilateral assistance, MAIN DATA'!$N:$N,'Bilateral assistance, MAIN DATA'!$B:$B,'Share, heavy weapons to Ukraine'!$A2,'Bilateral assistance, MAIN DATA'!$AO:$AO,'Share, heavy weapons to Ukraine'!AU$1)</f>
        <v>100</v>
      </c>
      <c r="AV2" s="33">
        <f>SUMIFS('Bilateral assistance, MAIN DATA'!$N:$N,'Bilateral assistance, MAIN DATA'!$B:$B,'Share, heavy weapons to Ukraine'!$A2,'Bilateral assistance, MAIN DATA'!$AO:$AO,'Share, heavy weapons to Ukraine'!AV$1)</f>
        <v>0</v>
      </c>
      <c r="AW2" s="33">
        <f>SUM(AS2:AV2)</f>
        <v>300</v>
      </c>
      <c r="AX2" s="33">
        <f>SUMIFS('Bilateral assistance, MAIN DATA'!$N:$N,'Bilateral assistance, MAIN DATA'!$B:$B,'Share, heavy weapons to Ukraine'!$A2,'Bilateral assistance, MAIN DATA'!$AO:$AO,'Share, heavy weapons to Ukraine'!AX$1)</f>
        <v>108</v>
      </c>
      <c r="AY2" s="645">
        <f>SUMIFS('Bilateral assistance, MAIN DATA'!$N:$N,'Bilateral assistance, MAIN DATA'!$B:$B,'Share, heavy weapons to Ukraine'!$A2,'Bilateral assistance, MAIN DATA'!$AO:$AO,"122mm MLRS")+SUMIFS('Bilateral assistance, MAIN DATA'!$N:$N,'Bilateral assistance, MAIN DATA'!$B:$B,'Share, heavy weapons to Ukraine'!$A2,'Bilateral assistance, MAIN DATA'!$AO:$AO,"127mm MLRS")+SUMIFS('Bilateral assistance, MAIN DATA'!$N:$N,'Bilateral assistance, MAIN DATA'!$B:$B,'Share, heavy weapons to Ukraine'!$A2,'Bilateral assistance, MAIN DATA'!$AO:$AO,"227mm MLRS")</f>
        <v>16</v>
      </c>
      <c r="AZ2" s="33">
        <f>SUMIFS('Bilateral assistance, MAIN DATA'!$N:$N,'Bilateral assistance, MAIN DATA'!$B:$B,'Share, heavy weapons to Ukraine'!$A2,'Bilateral assistance, MAIN DATA'!$AO:$AO,'Share, heavy weapons to Ukraine'!AZ$1)</f>
        <v>0</v>
      </c>
      <c r="BA2" s="33">
        <f>SUMIFS('Bilateral assistance, MAIN DATA'!$N:$N,'Bilateral assistance, MAIN DATA'!$B:$B,'Share, heavy weapons to Ukraine'!$A2,'Bilateral assistance, MAIN DATA'!$AO:$AO,'Share, heavy weapons to Ukraine'!BA$1)</f>
        <v>0</v>
      </c>
      <c r="BB2" s="33">
        <f>SUMIFS('Bilateral assistance, MAIN DATA'!$N:$N,'Bilateral assistance, MAIN DATA'!$B:$B,'Share, heavy weapons to Ukraine'!$A2,'Bilateral assistance, MAIN DATA'!$AO:$AO,'Share, heavy weapons to Ukraine'!BB$1)</f>
        <v>0</v>
      </c>
      <c r="BC2" s="33">
        <f>SUMIFS('Bilateral assistance, MAIN DATA'!$N:$N,'Bilateral assistance, MAIN DATA'!$B:$B,'Share, heavy weapons to Ukraine'!$A2,'Bilateral assistance, MAIN DATA'!$AO:$AO,'Share, heavy weapons to Ukraine'!BC$1)</f>
        <v>8</v>
      </c>
      <c r="BD2" s="33">
        <f>SUMIFS('Bilateral assistance, MAIN DATA'!$N:$N,'Bilateral assistance, MAIN DATA'!$B:$B,'Share, heavy weapons to Ukraine'!$A2,'Bilateral assistance, MAIN DATA'!$AO:$AO,'Share, heavy weapons to Ukraine'!BD$1)</f>
        <v>0</v>
      </c>
      <c r="BF2" s="33">
        <f>IF(VLOOKUP($A2,$A:F,COLUMN(F1),FALSE)&lt;&gt;0,VLOOKUP($A2,$A:AD,COLUMN(AD1),FALSE)/VLOOKUP($A2,$A:F,COLUMN(F1),FALSE),IF(VLOOKUP($A2,$A:AD,COLUMN(AD1),FALSE)&lt;&gt;0,"Strange",0))</f>
        <v>7.3831009023789989E-3</v>
      </c>
      <c r="BG2" s="33">
        <f>IF(VLOOKUP($A2,$A:G,COLUMN(G1),FALSE)&lt;&gt;0,VLOOKUP($A2,$A:AE,COLUMN(AE1),FALSE)/VLOOKUP($A2,$A:G,COLUMN(G1),FALSE),IF(VLOOKUP($A2,$A:AE,COLUMN(AE1),FALSE)&lt;&gt;0,"Strange",0))</f>
        <v>1.2823736484787528E-2</v>
      </c>
      <c r="BH2" s="33">
        <f>IF(VLOOKUP($A2,$A:H,COLUMN(H1),FALSE)&lt;&gt;0,VLOOKUP($A2,$A:AF,COLUMN(AF1),FALSE)/VLOOKUP($A2,$A:H,COLUMN(H1),FALSE),IF(VLOOKUP($A2,$A:AF,COLUMN(AF1),FALSE)&lt;&gt;0,"Strange",0))</f>
        <v>0</v>
      </c>
      <c r="BI2" s="33">
        <f>IF(VLOOKUP($A2,$A:I,COLUMN(I1),FALSE)&lt;&gt;0,VLOOKUP($A2,$A:AG,COLUMN(AG1),FALSE)/VLOOKUP($A2,$A:I,COLUMN(I1),FALSE),IF(VLOOKUP($A2,$A:AG,COLUMN(AG1),FALSE)&lt;&gt;0,"Strange",0))</f>
        <v>3.1386722465284379E-2</v>
      </c>
      <c r="BJ2" s="33">
        <f>IF(VLOOKUP($A2,$A:J,COLUMN(J1),FALSE)&lt;&gt;0,VLOOKUP($A2,$A:AH,COLUMN(AH1),FALSE)/VLOOKUP($A2,$A:J,COLUMN(J1),FALSE),IF(VLOOKUP($A2,$A:AH,COLUMN(AH1),FALSE)&lt;&gt;0,"Strange",0))</f>
        <v>0</v>
      </c>
      <c r="BK2" s="33">
        <f>IF(VLOOKUP($A2,$A:K,COLUMN(K1),FALSE)&lt;&gt;0,VLOOKUP($A2,$A:AI,COLUMN(AI1),FALSE)/VLOOKUP($A2,$A:K,COLUMN(K1),FALSE),IF(VLOOKUP($A2,$A:AI,COLUMN(AI1),FALSE)&lt;&gt;0,"Strange",0))</f>
        <v>2.0357693981719622E-2</v>
      </c>
      <c r="BL2" s="33">
        <f>IF(VLOOKUP($A2,$A:L,COLUMN(L1),FALSE)&lt;&gt;0,VLOOKUP($A2,$A:AJ,COLUMN(AJ1),FALSE)/VLOOKUP($A2,$A:L,COLUMN(L1),FALSE),IF(VLOOKUP($A2,$A:AJ,COLUMN(AJ1),FALSE)&lt;&gt;0,"Strange",0))</f>
        <v>4.9645390070921988E-2</v>
      </c>
      <c r="BM2" s="33">
        <f>IF(VLOOKUP($A2,$A:M,COLUMN(M1),FALSE)&lt;&gt;0,VLOOKUP($A2,$A:AK,COLUMN(AK1),FALSE)/VLOOKUP($A2,$A:M,COLUMN(M1),FALSE),IF(VLOOKUP($A2,$A:AK,COLUMN(AK1),FALSE)&lt;&gt;0,"Strange",0))</f>
        <v>5.9842519685039369E-2</v>
      </c>
      <c r="BN2" s="33">
        <f>IF(VLOOKUP($A2,$A:N,COLUMN(N1),FALSE)&lt;&gt;0,VLOOKUP($A2,$A:AL,COLUMN(AL1),FALSE)/VLOOKUP($A2,$A:N,COLUMN(N1),FALSE),IF(VLOOKUP($A2,$A:AL,COLUMN(AL1),FALSE)&lt;&gt;0,"Strange",0))</f>
        <v>0</v>
      </c>
      <c r="BO2" s="33">
        <f>IF(VLOOKUP($A2,$A:Q,COLUMN(Q1),FALSE)&lt;&gt;0,VLOOKUP($A2,$A:AM,COLUMN(AM1),FALSE)/VLOOKUP($A2,$A:Q,COLUMN(Q1),FALSE),IF(VLOOKUP($A2,$A:AM,COLUMN(AM1),FALSE)&lt;&gt;0,"Strange",0))</f>
        <v>0</v>
      </c>
      <c r="BP2" s="33">
        <f>IF(VLOOKUP($A2,$A:R,COLUMN(R1),FALSE)&lt;&gt;0,VLOOKUP($A2,$A:AN,COLUMN(AN1),FALSE)/VLOOKUP($A2,$A:R,COLUMN(R1),FALSE),IF(VLOOKUP($A2,$A:AN,COLUMN(AN1),FALSE)&lt;&gt;0,"Strange",0))</f>
        <v>0</v>
      </c>
      <c r="BQ2" s="33">
        <f>IF(VLOOKUP($A2,$A:S,COLUMN(S1),FALSE)&lt;&gt;0,VLOOKUP($A2,$A:AO,COLUMN(AO1),FALSE)/VLOOKUP($A2,$A:S,COLUMN(S1),FALSE),IF(VLOOKUP($A2,$A:AO,COLUMN(AO1),FALSE)&lt;&gt;0,"Strange",0))</f>
        <v>9.8765432098765427E-2</v>
      </c>
      <c r="BR2" s="33">
        <f>IF(VLOOKUP($A2,$A:T,COLUMN(T1),FALSE)&lt;&gt;0,VLOOKUP($A2,$A:AP,COLUMN(AP1),FALSE)/VLOOKUP($A2,$A:T,COLUMN(T1),FALSE),IF(VLOOKUP($A2,$A:AP,COLUMN(AP1),FALSE)&lt;&gt;0,"Strange",0))</f>
        <v>8.7527352297592995E-3</v>
      </c>
      <c r="BT2" s="33">
        <f>IF(VLOOKUP($A2,$A:AE,COLUMN(F1),FALSE)&lt;&gt;0,VLOOKUP($A2,$A:AS,COLUMN(AR1),FALSE)/VLOOKUP($A2,$A:AE,COLUMN(F1),FALSE),IF(VLOOKUP($A2,$A:AS,COLUMN(AR1),FALSE)&lt;&gt;0,"Strange",0))</f>
        <v>0</v>
      </c>
      <c r="BU2" s="33">
        <f>IF(VLOOKUP($A2,$A:AF,COLUMN(G1),FALSE)&lt;&gt;0,VLOOKUP($A2,$A:AT,COLUMN(AS1),FALSE)/VLOOKUP($A2,$A:AF,COLUMN(G1),FALSE),IF(VLOOKUP($A2,$A:AT,COLUMN(AS1),FALSE)&lt;&gt;0,"Strange",0))</f>
        <v>1.2572290671360321E-2</v>
      </c>
      <c r="BV2" s="33">
        <f>IF(VLOOKUP($A2,$A:AG,COLUMN(H1),FALSE)&lt;&gt;0,VLOOKUP($A2,$A:AU,COLUMN(AT1),FALSE)/VLOOKUP($A2,$A:AG,COLUMN(H1),FALSE),IF(VLOOKUP($A2,$A:AU,COLUMN(AT1),FALSE)&lt;&gt;0,"Strange",0))</f>
        <v>0</v>
      </c>
      <c r="BW2" s="33">
        <f>IF(VLOOKUP($A2,$A:AH,COLUMN(I1),FALSE)&lt;&gt;0,VLOOKUP($A2,$A:AV,COLUMN(AU1),FALSE)/VLOOKUP($A2,$A:AH,COLUMN(I1),FALSE),IF(VLOOKUP($A2,$A:AV,COLUMN(AU1),FALSE)&lt;&gt;0,"Strange",0))</f>
        <v>3.8044512079132586E-3</v>
      </c>
      <c r="BX2" s="33">
        <f>IF(VLOOKUP($A2,$A:AJ,COLUMN(J1),FALSE)&lt;&gt;0,VLOOKUP($A2,$A:AX,COLUMN(AV1),FALSE)/VLOOKUP($A2,$A:AJ,COLUMN(J1),FALSE),IF(VLOOKUP($A2,$A:AX,COLUMN(AV1),FALSE)&lt;&gt;0,"Strange",0))</f>
        <v>0</v>
      </c>
      <c r="BY2" s="33">
        <f>IF(VLOOKUP($A2,$A:AK,COLUMN(K1),FALSE)&lt;&gt;0,VLOOKUP($A2,$A:AY,COLUMN(AW1),FALSE)/VLOOKUP($A2,$A:AK,COLUMN(K1),FALSE),IF(VLOOKUP($A2,$A:AY,COLUMN(AW1),FALSE)&lt;&gt;0,"Strange",0))</f>
        <v>5.9351877497724843E-3</v>
      </c>
      <c r="BZ2" s="33">
        <f>IF(VLOOKUP($A2,$A:AK,COLUMN(L1),FALSE)&lt;&gt;0,VLOOKUP($A2,$A:AY,COLUMN(AX1),FALSE)/VLOOKUP($A2,$A:AK,COLUMN(L1),FALSE),IF(VLOOKUP($A2,$A:AY,COLUMN(AX1),FALSE)&lt;&gt;0,"Strange",0))</f>
        <v>4.2553191489361701E-2</v>
      </c>
      <c r="CA2" s="33">
        <f>IF(VLOOKUP($A2,$A:AL,COLUMN(M1),FALSE)&lt;&gt;0,VLOOKUP($A2,$A:AZ,COLUMN(AY1),FALSE)/VLOOKUP($A2,$A:AL,COLUMN(M1),FALSE),IF(VLOOKUP($A2,$A:AZ,COLUMN(AY1),FALSE)&lt;&gt;0,"Strange",0))</f>
        <v>2.5196850393700787E-2</v>
      </c>
      <c r="CB2" s="33">
        <f>IF(VLOOKUP($A2,$A:AL,COLUMN(N1),FALSE)&lt;&gt;0,VLOOKUP($A2,$A:AZ,COLUMN(AZ1),FALSE)/VLOOKUP($A2,$A:AL,COLUMN(N1),FALSE),IF(VLOOKUP($A2,$A:AZ,COLUMN(AZ1),FALSE)&lt;&gt;0,"Strange",0))</f>
        <v>0</v>
      </c>
      <c r="CC2" s="33">
        <f>IF(VLOOKUP($A2,$A:AM,COLUMN(Q1),FALSE)&lt;&gt;0,VLOOKUP($A2,$A:BA,COLUMN(BA1),FALSE)/VLOOKUP($A2,$A:AM,COLUMN(Q1),FALSE),IF(VLOOKUP($A2,$A:BA,COLUMN(BA1),FALSE)&lt;&gt;0,"Strange",0))</f>
        <v>0</v>
      </c>
      <c r="CD2" s="33">
        <f>IF(VLOOKUP($A2,$A:AN,COLUMN(R1),FALSE)&lt;&gt;0,VLOOKUP($A2,$A:BB,COLUMN(BB1),FALSE)/VLOOKUP($A2,$A:AN,COLUMN(R1),FALSE),IF(VLOOKUP($A2,$A:BB,COLUMN(BB1),FALSE)&lt;&gt;0,"Strange",0))</f>
        <v>0</v>
      </c>
      <c r="CE2" s="33">
        <f>IF(VLOOKUP($A2,$A:AO,COLUMN(S1),FALSE)&lt;&gt;0,VLOOKUP($A2,$A:BC,COLUMN(BC1),FALSE)/VLOOKUP($A2,$A:AO,COLUMN(S1),FALSE),IF(VLOOKUP($A2,$A:BC,COLUMN(BC1),FALSE)&lt;&gt;0,"Strange",0))</f>
        <v>9.8765432098765427E-2</v>
      </c>
      <c r="CF2" s="33">
        <f>IF(VLOOKUP($A2,$A:AP,COLUMN(T1),FALSE)&lt;&gt;0,VLOOKUP($A2,$A:BD,COLUMN(BD1),FALSE)/VLOOKUP($A2,$A:AP,COLUMN(T1),FALSE),IF(VLOOKUP($A2,$A:BD,COLUMN(BD1),FALSE)&lt;&gt;0,"Strange",0))</f>
        <v>0</v>
      </c>
      <c r="CH2" s="33">
        <f>SUMIFS('Bilateral assistance, MAIN DATA'!$M:$M,'Bilateral assistance, MAIN DATA'!$B:$B,'Share, heavy weapons to Ukraine'!$A2,'Bilateral assistance, MAIN DATA'!$AO:$AO,'Share, heavy weapons to Ukraine'!CH$1,'Bilateral assistance, MAIN DATA'!$AQ:$AQ,2)</f>
        <v>45</v>
      </c>
      <c r="CI2" s="33">
        <f>SUMIFS('Bilateral assistance, MAIN DATA'!$M:$M,'Bilateral assistance, MAIN DATA'!$B:$B,'Share, heavy weapons to Ukraine'!$A2,'Bilateral assistance, MAIN DATA'!$AO:$AO,'Share, heavy weapons to Ukraine'!CI$1,'Bilateral assistance, MAIN DATA'!$AQ:$AQ,2)</f>
        <v>126</v>
      </c>
      <c r="CJ2" s="645">
        <f>SUMIFS('Bilateral assistance, MAIN DATA'!$M:$M,'Bilateral assistance, MAIN DATA'!$B:$B,'Share, heavy weapons to Ukraine'!$A2,'Bilateral assistance, MAIN DATA'!$AO:$AO,"122mm MLRS",'Bilateral assistance, MAIN DATA'!$AQ:$AQ,2)+SUMIFS('Bilateral assistance, MAIN DATA'!$M:$M,'Bilateral assistance, MAIN DATA'!$B:$B,'Share, heavy weapons to Ukraine'!$A2,'Bilateral assistance, MAIN DATA'!$AO:$AO,"127mm MLRS",'Bilateral assistance, MAIN DATA'!$AQ:$AQ,2)+SUMIFS('Bilateral assistance, MAIN DATA'!$M:$M,'Bilateral assistance, MAIN DATA'!$B:$B,'Share, heavy weapons to Ukraine'!$A2,'Bilateral assistance, MAIN DATA'!$AO:$AO,"227mm MLRS",'Bilateral assistance, MAIN DATA'!$AQ:$AQ,2)</f>
        <v>38</v>
      </c>
      <c r="CL2" s="33">
        <f>SUMIFS('Bilateral assistance, MAIN DATA'!$M:$M,'Bilateral assistance, MAIN DATA'!$B:$B,'Share, heavy weapons to Ukraine'!$A2,'Bilateral assistance, MAIN DATA'!$AO:$AO,'Share, heavy weapons to Ukraine'!CL$1,'Bilateral assistance, MAIN DATA'!$AQ:$AQ,1)</f>
        <v>0</v>
      </c>
      <c r="CM2" s="33">
        <f>SUMIFS('Bilateral assistance, MAIN DATA'!$M:$M,'Bilateral assistance, MAIN DATA'!$B:$B,'Share, heavy weapons to Ukraine'!$A2,'Bilateral assistance, MAIN DATA'!$AO:$AO,'Share, heavy weapons to Ukraine'!CM$1,'Bilateral assistance, MAIN DATA'!$AQ:$AQ,1)</f>
        <v>0</v>
      </c>
      <c r="CN2" s="645">
        <f>SUMIFS('Bilateral assistance, MAIN DATA'!$M:$M,'Bilateral assistance, MAIN DATA'!$B:$B,'Share, heavy weapons to Ukraine'!$A2,'Bilateral assistance, MAIN DATA'!$AO:$AO,"122mm MLRS",'Bilateral assistance, MAIN DATA'!$AQ:$AQ,1)+SUMIFS('Bilateral assistance, MAIN DATA'!$M:$M,'Bilateral assistance, MAIN DATA'!$B:$B,'Share, heavy weapons to Ukraine'!$A2,'Bilateral assistance, MAIN DATA'!$AO:$AO,"127mm MLRS",'Bilateral assistance, MAIN DATA'!$AQ:$AQ,1)+SUMIFS('Bilateral assistance, MAIN DATA'!$M:$M,'Bilateral assistance, MAIN DATA'!$B:$B,'Share, heavy weapons to Ukraine'!$A2,'Bilateral assistance, MAIN DATA'!$AO:$AO,"227mm MLRS",'Bilateral assistance, MAIN DATA'!$AQ:$AQ,1)</f>
        <v>0</v>
      </c>
      <c r="CP2" s="33">
        <f>SUMIFS('Bilateral assistance, MAIN DATA'!$M:$M,'Bilateral assistance, MAIN DATA'!$B:$B,'Share, heavy weapons to Ukraine'!$A2,'Bilateral assistance, MAIN DATA'!$AO:$AO,'Share, heavy weapons to Ukraine'!CP$1,'Bilateral assistance, MAIN DATA'!$AQ:$AQ,0)</f>
        <v>0</v>
      </c>
      <c r="CQ2" s="33">
        <f>SUMIFS('Bilateral assistance, MAIN DATA'!$M:$M,'Bilateral assistance, MAIN DATA'!$B:$B,'Share, heavy weapons to Ukraine'!$A2,'Bilateral assistance, MAIN DATA'!$AO:$AO,'Share, heavy weapons to Ukraine'!CQ$1,'Bilateral assistance, MAIN DATA'!$AQ:$AQ,0)</f>
        <v>0</v>
      </c>
      <c r="CR2" s="645">
        <f>SUMIFS('Bilateral assistance, MAIN DATA'!$M:$M,'Bilateral assistance, MAIN DATA'!$B:$B,'Share, heavy weapons to Ukraine'!$A2,'Bilateral assistance, MAIN DATA'!$AO:$AO,"122mm MLRS",'Bilateral assistance, MAIN DATA'!$AQ:$AQ,0)+SUMIFS('Bilateral assistance, MAIN DATA'!$M:$M,'Bilateral assistance, MAIN DATA'!$B:$B,'Share, heavy weapons to Ukraine'!$A2,'Bilateral assistance, MAIN DATA'!$AO:$AO,"127mm MLRS",'Bilateral assistance, MAIN DATA'!$AQ:$AQ,0)+SUMIFS('Bilateral assistance, MAIN DATA'!$M:$M,'Bilateral assistance, MAIN DATA'!$B:$B,'Share, heavy weapons to Ukraine'!$A2,'Bilateral assistance, MAIN DATA'!$AO:$AO,"227mm MLRS",'Bilateral assistance, MAIN DATA'!$AQ:$AQ,0)</f>
        <v>0</v>
      </c>
      <c r="CT2" s="33">
        <f>IF(VLOOKUP($A2,$A:CS,COLUMN(F1),FALSE)&lt;&gt;0,VLOOKUP($A2,$A:CS,COLUMN(CH1),FALSE)/VLOOKUP($A2,$A:AU,COLUMN(F1),FALSE),IF(VLOOKUP($A2,$A:CS,COLUMN(CH1),FALSE)&lt;&gt;0,"Strange",0))</f>
        <v>7.3831009023789989E-3</v>
      </c>
      <c r="CU2" s="33">
        <f>IF(VLOOKUP($A2,$A:CS,COLUMN(L1),FALSE)&lt;&gt;0,VLOOKUP($A2,$A:CS,COLUMN(CI1),FALSE)/VLOOKUP($A2,$A:AU,COLUMN(L1),FALSE),IF(VLOOKUP($A2,$A:CS,COLUMN(CI1),FALSE)&lt;&gt;0,"Strange",0))</f>
        <v>4.9645390070921988E-2</v>
      </c>
      <c r="CV2" s="33">
        <f>IF(VLOOKUP($A2,$A:CT,COLUMN(M1),FALSE)&lt;&gt;0,VLOOKUP($A2,$A:CT,COLUMN(CJ1),FALSE)/VLOOKUP($A2,$A:AV,COLUMN(M1),FALSE),IF(VLOOKUP($A2,$A:CT,COLUMN(CJ1),FALSE)&lt;&gt;0,"Strange",0))</f>
        <v>5.9842519685039369E-2</v>
      </c>
      <c r="CX2" s="33">
        <f>IF(VLOOKUP($A2,$A:CS,COLUMN(F1),FALSE)&lt;&gt;0,VLOOKUP($A2,$A:CS,COLUMN(CL1),FALSE)/VLOOKUP($A2,$A:AU,COLUMN(F1),FALSE),IF(VLOOKUP($A2,$A:CS,COLUMN(CL1),FALSE)&lt;&gt;0,"Strange",0))</f>
        <v>0</v>
      </c>
      <c r="CY2" s="33">
        <f>IF(VLOOKUP($A2,$A:CS,COLUMN(L1),FALSE)&lt;&gt;0,VLOOKUP($A2,$A:CS,COLUMN(CM1),FALSE)/VLOOKUP($A2,$A:AU,COLUMN(L1),FALSE),IF(VLOOKUP($A2,$A:CS,COLUMN(CM1),FALSE)&lt;&gt;0,"Strange",0))</f>
        <v>0</v>
      </c>
      <c r="CZ2" s="33">
        <f>IF(VLOOKUP($A2,$A:CT,COLUMN(M1),FALSE)&lt;&gt;0,VLOOKUP($A2,$A:CT,COLUMN(CN1),FALSE)/VLOOKUP($A2,$A:AV,COLUMN(M1),FALSE),IF(VLOOKUP($A2,$A:CT,COLUMN(CN1),FALSE)&lt;&gt;0,"Strange",0))</f>
        <v>0</v>
      </c>
      <c r="DB2" s="33">
        <f>IF(VLOOKUP($A2,$A:CS,COLUMN(F1),FALSE)&lt;&gt;0,VLOOKUP($A2,$A:CS,COLUMN(CP1),FALSE)/VLOOKUP($A2,$A:AU,COLUMN(F1),FALSE),IF(VLOOKUP($A2,$A:CS,COLUMN(CP1),FALSE)&lt;&gt;0,"Strange",0))</f>
        <v>0</v>
      </c>
      <c r="DC2" s="33">
        <f>IF(VLOOKUP($A2,$A:CS,COLUMN(L1),FALSE)&lt;&gt;0,VLOOKUP($A2,$A:CS,COLUMN(CQ1),FALSE)/VLOOKUP($A2,$A:AU,COLUMN(L1),FALSE),IF(VLOOKUP($A2,$A:CS,COLUMN(CQ1),FALSE)&lt;&gt;0,"Strange",0))</f>
        <v>0</v>
      </c>
      <c r="DD2" s="33">
        <f>IF(VLOOKUP($A2,$A:CT,COLUMN(M1),FALSE)&lt;&gt;0,VLOOKUP($A2,$A:CT,COLUMN(CR1),FALSE)/VLOOKUP($A2,$A:AV,COLUMN(M1),FALSE),IF(VLOOKUP($A2,$A:CT,COLUMN(CR1),FALSE)&lt;&gt;0,"Strange",0))</f>
        <v>0</v>
      </c>
      <c r="DF2" s="33">
        <f>SUMIFS('Bilateral assistance, MAIN DATA'!$M:$M,'Bilateral assistance, MAIN DATA'!$B:$B,'Share, heavy weapons to Ukraine'!$A2,'Bilateral assistance, MAIN DATA'!$AO:$AO,'Share, heavy weapons to Ukraine'!DF$1, 'Bilateral assistance, MAIN DATA'!$AA:$AA,1)</f>
        <v>0</v>
      </c>
      <c r="DG2" s="33">
        <f>SUMIFS('Bilateral assistance, MAIN DATA'!$M:$M,'Bilateral assistance, MAIN DATA'!$B:$B,'Share, heavy weapons to Ukraine'!$A2,'Bilateral assistance, MAIN DATA'!$AO:$AO,'Share, heavy weapons to Ukraine'!DG$1, 'Bilateral assistance, MAIN DATA'!$AA:$AA,1)</f>
        <v>0</v>
      </c>
      <c r="DH2" s="33">
        <f>SUMIFS('Bilateral assistance, MAIN DATA'!$M:$M,'Bilateral assistance, MAIN DATA'!$B:$B,'Share, heavy weapons to Ukraine'!$A2,'Bilateral assistance, MAIN DATA'!$AO:$AO,'Share, heavy weapons to Ukraine'!DH$1, 'Bilateral assistance, MAIN DATA'!$AA:$AA,1)</f>
        <v>8</v>
      </c>
      <c r="DI2" s="33">
        <f>SUMIFS('Bilateral assistance, MAIN DATA'!$M:$M,'Bilateral assistance, MAIN DATA'!$B:$B,'Share, heavy weapons to Ukraine'!$A2,'Bilateral assistance, MAIN DATA'!$AO:$AO,'Share, heavy weapons to Ukraine'!DI$1, 'Bilateral assistance, MAIN DATA'!$AA:$AA,1)</f>
        <v>4</v>
      </c>
      <c r="DK2" s="33">
        <f>SUMIFS('Bilateral assistance, MAIN DATA'!$N:$N,'Bilateral assistance, MAIN DATA'!$B:$B,'Share, heavy weapons to Ukraine'!$A2,'Bilateral assistance, MAIN DATA'!$AO:$AO,'Share, heavy weapons to Ukraine'!DK$1, 'Bilateral assistance, MAIN DATA'!$AA:$AA,1)</f>
        <v>0</v>
      </c>
      <c r="DL2" s="33">
        <f>SUMIFS('Bilateral assistance, MAIN DATA'!$N:$N,'Bilateral assistance, MAIN DATA'!$B:$B,'Share, heavy weapons to Ukraine'!$A2,'Bilateral assistance, MAIN DATA'!$AO:$AO,'Share, heavy weapons to Ukraine'!DL$1, 'Bilateral assistance, MAIN DATA'!$AA:$AA,1)</f>
        <v>0</v>
      </c>
      <c r="DM2" s="33">
        <f>SUMIFS('Bilateral assistance, MAIN DATA'!$N:$N,'Bilateral assistance, MAIN DATA'!$B:$B,'Share, heavy weapons to Ukraine'!$A2,'Bilateral assistance, MAIN DATA'!$AO:$AO,'Share, heavy weapons to Ukraine'!DM$1, 'Bilateral assistance, MAIN DATA'!$AA:$AA,1)</f>
        <v>8</v>
      </c>
      <c r="DN2" s="33">
        <f>SUMIFS('Bilateral assistance, MAIN DATA'!$N:$N,'Bilateral assistance, MAIN DATA'!$B:$B,'Share, heavy weapons to Ukraine'!$A2,'Bilateral assistance, MAIN DATA'!$AO:$AO,'Share, heavy weapons to Ukraine'!DN$1, 'Bilateral assistance, MAIN DATA'!$AA:$AA,1)</f>
        <v>0</v>
      </c>
    </row>
    <row r="3" spans="1:118">
      <c r="A3" s="801" t="s">
        <v>2392</v>
      </c>
      <c r="B3" s="801">
        <v>1</v>
      </c>
      <c r="C3" s="33">
        <v>0</v>
      </c>
      <c r="E3" s="802">
        <v>71.599999999999994</v>
      </c>
      <c r="F3" s="801">
        <f>VLOOKUP(A3,'Heavy weapon stocks'!A:OH,COLUMN('Heavy weapon stocks'!$G$1),0)</f>
        <v>227</v>
      </c>
      <c r="G3" s="801">
        <f>VLOOKUP(A3,'Heavy weapon stocks'!A:OH,COLUMN('Heavy weapon stocks'!$AW$1),0)</f>
        <v>409</v>
      </c>
      <c r="H3" s="801">
        <f>VLOOKUP(A3,'Heavy weapon stocks'!A:OH,COLUMN('Heavy weapon stocks'!$DQ$1),0)</f>
        <v>396</v>
      </c>
      <c r="I3" s="801">
        <f>VLOOKUP(A3,'Heavy weapon stocks'!A:OH,COLUMN('Heavy weapon stocks'!$EE$1),0)</f>
        <v>1262</v>
      </c>
      <c r="J3" s="801">
        <f>VLOOKUP(A3,'Heavy weapon stocks'!A:OH,COLUMN('Heavy weapon stocks'!$FG$1),0)</f>
        <v>388</v>
      </c>
      <c r="K3" s="801">
        <f t="shared" ref="K3:K39" si="0">SUM(G3:J3)</f>
        <v>2455</v>
      </c>
      <c r="L3" s="801">
        <f>VLOOKUP(A3,'Heavy weapon stocks'!A:OH,COLUMN('Heavy weapon stocks'!$HC$1),0)+VLOOKUP(A3,'Heavy weapon stocks'!A:OH,COLUMN('Heavy weapon stocks'!$II$1),0)</f>
        <v>109</v>
      </c>
      <c r="M3" s="801">
        <f>VLOOKUP(A3,'Heavy weapon stocks'!A:OH,COLUMN('Heavy weapon stocks'!$IN$1),0)</f>
        <v>35</v>
      </c>
      <c r="N3" s="801">
        <f>VLOOKUP(A3,'Heavy weapon stocks'!A:OH,COLUMN('Heavy weapon stocks'!$JH$1),0)+VLOOKUP(A3,'Heavy weapon stocks'!A:OH,COLUMN('Heavy weapon stocks'!$KE$1),0)</f>
        <v>167</v>
      </c>
      <c r="O3" s="801">
        <f>VLOOKUP(A3,'Heavy weapon stocks'!A:OH,COLUMN('Heavy weapon stocks'!$LU$1),0)</f>
        <v>0</v>
      </c>
      <c r="P3" s="801">
        <v>60</v>
      </c>
      <c r="Q3" s="801">
        <f>VLOOKUP(A3,'Heavy weapon stocks'!A:OH,COLUMN('Heavy weapon stocks'!$LV$1),0)</f>
        <v>0</v>
      </c>
      <c r="R3" s="801">
        <f>VLOOKUP(A3,'Heavy weapon stocks'!A:OH,COLUMN('Heavy weapon stocks'!$MF$1),0)</f>
        <v>0</v>
      </c>
      <c r="S3" s="801">
        <f>VLOOKUP(A3,'Heavy weapon stocks'!A:OH,COLUMN('Heavy weapon stocks'!$MM$1),0)</f>
        <v>0</v>
      </c>
      <c r="T3" s="801">
        <f>VLOOKUP(A3,'Heavy weapon stocks'!A:OH,COLUMN('Heavy weapon stocks'!$NR$1),0)</f>
        <v>74</v>
      </c>
      <c r="V3" s="801">
        <f>VLOOKUP(A3,'Heavy weapon stocks'!A:OH,COLUMN('Heavy weapon stocks'!$H$1),0)</f>
        <v>0</v>
      </c>
      <c r="W3" s="801">
        <f>VLOOKUP(A3,'Heavy weapon stocks'!A:OH,COLUMN('Heavy weapon stocks'!$DQ$1),0)</f>
        <v>396</v>
      </c>
      <c r="X3" s="801">
        <f>VLOOKUP(A3,'Heavy weapon stocks'!A:OH,COLUMN('Heavy weapon stocks'!$FG$1),0)</f>
        <v>388</v>
      </c>
      <c r="Y3" s="801">
        <f>VLOOKUP(A3,'Heavy weapon stocks'!A:OH,COLUMN('Heavy weapon stocks'!$HC$1),0)+VLOOKUP(A3,'Heavy weapon stocks'!A:OH,COLUMN('Heavy weapon stocks'!$II$1),0)</f>
        <v>109</v>
      </c>
      <c r="Z3" s="801">
        <f>VLOOKUP(A3,'Heavy weapon stocks'!A:OH,COLUMN('Heavy weapon stocks'!$IO$1),0)+VLOOKUP(A3,'Heavy weapon stocks'!A:OH,COLUMN('Heavy weapon stocks'!$IP$1),0)+VLOOKUP(A3,'Heavy weapon stocks'!A:OH,COLUMN('Heavy weapon stocks'!$IU$1),0)</f>
        <v>35</v>
      </c>
      <c r="AA3" s="801">
        <f>VLOOKUP(A3,'Heavy weapon stocks'!A:OH,COLUMN('Heavy weapon stocks'!$MI$1),0)</f>
        <v>0</v>
      </c>
      <c r="AB3" s="801">
        <f>VLOOKUP(A3,'Heavy weapon stocks'!A:OH,COLUMN('Heavy weapon stocks'!$MS$1),0)+VLOOKUP(A3,'Heavy weapon stocks'!A:OH,COLUMN('Heavy weapon stocks'!$MT$1),0)+VLOOKUP(A3,'Heavy weapon stocks'!A:OH,COLUMN('Heavy weapon stocks'!$MU$1),0)+VLOOKUP(A3,'Heavy weapon stocks'!A:OH,COLUMN('Heavy weapon stocks'!$MV$1),0)</f>
        <v>0</v>
      </c>
      <c r="AD3" s="33">
        <f>SUMIFS('Bilateral assistance, MAIN DATA'!$M:$M,'Bilateral assistance, MAIN DATA'!$B:$B,'Share, heavy weapons to Ukraine'!$A3,'Bilateral assistance, MAIN DATA'!$AO:$AO,'Share, heavy weapons to Ukraine'!AD$1)</f>
        <v>0</v>
      </c>
      <c r="AE3" s="33">
        <f>SUMIFS('Bilateral assistance, MAIN DATA'!$M:$M,'Bilateral assistance, MAIN DATA'!$B:$B,'Share, heavy weapons to Ukraine'!$A3,'Bilateral assistance, MAIN DATA'!$AO:$AO,'Share, heavy weapons to Ukraine'!AE$1)</f>
        <v>35</v>
      </c>
      <c r="AF3" s="33">
        <f>SUMIFS('Bilateral assistance, MAIN DATA'!$M:$M,'Bilateral assistance, MAIN DATA'!$B:$B,'Share, heavy weapons to Ukraine'!$A3,'Bilateral assistance, MAIN DATA'!$AO:$AO,'Share, heavy weapons to Ukraine'!AF$1)</f>
        <v>80</v>
      </c>
      <c r="AG3" s="33">
        <f>SUMIFS('Bilateral assistance, MAIN DATA'!$M:$M,'Bilateral assistance, MAIN DATA'!$B:$B,'Share, heavy weapons to Ukraine'!$A3,'Bilateral assistance, MAIN DATA'!$AO:$AO,'Share, heavy weapons to Ukraine'!AG$1)</f>
        <v>5</v>
      </c>
      <c r="AH3" s="33">
        <f>SUMIFS('Bilateral assistance, MAIN DATA'!$M:$M,'Bilateral assistance, MAIN DATA'!$B:$B,'Share, heavy weapons to Ukraine'!$A3,'Bilateral assistance, MAIN DATA'!$AO:$AO,'Share, heavy weapons to Ukraine'!AH$1)</f>
        <v>0</v>
      </c>
      <c r="AI3" s="33">
        <f t="shared" ref="AI3:AI39" si="1">SUM(AE3:AH3)</f>
        <v>120</v>
      </c>
      <c r="AJ3" s="33">
        <f>SUMIFS('Bilateral assistance, MAIN DATA'!$M:$M,'Bilateral assistance, MAIN DATA'!$B:$B,'Share, heavy weapons to Ukraine'!$A3,'Bilateral assistance, MAIN DATA'!$AO:$AO,'Share, heavy weapons to Ukraine'!AJ$1)</f>
        <v>28</v>
      </c>
      <c r="AK3" s="645">
        <f>SUMIFS('Bilateral assistance, MAIN DATA'!$M:$M,'Bilateral assistance, MAIN DATA'!$B:$B,'Share, heavy weapons to Ukraine'!$A3,'Bilateral assistance, MAIN DATA'!$AO:$AO,"122mm MLRS")+SUMIFS('Bilateral assistance, MAIN DATA'!$M:$M,'Bilateral assistance, MAIN DATA'!$B:$B,'Share, heavy weapons to Ukraine'!$A3,'Bilateral assistance, MAIN DATA'!$AO:$AO,"127mm MLRS")+SUMIFS('Bilateral assistance, MAIN DATA'!$M:$M,'Bilateral assistance, MAIN DATA'!$B:$B,'Share, heavy weapons to Ukraine'!$A3,'Bilateral assistance, MAIN DATA'!$AO:$AO,"227mm MLRS")</f>
        <v>6</v>
      </c>
      <c r="AL3" s="33">
        <f>SUMIFS('Bilateral assistance, MAIN DATA'!$M:$M,'Bilateral assistance, MAIN DATA'!$B:$B,'Share, heavy weapons to Ukraine'!$A3,'Bilateral assistance, MAIN DATA'!$AO:$AO,'Share, heavy weapons to Ukraine'!AL$1)</f>
        <v>0</v>
      </c>
      <c r="AM3" s="33">
        <f>SUMIFS('Bilateral assistance, MAIN DATA'!$M:$M,'Bilateral assistance, MAIN DATA'!$B:$B,'Share, heavy weapons to Ukraine'!$A3,'Bilateral assistance, MAIN DATA'!$AO:$AO,'Share, heavy weapons to Ukraine'!AM$1)</f>
        <v>0</v>
      </c>
      <c r="AN3" s="33">
        <f>SUMIFS('Bilateral assistance, MAIN DATA'!$M:$M,'Bilateral assistance, MAIN DATA'!$B:$B,'Share, heavy weapons to Ukraine'!$A3,'Bilateral assistance, MAIN DATA'!$AO:$AO,'Share, heavy weapons to Ukraine'!AN$1)</f>
        <v>0</v>
      </c>
      <c r="AO3" s="33">
        <f>SUMIFS('Bilateral assistance, MAIN DATA'!$M:$M,'Bilateral assistance, MAIN DATA'!$B:$B,'Share, heavy weapons to Ukraine'!$A3,'Bilateral assistance, MAIN DATA'!$AO:$AO,'Share, heavy weapons to Ukraine'!AO$1)</f>
        <v>0</v>
      </c>
      <c r="AP3" s="33">
        <f>SUMIFS('Bilateral assistance, MAIN DATA'!$M:$M,'Bilateral assistance, MAIN DATA'!$B:$B,'Share, heavy weapons to Ukraine'!$A3,'Bilateral assistance, MAIN DATA'!$AO:$AO,'Share, heavy weapons to Ukraine'!AP$1)</f>
        <v>6</v>
      </c>
      <c r="AR3" s="33">
        <f>SUMIFS('Bilateral assistance, MAIN DATA'!$N:$N,'Bilateral assistance, MAIN DATA'!$B:$B,'Share, heavy weapons to Ukraine'!$A3,'Bilateral assistance, MAIN DATA'!$AO:$AO,'Share, heavy weapons to Ukraine'!AR$1)</f>
        <v>0</v>
      </c>
      <c r="AS3" s="33">
        <f>SUMIFS('Bilateral assistance, MAIN DATA'!$N:$N,'Bilateral assistance, MAIN DATA'!$B:$B,'Share, heavy weapons to Ukraine'!$A3,'Bilateral assistance, MAIN DATA'!$AO:$AO,'Share, heavy weapons to Ukraine'!AS$1)</f>
        <v>35</v>
      </c>
      <c r="AT3" s="33">
        <f>SUMIFS('Bilateral assistance, MAIN DATA'!$N:$N,'Bilateral assistance, MAIN DATA'!$B:$B,'Share, heavy weapons to Ukraine'!$A3,'Bilateral assistance, MAIN DATA'!$AO:$AO,'Share, heavy weapons to Ukraine'!AT$1)</f>
        <v>80</v>
      </c>
      <c r="AU3" s="33">
        <f>SUMIFS('Bilateral assistance, MAIN DATA'!$N:$N,'Bilateral assistance, MAIN DATA'!$B:$B,'Share, heavy weapons to Ukraine'!$A3,'Bilateral assistance, MAIN DATA'!$AO:$AO,'Share, heavy weapons to Ukraine'!AU$1)</f>
        <v>5</v>
      </c>
      <c r="AV3" s="33">
        <f>SUMIFS('Bilateral assistance, MAIN DATA'!$N:$N,'Bilateral assistance, MAIN DATA'!$B:$B,'Share, heavy weapons to Ukraine'!$A3,'Bilateral assistance, MAIN DATA'!$AO:$AO,'Share, heavy weapons to Ukraine'!AV$1)</f>
        <v>0</v>
      </c>
      <c r="AW3" s="33">
        <f t="shared" ref="AW3:AW39" si="2">SUM(AS3:AV3)</f>
        <v>120</v>
      </c>
      <c r="AX3" s="33">
        <f>SUMIFS('Bilateral assistance, MAIN DATA'!$N:$N,'Bilateral assistance, MAIN DATA'!$B:$B,'Share, heavy weapons to Ukraine'!$A3,'Bilateral assistance, MAIN DATA'!$AO:$AO,'Share, heavy weapons to Ukraine'!AX$1)</f>
        <v>28</v>
      </c>
      <c r="AY3" s="645">
        <f>SUMIFS('Bilateral assistance, MAIN DATA'!$N:$N,'Bilateral assistance, MAIN DATA'!$B:$B,'Share, heavy weapons to Ukraine'!$A3,'Bilateral assistance, MAIN DATA'!$AO:$AO,"122mm MLRS")+SUMIFS('Bilateral assistance, MAIN DATA'!$N:$N,'Bilateral assistance, MAIN DATA'!$B:$B,'Share, heavy weapons to Ukraine'!$A3,'Bilateral assistance, MAIN DATA'!$AO:$AO,"127mm MLRS")+SUMIFS('Bilateral assistance, MAIN DATA'!$N:$N,'Bilateral assistance, MAIN DATA'!$B:$B,'Share, heavy weapons to Ukraine'!$A3,'Bilateral assistance, MAIN DATA'!$AO:$AO,"227mm MLRS")</f>
        <v>3</v>
      </c>
      <c r="AZ3" s="33">
        <f>SUMIFS('Bilateral assistance, MAIN DATA'!$N:$N,'Bilateral assistance, MAIN DATA'!$B:$B,'Share, heavy weapons to Ukraine'!$A3,'Bilateral assistance, MAIN DATA'!$AO:$AO,'Share, heavy weapons to Ukraine'!AZ$1)</f>
        <v>0</v>
      </c>
      <c r="BA3" s="33">
        <f>SUMIFS('Bilateral assistance, MAIN DATA'!$N:$N,'Bilateral assistance, MAIN DATA'!$B:$B,'Share, heavy weapons to Ukraine'!$A3,'Bilateral assistance, MAIN DATA'!$AO:$AO,'Share, heavy weapons to Ukraine'!BA$1)</f>
        <v>0</v>
      </c>
      <c r="BB3" s="33">
        <f>SUMIFS('Bilateral assistance, MAIN DATA'!$N:$N,'Bilateral assistance, MAIN DATA'!$B:$B,'Share, heavy weapons to Ukraine'!$A3,'Bilateral assistance, MAIN DATA'!$AO:$AO,'Share, heavy weapons to Ukraine'!BB$1)</f>
        <v>0</v>
      </c>
      <c r="BC3" s="33">
        <f>SUMIFS('Bilateral assistance, MAIN DATA'!$N:$N,'Bilateral assistance, MAIN DATA'!$B:$B,'Share, heavy weapons to Ukraine'!$A3,'Bilateral assistance, MAIN DATA'!$AO:$AO,'Share, heavy weapons to Ukraine'!BC$1)</f>
        <v>0</v>
      </c>
      <c r="BD3" s="33">
        <f>SUMIFS('Bilateral assistance, MAIN DATA'!$N:$N,'Bilateral assistance, MAIN DATA'!$B:$B,'Share, heavy weapons to Ukraine'!$A3,'Bilateral assistance, MAIN DATA'!$AO:$AO,'Share, heavy weapons to Ukraine'!BD$1)</f>
        <v>6</v>
      </c>
      <c r="BF3" s="33">
        <f>IF(VLOOKUP($A3,$A:F,COLUMN(F2),FALSE)&lt;&gt;0,VLOOKUP($A3,$A:AD,COLUMN(AD2),FALSE)/VLOOKUP($A3,$A:F,COLUMN(F2),FALSE),IF(VLOOKUP($A3,$A:AD,COLUMN(AD2),FALSE)&lt;&gt;0,"Strange",0))</f>
        <v>0</v>
      </c>
      <c r="BG3" s="33">
        <f>IF(VLOOKUP($A3,$A:G,COLUMN(G2),FALSE)&lt;&gt;0,VLOOKUP($A3,$A:AE,COLUMN(AE2),FALSE)/VLOOKUP($A3,$A:G,COLUMN(G2),FALSE),IF(VLOOKUP($A3,$A:AE,COLUMN(AE2),FALSE)&lt;&gt;0,"Strange",0))</f>
        <v>8.557457212713937E-2</v>
      </c>
      <c r="BH3" s="33">
        <f>IF(VLOOKUP($A3,$A:H,COLUMN(H2),FALSE)&lt;&gt;0,VLOOKUP($A3,$A:AF,COLUMN(AF2),FALSE)/VLOOKUP($A3,$A:H,COLUMN(H2),FALSE),IF(VLOOKUP($A3,$A:AF,COLUMN(AF2),FALSE)&lt;&gt;0,"Strange",0))</f>
        <v>0.20202020202020202</v>
      </c>
      <c r="BI3" s="33">
        <f>IF(VLOOKUP($A3,$A:I,COLUMN(I2),FALSE)&lt;&gt;0,VLOOKUP($A3,$A:AG,COLUMN(AG2),FALSE)/VLOOKUP($A3,$A:I,COLUMN(I2),FALSE),IF(VLOOKUP($A3,$A:AG,COLUMN(AG2),FALSE)&lt;&gt;0,"Strange",0))</f>
        <v>3.9619651347068147E-3</v>
      </c>
      <c r="BJ3" s="33">
        <f>IF(VLOOKUP($A3,$A:J,COLUMN(J2),FALSE)&lt;&gt;0,VLOOKUP($A3,$A:AH,COLUMN(AH2),FALSE)/VLOOKUP($A3,$A:J,COLUMN(J2),FALSE),IF(VLOOKUP($A3,$A:AH,COLUMN(AH2),FALSE)&lt;&gt;0,"Strange",0))</f>
        <v>0</v>
      </c>
      <c r="BK3" s="33">
        <f>IF(VLOOKUP($A3,$A:K,COLUMN(K2),FALSE)&lt;&gt;0,VLOOKUP($A3,$A:AI,COLUMN(AI2),FALSE)/VLOOKUP($A3,$A:K,COLUMN(K2),FALSE),IF(VLOOKUP($A3,$A:AI,COLUMN(AI2),FALSE)&lt;&gt;0,"Strange",0))</f>
        <v>4.8879837067209775E-2</v>
      </c>
      <c r="BL3" s="33">
        <f>IF(VLOOKUP($A3,$A:L,COLUMN(L2),FALSE)&lt;&gt;0,VLOOKUP($A3,$A:AJ,COLUMN(AJ2),FALSE)/VLOOKUP($A3,$A:L,COLUMN(L2),FALSE),IF(VLOOKUP($A3,$A:AJ,COLUMN(AJ2),FALSE)&lt;&gt;0,"Strange",0))</f>
        <v>0.25688073394495414</v>
      </c>
      <c r="BM3" s="33">
        <f>IF(VLOOKUP($A3,$A:M,COLUMN(M2),FALSE)&lt;&gt;0,VLOOKUP($A3,$A:AK,COLUMN(AK2),FALSE)/VLOOKUP($A3,$A:M,COLUMN(M2),FALSE),IF(VLOOKUP($A3,$A:AK,COLUMN(AK2),FALSE)&lt;&gt;0,"Strange",0))</f>
        <v>0.17142857142857143</v>
      </c>
      <c r="BN3" s="33">
        <f>IF(VLOOKUP($A3,$A:N,COLUMN(N2),FALSE)&lt;&gt;0,VLOOKUP($A3,$A:AL,COLUMN(AL2),FALSE)/VLOOKUP($A3,$A:N,COLUMN(N2),FALSE),IF(VLOOKUP($A3,$A:AL,COLUMN(AL2),FALSE)&lt;&gt;0,"Strange",0))</f>
        <v>0</v>
      </c>
      <c r="BO3" s="33">
        <f>IF(VLOOKUP($A3,$A:Q,COLUMN(Q2),FALSE)&lt;&gt;0,VLOOKUP($A3,$A:AM,COLUMN(AM2),FALSE)/VLOOKUP($A3,$A:Q,COLUMN(Q2),FALSE),IF(VLOOKUP($A3,$A:AM,COLUMN(AM2),FALSE)&lt;&gt;0,"Strange",0))</f>
        <v>0</v>
      </c>
      <c r="BP3" s="33">
        <f>IF(VLOOKUP($A3,$A:R,COLUMN(R2),FALSE)&lt;&gt;0,VLOOKUP($A3,$A:AN,COLUMN(AN2),FALSE)/VLOOKUP($A3,$A:R,COLUMN(R2),FALSE),IF(VLOOKUP($A3,$A:AN,COLUMN(AN2),FALSE)&lt;&gt;0,"Strange",0))</f>
        <v>0</v>
      </c>
      <c r="BQ3" s="33">
        <f>IF(VLOOKUP($A3,$A:S,COLUMN(S2),FALSE)&lt;&gt;0,VLOOKUP($A3,$A:AO,COLUMN(AO2),FALSE)/VLOOKUP($A3,$A:S,COLUMN(S2),FALSE),IF(VLOOKUP($A3,$A:AO,COLUMN(AO2),FALSE)&lt;&gt;0,"Strange",0))</f>
        <v>0</v>
      </c>
      <c r="BR3" s="33">
        <f>IF(VLOOKUP($A3,$A:T,COLUMN(T2),FALSE)&lt;&gt;0,VLOOKUP($A3,$A:AP,COLUMN(AP2),FALSE)/VLOOKUP($A3,$A:T,COLUMN(T2),FALSE),IF(VLOOKUP($A3,$A:AP,COLUMN(AP2),FALSE)&lt;&gt;0,"Strange",0))</f>
        <v>8.1081081081081086E-2</v>
      </c>
      <c r="BT3" s="33">
        <f>IF(VLOOKUP($A3,$A:AE,COLUMN(F2),FALSE)&lt;&gt;0,VLOOKUP($A3,$A:AS,COLUMN(AR2),FALSE)/VLOOKUP($A3,$A:AE,COLUMN(F2),FALSE),IF(VLOOKUP($A3,$A:AS,COLUMN(AR2),FALSE)&lt;&gt;0,"Strange",0))</f>
        <v>0</v>
      </c>
      <c r="BU3" s="33">
        <f>IF(VLOOKUP($A3,$A:AF,COLUMN(G2),FALSE)&lt;&gt;0,VLOOKUP($A3,$A:AT,COLUMN(AS2),FALSE)/VLOOKUP($A3,$A:AF,COLUMN(G2),FALSE),IF(VLOOKUP($A3,$A:AT,COLUMN(AS2),FALSE)&lt;&gt;0,"Strange",0))</f>
        <v>8.557457212713937E-2</v>
      </c>
      <c r="BV3" s="33">
        <f>IF(VLOOKUP($A3,$A:AG,COLUMN(H2),FALSE)&lt;&gt;0,VLOOKUP($A3,$A:AU,COLUMN(AT2),FALSE)/VLOOKUP($A3,$A:AG,COLUMN(H2),FALSE),IF(VLOOKUP($A3,$A:AU,COLUMN(AT2),FALSE)&lt;&gt;0,"Strange",0))</f>
        <v>0.20202020202020202</v>
      </c>
      <c r="BW3" s="33">
        <f>IF(VLOOKUP($A3,$A:AH,COLUMN(I2),FALSE)&lt;&gt;0,VLOOKUP($A3,$A:AV,COLUMN(AU2),FALSE)/VLOOKUP($A3,$A:AH,COLUMN(I2),FALSE),IF(VLOOKUP($A3,$A:AV,COLUMN(AU2),FALSE)&lt;&gt;0,"Strange",0))</f>
        <v>3.9619651347068147E-3</v>
      </c>
      <c r="BX3" s="33">
        <f>IF(VLOOKUP($A3,$A:AJ,COLUMN(J2),FALSE)&lt;&gt;0,VLOOKUP($A3,$A:AX,COLUMN(AV2),FALSE)/VLOOKUP($A3,$A:AJ,COLUMN(J2),FALSE),IF(VLOOKUP($A3,$A:AX,COLUMN(AV2),FALSE)&lt;&gt;0,"Strange",0))</f>
        <v>0</v>
      </c>
      <c r="BY3" s="33">
        <f>IF(VLOOKUP($A3,$A:AK,COLUMN(K2),FALSE)&lt;&gt;0,VLOOKUP($A3,$A:AY,COLUMN(AW2),FALSE)/VLOOKUP($A3,$A:AK,COLUMN(K2),FALSE),IF(VLOOKUP($A3,$A:AY,COLUMN(AW2),FALSE)&lt;&gt;0,"Strange",0))</f>
        <v>4.8879837067209775E-2</v>
      </c>
      <c r="BZ3" s="33">
        <f>IF(VLOOKUP($A3,$A:AK,COLUMN(L2),FALSE)&lt;&gt;0,VLOOKUP($A3,$A:AY,COLUMN(AX2),FALSE)/VLOOKUP($A3,$A:AK,COLUMN(L2),FALSE),IF(VLOOKUP($A3,$A:AY,COLUMN(AX2),FALSE)&lt;&gt;0,"Strange",0))</f>
        <v>0.25688073394495414</v>
      </c>
      <c r="CA3" s="33">
        <f>IF(VLOOKUP($A3,$A:AL,COLUMN(M2),FALSE)&lt;&gt;0,VLOOKUP($A3,$A:AZ,COLUMN(AY2),FALSE)/VLOOKUP($A3,$A:AL,COLUMN(M2),FALSE),IF(VLOOKUP($A3,$A:AZ,COLUMN(AY2),FALSE)&lt;&gt;0,"Strange",0))</f>
        <v>8.5714285714285715E-2</v>
      </c>
      <c r="CB3" s="33">
        <f>IF(VLOOKUP($A3,$A:AL,COLUMN(N2),FALSE)&lt;&gt;0,VLOOKUP($A3,$A:AZ,COLUMN(AZ2),FALSE)/VLOOKUP($A3,$A:AL,COLUMN(N2),FALSE),IF(VLOOKUP($A3,$A:AZ,COLUMN(AZ2),FALSE)&lt;&gt;0,"Strange",0))</f>
        <v>0</v>
      </c>
      <c r="CC3" s="33">
        <f>IF(VLOOKUP($A3,$A:AM,COLUMN(Q2),FALSE)&lt;&gt;0,VLOOKUP($A3,$A:BA,COLUMN(BA2),FALSE)/VLOOKUP($A3,$A:AM,COLUMN(Q2),FALSE),IF(VLOOKUP($A3,$A:BA,COLUMN(BA2),FALSE)&lt;&gt;0,"Strange",0))</f>
        <v>0</v>
      </c>
      <c r="CD3" s="33">
        <f>IF(VLOOKUP($A3,$A:AN,COLUMN(R2),FALSE)&lt;&gt;0,VLOOKUP($A3,$A:BB,COLUMN(BB2),FALSE)/VLOOKUP($A3,$A:AN,COLUMN(R2),FALSE),IF(VLOOKUP($A3,$A:BB,COLUMN(BB2),FALSE)&lt;&gt;0,"Strange",0))</f>
        <v>0</v>
      </c>
      <c r="CE3" s="33">
        <f>IF(VLOOKUP($A3,$A:AO,COLUMN(S2),FALSE)&lt;&gt;0,VLOOKUP($A3,$A:BC,COLUMN(BC2),FALSE)/VLOOKUP($A3,$A:AO,COLUMN(S2),FALSE),IF(VLOOKUP($A3,$A:BC,COLUMN(BC2),FALSE)&lt;&gt;0,"Strange",0))</f>
        <v>0</v>
      </c>
      <c r="CF3" s="33">
        <f>IF(VLOOKUP($A3,$A:AP,COLUMN(T2),FALSE)&lt;&gt;0,VLOOKUP($A3,$A:BD,COLUMN(BD2),FALSE)/VLOOKUP($A3,$A:AP,COLUMN(T2),FALSE),IF(VLOOKUP($A3,$A:BD,COLUMN(BD2),FALSE)&lt;&gt;0,"Strange",0))</f>
        <v>8.1081081081081086E-2</v>
      </c>
      <c r="CH3" s="33">
        <f>SUMIFS('Bilateral assistance, MAIN DATA'!$M:$M,'Bilateral assistance, MAIN DATA'!$B:$B,'Share, heavy weapons to Ukraine'!$A3,'Bilateral assistance, MAIN DATA'!$AO:$AO,'Share, heavy weapons to Ukraine'!CH$1,'Bilateral assistance, MAIN DATA'!$AQ:$AQ,2)</f>
        <v>0</v>
      </c>
      <c r="CI3" s="33">
        <f>SUMIFS('Bilateral assistance, MAIN DATA'!$M:$M,'Bilateral assistance, MAIN DATA'!$B:$B,'Share, heavy weapons to Ukraine'!$A3,'Bilateral assistance, MAIN DATA'!$AO:$AO,'Share, heavy weapons to Ukraine'!CI$1,'Bilateral assistance, MAIN DATA'!$AQ:$AQ,2)</f>
        <v>28</v>
      </c>
      <c r="CJ3" s="645">
        <f>SUMIFS('Bilateral assistance, MAIN DATA'!$M:$M,'Bilateral assistance, MAIN DATA'!$B:$B,'Share, heavy weapons to Ukraine'!$A3,'Bilateral assistance, MAIN DATA'!$AO:$AO,"122mm MLRS",'Bilateral assistance, MAIN DATA'!$AQ:$AQ,2)+SUMIFS('Bilateral assistance, MAIN DATA'!$M:$M,'Bilateral assistance, MAIN DATA'!$B:$B,'Share, heavy weapons to Ukraine'!$A3,'Bilateral assistance, MAIN DATA'!$AO:$AO,"127mm MLRS",'Bilateral assistance, MAIN DATA'!$AQ:$AQ,2)+SUMIFS('Bilateral assistance, MAIN DATA'!$M:$M,'Bilateral assistance, MAIN DATA'!$B:$B,'Share, heavy weapons to Ukraine'!$A3,'Bilateral assistance, MAIN DATA'!$AO:$AO,"227mm MLRS",'Bilateral assistance, MAIN DATA'!$AQ:$AQ,2)</f>
        <v>6</v>
      </c>
      <c r="CL3" s="33">
        <f>SUMIFS('Bilateral assistance, MAIN DATA'!$M:$M,'Bilateral assistance, MAIN DATA'!$B:$B,'Share, heavy weapons to Ukraine'!$A3,'Bilateral assistance, MAIN DATA'!$AO:$AO,'Share, heavy weapons to Ukraine'!CH$1,'Bilateral assistance, MAIN DATA'!$AQ:$AQ,1)</f>
        <v>0</v>
      </c>
      <c r="CM3" s="33">
        <f>SUMIFS('Bilateral assistance, MAIN DATA'!$M:$M,'Bilateral assistance, MAIN DATA'!$B:$B,'Share, heavy weapons to Ukraine'!$A3,'Bilateral assistance, MAIN DATA'!$AO:$AO,'Share, heavy weapons to Ukraine'!CI$1,'Bilateral assistance, MAIN DATA'!$AQ:$AQ,1)</f>
        <v>0</v>
      </c>
      <c r="CN3" s="645">
        <f>SUMIFS('Bilateral assistance, MAIN DATA'!$M:$M,'Bilateral assistance, MAIN DATA'!$B:$B,'Share, heavy weapons to Ukraine'!$A3,'Bilateral assistance, MAIN DATA'!$AO:$AO,"122mm MLRS",'Bilateral assistance, MAIN DATA'!$AQ:$AQ,1)+SUMIFS('Bilateral assistance, MAIN DATA'!$M:$M,'Bilateral assistance, MAIN DATA'!$B:$B,'Share, heavy weapons to Ukraine'!$A3,'Bilateral assistance, MAIN DATA'!$AO:$AO,"127mm MLRS",'Bilateral assistance, MAIN DATA'!$AQ:$AQ,1)+SUMIFS('Bilateral assistance, MAIN DATA'!$M:$M,'Bilateral assistance, MAIN DATA'!$B:$B,'Share, heavy weapons to Ukraine'!$A3,'Bilateral assistance, MAIN DATA'!$AO:$AO,"227mm MLRS",'Bilateral assistance, MAIN DATA'!$AQ:$AQ,1)</f>
        <v>0</v>
      </c>
      <c r="CP3" s="33">
        <f>SUMIFS('Bilateral assistance, MAIN DATA'!$M:$M,'Bilateral assistance, MAIN DATA'!$B:$B,'Share, heavy weapons to Ukraine'!$A3,'Bilateral assistance, MAIN DATA'!$AO:$AO,'Share, heavy weapons to Ukraine'!CP$1,'Bilateral assistance, MAIN DATA'!$AQ:$AQ,0)</f>
        <v>0</v>
      </c>
      <c r="CQ3" s="33">
        <f>SUMIFS('Bilateral assistance, MAIN DATA'!$M:$M,'Bilateral assistance, MAIN DATA'!$B:$B,'Share, heavy weapons to Ukraine'!$A3,'Bilateral assistance, MAIN DATA'!$AO:$AO,'Share, heavy weapons to Ukraine'!CQ$1,'Bilateral assistance, MAIN DATA'!$AQ:$AQ,0)</f>
        <v>0</v>
      </c>
      <c r="CR3" s="645">
        <f>SUMIFS('Bilateral assistance, MAIN DATA'!$M:$M,'Bilateral assistance, MAIN DATA'!$B:$B,'Share, heavy weapons to Ukraine'!$A3,'Bilateral assistance, MAIN DATA'!$AO:$AO,"122mm MLRS",'Bilateral assistance, MAIN DATA'!$AQ:$AQ,0)+SUMIFS('Bilateral assistance, MAIN DATA'!$M:$M,'Bilateral assistance, MAIN DATA'!$B:$B,'Share, heavy weapons to Ukraine'!$A3,'Bilateral assistance, MAIN DATA'!$AO:$AO,"127mm MLRS",'Bilateral assistance, MAIN DATA'!$AQ:$AQ,0)+SUMIFS('Bilateral assistance, MAIN DATA'!$M:$M,'Bilateral assistance, MAIN DATA'!$B:$B,'Share, heavy weapons to Ukraine'!$A3,'Bilateral assistance, MAIN DATA'!$AO:$AO,"227mm MLRS",'Bilateral assistance, MAIN DATA'!$AQ:$AQ,0)</f>
        <v>0</v>
      </c>
      <c r="CT3" s="33">
        <f>IF(VLOOKUP($A3,$A:CS,COLUMN(F2),FALSE)&lt;&gt;0,VLOOKUP($A3,$A:CS,COLUMN(CH2),FALSE)/VLOOKUP($A3,$A:AU,COLUMN(F2),FALSE),IF(VLOOKUP($A3,$A:CS,COLUMN(CH2),FALSE)&lt;&gt;0,"Strange",0))</f>
        <v>0</v>
      </c>
      <c r="CU3" s="33">
        <f>IF(VLOOKUP($A3,$A:CS,COLUMN(L2),FALSE)&lt;&gt;0,VLOOKUP($A3,$A:CS,COLUMN(CI2),FALSE)/VLOOKUP($A3,$A:AU,COLUMN(L2),FALSE),IF(VLOOKUP($A3,$A:CS,COLUMN(CI2),FALSE)&lt;&gt;0,"Strange",0))</f>
        <v>0.25688073394495414</v>
      </c>
      <c r="CV3" s="33">
        <f>IF(VLOOKUP($A3,$A:CT,COLUMN(M2),FALSE)&lt;&gt;0,VLOOKUP($A3,$A:CT,COLUMN(CJ2),FALSE)/VLOOKUP($A3,$A:AV,COLUMN(M2),FALSE),IF(VLOOKUP($A3,$A:CT,COLUMN(CJ2),FALSE)&lt;&gt;0,"Strange",0))</f>
        <v>0.17142857142857143</v>
      </c>
      <c r="CX3" s="33">
        <f>IF(VLOOKUP($A3,$A:CS,COLUMN(F2),FALSE)&lt;&gt;0,VLOOKUP($A3,$A:CS,COLUMN(CL2),FALSE)/VLOOKUP($A3,$A:AU,COLUMN(F2),FALSE),IF(VLOOKUP($A3,$A:CS,COLUMN(CL2),FALSE)&lt;&gt;0,"Strange",0))</f>
        <v>0</v>
      </c>
      <c r="CY3" s="33">
        <f>IF(VLOOKUP($A3,$A:CS,COLUMN(L2),FALSE)&lt;&gt;0,VLOOKUP($A3,$A:CS,COLUMN(CM2),FALSE)/VLOOKUP($A3,$A:AU,COLUMN(L2),FALSE),IF(VLOOKUP($A3,$A:CS,COLUMN(CM2),FALSE)&lt;&gt;0,"Strange",0))</f>
        <v>0</v>
      </c>
      <c r="CZ3" s="33">
        <f>IF(VLOOKUP($A3,$A:CT,COLUMN(M2),FALSE)&lt;&gt;0,VLOOKUP($A3,$A:CT,COLUMN(CN2),FALSE)/VLOOKUP($A3,$A:AV,COLUMN(M2),FALSE),IF(VLOOKUP($A3,$A:CT,COLUMN(CN2),FALSE)&lt;&gt;0,"Strange",0))</f>
        <v>0</v>
      </c>
      <c r="DB3" s="33">
        <f>IF(VLOOKUP($A3,$A:CS,COLUMN(F2),FALSE)&lt;&gt;0,VLOOKUP($A3,$A:CS,COLUMN(CP2),FALSE)/VLOOKUP($A3,$A:AU,COLUMN(F2),FALSE),IF(VLOOKUP($A3,$A:CS,COLUMN(CP2),FALSE)&lt;&gt;0,"Strange",0))</f>
        <v>0</v>
      </c>
      <c r="DC3" s="33">
        <f>IF(VLOOKUP($A3,$A:CS,COLUMN(L2),FALSE)&lt;&gt;0,VLOOKUP($A3,$A:CS,COLUMN(CQ2),FALSE)/VLOOKUP($A3,$A:AU,COLUMN(L2),FALSE),IF(VLOOKUP($A3,$A:CS,COLUMN(CQ2),FALSE)&lt;&gt;0,"Strange",0))</f>
        <v>0</v>
      </c>
      <c r="DD3" s="33">
        <f>IF(VLOOKUP($A3,$A:CT,COLUMN(M2),FALSE)&lt;&gt;0,VLOOKUP($A3,$A:CT,COLUMN(CR2),FALSE)/VLOOKUP($A3,$A:AV,COLUMN(M2),FALSE),IF(VLOOKUP($A3,$A:CT,COLUMN(CR2),FALSE)&lt;&gt;0,"Strange",0))</f>
        <v>0</v>
      </c>
      <c r="DF3" s="33">
        <f>SUMIFS('Bilateral assistance, MAIN DATA'!$M:$M,'Bilateral assistance, MAIN DATA'!$B:$B,'Share, heavy weapons to Ukraine'!$A3,'Bilateral assistance, MAIN DATA'!$AO:$AO,'Share, heavy weapons to Ukraine'!DF$1, 'Bilateral assistance, MAIN DATA'!$AA:$AA,1)</f>
        <v>0</v>
      </c>
      <c r="DG3" s="33">
        <f>SUMIFS('Bilateral assistance, MAIN DATA'!$M:$M,'Bilateral assistance, MAIN DATA'!$B:$B,'Share, heavy weapons to Ukraine'!$A3,'Bilateral assistance, MAIN DATA'!$AO:$AO,'Share, heavy weapons to Ukraine'!DG$1, 'Bilateral assistance, MAIN DATA'!$AA:$AA,1)</f>
        <v>0</v>
      </c>
      <c r="DH3" s="33">
        <f>SUMIFS('Bilateral assistance, MAIN DATA'!$M:$M,'Bilateral assistance, MAIN DATA'!$B:$B,'Share, heavy weapons to Ukraine'!$A3,'Bilateral assistance, MAIN DATA'!$AO:$AO,'Share, heavy weapons to Ukraine'!DH$1, 'Bilateral assistance, MAIN DATA'!$AA:$AA,1)</f>
        <v>0</v>
      </c>
      <c r="DI3" s="33">
        <f>SUMIFS('Bilateral assistance, MAIN DATA'!$M:$M,'Bilateral assistance, MAIN DATA'!$B:$B,'Share, heavy weapons to Ukraine'!$A3,'Bilateral assistance, MAIN DATA'!$AO:$AO,'Share, heavy weapons to Ukraine'!DI$1, 'Bilateral assistance, MAIN DATA'!$AA:$AA,1)</f>
        <v>0</v>
      </c>
      <c r="DK3" s="33">
        <f>SUMIFS('Bilateral assistance, MAIN DATA'!$N:$N,'Bilateral assistance, MAIN DATA'!$B:$B,'Share, heavy weapons to Ukraine'!$A3,'Bilateral assistance, MAIN DATA'!$AO:$AO,'Share, heavy weapons to Ukraine'!DK$1, 'Bilateral assistance, MAIN DATA'!$AA:$AA,1)</f>
        <v>0</v>
      </c>
      <c r="DL3" s="33">
        <f>SUMIFS('Bilateral assistance, MAIN DATA'!$N:$N,'Bilateral assistance, MAIN DATA'!$B:$B,'Share, heavy weapons to Ukraine'!$A3,'Bilateral assistance, MAIN DATA'!$AO:$AO,'Share, heavy weapons to Ukraine'!DL$1, 'Bilateral assistance, MAIN DATA'!$AA:$AA,1)</f>
        <v>0</v>
      </c>
      <c r="DM3" s="33">
        <f>SUMIFS('Bilateral assistance, MAIN DATA'!$N:$N,'Bilateral assistance, MAIN DATA'!$B:$B,'Share, heavy weapons to Ukraine'!$A3,'Bilateral assistance, MAIN DATA'!$AO:$AO,'Share, heavy weapons to Ukraine'!DM$1, 'Bilateral assistance, MAIN DATA'!$AA:$AA,1)</f>
        <v>0</v>
      </c>
      <c r="DN3" s="33">
        <f>SUMIFS('Bilateral assistance, MAIN DATA'!$N:$N,'Bilateral assistance, MAIN DATA'!$B:$B,'Share, heavy weapons to Ukraine'!$A3,'Bilateral assistance, MAIN DATA'!$AO:$AO,'Share, heavy weapons to Ukraine'!DN$1, 'Bilateral assistance, MAIN DATA'!$AA:$AA,1)</f>
        <v>0</v>
      </c>
    </row>
    <row r="4" spans="1:118">
      <c r="A4" s="801" t="s">
        <v>1012</v>
      </c>
      <c r="B4" s="801">
        <v>0</v>
      </c>
      <c r="C4" s="33">
        <v>1</v>
      </c>
      <c r="E4" s="802">
        <v>59.3</v>
      </c>
      <c r="F4" s="801">
        <f>VLOOKUP(A4,'Heavy weapon stocks'!A:OH,COLUMN('Heavy weapon stocks'!$G$1),0)</f>
        <v>467</v>
      </c>
      <c r="G4" s="801">
        <f>VLOOKUP(A4,'Heavy weapon stocks'!A:OH,COLUMN('Heavy weapon stocks'!$AW$1),0)</f>
        <v>2596</v>
      </c>
      <c r="H4" s="801">
        <f>VLOOKUP(A4,'Heavy weapon stocks'!A:OH,COLUMN('Heavy weapon stocks'!$DQ$1),0)</f>
        <v>20</v>
      </c>
      <c r="I4" s="801">
        <f>VLOOKUP(A4,'Heavy weapon stocks'!A:OH,COLUMN('Heavy weapon stocks'!$EE$1),0)</f>
        <v>0</v>
      </c>
      <c r="J4" s="801">
        <f>VLOOKUP(A4,'Heavy weapon stocks'!A:OH,COLUMN('Heavy weapon stocks'!$FG$1),0)</f>
        <v>706</v>
      </c>
      <c r="K4" s="801">
        <f t="shared" ref="K4:K36" si="3">SUM(G4:J4)</f>
        <v>3322</v>
      </c>
      <c r="L4" s="801">
        <f>VLOOKUP(A4,'Heavy weapon stocks'!A:OH,COLUMN('Heavy weapon stocks'!$HC$1),0)+VLOOKUP(A4,'Heavy weapon stocks'!A:OH,COLUMN('Heavy weapon stocks'!$II$1),0)</f>
        <v>120</v>
      </c>
      <c r="M4" s="801">
        <f>VLOOKUP(A4,'Heavy weapon stocks'!A:OH,COLUMN('Heavy weapon stocks'!$IN$1),0)</f>
        <v>13</v>
      </c>
      <c r="N4" s="801">
        <f>VLOOKUP(A4,'Heavy weapon stocks'!A:OH,COLUMN('Heavy weapon stocks'!$JH$1),0)+VLOOKUP(A4,'Heavy weapon stocks'!A:OH,COLUMN('Heavy weapon stocks'!$KE$1),0)</f>
        <v>250</v>
      </c>
      <c r="O4" s="801">
        <f>VLOOKUP(A4,'Heavy weapon stocks'!A:OH,COLUMN('Heavy weapon stocks'!$LU$1),0)</f>
        <v>0</v>
      </c>
      <c r="Q4" s="801">
        <f>VLOOKUP(A4,'Heavy weapon stocks'!A:OH,COLUMN('Heavy weapon stocks'!$LV$1),0)</f>
        <v>40</v>
      </c>
      <c r="R4" s="801">
        <f>VLOOKUP(A4,'Heavy weapon stocks'!A:OH,COLUMN('Heavy weapon stocks'!$MF$1),0)</f>
        <v>0</v>
      </c>
      <c r="S4" s="801">
        <f>VLOOKUP(A4,'Heavy weapon stocks'!A:OH,COLUMN('Heavy weapon stocks'!$MM$1),0)</f>
        <v>24</v>
      </c>
      <c r="T4" s="801">
        <f>VLOOKUP(A4,'Heavy weapon stocks'!A:OH,COLUMN('Heavy weapon stocks'!$NR$1),0)</f>
        <v>0</v>
      </c>
      <c r="V4" s="801">
        <f>VLOOKUP(A4,'Heavy weapon stocks'!A:OH,COLUMN('Heavy weapon stocks'!$H$1),0)</f>
        <v>0</v>
      </c>
      <c r="W4" s="801">
        <f>VLOOKUP(A4,'Heavy weapon stocks'!A:OH,COLUMN('Heavy weapon stocks'!$DQ$1),0)</f>
        <v>20</v>
      </c>
      <c r="X4" s="801">
        <f>VLOOKUP(A4,'Heavy weapon stocks'!A:OH,COLUMN('Heavy weapon stocks'!$FG$1),0)</f>
        <v>706</v>
      </c>
      <c r="Y4" s="801">
        <f>VLOOKUP(A4,'Heavy weapon stocks'!A:OH,COLUMN('Heavy weapon stocks'!$HC$1),0)+VLOOKUP(A4,'Heavy weapon stocks'!A:OH,COLUMN('Heavy weapon stocks'!$II$1),0)</f>
        <v>120</v>
      </c>
      <c r="Z4" s="801">
        <f>VLOOKUP(A4,'Heavy weapon stocks'!A:OH,COLUMN('Heavy weapon stocks'!$IO$1),0)+VLOOKUP(A4,'Heavy weapon stocks'!A:OH,COLUMN('Heavy weapon stocks'!$IP$1),0)+VLOOKUP(A4,'Heavy weapon stocks'!A:OH,COLUMN('Heavy weapon stocks'!$IU$1),0)</f>
        <v>13</v>
      </c>
      <c r="AA4" s="801">
        <f>VLOOKUP(A4,'Heavy weapon stocks'!A:OH,COLUMN('Heavy weapon stocks'!$MI$1),0)</f>
        <v>0</v>
      </c>
      <c r="AB4" s="801">
        <f>VLOOKUP(A4,'Heavy weapon stocks'!A:OH,COLUMN('Heavy weapon stocks'!$MS$1),0)+VLOOKUP(A4,'Heavy weapon stocks'!A:OH,COLUMN('Heavy weapon stocks'!$MT$1),0)+VLOOKUP(A4,'Heavy weapon stocks'!A:OH,COLUMN('Heavy weapon stocks'!$MU$1),0)+VLOOKUP(A4,'Heavy weapon stocks'!A:OH,COLUMN('Heavy weapon stocks'!$MV$1),0)</f>
        <v>0</v>
      </c>
      <c r="AD4" s="33">
        <f>SUMIFS('Bilateral assistance, MAIN DATA'!$M:$M,'Bilateral assistance, MAIN DATA'!$B:$B,'Share, heavy weapons to Ukraine'!$A4,'Bilateral assistance, MAIN DATA'!$AO:$AO,'Share, heavy weapons to Ukraine'!AD$1)</f>
        <v>0</v>
      </c>
      <c r="AE4" s="33">
        <f>SUMIFS('Bilateral assistance, MAIN DATA'!$M:$M,'Bilateral assistance, MAIN DATA'!$B:$B,'Share, heavy weapons to Ukraine'!$A4,'Bilateral assistance, MAIN DATA'!$AO:$AO,'Share, heavy weapons to Ukraine'!AE$1)</f>
        <v>60</v>
      </c>
      <c r="AF4" s="33">
        <f>SUMIFS('Bilateral assistance, MAIN DATA'!$M:$M,'Bilateral assistance, MAIN DATA'!$B:$B,'Share, heavy weapons to Ukraine'!$A4,'Bilateral assistance, MAIN DATA'!$AO:$AO,'Share, heavy weapons to Ukraine'!AF$1)</f>
        <v>0</v>
      </c>
      <c r="AG4" s="33">
        <f>SUMIFS('Bilateral assistance, MAIN DATA'!$M:$M,'Bilateral assistance, MAIN DATA'!$B:$B,'Share, heavy weapons to Ukraine'!$A4,'Bilateral assistance, MAIN DATA'!$AO:$AO,'Share, heavy weapons to Ukraine'!AG$1)</f>
        <v>0</v>
      </c>
      <c r="AH4" s="33">
        <f>SUMIFS('Bilateral assistance, MAIN DATA'!$M:$M,'Bilateral assistance, MAIN DATA'!$B:$B,'Share, heavy weapons to Ukraine'!$A4,'Bilateral assistance, MAIN DATA'!$AO:$AO,'Share, heavy weapons to Ukraine'!AH$1)</f>
        <v>0</v>
      </c>
      <c r="AI4" s="33">
        <f t="shared" si="1"/>
        <v>60</v>
      </c>
      <c r="AJ4" s="33">
        <f>SUMIFS('Bilateral assistance, MAIN DATA'!$M:$M,'Bilateral assistance, MAIN DATA'!$B:$B,'Share, heavy weapons to Ukraine'!$A4,'Bilateral assistance, MAIN DATA'!$AO:$AO,'Share, heavy weapons to Ukraine'!AJ$1)</f>
        <v>24</v>
      </c>
      <c r="AK4" s="645">
        <f>SUMIFS('Bilateral assistance, MAIN DATA'!$M:$M,'Bilateral assistance, MAIN DATA'!$B:$B,'Share, heavy weapons to Ukraine'!$A4,'Bilateral assistance, MAIN DATA'!$AO:$AO,"122mm MLRS")+SUMIFS('Bilateral assistance, MAIN DATA'!$M:$M,'Bilateral assistance, MAIN DATA'!$B:$B,'Share, heavy weapons to Ukraine'!$A4,'Bilateral assistance, MAIN DATA'!$AO:$AO,"127mm MLRS")+SUMIFS('Bilateral assistance, MAIN DATA'!$M:$M,'Bilateral assistance, MAIN DATA'!$B:$B,'Share, heavy weapons to Ukraine'!$A4,'Bilateral assistance, MAIN DATA'!$AO:$AO,"227mm MLRS")</f>
        <v>2</v>
      </c>
      <c r="AL4" s="33">
        <f>SUMIFS('Bilateral assistance, MAIN DATA'!$M:$M,'Bilateral assistance, MAIN DATA'!$B:$B,'Share, heavy weapons to Ukraine'!$A4,'Bilateral assistance, MAIN DATA'!$AO:$AO,'Share, heavy weapons to Ukraine'!AL$1)</f>
        <v>0</v>
      </c>
      <c r="AM4" s="33">
        <f>SUMIFS('Bilateral assistance, MAIN DATA'!$M:$M,'Bilateral assistance, MAIN DATA'!$B:$B,'Share, heavy weapons to Ukraine'!$A4,'Bilateral assistance, MAIN DATA'!$AO:$AO,'Share, heavy weapons to Ukraine'!AM$1)</f>
        <v>0</v>
      </c>
      <c r="AN4" s="33">
        <f>SUMIFS('Bilateral assistance, MAIN DATA'!$M:$M,'Bilateral assistance, MAIN DATA'!$B:$B,'Share, heavy weapons to Ukraine'!$A4,'Bilateral assistance, MAIN DATA'!$AO:$AO,'Share, heavy weapons to Ukraine'!AN$1)</f>
        <v>0</v>
      </c>
      <c r="AO4" s="33">
        <f>SUMIFS('Bilateral assistance, MAIN DATA'!$M:$M,'Bilateral assistance, MAIN DATA'!$B:$B,'Share, heavy weapons to Ukraine'!$A4,'Bilateral assistance, MAIN DATA'!$AO:$AO,'Share, heavy weapons to Ukraine'!AO$1)</f>
        <v>2</v>
      </c>
      <c r="AP4" s="33">
        <f>SUMIFS('Bilateral assistance, MAIN DATA'!$M:$M,'Bilateral assistance, MAIN DATA'!$B:$B,'Share, heavy weapons to Ukraine'!$A4,'Bilateral assistance, MAIN DATA'!$AO:$AO,'Share, heavy weapons to Ukraine'!AP$1)</f>
        <v>0</v>
      </c>
      <c r="AR4" s="33">
        <f>SUMIFS('Bilateral assistance, MAIN DATA'!$N:$N,'Bilateral assistance, MAIN DATA'!$B:$B,'Share, heavy weapons to Ukraine'!$A4,'Bilateral assistance, MAIN DATA'!$AO:$AO,'Share, heavy weapons to Ukraine'!AR$1)</f>
        <v>0</v>
      </c>
      <c r="AS4" s="33">
        <f>SUMIFS('Bilateral assistance, MAIN DATA'!$N:$N,'Bilateral assistance, MAIN DATA'!$B:$B,'Share, heavy weapons to Ukraine'!$A4,'Bilateral assistance, MAIN DATA'!$AO:$AO,'Share, heavy weapons to Ukraine'!AS$1)</f>
        <v>60</v>
      </c>
      <c r="AT4" s="33">
        <f>SUMIFS('Bilateral assistance, MAIN DATA'!$N:$N,'Bilateral assistance, MAIN DATA'!$B:$B,'Share, heavy weapons to Ukraine'!$A4,'Bilateral assistance, MAIN DATA'!$AO:$AO,'Share, heavy weapons to Ukraine'!AT$1)</f>
        <v>0</v>
      </c>
      <c r="AU4" s="33">
        <f>SUMIFS('Bilateral assistance, MAIN DATA'!$N:$N,'Bilateral assistance, MAIN DATA'!$B:$B,'Share, heavy weapons to Ukraine'!$A4,'Bilateral assistance, MAIN DATA'!$AO:$AO,'Share, heavy weapons to Ukraine'!AU$1)</f>
        <v>0</v>
      </c>
      <c r="AV4" s="33">
        <f>SUMIFS('Bilateral assistance, MAIN DATA'!$N:$N,'Bilateral assistance, MAIN DATA'!$B:$B,'Share, heavy weapons to Ukraine'!$A4,'Bilateral assistance, MAIN DATA'!$AO:$AO,'Share, heavy weapons to Ukraine'!AV$1)</f>
        <v>0</v>
      </c>
      <c r="AW4" s="33">
        <f t="shared" si="2"/>
        <v>60</v>
      </c>
      <c r="AX4" s="33">
        <f>SUMIFS('Bilateral assistance, MAIN DATA'!$N:$N,'Bilateral assistance, MAIN DATA'!$B:$B,'Share, heavy weapons to Ukraine'!$A4,'Bilateral assistance, MAIN DATA'!$AO:$AO,'Share, heavy weapons to Ukraine'!AX$1)</f>
        <v>18</v>
      </c>
      <c r="AY4" s="645">
        <f>SUMIFS('Bilateral assistance, MAIN DATA'!$N:$N,'Bilateral assistance, MAIN DATA'!$B:$B,'Share, heavy weapons to Ukraine'!$A4,'Bilateral assistance, MAIN DATA'!$AO:$AO,"122mm MLRS")+SUMIFS('Bilateral assistance, MAIN DATA'!$N:$N,'Bilateral assistance, MAIN DATA'!$B:$B,'Share, heavy weapons to Ukraine'!$A4,'Bilateral assistance, MAIN DATA'!$AO:$AO,"127mm MLRS")+SUMIFS('Bilateral assistance, MAIN DATA'!$N:$N,'Bilateral assistance, MAIN DATA'!$B:$B,'Share, heavy weapons to Ukraine'!$A4,'Bilateral assistance, MAIN DATA'!$AO:$AO,"227mm MLRS")</f>
        <v>0</v>
      </c>
      <c r="AZ4" s="33">
        <f>SUMIFS('Bilateral assistance, MAIN DATA'!$N:$N,'Bilateral assistance, MAIN DATA'!$B:$B,'Share, heavy weapons to Ukraine'!$A4,'Bilateral assistance, MAIN DATA'!$AO:$AO,'Share, heavy weapons to Ukraine'!AZ$1)</f>
        <v>0</v>
      </c>
      <c r="BA4" s="33">
        <f>SUMIFS('Bilateral assistance, MAIN DATA'!$N:$N,'Bilateral assistance, MAIN DATA'!$B:$B,'Share, heavy weapons to Ukraine'!$A4,'Bilateral assistance, MAIN DATA'!$AO:$AO,'Share, heavy weapons to Ukraine'!BA$1)</f>
        <v>0</v>
      </c>
      <c r="BB4" s="33">
        <f>SUMIFS('Bilateral assistance, MAIN DATA'!$N:$N,'Bilateral assistance, MAIN DATA'!$B:$B,'Share, heavy weapons to Ukraine'!$A4,'Bilateral assistance, MAIN DATA'!$AO:$AO,'Share, heavy weapons to Ukraine'!BB$1)</f>
        <v>0</v>
      </c>
      <c r="BC4" s="33">
        <f>SUMIFS('Bilateral assistance, MAIN DATA'!$N:$N,'Bilateral assistance, MAIN DATA'!$B:$B,'Share, heavy weapons to Ukraine'!$A4,'Bilateral assistance, MAIN DATA'!$AO:$AO,'Share, heavy weapons to Ukraine'!BC$1)</f>
        <v>0</v>
      </c>
      <c r="BD4" s="33">
        <f>SUMIFS('Bilateral assistance, MAIN DATA'!$N:$N,'Bilateral assistance, MAIN DATA'!$B:$B,'Share, heavy weapons to Ukraine'!$A4,'Bilateral assistance, MAIN DATA'!$AO:$AO,'Share, heavy weapons to Ukraine'!BD$1)</f>
        <v>0</v>
      </c>
      <c r="BF4" s="33">
        <f>IF(VLOOKUP($A4,$A:F,COLUMN(F3),FALSE)&lt;&gt;0,VLOOKUP($A4,$A:AD,COLUMN(AD3),FALSE)/VLOOKUP($A4,$A:F,COLUMN(F3),FALSE),IF(VLOOKUP($A4,$A:AD,COLUMN(AD3),FALSE)&lt;&gt;0,"Strange",0))</f>
        <v>0</v>
      </c>
      <c r="BG4" s="33">
        <f>IF(VLOOKUP($A4,$A:G,COLUMN(G3),FALSE)&lt;&gt;0,VLOOKUP($A4,$A:AE,COLUMN(AE3),FALSE)/VLOOKUP($A4,$A:G,COLUMN(G3),FALSE),IF(VLOOKUP($A4,$A:AE,COLUMN(AE3),FALSE)&lt;&gt;0,"Strange",0))</f>
        <v>2.3112480739599383E-2</v>
      </c>
      <c r="BH4" s="33">
        <f>IF(VLOOKUP($A4,$A:H,COLUMN(H3),FALSE)&lt;&gt;0,VLOOKUP($A4,$A:AF,COLUMN(AF3),FALSE)/VLOOKUP($A4,$A:H,COLUMN(H3),FALSE),IF(VLOOKUP($A4,$A:AF,COLUMN(AF3),FALSE)&lt;&gt;0,"Strange",0))</f>
        <v>0</v>
      </c>
      <c r="BI4" s="33">
        <f>IF(VLOOKUP($A4,$A:I,COLUMN(I3),FALSE)&lt;&gt;0,VLOOKUP($A4,$A:AG,COLUMN(AG3),FALSE)/VLOOKUP($A4,$A:I,COLUMN(I3),FALSE),IF(VLOOKUP($A4,$A:AG,COLUMN(AG3),FALSE)&lt;&gt;0,"Strange",0))</f>
        <v>0</v>
      </c>
      <c r="BJ4" s="33">
        <f>IF(VLOOKUP($A4,$A:J,COLUMN(J3),FALSE)&lt;&gt;0,VLOOKUP($A4,$A:AH,COLUMN(AH3),FALSE)/VLOOKUP($A4,$A:J,COLUMN(J3),FALSE),IF(VLOOKUP($A4,$A:AH,COLUMN(AH3),FALSE)&lt;&gt;0,"Strange",0))</f>
        <v>0</v>
      </c>
      <c r="BK4" s="33">
        <f>IF(VLOOKUP($A4,$A:K,COLUMN(K3),FALSE)&lt;&gt;0,VLOOKUP($A4,$A:AI,COLUMN(AI3),FALSE)/VLOOKUP($A4,$A:K,COLUMN(K3),FALSE),IF(VLOOKUP($A4,$A:AI,COLUMN(AI3),FALSE)&lt;&gt;0,"Strange",0))</f>
        <v>1.8061408789885613E-2</v>
      </c>
      <c r="BL4" s="33">
        <f>IF(VLOOKUP($A4,$A:L,COLUMN(L3),FALSE)&lt;&gt;0,VLOOKUP($A4,$A:AJ,COLUMN(AJ3),FALSE)/VLOOKUP($A4,$A:L,COLUMN(L3),FALSE),IF(VLOOKUP($A4,$A:AJ,COLUMN(AJ3),FALSE)&lt;&gt;0,"Strange",0))</f>
        <v>0.2</v>
      </c>
      <c r="BM4" s="33">
        <f>IF(VLOOKUP($A4,$A:M,COLUMN(M3),FALSE)&lt;&gt;0,VLOOKUP($A4,$A:AK,COLUMN(AK3),FALSE)/VLOOKUP($A4,$A:M,COLUMN(M3),FALSE),IF(VLOOKUP($A4,$A:AK,COLUMN(AK3),FALSE)&lt;&gt;0,"Strange",0))</f>
        <v>0.15384615384615385</v>
      </c>
      <c r="BN4" s="33">
        <f>IF(VLOOKUP($A4,$A:N,COLUMN(N3),FALSE)&lt;&gt;0,VLOOKUP($A4,$A:AL,COLUMN(AL3),FALSE)/VLOOKUP($A4,$A:N,COLUMN(N3),FALSE),IF(VLOOKUP($A4,$A:AL,COLUMN(AL3),FALSE)&lt;&gt;0,"Strange",0))</f>
        <v>0</v>
      </c>
      <c r="BO4" s="33">
        <f>IF(VLOOKUP($A4,$A:Q,COLUMN(Q3),FALSE)&lt;&gt;0,VLOOKUP($A4,$A:AM,COLUMN(AM3),FALSE)/VLOOKUP($A4,$A:Q,COLUMN(Q3),FALSE),IF(VLOOKUP($A4,$A:AM,COLUMN(AM3),FALSE)&lt;&gt;0,"Strange",0))</f>
        <v>0</v>
      </c>
      <c r="BP4" s="33">
        <f>IF(VLOOKUP($A4,$A:R,COLUMN(R3),FALSE)&lt;&gt;0,VLOOKUP($A4,$A:AN,COLUMN(AN3),FALSE)/VLOOKUP($A4,$A:R,COLUMN(R3),FALSE),IF(VLOOKUP($A4,$A:AN,COLUMN(AN3),FALSE)&lt;&gt;0,"Strange",0))</f>
        <v>0</v>
      </c>
      <c r="BQ4" s="33">
        <f>IF(VLOOKUP($A4,$A:S,COLUMN(S3),FALSE)&lt;&gt;0,VLOOKUP($A4,$A:AO,COLUMN(AO3),FALSE)/VLOOKUP($A4,$A:S,COLUMN(S3),FALSE),IF(VLOOKUP($A4,$A:AO,COLUMN(AO3),FALSE)&lt;&gt;0,"Strange",0))</f>
        <v>8.3333333333333329E-2</v>
      </c>
      <c r="BR4" s="33">
        <f>IF(VLOOKUP($A4,$A:T,COLUMN(T3),FALSE)&lt;&gt;0,VLOOKUP($A4,$A:AP,COLUMN(AP3),FALSE)/VLOOKUP($A4,$A:T,COLUMN(T3),FALSE),IF(VLOOKUP($A4,$A:AP,COLUMN(AP3),FALSE)&lt;&gt;0,"Strange",0))</f>
        <v>0</v>
      </c>
      <c r="BT4" s="33">
        <f>IF(VLOOKUP($A4,$A:AE,COLUMN(F3),FALSE)&lt;&gt;0,VLOOKUP($A4,$A:AS,COLUMN(AR3),FALSE)/VLOOKUP($A4,$A:AE,COLUMN(F3),FALSE),IF(VLOOKUP($A4,$A:AS,COLUMN(AR3),FALSE)&lt;&gt;0,"Strange",0))</f>
        <v>0</v>
      </c>
      <c r="BU4" s="33">
        <f>IF(VLOOKUP($A4,$A:AF,COLUMN(G3),FALSE)&lt;&gt;0,VLOOKUP($A4,$A:AT,COLUMN(AS3),FALSE)/VLOOKUP($A4,$A:AF,COLUMN(G3),FALSE),IF(VLOOKUP($A4,$A:AT,COLUMN(AS3),FALSE)&lt;&gt;0,"Strange",0))</f>
        <v>2.3112480739599383E-2</v>
      </c>
      <c r="BV4" s="33">
        <f>IF(VLOOKUP($A4,$A:AG,COLUMN(H3),FALSE)&lt;&gt;0,VLOOKUP($A4,$A:AU,COLUMN(AT3),FALSE)/VLOOKUP($A4,$A:AG,COLUMN(H3),FALSE),IF(VLOOKUP($A4,$A:AU,COLUMN(AT3),FALSE)&lt;&gt;0,"Strange",0))</f>
        <v>0</v>
      </c>
      <c r="BW4" s="33">
        <f>IF(VLOOKUP($A4,$A:AH,COLUMN(I3),FALSE)&lt;&gt;0,VLOOKUP($A4,$A:AV,COLUMN(AU3),FALSE)/VLOOKUP($A4,$A:AH,COLUMN(I3),FALSE),IF(VLOOKUP($A4,$A:AV,COLUMN(AU3),FALSE)&lt;&gt;0,"Strange",0))</f>
        <v>0</v>
      </c>
      <c r="BX4" s="33">
        <f>IF(VLOOKUP($A4,$A:AJ,COLUMN(J3),FALSE)&lt;&gt;0,VLOOKUP($A4,$A:AX,COLUMN(AV3),FALSE)/VLOOKUP($A4,$A:AJ,COLUMN(J3),FALSE),IF(VLOOKUP($A4,$A:AX,COLUMN(AV3),FALSE)&lt;&gt;0,"Strange",0))</f>
        <v>0</v>
      </c>
      <c r="BY4" s="33">
        <f>IF(VLOOKUP($A4,$A:AK,COLUMN(K3),FALSE)&lt;&gt;0,VLOOKUP($A4,$A:AY,COLUMN(AW3),FALSE)/VLOOKUP($A4,$A:AK,COLUMN(K3),FALSE),IF(VLOOKUP($A4,$A:AY,COLUMN(AW3),FALSE)&lt;&gt;0,"Strange",0))</f>
        <v>1.8061408789885613E-2</v>
      </c>
      <c r="BZ4" s="33">
        <f>IF(VLOOKUP($A4,$A:AK,COLUMN(L3),FALSE)&lt;&gt;0,VLOOKUP($A4,$A:AY,COLUMN(AX3),FALSE)/VLOOKUP($A4,$A:AK,COLUMN(L3),FALSE),IF(VLOOKUP($A4,$A:AY,COLUMN(AX3),FALSE)&lt;&gt;0,"Strange",0))</f>
        <v>0.15</v>
      </c>
      <c r="CA4" s="33">
        <f>IF(VLOOKUP($A4,$A:AL,COLUMN(M3),FALSE)&lt;&gt;0,VLOOKUP($A4,$A:AZ,COLUMN(AY3),FALSE)/VLOOKUP($A4,$A:AL,COLUMN(M3),FALSE),IF(VLOOKUP($A4,$A:AZ,COLUMN(AY3),FALSE)&lt;&gt;0,"Strange",0))</f>
        <v>0</v>
      </c>
      <c r="CB4" s="33">
        <f>IF(VLOOKUP($A4,$A:AL,COLUMN(N3),FALSE)&lt;&gt;0,VLOOKUP($A4,$A:AZ,COLUMN(AZ3),FALSE)/VLOOKUP($A4,$A:AL,COLUMN(N3),FALSE),IF(VLOOKUP($A4,$A:AZ,COLUMN(AZ3),FALSE)&lt;&gt;0,"Strange",0))</f>
        <v>0</v>
      </c>
      <c r="CC4" s="33">
        <f>IF(VLOOKUP($A4,$A:AM,COLUMN(Q3),FALSE)&lt;&gt;0,VLOOKUP($A4,$A:BA,COLUMN(BA3),FALSE)/VLOOKUP($A4,$A:AM,COLUMN(Q3),FALSE),IF(VLOOKUP($A4,$A:BA,COLUMN(BA3),FALSE)&lt;&gt;0,"Strange",0))</f>
        <v>0</v>
      </c>
      <c r="CD4" s="33">
        <f>IF(VLOOKUP($A4,$A:AN,COLUMN(R3),FALSE)&lt;&gt;0,VLOOKUP($A4,$A:BB,COLUMN(BB3),FALSE)/VLOOKUP($A4,$A:AN,COLUMN(R3),FALSE),IF(VLOOKUP($A4,$A:BB,COLUMN(BB3),FALSE)&lt;&gt;0,"Strange",0))</f>
        <v>0</v>
      </c>
      <c r="CE4" s="33">
        <f>IF(VLOOKUP($A4,$A:AO,COLUMN(S3),FALSE)&lt;&gt;0,VLOOKUP($A4,$A:BC,COLUMN(BC3),FALSE)/VLOOKUP($A4,$A:AO,COLUMN(S3),FALSE),IF(VLOOKUP($A4,$A:BC,COLUMN(BC3),FALSE)&lt;&gt;0,"Strange",0))</f>
        <v>0</v>
      </c>
      <c r="CF4" s="33">
        <f>IF(VLOOKUP($A4,$A:AP,COLUMN(T3),FALSE)&lt;&gt;0,VLOOKUP($A4,$A:BD,COLUMN(BD3),FALSE)/VLOOKUP($A4,$A:AP,COLUMN(T3),FALSE),IF(VLOOKUP($A4,$A:BD,COLUMN(BD3),FALSE)&lt;&gt;0,"Strange",0))</f>
        <v>0</v>
      </c>
      <c r="CH4" s="33">
        <f>SUMIFS('Bilateral assistance, MAIN DATA'!$M:$M,'Bilateral assistance, MAIN DATA'!$B:$B,'Share, heavy weapons to Ukraine'!$A4,'Bilateral assistance, MAIN DATA'!$AO:$AO,'Share, heavy weapons to Ukraine'!CH$1,'Bilateral assistance, MAIN DATA'!$AQ:$AQ,2)</f>
        <v>0</v>
      </c>
      <c r="CI4" s="33">
        <f>SUMIFS('Bilateral assistance, MAIN DATA'!$M:$M,'Bilateral assistance, MAIN DATA'!$B:$B,'Share, heavy weapons to Ukraine'!$A4,'Bilateral assistance, MAIN DATA'!$AO:$AO,'Share, heavy weapons to Ukraine'!CI$1,'Bilateral assistance, MAIN DATA'!$AQ:$AQ,2)</f>
        <v>24</v>
      </c>
      <c r="CJ4" s="645">
        <f>SUMIFS('Bilateral assistance, MAIN DATA'!$M:$M,'Bilateral assistance, MAIN DATA'!$B:$B,'Share, heavy weapons to Ukraine'!$A4,'Bilateral assistance, MAIN DATA'!$AO:$AO,"122mm MLRS",'Bilateral assistance, MAIN DATA'!$AQ:$AQ,2)+SUMIFS('Bilateral assistance, MAIN DATA'!$M:$M,'Bilateral assistance, MAIN DATA'!$B:$B,'Share, heavy weapons to Ukraine'!$A4,'Bilateral assistance, MAIN DATA'!$AO:$AO,"127mm MLRS",'Bilateral assistance, MAIN DATA'!$AQ:$AQ,2)+SUMIFS('Bilateral assistance, MAIN DATA'!$M:$M,'Bilateral assistance, MAIN DATA'!$B:$B,'Share, heavy weapons to Ukraine'!$A4,'Bilateral assistance, MAIN DATA'!$AO:$AO,"227mm MLRS",'Bilateral assistance, MAIN DATA'!$AQ:$AQ,2)</f>
        <v>2</v>
      </c>
      <c r="CL4" s="33">
        <f>SUMIFS('Bilateral assistance, MAIN DATA'!$M:$M,'Bilateral assistance, MAIN DATA'!$B:$B,'Share, heavy weapons to Ukraine'!$A4,'Bilateral assistance, MAIN DATA'!$AO:$AO,'Share, heavy weapons to Ukraine'!CH$1,'Bilateral assistance, MAIN DATA'!$AQ:$AQ,1)</f>
        <v>0</v>
      </c>
      <c r="CM4" s="33">
        <f>SUMIFS('Bilateral assistance, MAIN DATA'!$M:$M,'Bilateral assistance, MAIN DATA'!$B:$B,'Share, heavy weapons to Ukraine'!$A4,'Bilateral assistance, MAIN DATA'!$AO:$AO,'Share, heavy weapons to Ukraine'!CI$1,'Bilateral assistance, MAIN DATA'!$AQ:$AQ,1)</f>
        <v>0</v>
      </c>
      <c r="CN4" s="645">
        <f>SUMIFS('Bilateral assistance, MAIN DATA'!$M:$M,'Bilateral assistance, MAIN DATA'!$B:$B,'Share, heavy weapons to Ukraine'!$A4,'Bilateral assistance, MAIN DATA'!$AO:$AO,"122mm MLRS",'Bilateral assistance, MAIN DATA'!$AQ:$AQ,1)+SUMIFS('Bilateral assistance, MAIN DATA'!$M:$M,'Bilateral assistance, MAIN DATA'!$B:$B,'Share, heavy weapons to Ukraine'!$A4,'Bilateral assistance, MAIN DATA'!$AO:$AO,"127mm MLRS",'Bilateral assistance, MAIN DATA'!$AQ:$AQ,1)+SUMIFS('Bilateral assistance, MAIN DATA'!$M:$M,'Bilateral assistance, MAIN DATA'!$B:$B,'Share, heavy weapons to Ukraine'!$A4,'Bilateral assistance, MAIN DATA'!$AO:$AO,"227mm MLRS",'Bilateral assistance, MAIN DATA'!$AQ:$AQ,1)</f>
        <v>0</v>
      </c>
      <c r="CP4" s="33">
        <f>SUMIFS('Bilateral assistance, MAIN DATA'!$M:$M,'Bilateral assistance, MAIN DATA'!$B:$B,'Share, heavy weapons to Ukraine'!$A4,'Bilateral assistance, MAIN DATA'!$AO:$AO,'Share, heavy weapons to Ukraine'!CP$1,'Bilateral assistance, MAIN DATA'!$AQ:$AQ,0)</f>
        <v>0</v>
      </c>
      <c r="CQ4" s="33">
        <f>SUMIFS('Bilateral assistance, MAIN DATA'!$M:$M,'Bilateral assistance, MAIN DATA'!$B:$B,'Share, heavy weapons to Ukraine'!$A4,'Bilateral assistance, MAIN DATA'!$AO:$AO,'Share, heavy weapons to Ukraine'!CQ$1,'Bilateral assistance, MAIN DATA'!$AQ:$AQ,0)</f>
        <v>0</v>
      </c>
      <c r="CR4" s="645">
        <f>SUMIFS('Bilateral assistance, MAIN DATA'!$M:$M,'Bilateral assistance, MAIN DATA'!$B:$B,'Share, heavy weapons to Ukraine'!$A4,'Bilateral assistance, MAIN DATA'!$AO:$AO,"122mm MLRS",'Bilateral assistance, MAIN DATA'!$AQ:$AQ,0)+SUMIFS('Bilateral assistance, MAIN DATA'!$M:$M,'Bilateral assistance, MAIN DATA'!$B:$B,'Share, heavy weapons to Ukraine'!$A4,'Bilateral assistance, MAIN DATA'!$AO:$AO,"127mm MLRS",'Bilateral assistance, MAIN DATA'!$AQ:$AQ,0)+SUMIFS('Bilateral assistance, MAIN DATA'!$M:$M,'Bilateral assistance, MAIN DATA'!$B:$B,'Share, heavy weapons to Ukraine'!$A4,'Bilateral assistance, MAIN DATA'!$AO:$AO,"227mm MLRS",'Bilateral assistance, MAIN DATA'!$AQ:$AQ,0)</f>
        <v>0</v>
      </c>
      <c r="CT4" s="33">
        <f>IF(VLOOKUP($A4,$A:CS,COLUMN(F3),FALSE)&lt;&gt;0,VLOOKUP($A4,$A:CS,COLUMN(CH3),FALSE)/VLOOKUP($A4,$A:AU,COLUMN(F3),FALSE),IF(VLOOKUP($A4,$A:CS,COLUMN(CH3),FALSE)&lt;&gt;0,"Strange",0))</f>
        <v>0</v>
      </c>
      <c r="CU4" s="33">
        <f>IF(VLOOKUP($A4,$A:CS,COLUMN(L3),FALSE)&lt;&gt;0,VLOOKUP($A4,$A:CS,COLUMN(CI3),FALSE)/VLOOKUP($A4,$A:AU,COLUMN(L3),FALSE),IF(VLOOKUP($A4,$A:CS,COLUMN(CI3),FALSE)&lt;&gt;0,"Strange",0))</f>
        <v>0.2</v>
      </c>
      <c r="CV4" s="33">
        <f>IF(VLOOKUP($A4,$A:CT,COLUMN(M3),FALSE)&lt;&gt;0,VLOOKUP($A4,$A:CT,COLUMN(CJ3),FALSE)/VLOOKUP($A4,$A:AV,COLUMN(M3),FALSE),IF(VLOOKUP($A4,$A:CT,COLUMN(CJ3),FALSE)&lt;&gt;0,"Strange",0))</f>
        <v>0.15384615384615385</v>
      </c>
      <c r="CX4" s="33">
        <f>IF(VLOOKUP($A4,$A:CS,COLUMN(F3),FALSE)&lt;&gt;0,VLOOKUP($A4,$A:CS,COLUMN(CL3),FALSE)/VLOOKUP($A4,$A:AU,COLUMN(F3),FALSE),IF(VLOOKUP($A4,$A:CS,COLUMN(CL3),FALSE)&lt;&gt;0,"Strange",0))</f>
        <v>0</v>
      </c>
      <c r="CY4" s="33">
        <f>IF(VLOOKUP($A4,$A:CS,COLUMN(L3),FALSE)&lt;&gt;0,VLOOKUP($A4,$A:CS,COLUMN(CM3),FALSE)/VLOOKUP($A4,$A:AU,COLUMN(L3),FALSE),IF(VLOOKUP($A4,$A:CS,COLUMN(CM3),FALSE)&lt;&gt;0,"Strange",0))</f>
        <v>0</v>
      </c>
      <c r="CZ4" s="33">
        <f>IF(VLOOKUP($A4,$A:CT,COLUMN(M3),FALSE)&lt;&gt;0,VLOOKUP($A4,$A:CT,COLUMN(CN3),FALSE)/VLOOKUP($A4,$A:AV,COLUMN(M3),FALSE),IF(VLOOKUP($A4,$A:CT,COLUMN(CN3),FALSE)&lt;&gt;0,"Strange",0))</f>
        <v>0</v>
      </c>
      <c r="DB4" s="33">
        <f>IF(VLOOKUP($A4,$A:CS,COLUMN(F3),FALSE)&lt;&gt;0,VLOOKUP($A4,$A:CS,COLUMN(CP3),FALSE)/VLOOKUP($A4,$A:AU,COLUMN(F3),FALSE),IF(VLOOKUP($A4,$A:CS,COLUMN(CP3),FALSE)&lt;&gt;0,"Strange",0))</f>
        <v>0</v>
      </c>
      <c r="DC4" s="33">
        <f>IF(VLOOKUP($A4,$A:CS,COLUMN(L3),FALSE)&lt;&gt;0,VLOOKUP($A4,$A:CS,COLUMN(CQ3),FALSE)/VLOOKUP($A4,$A:AU,COLUMN(L3),FALSE),IF(VLOOKUP($A4,$A:CS,COLUMN(CQ3),FALSE)&lt;&gt;0,"Strange",0))</f>
        <v>0</v>
      </c>
      <c r="DD4" s="33">
        <f>IF(VLOOKUP($A4,$A:CT,COLUMN(M3),FALSE)&lt;&gt;0,VLOOKUP($A4,$A:CT,COLUMN(CR3),FALSE)/VLOOKUP($A4,$A:AV,COLUMN(M3),FALSE),IF(VLOOKUP($A4,$A:CT,COLUMN(CR3),FALSE)&lt;&gt;0,"Strange",0))</f>
        <v>0</v>
      </c>
      <c r="DF4" s="33">
        <f>SUMIFS('Bilateral assistance, MAIN DATA'!$M:$M,'Bilateral assistance, MAIN DATA'!$B:$B,'Share, heavy weapons to Ukraine'!$A4,'Bilateral assistance, MAIN DATA'!$AO:$AO,'Share, heavy weapons to Ukraine'!DF$1, 'Bilateral assistance, MAIN DATA'!$AA:$AA,1)</f>
        <v>0</v>
      </c>
      <c r="DG4" s="33">
        <f>SUMIFS('Bilateral assistance, MAIN DATA'!$M:$M,'Bilateral assistance, MAIN DATA'!$B:$B,'Share, heavy weapons to Ukraine'!$A4,'Bilateral assistance, MAIN DATA'!$AO:$AO,'Share, heavy weapons to Ukraine'!DG$1, 'Bilateral assistance, MAIN DATA'!$AA:$AA,1)</f>
        <v>0</v>
      </c>
      <c r="DH4" s="33">
        <f>SUMIFS('Bilateral assistance, MAIN DATA'!$M:$M,'Bilateral assistance, MAIN DATA'!$B:$B,'Share, heavy weapons to Ukraine'!$A4,'Bilateral assistance, MAIN DATA'!$AO:$AO,'Share, heavy weapons to Ukraine'!DH$1, 'Bilateral assistance, MAIN DATA'!$AA:$AA,1)</f>
        <v>2</v>
      </c>
      <c r="DI4" s="33">
        <f>SUMIFS('Bilateral assistance, MAIN DATA'!$M:$M,'Bilateral assistance, MAIN DATA'!$B:$B,'Share, heavy weapons to Ukraine'!$A4,'Bilateral assistance, MAIN DATA'!$AO:$AO,'Share, heavy weapons to Ukraine'!DI$1, 'Bilateral assistance, MAIN DATA'!$AA:$AA,1)</f>
        <v>0</v>
      </c>
      <c r="DK4" s="33">
        <f>SUMIFS('Bilateral assistance, MAIN DATA'!$N:$N,'Bilateral assistance, MAIN DATA'!$B:$B,'Share, heavy weapons to Ukraine'!$A4,'Bilateral assistance, MAIN DATA'!$AO:$AO,'Share, heavy weapons to Ukraine'!DK$1, 'Bilateral assistance, MAIN DATA'!$AA:$AA,1)</f>
        <v>0</v>
      </c>
      <c r="DL4" s="33">
        <f>SUMIFS('Bilateral assistance, MAIN DATA'!$N:$N,'Bilateral assistance, MAIN DATA'!$B:$B,'Share, heavy weapons to Ukraine'!$A4,'Bilateral assistance, MAIN DATA'!$AO:$AO,'Share, heavy weapons to Ukraine'!DL$1, 'Bilateral assistance, MAIN DATA'!$AA:$AA,1)</f>
        <v>0</v>
      </c>
      <c r="DM4" s="33">
        <f>SUMIFS('Bilateral assistance, MAIN DATA'!$N:$N,'Bilateral assistance, MAIN DATA'!$B:$B,'Share, heavy weapons to Ukraine'!$A4,'Bilateral assistance, MAIN DATA'!$AO:$AO,'Share, heavy weapons to Ukraine'!DM$1, 'Bilateral assistance, MAIN DATA'!$AA:$AA,1)</f>
        <v>0</v>
      </c>
      <c r="DN4" s="33">
        <f>SUMIFS('Bilateral assistance, MAIN DATA'!$N:$N,'Bilateral assistance, MAIN DATA'!$B:$B,'Share, heavy weapons to Ukraine'!$A4,'Bilateral assistance, MAIN DATA'!$AO:$AO,'Share, heavy weapons to Ukraine'!DN$1, 'Bilateral assistance, MAIN DATA'!$AA:$AA,1)</f>
        <v>0</v>
      </c>
    </row>
    <row r="5" spans="1:118">
      <c r="A5" s="801" t="s">
        <v>1136</v>
      </c>
      <c r="B5" s="801">
        <v>0</v>
      </c>
      <c r="C5" s="33">
        <v>1</v>
      </c>
      <c r="E5" s="802">
        <v>56.1</v>
      </c>
      <c r="F5" s="801">
        <f>VLOOKUP(A5,'Heavy weapon stocks'!A:OH,COLUMN('Heavy weapon stocks'!$G$1),0)</f>
        <v>339</v>
      </c>
      <c r="G5" s="801">
        <f>VLOOKUP(A5,'Heavy weapon stocks'!A:OH,COLUMN('Heavy weapon stocks'!$AW$1),0)</f>
        <v>728</v>
      </c>
      <c r="H5" s="801">
        <f>VLOOKUP(A5,'Heavy weapon stocks'!A:OH,COLUMN('Heavy weapon stocks'!$DQ$1),0)</f>
        <v>0</v>
      </c>
      <c r="I5" s="801">
        <f>VLOOKUP(A5,'Heavy weapon stocks'!A:OH,COLUMN('Heavy weapon stocks'!$EE$1),0)</f>
        <v>683</v>
      </c>
      <c r="J5" s="801">
        <f>VLOOKUP(A5,'Heavy weapon stocks'!A:OH,COLUMN('Heavy weapon stocks'!$FG$1),0)</f>
        <v>674</v>
      </c>
      <c r="K5" s="801">
        <f>SUM(G5:J5)</f>
        <v>2085</v>
      </c>
      <c r="L5" s="801">
        <f>VLOOKUP(A5,'Heavy weapon stocks'!A:OH,COLUMN('Heavy weapon stocks'!$HC$1),0)+VLOOKUP(A5,'Heavy weapon stocks'!A:OH,COLUMN('Heavy weapon stocks'!$II$1),0)</f>
        <v>126</v>
      </c>
      <c r="M5" s="801">
        <f>VLOOKUP(A5,'Heavy weapon stocks'!A:OH,COLUMN('Heavy weapon stocks'!$IN$1),0)</f>
        <v>41</v>
      </c>
      <c r="N5" s="801">
        <f>VLOOKUP(A5,'Heavy weapon stocks'!A:OH,COLUMN('Heavy weapon stocks'!$JH$1),0)+VLOOKUP(A5,'Heavy weapon stocks'!A:OH,COLUMN('Heavy weapon stocks'!$KE$1),0)</f>
        <v>138</v>
      </c>
      <c r="O5" s="801">
        <f>VLOOKUP(A5,'Heavy weapon stocks'!A:OH,COLUMN('Heavy weapon stocks'!$LU$1),0)+7</f>
        <v>7</v>
      </c>
      <c r="P5" s="801">
        <v>90</v>
      </c>
      <c r="Q5" s="801">
        <f>VLOOKUP(A5,'Heavy weapon stocks'!A:OH,COLUMN('Heavy weapon stocks'!$LV$1),0)</f>
        <v>30</v>
      </c>
      <c r="R5" s="801">
        <f>AA5</f>
        <v>7</v>
      </c>
      <c r="S5" s="801">
        <f>VLOOKUP(A5,'Heavy weapon stocks'!A:OH,COLUMN('Heavy weapon stocks'!$MM$1),0)</f>
        <v>0</v>
      </c>
      <c r="T5" s="801">
        <f>VLOOKUP(A5,'Heavy weapon stocks'!A:OH,COLUMN('Heavy weapon stocks'!$NR$1),0)</f>
        <v>20</v>
      </c>
      <c r="V5" s="801">
        <f>VLOOKUP(A5,'Heavy weapon stocks'!A:OH,COLUMN('Heavy weapon stocks'!$H$1),0)</f>
        <v>280</v>
      </c>
      <c r="W5" s="801">
        <f>VLOOKUP(A5,'Heavy weapon stocks'!A:OH,COLUMN('Heavy weapon stocks'!$DQ$1),0)</f>
        <v>0</v>
      </c>
      <c r="X5" s="801">
        <f>VLOOKUP(A5,'Heavy weapon stocks'!A:OH,COLUMN('Heavy weapon stocks'!$FG$1),0)</f>
        <v>674</v>
      </c>
      <c r="Y5" s="801">
        <f>VLOOKUP(A5,'Heavy weapon stocks'!A:OH,COLUMN('Heavy weapon stocks'!$HC$1),0)+VLOOKUP(A5,'Heavy weapon stocks'!A:OH,COLUMN('Heavy weapon stocks'!$II$1),0)</f>
        <v>126</v>
      </c>
      <c r="Z5" s="801">
        <f>VLOOKUP(A5,'Heavy weapon stocks'!A:OH,COLUMN('Heavy weapon stocks'!$IO$1),0)+VLOOKUP(A5,'Heavy weapon stocks'!A:OH,COLUMN('Heavy weapon stocks'!$IP$1),0)+VLOOKUP(A5,'Heavy weapon stocks'!A:OH,COLUMN('Heavy weapon stocks'!$IU$1),0)</f>
        <v>41</v>
      </c>
      <c r="AA5" s="801">
        <v>7</v>
      </c>
      <c r="AB5" s="801">
        <f>VLOOKUP(A5,'Heavy weapon stocks'!A:OH,COLUMN('Heavy weapon stocks'!$MS$1),0)+VLOOKUP(A5,'Heavy weapon stocks'!A:OH,COLUMN('Heavy weapon stocks'!$MT$1),0)+VLOOKUP(A5,'Heavy weapon stocks'!A:OH,COLUMN('Heavy weapon stocks'!$MU$1),0)+VLOOKUP(A5,'Heavy weapon stocks'!A:OH,COLUMN('Heavy weapon stocks'!$MV$1),0)</f>
        <v>0</v>
      </c>
      <c r="AD5" s="33">
        <f>SUMIFS('Bilateral assistance, MAIN DATA'!$M:$M,'Bilateral assistance, MAIN DATA'!$B:$B,'Share, heavy weapons to Ukraine'!$A5,'Bilateral assistance, MAIN DATA'!$AO:$AO,'Share, heavy weapons to Ukraine'!AD$1)</f>
        <v>0</v>
      </c>
      <c r="AE5" s="33">
        <f>SUMIFS('Bilateral assistance, MAIN DATA'!$M:$M,'Bilateral assistance, MAIN DATA'!$B:$B,'Share, heavy weapons to Ukraine'!$A5,'Bilateral assistance, MAIN DATA'!$AO:$AO,'Share, heavy weapons to Ukraine'!AE$1)</f>
        <v>0</v>
      </c>
      <c r="AF5" s="33">
        <f>SUMIFS('Bilateral assistance, MAIN DATA'!$M:$M,'Bilateral assistance, MAIN DATA'!$B:$B,'Share, heavy weapons to Ukraine'!$A5,'Bilateral assistance, MAIN DATA'!$AO:$AO,'Share, heavy weapons to Ukraine'!AF$1)</f>
        <v>0</v>
      </c>
      <c r="AG5" s="33">
        <f>SUMIFS('Bilateral assistance, MAIN DATA'!$M:$M,'Bilateral assistance, MAIN DATA'!$B:$B,'Share, heavy weapons to Ukraine'!$A5,'Bilateral assistance, MAIN DATA'!$AO:$AO,'Share, heavy weapons to Ukraine'!AG$1)</f>
        <v>133</v>
      </c>
      <c r="AH5" s="33">
        <f>SUMIFS('Bilateral assistance, MAIN DATA'!$M:$M,'Bilateral assistance, MAIN DATA'!$B:$B,'Share, heavy weapons to Ukraine'!$A5,'Bilateral assistance, MAIN DATA'!$AO:$AO,'Share, heavy weapons to Ukraine'!AH$1)</f>
        <v>0</v>
      </c>
      <c r="AI5" s="33">
        <f t="shared" si="1"/>
        <v>133</v>
      </c>
      <c r="AJ5" s="33">
        <f>SUMIFS('Bilateral assistance, MAIN DATA'!$M:$M,'Bilateral assistance, MAIN DATA'!$B:$B,'Share, heavy weapons to Ukraine'!$A5,'Bilateral assistance, MAIN DATA'!$AO:$AO,'Share, heavy weapons to Ukraine'!AJ$1)</f>
        <v>19</v>
      </c>
      <c r="AK5" s="645">
        <f>SUMIFS('Bilateral assistance, MAIN DATA'!$M:$M,'Bilateral assistance, MAIN DATA'!$B:$B,'Share, heavy weapons to Ukraine'!$A5,'Bilateral assistance, MAIN DATA'!$AO:$AO,"122mm MLRS")+SUMIFS('Bilateral assistance, MAIN DATA'!$M:$M,'Bilateral assistance, MAIN DATA'!$B:$B,'Share, heavy weapons to Ukraine'!$A5,'Bilateral assistance, MAIN DATA'!$AO:$AO,"127mm MLRS")+SUMIFS('Bilateral assistance, MAIN DATA'!$M:$M,'Bilateral assistance, MAIN DATA'!$B:$B,'Share, heavy weapons to Ukraine'!$A5,'Bilateral assistance, MAIN DATA'!$AO:$AO,"227mm MLRS")</f>
        <v>5</v>
      </c>
      <c r="AL5" s="33">
        <f>SUMIFS('Bilateral assistance, MAIN DATA'!$M:$M,'Bilateral assistance, MAIN DATA'!$B:$B,'Share, heavy weapons to Ukraine'!$A5,'Bilateral assistance, MAIN DATA'!$AO:$AO,'Share, heavy weapons to Ukraine'!AL$1)</f>
        <v>0</v>
      </c>
      <c r="AM5" s="33">
        <f>SUMIFS('Bilateral assistance, MAIN DATA'!$M:$M,'Bilateral assistance, MAIN DATA'!$B:$B,'Share, heavy weapons to Ukraine'!$A5,'Bilateral assistance, MAIN DATA'!$AO:$AO,'Share, heavy weapons to Ukraine'!AM$1)</f>
        <v>0</v>
      </c>
      <c r="AN5" s="33">
        <f>SUMIFS('Bilateral assistance, MAIN DATA'!$M:$M,'Bilateral assistance, MAIN DATA'!$B:$B,'Share, heavy weapons to Ukraine'!$A5,'Bilateral assistance, MAIN DATA'!$AO:$AO,'Share, heavy weapons to Ukraine'!AN$1)</f>
        <v>4</v>
      </c>
      <c r="AO5" s="33">
        <f>SUMIFS('Bilateral assistance, MAIN DATA'!$M:$M,'Bilateral assistance, MAIN DATA'!$B:$B,'Share, heavy weapons to Ukraine'!$A5,'Bilateral assistance, MAIN DATA'!$AO:$AO,'Share, heavy weapons to Ukraine'!AO$1)</f>
        <v>0</v>
      </c>
      <c r="AP5" s="33">
        <f>SUMIFS('Bilateral assistance, MAIN DATA'!$M:$M,'Bilateral assistance, MAIN DATA'!$B:$B,'Share, heavy weapons to Ukraine'!$A5,'Bilateral assistance, MAIN DATA'!$AO:$AO,'Share, heavy weapons to Ukraine'!AP$1)</f>
        <v>0</v>
      </c>
      <c r="AR5" s="33">
        <f>SUMIFS('Bilateral assistance, MAIN DATA'!$N:$N,'Bilateral assistance, MAIN DATA'!$B:$B,'Share, heavy weapons to Ukraine'!$A5,'Bilateral assistance, MAIN DATA'!$AO:$AO,'Share, heavy weapons to Ukraine'!AR$1)</f>
        <v>0</v>
      </c>
      <c r="AS5" s="33">
        <f>SUMIFS('Bilateral assistance, MAIN DATA'!$N:$N,'Bilateral assistance, MAIN DATA'!$B:$B,'Share, heavy weapons to Ukraine'!$A5,'Bilateral assistance, MAIN DATA'!$AO:$AO,'Share, heavy weapons to Ukraine'!AS$1)</f>
        <v>0</v>
      </c>
      <c r="AT5" s="33">
        <f>SUMIFS('Bilateral assistance, MAIN DATA'!$N:$N,'Bilateral assistance, MAIN DATA'!$B:$B,'Share, heavy weapons to Ukraine'!$A5,'Bilateral assistance, MAIN DATA'!$AO:$AO,'Share, heavy weapons to Ukraine'!AT$1)</f>
        <v>0</v>
      </c>
      <c r="AU5" s="33">
        <f>SUMIFS('Bilateral assistance, MAIN DATA'!$N:$N,'Bilateral assistance, MAIN DATA'!$B:$B,'Share, heavy weapons to Ukraine'!$A5,'Bilateral assistance, MAIN DATA'!$AO:$AO,'Share, heavy weapons to Ukraine'!AU$1)</f>
        <v>80</v>
      </c>
      <c r="AV5" s="33">
        <f>SUMIFS('Bilateral assistance, MAIN DATA'!$N:$N,'Bilateral assistance, MAIN DATA'!$B:$B,'Share, heavy weapons to Ukraine'!$A5,'Bilateral assistance, MAIN DATA'!$AO:$AO,'Share, heavy weapons to Ukraine'!AV$1)</f>
        <v>0</v>
      </c>
      <c r="AW5" s="33">
        <f t="shared" si="2"/>
        <v>80</v>
      </c>
      <c r="AX5" s="33">
        <f>SUMIFS('Bilateral assistance, MAIN DATA'!$N:$N,'Bilateral assistance, MAIN DATA'!$B:$B,'Share, heavy weapons to Ukraine'!$A5,'Bilateral assistance, MAIN DATA'!$AO:$AO,'Share, heavy weapons to Ukraine'!AX$1)</f>
        <v>14</v>
      </c>
      <c r="AY5" s="645">
        <f>SUMIFS('Bilateral assistance, MAIN DATA'!$N:$N,'Bilateral assistance, MAIN DATA'!$B:$B,'Share, heavy weapons to Ukraine'!$A5,'Bilateral assistance, MAIN DATA'!$AO:$AO,"122mm MLRS")+SUMIFS('Bilateral assistance, MAIN DATA'!$N:$N,'Bilateral assistance, MAIN DATA'!$B:$B,'Share, heavy weapons to Ukraine'!$A5,'Bilateral assistance, MAIN DATA'!$AO:$AO,"127mm MLRS")+SUMIFS('Bilateral assistance, MAIN DATA'!$N:$N,'Bilateral assistance, MAIN DATA'!$B:$B,'Share, heavy weapons to Ukraine'!$A5,'Bilateral assistance, MAIN DATA'!$AO:$AO,"227mm MLRS")</f>
        <v>5</v>
      </c>
      <c r="AZ5" s="33">
        <f>SUMIFS('Bilateral assistance, MAIN DATA'!$N:$N,'Bilateral assistance, MAIN DATA'!$B:$B,'Share, heavy weapons to Ukraine'!$A5,'Bilateral assistance, MAIN DATA'!$AO:$AO,'Share, heavy weapons to Ukraine'!AZ$1)</f>
        <v>0</v>
      </c>
      <c r="BA5" s="33">
        <f>SUMIFS('Bilateral assistance, MAIN DATA'!$N:$N,'Bilateral assistance, MAIN DATA'!$B:$B,'Share, heavy weapons to Ukraine'!$A5,'Bilateral assistance, MAIN DATA'!$AO:$AO,'Share, heavy weapons to Ukraine'!BA$1)</f>
        <v>0</v>
      </c>
      <c r="BB5" s="33">
        <f>SUMIFS('Bilateral assistance, MAIN DATA'!$N:$N,'Bilateral assistance, MAIN DATA'!$B:$B,'Share, heavy weapons to Ukraine'!$A5,'Bilateral assistance, MAIN DATA'!$AO:$AO,'Share, heavy weapons to Ukraine'!BB$1)</f>
        <v>1</v>
      </c>
      <c r="BC5" s="33">
        <f>SUMIFS('Bilateral assistance, MAIN DATA'!$N:$N,'Bilateral assistance, MAIN DATA'!$B:$B,'Share, heavy weapons to Ukraine'!$A5,'Bilateral assistance, MAIN DATA'!$AO:$AO,'Share, heavy weapons to Ukraine'!BC$1)</f>
        <v>0</v>
      </c>
      <c r="BD5" s="33">
        <f>SUMIFS('Bilateral assistance, MAIN DATA'!$N:$N,'Bilateral assistance, MAIN DATA'!$B:$B,'Share, heavy weapons to Ukraine'!$A5,'Bilateral assistance, MAIN DATA'!$AO:$AO,'Share, heavy weapons to Ukraine'!BD$1)</f>
        <v>0</v>
      </c>
      <c r="BF5" s="33">
        <f>IF(VLOOKUP($A5,$A:F,COLUMN(F4),FALSE)&lt;&gt;0,VLOOKUP($A5,$A:AD,COLUMN(AD4),FALSE)/VLOOKUP($A5,$A:F,COLUMN(F4),FALSE),IF(VLOOKUP($A5,$A:AD,COLUMN(AD4),FALSE)&lt;&gt;0,"Strange",0))</f>
        <v>0</v>
      </c>
      <c r="BG5" s="33">
        <f>IF(VLOOKUP($A5,$A:G,COLUMN(G4),FALSE)&lt;&gt;0,VLOOKUP($A5,$A:AE,COLUMN(AE4),FALSE)/VLOOKUP($A5,$A:G,COLUMN(G4),FALSE),IF(VLOOKUP($A5,$A:AE,COLUMN(AE4),FALSE)&lt;&gt;0,"Strange",0))</f>
        <v>0</v>
      </c>
      <c r="BH5" s="33">
        <f>IF(VLOOKUP($A5,$A:H,COLUMN(H4),FALSE)&lt;&gt;0,VLOOKUP($A5,$A:AF,COLUMN(AF4),FALSE)/VLOOKUP($A5,$A:H,COLUMN(H4),FALSE),IF(VLOOKUP($A5,$A:AF,COLUMN(AF4),FALSE)&lt;&gt;0,"Strange",0))</f>
        <v>0</v>
      </c>
      <c r="BI5" s="33">
        <f>IF(VLOOKUP($A5,$A:I,COLUMN(I4),FALSE)&lt;&gt;0,VLOOKUP($A5,$A:AG,COLUMN(AG4),FALSE)/VLOOKUP($A5,$A:I,COLUMN(I4),FALSE),IF(VLOOKUP($A5,$A:AG,COLUMN(AG4),FALSE)&lt;&gt;0,"Strange",0))</f>
        <v>0.19472913616398244</v>
      </c>
      <c r="BJ5" s="33">
        <f>IF(VLOOKUP($A5,$A:J,COLUMN(J4),FALSE)&lt;&gt;0,VLOOKUP($A5,$A:AH,COLUMN(AH4),FALSE)/VLOOKUP($A5,$A:J,COLUMN(J4),FALSE),IF(VLOOKUP($A5,$A:AH,COLUMN(AH4),FALSE)&lt;&gt;0,"Strange",0))</f>
        <v>0</v>
      </c>
      <c r="BK5" s="33">
        <f>IF(VLOOKUP($A5,$A:K,COLUMN(K4),FALSE)&lt;&gt;0,VLOOKUP($A5,$A:AI,COLUMN(AI4),FALSE)/VLOOKUP($A5,$A:K,COLUMN(K4),FALSE),IF(VLOOKUP($A5,$A:AI,COLUMN(AI4),FALSE)&lt;&gt;0,"Strange",0))</f>
        <v>6.3788968824940048E-2</v>
      </c>
      <c r="BL5" s="33">
        <f>IF(VLOOKUP($A5,$A:L,COLUMN(L4),FALSE)&lt;&gt;0,VLOOKUP($A5,$A:AJ,COLUMN(AJ4),FALSE)/VLOOKUP($A5,$A:L,COLUMN(L4),FALSE),IF(VLOOKUP($A5,$A:AJ,COLUMN(AJ4),FALSE)&lt;&gt;0,"Strange",0))</f>
        <v>0.15079365079365079</v>
      </c>
      <c r="BM5" s="33">
        <f>IF(VLOOKUP($A5,$A:M,COLUMN(M4),FALSE)&lt;&gt;0,VLOOKUP($A5,$A:AK,COLUMN(AK4),FALSE)/VLOOKUP($A5,$A:M,COLUMN(M4),FALSE),IF(VLOOKUP($A5,$A:AK,COLUMN(AK4),FALSE)&lt;&gt;0,"Strange",0))</f>
        <v>0.12195121951219512</v>
      </c>
      <c r="BN5" s="33">
        <f>IF(VLOOKUP($A5,$A:N,COLUMN(N4),FALSE)&lt;&gt;0,VLOOKUP($A5,$A:AL,COLUMN(AL4),FALSE)/VLOOKUP($A5,$A:N,COLUMN(N4),FALSE),IF(VLOOKUP($A5,$A:AL,COLUMN(AL4),FALSE)&lt;&gt;0,"Strange",0))</f>
        <v>0</v>
      </c>
      <c r="BO5" s="33">
        <f>IF(VLOOKUP($A5,$A:Q,COLUMN(Q4),FALSE)&lt;&gt;0,VLOOKUP($A5,$A:AM,COLUMN(AM4),FALSE)/VLOOKUP($A5,$A:Q,COLUMN(Q4),FALSE),IF(VLOOKUP($A5,$A:AM,COLUMN(AM4),FALSE)&lt;&gt;0,"Strange",0))</f>
        <v>0</v>
      </c>
      <c r="BP5" s="33">
        <f>IF(VLOOKUP($A5,$A:R,COLUMN(R4),FALSE)&lt;&gt;0,VLOOKUP($A5,$A:AN,COLUMN(AN4),FALSE)/VLOOKUP($A5,$A:R,COLUMN(R4),FALSE),IF(VLOOKUP($A5,$A:AN,COLUMN(AN4),FALSE)&lt;&gt;0,"Strange",0))</f>
        <v>0.5714285714285714</v>
      </c>
      <c r="BQ5" s="33">
        <f>IF(VLOOKUP($A5,$A:S,COLUMN(S4),FALSE)&lt;&gt;0,VLOOKUP($A5,$A:AO,COLUMN(AO4),FALSE)/VLOOKUP($A5,$A:S,COLUMN(S4),FALSE),IF(VLOOKUP($A5,$A:AO,COLUMN(AO4),FALSE)&lt;&gt;0,"Strange",0))</f>
        <v>0</v>
      </c>
      <c r="BR5" s="33">
        <f>IF(VLOOKUP($A5,$A:T,COLUMN(T4),FALSE)&lt;&gt;0,VLOOKUP($A5,$A:AP,COLUMN(AP4),FALSE)/VLOOKUP($A5,$A:T,COLUMN(T4),FALSE),IF(VLOOKUP($A5,$A:AP,COLUMN(AP4),FALSE)&lt;&gt;0,"Strange",0))</f>
        <v>0</v>
      </c>
      <c r="BT5" s="33">
        <f>IF(VLOOKUP($A5,$A:AE,COLUMN(F4),FALSE)&lt;&gt;0,VLOOKUP($A5,$A:AS,COLUMN(AR4),FALSE)/VLOOKUP($A5,$A:AE,COLUMN(F4),FALSE),IF(VLOOKUP($A5,$A:AS,COLUMN(AR4),FALSE)&lt;&gt;0,"Strange",0))</f>
        <v>0</v>
      </c>
      <c r="BU5" s="33">
        <f>IF(VLOOKUP($A5,$A:AF,COLUMN(G4),FALSE)&lt;&gt;0,VLOOKUP($A5,$A:AT,COLUMN(AS4),FALSE)/VLOOKUP($A5,$A:AF,COLUMN(G4),FALSE),IF(VLOOKUP($A5,$A:AT,COLUMN(AS4),FALSE)&lt;&gt;0,"Strange",0))</f>
        <v>0</v>
      </c>
      <c r="BV5" s="33">
        <f>IF(VLOOKUP($A5,$A:AG,COLUMN(H4),FALSE)&lt;&gt;0,VLOOKUP($A5,$A:AU,COLUMN(AT4),FALSE)/VLOOKUP($A5,$A:AG,COLUMN(H4),FALSE),IF(VLOOKUP($A5,$A:AU,COLUMN(AT4),FALSE)&lt;&gt;0,"Strange",0))</f>
        <v>0</v>
      </c>
      <c r="BW5" s="33">
        <f>IF(VLOOKUP($A5,$A:AH,COLUMN(I4),FALSE)&lt;&gt;0,VLOOKUP($A5,$A:AV,COLUMN(AU4),FALSE)/VLOOKUP($A5,$A:AH,COLUMN(I4),FALSE),IF(VLOOKUP($A5,$A:AV,COLUMN(AU4),FALSE)&lt;&gt;0,"Strange",0))</f>
        <v>0.1171303074670571</v>
      </c>
      <c r="BX5" s="33">
        <f>IF(VLOOKUP($A5,$A:AJ,COLUMN(J4),FALSE)&lt;&gt;0,VLOOKUP($A5,$A:AX,COLUMN(AV4),FALSE)/VLOOKUP($A5,$A:AJ,COLUMN(J4),FALSE),IF(VLOOKUP($A5,$A:AX,COLUMN(AV4),FALSE)&lt;&gt;0,"Strange",0))</f>
        <v>0</v>
      </c>
      <c r="BY5" s="33">
        <f>IF(VLOOKUP($A5,$A:AK,COLUMN(K4),FALSE)&lt;&gt;0,VLOOKUP($A5,$A:AY,COLUMN(AW4),FALSE)/VLOOKUP($A5,$A:AK,COLUMN(K4),FALSE),IF(VLOOKUP($A5,$A:AY,COLUMN(AW4),FALSE)&lt;&gt;0,"Strange",0))</f>
        <v>3.8369304556354913E-2</v>
      </c>
      <c r="BZ5" s="33">
        <f>IF(VLOOKUP($A5,$A:AK,COLUMN(L4),FALSE)&lt;&gt;0,VLOOKUP($A5,$A:AY,COLUMN(AX4),FALSE)/VLOOKUP($A5,$A:AK,COLUMN(L4),FALSE),IF(VLOOKUP($A5,$A:AY,COLUMN(AX4),FALSE)&lt;&gt;0,"Strange",0))</f>
        <v>0.1111111111111111</v>
      </c>
      <c r="CA5" s="33">
        <f>IF(VLOOKUP($A5,$A:AL,COLUMN(M4),FALSE)&lt;&gt;0,VLOOKUP($A5,$A:AZ,COLUMN(AY4),FALSE)/VLOOKUP($A5,$A:AL,COLUMN(M4),FALSE),IF(VLOOKUP($A5,$A:AZ,COLUMN(AY4),FALSE)&lt;&gt;0,"Strange",0))</f>
        <v>0.12195121951219512</v>
      </c>
      <c r="CB5" s="33">
        <f>IF(VLOOKUP($A5,$A:AL,COLUMN(N4),FALSE)&lt;&gt;0,VLOOKUP($A5,$A:AZ,COLUMN(AZ4),FALSE)/VLOOKUP($A5,$A:AL,COLUMN(N4),FALSE),IF(VLOOKUP($A5,$A:AZ,COLUMN(AZ4),FALSE)&lt;&gt;0,"Strange",0))</f>
        <v>0</v>
      </c>
      <c r="CC5" s="33">
        <f>IF(VLOOKUP($A5,$A:AM,COLUMN(Q4),FALSE)&lt;&gt;0,VLOOKUP($A5,$A:BA,COLUMN(BA4),FALSE)/VLOOKUP($A5,$A:AM,COLUMN(Q4),FALSE),IF(VLOOKUP($A5,$A:BA,COLUMN(BA4),FALSE)&lt;&gt;0,"Strange",0))</f>
        <v>0</v>
      </c>
      <c r="CD5" s="33">
        <f>IF(VLOOKUP($A5,$A:AN,COLUMN(R4),FALSE)&lt;&gt;0,VLOOKUP($A5,$A:BB,COLUMN(BB4),FALSE)/VLOOKUP($A5,$A:AN,COLUMN(R4),FALSE),IF(VLOOKUP($A5,$A:BB,COLUMN(BB4),FALSE)&lt;&gt;0,"Strange",0))</f>
        <v>0.14285714285714285</v>
      </c>
      <c r="CE5" s="33">
        <f>IF(VLOOKUP($A5,$A:AO,COLUMN(S4),FALSE)&lt;&gt;0,VLOOKUP($A5,$A:BC,COLUMN(BC4),FALSE)/VLOOKUP($A5,$A:AO,COLUMN(S4),FALSE),IF(VLOOKUP($A5,$A:BC,COLUMN(BC4),FALSE)&lt;&gt;0,"Strange",0))</f>
        <v>0</v>
      </c>
      <c r="CF5" s="33">
        <f>IF(VLOOKUP($A5,$A:AP,COLUMN(T4),FALSE)&lt;&gt;0,VLOOKUP($A5,$A:BD,COLUMN(BD4),FALSE)/VLOOKUP($A5,$A:AP,COLUMN(T4),FALSE),IF(VLOOKUP($A5,$A:BD,COLUMN(BD4),FALSE)&lt;&gt;0,"Strange",0))</f>
        <v>0</v>
      </c>
      <c r="CH5" s="33">
        <f>SUMIFS('Bilateral assistance, MAIN DATA'!$M:$M,'Bilateral assistance, MAIN DATA'!$B:$B,'Share, heavy weapons to Ukraine'!$A5,'Bilateral assistance, MAIN DATA'!$AO:$AO,'Share, heavy weapons to Ukraine'!CH$1,'Bilateral assistance, MAIN DATA'!$AQ:$AQ,2)</f>
        <v>0</v>
      </c>
      <c r="CI5" s="33">
        <f>SUMIFS('Bilateral assistance, MAIN DATA'!$M:$M,'Bilateral assistance, MAIN DATA'!$B:$B,'Share, heavy weapons to Ukraine'!$A5,'Bilateral assistance, MAIN DATA'!$AO:$AO,'Share, heavy weapons to Ukraine'!CI$1,'Bilateral assistance, MAIN DATA'!$AQ:$AQ,2)</f>
        <v>19</v>
      </c>
      <c r="CJ5" s="645">
        <f>SUMIFS('Bilateral assistance, MAIN DATA'!$M:$M,'Bilateral assistance, MAIN DATA'!$B:$B,'Share, heavy weapons to Ukraine'!$A5,'Bilateral assistance, MAIN DATA'!$AO:$AO,"122mm MLRS",'Bilateral assistance, MAIN DATA'!$AQ:$AQ,2)+SUMIFS('Bilateral assistance, MAIN DATA'!$M:$M,'Bilateral assistance, MAIN DATA'!$B:$B,'Share, heavy weapons to Ukraine'!$A5,'Bilateral assistance, MAIN DATA'!$AO:$AO,"127mm MLRS",'Bilateral assistance, MAIN DATA'!$AQ:$AQ,2)+SUMIFS('Bilateral assistance, MAIN DATA'!$M:$M,'Bilateral assistance, MAIN DATA'!$B:$B,'Share, heavy weapons to Ukraine'!$A5,'Bilateral assistance, MAIN DATA'!$AO:$AO,"227mm MLRS",'Bilateral assistance, MAIN DATA'!$AQ:$AQ,2)</f>
        <v>5</v>
      </c>
      <c r="CL5" s="33">
        <f>SUMIFS('Bilateral assistance, MAIN DATA'!$M:$M,'Bilateral assistance, MAIN DATA'!$B:$B,'Share, heavy weapons to Ukraine'!$A5,'Bilateral assistance, MAIN DATA'!$AO:$AO,'Share, heavy weapons to Ukraine'!CH$1,'Bilateral assistance, MAIN DATA'!$AQ:$AQ,1)</f>
        <v>0</v>
      </c>
      <c r="CM5" s="33">
        <f>SUMIFS('Bilateral assistance, MAIN DATA'!$M:$M,'Bilateral assistance, MAIN DATA'!$B:$B,'Share, heavy weapons to Ukraine'!$A5,'Bilateral assistance, MAIN DATA'!$AO:$AO,'Share, heavy weapons to Ukraine'!CI$1,'Bilateral assistance, MAIN DATA'!$AQ:$AQ,1)</f>
        <v>0</v>
      </c>
      <c r="CN5" s="645">
        <f>SUMIFS('Bilateral assistance, MAIN DATA'!$M:$M,'Bilateral assistance, MAIN DATA'!$B:$B,'Share, heavy weapons to Ukraine'!$A5,'Bilateral assistance, MAIN DATA'!$AO:$AO,"122mm MLRS",'Bilateral assistance, MAIN DATA'!$AQ:$AQ,1)+SUMIFS('Bilateral assistance, MAIN DATA'!$M:$M,'Bilateral assistance, MAIN DATA'!$B:$B,'Share, heavy weapons to Ukraine'!$A5,'Bilateral assistance, MAIN DATA'!$AO:$AO,"127mm MLRS",'Bilateral assistance, MAIN DATA'!$AQ:$AQ,1)+SUMIFS('Bilateral assistance, MAIN DATA'!$M:$M,'Bilateral assistance, MAIN DATA'!$B:$B,'Share, heavy weapons to Ukraine'!$A5,'Bilateral assistance, MAIN DATA'!$AO:$AO,"227mm MLRS",'Bilateral assistance, MAIN DATA'!$AQ:$AQ,1)</f>
        <v>0</v>
      </c>
      <c r="CP5" s="33">
        <f>SUMIFS('Bilateral assistance, MAIN DATA'!$M:$M,'Bilateral assistance, MAIN DATA'!$B:$B,'Share, heavy weapons to Ukraine'!$A5,'Bilateral assistance, MAIN DATA'!$AO:$AO,'Share, heavy weapons to Ukraine'!CP$1,'Bilateral assistance, MAIN DATA'!$AQ:$AQ,0)</f>
        <v>0</v>
      </c>
      <c r="CQ5" s="33">
        <f>SUMIFS('Bilateral assistance, MAIN DATA'!$M:$M,'Bilateral assistance, MAIN DATA'!$B:$B,'Share, heavy weapons to Ukraine'!$A5,'Bilateral assistance, MAIN DATA'!$AO:$AO,'Share, heavy weapons to Ukraine'!CQ$1,'Bilateral assistance, MAIN DATA'!$AQ:$AQ,0)</f>
        <v>0</v>
      </c>
      <c r="CR5" s="645">
        <f>SUMIFS('Bilateral assistance, MAIN DATA'!$M:$M,'Bilateral assistance, MAIN DATA'!$B:$B,'Share, heavy weapons to Ukraine'!$A5,'Bilateral assistance, MAIN DATA'!$AO:$AO,"122mm MLRS",'Bilateral assistance, MAIN DATA'!$AQ:$AQ,0)+SUMIFS('Bilateral assistance, MAIN DATA'!$M:$M,'Bilateral assistance, MAIN DATA'!$B:$B,'Share, heavy weapons to Ukraine'!$A5,'Bilateral assistance, MAIN DATA'!$AO:$AO,"127mm MLRS",'Bilateral assistance, MAIN DATA'!$AQ:$AQ,0)+SUMIFS('Bilateral assistance, MAIN DATA'!$M:$M,'Bilateral assistance, MAIN DATA'!$B:$B,'Share, heavy weapons to Ukraine'!$A5,'Bilateral assistance, MAIN DATA'!$AO:$AO,"227mm MLRS",'Bilateral assistance, MAIN DATA'!$AQ:$AQ,0)</f>
        <v>0</v>
      </c>
      <c r="CT5" s="33">
        <f>IF(VLOOKUP($A5,$A:CS,COLUMN(F4),FALSE)&lt;&gt;0,VLOOKUP($A5,$A:CS,COLUMN(CH4),FALSE)/VLOOKUP($A5,$A:AU,COLUMN(F4),FALSE),IF(VLOOKUP($A5,$A:CS,COLUMN(CH4),FALSE)&lt;&gt;0,"Strange",0))</f>
        <v>0</v>
      </c>
      <c r="CU5" s="33">
        <f>IF(VLOOKUP($A5,$A:CS,COLUMN(L4),FALSE)&lt;&gt;0,VLOOKUP($A5,$A:CS,COLUMN(CI4),FALSE)/VLOOKUP($A5,$A:AU,COLUMN(L4),FALSE),IF(VLOOKUP($A5,$A:CS,COLUMN(CI4),FALSE)&lt;&gt;0,"Strange",0))</f>
        <v>0.15079365079365079</v>
      </c>
      <c r="CV5" s="33">
        <f>IF(VLOOKUP($A5,$A:CT,COLUMN(M4),FALSE)&lt;&gt;0,VLOOKUP($A5,$A:CT,COLUMN(CJ4),FALSE)/VLOOKUP($A5,$A:AV,COLUMN(M4),FALSE),IF(VLOOKUP($A5,$A:CT,COLUMN(CJ4),FALSE)&lt;&gt;0,"Strange",0))</f>
        <v>0.12195121951219512</v>
      </c>
      <c r="CX5" s="33">
        <f>IF(VLOOKUP($A5,$A:CS,COLUMN(F4),FALSE)&lt;&gt;0,VLOOKUP($A5,$A:CS,COLUMN(CL4),FALSE)/VLOOKUP($A5,$A:AU,COLUMN(F4),FALSE),IF(VLOOKUP($A5,$A:CS,COLUMN(CL4),FALSE)&lt;&gt;0,"Strange",0))</f>
        <v>0</v>
      </c>
      <c r="CY5" s="33">
        <f>IF(VLOOKUP($A5,$A:CS,COLUMN(L4),FALSE)&lt;&gt;0,VLOOKUP($A5,$A:CS,COLUMN(CM4),FALSE)/VLOOKUP($A5,$A:AU,COLUMN(L4),FALSE),IF(VLOOKUP($A5,$A:CS,COLUMN(CM4),FALSE)&lt;&gt;0,"Strange",0))</f>
        <v>0</v>
      </c>
      <c r="CZ5" s="33">
        <f>IF(VLOOKUP($A5,$A:CT,COLUMN(M4),FALSE)&lt;&gt;0,VLOOKUP($A5,$A:CT,COLUMN(CN4),FALSE)/VLOOKUP($A5,$A:AV,COLUMN(M4),FALSE),IF(VLOOKUP($A5,$A:CT,COLUMN(CN4),FALSE)&lt;&gt;0,"Strange",0))</f>
        <v>0</v>
      </c>
      <c r="DB5" s="33">
        <f>IF(VLOOKUP($A5,$A:CS,COLUMN(F4),FALSE)&lt;&gt;0,VLOOKUP($A5,$A:CS,COLUMN(CP4),FALSE)/VLOOKUP($A5,$A:AU,COLUMN(F4),FALSE),IF(VLOOKUP($A5,$A:CS,COLUMN(CP4),FALSE)&lt;&gt;0,"Strange",0))</f>
        <v>0</v>
      </c>
      <c r="DC5" s="33">
        <f>IF(VLOOKUP($A5,$A:CS,COLUMN(L4),FALSE)&lt;&gt;0,VLOOKUP($A5,$A:CS,COLUMN(CQ4),FALSE)/VLOOKUP($A5,$A:AU,COLUMN(L4),FALSE),IF(VLOOKUP($A5,$A:CS,COLUMN(CQ4),FALSE)&lt;&gt;0,"Strange",0))</f>
        <v>0</v>
      </c>
      <c r="DD5" s="33">
        <f>IF(VLOOKUP($A5,$A:CT,COLUMN(M4),FALSE)&lt;&gt;0,VLOOKUP($A5,$A:CT,COLUMN(CR4),FALSE)/VLOOKUP($A5,$A:AV,COLUMN(M4),FALSE),IF(VLOOKUP($A5,$A:CT,COLUMN(CR4),FALSE)&lt;&gt;0,"Strange",0))</f>
        <v>0</v>
      </c>
      <c r="DF5" s="33">
        <f>SUMIFS('Bilateral assistance, MAIN DATA'!$M:$M,'Bilateral assistance, MAIN DATA'!$B:$B,'Share, heavy weapons to Ukraine'!$A5,'Bilateral assistance, MAIN DATA'!$AO:$AO,'Share, heavy weapons to Ukraine'!DF$1, 'Bilateral assistance, MAIN DATA'!$AA:$AA,1)</f>
        <v>0</v>
      </c>
      <c r="DG5" s="33">
        <f>SUMIFS('Bilateral assistance, MAIN DATA'!$M:$M,'Bilateral assistance, MAIN DATA'!$B:$B,'Share, heavy weapons to Ukraine'!$A5,'Bilateral assistance, MAIN DATA'!$AO:$AO,'Share, heavy weapons to Ukraine'!DG$1, 'Bilateral assistance, MAIN DATA'!$AA:$AA,1)</f>
        <v>4</v>
      </c>
      <c r="DH5" s="33">
        <f>SUMIFS('Bilateral assistance, MAIN DATA'!$M:$M,'Bilateral assistance, MAIN DATA'!$B:$B,'Share, heavy weapons to Ukraine'!$A5,'Bilateral assistance, MAIN DATA'!$AO:$AO,'Share, heavy weapons to Ukraine'!DH$1, 'Bilateral assistance, MAIN DATA'!$AA:$AA,1)</f>
        <v>0</v>
      </c>
      <c r="DI5" s="33">
        <f>SUMIFS('Bilateral assistance, MAIN DATA'!$M:$M,'Bilateral assistance, MAIN DATA'!$B:$B,'Share, heavy weapons to Ukraine'!$A5,'Bilateral assistance, MAIN DATA'!$AO:$AO,'Share, heavy weapons to Ukraine'!DI$1, 'Bilateral assistance, MAIN DATA'!$AA:$AA,1)</f>
        <v>0</v>
      </c>
      <c r="DK5" s="33">
        <f>SUMIFS('Bilateral assistance, MAIN DATA'!$N:$N,'Bilateral assistance, MAIN DATA'!$B:$B,'Share, heavy weapons to Ukraine'!$A5,'Bilateral assistance, MAIN DATA'!$AO:$AO,'Share, heavy weapons to Ukraine'!DK$1, 'Bilateral assistance, MAIN DATA'!$AA:$AA,1)</f>
        <v>0</v>
      </c>
      <c r="DL5" s="33">
        <f>SUMIFS('Bilateral assistance, MAIN DATA'!$N:$N,'Bilateral assistance, MAIN DATA'!$B:$B,'Share, heavy weapons to Ukraine'!$A5,'Bilateral assistance, MAIN DATA'!$AO:$AO,'Share, heavy weapons to Ukraine'!DL$1, 'Bilateral assistance, MAIN DATA'!$AA:$AA,1)</f>
        <v>1</v>
      </c>
      <c r="DM5" s="33">
        <f>SUMIFS('Bilateral assistance, MAIN DATA'!$N:$N,'Bilateral assistance, MAIN DATA'!$B:$B,'Share, heavy weapons to Ukraine'!$A5,'Bilateral assistance, MAIN DATA'!$AO:$AO,'Share, heavy weapons to Ukraine'!DM$1, 'Bilateral assistance, MAIN DATA'!$AA:$AA,1)</f>
        <v>0</v>
      </c>
      <c r="DN5" s="33">
        <f>SUMIFS('Bilateral assistance, MAIN DATA'!$N:$N,'Bilateral assistance, MAIN DATA'!$B:$B,'Share, heavy weapons to Ukraine'!$A5,'Bilateral assistance, MAIN DATA'!$AO:$AO,'Share, heavy weapons to Ukraine'!DN$1, 'Bilateral assistance, MAIN DATA'!$AA:$AA,1)</f>
        <v>0</v>
      </c>
    </row>
    <row r="6" spans="1:118">
      <c r="A6" s="801" t="s">
        <v>2002</v>
      </c>
      <c r="B6" s="801">
        <v>0</v>
      </c>
      <c r="C6" s="33">
        <v>0</v>
      </c>
      <c r="E6" s="802">
        <v>46.7</v>
      </c>
      <c r="F6" s="801">
        <f>VLOOKUP(A6,'Heavy weapon stocks'!A:OH,COLUMN('Heavy weapon stocks'!$G$1),0)</f>
        <v>2174</v>
      </c>
      <c r="G6" s="801">
        <f>VLOOKUP(A6,'Heavy weapon stocks'!A:OH,COLUMN('Heavy weapon stocks'!$AW$1),0)</f>
        <v>2480</v>
      </c>
      <c r="H6" s="801">
        <f>VLOOKUP(A6,'Heavy weapon stocks'!A:OH,COLUMN('Heavy weapon stocks'!$DQ$1),0)</f>
        <v>10</v>
      </c>
      <c r="I6" s="801">
        <f>VLOOKUP(A6,'Heavy weapon stocks'!A:OH,COLUMN('Heavy weapon stocks'!$EE$1),0)</f>
        <v>0</v>
      </c>
      <c r="J6" s="801">
        <f>VLOOKUP(A6,'Heavy weapon stocks'!A:OH,COLUMN('Heavy weapon stocks'!$FG$1),0)</f>
        <v>540</v>
      </c>
      <c r="K6" s="801">
        <f t="shared" si="3"/>
        <v>3030</v>
      </c>
      <c r="L6" s="801">
        <f>VLOOKUP(A6,'Heavy weapon stocks'!A:OH,COLUMN('Heavy weapon stocks'!$HC$1),0)+VLOOKUP(A6,'Heavy weapon stocks'!A:OH,COLUMN('Heavy weapon stocks'!$II$1),0)</f>
        <v>4200</v>
      </c>
      <c r="M6" s="801">
        <f>VLOOKUP(A6,'Heavy weapon stocks'!A:OH,COLUMN('Heavy weapon stocks'!$IN$1),0)</f>
        <v>316</v>
      </c>
      <c r="N6" s="801">
        <f>VLOOKUP(A6,'Heavy weapon stocks'!A:OH,COLUMN('Heavy weapon stocks'!$JH$1),0)+VLOOKUP(A6,'Heavy weapon stocks'!A:OH,COLUMN('Heavy weapon stocks'!$KE$1),0)</f>
        <v>521</v>
      </c>
      <c r="O6" s="801">
        <f>VLOOKUP(A6,'Heavy weapon stocks'!A:OH,COLUMN('Heavy weapon stocks'!$LU$1),0)</f>
        <v>0</v>
      </c>
      <c r="Q6" s="801">
        <f>VLOOKUP(A6,'Heavy weapon stocks'!A:OH,COLUMN('Heavy weapon stocks'!$LV$1),0)</f>
        <v>48</v>
      </c>
      <c r="R6" s="801">
        <f>VLOOKUP(A6,'Heavy weapon stocks'!A:OH,COLUMN('Heavy weapon stocks'!$MF$1),0)</f>
        <v>72</v>
      </c>
      <c r="S6" s="801">
        <f>VLOOKUP(A6,'Heavy weapon stocks'!A:OH,COLUMN('Heavy weapon stocks'!$MM$1),0)</f>
        <v>0</v>
      </c>
      <c r="T6" s="801">
        <f>VLOOKUP(A6,'Heavy weapon stocks'!A:OH,COLUMN('Heavy weapon stocks'!$NR$1),0)</f>
        <v>0</v>
      </c>
      <c r="V6" s="801">
        <f>VLOOKUP(A6,'Heavy weapon stocks'!A:OH,COLUMN('Heavy weapon stocks'!$H$1),0)</f>
        <v>0</v>
      </c>
      <c r="W6" s="801">
        <f>VLOOKUP(A6,'Heavy weapon stocks'!A:OH,COLUMN('Heavy weapon stocks'!$DQ$1),0)</f>
        <v>10</v>
      </c>
      <c r="X6" s="801">
        <f>VLOOKUP(A6,'Heavy weapon stocks'!A:OH,COLUMN('Heavy weapon stocks'!$FG$1),0)</f>
        <v>540</v>
      </c>
      <c r="Y6" s="801">
        <f>VLOOKUP(A6,'Heavy weapon stocks'!A:OH,COLUMN('Heavy weapon stocks'!$HC$1),0)+VLOOKUP(A6,'Heavy weapon stocks'!A:OH,COLUMN('Heavy weapon stocks'!$II$1),0)</f>
        <v>4200</v>
      </c>
      <c r="Z6" s="801">
        <f>VLOOKUP(A6,'Heavy weapon stocks'!A:OH,COLUMN('Heavy weapon stocks'!$IO$1),0)+VLOOKUP(A6,'Heavy weapon stocks'!A:OH,COLUMN('Heavy weapon stocks'!$IP$1),0)+VLOOKUP(A6,'Heavy weapon stocks'!A:OH,COLUMN('Heavy weapon stocks'!$IU$1),0)</f>
        <v>58</v>
      </c>
      <c r="AA6" s="801">
        <f>VLOOKUP(A6,'Heavy weapon stocks'!A:OH,COLUMN('Heavy weapon stocks'!$MI$1),0)</f>
        <v>0</v>
      </c>
      <c r="AB6" s="801">
        <f>VLOOKUP(A6,'Heavy weapon stocks'!A:OH,COLUMN('Heavy weapon stocks'!$MS$1),0)+VLOOKUP(A6,'Heavy weapon stocks'!A:OH,COLUMN('Heavy weapon stocks'!$MT$1),0)+VLOOKUP(A6,'Heavy weapon stocks'!A:OH,COLUMN('Heavy weapon stocks'!$MU$1),0)+VLOOKUP(A6,'Heavy weapon stocks'!A:OH,COLUMN('Heavy weapon stocks'!$MV$1),0)</f>
        <v>0</v>
      </c>
      <c r="AD6" s="33">
        <f>SUMIFS('Bilateral assistance, MAIN DATA'!$M:$M,'Bilateral assistance, MAIN DATA'!$B:$B,'Share, heavy weapons to Ukraine'!$A6,'Bilateral assistance, MAIN DATA'!$AO:$AO,'Share, heavy weapons to Ukraine'!AD$1)</f>
        <v>0</v>
      </c>
      <c r="AE6" s="33">
        <f>SUMIFS('Bilateral assistance, MAIN DATA'!$M:$M,'Bilateral assistance, MAIN DATA'!$B:$B,'Share, heavy weapons to Ukraine'!$A6,'Bilateral assistance, MAIN DATA'!$AO:$AO,'Share, heavy weapons to Ukraine'!AE$1)</f>
        <v>0</v>
      </c>
      <c r="AF6" s="33">
        <f>SUMIFS('Bilateral assistance, MAIN DATA'!$M:$M,'Bilateral assistance, MAIN DATA'!$B:$B,'Share, heavy weapons to Ukraine'!$A6,'Bilateral assistance, MAIN DATA'!$AO:$AO,'Share, heavy weapons to Ukraine'!AF$1)</f>
        <v>0</v>
      </c>
      <c r="AG6" s="33">
        <f>SUMIFS('Bilateral assistance, MAIN DATA'!$M:$M,'Bilateral assistance, MAIN DATA'!$B:$B,'Share, heavy weapons to Ukraine'!$A6,'Bilateral assistance, MAIN DATA'!$AO:$AO,'Share, heavy weapons to Ukraine'!AG$1)</f>
        <v>0</v>
      </c>
      <c r="AH6" s="33">
        <f>SUMIFS('Bilateral assistance, MAIN DATA'!$M:$M,'Bilateral assistance, MAIN DATA'!$B:$B,'Share, heavy weapons to Ukraine'!$A6,'Bilateral assistance, MAIN DATA'!$AO:$AO,'Share, heavy weapons to Ukraine'!AH$1)</f>
        <v>0</v>
      </c>
      <c r="AI6" s="33">
        <f t="shared" si="1"/>
        <v>0</v>
      </c>
      <c r="AJ6" s="33">
        <f>SUMIFS('Bilateral assistance, MAIN DATA'!$M:$M,'Bilateral assistance, MAIN DATA'!$B:$B,'Share, heavy weapons to Ukraine'!$A6,'Bilateral assistance, MAIN DATA'!$AO:$AO,'Share, heavy weapons to Ukraine'!AJ$1)</f>
        <v>0</v>
      </c>
      <c r="AK6" s="645">
        <f>SUMIFS('Bilateral assistance, MAIN DATA'!$M:$M,'Bilateral assistance, MAIN DATA'!$B:$B,'Share, heavy weapons to Ukraine'!$A6,'Bilateral assistance, MAIN DATA'!$AO:$AO,"122mm MLRS")+SUMIFS('Bilateral assistance, MAIN DATA'!$M:$M,'Bilateral assistance, MAIN DATA'!$B:$B,'Share, heavy weapons to Ukraine'!$A6,'Bilateral assistance, MAIN DATA'!$AO:$AO,"127mm MLRS")+SUMIFS('Bilateral assistance, MAIN DATA'!$M:$M,'Bilateral assistance, MAIN DATA'!$B:$B,'Share, heavy weapons to Ukraine'!$A6,'Bilateral assistance, MAIN DATA'!$AO:$AO,"227mm MLRS")</f>
        <v>0</v>
      </c>
      <c r="AL6" s="33">
        <f>SUMIFS('Bilateral assistance, MAIN DATA'!$M:$M,'Bilateral assistance, MAIN DATA'!$B:$B,'Share, heavy weapons to Ukraine'!$A6,'Bilateral assistance, MAIN DATA'!$AO:$AO,'Share, heavy weapons to Ukraine'!AL$1)</f>
        <v>0</v>
      </c>
      <c r="AM6" s="33">
        <f>SUMIFS('Bilateral assistance, MAIN DATA'!$M:$M,'Bilateral assistance, MAIN DATA'!$B:$B,'Share, heavy weapons to Ukraine'!$A6,'Bilateral assistance, MAIN DATA'!$AO:$AO,'Share, heavy weapons to Ukraine'!AM$1)</f>
        <v>0</v>
      </c>
      <c r="AN6" s="33">
        <f>SUMIFS('Bilateral assistance, MAIN DATA'!$M:$M,'Bilateral assistance, MAIN DATA'!$B:$B,'Share, heavy weapons to Ukraine'!$A6,'Bilateral assistance, MAIN DATA'!$AO:$AO,'Share, heavy weapons to Ukraine'!AN$1)</f>
        <v>0</v>
      </c>
      <c r="AO6" s="33">
        <f>SUMIFS('Bilateral assistance, MAIN DATA'!$M:$M,'Bilateral assistance, MAIN DATA'!$B:$B,'Share, heavy weapons to Ukraine'!$A6,'Bilateral assistance, MAIN DATA'!$AO:$AO,'Share, heavy weapons to Ukraine'!AO$1)</f>
        <v>0</v>
      </c>
      <c r="AP6" s="33">
        <f>SUMIFS('Bilateral assistance, MAIN DATA'!$M:$M,'Bilateral assistance, MAIN DATA'!$B:$B,'Share, heavy weapons to Ukraine'!$A6,'Bilateral assistance, MAIN DATA'!$AO:$AO,'Share, heavy weapons to Ukraine'!AP$1)</f>
        <v>0</v>
      </c>
      <c r="AR6" s="33">
        <f>SUMIFS('Bilateral assistance, MAIN DATA'!$N:$N,'Bilateral assistance, MAIN DATA'!$B:$B,'Share, heavy weapons to Ukraine'!$A6,'Bilateral assistance, MAIN DATA'!$AO:$AO,'Share, heavy weapons to Ukraine'!AR$1)</f>
        <v>0</v>
      </c>
      <c r="AS6" s="33">
        <f>SUMIFS('Bilateral assistance, MAIN DATA'!$N:$N,'Bilateral assistance, MAIN DATA'!$B:$B,'Share, heavy weapons to Ukraine'!$A6,'Bilateral assistance, MAIN DATA'!$AO:$AO,'Share, heavy weapons to Ukraine'!AS$1)</f>
        <v>0</v>
      </c>
      <c r="AT6" s="33">
        <f>SUMIFS('Bilateral assistance, MAIN DATA'!$N:$N,'Bilateral assistance, MAIN DATA'!$B:$B,'Share, heavy weapons to Ukraine'!$A6,'Bilateral assistance, MAIN DATA'!$AO:$AO,'Share, heavy weapons to Ukraine'!AT$1)</f>
        <v>0</v>
      </c>
      <c r="AU6" s="33">
        <f>SUMIFS('Bilateral assistance, MAIN DATA'!$N:$N,'Bilateral assistance, MAIN DATA'!$B:$B,'Share, heavy weapons to Ukraine'!$A6,'Bilateral assistance, MAIN DATA'!$AO:$AO,'Share, heavy weapons to Ukraine'!AU$1)</f>
        <v>0</v>
      </c>
      <c r="AV6" s="33">
        <f>SUMIFS('Bilateral assistance, MAIN DATA'!$N:$N,'Bilateral assistance, MAIN DATA'!$B:$B,'Share, heavy weapons to Ukraine'!$A6,'Bilateral assistance, MAIN DATA'!$AO:$AO,'Share, heavy weapons to Ukraine'!AV$1)</f>
        <v>0</v>
      </c>
      <c r="AW6" s="33">
        <f t="shared" si="2"/>
        <v>0</v>
      </c>
      <c r="AX6" s="33">
        <f>SUMIFS('Bilateral assistance, MAIN DATA'!$N:$N,'Bilateral assistance, MAIN DATA'!$B:$B,'Share, heavy weapons to Ukraine'!$A6,'Bilateral assistance, MAIN DATA'!$AO:$AO,'Share, heavy weapons to Ukraine'!AX$1)</f>
        <v>0</v>
      </c>
      <c r="AY6" s="645">
        <f>SUMIFS('Bilateral assistance, MAIN DATA'!$N:$N,'Bilateral assistance, MAIN DATA'!$B:$B,'Share, heavy weapons to Ukraine'!$A6,'Bilateral assistance, MAIN DATA'!$AO:$AO,"122mm MLRS")+SUMIFS('Bilateral assistance, MAIN DATA'!$N:$N,'Bilateral assistance, MAIN DATA'!$B:$B,'Share, heavy weapons to Ukraine'!$A6,'Bilateral assistance, MAIN DATA'!$AO:$AO,"127mm MLRS")+SUMIFS('Bilateral assistance, MAIN DATA'!$N:$N,'Bilateral assistance, MAIN DATA'!$B:$B,'Share, heavy weapons to Ukraine'!$A6,'Bilateral assistance, MAIN DATA'!$AO:$AO,"227mm MLRS")</f>
        <v>0</v>
      </c>
      <c r="AZ6" s="33">
        <f>SUMIFS('Bilateral assistance, MAIN DATA'!$N:$N,'Bilateral assistance, MAIN DATA'!$B:$B,'Share, heavy weapons to Ukraine'!$A6,'Bilateral assistance, MAIN DATA'!$AO:$AO,'Share, heavy weapons to Ukraine'!AZ$1)</f>
        <v>0</v>
      </c>
      <c r="BA6" s="33">
        <f>SUMIFS('Bilateral assistance, MAIN DATA'!$N:$N,'Bilateral assistance, MAIN DATA'!$B:$B,'Share, heavy weapons to Ukraine'!$A6,'Bilateral assistance, MAIN DATA'!$AO:$AO,'Share, heavy weapons to Ukraine'!BA$1)</f>
        <v>0</v>
      </c>
      <c r="BB6" s="33">
        <f>SUMIFS('Bilateral assistance, MAIN DATA'!$N:$N,'Bilateral assistance, MAIN DATA'!$B:$B,'Share, heavy weapons to Ukraine'!$A6,'Bilateral assistance, MAIN DATA'!$AO:$AO,'Share, heavy weapons to Ukraine'!BB$1)</f>
        <v>0</v>
      </c>
      <c r="BC6" s="33">
        <f>SUMIFS('Bilateral assistance, MAIN DATA'!$N:$N,'Bilateral assistance, MAIN DATA'!$B:$B,'Share, heavy weapons to Ukraine'!$A6,'Bilateral assistance, MAIN DATA'!$AO:$AO,'Share, heavy weapons to Ukraine'!BC$1)</f>
        <v>0</v>
      </c>
      <c r="BD6" s="33">
        <f>SUMIFS('Bilateral assistance, MAIN DATA'!$N:$N,'Bilateral assistance, MAIN DATA'!$B:$B,'Share, heavy weapons to Ukraine'!$A6,'Bilateral assistance, MAIN DATA'!$AO:$AO,'Share, heavy weapons to Ukraine'!BD$1)</f>
        <v>0</v>
      </c>
      <c r="BF6" s="33">
        <f>IF(VLOOKUP($A6,$A:F,COLUMN(F5),FALSE)&lt;&gt;0,VLOOKUP($A6,$A:AD,COLUMN(AD5),FALSE)/VLOOKUP($A6,$A:F,COLUMN(F5),FALSE),IF(VLOOKUP($A6,$A:AD,COLUMN(AD5),FALSE)&lt;&gt;0,"Strange",0))</f>
        <v>0</v>
      </c>
      <c r="BG6" s="33">
        <f>IF(VLOOKUP($A6,$A:G,COLUMN(G5),FALSE)&lt;&gt;0,VLOOKUP($A6,$A:AE,COLUMN(AE5),FALSE)/VLOOKUP($A6,$A:G,COLUMN(G5),FALSE),IF(VLOOKUP($A6,$A:AE,COLUMN(AE5),FALSE)&lt;&gt;0,"Strange",0))</f>
        <v>0</v>
      </c>
      <c r="BH6" s="33">
        <f>IF(VLOOKUP($A6,$A:H,COLUMN(H5),FALSE)&lt;&gt;0,VLOOKUP($A6,$A:AF,COLUMN(AF5),FALSE)/VLOOKUP($A6,$A:H,COLUMN(H5),FALSE),IF(VLOOKUP($A6,$A:AF,COLUMN(AF5),FALSE)&lt;&gt;0,"Strange",0))</f>
        <v>0</v>
      </c>
      <c r="BI6" s="33">
        <f>IF(VLOOKUP($A6,$A:I,COLUMN(I5),FALSE)&lt;&gt;0,VLOOKUP($A6,$A:AG,COLUMN(AG5),FALSE)/VLOOKUP($A6,$A:I,COLUMN(I5),FALSE),IF(VLOOKUP($A6,$A:AG,COLUMN(AG5),FALSE)&lt;&gt;0,"Strange",0))</f>
        <v>0</v>
      </c>
      <c r="BJ6" s="33">
        <f>IF(VLOOKUP($A6,$A:J,COLUMN(J5),FALSE)&lt;&gt;0,VLOOKUP($A6,$A:AH,COLUMN(AH5),FALSE)/VLOOKUP($A6,$A:J,COLUMN(J5),FALSE),IF(VLOOKUP($A6,$A:AH,COLUMN(AH5),FALSE)&lt;&gt;0,"Strange",0))</f>
        <v>0</v>
      </c>
      <c r="BK6" s="33">
        <f>IF(VLOOKUP($A6,$A:K,COLUMN(K5),FALSE)&lt;&gt;0,VLOOKUP($A6,$A:AI,COLUMN(AI5),FALSE)/VLOOKUP($A6,$A:K,COLUMN(K5),FALSE),IF(VLOOKUP($A6,$A:AI,COLUMN(AI5),FALSE)&lt;&gt;0,"Strange",0))</f>
        <v>0</v>
      </c>
      <c r="BL6" s="33">
        <f>IF(VLOOKUP($A6,$A:L,COLUMN(L5),FALSE)&lt;&gt;0,VLOOKUP($A6,$A:AJ,COLUMN(AJ5),FALSE)/VLOOKUP($A6,$A:L,COLUMN(L5),FALSE),IF(VLOOKUP($A6,$A:AJ,COLUMN(AJ5),FALSE)&lt;&gt;0,"Strange",0))</f>
        <v>0</v>
      </c>
      <c r="BM6" s="33">
        <f>IF(VLOOKUP($A6,$A:M,COLUMN(M5),FALSE)&lt;&gt;0,VLOOKUP($A6,$A:AK,COLUMN(AK5),FALSE)/VLOOKUP($A6,$A:M,COLUMN(M5),FALSE),IF(VLOOKUP($A6,$A:AK,COLUMN(AK5),FALSE)&lt;&gt;0,"Strange",0))</f>
        <v>0</v>
      </c>
      <c r="BN6" s="33">
        <f>IF(VLOOKUP($A6,$A:N,COLUMN(N5),FALSE)&lt;&gt;0,VLOOKUP($A6,$A:AL,COLUMN(AL5),FALSE)/VLOOKUP($A6,$A:N,COLUMN(N5),FALSE),IF(VLOOKUP($A6,$A:AL,COLUMN(AL5),FALSE)&lt;&gt;0,"Strange",0))</f>
        <v>0</v>
      </c>
      <c r="BO6" s="33">
        <f>IF(VLOOKUP($A6,$A:Q,COLUMN(Q5),FALSE)&lt;&gt;0,VLOOKUP($A6,$A:AM,COLUMN(AM5),FALSE)/VLOOKUP($A6,$A:Q,COLUMN(Q5),FALSE),IF(VLOOKUP($A6,$A:AM,COLUMN(AM5),FALSE)&lt;&gt;0,"Strange",0))</f>
        <v>0</v>
      </c>
      <c r="BP6" s="33">
        <f>IF(VLOOKUP($A6,$A:R,COLUMN(R5),FALSE)&lt;&gt;0,VLOOKUP($A6,$A:AN,COLUMN(AN5),FALSE)/VLOOKUP($A6,$A:R,COLUMN(R5),FALSE),IF(VLOOKUP($A6,$A:AN,COLUMN(AN5),FALSE)&lt;&gt;0,"Strange",0))</f>
        <v>0</v>
      </c>
      <c r="BQ6" s="33">
        <f>IF(VLOOKUP($A6,$A:S,COLUMN(S5),FALSE)&lt;&gt;0,VLOOKUP($A6,$A:AO,COLUMN(AO5),FALSE)/VLOOKUP($A6,$A:S,COLUMN(S5),FALSE),IF(VLOOKUP($A6,$A:AO,COLUMN(AO5),FALSE)&lt;&gt;0,"Strange",0))</f>
        <v>0</v>
      </c>
      <c r="BR6" s="33">
        <f>IF(VLOOKUP($A6,$A:T,COLUMN(T5),FALSE)&lt;&gt;0,VLOOKUP($A6,$A:AP,COLUMN(AP5),FALSE)/VLOOKUP($A6,$A:T,COLUMN(T5),FALSE),IF(VLOOKUP($A6,$A:AP,COLUMN(AP5),FALSE)&lt;&gt;0,"Strange",0))</f>
        <v>0</v>
      </c>
      <c r="BT6" s="33">
        <f>IF(VLOOKUP($A6,$A:AE,COLUMN(F5),FALSE)&lt;&gt;0,VLOOKUP($A6,$A:AS,COLUMN(AR5),FALSE)/VLOOKUP($A6,$A:AE,COLUMN(F5),FALSE),IF(VLOOKUP($A6,$A:AS,COLUMN(AR5),FALSE)&lt;&gt;0,"Strange",0))</f>
        <v>0</v>
      </c>
      <c r="BU6" s="33">
        <f>IF(VLOOKUP($A6,$A:AF,COLUMN(G5),FALSE)&lt;&gt;0,VLOOKUP($A6,$A:AT,COLUMN(AS5),FALSE)/VLOOKUP($A6,$A:AF,COLUMN(G5),FALSE),IF(VLOOKUP($A6,$A:AT,COLUMN(AS5),FALSE)&lt;&gt;0,"Strange",0))</f>
        <v>0</v>
      </c>
      <c r="BV6" s="33">
        <f>IF(VLOOKUP($A6,$A:AG,COLUMN(H5),FALSE)&lt;&gt;0,VLOOKUP($A6,$A:AU,COLUMN(AT5),FALSE)/VLOOKUP($A6,$A:AG,COLUMN(H5),FALSE),IF(VLOOKUP($A6,$A:AU,COLUMN(AT5),FALSE)&lt;&gt;0,"Strange",0))</f>
        <v>0</v>
      </c>
      <c r="BW6" s="33">
        <f>IF(VLOOKUP($A6,$A:AH,COLUMN(I5),FALSE)&lt;&gt;0,VLOOKUP($A6,$A:AV,COLUMN(AU5),FALSE)/VLOOKUP($A6,$A:AH,COLUMN(I5),FALSE),IF(VLOOKUP($A6,$A:AV,COLUMN(AU5),FALSE)&lt;&gt;0,"Strange",0))</f>
        <v>0</v>
      </c>
      <c r="BX6" s="33">
        <f>IF(VLOOKUP($A6,$A:AJ,COLUMN(J5),FALSE)&lt;&gt;0,VLOOKUP($A6,$A:AX,COLUMN(AV5),FALSE)/VLOOKUP($A6,$A:AJ,COLUMN(J5),FALSE),IF(VLOOKUP($A6,$A:AX,COLUMN(AV5),FALSE)&lt;&gt;0,"Strange",0))</f>
        <v>0</v>
      </c>
      <c r="BY6" s="33">
        <f>IF(VLOOKUP($A6,$A:AK,COLUMN(K5),FALSE)&lt;&gt;0,VLOOKUP($A6,$A:AY,COLUMN(AW5),FALSE)/VLOOKUP($A6,$A:AK,COLUMN(K5),FALSE),IF(VLOOKUP($A6,$A:AY,COLUMN(AW5),FALSE)&lt;&gt;0,"Strange",0))</f>
        <v>0</v>
      </c>
      <c r="BZ6" s="33">
        <f>IF(VLOOKUP($A6,$A:AK,COLUMN(L5),FALSE)&lt;&gt;0,VLOOKUP($A6,$A:AY,COLUMN(AX5),FALSE)/VLOOKUP($A6,$A:AK,COLUMN(L5),FALSE),IF(VLOOKUP($A6,$A:AY,COLUMN(AX5),FALSE)&lt;&gt;0,"Strange",0))</f>
        <v>0</v>
      </c>
      <c r="CA6" s="33">
        <f>IF(VLOOKUP($A6,$A:AL,COLUMN(M5),FALSE)&lt;&gt;0,VLOOKUP($A6,$A:AZ,COLUMN(AY5),FALSE)/VLOOKUP($A6,$A:AL,COLUMN(M5),FALSE),IF(VLOOKUP($A6,$A:AZ,COLUMN(AY5),FALSE)&lt;&gt;0,"Strange",0))</f>
        <v>0</v>
      </c>
      <c r="CB6" s="33">
        <f>IF(VLOOKUP($A6,$A:AL,COLUMN(N5),FALSE)&lt;&gt;0,VLOOKUP($A6,$A:AZ,COLUMN(AZ5),FALSE)/VLOOKUP($A6,$A:AL,COLUMN(N5),FALSE),IF(VLOOKUP($A6,$A:AZ,COLUMN(AZ5),FALSE)&lt;&gt;0,"Strange",0))</f>
        <v>0</v>
      </c>
      <c r="CC6" s="33">
        <f>IF(VLOOKUP($A6,$A:AM,COLUMN(Q5),FALSE)&lt;&gt;0,VLOOKUP($A6,$A:BA,COLUMN(BA5),FALSE)/VLOOKUP($A6,$A:AM,COLUMN(Q5),FALSE),IF(VLOOKUP($A6,$A:BA,COLUMN(BA5),FALSE)&lt;&gt;0,"Strange",0))</f>
        <v>0</v>
      </c>
      <c r="CD6" s="33">
        <f>IF(VLOOKUP($A6,$A:AN,COLUMN(R5),FALSE)&lt;&gt;0,VLOOKUP($A6,$A:BB,COLUMN(BB5),FALSE)/VLOOKUP($A6,$A:AN,COLUMN(R5),FALSE),IF(VLOOKUP($A6,$A:BB,COLUMN(BB5),FALSE)&lt;&gt;0,"Strange",0))</f>
        <v>0</v>
      </c>
      <c r="CE6" s="33">
        <f>IF(VLOOKUP($A6,$A:AO,COLUMN(S5),FALSE)&lt;&gt;0,VLOOKUP($A6,$A:BC,COLUMN(BC5),FALSE)/VLOOKUP($A6,$A:AO,COLUMN(S5),FALSE),IF(VLOOKUP($A6,$A:BC,COLUMN(BC5),FALSE)&lt;&gt;0,"Strange",0))</f>
        <v>0</v>
      </c>
      <c r="CF6" s="33">
        <f>IF(VLOOKUP($A6,$A:AP,COLUMN(T5),FALSE)&lt;&gt;0,VLOOKUP($A6,$A:BD,COLUMN(BD5),FALSE)/VLOOKUP($A6,$A:AP,COLUMN(T5),FALSE),IF(VLOOKUP($A6,$A:BD,COLUMN(BD5),FALSE)&lt;&gt;0,"Strange",0))</f>
        <v>0</v>
      </c>
      <c r="CH6" s="33">
        <f>SUMIFS('Bilateral assistance, MAIN DATA'!$M:$M,'Bilateral assistance, MAIN DATA'!$B:$B,'Share, heavy weapons to Ukraine'!$A6,'Bilateral assistance, MAIN DATA'!$AO:$AO,'Share, heavy weapons to Ukraine'!CH$1,'Bilateral assistance, MAIN DATA'!$AQ:$AQ,2)</f>
        <v>0</v>
      </c>
      <c r="CI6" s="33">
        <f>SUMIFS('Bilateral assistance, MAIN DATA'!$M:$M,'Bilateral assistance, MAIN DATA'!$B:$B,'Share, heavy weapons to Ukraine'!$A6,'Bilateral assistance, MAIN DATA'!$AO:$AO,'Share, heavy weapons to Ukraine'!CI$1,'Bilateral assistance, MAIN DATA'!$AQ:$AQ,2)</f>
        <v>0</v>
      </c>
      <c r="CJ6" s="645">
        <f>SUMIFS('Bilateral assistance, MAIN DATA'!$M:$M,'Bilateral assistance, MAIN DATA'!$B:$B,'Share, heavy weapons to Ukraine'!$A6,'Bilateral assistance, MAIN DATA'!$AO:$AO,"122mm MLRS",'Bilateral assistance, MAIN DATA'!$AQ:$AQ,2)+SUMIFS('Bilateral assistance, MAIN DATA'!$M:$M,'Bilateral assistance, MAIN DATA'!$B:$B,'Share, heavy weapons to Ukraine'!$A6,'Bilateral assistance, MAIN DATA'!$AO:$AO,"127mm MLRS",'Bilateral assistance, MAIN DATA'!$AQ:$AQ,2)+SUMIFS('Bilateral assistance, MAIN DATA'!$M:$M,'Bilateral assistance, MAIN DATA'!$B:$B,'Share, heavy weapons to Ukraine'!$A6,'Bilateral assistance, MAIN DATA'!$AO:$AO,"227mm MLRS",'Bilateral assistance, MAIN DATA'!$AQ:$AQ,2)</f>
        <v>0</v>
      </c>
      <c r="CL6" s="33">
        <f>SUMIFS('Bilateral assistance, MAIN DATA'!$M:$M,'Bilateral assistance, MAIN DATA'!$B:$B,'Share, heavy weapons to Ukraine'!$A6,'Bilateral assistance, MAIN DATA'!$AO:$AO,'Share, heavy weapons to Ukraine'!CH$1,'Bilateral assistance, MAIN DATA'!$AQ:$AQ,1)</f>
        <v>0</v>
      </c>
      <c r="CM6" s="33">
        <f>SUMIFS('Bilateral assistance, MAIN DATA'!$M:$M,'Bilateral assistance, MAIN DATA'!$B:$B,'Share, heavy weapons to Ukraine'!$A6,'Bilateral assistance, MAIN DATA'!$AO:$AO,'Share, heavy weapons to Ukraine'!CI$1,'Bilateral assistance, MAIN DATA'!$AQ:$AQ,1)</f>
        <v>0</v>
      </c>
      <c r="CN6" s="645">
        <f>SUMIFS('Bilateral assistance, MAIN DATA'!$M:$M,'Bilateral assistance, MAIN DATA'!$B:$B,'Share, heavy weapons to Ukraine'!$A6,'Bilateral assistance, MAIN DATA'!$AO:$AO,"122mm MLRS",'Bilateral assistance, MAIN DATA'!$AQ:$AQ,1)+SUMIFS('Bilateral assistance, MAIN DATA'!$M:$M,'Bilateral assistance, MAIN DATA'!$B:$B,'Share, heavy weapons to Ukraine'!$A6,'Bilateral assistance, MAIN DATA'!$AO:$AO,"127mm MLRS",'Bilateral assistance, MAIN DATA'!$AQ:$AQ,1)+SUMIFS('Bilateral assistance, MAIN DATA'!$M:$M,'Bilateral assistance, MAIN DATA'!$B:$B,'Share, heavy weapons to Ukraine'!$A6,'Bilateral assistance, MAIN DATA'!$AO:$AO,"227mm MLRS",'Bilateral assistance, MAIN DATA'!$AQ:$AQ,1)</f>
        <v>0</v>
      </c>
      <c r="CP6" s="33">
        <f>SUMIFS('Bilateral assistance, MAIN DATA'!$M:$M,'Bilateral assistance, MAIN DATA'!$B:$B,'Share, heavy weapons to Ukraine'!$A6,'Bilateral assistance, MAIN DATA'!$AO:$AO,'Share, heavy weapons to Ukraine'!CP$1,'Bilateral assistance, MAIN DATA'!$AQ:$AQ,0)</f>
        <v>0</v>
      </c>
      <c r="CQ6" s="33">
        <f>SUMIFS('Bilateral assistance, MAIN DATA'!$M:$M,'Bilateral assistance, MAIN DATA'!$B:$B,'Share, heavy weapons to Ukraine'!$A6,'Bilateral assistance, MAIN DATA'!$AO:$AO,'Share, heavy weapons to Ukraine'!CQ$1,'Bilateral assistance, MAIN DATA'!$AQ:$AQ,0)</f>
        <v>0</v>
      </c>
      <c r="CR6" s="645">
        <f>SUMIFS('Bilateral assistance, MAIN DATA'!$M:$M,'Bilateral assistance, MAIN DATA'!$B:$B,'Share, heavy weapons to Ukraine'!$A6,'Bilateral assistance, MAIN DATA'!$AO:$AO,"122mm MLRS",'Bilateral assistance, MAIN DATA'!$AQ:$AQ,0)+SUMIFS('Bilateral assistance, MAIN DATA'!$M:$M,'Bilateral assistance, MAIN DATA'!$B:$B,'Share, heavy weapons to Ukraine'!$A6,'Bilateral assistance, MAIN DATA'!$AO:$AO,"127mm MLRS",'Bilateral assistance, MAIN DATA'!$AQ:$AQ,0)+SUMIFS('Bilateral assistance, MAIN DATA'!$M:$M,'Bilateral assistance, MAIN DATA'!$B:$B,'Share, heavy weapons to Ukraine'!$A6,'Bilateral assistance, MAIN DATA'!$AO:$AO,"227mm MLRS",'Bilateral assistance, MAIN DATA'!$AQ:$AQ,0)</f>
        <v>0</v>
      </c>
      <c r="CT6" s="33">
        <f>IF(VLOOKUP($A6,$A:CS,COLUMN(F5),FALSE)&lt;&gt;0,VLOOKUP($A6,$A:CS,COLUMN(CH5),FALSE)/VLOOKUP($A6,$A:AU,COLUMN(F5),FALSE),IF(VLOOKUP($A6,$A:CS,COLUMN(CH5),FALSE)&lt;&gt;0,"Strange",0))</f>
        <v>0</v>
      </c>
      <c r="CU6" s="33">
        <f>IF(VLOOKUP($A6,$A:CS,COLUMN(L5),FALSE)&lt;&gt;0,VLOOKUP($A6,$A:CS,COLUMN(CI5),FALSE)/VLOOKUP($A6,$A:AU,COLUMN(L5),FALSE),IF(VLOOKUP($A6,$A:CS,COLUMN(CI5),FALSE)&lt;&gt;0,"Strange",0))</f>
        <v>0</v>
      </c>
      <c r="CV6" s="33">
        <f>IF(VLOOKUP($A6,$A:CT,COLUMN(M5),FALSE)&lt;&gt;0,VLOOKUP($A6,$A:CT,COLUMN(CJ5),FALSE)/VLOOKUP($A6,$A:AV,COLUMN(M5),FALSE),IF(VLOOKUP($A6,$A:CT,COLUMN(CJ5),FALSE)&lt;&gt;0,"Strange",0))</f>
        <v>0</v>
      </c>
      <c r="CX6" s="33">
        <f>IF(VLOOKUP($A6,$A:CS,COLUMN(F5),FALSE)&lt;&gt;0,VLOOKUP($A6,$A:CS,COLUMN(CL5),FALSE)/VLOOKUP($A6,$A:AU,COLUMN(F5),FALSE),IF(VLOOKUP($A6,$A:CS,COLUMN(CL5),FALSE)&lt;&gt;0,"Strange",0))</f>
        <v>0</v>
      </c>
      <c r="CY6" s="33">
        <f>IF(VLOOKUP($A6,$A:CS,COLUMN(L5),FALSE)&lt;&gt;0,VLOOKUP($A6,$A:CS,COLUMN(CM5),FALSE)/VLOOKUP($A6,$A:AU,COLUMN(L5),FALSE),IF(VLOOKUP($A6,$A:CS,COLUMN(CM5),FALSE)&lt;&gt;0,"Strange",0))</f>
        <v>0</v>
      </c>
      <c r="CZ6" s="33">
        <f>IF(VLOOKUP($A6,$A:CT,COLUMN(M5),FALSE)&lt;&gt;0,VLOOKUP($A6,$A:CT,COLUMN(CN5),FALSE)/VLOOKUP($A6,$A:AV,COLUMN(M5),FALSE),IF(VLOOKUP($A6,$A:CT,COLUMN(CN5),FALSE)&lt;&gt;0,"Strange",0))</f>
        <v>0</v>
      </c>
      <c r="DB6" s="33">
        <f>IF(VLOOKUP($A6,$A:CS,COLUMN(F5),FALSE)&lt;&gt;0,VLOOKUP($A6,$A:CS,COLUMN(CP5),FALSE)/VLOOKUP($A6,$A:AU,COLUMN(F5),FALSE),IF(VLOOKUP($A6,$A:CS,COLUMN(CP5),FALSE)&lt;&gt;0,"Strange",0))</f>
        <v>0</v>
      </c>
      <c r="DC6" s="33">
        <f>IF(VLOOKUP($A6,$A:CS,COLUMN(L5),FALSE)&lt;&gt;0,VLOOKUP($A6,$A:CS,COLUMN(CQ5),FALSE)/VLOOKUP($A6,$A:AU,COLUMN(L5),FALSE),IF(VLOOKUP($A6,$A:CS,COLUMN(CQ5),FALSE)&lt;&gt;0,"Strange",0))</f>
        <v>0</v>
      </c>
      <c r="DD6" s="33">
        <f>IF(VLOOKUP($A6,$A:CT,COLUMN(M5),FALSE)&lt;&gt;0,VLOOKUP($A6,$A:CT,COLUMN(CR5),FALSE)/VLOOKUP($A6,$A:AV,COLUMN(M5),FALSE),IF(VLOOKUP($A6,$A:CT,COLUMN(CR5),FALSE)&lt;&gt;0,"Strange",0))</f>
        <v>0</v>
      </c>
      <c r="DF6" s="33">
        <f>SUMIFS('Bilateral assistance, MAIN DATA'!$M:$M,'Bilateral assistance, MAIN DATA'!$B:$B,'Share, heavy weapons to Ukraine'!$A6,'Bilateral assistance, MAIN DATA'!$AO:$AO,'Share, heavy weapons to Ukraine'!DF$1, 'Bilateral assistance, MAIN DATA'!$AA:$AA,1)</f>
        <v>0</v>
      </c>
      <c r="DG6" s="33">
        <f>SUMIFS('Bilateral assistance, MAIN DATA'!$M:$M,'Bilateral assistance, MAIN DATA'!$B:$B,'Share, heavy weapons to Ukraine'!$A6,'Bilateral assistance, MAIN DATA'!$AO:$AO,'Share, heavy weapons to Ukraine'!DG$1, 'Bilateral assistance, MAIN DATA'!$AA:$AA,1)</f>
        <v>0</v>
      </c>
      <c r="DH6" s="33">
        <f>SUMIFS('Bilateral assistance, MAIN DATA'!$M:$M,'Bilateral assistance, MAIN DATA'!$B:$B,'Share, heavy weapons to Ukraine'!$A6,'Bilateral assistance, MAIN DATA'!$AO:$AO,'Share, heavy weapons to Ukraine'!DH$1, 'Bilateral assistance, MAIN DATA'!$AA:$AA,1)</f>
        <v>0</v>
      </c>
      <c r="DI6" s="33">
        <f>SUMIFS('Bilateral assistance, MAIN DATA'!$M:$M,'Bilateral assistance, MAIN DATA'!$B:$B,'Share, heavy weapons to Ukraine'!$A6,'Bilateral assistance, MAIN DATA'!$AO:$AO,'Share, heavy weapons to Ukraine'!DI$1, 'Bilateral assistance, MAIN DATA'!$AA:$AA,1)</f>
        <v>0</v>
      </c>
      <c r="DK6" s="33">
        <f>SUMIFS('Bilateral assistance, MAIN DATA'!$N:$N,'Bilateral assistance, MAIN DATA'!$B:$B,'Share, heavy weapons to Ukraine'!$A6,'Bilateral assistance, MAIN DATA'!$AO:$AO,'Share, heavy weapons to Ukraine'!DK$1, 'Bilateral assistance, MAIN DATA'!$AA:$AA,1)</f>
        <v>0</v>
      </c>
      <c r="DL6" s="33">
        <f>SUMIFS('Bilateral assistance, MAIN DATA'!$N:$N,'Bilateral assistance, MAIN DATA'!$B:$B,'Share, heavy weapons to Ukraine'!$A6,'Bilateral assistance, MAIN DATA'!$AO:$AO,'Share, heavy weapons to Ukraine'!DL$1, 'Bilateral assistance, MAIN DATA'!$AA:$AA,1)</f>
        <v>0</v>
      </c>
      <c r="DM6" s="33">
        <f>SUMIFS('Bilateral assistance, MAIN DATA'!$N:$N,'Bilateral assistance, MAIN DATA'!$B:$B,'Share, heavy weapons to Ukraine'!$A6,'Bilateral assistance, MAIN DATA'!$AO:$AO,'Share, heavy weapons to Ukraine'!DM$1, 'Bilateral assistance, MAIN DATA'!$AA:$AA,1)</f>
        <v>0</v>
      </c>
      <c r="DN6" s="33">
        <f>SUMIFS('Bilateral assistance, MAIN DATA'!$N:$N,'Bilateral assistance, MAIN DATA'!$B:$B,'Share, heavy weapons to Ukraine'!$A6,'Bilateral assistance, MAIN DATA'!$AO:$AO,'Share, heavy weapons to Ukraine'!DN$1, 'Bilateral assistance, MAIN DATA'!$AA:$AA,1)</f>
        <v>0</v>
      </c>
    </row>
    <row r="7" spans="1:118">
      <c r="A7" s="801" t="s">
        <v>227</v>
      </c>
      <c r="B7" s="801">
        <v>0</v>
      </c>
      <c r="C7" s="33">
        <v>0</v>
      </c>
      <c r="E7" s="802">
        <v>34.299999999999997</v>
      </c>
      <c r="F7" s="801">
        <f>VLOOKUP(A7,'Heavy weapon stocks'!A:OH,COLUMN('Heavy weapon stocks'!$G$1),0)</f>
        <v>59</v>
      </c>
      <c r="G7" s="801">
        <f>VLOOKUP(A7,'Heavy weapon stocks'!A:OH,COLUMN('Heavy weapon stocks'!$AW$1),0)</f>
        <v>431</v>
      </c>
      <c r="H7" s="801">
        <f>VLOOKUP(A7,'Heavy weapon stocks'!A:OH,COLUMN('Heavy weapon stocks'!$DQ$1),0)</f>
        <v>0</v>
      </c>
      <c r="I7" s="801">
        <f>VLOOKUP(A7,'Heavy weapon stocks'!A:OH,COLUMN('Heavy weapon stocks'!$EE$1),0)</f>
        <v>1120</v>
      </c>
      <c r="J7" s="801">
        <f>VLOOKUP(A7,'Heavy weapon stocks'!A:OH,COLUMN('Heavy weapon stocks'!$FG$1),0)</f>
        <v>253</v>
      </c>
      <c r="K7" s="801">
        <f t="shared" si="3"/>
        <v>1804</v>
      </c>
      <c r="L7" s="801">
        <f>VLOOKUP(A7,'Heavy weapon stocks'!A:OH,COLUMN('Heavy weapon stocks'!$HC$1),0)+VLOOKUP(A7,'Heavy weapon stocks'!A:OH,COLUMN('Heavy weapon stocks'!$II$1),0)</f>
        <v>54</v>
      </c>
      <c r="M7" s="801">
        <f>VLOOKUP(A7,'Heavy weapon stocks'!A:OH,COLUMN('Heavy weapon stocks'!$IN$1),0)</f>
        <v>0</v>
      </c>
      <c r="N7" s="801">
        <f>VLOOKUP(A7,'Heavy weapon stocks'!A:OH,COLUMN('Heavy weapon stocks'!$JH$1),0)+VLOOKUP(A7,'Heavy weapon stocks'!A:OH,COLUMN('Heavy weapon stocks'!$KE$1),0)</f>
        <v>68</v>
      </c>
      <c r="O7" s="801">
        <f>VLOOKUP(A7,'Heavy weapon stocks'!A:OH,COLUMN('Heavy weapon stocks'!$LU$1),0)</f>
        <v>0</v>
      </c>
      <c r="Q7" s="801">
        <f>VLOOKUP(A7,'Heavy weapon stocks'!A:OH,COLUMN('Heavy weapon stocks'!$LV$1),0)</f>
        <v>0</v>
      </c>
      <c r="R7" s="801">
        <f>VLOOKUP(A7,'Heavy weapon stocks'!A:OH,COLUMN('Heavy weapon stocks'!$MF$1),0)</f>
        <v>0</v>
      </c>
      <c r="S7" s="801">
        <f>VLOOKUP(A7,'Heavy weapon stocks'!A:OH,COLUMN('Heavy weapon stocks'!$MM$1),0)</f>
        <v>0</v>
      </c>
      <c r="T7" s="801">
        <f>VLOOKUP(A7,'Heavy weapon stocks'!A:OH,COLUMN('Heavy weapon stocks'!$NR$1),0)</f>
        <v>0</v>
      </c>
      <c r="V7" s="801">
        <f>VLOOKUP(A7,'Heavy weapon stocks'!A:OH,COLUMN('Heavy weapon stocks'!$H$1),0)</f>
        <v>0</v>
      </c>
      <c r="W7" s="801">
        <f>VLOOKUP(A7,'Heavy weapon stocks'!A:OH,COLUMN('Heavy weapon stocks'!$DQ$1),0)</f>
        <v>0</v>
      </c>
      <c r="X7" s="801">
        <f>VLOOKUP(A7,'Heavy weapon stocks'!A:OH,COLUMN('Heavy weapon stocks'!$FG$1),0)</f>
        <v>253</v>
      </c>
      <c r="Y7" s="801">
        <f>VLOOKUP(A7,'Heavy weapon stocks'!A:OH,COLUMN('Heavy weapon stocks'!$HC$1),0)+VLOOKUP(A7,'Heavy weapon stocks'!A:OH,COLUMN('Heavy weapon stocks'!$II$1),0)</f>
        <v>54</v>
      </c>
      <c r="Z7" s="801">
        <f>VLOOKUP(A7,'Heavy weapon stocks'!A:OH,COLUMN('Heavy weapon stocks'!$IO$1),0)+VLOOKUP(A7,'Heavy weapon stocks'!A:OH,COLUMN('Heavy weapon stocks'!$IP$1),0)+VLOOKUP(A7,'Heavy weapon stocks'!A:OH,COLUMN('Heavy weapon stocks'!$IU$1),0)</f>
        <v>0</v>
      </c>
      <c r="AA7" s="801">
        <f>VLOOKUP(A7,'Heavy weapon stocks'!A:OH,COLUMN('Heavy weapon stocks'!$MI$1),0)</f>
        <v>0</v>
      </c>
      <c r="AB7" s="801">
        <f>VLOOKUP(A7,'Heavy weapon stocks'!A:OH,COLUMN('Heavy weapon stocks'!$MS$1),0)+VLOOKUP(A7,'Heavy weapon stocks'!A:OH,COLUMN('Heavy weapon stocks'!$MT$1),0)+VLOOKUP(A7,'Heavy weapon stocks'!A:OH,COLUMN('Heavy weapon stocks'!$MU$1),0)+VLOOKUP(A7,'Heavy weapon stocks'!A:OH,COLUMN('Heavy weapon stocks'!$MV$1),0)</f>
        <v>0</v>
      </c>
      <c r="AD7" s="33">
        <f>SUMIFS('Bilateral assistance, MAIN DATA'!$M:$M,'Bilateral assistance, MAIN DATA'!$B:$B,'Share, heavy weapons to Ukraine'!$A7,'Bilateral assistance, MAIN DATA'!$AO:$AO,'Share, heavy weapons to Ukraine'!AD$1)</f>
        <v>0</v>
      </c>
      <c r="AE7" s="33">
        <f>SUMIFS('Bilateral assistance, MAIN DATA'!$M:$M,'Bilateral assistance, MAIN DATA'!$B:$B,'Share, heavy weapons to Ukraine'!$A7,'Bilateral assistance, MAIN DATA'!$AO:$AO,'Share, heavy weapons to Ukraine'!AE$1)</f>
        <v>28</v>
      </c>
      <c r="AF7" s="33">
        <f>SUMIFS('Bilateral assistance, MAIN DATA'!$M:$M,'Bilateral assistance, MAIN DATA'!$B:$B,'Share, heavy weapons to Ukraine'!$A7,'Bilateral assistance, MAIN DATA'!$AO:$AO,'Share, heavy weapons to Ukraine'!AF$1)</f>
        <v>0</v>
      </c>
      <c r="AG7" s="33">
        <f>SUMIFS('Bilateral assistance, MAIN DATA'!$M:$M,'Bilateral assistance, MAIN DATA'!$B:$B,'Share, heavy weapons to Ukraine'!$A7,'Bilateral assistance, MAIN DATA'!$AO:$AO,'Share, heavy weapons to Ukraine'!AG$1)</f>
        <v>90</v>
      </c>
      <c r="AH7" s="33">
        <f>SUMIFS('Bilateral assistance, MAIN DATA'!$M:$M,'Bilateral assistance, MAIN DATA'!$B:$B,'Share, heavy weapons to Ukraine'!$A7,'Bilateral assistance, MAIN DATA'!$AO:$AO,'Share, heavy weapons to Ukraine'!AH$1)</f>
        <v>0</v>
      </c>
      <c r="AI7" s="33">
        <f t="shared" si="1"/>
        <v>118</v>
      </c>
      <c r="AJ7" s="33">
        <f>SUMIFS('Bilateral assistance, MAIN DATA'!$M:$M,'Bilateral assistance, MAIN DATA'!$B:$B,'Share, heavy weapons to Ukraine'!$A7,'Bilateral assistance, MAIN DATA'!$AO:$AO,'Share, heavy weapons to Ukraine'!AJ$1)</f>
        <v>6</v>
      </c>
      <c r="AK7" s="645">
        <f>SUMIFS('Bilateral assistance, MAIN DATA'!$M:$M,'Bilateral assistance, MAIN DATA'!$B:$B,'Share, heavy weapons to Ukraine'!$A7,'Bilateral assistance, MAIN DATA'!$AO:$AO,"122mm MLRS")+SUMIFS('Bilateral assistance, MAIN DATA'!$M:$M,'Bilateral assistance, MAIN DATA'!$B:$B,'Share, heavy weapons to Ukraine'!$A7,'Bilateral assistance, MAIN DATA'!$AO:$AO,"127mm MLRS")+SUMIFS('Bilateral assistance, MAIN DATA'!$M:$M,'Bilateral assistance, MAIN DATA'!$B:$B,'Share, heavy weapons to Ukraine'!$A7,'Bilateral assistance, MAIN DATA'!$AO:$AO,"227mm MLRS")</f>
        <v>0</v>
      </c>
      <c r="AL7" s="33">
        <f>SUMIFS('Bilateral assistance, MAIN DATA'!$M:$M,'Bilateral assistance, MAIN DATA'!$B:$B,'Share, heavy weapons to Ukraine'!$A7,'Bilateral assistance, MAIN DATA'!$AO:$AO,'Share, heavy weapons to Ukraine'!AL$1)</f>
        <v>0</v>
      </c>
      <c r="AM7" s="33">
        <f>SUMIFS('Bilateral assistance, MAIN DATA'!$M:$M,'Bilateral assistance, MAIN DATA'!$B:$B,'Share, heavy weapons to Ukraine'!$A7,'Bilateral assistance, MAIN DATA'!$AO:$AO,'Share, heavy weapons to Ukraine'!AM$1)</f>
        <v>0</v>
      </c>
      <c r="AN7" s="33">
        <f>SUMIFS('Bilateral assistance, MAIN DATA'!$M:$M,'Bilateral assistance, MAIN DATA'!$B:$B,'Share, heavy weapons to Ukraine'!$A7,'Bilateral assistance, MAIN DATA'!$AO:$AO,'Share, heavy weapons to Ukraine'!AN$1)</f>
        <v>0</v>
      </c>
      <c r="AO7" s="33">
        <f>SUMIFS('Bilateral assistance, MAIN DATA'!$M:$M,'Bilateral assistance, MAIN DATA'!$B:$B,'Share, heavy weapons to Ukraine'!$A7,'Bilateral assistance, MAIN DATA'!$AO:$AO,'Share, heavy weapons to Ukraine'!AO$1)</f>
        <v>0</v>
      </c>
      <c r="AP7" s="33">
        <f>SUMIFS('Bilateral assistance, MAIN DATA'!$M:$M,'Bilateral assistance, MAIN DATA'!$B:$B,'Share, heavy weapons to Ukraine'!$A7,'Bilateral assistance, MAIN DATA'!$AO:$AO,'Share, heavy weapons to Ukraine'!AP$1)</f>
        <v>0</v>
      </c>
      <c r="AR7" s="33">
        <f>SUMIFS('Bilateral assistance, MAIN DATA'!$N:$N,'Bilateral assistance, MAIN DATA'!$B:$B,'Share, heavy weapons to Ukraine'!$A7,'Bilateral assistance, MAIN DATA'!$AO:$AO,'Share, heavy weapons to Ukraine'!AR$1)</f>
        <v>0</v>
      </c>
      <c r="AS7" s="33">
        <f>SUMIFS('Bilateral assistance, MAIN DATA'!$N:$N,'Bilateral assistance, MAIN DATA'!$B:$B,'Share, heavy weapons to Ukraine'!$A7,'Bilateral assistance, MAIN DATA'!$AO:$AO,'Share, heavy weapons to Ukraine'!AS$1)</f>
        <v>28</v>
      </c>
      <c r="AT7" s="33">
        <f>SUMIFS('Bilateral assistance, MAIN DATA'!$N:$N,'Bilateral assistance, MAIN DATA'!$B:$B,'Share, heavy weapons to Ukraine'!$A7,'Bilateral assistance, MAIN DATA'!$AO:$AO,'Share, heavy weapons to Ukraine'!AT$1)</f>
        <v>0</v>
      </c>
      <c r="AU7" s="33">
        <f>SUMIFS('Bilateral assistance, MAIN DATA'!$N:$N,'Bilateral assistance, MAIN DATA'!$B:$B,'Share, heavy weapons to Ukraine'!$A7,'Bilateral assistance, MAIN DATA'!$AO:$AO,'Share, heavy weapons to Ukraine'!AU$1)</f>
        <v>60</v>
      </c>
      <c r="AV7" s="33">
        <f>SUMIFS('Bilateral assistance, MAIN DATA'!$N:$N,'Bilateral assistance, MAIN DATA'!$B:$B,'Share, heavy weapons to Ukraine'!$A7,'Bilateral assistance, MAIN DATA'!$AO:$AO,'Share, heavy weapons to Ukraine'!AV$1)</f>
        <v>0</v>
      </c>
      <c r="AW7" s="33">
        <f t="shared" si="2"/>
        <v>88</v>
      </c>
      <c r="AX7" s="33">
        <f>SUMIFS('Bilateral assistance, MAIN DATA'!$N:$N,'Bilateral assistance, MAIN DATA'!$B:$B,'Share, heavy weapons to Ukraine'!$A7,'Bilateral assistance, MAIN DATA'!$AO:$AO,'Share, heavy weapons to Ukraine'!AX$1)</f>
        <v>6</v>
      </c>
      <c r="AY7" s="645">
        <f>SUMIFS('Bilateral assistance, MAIN DATA'!$N:$N,'Bilateral assistance, MAIN DATA'!$B:$B,'Share, heavy weapons to Ukraine'!$A7,'Bilateral assistance, MAIN DATA'!$AO:$AO,"122mm MLRS")+SUMIFS('Bilateral assistance, MAIN DATA'!$N:$N,'Bilateral assistance, MAIN DATA'!$B:$B,'Share, heavy weapons to Ukraine'!$A7,'Bilateral assistance, MAIN DATA'!$AO:$AO,"127mm MLRS")+SUMIFS('Bilateral assistance, MAIN DATA'!$N:$N,'Bilateral assistance, MAIN DATA'!$B:$B,'Share, heavy weapons to Ukraine'!$A7,'Bilateral assistance, MAIN DATA'!$AO:$AO,"227mm MLRS")</f>
        <v>0</v>
      </c>
      <c r="AZ7" s="33">
        <f>SUMIFS('Bilateral assistance, MAIN DATA'!$N:$N,'Bilateral assistance, MAIN DATA'!$B:$B,'Share, heavy weapons to Ukraine'!$A7,'Bilateral assistance, MAIN DATA'!$AO:$AO,'Share, heavy weapons to Ukraine'!AZ$1)</f>
        <v>0</v>
      </c>
      <c r="BA7" s="33">
        <f>SUMIFS('Bilateral assistance, MAIN DATA'!$N:$N,'Bilateral assistance, MAIN DATA'!$B:$B,'Share, heavy weapons to Ukraine'!$A7,'Bilateral assistance, MAIN DATA'!$AO:$AO,'Share, heavy weapons to Ukraine'!BA$1)</f>
        <v>0</v>
      </c>
      <c r="BB7" s="33">
        <f>SUMIFS('Bilateral assistance, MAIN DATA'!$N:$N,'Bilateral assistance, MAIN DATA'!$B:$B,'Share, heavy weapons to Ukraine'!$A7,'Bilateral assistance, MAIN DATA'!$AO:$AO,'Share, heavy weapons to Ukraine'!BB$1)</f>
        <v>0</v>
      </c>
      <c r="BC7" s="33">
        <f>SUMIFS('Bilateral assistance, MAIN DATA'!$N:$N,'Bilateral assistance, MAIN DATA'!$B:$B,'Share, heavy weapons to Ukraine'!$A7,'Bilateral assistance, MAIN DATA'!$AO:$AO,'Share, heavy weapons to Ukraine'!BC$1)</f>
        <v>0</v>
      </c>
      <c r="BD7" s="33">
        <f>SUMIFS('Bilateral assistance, MAIN DATA'!$N:$N,'Bilateral assistance, MAIN DATA'!$B:$B,'Share, heavy weapons to Ukraine'!$A7,'Bilateral assistance, MAIN DATA'!$AO:$AO,'Share, heavy weapons to Ukraine'!BD$1)</f>
        <v>0</v>
      </c>
      <c r="BF7" s="33">
        <f>IF(VLOOKUP($A7,$A:F,COLUMN(F6),FALSE)&lt;&gt;0,VLOOKUP($A7,$A:AD,COLUMN(AD6),FALSE)/VLOOKUP($A7,$A:F,COLUMN(F6),FALSE),IF(VLOOKUP($A7,$A:AD,COLUMN(AD6),FALSE)&lt;&gt;0,"Strange",0))</f>
        <v>0</v>
      </c>
      <c r="BG7" s="33">
        <f>IF(VLOOKUP($A7,$A:G,COLUMN(G6),FALSE)&lt;&gt;0,VLOOKUP($A7,$A:AE,COLUMN(AE6),FALSE)/VLOOKUP($A7,$A:G,COLUMN(G6),FALSE),IF(VLOOKUP($A7,$A:AE,COLUMN(AE6),FALSE)&lt;&gt;0,"Strange",0))</f>
        <v>6.4965197215777259E-2</v>
      </c>
      <c r="BH7" s="33">
        <f>IF(VLOOKUP($A7,$A:H,COLUMN(H6),FALSE)&lt;&gt;0,VLOOKUP($A7,$A:AF,COLUMN(AF6),FALSE)/VLOOKUP($A7,$A:H,COLUMN(H6),FALSE),IF(VLOOKUP($A7,$A:AF,COLUMN(AF6),FALSE)&lt;&gt;0,"Strange",0))</f>
        <v>0</v>
      </c>
      <c r="BI7" s="33">
        <f>IF(VLOOKUP($A7,$A:I,COLUMN(I6),FALSE)&lt;&gt;0,VLOOKUP($A7,$A:AG,COLUMN(AG6),FALSE)/VLOOKUP($A7,$A:I,COLUMN(I6),FALSE),IF(VLOOKUP($A7,$A:AG,COLUMN(AG6),FALSE)&lt;&gt;0,"Strange",0))</f>
        <v>8.0357142857142863E-2</v>
      </c>
      <c r="BJ7" s="33">
        <f>IF(VLOOKUP($A7,$A:J,COLUMN(J6),FALSE)&lt;&gt;0,VLOOKUP($A7,$A:AH,COLUMN(AH6),FALSE)/VLOOKUP($A7,$A:J,COLUMN(J6),FALSE),IF(VLOOKUP($A7,$A:AH,COLUMN(AH6),FALSE)&lt;&gt;0,"Strange",0))</f>
        <v>0</v>
      </c>
      <c r="BK7" s="33">
        <f>IF(VLOOKUP($A7,$A:K,COLUMN(K6),FALSE)&lt;&gt;0,VLOOKUP($A7,$A:AI,COLUMN(AI6),FALSE)/VLOOKUP($A7,$A:K,COLUMN(K6),FALSE),IF(VLOOKUP($A7,$A:AI,COLUMN(AI6),FALSE)&lt;&gt;0,"Strange",0))</f>
        <v>6.5410199556541024E-2</v>
      </c>
      <c r="BL7" s="33">
        <f>IF(VLOOKUP($A7,$A:L,COLUMN(L6),FALSE)&lt;&gt;0,VLOOKUP($A7,$A:AJ,COLUMN(AJ6),FALSE)/VLOOKUP($A7,$A:L,COLUMN(L6),FALSE),IF(VLOOKUP($A7,$A:AJ,COLUMN(AJ6),FALSE)&lt;&gt;0,"Strange",0))</f>
        <v>0.1111111111111111</v>
      </c>
      <c r="BM7" s="33">
        <f>IF(VLOOKUP($A7,$A:M,COLUMN(M6),FALSE)&lt;&gt;0,VLOOKUP($A7,$A:AK,COLUMN(AK6),FALSE)/VLOOKUP($A7,$A:M,COLUMN(M6),FALSE),IF(VLOOKUP($A7,$A:AK,COLUMN(AK6),FALSE)&lt;&gt;0,"Strange",0))</f>
        <v>0</v>
      </c>
      <c r="BN7" s="33">
        <f>IF(VLOOKUP($A7,$A:N,COLUMN(N6),FALSE)&lt;&gt;0,VLOOKUP($A7,$A:AL,COLUMN(AL6),FALSE)/VLOOKUP($A7,$A:N,COLUMN(N6),FALSE),IF(VLOOKUP($A7,$A:AL,COLUMN(AL6),FALSE)&lt;&gt;0,"Strange",0))</f>
        <v>0</v>
      </c>
      <c r="BO7" s="33">
        <f>IF(VLOOKUP($A7,$A:Q,COLUMN(Q6),FALSE)&lt;&gt;0,VLOOKUP($A7,$A:AM,COLUMN(AM6),FALSE)/VLOOKUP($A7,$A:Q,COLUMN(Q6),FALSE),IF(VLOOKUP($A7,$A:AM,COLUMN(AM6),FALSE)&lt;&gt;0,"Strange",0))</f>
        <v>0</v>
      </c>
      <c r="BP7" s="33">
        <f>IF(VLOOKUP($A7,$A:R,COLUMN(R6),FALSE)&lt;&gt;0,VLOOKUP($A7,$A:AN,COLUMN(AN6),FALSE)/VLOOKUP($A7,$A:R,COLUMN(R6),FALSE),IF(VLOOKUP($A7,$A:AN,COLUMN(AN6),FALSE)&lt;&gt;0,"Strange",0))</f>
        <v>0</v>
      </c>
      <c r="BQ7" s="33">
        <f>IF(VLOOKUP($A7,$A:S,COLUMN(S6),FALSE)&lt;&gt;0,VLOOKUP($A7,$A:AO,COLUMN(AO6),FALSE)/VLOOKUP($A7,$A:S,COLUMN(S6),FALSE),IF(VLOOKUP($A7,$A:AO,COLUMN(AO6),FALSE)&lt;&gt;0,"Strange",0))</f>
        <v>0</v>
      </c>
      <c r="BR7" s="33">
        <f>IF(VLOOKUP($A7,$A:T,COLUMN(T6),FALSE)&lt;&gt;0,VLOOKUP($A7,$A:AP,COLUMN(AP6),FALSE)/VLOOKUP($A7,$A:T,COLUMN(T6),FALSE),IF(VLOOKUP($A7,$A:AP,COLUMN(AP6),FALSE)&lt;&gt;0,"Strange",0))</f>
        <v>0</v>
      </c>
      <c r="BT7" s="33">
        <f>IF(VLOOKUP($A7,$A:AE,COLUMN(F6),FALSE)&lt;&gt;0,VLOOKUP($A7,$A:AS,COLUMN(AR6),FALSE)/VLOOKUP($A7,$A:AE,COLUMN(F6),FALSE),IF(VLOOKUP($A7,$A:AS,COLUMN(AR6),FALSE)&lt;&gt;0,"Strange",0))</f>
        <v>0</v>
      </c>
      <c r="BU7" s="33">
        <f>IF(VLOOKUP($A7,$A:AF,COLUMN(G6),FALSE)&lt;&gt;0,VLOOKUP($A7,$A:AT,COLUMN(AS6),FALSE)/VLOOKUP($A7,$A:AF,COLUMN(G6),FALSE),IF(VLOOKUP($A7,$A:AT,COLUMN(AS6),FALSE)&lt;&gt;0,"Strange",0))</f>
        <v>6.4965197215777259E-2</v>
      </c>
      <c r="BV7" s="33">
        <f>IF(VLOOKUP($A7,$A:AG,COLUMN(H6),FALSE)&lt;&gt;0,VLOOKUP($A7,$A:AU,COLUMN(AT6),FALSE)/VLOOKUP($A7,$A:AG,COLUMN(H6),FALSE),IF(VLOOKUP($A7,$A:AU,COLUMN(AT6),FALSE)&lt;&gt;0,"Strange",0))</f>
        <v>0</v>
      </c>
      <c r="BW7" s="33">
        <f>IF(VLOOKUP($A7,$A:AH,COLUMN(I6),FALSE)&lt;&gt;0,VLOOKUP($A7,$A:AV,COLUMN(AU6),FALSE)/VLOOKUP($A7,$A:AH,COLUMN(I6),FALSE),IF(VLOOKUP($A7,$A:AV,COLUMN(AU6),FALSE)&lt;&gt;0,"Strange",0))</f>
        <v>5.3571428571428568E-2</v>
      </c>
      <c r="BX7" s="33">
        <f>IF(VLOOKUP($A7,$A:AJ,COLUMN(J6),FALSE)&lt;&gt;0,VLOOKUP($A7,$A:AX,COLUMN(AV6),FALSE)/VLOOKUP($A7,$A:AJ,COLUMN(J6),FALSE),IF(VLOOKUP($A7,$A:AX,COLUMN(AV6),FALSE)&lt;&gt;0,"Strange",0))</f>
        <v>0</v>
      </c>
      <c r="BY7" s="33">
        <f>IF(VLOOKUP($A7,$A:AK,COLUMN(K6),FALSE)&lt;&gt;0,VLOOKUP($A7,$A:AY,COLUMN(AW6),FALSE)/VLOOKUP($A7,$A:AK,COLUMN(K6),FALSE),IF(VLOOKUP($A7,$A:AY,COLUMN(AW6),FALSE)&lt;&gt;0,"Strange",0))</f>
        <v>4.878048780487805E-2</v>
      </c>
      <c r="BZ7" s="33">
        <f>IF(VLOOKUP($A7,$A:AK,COLUMN(L6),FALSE)&lt;&gt;0,VLOOKUP($A7,$A:AY,COLUMN(AX6),FALSE)/VLOOKUP($A7,$A:AK,COLUMN(L6),FALSE),IF(VLOOKUP($A7,$A:AY,COLUMN(AX6),FALSE)&lt;&gt;0,"Strange",0))</f>
        <v>0.1111111111111111</v>
      </c>
      <c r="CA7" s="33">
        <f>IF(VLOOKUP($A7,$A:AL,COLUMN(M6),FALSE)&lt;&gt;0,VLOOKUP($A7,$A:AZ,COLUMN(AY6),FALSE)/VLOOKUP($A7,$A:AL,COLUMN(M6),FALSE),IF(VLOOKUP($A7,$A:AZ,COLUMN(AY6),FALSE)&lt;&gt;0,"Strange",0))</f>
        <v>0</v>
      </c>
      <c r="CB7" s="33">
        <f>IF(VLOOKUP($A7,$A:AL,COLUMN(N6),FALSE)&lt;&gt;0,VLOOKUP($A7,$A:AZ,COLUMN(AZ6),FALSE)/VLOOKUP($A7,$A:AL,COLUMN(N6),FALSE),IF(VLOOKUP($A7,$A:AZ,COLUMN(AZ6),FALSE)&lt;&gt;0,"Strange",0))</f>
        <v>0</v>
      </c>
      <c r="CC7" s="33">
        <f>IF(VLOOKUP($A7,$A:AM,COLUMN(Q6),FALSE)&lt;&gt;0,VLOOKUP($A7,$A:BA,COLUMN(BA6),FALSE)/VLOOKUP($A7,$A:AM,COLUMN(Q6),FALSE),IF(VLOOKUP($A7,$A:BA,COLUMN(BA6),FALSE)&lt;&gt;0,"Strange",0))</f>
        <v>0</v>
      </c>
      <c r="CD7" s="33">
        <f>IF(VLOOKUP($A7,$A:AN,COLUMN(R6),FALSE)&lt;&gt;0,VLOOKUP($A7,$A:BB,COLUMN(BB6),FALSE)/VLOOKUP($A7,$A:AN,COLUMN(R6),FALSE),IF(VLOOKUP($A7,$A:BB,COLUMN(BB6),FALSE)&lt;&gt;0,"Strange",0))</f>
        <v>0</v>
      </c>
      <c r="CE7" s="33">
        <f>IF(VLOOKUP($A7,$A:AO,COLUMN(S6),FALSE)&lt;&gt;0,VLOOKUP($A7,$A:BC,COLUMN(BC6),FALSE)/VLOOKUP($A7,$A:AO,COLUMN(S6),FALSE),IF(VLOOKUP($A7,$A:BC,COLUMN(BC6),FALSE)&lt;&gt;0,"Strange",0))</f>
        <v>0</v>
      </c>
      <c r="CF7" s="33">
        <f>IF(VLOOKUP($A7,$A:AP,COLUMN(T6),FALSE)&lt;&gt;0,VLOOKUP($A7,$A:BD,COLUMN(BD6),FALSE)/VLOOKUP($A7,$A:AP,COLUMN(T6),FALSE),IF(VLOOKUP($A7,$A:BD,COLUMN(BD6),FALSE)&lt;&gt;0,"Strange",0))</f>
        <v>0</v>
      </c>
      <c r="CH7" s="33">
        <f>SUMIFS('Bilateral assistance, MAIN DATA'!$M:$M,'Bilateral assistance, MAIN DATA'!$B:$B,'Share, heavy weapons to Ukraine'!$A7,'Bilateral assistance, MAIN DATA'!$AO:$AO,'Share, heavy weapons to Ukraine'!CH$1,'Bilateral assistance, MAIN DATA'!$AQ:$AQ,2)</f>
        <v>0</v>
      </c>
      <c r="CI7" s="33">
        <f>SUMIFS('Bilateral assistance, MAIN DATA'!$M:$M,'Bilateral assistance, MAIN DATA'!$B:$B,'Share, heavy weapons to Ukraine'!$A7,'Bilateral assistance, MAIN DATA'!$AO:$AO,'Share, heavy weapons to Ukraine'!CI$1,'Bilateral assistance, MAIN DATA'!$AQ:$AQ,2)</f>
        <v>6</v>
      </c>
      <c r="CJ7" s="645">
        <f>SUMIFS('Bilateral assistance, MAIN DATA'!$M:$M,'Bilateral assistance, MAIN DATA'!$B:$B,'Share, heavy weapons to Ukraine'!$A7,'Bilateral assistance, MAIN DATA'!$AO:$AO,"122mm MLRS",'Bilateral assistance, MAIN DATA'!$AQ:$AQ,2)+SUMIFS('Bilateral assistance, MAIN DATA'!$M:$M,'Bilateral assistance, MAIN DATA'!$B:$B,'Share, heavy weapons to Ukraine'!$A7,'Bilateral assistance, MAIN DATA'!$AO:$AO,"127mm MLRS",'Bilateral assistance, MAIN DATA'!$AQ:$AQ,2)+SUMIFS('Bilateral assistance, MAIN DATA'!$M:$M,'Bilateral assistance, MAIN DATA'!$B:$B,'Share, heavy weapons to Ukraine'!$A7,'Bilateral assistance, MAIN DATA'!$AO:$AO,"227mm MLRS",'Bilateral assistance, MAIN DATA'!$AQ:$AQ,2)</f>
        <v>0</v>
      </c>
      <c r="CL7" s="33">
        <f>SUMIFS('Bilateral assistance, MAIN DATA'!$M:$M,'Bilateral assistance, MAIN DATA'!$B:$B,'Share, heavy weapons to Ukraine'!$A7,'Bilateral assistance, MAIN DATA'!$AO:$AO,'Share, heavy weapons to Ukraine'!CH$1,'Bilateral assistance, MAIN DATA'!$AQ:$AQ,1)</f>
        <v>0</v>
      </c>
      <c r="CM7" s="33">
        <f>SUMIFS('Bilateral assistance, MAIN DATA'!$M:$M,'Bilateral assistance, MAIN DATA'!$B:$B,'Share, heavy weapons to Ukraine'!$A7,'Bilateral assistance, MAIN DATA'!$AO:$AO,'Share, heavy weapons to Ukraine'!CI$1,'Bilateral assistance, MAIN DATA'!$AQ:$AQ,1)</f>
        <v>0</v>
      </c>
      <c r="CN7" s="645">
        <f>SUMIFS('Bilateral assistance, MAIN DATA'!$M:$M,'Bilateral assistance, MAIN DATA'!$B:$B,'Share, heavy weapons to Ukraine'!$A7,'Bilateral assistance, MAIN DATA'!$AO:$AO,"122mm MLRS",'Bilateral assistance, MAIN DATA'!$AQ:$AQ,1)+SUMIFS('Bilateral assistance, MAIN DATA'!$M:$M,'Bilateral assistance, MAIN DATA'!$B:$B,'Share, heavy weapons to Ukraine'!$A7,'Bilateral assistance, MAIN DATA'!$AO:$AO,"127mm MLRS",'Bilateral assistance, MAIN DATA'!$AQ:$AQ,1)+SUMIFS('Bilateral assistance, MAIN DATA'!$M:$M,'Bilateral assistance, MAIN DATA'!$B:$B,'Share, heavy weapons to Ukraine'!$A7,'Bilateral assistance, MAIN DATA'!$AO:$AO,"227mm MLRS",'Bilateral assistance, MAIN DATA'!$AQ:$AQ,1)</f>
        <v>0</v>
      </c>
      <c r="CP7" s="33">
        <f>SUMIFS('Bilateral assistance, MAIN DATA'!$M:$M,'Bilateral assistance, MAIN DATA'!$B:$B,'Share, heavy weapons to Ukraine'!$A7,'Bilateral assistance, MAIN DATA'!$AO:$AO,'Share, heavy weapons to Ukraine'!CP$1,'Bilateral assistance, MAIN DATA'!$AQ:$AQ,0)</f>
        <v>0</v>
      </c>
      <c r="CQ7" s="33">
        <f>SUMIFS('Bilateral assistance, MAIN DATA'!$M:$M,'Bilateral assistance, MAIN DATA'!$B:$B,'Share, heavy weapons to Ukraine'!$A7,'Bilateral assistance, MAIN DATA'!$AO:$AO,'Share, heavy weapons to Ukraine'!CQ$1,'Bilateral assistance, MAIN DATA'!$AQ:$AQ,0)</f>
        <v>0</v>
      </c>
      <c r="CR7" s="645">
        <f>SUMIFS('Bilateral assistance, MAIN DATA'!$M:$M,'Bilateral assistance, MAIN DATA'!$B:$B,'Share, heavy weapons to Ukraine'!$A7,'Bilateral assistance, MAIN DATA'!$AO:$AO,"122mm MLRS",'Bilateral assistance, MAIN DATA'!$AQ:$AQ,0)+SUMIFS('Bilateral assistance, MAIN DATA'!$M:$M,'Bilateral assistance, MAIN DATA'!$B:$B,'Share, heavy weapons to Ukraine'!$A7,'Bilateral assistance, MAIN DATA'!$AO:$AO,"127mm MLRS",'Bilateral assistance, MAIN DATA'!$AQ:$AQ,0)+SUMIFS('Bilateral assistance, MAIN DATA'!$M:$M,'Bilateral assistance, MAIN DATA'!$B:$B,'Share, heavy weapons to Ukraine'!$A7,'Bilateral assistance, MAIN DATA'!$AO:$AO,"227mm MLRS",'Bilateral assistance, MAIN DATA'!$AQ:$AQ,0)</f>
        <v>0</v>
      </c>
      <c r="CT7" s="33">
        <f>IF(VLOOKUP($A7,$A:CS,COLUMN(F6),FALSE)&lt;&gt;0,VLOOKUP($A7,$A:CS,COLUMN(CH6),FALSE)/VLOOKUP($A7,$A:AU,COLUMN(F6),FALSE),IF(VLOOKUP($A7,$A:CS,COLUMN(CH6),FALSE)&lt;&gt;0,"Strange",0))</f>
        <v>0</v>
      </c>
      <c r="CU7" s="33">
        <f>IF(VLOOKUP($A7,$A:CS,COLUMN(L6),FALSE)&lt;&gt;0,VLOOKUP($A7,$A:CS,COLUMN(CI6),FALSE)/VLOOKUP($A7,$A:AU,COLUMN(L6),FALSE),IF(VLOOKUP($A7,$A:CS,COLUMN(CI6),FALSE)&lt;&gt;0,"Strange",0))</f>
        <v>0.1111111111111111</v>
      </c>
      <c r="CV7" s="33">
        <f>IF(VLOOKUP($A7,$A:CT,COLUMN(M6),FALSE)&lt;&gt;0,VLOOKUP($A7,$A:CT,COLUMN(CJ6),FALSE)/VLOOKUP($A7,$A:AV,COLUMN(M6),FALSE),IF(VLOOKUP($A7,$A:CT,COLUMN(CJ6),FALSE)&lt;&gt;0,"Strange",0))</f>
        <v>0</v>
      </c>
      <c r="CX7" s="33">
        <f>IF(VLOOKUP($A7,$A:CS,COLUMN(F6),FALSE)&lt;&gt;0,VLOOKUP($A7,$A:CS,COLUMN(CL6),FALSE)/VLOOKUP($A7,$A:AU,COLUMN(F6),FALSE),IF(VLOOKUP($A7,$A:CS,COLUMN(CL6),FALSE)&lt;&gt;0,"Strange",0))</f>
        <v>0</v>
      </c>
      <c r="CY7" s="33">
        <f>IF(VLOOKUP($A7,$A:CS,COLUMN(L6),FALSE)&lt;&gt;0,VLOOKUP($A7,$A:CS,COLUMN(CM6),FALSE)/VLOOKUP($A7,$A:AU,COLUMN(L6),FALSE),IF(VLOOKUP($A7,$A:CS,COLUMN(CM6),FALSE)&lt;&gt;0,"Strange",0))</f>
        <v>0</v>
      </c>
      <c r="CZ7" s="33">
        <f>IF(VLOOKUP($A7,$A:CT,COLUMN(M6),FALSE)&lt;&gt;0,VLOOKUP($A7,$A:CT,COLUMN(CN6),FALSE)/VLOOKUP($A7,$A:AV,COLUMN(M6),FALSE),IF(VLOOKUP($A7,$A:CT,COLUMN(CN6),FALSE)&lt;&gt;0,"Strange",0))</f>
        <v>0</v>
      </c>
      <c r="DB7" s="33">
        <f>IF(VLOOKUP($A7,$A:CS,COLUMN(F6),FALSE)&lt;&gt;0,VLOOKUP($A7,$A:CS,COLUMN(CP6),FALSE)/VLOOKUP($A7,$A:AU,COLUMN(F6),FALSE),IF(VLOOKUP($A7,$A:CS,COLUMN(CP6),FALSE)&lt;&gt;0,"Strange",0))</f>
        <v>0</v>
      </c>
      <c r="DC7" s="33">
        <f>IF(VLOOKUP($A7,$A:CS,COLUMN(L6),FALSE)&lt;&gt;0,VLOOKUP($A7,$A:CS,COLUMN(CQ6),FALSE)/VLOOKUP($A7,$A:AU,COLUMN(L6),FALSE),IF(VLOOKUP($A7,$A:CS,COLUMN(CQ6),FALSE)&lt;&gt;0,"Strange",0))</f>
        <v>0</v>
      </c>
      <c r="DD7" s="33">
        <f>IF(VLOOKUP($A7,$A:CT,COLUMN(M6),FALSE)&lt;&gt;0,VLOOKUP($A7,$A:CT,COLUMN(CR6),FALSE)/VLOOKUP($A7,$A:AV,COLUMN(M6),FALSE),IF(VLOOKUP($A7,$A:CT,COLUMN(CR6),FALSE)&lt;&gt;0,"Strange",0))</f>
        <v>0</v>
      </c>
      <c r="DF7" s="33">
        <f>SUMIFS('Bilateral assistance, MAIN DATA'!$M:$M,'Bilateral assistance, MAIN DATA'!$B:$B,'Share, heavy weapons to Ukraine'!$A7,'Bilateral assistance, MAIN DATA'!$AO:$AO,'Share, heavy weapons to Ukraine'!DF$1, 'Bilateral assistance, MAIN DATA'!$AA:$AA,1)</f>
        <v>0</v>
      </c>
      <c r="DG7" s="33">
        <f>SUMIFS('Bilateral assistance, MAIN DATA'!$M:$M,'Bilateral assistance, MAIN DATA'!$B:$B,'Share, heavy weapons to Ukraine'!$A7,'Bilateral assistance, MAIN DATA'!$AO:$AO,'Share, heavy weapons to Ukraine'!DG$1, 'Bilateral assistance, MAIN DATA'!$AA:$AA,1)</f>
        <v>0</v>
      </c>
      <c r="DH7" s="33">
        <f>SUMIFS('Bilateral assistance, MAIN DATA'!$M:$M,'Bilateral assistance, MAIN DATA'!$B:$B,'Share, heavy weapons to Ukraine'!$A7,'Bilateral assistance, MAIN DATA'!$AO:$AO,'Share, heavy weapons to Ukraine'!DH$1, 'Bilateral assistance, MAIN DATA'!$AA:$AA,1)</f>
        <v>0</v>
      </c>
      <c r="DI7" s="33">
        <f>SUMIFS('Bilateral assistance, MAIN DATA'!$M:$M,'Bilateral assistance, MAIN DATA'!$B:$B,'Share, heavy weapons to Ukraine'!$A7,'Bilateral assistance, MAIN DATA'!$AO:$AO,'Share, heavy weapons to Ukraine'!DI$1, 'Bilateral assistance, MAIN DATA'!$AA:$AA,1)</f>
        <v>0</v>
      </c>
      <c r="DK7" s="33">
        <f>SUMIFS('Bilateral assistance, MAIN DATA'!$N:$N,'Bilateral assistance, MAIN DATA'!$B:$B,'Share, heavy weapons to Ukraine'!$A7,'Bilateral assistance, MAIN DATA'!$AO:$AO,'Share, heavy weapons to Ukraine'!DK$1, 'Bilateral assistance, MAIN DATA'!$AA:$AA,1)</f>
        <v>0</v>
      </c>
      <c r="DL7" s="33">
        <f>SUMIFS('Bilateral assistance, MAIN DATA'!$N:$N,'Bilateral assistance, MAIN DATA'!$B:$B,'Share, heavy weapons to Ukraine'!$A7,'Bilateral assistance, MAIN DATA'!$AO:$AO,'Share, heavy weapons to Ukraine'!DL$1, 'Bilateral assistance, MAIN DATA'!$AA:$AA,1)</f>
        <v>0</v>
      </c>
      <c r="DM7" s="33">
        <f>SUMIFS('Bilateral assistance, MAIN DATA'!$N:$N,'Bilateral assistance, MAIN DATA'!$B:$B,'Share, heavy weapons to Ukraine'!$A7,'Bilateral assistance, MAIN DATA'!$AO:$AO,'Share, heavy weapons to Ukraine'!DM$1, 'Bilateral assistance, MAIN DATA'!$AA:$AA,1)</f>
        <v>0</v>
      </c>
      <c r="DN7" s="33">
        <f>SUMIFS('Bilateral assistance, MAIN DATA'!$N:$N,'Bilateral assistance, MAIN DATA'!$B:$B,'Share, heavy weapons to Ukraine'!$A7,'Bilateral assistance, MAIN DATA'!$AO:$AO,'Share, heavy weapons to Ukraine'!DN$1, 'Bilateral assistance, MAIN DATA'!$AA:$AA,1)</f>
        <v>0</v>
      </c>
    </row>
    <row r="8" spans="1:118">
      <c r="A8" s="801" t="s">
        <v>1412</v>
      </c>
      <c r="B8" s="801">
        <v>0</v>
      </c>
      <c r="C8" s="33">
        <v>1</v>
      </c>
      <c r="E8" s="802">
        <v>33.799999999999997</v>
      </c>
      <c r="F8" s="801">
        <f>VLOOKUP(A8,'Heavy weapon stocks'!A:OH,COLUMN('Heavy weapon stocks'!$G$1),0)</f>
        <v>150</v>
      </c>
      <c r="G8" s="801">
        <f>VLOOKUP(A8,'Heavy weapon stocks'!A:OH,COLUMN('Heavy weapon stocks'!$AW$1),0)</f>
        <v>346</v>
      </c>
      <c r="H8" s="801">
        <f>VLOOKUP(A8,'Heavy weapon stocks'!A:OH,COLUMN('Heavy weapon stocks'!$DQ$1),0)</f>
        <v>33</v>
      </c>
      <c r="I8" s="801">
        <f>VLOOKUP(A8,'Heavy weapon stocks'!A:OH,COLUMN('Heavy weapon stocks'!$EE$1),0)</f>
        <v>1884</v>
      </c>
      <c r="J8" s="801">
        <f>VLOOKUP(A8,'Heavy weapon stocks'!A:OH,COLUMN('Heavy weapon stocks'!$FG$1),0)</f>
        <v>681</v>
      </c>
      <c r="K8" s="801">
        <f t="shared" si="3"/>
        <v>2944</v>
      </c>
      <c r="L8" s="801">
        <f>VLOOKUP(A8,'Heavy weapon stocks'!A:OH,COLUMN('Heavy weapon stocks'!$HC$1),0)+VLOOKUP(A8,'Heavy weapon stocks'!A:OH,COLUMN('Heavy weapon stocks'!$II$1),0)</f>
        <v>233</v>
      </c>
      <c r="M8" s="801">
        <f>VLOOKUP(A8,'Heavy weapon stocks'!A:OH,COLUMN('Heavy weapon stocks'!$IN$1),0)</f>
        <v>22</v>
      </c>
      <c r="N8" s="801">
        <f>VLOOKUP(A8,'Heavy weapon stocks'!A:OH,COLUMN('Heavy weapon stocks'!$JH$1),0)+VLOOKUP(A8,'Heavy weapon stocks'!A:OH,COLUMN('Heavy weapon stocks'!$KE$1),0)</f>
        <v>148</v>
      </c>
      <c r="O8" s="801">
        <f>VLOOKUP(A8,'Heavy weapon stocks'!A:OH,COLUMN('Heavy weapon stocks'!$LU$1),0)</f>
        <v>0</v>
      </c>
      <c r="Q8" s="801">
        <f>VLOOKUP(A8,'Heavy weapon stocks'!A:OH,COLUMN('Heavy weapon stocks'!$LV$1),0)</f>
        <v>20</v>
      </c>
      <c r="R8" s="801">
        <f>VLOOKUP(A8,'Heavy weapon stocks'!A:OH,COLUMN('Heavy weapon stocks'!$MF$1),0)</f>
        <v>0</v>
      </c>
      <c r="S8" s="801">
        <f>VLOOKUP(A8,'Heavy weapon stocks'!A:OH,COLUMN('Heavy weapon stocks'!$MM$1),0)</f>
        <v>32</v>
      </c>
      <c r="T8" s="801">
        <f>VLOOKUP(A8,'Heavy weapon stocks'!A:OH,COLUMN('Heavy weapon stocks'!$NR$1),0)</f>
        <v>0</v>
      </c>
      <c r="V8" s="801">
        <f>VLOOKUP(A8,'Heavy weapon stocks'!A:OH,COLUMN('Heavy weapon stocks'!$H$1),0)</f>
        <v>0</v>
      </c>
      <c r="W8" s="801">
        <f>VLOOKUP(A8,'Heavy weapon stocks'!A:OH,COLUMN('Heavy weapon stocks'!$DQ$1),0)</f>
        <v>33</v>
      </c>
      <c r="X8" s="801">
        <f>VLOOKUP(A8,'Heavy weapon stocks'!A:OH,COLUMN('Heavy weapon stocks'!$FG$1),0)</f>
        <v>681</v>
      </c>
      <c r="Y8" s="801">
        <f>VLOOKUP(A8,'Heavy weapon stocks'!A:OH,COLUMN('Heavy weapon stocks'!$HC$1),0)+VLOOKUP(A8,'Heavy weapon stocks'!A:OH,COLUMN('Heavy weapon stocks'!$II$1),0)</f>
        <v>233</v>
      </c>
      <c r="Z8" s="801">
        <f>VLOOKUP(A8,'Heavy weapon stocks'!A:OH,COLUMN('Heavy weapon stocks'!$IO$1),0)+VLOOKUP(A8,'Heavy weapon stocks'!A:OH,COLUMN('Heavy weapon stocks'!$IP$1),0)+VLOOKUP(A8,'Heavy weapon stocks'!A:OH,COLUMN('Heavy weapon stocks'!$IU$1),0)</f>
        <v>0</v>
      </c>
      <c r="AA8" s="801">
        <f>VLOOKUP(A8,'Heavy weapon stocks'!A:OH,COLUMN('Heavy weapon stocks'!$MI$1),0)</f>
        <v>0</v>
      </c>
      <c r="AB8" s="801">
        <f>VLOOKUP(A8,'Heavy weapon stocks'!A:OH,COLUMN('Heavy weapon stocks'!$MS$1),0)+VLOOKUP(A8,'Heavy weapon stocks'!A:OH,COLUMN('Heavy weapon stocks'!$MT$1),0)+VLOOKUP(A8,'Heavy weapon stocks'!A:OH,COLUMN('Heavy weapon stocks'!$MU$1),0)+VLOOKUP(A8,'Heavy weapon stocks'!A:OH,COLUMN('Heavy weapon stocks'!$MV$1),0)</f>
        <v>0</v>
      </c>
      <c r="AD8" s="33">
        <f>SUMIFS('Bilateral assistance, MAIN DATA'!$M:$M,'Bilateral assistance, MAIN DATA'!$B:$B,'Share, heavy weapons to Ukraine'!$A8,'Bilateral assistance, MAIN DATA'!$AO:$AO,'Share, heavy weapons to Ukraine'!AD$1)</f>
        <v>0</v>
      </c>
      <c r="AE8" s="33">
        <f>SUMIFS('Bilateral assistance, MAIN DATA'!$M:$M,'Bilateral assistance, MAIN DATA'!$B:$B,'Share, heavy weapons to Ukraine'!$A8,'Bilateral assistance, MAIN DATA'!$AO:$AO,'Share, heavy weapons to Ukraine'!AE$1)</f>
        <v>24</v>
      </c>
      <c r="AF8" s="33">
        <f>SUMIFS('Bilateral assistance, MAIN DATA'!$M:$M,'Bilateral assistance, MAIN DATA'!$B:$B,'Share, heavy weapons to Ukraine'!$A8,'Bilateral assistance, MAIN DATA'!$AO:$AO,'Share, heavy weapons to Ukraine'!AF$1)</f>
        <v>0</v>
      </c>
      <c r="AG8" s="33">
        <f>SUMIFS('Bilateral assistance, MAIN DATA'!$M:$M,'Bilateral assistance, MAIN DATA'!$B:$B,'Share, heavy weapons to Ukraine'!$A8,'Bilateral assistance, MAIN DATA'!$AO:$AO,'Share, heavy weapons to Ukraine'!AG$1)</f>
        <v>0</v>
      </c>
      <c r="AH8" s="33">
        <f>SUMIFS('Bilateral assistance, MAIN DATA'!$M:$M,'Bilateral assistance, MAIN DATA'!$B:$B,'Share, heavy weapons to Ukraine'!$A8,'Bilateral assistance, MAIN DATA'!$AO:$AO,'Share, heavy weapons to Ukraine'!AH$1)</f>
        <v>0</v>
      </c>
      <c r="AI8" s="33">
        <f t="shared" si="1"/>
        <v>24</v>
      </c>
      <c r="AJ8" s="33">
        <f>SUMIFS('Bilateral assistance, MAIN DATA'!$M:$M,'Bilateral assistance, MAIN DATA'!$B:$B,'Share, heavy weapons to Ukraine'!$A8,'Bilateral assistance, MAIN DATA'!$AO:$AO,'Share, heavy weapons to Ukraine'!AJ$1)</f>
        <v>36</v>
      </c>
      <c r="AK8" s="645">
        <f>SUMIFS('Bilateral assistance, MAIN DATA'!$M:$M,'Bilateral assistance, MAIN DATA'!$B:$B,'Share, heavy weapons to Ukraine'!$A8,'Bilateral assistance, MAIN DATA'!$AO:$AO,"122mm MLRS")+SUMIFS('Bilateral assistance, MAIN DATA'!$M:$M,'Bilateral assistance, MAIN DATA'!$B:$B,'Share, heavy weapons to Ukraine'!$A8,'Bilateral assistance, MAIN DATA'!$AO:$AO,"127mm MLRS")+SUMIFS('Bilateral assistance, MAIN DATA'!$M:$M,'Bilateral assistance, MAIN DATA'!$B:$B,'Share, heavy weapons to Ukraine'!$A8,'Bilateral assistance, MAIN DATA'!$AO:$AO,"227mm MLRS")</f>
        <v>2</v>
      </c>
      <c r="AL8" s="33">
        <f>SUMIFS('Bilateral assistance, MAIN DATA'!$M:$M,'Bilateral assistance, MAIN DATA'!$B:$B,'Share, heavy weapons to Ukraine'!$A8,'Bilateral assistance, MAIN DATA'!$AO:$AO,'Share, heavy weapons to Ukraine'!AL$1)</f>
        <v>0</v>
      </c>
      <c r="AM8" s="33">
        <f>SUMIFS('Bilateral assistance, MAIN DATA'!$M:$M,'Bilateral assistance, MAIN DATA'!$B:$B,'Share, heavy weapons to Ukraine'!$A8,'Bilateral assistance, MAIN DATA'!$AO:$AO,'Share, heavy weapons to Ukraine'!AM$1)</f>
        <v>0</v>
      </c>
      <c r="AN8" s="33">
        <f>SUMIFS('Bilateral assistance, MAIN DATA'!$M:$M,'Bilateral assistance, MAIN DATA'!$B:$B,'Share, heavy weapons to Ukraine'!$A8,'Bilateral assistance, MAIN DATA'!$AO:$AO,'Share, heavy weapons to Ukraine'!AN$1)</f>
        <v>0</v>
      </c>
      <c r="AO8" s="33">
        <f>SUMIFS('Bilateral assistance, MAIN DATA'!$M:$M,'Bilateral assistance, MAIN DATA'!$B:$B,'Share, heavy weapons to Ukraine'!$A8,'Bilateral assistance, MAIN DATA'!$AO:$AO,'Share, heavy weapons to Ukraine'!AO$1)</f>
        <v>0</v>
      </c>
      <c r="AP8" s="33">
        <f>SUMIFS('Bilateral assistance, MAIN DATA'!$M:$M,'Bilateral assistance, MAIN DATA'!$B:$B,'Share, heavy weapons to Ukraine'!$A8,'Bilateral assistance, MAIN DATA'!$AO:$AO,'Share, heavy weapons to Ukraine'!AP$1)</f>
        <v>0</v>
      </c>
      <c r="AR8" s="33">
        <f>SUMIFS('Bilateral assistance, MAIN DATA'!$N:$N,'Bilateral assistance, MAIN DATA'!$B:$B,'Share, heavy weapons to Ukraine'!$A8,'Bilateral assistance, MAIN DATA'!$AO:$AO,'Share, heavy weapons to Ukraine'!AR$1)</f>
        <v>0</v>
      </c>
      <c r="AS8" s="33">
        <f>SUMIFS('Bilateral assistance, MAIN DATA'!$N:$N,'Bilateral assistance, MAIN DATA'!$B:$B,'Share, heavy weapons to Ukraine'!$A8,'Bilateral assistance, MAIN DATA'!$AO:$AO,'Share, heavy weapons to Ukraine'!AS$1)</f>
        <v>0</v>
      </c>
      <c r="AT8" s="33">
        <f>SUMIFS('Bilateral assistance, MAIN DATA'!$N:$N,'Bilateral assistance, MAIN DATA'!$B:$B,'Share, heavy weapons to Ukraine'!$A8,'Bilateral assistance, MAIN DATA'!$AO:$AO,'Share, heavy weapons to Ukraine'!AT$1)</f>
        <v>0</v>
      </c>
      <c r="AU8" s="33">
        <f>SUMIFS('Bilateral assistance, MAIN DATA'!$N:$N,'Bilateral assistance, MAIN DATA'!$B:$B,'Share, heavy weapons to Ukraine'!$A8,'Bilateral assistance, MAIN DATA'!$AO:$AO,'Share, heavy weapons to Ukraine'!AU$1)</f>
        <v>0</v>
      </c>
      <c r="AV8" s="33">
        <f>SUMIFS('Bilateral assistance, MAIN DATA'!$N:$N,'Bilateral assistance, MAIN DATA'!$B:$B,'Share, heavy weapons to Ukraine'!$A8,'Bilateral assistance, MAIN DATA'!$AO:$AO,'Share, heavy weapons to Ukraine'!AV$1)</f>
        <v>0</v>
      </c>
      <c r="AW8" s="33">
        <f t="shared" si="2"/>
        <v>0</v>
      </c>
      <c r="AX8" s="33">
        <f>SUMIFS('Bilateral assistance, MAIN DATA'!$N:$N,'Bilateral assistance, MAIN DATA'!$B:$B,'Share, heavy weapons to Ukraine'!$A8,'Bilateral assistance, MAIN DATA'!$AO:$AO,'Share, heavy weapons to Ukraine'!AX$1)</f>
        <v>36</v>
      </c>
      <c r="AY8" s="645">
        <f>SUMIFS('Bilateral assistance, MAIN DATA'!$N:$N,'Bilateral assistance, MAIN DATA'!$B:$B,'Share, heavy weapons to Ukraine'!$A8,'Bilateral assistance, MAIN DATA'!$AO:$AO,"122mm MLRS")+SUMIFS('Bilateral assistance, MAIN DATA'!$N:$N,'Bilateral assistance, MAIN DATA'!$B:$B,'Share, heavy weapons to Ukraine'!$A8,'Bilateral assistance, MAIN DATA'!$AO:$AO,"127mm MLRS")+SUMIFS('Bilateral assistance, MAIN DATA'!$N:$N,'Bilateral assistance, MAIN DATA'!$B:$B,'Share, heavy weapons to Ukraine'!$A8,'Bilateral assistance, MAIN DATA'!$AO:$AO,"227mm MLRS")</f>
        <v>2</v>
      </c>
      <c r="AZ8" s="33">
        <f>SUMIFS('Bilateral assistance, MAIN DATA'!$N:$N,'Bilateral assistance, MAIN DATA'!$B:$B,'Share, heavy weapons to Ukraine'!$A8,'Bilateral assistance, MAIN DATA'!$AO:$AO,'Share, heavy weapons to Ukraine'!AZ$1)</f>
        <v>0</v>
      </c>
      <c r="BA8" s="33">
        <f>SUMIFS('Bilateral assistance, MAIN DATA'!$N:$N,'Bilateral assistance, MAIN DATA'!$B:$B,'Share, heavy weapons to Ukraine'!$A8,'Bilateral assistance, MAIN DATA'!$AO:$AO,'Share, heavy weapons to Ukraine'!BA$1)</f>
        <v>0</v>
      </c>
      <c r="BB8" s="33">
        <f>SUMIFS('Bilateral assistance, MAIN DATA'!$N:$N,'Bilateral assistance, MAIN DATA'!$B:$B,'Share, heavy weapons to Ukraine'!$A8,'Bilateral assistance, MAIN DATA'!$AO:$AO,'Share, heavy weapons to Ukraine'!BB$1)</f>
        <v>0</v>
      </c>
      <c r="BC8" s="33">
        <f>SUMIFS('Bilateral assistance, MAIN DATA'!$N:$N,'Bilateral assistance, MAIN DATA'!$B:$B,'Share, heavy weapons to Ukraine'!$A8,'Bilateral assistance, MAIN DATA'!$AO:$AO,'Share, heavy weapons to Ukraine'!BC$1)</f>
        <v>0</v>
      </c>
      <c r="BD8" s="33">
        <f>SUMIFS('Bilateral assistance, MAIN DATA'!$N:$N,'Bilateral assistance, MAIN DATA'!$B:$B,'Share, heavy weapons to Ukraine'!$A8,'Bilateral assistance, MAIN DATA'!$AO:$AO,'Share, heavy weapons to Ukraine'!BD$1)</f>
        <v>0</v>
      </c>
      <c r="BF8" s="33">
        <f>IF(VLOOKUP($A8,$A:F,COLUMN(F7),FALSE)&lt;&gt;0,VLOOKUP($A8,$A:AD,COLUMN(AD7),FALSE)/VLOOKUP($A8,$A:F,COLUMN(F7),FALSE),IF(VLOOKUP($A8,$A:AD,COLUMN(AD7),FALSE)&lt;&gt;0,"Strange",0))</f>
        <v>0</v>
      </c>
      <c r="BG8" s="33">
        <f>IF(VLOOKUP($A8,$A:G,COLUMN(G7),FALSE)&lt;&gt;0,VLOOKUP($A8,$A:AE,COLUMN(AE7),FALSE)/VLOOKUP($A8,$A:G,COLUMN(G7),FALSE),IF(VLOOKUP($A8,$A:AE,COLUMN(AE7),FALSE)&lt;&gt;0,"Strange",0))</f>
        <v>6.9364161849710976E-2</v>
      </c>
      <c r="BH8" s="33">
        <f>IF(VLOOKUP($A8,$A:H,COLUMN(H7),FALSE)&lt;&gt;0,VLOOKUP($A8,$A:AF,COLUMN(AF7),FALSE)/VLOOKUP($A8,$A:H,COLUMN(H7),FALSE),IF(VLOOKUP($A8,$A:AF,COLUMN(AF7),FALSE)&lt;&gt;0,"Strange",0))</f>
        <v>0</v>
      </c>
      <c r="BI8" s="33">
        <f>IF(VLOOKUP($A8,$A:I,COLUMN(I7),FALSE)&lt;&gt;0,VLOOKUP($A8,$A:AG,COLUMN(AG7),FALSE)/VLOOKUP($A8,$A:I,COLUMN(I7),FALSE),IF(VLOOKUP($A8,$A:AG,COLUMN(AG7),FALSE)&lt;&gt;0,"Strange",0))</f>
        <v>0</v>
      </c>
      <c r="BJ8" s="33">
        <f>IF(VLOOKUP($A8,$A:J,COLUMN(J7),FALSE)&lt;&gt;0,VLOOKUP($A8,$A:AH,COLUMN(AH7),FALSE)/VLOOKUP($A8,$A:J,COLUMN(J7),FALSE),IF(VLOOKUP($A8,$A:AH,COLUMN(AH7),FALSE)&lt;&gt;0,"Strange",0))</f>
        <v>0</v>
      </c>
      <c r="BK8" s="33">
        <f>IF(VLOOKUP($A8,$A:K,COLUMN(K7),FALSE)&lt;&gt;0,VLOOKUP($A8,$A:AI,COLUMN(AI7),FALSE)/VLOOKUP($A8,$A:K,COLUMN(K7),FALSE),IF(VLOOKUP($A8,$A:AI,COLUMN(AI7),FALSE)&lt;&gt;0,"Strange",0))</f>
        <v>8.152173913043478E-3</v>
      </c>
      <c r="BL8" s="33">
        <f>IF(VLOOKUP($A8,$A:L,COLUMN(L7),FALSE)&lt;&gt;0,VLOOKUP($A8,$A:AJ,COLUMN(AJ7),FALSE)/VLOOKUP($A8,$A:L,COLUMN(L7),FALSE),IF(VLOOKUP($A8,$A:AJ,COLUMN(AJ7),FALSE)&lt;&gt;0,"Strange",0))</f>
        <v>0.15450643776824036</v>
      </c>
      <c r="BM8" s="33">
        <f>IF(VLOOKUP($A8,$A:M,COLUMN(M7),FALSE)&lt;&gt;0,VLOOKUP($A8,$A:AK,COLUMN(AK7),FALSE)/VLOOKUP($A8,$A:M,COLUMN(M7),FALSE),IF(VLOOKUP($A8,$A:AK,COLUMN(AK7),FALSE)&lt;&gt;0,"Strange",0))</f>
        <v>9.0909090909090912E-2</v>
      </c>
      <c r="BN8" s="33">
        <f>IF(VLOOKUP($A8,$A:N,COLUMN(N7),FALSE)&lt;&gt;0,VLOOKUP($A8,$A:AL,COLUMN(AL7),FALSE)/VLOOKUP($A8,$A:N,COLUMN(N7),FALSE),IF(VLOOKUP($A8,$A:AL,COLUMN(AL7),FALSE)&lt;&gt;0,"Strange",0))</f>
        <v>0</v>
      </c>
      <c r="BO8" s="33">
        <f>IF(VLOOKUP($A8,$A:Q,COLUMN(Q7),FALSE)&lt;&gt;0,VLOOKUP($A8,$A:AM,COLUMN(AM7),FALSE)/VLOOKUP($A8,$A:Q,COLUMN(Q7),FALSE),IF(VLOOKUP($A8,$A:AM,COLUMN(AM7),FALSE)&lt;&gt;0,"Strange",0))</f>
        <v>0</v>
      </c>
      <c r="BP8" s="33">
        <f>IF(VLOOKUP($A8,$A:R,COLUMN(R7),FALSE)&lt;&gt;0,VLOOKUP($A8,$A:AN,COLUMN(AN7),FALSE)/VLOOKUP($A8,$A:R,COLUMN(R7),FALSE),IF(VLOOKUP($A8,$A:AN,COLUMN(AN7),FALSE)&lt;&gt;0,"Strange",0))</f>
        <v>0</v>
      </c>
      <c r="BQ8" s="33">
        <f>IF(VLOOKUP($A8,$A:S,COLUMN(S7),FALSE)&lt;&gt;0,VLOOKUP($A8,$A:AO,COLUMN(AO7),FALSE)/VLOOKUP($A8,$A:S,COLUMN(S7),FALSE),IF(VLOOKUP($A8,$A:AO,COLUMN(AO7),FALSE)&lt;&gt;0,"Strange",0))</f>
        <v>0</v>
      </c>
      <c r="BR8" s="33">
        <f>IF(VLOOKUP($A8,$A:T,COLUMN(T7),FALSE)&lt;&gt;0,VLOOKUP($A8,$A:AP,COLUMN(AP7),FALSE)/VLOOKUP($A8,$A:T,COLUMN(T7),FALSE),IF(VLOOKUP($A8,$A:AP,COLUMN(AP7),FALSE)&lt;&gt;0,"Strange",0))</f>
        <v>0</v>
      </c>
      <c r="BT8" s="33">
        <f>IF(VLOOKUP($A8,$A:AE,COLUMN(F7),FALSE)&lt;&gt;0,VLOOKUP($A8,$A:AS,COLUMN(AR7),FALSE)/VLOOKUP($A8,$A:AE,COLUMN(F7),FALSE),IF(VLOOKUP($A8,$A:AS,COLUMN(AR7),FALSE)&lt;&gt;0,"Strange",0))</f>
        <v>0</v>
      </c>
      <c r="BU8" s="33">
        <f>IF(VLOOKUP($A8,$A:AF,COLUMN(G7),FALSE)&lt;&gt;0,VLOOKUP($A8,$A:AT,COLUMN(AS7),FALSE)/VLOOKUP($A8,$A:AF,COLUMN(G7),FALSE),IF(VLOOKUP($A8,$A:AT,COLUMN(AS7),FALSE)&lt;&gt;0,"Strange",0))</f>
        <v>0</v>
      </c>
      <c r="BV8" s="33">
        <f>IF(VLOOKUP($A8,$A:AG,COLUMN(H7),FALSE)&lt;&gt;0,VLOOKUP($A8,$A:AU,COLUMN(AT7),FALSE)/VLOOKUP($A8,$A:AG,COLUMN(H7),FALSE),IF(VLOOKUP($A8,$A:AU,COLUMN(AT7),FALSE)&lt;&gt;0,"Strange",0))</f>
        <v>0</v>
      </c>
      <c r="BW8" s="33">
        <f>IF(VLOOKUP($A8,$A:AH,COLUMN(I7),FALSE)&lt;&gt;0,VLOOKUP($A8,$A:AV,COLUMN(AU7),FALSE)/VLOOKUP($A8,$A:AH,COLUMN(I7),FALSE),IF(VLOOKUP($A8,$A:AV,COLUMN(AU7),FALSE)&lt;&gt;0,"Strange",0))</f>
        <v>0</v>
      </c>
      <c r="BX8" s="33">
        <f>IF(VLOOKUP($A8,$A:AJ,COLUMN(J7),FALSE)&lt;&gt;0,VLOOKUP($A8,$A:AX,COLUMN(AV7),FALSE)/VLOOKUP($A8,$A:AJ,COLUMN(J7),FALSE),IF(VLOOKUP($A8,$A:AX,COLUMN(AV7),FALSE)&lt;&gt;0,"Strange",0))</f>
        <v>0</v>
      </c>
      <c r="BY8" s="33">
        <f>IF(VLOOKUP($A8,$A:AK,COLUMN(K7),FALSE)&lt;&gt;0,VLOOKUP($A8,$A:AY,COLUMN(AW7),FALSE)/VLOOKUP($A8,$A:AK,COLUMN(K7),FALSE),IF(VLOOKUP($A8,$A:AY,COLUMN(AW7),FALSE)&lt;&gt;0,"Strange",0))</f>
        <v>0</v>
      </c>
      <c r="BZ8" s="33">
        <f>IF(VLOOKUP($A8,$A:AK,COLUMN(L7),FALSE)&lt;&gt;0,VLOOKUP($A8,$A:AY,COLUMN(AX7),FALSE)/VLOOKUP($A8,$A:AK,COLUMN(L7),FALSE),IF(VLOOKUP($A8,$A:AY,COLUMN(AX7),FALSE)&lt;&gt;0,"Strange",0))</f>
        <v>0.15450643776824036</v>
      </c>
      <c r="CA8" s="33">
        <f>IF(VLOOKUP($A8,$A:AL,COLUMN(M7),FALSE)&lt;&gt;0,VLOOKUP($A8,$A:AZ,COLUMN(AY7),FALSE)/VLOOKUP($A8,$A:AL,COLUMN(M7),FALSE),IF(VLOOKUP($A8,$A:AZ,COLUMN(AY7),FALSE)&lt;&gt;0,"Strange",0))</f>
        <v>9.0909090909090912E-2</v>
      </c>
      <c r="CB8" s="33">
        <f>IF(VLOOKUP($A8,$A:AL,COLUMN(N7),FALSE)&lt;&gt;0,VLOOKUP($A8,$A:AZ,COLUMN(AZ7),FALSE)/VLOOKUP($A8,$A:AL,COLUMN(N7),FALSE),IF(VLOOKUP($A8,$A:AZ,COLUMN(AZ7),FALSE)&lt;&gt;0,"Strange",0))</f>
        <v>0</v>
      </c>
      <c r="CC8" s="33">
        <f>IF(VLOOKUP($A8,$A:AM,COLUMN(Q7),FALSE)&lt;&gt;0,VLOOKUP($A8,$A:BA,COLUMN(BA7),FALSE)/VLOOKUP($A8,$A:AM,COLUMN(Q7),FALSE),IF(VLOOKUP($A8,$A:BA,COLUMN(BA7),FALSE)&lt;&gt;0,"Strange",0))</f>
        <v>0</v>
      </c>
      <c r="CD8" s="33">
        <f>IF(VLOOKUP($A8,$A:AN,COLUMN(R7),FALSE)&lt;&gt;0,VLOOKUP($A8,$A:BB,COLUMN(BB7),FALSE)/VLOOKUP($A8,$A:AN,COLUMN(R7),FALSE),IF(VLOOKUP($A8,$A:BB,COLUMN(BB7),FALSE)&lt;&gt;0,"Strange",0))</f>
        <v>0</v>
      </c>
      <c r="CE8" s="33">
        <f>IF(VLOOKUP($A8,$A:AO,COLUMN(S7),FALSE)&lt;&gt;0,VLOOKUP($A8,$A:BC,COLUMN(BC7),FALSE)/VLOOKUP($A8,$A:AO,COLUMN(S7),FALSE),IF(VLOOKUP($A8,$A:BC,COLUMN(BC7),FALSE)&lt;&gt;0,"Strange",0))</f>
        <v>0</v>
      </c>
      <c r="CF8" s="33">
        <f>IF(VLOOKUP($A8,$A:AP,COLUMN(T7),FALSE)&lt;&gt;0,VLOOKUP($A8,$A:BD,COLUMN(BD7),FALSE)/VLOOKUP($A8,$A:AP,COLUMN(T7),FALSE),IF(VLOOKUP($A8,$A:BD,COLUMN(BD7),FALSE)&lt;&gt;0,"Strange",0))</f>
        <v>0</v>
      </c>
      <c r="CH8" s="33">
        <f>SUMIFS('Bilateral assistance, MAIN DATA'!$M:$M,'Bilateral assistance, MAIN DATA'!$B:$B,'Share, heavy weapons to Ukraine'!$A8,'Bilateral assistance, MAIN DATA'!$AO:$AO,'Share, heavy weapons to Ukraine'!CH$1,'Bilateral assistance, MAIN DATA'!$AQ:$AQ,2)</f>
        <v>0</v>
      </c>
      <c r="CI8" s="33">
        <f>SUMIFS('Bilateral assistance, MAIN DATA'!$M:$M,'Bilateral assistance, MAIN DATA'!$B:$B,'Share, heavy weapons to Ukraine'!$A8,'Bilateral assistance, MAIN DATA'!$AO:$AO,'Share, heavy weapons to Ukraine'!CI$1,'Bilateral assistance, MAIN DATA'!$AQ:$AQ,2)</f>
        <v>36</v>
      </c>
      <c r="CJ8" s="645">
        <f>SUMIFS('Bilateral assistance, MAIN DATA'!$M:$M,'Bilateral assistance, MAIN DATA'!$B:$B,'Share, heavy weapons to Ukraine'!$A8,'Bilateral assistance, MAIN DATA'!$AO:$AO,"122mm MLRS",'Bilateral assistance, MAIN DATA'!$AQ:$AQ,2)+SUMIFS('Bilateral assistance, MAIN DATA'!$M:$M,'Bilateral assistance, MAIN DATA'!$B:$B,'Share, heavy weapons to Ukraine'!$A8,'Bilateral assistance, MAIN DATA'!$AO:$AO,"127mm MLRS",'Bilateral assistance, MAIN DATA'!$AQ:$AQ,2)+SUMIFS('Bilateral assistance, MAIN DATA'!$M:$M,'Bilateral assistance, MAIN DATA'!$B:$B,'Share, heavy weapons to Ukraine'!$A8,'Bilateral assistance, MAIN DATA'!$AO:$AO,"227mm MLRS",'Bilateral assistance, MAIN DATA'!$AQ:$AQ,2)</f>
        <v>2</v>
      </c>
      <c r="CL8" s="33">
        <f>SUMIFS('Bilateral assistance, MAIN DATA'!$M:$M,'Bilateral assistance, MAIN DATA'!$B:$B,'Share, heavy weapons to Ukraine'!$A8,'Bilateral assistance, MAIN DATA'!$AO:$AO,'Share, heavy weapons to Ukraine'!CH$1,'Bilateral assistance, MAIN DATA'!$AQ:$AQ,1)</f>
        <v>0</v>
      </c>
      <c r="CM8" s="33">
        <f>SUMIFS('Bilateral assistance, MAIN DATA'!$M:$M,'Bilateral assistance, MAIN DATA'!$B:$B,'Share, heavy weapons to Ukraine'!$A8,'Bilateral assistance, MAIN DATA'!$AO:$AO,'Share, heavy weapons to Ukraine'!CI$1,'Bilateral assistance, MAIN DATA'!$AQ:$AQ,1)</f>
        <v>0</v>
      </c>
      <c r="CN8" s="645">
        <f>SUMIFS('Bilateral assistance, MAIN DATA'!$M:$M,'Bilateral assistance, MAIN DATA'!$B:$B,'Share, heavy weapons to Ukraine'!$A8,'Bilateral assistance, MAIN DATA'!$AO:$AO,"122mm MLRS",'Bilateral assistance, MAIN DATA'!$AQ:$AQ,1)+SUMIFS('Bilateral assistance, MAIN DATA'!$M:$M,'Bilateral assistance, MAIN DATA'!$B:$B,'Share, heavy weapons to Ukraine'!$A8,'Bilateral assistance, MAIN DATA'!$AO:$AO,"127mm MLRS",'Bilateral assistance, MAIN DATA'!$AQ:$AQ,1)+SUMIFS('Bilateral assistance, MAIN DATA'!$M:$M,'Bilateral assistance, MAIN DATA'!$B:$B,'Share, heavy weapons to Ukraine'!$A8,'Bilateral assistance, MAIN DATA'!$AO:$AO,"227mm MLRS",'Bilateral assistance, MAIN DATA'!$AQ:$AQ,1)</f>
        <v>0</v>
      </c>
      <c r="CP8" s="33">
        <f>SUMIFS('Bilateral assistance, MAIN DATA'!$M:$M,'Bilateral assistance, MAIN DATA'!$B:$B,'Share, heavy weapons to Ukraine'!$A8,'Bilateral assistance, MAIN DATA'!$AO:$AO,'Share, heavy weapons to Ukraine'!CP$1,'Bilateral assistance, MAIN DATA'!$AQ:$AQ,0)</f>
        <v>0</v>
      </c>
      <c r="CQ8" s="33">
        <f>SUMIFS('Bilateral assistance, MAIN DATA'!$M:$M,'Bilateral assistance, MAIN DATA'!$B:$B,'Share, heavy weapons to Ukraine'!$A8,'Bilateral assistance, MAIN DATA'!$AO:$AO,'Share, heavy weapons to Ukraine'!CQ$1,'Bilateral assistance, MAIN DATA'!$AQ:$AQ,0)</f>
        <v>0</v>
      </c>
      <c r="CR8" s="645">
        <f>SUMIFS('Bilateral assistance, MAIN DATA'!$M:$M,'Bilateral assistance, MAIN DATA'!$B:$B,'Share, heavy weapons to Ukraine'!$A8,'Bilateral assistance, MAIN DATA'!$AO:$AO,"122mm MLRS",'Bilateral assistance, MAIN DATA'!$AQ:$AQ,0)+SUMIFS('Bilateral assistance, MAIN DATA'!$M:$M,'Bilateral assistance, MAIN DATA'!$B:$B,'Share, heavy weapons to Ukraine'!$A8,'Bilateral assistance, MAIN DATA'!$AO:$AO,"127mm MLRS",'Bilateral assistance, MAIN DATA'!$AQ:$AQ,0)+SUMIFS('Bilateral assistance, MAIN DATA'!$M:$M,'Bilateral assistance, MAIN DATA'!$B:$B,'Share, heavy weapons to Ukraine'!$A8,'Bilateral assistance, MAIN DATA'!$AO:$AO,"227mm MLRS",'Bilateral assistance, MAIN DATA'!$AQ:$AQ,0)</f>
        <v>0</v>
      </c>
      <c r="CT8" s="33">
        <f>IF(VLOOKUP($A8,$A:CS,COLUMN(F7),FALSE)&lt;&gt;0,VLOOKUP($A8,$A:CS,COLUMN(CH7),FALSE)/VLOOKUP($A8,$A:AU,COLUMN(F7),FALSE),IF(VLOOKUP($A8,$A:CS,COLUMN(CH7),FALSE)&lt;&gt;0,"Strange",0))</f>
        <v>0</v>
      </c>
      <c r="CU8" s="33">
        <f>IF(VLOOKUP($A8,$A:CS,COLUMN(L7),FALSE)&lt;&gt;0,VLOOKUP($A8,$A:CS,COLUMN(CI7),FALSE)/VLOOKUP($A8,$A:AU,COLUMN(L7),FALSE),IF(VLOOKUP($A8,$A:CS,COLUMN(CI7),FALSE)&lt;&gt;0,"Strange",0))</f>
        <v>0.15450643776824036</v>
      </c>
      <c r="CV8" s="33">
        <f>IF(VLOOKUP($A8,$A:CT,COLUMN(M7),FALSE)&lt;&gt;0,VLOOKUP($A8,$A:CT,COLUMN(CJ7),FALSE)/VLOOKUP($A8,$A:AV,COLUMN(M7),FALSE),IF(VLOOKUP($A8,$A:CT,COLUMN(CJ7),FALSE)&lt;&gt;0,"Strange",0))</f>
        <v>9.0909090909090912E-2</v>
      </c>
      <c r="CX8" s="33">
        <f>IF(VLOOKUP($A8,$A:CS,COLUMN(F7),FALSE)&lt;&gt;0,VLOOKUP($A8,$A:CS,COLUMN(CL7),FALSE)/VLOOKUP($A8,$A:AU,COLUMN(F7),FALSE),IF(VLOOKUP($A8,$A:CS,COLUMN(CL7),FALSE)&lt;&gt;0,"Strange",0))</f>
        <v>0</v>
      </c>
      <c r="CY8" s="33">
        <f>IF(VLOOKUP($A8,$A:CS,COLUMN(L7),FALSE)&lt;&gt;0,VLOOKUP($A8,$A:CS,COLUMN(CM7),FALSE)/VLOOKUP($A8,$A:AU,COLUMN(L7),FALSE),IF(VLOOKUP($A8,$A:CS,COLUMN(CM7),FALSE)&lt;&gt;0,"Strange",0))</f>
        <v>0</v>
      </c>
      <c r="CZ8" s="33">
        <f>IF(VLOOKUP($A8,$A:CT,COLUMN(M7),FALSE)&lt;&gt;0,VLOOKUP($A8,$A:CT,COLUMN(CN7),FALSE)/VLOOKUP($A8,$A:AV,COLUMN(M7),FALSE),IF(VLOOKUP($A8,$A:CT,COLUMN(CN7),FALSE)&lt;&gt;0,"Strange",0))</f>
        <v>0</v>
      </c>
      <c r="DB8" s="33">
        <f>IF(VLOOKUP($A8,$A:CS,COLUMN(F7),FALSE)&lt;&gt;0,VLOOKUP($A8,$A:CS,COLUMN(CP7),FALSE)/VLOOKUP($A8,$A:AU,COLUMN(F7),FALSE),IF(VLOOKUP($A8,$A:CS,COLUMN(CP7),FALSE)&lt;&gt;0,"Strange",0))</f>
        <v>0</v>
      </c>
      <c r="DC8" s="33">
        <f>IF(VLOOKUP($A8,$A:CS,COLUMN(L7),FALSE)&lt;&gt;0,VLOOKUP($A8,$A:CS,COLUMN(CQ7),FALSE)/VLOOKUP($A8,$A:AU,COLUMN(L7),FALSE),IF(VLOOKUP($A8,$A:CS,COLUMN(CQ7),FALSE)&lt;&gt;0,"Strange",0))</f>
        <v>0</v>
      </c>
      <c r="DD8" s="33">
        <f>IF(VLOOKUP($A8,$A:CT,COLUMN(M7),FALSE)&lt;&gt;0,VLOOKUP($A8,$A:CT,COLUMN(CR7),FALSE)/VLOOKUP($A8,$A:AV,COLUMN(M7),FALSE),IF(VLOOKUP($A8,$A:CT,COLUMN(CR7),FALSE)&lt;&gt;0,"Strange",0))</f>
        <v>0</v>
      </c>
      <c r="DF8" s="33">
        <f>SUMIFS('Bilateral assistance, MAIN DATA'!$M:$M,'Bilateral assistance, MAIN DATA'!$B:$B,'Share, heavy weapons to Ukraine'!$A8,'Bilateral assistance, MAIN DATA'!$AO:$AO,'Share, heavy weapons to Ukraine'!DF$1, 'Bilateral assistance, MAIN DATA'!$AA:$AA,1)</f>
        <v>0</v>
      </c>
      <c r="DG8" s="33">
        <f>SUMIFS('Bilateral assistance, MAIN DATA'!$M:$M,'Bilateral assistance, MAIN DATA'!$B:$B,'Share, heavy weapons to Ukraine'!$A8,'Bilateral assistance, MAIN DATA'!$AO:$AO,'Share, heavy weapons to Ukraine'!DG$1, 'Bilateral assistance, MAIN DATA'!$AA:$AA,1)</f>
        <v>0</v>
      </c>
      <c r="DH8" s="33">
        <f>SUMIFS('Bilateral assistance, MAIN DATA'!$M:$M,'Bilateral assistance, MAIN DATA'!$B:$B,'Share, heavy weapons to Ukraine'!$A8,'Bilateral assistance, MAIN DATA'!$AO:$AO,'Share, heavy weapons to Ukraine'!DH$1, 'Bilateral assistance, MAIN DATA'!$AA:$AA,1)</f>
        <v>0</v>
      </c>
      <c r="DI8" s="33">
        <f>SUMIFS('Bilateral assistance, MAIN DATA'!$M:$M,'Bilateral assistance, MAIN DATA'!$B:$B,'Share, heavy weapons to Ukraine'!$A8,'Bilateral assistance, MAIN DATA'!$AO:$AO,'Share, heavy weapons to Ukraine'!DI$1, 'Bilateral assistance, MAIN DATA'!$AA:$AA,1)</f>
        <v>0</v>
      </c>
      <c r="DK8" s="33">
        <f>SUMIFS('Bilateral assistance, MAIN DATA'!$N:$N,'Bilateral assistance, MAIN DATA'!$B:$B,'Share, heavy weapons to Ukraine'!$A8,'Bilateral assistance, MAIN DATA'!$AO:$AO,'Share, heavy weapons to Ukraine'!DK$1, 'Bilateral assistance, MAIN DATA'!$AA:$AA,1)</f>
        <v>0</v>
      </c>
      <c r="DL8" s="33">
        <f>SUMIFS('Bilateral assistance, MAIN DATA'!$N:$N,'Bilateral assistance, MAIN DATA'!$B:$B,'Share, heavy weapons to Ukraine'!$A8,'Bilateral assistance, MAIN DATA'!$AO:$AO,'Share, heavy weapons to Ukraine'!DL$1, 'Bilateral assistance, MAIN DATA'!$AA:$AA,1)</f>
        <v>0</v>
      </c>
      <c r="DM8" s="33">
        <f>SUMIFS('Bilateral assistance, MAIN DATA'!$N:$N,'Bilateral assistance, MAIN DATA'!$B:$B,'Share, heavy weapons to Ukraine'!$A8,'Bilateral assistance, MAIN DATA'!$AO:$AO,'Share, heavy weapons to Ukraine'!DM$1, 'Bilateral assistance, MAIN DATA'!$AA:$AA,1)</f>
        <v>0</v>
      </c>
      <c r="DN8" s="33">
        <f>SUMIFS('Bilateral assistance, MAIN DATA'!$N:$N,'Bilateral assistance, MAIN DATA'!$B:$B,'Share, heavy weapons to Ukraine'!$A8,'Bilateral assistance, MAIN DATA'!$AO:$AO,'Share, heavy weapons to Ukraine'!DN$1, 'Bilateral assistance, MAIN DATA'!$AA:$AA,1)</f>
        <v>0</v>
      </c>
    </row>
    <row r="9" spans="1:118">
      <c r="A9" s="801" t="s">
        <v>452</v>
      </c>
      <c r="B9" s="801">
        <v>1</v>
      </c>
      <c r="C9" s="33">
        <v>0</v>
      </c>
      <c r="E9" s="802">
        <v>23.2</v>
      </c>
      <c r="F9" s="801">
        <f>VLOOKUP(A9,'Heavy weapon stocks'!A:OH,COLUMN('Heavy weapon stocks'!$G$1),0)</f>
        <v>134</v>
      </c>
      <c r="G9" s="801">
        <f>VLOOKUP(A9,'Heavy weapon stocks'!A:OH,COLUMN('Heavy weapon stocks'!$AW$1),0)</f>
        <v>443</v>
      </c>
      <c r="H9" s="801">
        <f>VLOOKUP(A9,'Heavy weapon stocks'!A:OH,COLUMN('Heavy weapon stocks'!$DQ$1),0)</f>
        <v>0</v>
      </c>
      <c r="I9" s="801">
        <f>VLOOKUP(A9,'Heavy weapon stocks'!A:OH,COLUMN('Heavy weapon stocks'!$EE$1),0)</f>
        <v>507</v>
      </c>
      <c r="J9" s="801">
        <f>VLOOKUP(A9,'Heavy weapon stocks'!A:OH,COLUMN('Heavy weapon stocks'!$FG$1),0)</f>
        <v>550</v>
      </c>
      <c r="K9" s="801">
        <f t="shared" si="3"/>
        <v>1500</v>
      </c>
      <c r="L9" s="801">
        <f>VLOOKUP(A9,'Heavy weapon stocks'!A:OH,COLUMN('Heavy weapon stocks'!$HC$1),0)+VLOOKUP(A9,'Heavy weapon stocks'!A:OH,COLUMN('Heavy weapon stocks'!$II$1),0)</f>
        <v>37</v>
      </c>
      <c r="M9" s="801">
        <f>VLOOKUP(A9,'Heavy weapon stocks'!A:OH,COLUMN('Heavy weapon stocks'!$IN$1),0)</f>
        <v>0</v>
      </c>
      <c r="N9" s="801">
        <f>VLOOKUP(A9,'Heavy weapon stocks'!A:OH,COLUMN('Heavy weapon stocks'!$JH$1),0)+VLOOKUP(A9,'Heavy weapon stocks'!A:OH,COLUMN('Heavy weapon stocks'!$KE$1),0)</f>
        <v>96</v>
      </c>
      <c r="O9" s="801">
        <f>VLOOKUP(A9,'Heavy weapon stocks'!A:OH,COLUMN('Heavy weapon stocks'!$LU$1),0)</f>
        <v>0</v>
      </c>
      <c r="Q9" s="801">
        <f>VLOOKUP(A9,'Heavy weapon stocks'!A:OH,COLUMN('Heavy weapon stocks'!$LV$1),0)</f>
        <v>0</v>
      </c>
      <c r="R9" s="801">
        <f>VLOOKUP(A9,'Heavy weapon stocks'!A:OH,COLUMN('Heavy weapon stocks'!$MF$1),0)</f>
        <v>0</v>
      </c>
      <c r="S9" s="801">
        <f>VLOOKUP(A9,'Heavy weapon stocks'!A:OH,COLUMN('Heavy weapon stocks'!$MM$1),0)</f>
        <v>0</v>
      </c>
      <c r="T9" s="801">
        <f>VLOOKUP(A9,'Heavy weapon stocks'!A:OH,COLUMN('Heavy weapon stocks'!$NR$1),0)</f>
        <v>0</v>
      </c>
      <c r="V9" s="801">
        <f>VLOOKUP(A9,'Heavy weapon stocks'!A:OH,COLUMN('Heavy weapon stocks'!$H$1),0)</f>
        <v>62</v>
      </c>
      <c r="W9" s="801">
        <f>VLOOKUP(A9,'Heavy weapon stocks'!A:OH,COLUMN('Heavy weapon stocks'!$DQ$1),0)</f>
        <v>0</v>
      </c>
      <c r="X9" s="801">
        <f>VLOOKUP(A9,'Heavy weapon stocks'!A:OH,COLUMN('Heavy weapon stocks'!$FG$1),0)</f>
        <v>550</v>
      </c>
      <c r="Y9" s="801">
        <f>VLOOKUP(A9,'Heavy weapon stocks'!A:OH,COLUMN('Heavy weapon stocks'!$HC$1),0)+VLOOKUP(A9,'Heavy weapon stocks'!A:OH,COLUMN('Heavy weapon stocks'!$II$1),0)</f>
        <v>37</v>
      </c>
      <c r="Z9" s="801">
        <f>VLOOKUP(A9,'Heavy weapon stocks'!A:OH,COLUMN('Heavy weapon stocks'!$IO$1),0)+VLOOKUP(A9,'Heavy weapon stocks'!A:OH,COLUMN('Heavy weapon stocks'!$IP$1),0)+VLOOKUP(A9,'Heavy weapon stocks'!A:OH,COLUMN('Heavy weapon stocks'!$IU$1),0)</f>
        <v>0</v>
      </c>
      <c r="AA9" s="801">
        <f>VLOOKUP(A9,'Heavy weapon stocks'!A:OH,COLUMN('Heavy weapon stocks'!$MI$1),0)</f>
        <v>0</v>
      </c>
      <c r="AB9" s="801">
        <f>VLOOKUP(A9,'Heavy weapon stocks'!A:OH,COLUMN('Heavy weapon stocks'!$MS$1),0)+VLOOKUP(A9,'Heavy weapon stocks'!A:OH,COLUMN('Heavy weapon stocks'!$MT$1),0)+VLOOKUP(A9,'Heavy weapon stocks'!A:OH,COLUMN('Heavy weapon stocks'!$MU$1),0)+VLOOKUP(A9,'Heavy weapon stocks'!A:OH,COLUMN('Heavy weapon stocks'!$MV$1),0)</f>
        <v>0</v>
      </c>
      <c r="AD9" s="33">
        <f>SUMIFS('Bilateral assistance, MAIN DATA'!$M:$M,'Bilateral assistance, MAIN DATA'!$B:$B,'Share, heavy weapons to Ukraine'!$A9,'Bilateral assistance, MAIN DATA'!$AO:$AO,'Share, heavy weapons to Ukraine'!AD$1)</f>
        <v>0</v>
      </c>
      <c r="AE9" s="33">
        <f>SUMIFS('Bilateral assistance, MAIN DATA'!$M:$M,'Bilateral assistance, MAIN DATA'!$B:$B,'Share, heavy weapons to Ukraine'!$A9,'Bilateral assistance, MAIN DATA'!$AO:$AO,'Share, heavy weapons to Ukraine'!AE$1)</f>
        <v>47</v>
      </c>
      <c r="AF9" s="33">
        <f>SUMIFS('Bilateral assistance, MAIN DATA'!$M:$M,'Bilateral assistance, MAIN DATA'!$B:$B,'Share, heavy weapons to Ukraine'!$A9,'Bilateral assistance, MAIN DATA'!$AO:$AO,'Share, heavy weapons to Ukraine'!AF$1)</f>
        <v>0</v>
      </c>
      <c r="AG9" s="33">
        <f>SUMIFS('Bilateral assistance, MAIN DATA'!$M:$M,'Bilateral assistance, MAIN DATA'!$B:$B,'Share, heavy weapons to Ukraine'!$A9,'Bilateral assistance, MAIN DATA'!$AO:$AO,'Share, heavy weapons to Ukraine'!AG$1)</f>
        <v>0</v>
      </c>
      <c r="AH9" s="33">
        <f>SUMIFS('Bilateral assistance, MAIN DATA'!$M:$M,'Bilateral assistance, MAIN DATA'!$B:$B,'Share, heavy weapons to Ukraine'!$A9,'Bilateral assistance, MAIN DATA'!$AO:$AO,'Share, heavy weapons to Ukraine'!AH$1)</f>
        <v>0</v>
      </c>
      <c r="AI9" s="33">
        <f t="shared" si="1"/>
        <v>47</v>
      </c>
      <c r="AJ9" s="33">
        <f>SUMIFS('Bilateral assistance, MAIN DATA'!$M:$M,'Bilateral assistance, MAIN DATA'!$B:$B,'Share, heavy weapons to Ukraine'!$A9,'Bilateral assistance, MAIN DATA'!$AO:$AO,'Share, heavy weapons to Ukraine'!AJ$1)</f>
        <v>4</v>
      </c>
      <c r="AK9" s="645">
        <f>SUMIFS('Bilateral assistance, MAIN DATA'!$M:$M,'Bilateral assistance, MAIN DATA'!$B:$B,'Share, heavy weapons to Ukraine'!$A9,'Bilateral assistance, MAIN DATA'!$AO:$AO,"122mm MLRS")+SUMIFS('Bilateral assistance, MAIN DATA'!$M:$M,'Bilateral assistance, MAIN DATA'!$B:$B,'Share, heavy weapons to Ukraine'!$A9,'Bilateral assistance, MAIN DATA'!$AO:$AO,"127mm MLRS")+SUMIFS('Bilateral assistance, MAIN DATA'!$M:$M,'Bilateral assistance, MAIN DATA'!$B:$B,'Share, heavy weapons to Ukraine'!$A9,'Bilateral assistance, MAIN DATA'!$AO:$AO,"227mm MLRS")</f>
        <v>0</v>
      </c>
      <c r="AL9" s="33">
        <f>SUMIFS('Bilateral assistance, MAIN DATA'!$M:$M,'Bilateral assistance, MAIN DATA'!$B:$B,'Share, heavy weapons to Ukraine'!$A9,'Bilateral assistance, MAIN DATA'!$AO:$AO,'Share, heavy weapons to Ukraine'!AL$1)</f>
        <v>0</v>
      </c>
      <c r="AM9" s="33">
        <f>SUMIFS('Bilateral assistance, MAIN DATA'!$M:$M,'Bilateral assistance, MAIN DATA'!$B:$B,'Share, heavy weapons to Ukraine'!$A9,'Bilateral assistance, MAIN DATA'!$AO:$AO,'Share, heavy weapons to Ukraine'!AM$1)</f>
        <v>0</v>
      </c>
      <c r="AN9" s="33">
        <f>SUMIFS('Bilateral assistance, MAIN DATA'!$M:$M,'Bilateral assistance, MAIN DATA'!$B:$B,'Share, heavy weapons to Ukraine'!$A9,'Bilateral assistance, MAIN DATA'!$AO:$AO,'Share, heavy weapons to Ukraine'!AN$1)</f>
        <v>0</v>
      </c>
      <c r="AO9" s="33">
        <f>SUMIFS('Bilateral assistance, MAIN DATA'!$M:$M,'Bilateral assistance, MAIN DATA'!$B:$B,'Share, heavy weapons to Ukraine'!$A9,'Bilateral assistance, MAIN DATA'!$AO:$AO,'Share, heavy weapons to Ukraine'!AO$1)</f>
        <v>0</v>
      </c>
      <c r="AP9" s="33">
        <f>SUMIFS('Bilateral assistance, MAIN DATA'!$M:$M,'Bilateral assistance, MAIN DATA'!$B:$B,'Share, heavy weapons to Ukraine'!$A9,'Bilateral assistance, MAIN DATA'!$AO:$AO,'Share, heavy weapons to Ukraine'!AP$1)</f>
        <v>0</v>
      </c>
      <c r="AR9" s="33">
        <f>SUMIFS('Bilateral assistance, MAIN DATA'!$N:$N,'Bilateral assistance, MAIN DATA'!$B:$B,'Share, heavy weapons to Ukraine'!$A9,'Bilateral assistance, MAIN DATA'!$AO:$AO,'Share, heavy weapons to Ukraine'!AR$1)</f>
        <v>0</v>
      </c>
      <c r="AS9" s="33">
        <f>SUMIFS('Bilateral assistance, MAIN DATA'!$N:$N,'Bilateral assistance, MAIN DATA'!$B:$B,'Share, heavy weapons to Ukraine'!$A9,'Bilateral assistance, MAIN DATA'!$AO:$AO,'Share, heavy weapons to Ukraine'!AS$1)</f>
        <v>8</v>
      </c>
      <c r="AT9" s="33">
        <f>SUMIFS('Bilateral assistance, MAIN DATA'!$N:$N,'Bilateral assistance, MAIN DATA'!$B:$B,'Share, heavy weapons to Ukraine'!$A9,'Bilateral assistance, MAIN DATA'!$AO:$AO,'Share, heavy weapons to Ukraine'!AT$1)</f>
        <v>0</v>
      </c>
      <c r="AU9" s="33">
        <f>SUMIFS('Bilateral assistance, MAIN DATA'!$N:$N,'Bilateral assistance, MAIN DATA'!$B:$B,'Share, heavy weapons to Ukraine'!$A9,'Bilateral assistance, MAIN DATA'!$AO:$AO,'Share, heavy weapons to Ukraine'!AU$1)</f>
        <v>0</v>
      </c>
      <c r="AV9" s="33">
        <f>SUMIFS('Bilateral assistance, MAIN DATA'!$N:$N,'Bilateral assistance, MAIN DATA'!$B:$B,'Share, heavy weapons to Ukraine'!$A9,'Bilateral assistance, MAIN DATA'!$AO:$AO,'Share, heavy weapons to Ukraine'!AV$1)</f>
        <v>0</v>
      </c>
      <c r="AW9" s="33">
        <f t="shared" si="2"/>
        <v>8</v>
      </c>
      <c r="AX9" s="33">
        <f>SUMIFS('Bilateral assistance, MAIN DATA'!$N:$N,'Bilateral assistance, MAIN DATA'!$B:$B,'Share, heavy weapons to Ukraine'!$A9,'Bilateral assistance, MAIN DATA'!$AO:$AO,'Share, heavy weapons to Ukraine'!AX$1)</f>
        <v>4</v>
      </c>
      <c r="AY9" s="645">
        <f>SUMIFS('Bilateral assistance, MAIN DATA'!$N:$N,'Bilateral assistance, MAIN DATA'!$B:$B,'Share, heavy weapons to Ukraine'!$A9,'Bilateral assistance, MAIN DATA'!$AO:$AO,"122mm MLRS")+SUMIFS('Bilateral assistance, MAIN DATA'!$N:$N,'Bilateral assistance, MAIN DATA'!$B:$B,'Share, heavy weapons to Ukraine'!$A9,'Bilateral assistance, MAIN DATA'!$AO:$AO,"127mm MLRS")+SUMIFS('Bilateral assistance, MAIN DATA'!$N:$N,'Bilateral assistance, MAIN DATA'!$B:$B,'Share, heavy weapons to Ukraine'!$A9,'Bilateral assistance, MAIN DATA'!$AO:$AO,"227mm MLRS")</f>
        <v>0</v>
      </c>
      <c r="AZ9" s="33">
        <f>SUMIFS('Bilateral assistance, MAIN DATA'!$N:$N,'Bilateral assistance, MAIN DATA'!$B:$B,'Share, heavy weapons to Ukraine'!$A9,'Bilateral assistance, MAIN DATA'!$AO:$AO,'Share, heavy weapons to Ukraine'!AZ$1)</f>
        <v>0</v>
      </c>
      <c r="BA9" s="33">
        <f>SUMIFS('Bilateral assistance, MAIN DATA'!$N:$N,'Bilateral assistance, MAIN DATA'!$B:$B,'Share, heavy weapons to Ukraine'!$A9,'Bilateral assistance, MAIN DATA'!$AO:$AO,'Share, heavy weapons to Ukraine'!BA$1)</f>
        <v>0</v>
      </c>
      <c r="BB9" s="33">
        <f>SUMIFS('Bilateral assistance, MAIN DATA'!$N:$N,'Bilateral assistance, MAIN DATA'!$B:$B,'Share, heavy weapons to Ukraine'!$A9,'Bilateral assistance, MAIN DATA'!$AO:$AO,'Share, heavy weapons to Ukraine'!BB$1)</f>
        <v>0</v>
      </c>
      <c r="BC9" s="33">
        <f>SUMIFS('Bilateral assistance, MAIN DATA'!$N:$N,'Bilateral assistance, MAIN DATA'!$B:$B,'Share, heavy weapons to Ukraine'!$A9,'Bilateral assistance, MAIN DATA'!$AO:$AO,'Share, heavy weapons to Ukraine'!BC$1)</f>
        <v>0</v>
      </c>
      <c r="BD9" s="33">
        <f>SUMIFS('Bilateral assistance, MAIN DATA'!$N:$N,'Bilateral assistance, MAIN DATA'!$B:$B,'Share, heavy weapons to Ukraine'!$A9,'Bilateral assistance, MAIN DATA'!$AO:$AO,'Share, heavy weapons to Ukraine'!BD$1)</f>
        <v>0</v>
      </c>
      <c r="BF9" s="33">
        <f>IF(VLOOKUP($A9,$A:F,COLUMN(F8),FALSE)&lt;&gt;0,VLOOKUP($A9,$A:AD,COLUMN(AD8),FALSE)/VLOOKUP($A9,$A:F,COLUMN(F8),FALSE),IF(VLOOKUP($A9,$A:AD,COLUMN(AD8),FALSE)&lt;&gt;0,"Strange",0))</f>
        <v>0</v>
      </c>
      <c r="BG9" s="33">
        <f>IF(VLOOKUP($A9,$A:G,COLUMN(G8),FALSE)&lt;&gt;0,VLOOKUP($A9,$A:AE,COLUMN(AE8),FALSE)/VLOOKUP($A9,$A:G,COLUMN(G8),FALSE),IF(VLOOKUP($A9,$A:AE,COLUMN(AE8),FALSE)&lt;&gt;0,"Strange",0))</f>
        <v>0.10609480812641084</v>
      </c>
      <c r="BH9" s="33">
        <f>IF(VLOOKUP($A9,$A:H,COLUMN(H8),FALSE)&lt;&gt;0,VLOOKUP($A9,$A:AF,COLUMN(AF8),FALSE)/VLOOKUP($A9,$A:H,COLUMN(H8),FALSE),IF(VLOOKUP($A9,$A:AF,COLUMN(AF8),FALSE)&lt;&gt;0,"Strange",0))</f>
        <v>0</v>
      </c>
      <c r="BI9" s="33">
        <f>IF(VLOOKUP($A9,$A:I,COLUMN(I8),FALSE)&lt;&gt;0,VLOOKUP($A9,$A:AG,COLUMN(AG8),FALSE)/VLOOKUP($A9,$A:I,COLUMN(I8),FALSE),IF(VLOOKUP($A9,$A:AG,COLUMN(AG8),FALSE)&lt;&gt;0,"Strange",0))</f>
        <v>0</v>
      </c>
      <c r="BJ9" s="33">
        <f>IF(VLOOKUP($A9,$A:J,COLUMN(J8),FALSE)&lt;&gt;0,VLOOKUP($A9,$A:AH,COLUMN(AH8),FALSE)/VLOOKUP($A9,$A:J,COLUMN(J8),FALSE),IF(VLOOKUP($A9,$A:AH,COLUMN(AH8),FALSE)&lt;&gt;0,"Strange",0))</f>
        <v>0</v>
      </c>
      <c r="BK9" s="33">
        <f>IF(VLOOKUP($A9,$A:K,COLUMN(K8),FALSE)&lt;&gt;0,VLOOKUP($A9,$A:AI,COLUMN(AI8),FALSE)/VLOOKUP($A9,$A:K,COLUMN(K8),FALSE),IF(VLOOKUP($A9,$A:AI,COLUMN(AI8),FALSE)&lt;&gt;0,"Strange",0))</f>
        <v>3.1333333333333331E-2</v>
      </c>
      <c r="BL9" s="33">
        <f>IF(VLOOKUP($A9,$A:L,COLUMN(L8),FALSE)&lt;&gt;0,VLOOKUP($A9,$A:AJ,COLUMN(AJ8),FALSE)/VLOOKUP($A9,$A:L,COLUMN(L8),FALSE),IF(VLOOKUP($A9,$A:AJ,COLUMN(AJ8),FALSE)&lt;&gt;0,"Strange",0))</f>
        <v>0.10810810810810811</v>
      </c>
      <c r="BM9" s="33">
        <f>IF(VLOOKUP($A9,$A:M,COLUMN(M8),FALSE)&lt;&gt;0,VLOOKUP($A9,$A:AK,COLUMN(AK8),FALSE)/VLOOKUP($A9,$A:M,COLUMN(M8),FALSE),IF(VLOOKUP($A9,$A:AK,COLUMN(AK8),FALSE)&lt;&gt;0,"Strange",0))</f>
        <v>0</v>
      </c>
      <c r="BN9" s="33">
        <f>IF(VLOOKUP($A9,$A:N,COLUMN(N8),FALSE)&lt;&gt;0,VLOOKUP($A9,$A:AL,COLUMN(AL8),FALSE)/VLOOKUP($A9,$A:N,COLUMN(N8),FALSE),IF(VLOOKUP($A9,$A:AL,COLUMN(AL8),FALSE)&lt;&gt;0,"Strange",0))</f>
        <v>0</v>
      </c>
      <c r="BO9" s="33">
        <f>IF(VLOOKUP($A9,$A:Q,COLUMN(Q8),FALSE)&lt;&gt;0,VLOOKUP($A9,$A:AM,COLUMN(AM8),FALSE)/VLOOKUP($A9,$A:Q,COLUMN(Q8),FALSE),IF(VLOOKUP($A9,$A:AM,COLUMN(AM8),FALSE)&lt;&gt;0,"Strange",0))</f>
        <v>0</v>
      </c>
      <c r="BP9" s="33">
        <f>IF(VLOOKUP($A9,$A:R,COLUMN(R8),FALSE)&lt;&gt;0,VLOOKUP($A9,$A:AN,COLUMN(AN8),FALSE)/VLOOKUP($A9,$A:R,COLUMN(R8),FALSE),IF(VLOOKUP($A9,$A:AN,COLUMN(AN8),FALSE)&lt;&gt;0,"Strange",0))</f>
        <v>0</v>
      </c>
      <c r="BQ9" s="33">
        <f>IF(VLOOKUP($A9,$A:S,COLUMN(S8),FALSE)&lt;&gt;0,VLOOKUP($A9,$A:AO,COLUMN(AO8),FALSE)/VLOOKUP($A9,$A:S,COLUMN(S8),FALSE),IF(VLOOKUP($A9,$A:AO,COLUMN(AO8),FALSE)&lt;&gt;0,"Strange",0))</f>
        <v>0</v>
      </c>
      <c r="BR9" s="33">
        <f>IF(VLOOKUP($A9,$A:T,COLUMN(T8),FALSE)&lt;&gt;0,VLOOKUP($A9,$A:AP,COLUMN(AP8),FALSE)/VLOOKUP($A9,$A:T,COLUMN(T8),FALSE),IF(VLOOKUP($A9,$A:AP,COLUMN(AP8),FALSE)&lt;&gt;0,"Strange",0))</f>
        <v>0</v>
      </c>
      <c r="BT9" s="33">
        <f>IF(VLOOKUP($A9,$A:AE,COLUMN(F8),FALSE)&lt;&gt;0,VLOOKUP($A9,$A:AS,COLUMN(AR8),FALSE)/VLOOKUP($A9,$A:AE,COLUMN(F8),FALSE),IF(VLOOKUP($A9,$A:AS,COLUMN(AR8),FALSE)&lt;&gt;0,"Strange",0))</f>
        <v>0</v>
      </c>
      <c r="BU9" s="33">
        <f>IF(VLOOKUP($A9,$A:AF,COLUMN(G8),FALSE)&lt;&gt;0,VLOOKUP($A9,$A:AT,COLUMN(AS8),FALSE)/VLOOKUP($A9,$A:AF,COLUMN(G8),FALSE),IF(VLOOKUP($A9,$A:AT,COLUMN(AS8),FALSE)&lt;&gt;0,"Strange",0))</f>
        <v>1.8058690744920992E-2</v>
      </c>
      <c r="BV9" s="33">
        <f>IF(VLOOKUP($A9,$A:AG,COLUMN(H8),FALSE)&lt;&gt;0,VLOOKUP($A9,$A:AU,COLUMN(AT8),FALSE)/VLOOKUP($A9,$A:AG,COLUMN(H8),FALSE),IF(VLOOKUP($A9,$A:AU,COLUMN(AT8),FALSE)&lt;&gt;0,"Strange",0))</f>
        <v>0</v>
      </c>
      <c r="BW9" s="33">
        <f>IF(VLOOKUP($A9,$A:AH,COLUMN(I8),FALSE)&lt;&gt;0,VLOOKUP($A9,$A:AV,COLUMN(AU8),FALSE)/VLOOKUP($A9,$A:AH,COLUMN(I8),FALSE),IF(VLOOKUP($A9,$A:AV,COLUMN(AU8),FALSE)&lt;&gt;0,"Strange",0))</f>
        <v>0</v>
      </c>
      <c r="BX9" s="33">
        <f>IF(VLOOKUP($A9,$A:AJ,COLUMN(J8),FALSE)&lt;&gt;0,VLOOKUP($A9,$A:AX,COLUMN(AV8),FALSE)/VLOOKUP($A9,$A:AJ,COLUMN(J8),FALSE),IF(VLOOKUP($A9,$A:AX,COLUMN(AV8),FALSE)&lt;&gt;0,"Strange",0))</f>
        <v>0</v>
      </c>
      <c r="BY9" s="33">
        <f>IF(VLOOKUP($A9,$A:AK,COLUMN(K8),FALSE)&lt;&gt;0,VLOOKUP($A9,$A:AY,COLUMN(AW8),FALSE)/VLOOKUP($A9,$A:AK,COLUMN(K8),FALSE),IF(VLOOKUP($A9,$A:AY,COLUMN(AW8),FALSE)&lt;&gt;0,"Strange",0))</f>
        <v>5.3333333333333332E-3</v>
      </c>
      <c r="BZ9" s="33">
        <f>IF(VLOOKUP($A9,$A:AK,COLUMN(L8),FALSE)&lt;&gt;0,VLOOKUP($A9,$A:AY,COLUMN(AX8),FALSE)/VLOOKUP($A9,$A:AK,COLUMN(L8),FALSE),IF(VLOOKUP($A9,$A:AY,COLUMN(AX8),FALSE)&lt;&gt;0,"Strange",0))</f>
        <v>0.10810810810810811</v>
      </c>
      <c r="CA9" s="33">
        <f>IF(VLOOKUP($A9,$A:AL,COLUMN(M8),FALSE)&lt;&gt;0,VLOOKUP($A9,$A:AZ,COLUMN(AY8),FALSE)/VLOOKUP($A9,$A:AL,COLUMN(M8),FALSE),IF(VLOOKUP($A9,$A:AZ,COLUMN(AY8),FALSE)&lt;&gt;0,"Strange",0))</f>
        <v>0</v>
      </c>
      <c r="CB9" s="33">
        <f>IF(VLOOKUP($A9,$A:AL,COLUMN(N8),FALSE)&lt;&gt;0,VLOOKUP($A9,$A:AZ,COLUMN(AZ8),FALSE)/VLOOKUP($A9,$A:AL,COLUMN(N8),FALSE),IF(VLOOKUP($A9,$A:AZ,COLUMN(AZ8),FALSE)&lt;&gt;0,"Strange",0))</f>
        <v>0</v>
      </c>
      <c r="CC9" s="33">
        <f>IF(VLOOKUP($A9,$A:AM,COLUMN(Q8),FALSE)&lt;&gt;0,VLOOKUP($A9,$A:BA,COLUMN(BA8),FALSE)/VLOOKUP($A9,$A:AM,COLUMN(Q8),FALSE),IF(VLOOKUP($A9,$A:BA,COLUMN(BA8),FALSE)&lt;&gt;0,"Strange",0))</f>
        <v>0</v>
      </c>
      <c r="CD9" s="33">
        <f>IF(VLOOKUP($A9,$A:AN,COLUMN(R8),FALSE)&lt;&gt;0,VLOOKUP($A9,$A:BB,COLUMN(BB8),FALSE)/VLOOKUP($A9,$A:AN,COLUMN(R8),FALSE),IF(VLOOKUP($A9,$A:BB,COLUMN(BB8),FALSE)&lt;&gt;0,"Strange",0))</f>
        <v>0</v>
      </c>
      <c r="CE9" s="33">
        <f>IF(VLOOKUP($A9,$A:AO,COLUMN(S8),FALSE)&lt;&gt;0,VLOOKUP($A9,$A:BC,COLUMN(BC8),FALSE)/VLOOKUP($A9,$A:AO,COLUMN(S8),FALSE),IF(VLOOKUP($A9,$A:BC,COLUMN(BC8),FALSE)&lt;&gt;0,"Strange",0))</f>
        <v>0</v>
      </c>
      <c r="CF9" s="33">
        <f>IF(VLOOKUP($A9,$A:AP,COLUMN(T8),FALSE)&lt;&gt;0,VLOOKUP($A9,$A:BD,COLUMN(BD8),FALSE)/VLOOKUP($A9,$A:AP,COLUMN(T8),FALSE),IF(VLOOKUP($A9,$A:BD,COLUMN(BD8),FALSE)&lt;&gt;0,"Strange",0))</f>
        <v>0</v>
      </c>
      <c r="CH9" s="33">
        <f>SUMIFS('Bilateral assistance, MAIN DATA'!$M:$M,'Bilateral assistance, MAIN DATA'!$B:$B,'Share, heavy weapons to Ukraine'!$A9,'Bilateral assistance, MAIN DATA'!$AO:$AO,'Share, heavy weapons to Ukraine'!CH$1,'Bilateral assistance, MAIN DATA'!$AQ:$AQ,2)</f>
        <v>0</v>
      </c>
      <c r="CI9" s="33">
        <f>SUMIFS('Bilateral assistance, MAIN DATA'!$M:$M,'Bilateral assistance, MAIN DATA'!$B:$B,'Share, heavy weapons to Ukraine'!$A9,'Bilateral assistance, MAIN DATA'!$AO:$AO,'Share, heavy weapons to Ukraine'!CI$1,'Bilateral assistance, MAIN DATA'!$AQ:$AQ,2)</f>
        <v>4</v>
      </c>
      <c r="CJ9" s="645">
        <f>SUMIFS('Bilateral assistance, MAIN DATA'!$M:$M,'Bilateral assistance, MAIN DATA'!$B:$B,'Share, heavy weapons to Ukraine'!$A9,'Bilateral assistance, MAIN DATA'!$AO:$AO,"122mm MLRS",'Bilateral assistance, MAIN DATA'!$AQ:$AQ,2)+SUMIFS('Bilateral assistance, MAIN DATA'!$M:$M,'Bilateral assistance, MAIN DATA'!$B:$B,'Share, heavy weapons to Ukraine'!$A9,'Bilateral assistance, MAIN DATA'!$AO:$AO,"127mm MLRS",'Bilateral assistance, MAIN DATA'!$AQ:$AQ,2)+SUMIFS('Bilateral assistance, MAIN DATA'!$M:$M,'Bilateral assistance, MAIN DATA'!$B:$B,'Share, heavy weapons to Ukraine'!$A9,'Bilateral assistance, MAIN DATA'!$AO:$AO,"227mm MLRS",'Bilateral assistance, MAIN DATA'!$AQ:$AQ,2)</f>
        <v>0</v>
      </c>
      <c r="CL9" s="33">
        <f>SUMIFS('Bilateral assistance, MAIN DATA'!$M:$M,'Bilateral assistance, MAIN DATA'!$B:$B,'Share, heavy weapons to Ukraine'!$A9,'Bilateral assistance, MAIN DATA'!$AO:$AO,'Share, heavy weapons to Ukraine'!CH$1,'Bilateral assistance, MAIN DATA'!$AQ:$AQ,1)</f>
        <v>0</v>
      </c>
      <c r="CM9" s="33">
        <f>SUMIFS('Bilateral assistance, MAIN DATA'!$M:$M,'Bilateral assistance, MAIN DATA'!$B:$B,'Share, heavy weapons to Ukraine'!$A9,'Bilateral assistance, MAIN DATA'!$AO:$AO,'Share, heavy weapons to Ukraine'!CI$1,'Bilateral assistance, MAIN DATA'!$AQ:$AQ,1)</f>
        <v>0</v>
      </c>
      <c r="CN9" s="645">
        <f>SUMIFS('Bilateral assistance, MAIN DATA'!$M:$M,'Bilateral assistance, MAIN DATA'!$B:$B,'Share, heavy weapons to Ukraine'!$A9,'Bilateral assistance, MAIN DATA'!$AO:$AO,"122mm MLRS",'Bilateral assistance, MAIN DATA'!$AQ:$AQ,1)+SUMIFS('Bilateral assistance, MAIN DATA'!$M:$M,'Bilateral assistance, MAIN DATA'!$B:$B,'Share, heavy weapons to Ukraine'!$A9,'Bilateral assistance, MAIN DATA'!$AO:$AO,"127mm MLRS",'Bilateral assistance, MAIN DATA'!$AQ:$AQ,1)+SUMIFS('Bilateral assistance, MAIN DATA'!$M:$M,'Bilateral assistance, MAIN DATA'!$B:$B,'Share, heavy weapons to Ukraine'!$A9,'Bilateral assistance, MAIN DATA'!$AO:$AO,"227mm MLRS",'Bilateral assistance, MAIN DATA'!$AQ:$AQ,1)</f>
        <v>0</v>
      </c>
      <c r="CP9" s="33">
        <f>SUMIFS('Bilateral assistance, MAIN DATA'!$M:$M,'Bilateral assistance, MAIN DATA'!$B:$B,'Share, heavy weapons to Ukraine'!$A9,'Bilateral assistance, MAIN DATA'!$AO:$AO,'Share, heavy weapons to Ukraine'!CP$1,'Bilateral assistance, MAIN DATA'!$AQ:$AQ,0)</f>
        <v>0</v>
      </c>
      <c r="CQ9" s="33">
        <f>SUMIFS('Bilateral assistance, MAIN DATA'!$M:$M,'Bilateral assistance, MAIN DATA'!$B:$B,'Share, heavy weapons to Ukraine'!$A9,'Bilateral assistance, MAIN DATA'!$AO:$AO,'Share, heavy weapons to Ukraine'!CQ$1,'Bilateral assistance, MAIN DATA'!$AQ:$AQ,0)</f>
        <v>0</v>
      </c>
      <c r="CR9" s="645">
        <f>SUMIFS('Bilateral assistance, MAIN DATA'!$M:$M,'Bilateral assistance, MAIN DATA'!$B:$B,'Share, heavy weapons to Ukraine'!$A9,'Bilateral assistance, MAIN DATA'!$AO:$AO,"122mm MLRS",'Bilateral assistance, MAIN DATA'!$AQ:$AQ,0)+SUMIFS('Bilateral assistance, MAIN DATA'!$M:$M,'Bilateral assistance, MAIN DATA'!$B:$B,'Share, heavy weapons to Ukraine'!$A9,'Bilateral assistance, MAIN DATA'!$AO:$AO,"127mm MLRS",'Bilateral assistance, MAIN DATA'!$AQ:$AQ,0)+SUMIFS('Bilateral assistance, MAIN DATA'!$M:$M,'Bilateral assistance, MAIN DATA'!$B:$B,'Share, heavy weapons to Ukraine'!$A9,'Bilateral assistance, MAIN DATA'!$AO:$AO,"227mm MLRS",'Bilateral assistance, MAIN DATA'!$AQ:$AQ,0)</f>
        <v>0</v>
      </c>
      <c r="CT9" s="33">
        <f>IF(VLOOKUP($A9,$A:CS,COLUMN(F8),FALSE)&lt;&gt;0,VLOOKUP($A9,$A:CS,COLUMN(CH8),FALSE)/VLOOKUP($A9,$A:AU,COLUMN(F8),FALSE),IF(VLOOKUP($A9,$A:CS,COLUMN(CH8),FALSE)&lt;&gt;0,"Strange",0))</f>
        <v>0</v>
      </c>
      <c r="CU9" s="33">
        <f>IF(VLOOKUP($A9,$A:CS,COLUMN(L8),FALSE)&lt;&gt;0,VLOOKUP($A9,$A:CS,COLUMN(CI8),FALSE)/VLOOKUP($A9,$A:AU,COLUMN(L8),FALSE),IF(VLOOKUP($A9,$A:CS,COLUMN(CI8),FALSE)&lt;&gt;0,"Strange",0))</f>
        <v>0.10810810810810811</v>
      </c>
      <c r="CV9" s="33">
        <f>IF(VLOOKUP($A9,$A:CT,COLUMN(M8),FALSE)&lt;&gt;0,VLOOKUP($A9,$A:CT,COLUMN(CJ8),FALSE)/VLOOKUP($A9,$A:AV,COLUMN(M8),FALSE),IF(VLOOKUP($A9,$A:CT,COLUMN(CJ8),FALSE)&lt;&gt;0,"Strange",0))</f>
        <v>0</v>
      </c>
      <c r="CX9" s="33">
        <f>IF(VLOOKUP($A9,$A:CS,COLUMN(F8),FALSE)&lt;&gt;0,VLOOKUP($A9,$A:CS,COLUMN(CL8),FALSE)/VLOOKUP($A9,$A:AU,COLUMN(F8),FALSE),IF(VLOOKUP($A9,$A:CS,COLUMN(CL8),FALSE)&lt;&gt;0,"Strange",0))</f>
        <v>0</v>
      </c>
      <c r="CY9" s="33">
        <f>IF(VLOOKUP($A9,$A:CS,COLUMN(L8),FALSE)&lt;&gt;0,VLOOKUP($A9,$A:CS,COLUMN(CM8),FALSE)/VLOOKUP($A9,$A:AU,COLUMN(L8),FALSE),IF(VLOOKUP($A9,$A:CS,COLUMN(CM8),FALSE)&lt;&gt;0,"Strange",0))</f>
        <v>0</v>
      </c>
      <c r="CZ9" s="33">
        <f>IF(VLOOKUP($A9,$A:CT,COLUMN(M8),FALSE)&lt;&gt;0,VLOOKUP($A9,$A:CT,COLUMN(CN8),FALSE)/VLOOKUP($A9,$A:AV,COLUMN(M8),FALSE),IF(VLOOKUP($A9,$A:CT,COLUMN(CN8),FALSE)&lt;&gt;0,"Strange",0))</f>
        <v>0</v>
      </c>
      <c r="DB9" s="33">
        <f>IF(VLOOKUP($A9,$A:CS,COLUMN(F8),FALSE)&lt;&gt;0,VLOOKUP($A9,$A:CS,COLUMN(CP8),FALSE)/VLOOKUP($A9,$A:AU,COLUMN(F8),FALSE),IF(VLOOKUP($A9,$A:CS,COLUMN(CP8),FALSE)&lt;&gt;0,"Strange",0))</f>
        <v>0</v>
      </c>
      <c r="DC9" s="33">
        <f>IF(VLOOKUP($A9,$A:CS,COLUMN(L8),FALSE)&lt;&gt;0,VLOOKUP($A9,$A:CS,COLUMN(CQ8),FALSE)/VLOOKUP($A9,$A:AU,COLUMN(L8),FALSE),IF(VLOOKUP($A9,$A:CS,COLUMN(CQ8),FALSE)&lt;&gt;0,"Strange",0))</f>
        <v>0</v>
      </c>
      <c r="DD9" s="33">
        <f>IF(VLOOKUP($A9,$A:CT,COLUMN(M8),FALSE)&lt;&gt;0,VLOOKUP($A9,$A:CT,COLUMN(CR8),FALSE)/VLOOKUP($A9,$A:AV,COLUMN(M8),FALSE),IF(VLOOKUP($A9,$A:CT,COLUMN(CR8),FALSE)&lt;&gt;0,"Strange",0))</f>
        <v>0</v>
      </c>
      <c r="DF9" s="33">
        <f>SUMIFS('Bilateral assistance, MAIN DATA'!$M:$M,'Bilateral assistance, MAIN DATA'!$B:$B,'Share, heavy weapons to Ukraine'!$A9,'Bilateral assistance, MAIN DATA'!$AO:$AO,'Share, heavy weapons to Ukraine'!DF$1, 'Bilateral assistance, MAIN DATA'!$AA:$AA,1)</f>
        <v>0</v>
      </c>
      <c r="DG9" s="33">
        <f>SUMIFS('Bilateral assistance, MAIN DATA'!$M:$M,'Bilateral assistance, MAIN DATA'!$B:$B,'Share, heavy weapons to Ukraine'!$A9,'Bilateral assistance, MAIN DATA'!$AO:$AO,'Share, heavy weapons to Ukraine'!DG$1, 'Bilateral assistance, MAIN DATA'!$AA:$AA,1)</f>
        <v>0</v>
      </c>
      <c r="DH9" s="33">
        <f>SUMIFS('Bilateral assistance, MAIN DATA'!$M:$M,'Bilateral assistance, MAIN DATA'!$B:$B,'Share, heavy weapons to Ukraine'!$A9,'Bilateral assistance, MAIN DATA'!$AO:$AO,'Share, heavy weapons to Ukraine'!DH$1, 'Bilateral assistance, MAIN DATA'!$AA:$AA,1)</f>
        <v>0</v>
      </c>
      <c r="DI9" s="33">
        <f>SUMIFS('Bilateral assistance, MAIN DATA'!$M:$M,'Bilateral assistance, MAIN DATA'!$B:$B,'Share, heavy weapons to Ukraine'!$A9,'Bilateral assistance, MAIN DATA'!$AO:$AO,'Share, heavy weapons to Ukraine'!DI$1, 'Bilateral assistance, MAIN DATA'!$AA:$AA,1)</f>
        <v>0</v>
      </c>
      <c r="DK9" s="33">
        <f>SUMIFS('Bilateral assistance, MAIN DATA'!$N:$N,'Bilateral assistance, MAIN DATA'!$B:$B,'Share, heavy weapons to Ukraine'!$A9,'Bilateral assistance, MAIN DATA'!$AO:$AO,'Share, heavy weapons to Ukraine'!DK$1, 'Bilateral assistance, MAIN DATA'!$AA:$AA,1)</f>
        <v>0</v>
      </c>
      <c r="DL9" s="33">
        <f>SUMIFS('Bilateral assistance, MAIN DATA'!$N:$N,'Bilateral assistance, MAIN DATA'!$B:$B,'Share, heavy weapons to Ukraine'!$A9,'Bilateral assistance, MAIN DATA'!$AO:$AO,'Share, heavy weapons to Ukraine'!DL$1, 'Bilateral assistance, MAIN DATA'!$AA:$AA,1)</f>
        <v>0</v>
      </c>
      <c r="DM9" s="33">
        <f>SUMIFS('Bilateral assistance, MAIN DATA'!$N:$N,'Bilateral assistance, MAIN DATA'!$B:$B,'Share, heavy weapons to Ukraine'!$A9,'Bilateral assistance, MAIN DATA'!$AO:$AO,'Share, heavy weapons to Ukraine'!DM$1, 'Bilateral assistance, MAIN DATA'!$AA:$AA,1)</f>
        <v>0</v>
      </c>
      <c r="DN9" s="33">
        <f>SUMIFS('Bilateral assistance, MAIN DATA'!$N:$N,'Bilateral assistance, MAIN DATA'!$B:$B,'Share, heavy weapons to Ukraine'!$A9,'Bilateral assistance, MAIN DATA'!$AO:$AO,'Share, heavy weapons to Ukraine'!DN$1, 'Bilateral assistance, MAIN DATA'!$AA:$AA,1)</f>
        <v>0</v>
      </c>
    </row>
    <row r="10" spans="1:118">
      <c r="A10" s="801" t="s">
        <v>1687</v>
      </c>
      <c r="B10" s="801">
        <v>0</v>
      </c>
      <c r="C10" s="33">
        <v>1</v>
      </c>
      <c r="E10" s="802">
        <v>14.8</v>
      </c>
      <c r="F10" s="801">
        <f>VLOOKUP(A10,'Heavy weapon stocks'!A:OH,COLUMN('Heavy weapon stocks'!$G$1),0)</f>
        <v>0</v>
      </c>
      <c r="G10" s="801">
        <f>VLOOKUP(A10,'Heavy weapon stocks'!A:OH,COLUMN('Heavy weapon stocks'!$AW$1),0)</f>
        <v>265</v>
      </c>
      <c r="H10" s="801">
        <f>VLOOKUP(A10,'Heavy weapon stocks'!A:OH,COLUMN('Heavy weapon stocks'!$DQ$1),0)</f>
        <v>0</v>
      </c>
      <c r="I10" s="801">
        <f>VLOOKUP(A10,'Heavy weapon stocks'!A:OH,COLUMN('Heavy weapon stocks'!$EE$1),0)</f>
        <v>248</v>
      </c>
      <c r="J10" s="801">
        <f>VLOOKUP(A10,'Heavy weapon stocks'!A:OH,COLUMN('Heavy weapon stocks'!$FG$1),0)</f>
        <v>149</v>
      </c>
      <c r="K10" s="801">
        <f t="shared" si="3"/>
        <v>662</v>
      </c>
      <c r="L10" s="801">
        <f>VLOOKUP(A10,'Heavy weapon stocks'!A:OH,COLUMN('Heavy weapon stocks'!$HC$1),0)+VLOOKUP(A10,'Heavy weapon stocks'!A:OH,COLUMN('Heavy weapon stocks'!$II$1),0)</f>
        <v>56</v>
      </c>
      <c r="M10" s="801">
        <f>VLOOKUP(A10,'Heavy weapon stocks'!A:OH,COLUMN('Heavy weapon stocks'!$IN$1),0)</f>
        <v>0</v>
      </c>
      <c r="N10" s="801">
        <f>VLOOKUP(A10,'Heavy weapon stocks'!A:OH,COLUMN('Heavy weapon stocks'!$JH$1),0)+VLOOKUP(A10,'Heavy weapon stocks'!A:OH,COLUMN('Heavy weapon stocks'!$KE$1),0)</f>
        <v>61</v>
      </c>
      <c r="O10" s="801">
        <f>VLOOKUP(A10,'Heavy weapon stocks'!A:OH,COLUMN('Heavy weapon stocks'!$LU$1),0)</f>
        <v>0</v>
      </c>
      <c r="Q10" s="801">
        <f>VLOOKUP(A10,'Heavy weapon stocks'!A:OH,COLUMN('Heavy weapon stocks'!$LV$1),0)</f>
        <v>18</v>
      </c>
      <c r="R10" s="801">
        <f>VLOOKUP(A10,'Heavy weapon stocks'!A:OH,COLUMN('Heavy weapon stocks'!$MF$1),0)</f>
        <v>0</v>
      </c>
      <c r="S10" s="801">
        <f>VLOOKUP(A10,'Heavy weapon stocks'!A:OH,COLUMN('Heavy weapon stocks'!$MM$1),0)</f>
        <v>6</v>
      </c>
      <c r="T10" s="801">
        <f>VLOOKUP(A10,'Heavy weapon stocks'!A:OH,COLUMN('Heavy weapon stocks'!$NR$1),0)</f>
        <v>18</v>
      </c>
      <c r="V10" s="801">
        <f>VLOOKUP(A10,'Heavy weapon stocks'!A:OH,COLUMN('Heavy weapon stocks'!$H$1),0)</f>
        <v>0</v>
      </c>
      <c r="W10" s="801">
        <f>VLOOKUP(A10,'Heavy weapon stocks'!A:OH,COLUMN('Heavy weapon stocks'!$DQ$1),0)</f>
        <v>0</v>
      </c>
      <c r="X10" s="801">
        <f>VLOOKUP(A10,'Heavy weapon stocks'!A:OH,COLUMN('Heavy weapon stocks'!$FG$1),0)</f>
        <v>149</v>
      </c>
      <c r="Y10" s="801">
        <f>VLOOKUP(A10,'Heavy weapon stocks'!A:OH,COLUMN('Heavy weapon stocks'!$HC$1),0)+VLOOKUP(A10,'Heavy weapon stocks'!A:OH,COLUMN('Heavy weapon stocks'!$II$1),0)</f>
        <v>56</v>
      </c>
      <c r="Z10" s="801">
        <f>VLOOKUP(A10,'Heavy weapon stocks'!A:OH,COLUMN('Heavy weapon stocks'!$IO$1),0)+VLOOKUP(A10,'Heavy weapon stocks'!A:OH,COLUMN('Heavy weapon stocks'!$IP$1),0)+VLOOKUP(A10,'Heavy weapon stocks'!A:OH,COLUMN('Heavy weapon stocks'!$IU$1),0)</f>
        <v>0</v>
      </c>
      <c r="AA10" s="801">
        <f>VLOOKUP(A10,'Heavy weapon stocks'!A:OH,COLUMN('Heavy weapon stocks'!$MI$1),0)</f>
        <v>0</v>
      </c>
      <c r="AB10" s="801">
        <f>VLOOKUP(A10,'Heavy weapon stocks'!A:OH,COLUMN('Heavy weapon stocks'!$MS$1),0)+VLOOKUP(A10,'Heavy weapon stocks'!A:OH,COLUMN('Heavy weapon stocks'!$MT$1),0)+VLOOKUP(A10,'Heavy weapon stocks'!A:OH,COLUMN('Heavy weapon stocks'!$MU$1),0)+VLOOKUP(A10,'Heavy weapon stocks'!A:OH,COLUMN('Heavy weapon stocks'!$MV$1),0)</f>
        <v>6</v>
      </c>
      <c r="AD10" s="33">
        <f>SUMIFS('Bilateral assistance, MAIN DATA'!$M:$M,'Bilateral assistance, MAIN DATA'!$B:$B,'Share, heavy weapons to Ukraine'!$A10,'Bilateral assistance, MAIN DATA'!$AO:$AO,'Share, heavy weapons to Ukraine'!AD$1)</f>
        <v>0</v>
      </c>
      <c r="AE10" s="33">
        <f>SUMIFS('Bilateral assistance, MAIN DATA'!$M:$M,'Bilateral assistance, MAIN DATA'!$B:$B,'Share, heavy weapons to Ukraine'!$A10,'Bilateral assistance, MAIN DATA'!$AO:$AO,'Share, heavy weapons to Ukraine'!AE$1)</f>
        <v>0</v>
      </c>
      <c r="AF10" s="33">
        <f>SUMIFS('Bilateral assistance, MAIN DATA'!$M:$M,'Bilateral assistance, MAIN DATA'!$B:$B,'Share, heavy weapons to Ukraine'!$A10,'Bilateral assistance, MAIN DATA'!$AO:$AO,'Share, heavy weapons to Ukraine'!AF$1)</f>
        <v>0</v>
      </c>
      <c r="AG10" s="33">
        <f>SUMIFS('Bilateral assistance, MAIN DATA'!$M:$M,'Bilateral assistance, MAIN DATA'!$B:$B,'Share, heavy weapons to Ukraine'!$A10,'Bilateral assistance, MAIN DATA'!$AO:$AO,'Share, heavy weapons to Ukraine'!AG$1)</f>
        <v>0</v>
      </c>
      <c r="AH10" s="33">
        <f>SUMIFS('Bilateral assistance, MAIN DATA'!$M:$M,'Bilateral assistance, MAIN DATA'!$B:$B,'Share, heavy weapons to Ukraine'!$A10,'Bilateral assistance, MAIN DATA'!$AO:$AO,'Share, heavy weapons to Ukraine'!AH$1)</f>
        <v>0</v>
      </c>
      <c r="AI10" s="33">
        <f t="shared" si="1"/>
        <v>0</v>
      </c>
      <c r="AJ10" s="33">
        <f>SUMIFS('Bilateral assistance, MAIN DATA'!$M:$M,'Bilateral assistance, MAIN DATA'!$B:$B,'Share, heavy weapons to Ukraine'!$A10,'Bilateral assistance, MAIN DATA'!$AO:$AO,'Share, heavy weapons to Ukraine'!AJ$1)</f>
        <v>8</v>
      </c>
      <c r="AK10" s="645">
        <f>SUMIFS('Bilateral assistance, MAIN DATA'!$M:$M,'Bilateral assistance, MAIN DATA'!$B:$B,'Share, heavy weapons to Ukraine'!$A10,'Bilateral assistance, MAIN DATA'!$AO:$AO,"122mm MLRS")+SUMIFS('Bilateral assistance, MAIN DATA'!$M:$M,'Bilateral assistance, MAIN DATA'!$B:$B,'Share, heavy weapons to Ukraine'!$A10,'Bilateral assistance, MAIN DATA'!$AO:$AO,"127mm MLRS")+SUMIFS('Bilateral assistance, MAIN DATA'!$M:$M,'Bilateral assistance, MAIN DATA'!$B:$B,'Share, heavy weapons to Ukraine'!$A10,'Bilateral assistance, MAIN DATA'!$AO:$AO,"227mm MLRS")</f>
        <v>0</v>
      </c>
      <c r="AL10" s="33">
        <f>SUMIFS('Bilateral assistance, MAIN DATA'!$M:$M,'Bilateral assistance, MAIN DATA'!$B:$B,'Share, heavy weapons to Ukraine'!$A10,'Bilateral assistance, MAIN DATA'!$AO:$AO,'Share, heavy weapons to Ukraine'!AL$1)</f>
        <v>0</v>
      </c>
      <c r="AM10" s="33">
        <f>SUMIFS('Bilateral assistance, MAIN DATA'!$M:$M,'Bilateral assistance, MAIN DATA'!$B:$B,'Share, heavy weapons to Ukraine'!$A10,'Bilateral assistance, MAIN DATA'!$AO:$AO,'Share, heavy weapons to Ukraine'!AM$1)</f>
        <v>0</v>
      </c>
      <c r="AN10" s="33">
        <f>SUMIFS('Bilateral assistance, MAIN DATA'!$M:$M,'Bilateral assistance, MAIN DATA'!$B:$B,'Share, heavy weapons to Ukraine'!$A10,'Bilateral assistance, MAIN DATA'!$AO:$AO,'Share, heavy weapons to Ukraine'!AN$1)</f>
        <v>0</v>
      </c>
      <c r="AO10" s="33">
        <f>SUMIFS('Bilateral assistance, MAIN DATA'!$M:$M,'Bilateral assistance, MAIN DATA'!$B:$B,'Share, heavy weapons to Ukraine'!$A10,'Bilateral assistance, MAIN DATA'!$AO:$AO,'Share, heavy weapons to Ukraine'!AO$1)</f>
        <v>0</v>
      </c>
      <c r="AP10" s="33">
        <f>SUMIFS('Bilateral assistance, MAIN DATA'!$M:$M,'Bilateral assistance, MAIN DATA'!$B:$B,'Share, heavy weapons to Ukraine'!$A10,'Bilateral assistance, MAIN DATA'!$AO:$AO,'Share, heavy weapons to Ukraine'!AP$1)</f>
        <v>0</v>
      </c>
      <c r="AR10" s="33">
        <f>SUMIFS('Bilateral assistance, MAIN DATA'!$N:$N,'Bilateral assistance, MAIN DATA'!$B:$B,'Share, heavy weapons to Ukraine'!$A10,'Bilateral assistance, MAIN DATA'!$AO:$AO,'Share, heavy weapons to Ukraine'!AR$1)</f>
        <v>0</v>
      </c>
      <c r="AS10" s="33">
        <f>SUMIFS('Bilateral assistance, MAIN DATA'!$N:$N,'Bilateral assistance, MAIN DATA'!$B:$B,'Share, heavy weapons to Ukraine'!$A10,'Bilateral assistance, MAIN DATA'!$AO:$AO,'Share, heavy weapons to Ukraine'!AS$1)</f>
        <v>0</v>
      </c>
      <c r="AT10" s="33">
        <f>SUMIFS('Bilateral assistance, MAIN DATA'!$N:$N,'Bilateral assistance, MAIN DATA'!$B:$B,'Share, heavy weapons to Ukraine'!$A10,'Bilateral assistance, MAIN DATA'!$AO:$AO,'Share, heavy weapons to Ukraine'!AT$1)</f>
        <v>0</v>
      </c>
      <c r="AU10" s="33">
        <f>SUMIFS('Bilateral assistance, MAIN DATA'!$N:$N,'Bilateral assistance, MAIN DATA'!$B:$B,'Share, heavy weapons to Ukraine'!$A10,'Bilateral assistance, MAIN DATA'!$AO:$AO,'Share, heavy weapons to Ukraine'!AU$1)</f>
        <v>0</v>
      </c>
      <c r="AV10" s="33">
        <f>SUMIFS('Bilateral assistance, MAIN DATA'!$N:$N,'Bilateral assistance, MAIN DATA'!$B:$B,'Share, heavy weapons to Ukraine'!$A10,'Bilateral assistance, MAIN DATA'!$AO:$AO,'Share, heavy weapons to Ukraine'!AV$1)</f>
        <v>0</v>
      </c>
      <c r="AW10" s="33">
        <f t="shared" si="2"/>
        <v>0</v>
      </c>
      <c r="AX10" s="33">
        <f>SUMIFS('Bilateral assistance, MAIN DATA'!$N:$N,'Bilateral assistance, MAIN DATA'!$B:$B,'Share, heavy weapons to Ukraine'!$A10,'Bilateral assistance, MAIN DATA'!$AO:$AO,'Share, heavy weapons to Ukraine'!AX$1)</f>
        <v>5</v>
      </c>
      <c r="AY10" s="645">
        <f>SUMIFS('Bilateral assistance, MAIN DATA'!$N:$N,'Bilateral assistance, MAIN DATA'!$B:$B,'Share, heavy weapons to Ukraine'!$A10,'Bilateral assistance, MAIN DATA'!$AO:$AO,"122mm MLRS")+SUMIFS('Bilateral assistance, MAIN DATA'!$N:$N,'Bilateral assistance, MAIN DATA'!$B:$B,'Share, heavy weapons to Ukraine'!$A10,'Bilateral assistance, MAIN DATA'!$AO:$AO,"127mm MLRS")+SUMIFS('Bilateral assistance, MAIN DATA'!$N:$N,'Bilateral assistance, MAIN DATA'!$B:$B,'Share, heavy weapons to Ukraine'!$A10,'Bilateral assistance, MAIN DATA'!$AO:$AO,"227mm MLRS")</f>
        <v>0</v>
      </c>
      <c r="AZ10" s="33">
        <f>SUMIFS('Bilateral assistance, MAIN DATA'!$N:$N,'Bilateral assistance, MAIN DATA'!$B:$B,'Share, heavy weapons to Ukraine'!$A10,'Bilateral assistance, MAIN DATA'!$AO:$AO,'Share, heavy weapons to Ukraine'!AZ$1)</f>
        <v>0</v>
      </c>
      <c r="BA10" s="33">
        <f>SUMIFS('Bilateral assistance, MAIN DATA'!$N:$N,'Bilateral assistance, MAIN DATA'!$B:$B,'Share, heavy weapons to Ukraine'!$A10,'Bilateral assistance, MAIN DATA'!$AO:$AO,'Share, heavy weapons to Ukraine'!BA$1)</f>
        <v>0</v>
      </c>
      <c r="BB10" s="33">
        <f>SUMIFS('Bilateral assistance, MAIN DATA'!$N:$N,'Bilateral assistance, MAIN DATA'!$B:$B,'Share, heavy weapons to Ukraine'!$A10,'Bilateral assistance, MAIN DATA'!$AO:$AO,'Share, heavy weapons to Ukraine'!BB$1)</f>
        <v>0</v>
      </c>
      <c r="BC10" s="33">
        <f>SUMIFS('Bilateral assistance, MAIN DATA'!$N:$N,'Bilateral assistance, MAIN DATA'!$B:$B,'Share, heavy weapons to Ukraine'!$A10,'Bilateral assistance, MAIN DATA'!$AO:$AO,'Share, heavy weapons to Ukraine'!BC$1)</f>
        <v>0</v>
      </c>
      <c r="BD10" s="33">
        <f>SUMIFS('Bilateral assistance, MAIN DATA'!$N:$N,'Bilateral assistance, MAIN DATA'!$B:$B,'Share, heavy weapons to Ukraine'!$A10,'Bilateral assistance, MAIN DATA'!$AO:$AO,'Share, heavy weapons to Ukraine'!BD$1)</f>
        <v>0</v>
      </c>
      <c r="BF10" s="33">
        <f>IF(VLOOKUP($A10,$A:F,COLUMN(F9),FALSE)&lt;&gt;0,VLOOKUP($A10,$A:AD,COLUMN(AD9),FALSE)/VLOOKUP($A10,$A:F,COLUMN(F9),FALSE),IF(VLOOKUP($A10,$A:AD,COLUMN(AD9),FALSE)&lt;&gt;0,"Strange",0))</f>
        <v>0</v>
      </c>
      <c r="BG10" s="33">
        <f>IF(VLOOKUP($A10,$A:G,COLUMN(G9),FALSE)&lt;&gt;0,VLOOKUP($A10,$A:AE,COLUMN(AE9),FALSE)/VLOOKUP($A10,$A:G,COLUMN(G9),FALSE),IF(VLOOKUP($A10,$A:AE,COLUMN(AE9),FALSE)&lt;&gt;0,"Strange",0))</f>
        <v>0</v>
      </c>
      <c r="BH10" s="33">
        <f>IF(VLOOKUP($A10,$A:H,COLUMN(H9),FALSE)&lt;&gt;0,VLOOKUP($A10,$A:AF,COLUMN(AF9),FALSE)/VLOOKUP($A10,$A:H,COLUMN(H9),FALSE),IF(VLOOKUP($A10,$A:AF,COLUMN(AF9),FALSE)&lt;&gt;0,"Strange",0))</f>
        <v>0</v>
      </c>
      <c r="BI10" s="33">
        <f>IF(VLOOKUP($A10,$A:I,COLUMN(I9),FALSE)&lt;&gt;0,VLOOKUP($A10,$A:AG,COLUMN(AG9),FALSE)/VLOOKUP($A10,$A:I,COLUMN(I9),FALSE),IF(VLOOKUP($A10,$A:AG,COLUMN(AG9),FALSE)&lt;&gt;0,"Strange",0))</f>
        <v>0</v>
      </c>
      <c r="BJ10" s="33">
        <f>IF(VLOOKUP($A10,$A:J,COLUMN(J9),FALSE)&lt;&gt;0,VLOOKUP($A10,$A:AH,COLUMN(AH9),FALSE)/VLOOKUP($A10,$A:J,COLUMN(J9),FALSE),IF(VLOOKUP($A10,$A:AH,COLUMN(AH9),FALSE)&lt;&gt;0,"Strange",0))</f>
        <v>0</v>
      </c>
      <c r="BK10" s="33">
        <f>IF(VLOOKUP($A10,$A:K,COLUMN(K9),FALSE)&lt;&gt;0,VLOOKUP($A10,$A:AI,COLUMN(AI9),FALSE)/VLOOKUP($A10,$A:K,COLUMN(K9),FALSE),IF(VLOOKUP($A10,$A:AI,COLUMN(AI9),FALSE)&lt;&gt;0,"Strange",0))</f>
        <v>0</v>
      </c>
      <c r="BL10" s="33">
        <f>IF(VLOOKUP($A10,$A:L,COLUMN(L9),FALSE)&lt;&gt;0,VLOOKUP($A10,$A:AJ,COLUMN(AJ9),FALSE)/VLOOKUP($A10,$A:L,COLUMN(L9),FALSE),IF(VLOOKUP($A10,$A:AJ,COLUMN(AJ9),FALSE)&lt;&gt;0,"Strange",0))</f>
        <v>0.14285714285714285</v>
      </c>
      <c r="BM10" s="33">
        <f>IF(VLOOKUP($A10,$A:M,COLUMN(M9),FALSE)&lt;&gt;0,VLOOKUP($A10,$A:AK,COLUMN(AK9),FALSE)/VLOOKUP($A10,$A:M,COLUMN(M9),FALSE),IF(VLOOKUP($A10,$A:AK,COLUMN(AK9),FALSE)&lt;&gt;0,"Strange",0))</f>
        <v>0</v>
      </c>
      <c r="BN10" s="33">
        <f>IF(VLOOKUP($A10,$A:N,COLUMN(N9),FALSE)&lt;&gt;0,VLOOKUP($A10,$A:AL,COLUMN(AL9),FALSE)/VLOOKUP($A10,$A:N,COLUMN(N9),FALSE),IF(VLOOKUP($A10,$A:AL,COLUMN(AL9),FALSE)&lt;&gt;0,"Strange",0))</f>
        <v>0</v>
      </c>
      <c r="BO10" s="33">
        <f>IF(VLOOKUP($A10,$A:Q,COLUMN(Q9),FALSE)&lt;&gt;0,VLOOKUP($A10,$A:AM,COLUMN(AM9),FALSE)/VLOOKUP($A10,$A:Q,COLUMN(Q9),FALSE),IF(VLOOKUP($A10,$A:AM,COLUMN(AM9),FALSE)&lt;&gt;0,"Strange",0))</f>
        <v>0</v>
      </c>
      <c r="BP10" s="33">
        <f>IF(VLOOKUP($A10,$A:R,COLUMN(R9),FALSE)&lt;&gt;0,VLOOKUP($A10,$A:AN,COLUMN(AN9),FALSE)/VLOOKUP($A10,$A:R,COLUMN(R9),FALSE),IF(VLOOKUP($A10,$A:AN,COLUMN(AN9),FALSE)&lt;&gt;0,"Strange",0))</f>
        <v>0</v>
      </c>
      <c r="BQ10" s="33">
        <f>IF(VLOOKUP($A10,$A:S,COLUMN(S9),FALSE)&lt;&gt;0,VLOOKUP($A10,$A:AO,COLUMN(AO9),FALSE)/VLOOKUP($A10,$A:S,COLUMN(S9),FALSE),IF(VLOOKUP($A10,$A:AO,COLUMN(AO9),FALSE)&lt;&gt;0,"Strange",0))</f>
        <v>0</v>
      </c>
      <c r="BR10" s="33">
        <f>IF(VLOOKUP($A10,$A:T,COLUMN(T9),FALSE)&lt;&gt;0,VLOOKUP($A10,$A:AP,COLUMN(AP9),FALSE)/VLOOKUP($A10,$A:T,COLUMN(T9),FALSE),IF(VLOOKUP($A10,$A:AP,COLUMN(AP9),FALSE)&lt;&gt;0,"Strange",0))</f>
        <v>0</v>
      </c>
      <c r="BT10" s="33">
        <f>IF(VLOOKUP($A10,$A:AE,COLUMN(F9),FALSE)&lt;&gt;0,VLOOKUP($A10,$A:AS,COLUMN(AR9),FALSE)/VLOOKUP($A10,$A:AE,COLUMN(F9),FALSE),IF(VLOOKUP($A10,$A:AS,COLUMN(AR9),FALSE)&lt;&gt;0,"Strange",0))</f>
        <v>0</v>
      </c>
      <c r="BU10" s="33">
        <f>IF(VLOOKUP($A10,$A:AF,COLUMN(G9),FALSE)&lt;&gt;0,VLOOKUP($A10,$A:AT,COLUMN(AS9),FALSE)/VLOOKUP($A10,$A:AF,COLUMN(G9),FALSE),IF(VLOOKUP($A10,$A:AT,COLUMN(AS9),FALSE)&lt;&gt;0,"Strange",0))</f>
        <v>0</v>
      </c>
      <c r="BV10" s="33">
        <f>IF(VLOOKUP($A10,$A:AG,COLUMN(H9),FALSE)&lt;&gt;0,VLOOKUP($A10,$A:AU,COLUMN(AT9),FALSE)/VLOOKUP($A10,$A:AG,COLUMN(H9),FALSE),IF(VLOOKUP($A10,$A:AU,COLUMN(AT9),FALSE)&lt;&gt;0,"Strange",0))</f>
        <v>0</v>
      </c>
      <c r="BW10" s="33">
        <f>IF(VLOOKUP($A10,$A:AH,COLUMN(I9),FALSE)&lt;&gt;0,VLOOKUP($A10,$A:AV,COLUMN(AU9),FALSE)/VLOOKUP($A10,$A:AH,COLUMN(I9),FALSE),IF(VLOOKUP($A10,$A:AV,COLUMN(AU9),FALSE)&lt;&gt;0,"Strange",0))</f>
        <v>0</v>
      </c>
      <c r="BX10" s="33">
        <f>IF(VLOOKUP($A10,$A:AJ,COLUMN(J9),FALSE)&lt;&gt;0,VLOOKUP($A10,$A:AX,COLUMN(AV9),FALSE)/VLOOKUP($A10,$A:AJ,COLUMN(J9),FALSE),IF(VLOOKUP($A10,$A:AX,COLUMN(AV9),FALSE)&lt;&gt;0,"Strange",0))</f>
        <v>0</v>
      </c>
      <c r="BY10" s="33">
        <f>IF(VLOOKUP($A10,$A:AK,COLUMN(K9),FALSE)&lt;&gt;0,VLOOKUP($A10,$A:AY,COLUMN(AW9),FALSE)/VLOOKUP($A10,$A:AK,COLUMN(K9),FALSE),IF(VLOOKUP($A10,$A:AY,COLUMN(AW9),FALSE)&lt;&gt;0,"Strange",0))</f>
        <v>0</v>
      </c>
      <c r="BZ10" s="33">
        <f>IF(VLOOKUP($A10,$A:AK,COLUMN(L9),FALSE)&lt;&gt;0,VLOOKUP($A10,$A:AY,COLUMN(AX9),FALSE)/VLOOKUP($A10,$A:AK,COLUMN(L9),FALSE),IF(VLOOKUP($A10,$A:AY,COLUMN(AX9),FALSE)&lt;&gt;0,"Strange",0))</f>
        <v>8.9285714285714288E-2</v>
      </c>
      <c r="CA10" s="33">
        <f>IF(VLOOKUP($A10,$A:AL,COLUMN(M9),FALSE)&lt;&gt;0,VLOOKUP($A10,$A:AZ,COLUMN(AY9),FALSE)/VLOOKUP($A10,$A:AL,COLUMN(M9),FALSE),IF(VLOOKUP($A10,$A:AZ,COLUMN(AY9),FALSE)&lt;&gt;0,"Strange",0))</f>
        <v>0</v>
      </c>
      <c r="CB10" s="33">
        <f>IF(VLOOKUP($A10,$A:AL,COLUMN(N9),FALSE)&lt;&gt;0,VLOOKUP($A10,$A:AZ,COLUMN(AZ9),FALSE)/VLOOKUP($A10,$A:AL,COLUMN(N9),FALSE),IF(VLOOKUP($A10,$A:AZ,COLUMN(AZ9),FALSE)&lt;&gt;0,"Strange",0))</f>
        <v>0</v>
      </c>
      <c r="CC10" s="33">
        <f>IF(VLOOKUP($A10,$A:AM,COLUMN(Q9),FALSE)&lt;&gt;0,VLOOKUP($A10,$A:BA,COLUMN(BA9),FALSE)/VLOOKUP($A10,$A:AM,COLUMN(Q9),FALSE),IF(VLOOKUP($A10,$A:BA,COLUMN(BA9),FALSE)&lt;&gt;0,"Strange",0))</f>
        <v>0</v>
      </c>
      <c r="CD10" s="33">
        <f>IF(VLOOKUP($A10,$A:AN,COLUMN(R9),FALSE)&lt;&gt;0,VLOOKUP($A10,$A:BB,COLUMN(BB9),FALSE)/VLOOKUP($A10,$A:AN,COLUMN(R9),FALSE),IF(VLOOKUP($A10,$A:BB,COLUMN(BB9),FALSE)&lt;&gt;0,"Strange",0))</f>
        <v>0</v>
      </c>
      <c r="CE10" s="33">
        <f>IF(VLOOKUP($A10,$A:AO,COLUMN(S9),FALSE)&lt;&gt;0,VLOOKUP($A10,$A:BC,COLUMN(BC9),FALSE)/VLOOKUP($A10,$A:AO,COLUMN(S9),FALSE),IF(VLOOKUP($A10,$A:BC,COLUMN(BC9),FALSE)&lt;&gt;0,"Strange",0))</f>
        <v>0</v>
      </c>
      <c r="CF10" s="33">
        <f>IF(VLOOKUP($A10,$A:AP,COLUMN(T9),FALSE)&lt;&gt;0,VLOOKUP($A10,$A:BD,COLUMN(BD9),FALSE)/VLOOKUP($A10,$A:AP,COLUMN(T9),FALSE),IF(VLOOKUP($A10,$A:BD,COLUMN(BD9),FALSE)&lt;&gt;0,"Strange",0))</f>
        <v>0</v>
      </c>
      <c r="CH10" s="33">
        <f>SUMIFS('Bilateral assistance, MAIN DATA'!$M:$M,'Bilateral assistance, MAIN DATA'!$B:$B,'Share, heavy weapons to Ukraine'!$A10,'Bilateral assistance, MAIN DATA'!$AO:$AO,'Share, heavy weapons to Ukraine'!CH$1,'Bilateral assistance, MAIN DATA'!$AQ:$AQ,2)</f>
        <v>0</v>
      </c>
      <c r="CI10" s="33">
        <f>SUMIFS('Bilateral assistance, MAIN DATA'!$M:$M,'Bilateral assistance, MAIN DATA'!$B:$B,'Share, heavy weapons to Ukraine'!$A10,'Bilateral assistance, MAIN DATA'!$AO:$AO,'Share, heavy weapons to Ukraine'!CI$1,'Bilateral assistance, MAIN DATA'!$AQ:$AQ,2)</f>
        <v>8</v>
      </c>
      <c r="CJ10" s="645">
        <f>SUMIFS('Bilateral assistance, MAIN DATA'!$M:$M,'Bilateral assistance, MAIN DATA'!$B:$B,'Share, heavy weapons to Ukraine'!$A10,'Bilateral assistance, MAIN DATA'!$AO:$AO,"122mm MLRS",'Bilateral assistance, MAIN DATA'!$AQ:$AQ,2)+SUMIFS('Bilateral assistance, MAIN DATA'!$M:$M,'Bilateral assistance, MAIN DATA'!$B:$B,'Share, heavy weapons to Ukraine'!$A10,'Bilateral assistance, MAIN DATA'!$AO:$AO,"127mm MLRS",'Bilateral assistance, MAIN DATA'!$AQ:$AQ,2)+SUMIFS('Bilateral assistance, MAIN DATA'!$M:$M,'Bilateral assistance, MAIN DATA'!$B:$B,'Share, heavy weapons to Ukraine'!$A10,'Bilateral assistance, MAIN DATA'!$AO:$AO,"227mm MLRS",'Bilateral assistance, MAIN DATA'!$AQ:$AQ,2)</f>
        <v>0</v>
      </c>
      <c r="CL10" s="33">
        <f>SUMIFS('Bilateral assistance, MAIN DATA'!$M:$M,'Bilateral assistance, MAIN DATA'!$B:$B,'Share, heavy weapons to Ukraine'!$A10,'Bilateral assistance, MAIN DATA'!$AO:$AO,'Share, heavy weapons to Ukraine'!CH$1,'Bilateral assistance, MAIN DATA'!$AQ:$AQ,1)</f>
        <v>0</v>
      </c>
      <c r="CM10" s="33">
        <f>SUMIFS('Bilateral assistance, MAIN DATA'!$M:$M,'Bilateral assistance, MAIN DATA'!$B:$B,'Share, heavy weapons to Ukraine'!$A10,'Bilateral assistance, MAIN DATA'!$AO:$AO,'Share, heavy weapons to Ukraine'!CI$1,'Bilateral assistance, MAIN DATA'!$AQ:$AQ,1)</f>
        <v>0</v>
      </c>
      <c r="CN10" s="645">
        <f>SUMIFS('Bilateral assistance, MAIN DATA'!$M:$M,'Bilateral assistance, MAIN DATA'!$B:$B,'Share, heavy weapons to Ukraine'!$A10,'Bilateral assistance, MAIN DATA'!$AO:$AO,"122mm MLRS",'Bilateral assistance, MAIN DATA'!$AQ:$AQ,1)+SUMIFS('Bilateral assistance, MAIN DATA'!$M:$M,'Bilateral assistance, MAIN DATA'!$B:$B,'Share, heavy weapons to Ukraine'!$A10,'Bilateral assistance, MAIN DATA'!$AO:$AO,"127mm MLRS",'Bilateral assistance, MAIN DATA'!$AQ:$AQ,1)+SUMIFS('Bilateral assistance, MAIN DATA'!$M:$M,'Bilateral assistance, MAIN DATA'!$B:$B,'Share, heavy weapons to Ukraine'!$A10,'Bilateral assistance, MAIN DATA'!$AO:$AO,"227mm MLRS",'Bilateral assistance, MAIN DATA'!$AQ:$AQ,1)</f>
        <v>0</v>
      </c>
      <c r="CP10" s="33">
        <f>SUMIFS('Bilateral assistance, MAIN DATA'!$M:$M,'Bilateral assistance, MAIN DATA'!$B:$B,'Share, heavy weapons to Ukraine'!$A10,'Bilateral assistance, MAIN DATA'!$AO:$AO,'Share, heavy weapons to Ukraine'!CP$1,'Bilateral assistance, MAIN DATA'!$AQ:$AQ,0)</f>
        <v>0</v>
      </c>
      <c r="CQ10" s="33">
        <f>SUMIFS('Bilateral assistance, MAIN DATA'!$M:$M,'Bilateral assistance, MAIN DATA'!$B:$B,'Share, heavy weapons to Ukraine'!$A10,'Bilateral assistance, MAIN DATA'!$AO:$AO,'Share, heavy weapons to Ukraine'!CQ$1,'Bilateral assistance, MAIN DATA'!$AQ:$AQ,0)</f>
        <v>0</v>
      </c>
      <c r="CR10" s="645">
        <f>SUMIFS('Bilateral assistance, MAIN DATA'!$M:$M,'Bilateral assistance, MAIN DATA'!$B:$B,'Share, heavy weapons to Ukraine'!$A10,'Bilateral assistance, MAIN DATA'!$AO:$AO,"122mm MLRS",'Bilateral assistance, MAIN DATA'!$AQ:$AQ,0)+SUMIFS('Bilateral assistance, MAIN DATA'!$M:$M,'Bilateral assistance, MAIN DATA'!$B:$B,'Share, heavy weapons to Ukraine'!$A10,'Bilateral assistance, MAIN DATA'!$AO:$AO,"127mm MLRS",'Bilateral assistance, MAIN DATA'!$AQ:$AQ,0)+SUMIFS('Bilateral assistance, MAIN DATA'!$M:$M,'Bilateral assistance, MAIN DATA'!$B:$B,'Share, heavy weapons to Ukraine'!$A10,'Bilateral assistance, MAIN DATA'!$AO:$AO,"227mm MLRS",'Bilateral assistance, MAIN DATA'!$AQ:$AQ,0)</f>
        <v>0</v>
      </c>
      <c r="CT10" s="33">
        <f>IF(VLOOKUP($A10,$A:CS,COLUMN(F9),FALSE)&lt;&gt;0,VLOOKUP($A10,$A:CS,COLUMN(CH9),FALSE)/VLOOKUP($A10,$A:AU,COLUMN(F9),FALSE),IF(VLOOKUP($A10,$A:CS,COLUMN(CH9),FALSE)&lt;&gt;0,"Strange",0))</f>
        <v>0</v>
      </c>
      <c r="CU10" s="33">
        <f>IF(VLOOKUP($A10,$A:CS,COLUMN(L9),FALSE)&lt;&gt;0,VLOOKUP($A10,$A:CS,COLUMN(CI9),FALSE)/VLOOKUP($A10,$A:AU,COLUMN(L9),FALSE),IF(VLOOKUP($A10,$A:CS,COLUMN(CI9),FALSE)&lt;&gt;0,"Strange",0))</f>
        <v>0.14285714285714285</v>
      </c>
      <c r="CV10" s="33">
        <f>IF(VLOOKUP($A10,$A:CT,COLUMN(M9),FALSE)&lt;&gt;0,VLOOKUP($A10,$A:CT,COLUMN(CJ9),FALSE)/VLOOKUP($A10,$A:AV,COLUMN(M9),FALSE),IF(VLOOKUP($A10,$A:CT,COLUMN(CJ9),FALSE)&lt;&gt;0,"Strange",0))</f>
        <v>0</v>
      </c>
      <c r="CX10" s="33">
        <f>IF(VLOOKUP($A10,$A:CS,COLUMN(F9),FALSE)&lt;&gt;0,VLOOKUP($A10,$A:CS,COLUMN(CL9),FALSE)/VLOOKUP($A10,$A:AU,COLUMN(F9),FALSE),IF(VLOOKUP($A10,$A:CS,COLUMN(CL9),FALSE)&lt;&gt;0,"Strange",0))</f>
        <v>0</v>
      </c>
      <c r="CY10" s="33">
        <f>IF(VLOOKUP($A10,$A:CS,COLUMN(L9),FALSE)&lt;&gt;0,VLOOKUP($A10,$A:CS,COLUMN(CM9),FALSE)/VLOOKUP($A10,$A:AU,COLUMN(L9),FALSE),IF(VLOOKUP($A10,$A:CS,COLUMN(CM9),FALSE)&lt;&gt;0,"Strange",0))</f>
        <v>0</v>
      </c>
      <c r="CZ10" s="33">
        <f>IF(VLOOKUP($A10,$A:CT,COLUMN(M9),FALSE)&lt;&gt;0,VLOOKUP($A10,$A:CT,COLUMN(CN9),FALSE)/VLOOKUP($A10,$A:AV,COLUMN(M9),FALSE),IF(VLOOKUP($A10,$A:CT,COLUMN(CN9),FALSE)&lt;&gt;0,"Strange",0))</f>
        <v>0</v>
      </c>
      <c r="DB10" s="33">
        <f>IF(VLOOKUP($A10,$A:CS,COLUMN(F9),FALSE)&lt;&gt;0,VLOOKUP($A10,$A:CS,COLUMN(CP9),FALSE)/VLOOKUP($A10,$A:AU,COLUMN(F9),FALSE),IF(VLOOKUP($A10,$A:CS,COLUMN(CP9),FALSE)&lt;&gt;0,"Strange",0))</f>
        <v>0</v>
      </c>
      <c r="DC10" s="33">
        <f>IF(VLOOKUP($A10,$A:CS,COLUMN(L9),FALSE)&lt;&gt;0,VLOOKUP($A10,$A:CS,COLUMN(CQ9),FALSE)/VLOOKUP($A10,$A:AU,COLUMN(L9),FALSE),IF(VLOOKUP($A10,$A:CS,COLUMN(CQ9),FALSE)&lt;&gt;0,"Strange",0))</f>
        <v>0</v>
      </c>
      <c r="DD10" s="33">
        <f>IF(VLOOKUP($A10,$A:CT,COLUMN(M9),FALSE)&lt;&gt;0,VLOOKUP($A10,$A:CT,COLUMN(CR9),FALSE)/VLOOKUP($A10,$A:AV,COLUMN(M9),FALSE),IF(VLOOKUP($A10,$A:CT,COLUMN(CR9),FALSE)&lt;&gt;0,"Strange",0))</f>
        <v>0</v>
      </c>
      <c r="DF10" s="33">
        <f>SUMIFS('Bilateral assistance, MAIN DATA'!$M:$M,'Bilateral assistance, MAIN DATA'!$B:$B,'Share, heavy weapons to Ukraine'!$A10,'Bilateral assistance, MAIN DATA'!$AO:$AO,'Share, heavy weapons to Ukraine'!DF$1, 'Bilateral assistance, MAIN DATA'!$AA:$AA,1)</f>
        <v>0</v>
      </c>
      <c r="DG10" s="33">
        <f>SUMIFS('Bilateral assistance, MAIN DATA'!$M:$M,'Bilateral assistance, MAIN DATA'!$B:$B,'Share, heavy weapons to Ukraine'!$A10,'Bilateral assistance, MAIN DATA'!$AO:$AO,'Share, heavy weapons to Ukraine'!DG$1, 'Bilateral assistance, MAIN DATA'!$AA:$AA,1)</f>
        <v>0</v>
      </c>
      <c r="DH10" s="33">
        <f>SUMIFS('Bilateral assistance, MAIN DATA'!$M:$M,'Bilateral assistance, MAIN DATA'!$B:$B,'Share, heavy weapons to Ukraine'!$A10,'Bilateral assistance, MAIN DATA'!$AO:$AO,'Share, heavy weapons to Ukraine'!DH$1, 'Bilateral assistance, MAIN DATA'!$AA:$AA,1)</f>
        <v>0</v>
      </c>
      <c r="DI10" s="33">
        <f>SUMIFS('Bilateral assistance, MAIN DATA'!$M:$M,'Bilateral assistance, MAIN DATA'!$B:$B,'Share, heavy weapons to Ukraine'!$A10,'Bilateral assistance, MAIN DATA'!$AO:$AO,'Share, heavy weapons to Ukraine'!DI$1, 'Bilateral assistance, MAIN DATA'!$AA:$AA,1)</f>
        <v>0</v>
      </c>
      <c r="DK10" s="33">
        <f>SUMIFS('Bilateral assistance, MAIN DATA'!$N:$N,'Bilateral assistance, MAIN DATA'!$B:$B,'Share, heavy weapons to Ukraine'!$A10,'Bilateral assistance, MAIN DATA'!$AO:$AO,'Share, heavy weapons to Ukraine'!DK$1, 'Bilateral assistance, MAIN DATA'!$AA:$AA,1)</f>
        <v>0</v>
      </c>
      <c r="DL10" s="33">
        <f>SUMIFS('Bilateral assistance, MAIN DATA'!$N:$N,'Bilateral assistance, MAIN DATA'!$B:$B,'Share, heavy weapons to Ukraine'!$A10,'Bilateral assistance, MAIN DATA'!$AO:$AO,'Share, heavy weapons to Ukraine'!DL$1, 'Bilateral assistance, MAIN DATA'!$AA:$AA,1)</f>
        <v>0</v>
      </c>
      <c r="DM10" s="33">
        <f>SUMIFS('Bilateral assistance, MAIN DATA'!$N:$N,'Bilateral assistance, MAIN DATA'!$B:$B,'Share, heavy weapons to Ukraine'!$A10,'Bilateral assistance, MAIN DATA'!$AO:$AO,'Share, heavy weapons to Ukraine'!DM$1, 'Bilateral assistance, MAIN DATA'!$AA:$AA,1)</f>
        <v>0</v>
      </c>
      <c r="DN10" s="33">
        <f>SUMIFS('Bilateral assistance, MAIN DATA'!$N:$N,'Bilateral assistance, MAIN DATA'!$B:$B,'Share, heavy weapons to Ukraine'!$A10,'Bilateral assistance, MAIN DATA'!$AO:$AO,'Share, heavy weapons to Ukraine'!DN$1, 'Bilateral assistance, MAIN DATA'!$AA:$AA,1)</f>
        <v>0</v>
      </c>
    </row>
    <row r="11" spans="1:118">
      <c r="A11" s="801" t="s">
        <v>2162</v>
      </c>
      <c r="B11" s="801">
        <v>0</v>
      </c>
      <c r="C11" s="33">
        <v>1</v>
      </c>
      <c r="E11" s="802">
        <v>13.8</v>
      </c>
      <c r="F11" s="801">
        <f>VLOOKUP(A11,'Heavy weapon stocks'!A:OH,COLUMN('Heavy weapon stocks'!$G$1),0)</f>
        <v>327</v>
      </c>
      <c r="G11" s="801">
        <f>VLOOKUP(A11,'Heavy weapon stocks'!A:OH,COLUMN('Heavy weapon stocks'!$AW$1),0)</f>
        <v>793</v>
      </c>
      <c r="H11" s="801">
        <f>VLOOKUP(A11,'Heavy weapon stocks'!A:OH,COLUMN('Heavy weapon stocks'!$DQ$1),0)</f>
        <v>110</v>
      </c>
      <c r="I11" s="801">
        <f>VLOOKUP(A11,'Heavy weapon stocks'!A:OH,COLUMN('Heavy weapon stocks'!$EE$1),0)</f>
        <v>260</v>
      </c>
      <c r="J11" s="801">
        <f>VLOOKUP(A11,'Heavy weapon stocks'!A:OH,COLUMN('Heavy weapon stocks'!$FG$1),0)</f>
        <v>309</v>
      </c>
      <c r="K11" s="801">
        <f t="shared" si="3"/>
        <v>1472</v>
      </c>
      <c r="L11" s="801">
        <f>VLOOKUP(A11,'Heavy weapon stocks'!A:OH,COLUMN('Heavy weapon stocks'!$HC$1),0)+VLOOKUP(A11,'Heavy weapon stocks'!A:OH,COLUMN('Heavy weapon stocks'!$II$1),0)</f>
        <v>159</v>
      </c>
      <c r="M11" s="801">
        <f>VLOOKUP(A11,'Heavy weapon stocks'!A:OH,COLUMN('Heavy weapon stocks'!$IN$1),0)</f>
        <v>0</v>
      </c>
      <c r="N11" s="801">
        <f>VLOOKUP(A11,'Heavy weapon stocks'!A:OH,COLUMN('Heavy weapon stocks'!$JH$1),0)+VLOOKUP(A11,'Heavy weapon stocks'!A:OH,COLUMN('Heavy weapon stocks'!$KE$1),0)</f>
        <v>172</v>
      </c>
      <c r="O11" s="801">
        <f>VLOOKUP(A11,'Heavy weapon stocks'!A:OH,COLUMN('Heavy weapon stocks'!$LU$1),0)</f>
        <v>0</v>
      </c>
      <c r="Q11" s="801">
        <f>VLOOKUP(A11,'Heavy weapon stocks'!A:OH,COLUMN('Heavy weapon stocks'!$LV$1),0)</f>
        <v>18</v>
      </c>
      <c r="R11" s="801">
        <f>VLOOKUP(A11,'Heavy weapon stocks'!A:OH,COLUMN('Heavy weapon stocks'!$MF$1),0)</f>
        <v>38</v>
      </c>
      <c r="S11" s="801">
        <f>VLOOKUP(A11,'Heavy weapon stocks'!A:OH,COLUMN('Heavy weapon stocks'!$MM$1),0)</f>
        <v>21</v>
      </c>
      <c r="T11" s="801">
        <f>VLOOKUP(A11,'Heavy weapon stocks'!A:OH,COLUMN('Heavy weapon stocks'!$NR$1),0)</f>
        <v>0</v>
      </c>
      <c r="V11" s="801">
        <f>VLOOKUP(A11,'Heavy weapon stocks'!A:OH,COLUMN('Heavy weapon stocks'!$H$1),0)</f>
        <v>108</v>
      </c>
      <c r="W11" s="801">
        <f>VLOOKUP(A11,'Heavy weapon stocks'!A:OH,COLUMN('Heavy weapon stocks'!$DQ$1),0)</f>
        <v>110</v>
      </c>
      <c r="X11" s="801">
        <f>VLOOKUP(A11,'Heavy weapon stocks'!A:OH,COLUMN('Heavy weapon stocks'!$FG$1),0)</f>
        <v>309</v>
      </c>
      <c r="Y11" s="801">
        <f>VLOOKUP(A11,'Heavy weapon stocks'!A:OH,COLUMN('Heavy weapon stocks'!$HC$1),0)+VLOOKUP(A11,'Heavy weapon stocks'!A:OH,COLUMN('Heavy weapon stocks'!$II$1),0)</f>
        <v>159</v>
      </c>
      <c r="Z11" s="801">
        <f>VLOOKUP(A11,'Heavy weapon stocks'!A:OH,COLUMN('Heavy weapon stocks'!$IO$1),0)+VLOOKUP(A11,'Heavy weapon stocks'!A:OH,COLUMN('Heavy weapon stocks'!$IP$1),0)+VLOOKUP(A11,'Heavy weapon stocks'!A:OH,COLUMN('Heavy weapon stocks'!$IU$1),0)</f>
        <v>0</v>
      </c>
      <c r="AA11" s="801">
        <f>VLOOKUP(A11,'Heavy weapon stocks'!A:OH,COLUMN('Heavy weapon stocks'!$MI$1),0)</f>
        <v>0</v>
      </c>
      <c r="AB11" s="801">
        <f>VLOOKUP(A11,'Heavy weapon stocks'!A:OH,COLUMN('Heavy weapon stocks'!$MS$1),0)+VLOOKUP(A11,'Heavy weapon stocks'!A:OH,COLUMN('Heavy weapon stocks'!$MT$1),0)+VLOOKUP(A11,'Heavy weapon stocks'!A:OH,COLUMN('Heavy weapon stocks'!$MU$1),0)+VLOOKUP(A11,'Heavy weapon stocks'!A:OH,COLUMN('Heavy weapon stocks'!$MV$1),0)</f>
        <v>8</v>
      </c>
      <c r="AD11" s="33">
        <f>SUMIFS('Bilateral assistance, MAIN DATA'!$M:$M,'Bilateral assistance, MAIN DATA'!$B:$B,'Share, heavy weapons to Ukraine'!$A11,'Bilateral assistance, MAIN DATA'!$AO:$AO,'Share, heavy weapons to Ukraine'!AD$1)</f>
        <v>0</v>
      </c>
      <c r="AE11" s="33">
        <f>SUMIFS('Bilateral assistance, MAIN DATA'!$M:$M,'Bilateral assistance, MAIN DATA'!$B:$B,'Share, heavy weapons to Ukraine'!$A11,'Bilateral assistance, MAIN DATA'!$AO:$AO,'Share, heavy weapons to Ukraine'!AE$1)</f>
        <v>0</v>
      </c>
      <c r="AF11" s="33">
        <f>SUMIFS('Bilateral assistance, MAIN DATA'!$M:$M,'Bilateral assistance, MAIN DATA'!$B:$B,'Share, heavy weapons to Ukraine'!$A11,'Bilateral assistance, MAIN DATA'!$AO:$AO,'Share, heavy weapons to Ukraine'!AF$1)</f>
        <v>0</v>
      </c>
      <c r="AG11" s="33">
        <f>SUMIFS('Bilateral assistance, MAIN DATA'!$M:$M,'Bilateral assistance, MAIN DATA'!$B:$B,'Share, heavy weapons to Ukraine'!$A11,'Bilateral assistance, MAIN DATA'!$AO:$AO,'Share, heavy weapons to Ukraine'!AG$1)</f>
        <v>29</v>
      </c>
      <c r="AH11" s="33">
        <f>SUMIFS('Bilateral assistance, MAIN DATA'!$M:$M,'Bilateral assistance, MAIN DATA'!$B:$B,'Share, heavy weapons to Ukraine'!$A11,'Bilateral assistance, MAIN DATA'!$AO:$AO,'Share, heavy weapons to Ukraine'!AH$1)</f>
        <v>0</v>
      </c>
      <c r="AI11" s="33">
        <f t="shared" si="1"/>
        <v>29</v>
      </c>
      <c r="AJ11" s="33">
        <f>SUMIFS('Bilateral assistance, MAIN DATA'!$M:$M,'Bilateral assistance, MAIN DATA'!$B:$B,'Share, heavy weapons to Ukraine'!$A11,'Bilateral assistance, MAIN DATA'!$AO:$AO,'Share, heavy weapons to Ukraine'!AJ$1)</f>
        <v>0</v>
      </c>
      <c r="AK11" s="645">
        <f>SUMIFS('Bilateral assistance, MAIN DATA'!$M:$M,'Bilateral assistance, MAIN DATA'!$B:$B,'Share, heavy weapons to Ukraine'!$A11,'Bilateral assistance, MAIN DATA'!$AO:$AO,"122mm MLRS")+SUMIFS('Bilateral assistance, MAIN DATA'!$M:$M,'Bilateral assistance, MAIN DATA'!$B:$B,'Share, heavy weapons to Ukraine'!$A11,'Bilateral assistance, MAIN DATA'!$AO:$AO,"127mm MLRS")+SUMIFS('Bilateral assistance, MAIN DATA'!$M:$M,'Bilateral assistance, MAIN DATA'!$B:$B,'Share, heavy weapons to Ukraine'!$A11,'Bilateral assistance, MAIN DATA'!$AO:$AO,"227mm MLRS")</f>
        <v>0</v>
      </c>
      <c r="AL11" s="33">
        <f>SUMIFS('Bilateral assistance, MAIN DATA'!$M:$M,'Bilateral assistance, MAIN DATA'!$B:$B,'Share, heavy weapons to Ukraine'!$A11,'Bilateral assistance, MAIN DATA'!$AO:$AO,'Share, heavy weapons to Ukraine'!AL$1)</f>
        <v>0</v>
      </c>
      <c r="AM11" s="33">
        <f>SUMIFS('Bilateral assistance, MAIN DATA'!$M:$M,'Bilateral assistance, MAIN DATA'!$B:$B,'Share, heavy weapons to Ukraine'!$A11,'Bilateral assistance, MAIN DATA'!$AO:$AO,'Share, heavy weapons to Ukraine'!AM$1)</f>
        <v>0</v>
      </c>
      <c r="AN11" s="33">
        <f>SUMIFS('Bilateral assistance, MAIN DATA'!$M:$M,'Bilateral assistance, MAIN DATA'!$B:$B,'Share, heavy weapons to Ukraine'!$A11,'Bilateral assistance, MAIN DATA'!$AO:$AO,'Share, heavy weapons to Ukraine'!AN$1)</f>
        <v>6</v>
      </c>
      <c r="AO11" s="33">
        <f>SUMIFS('Bilateral assistance, MAIN DATA'!$M:$M,'Bilateral assistance, MAIN DATA'!$B:$B,'Share, heavy weapons to Ukraine'!$A11,'Bilateral assistance, MAIN DATA'!$AO:$AO,'Share, heavy weapons to Ukraine'!AO$1)</f>
        <v>0</v>
      </c>
      <c r="AP11" s="33">
        <f>SUMIFS('Bilateral assistance, MAIN DATA'!$M:$M,'Bilateral assistance, MAIN DATA'!$B:$B,'Share, heavy weapons to Ukraine'!$A11,'Bilateral assistance, MAIN DATA'!$AO:$AO,'Share, heavy weapons to Ukraine'!AP$1)</f>
        <v>0</v>
      </c>
      <c r="AR11" s="33">
        <f>SUMIFS('Bilateral assistance, MAIN DATA'!$N:$N,'Bilateral assistance, MAIN DATA'!$B:$B,'Share, heavy weapons to Ukraine'!$A11,'Bilateral assistance, MAIN DATA'!$AO:$AO,'Share, heavy weapons to Ukraine'!AR$1)</f>
        <v>0</v>
      </c>
      <c r="AS11" s="33">
        <f>SUMIFS('Bilateral assistance, MAIN DATA'!$N:$N,'Bilateral assistance, MAIN DATA'!$B:$B,'Share, heavy weapons to Ukraine'!$A11,'Bilateral assistance, MAIN DATA'!$AO:$AO,'Share, heavy weapons to Ukraine'!AS$1)</f>
        <v>0</v>
      </c>
      <c r="AT11" s="33">
        <f>SUMIFS('Bilateral assistance, MAIN DATA'!$N:$N,'Bilateral assistance, MAIN DATA'!$B:$B,'Share, heavy weapons to Ukraine'!$A11,'Bilateral assistance, MAIN DATA'!$AO:$AO,'Share, heavy weapons to Ukraine'!AT$1)</f>
        <v>0</v>
      </c>
      <c r="AU11" s="33">
        <f>SUMIFS('Bilateral assistance, MAIN DATA'!$N:$N,'Bilateral assistance, MAIN DATA'!$B:$B,'Share, heavy weapons to Ukraine'!$A11,'Bilateral assistance, MAIN DATA'!$AO:$AO,'Share, heavy weapons to Ukraine'!AU$1)</f>
        <v>29</v>
      </c>
      <c r="AV11" s="33">
        <f>SUMIFS('Bilateral assistance, MAIN DATA'!$N:$N,'Bilateral assistance, MAIN DATA'!$B:$B,'Share, heavy weapons to Ukraine'!$A11,'Bilateral assistance, MAIN DATA'!$AO:$AO,'Share, heavy weapons to Ukraine'!AV$1)</f>
        <v>0</v>
      </c>
      <c r="AW11" s="33">
        <f t="shared" si="2"/>
        <v>29</v>
      </c>
      <c r="AX11" s="33">
        <f>SUMIFS('Bilateral assistance, MAIN DATA'!$N:$N,'Bilateral assistance, MAIN DATA'!$B:$B,'Share, heavy weapons to Ukraine'!$A11,'Bilateral assistance, MAIN DATA'!$AO:$AO,'Share, heavy weapons to Ukraine'!AX$1)</f>
        <v>0</v>
      </c>
      <c r="AY11" s="645">
        <f>SUMIFS('Bilateral assistance, MAIN DATA'!$N:$N,'Bilateral assistance, MAIN DATA'!$B:$B,'Share, heavy weapons to Ukraine'!$A11,'Bilateral assistance, MAIN DATA'!$AO:$AO,"122mm MLRS")+SUMIFS('Bilateral assistance, MAIN DATA'!$N:$N,'Bilateral assistance, MAIN DATA'!$B:$B,'Share, heavy weapons to Ukraine'!$A11,'Bilateral assistance, MAIN DATA'!$AO:$AO,"127mm MLRS")+SUMIFS('Bilateral assistance, MAIN DATA'!$N:$N,'Bilateral assistance, MAIN DATA'!$B:$B,'Share, heavy weapons to Ukraine'!$A11,'Bilateral assistance, MAIN DATA'!$AO:$AO,"227mm MLRS")</f>
        <v>0</v>
      </c>
      <c r="AZ11" s="33">
        <f>SUMIFS('Bilateral assistance, MAIN DATA'!$N:$N,'Bilateral assistance, MAIN DATA'!$B:$B,'Share, heavy weapons to Ukraine'!$A11,'Bilateral assistance, MAIN DATA'!$AO:$AO,'Share, heavy weapons to Ukraine'!AZ$1)</f>
        <v>0</v>
      </c>
      <c r="BA11" s="33">
        <f>SUMIFS('Bilateral assistance, MAIN DATA'!$N:$N,'Bilateral assistance, MAIN DATA'!$B:$B,'Share, heavy weapons to Ukraine'!$A11,'Bilateral assistance, MAIN DATA'!$AO:$AO,'Share, heavy weapons to Ukraine'!BA$1)</f>
        <v>0</v>
      </c>
      <c r="BB11" s="33">
        <f>SUMIFS('Bilateral assistance, MAIN DATA'!$N:$N,'Bilateral assistance, MAIN DATA'!$B:$B,'Share, heavy weapons to Ukraine'!$A11,'Bilateral assistance, MAIN DATA'!$AO:$AO,'Share, heavy weapons to Ukraine'!BB$1)</f>
        <v>4</v>
      </c>
      <c r="BC11" s="33">
        <f>SUMIFS('Bilateral assistance, MAIN DATA'!$N:$N,'Bilateral assistance, MAIN DATA'!$B:$B,'Share, heavy weapons to Ukraine'!$A11,'Bilateral assistance, MAIN DATA'!$AO:$AO,'Share, heavy weapons to Ukraine'!BC$1)</f>
        <v>0</v>
      </c>
      <c r="BD11" s="33">
        <f>SUMIFS('Bilateral assistance, MAIN DATA'!$N:$N,'Bilateral assistance, MAIN DATA'!$B:$B,'Share, heavy weapons to Ukraine'!$A11,'Bilateral assistance, MAIN DATA'!$AO:$AO,'Share, heavy weapons to Ukraine'!BD$1)</f>
        <v>0</v>
      </c>
      <c r="BF11" s="33">
        <f>IF(VLOOKUP($A11,$A:F,COLUMN(F10),FALSE)&lt;&gt;0,VLOOKUP($A11,$A:AD,COLUMN(AD10),FALSE)/VLOOKUP($A11,$A:F,COLUMN(F10),FALSE),IF(VLOOKUP($A11,$A:AD,COLUMN(AD10),FALSE)&lt;&gt;0,"Strange",0))</f>
        <v>0</v>
      </c>
      <c r="BG11" s="33">
        <f>IF(VLOOKUP($A11,$A:G,COLUMN(G10),FALSE)&lt;&gt;0,VLOOKUP($A11,$A:AE,COLUMN(AE10),FALSE)/VLOOKUP($A11,$A:G,COLUMN(G10),FALSE),IF(VLOOKUP($A11,$A:AE,COLUMN(AE10),FALSE)&lt;&gt;0,"Strange",0))</f>
        <v>0</v>
      </c>
      <c r="BH11" s="33">
        <f>IF(VLOOKUP($A11,$A:H,COLUMN(H10),FALSE)&lt;&gt;0,VLOOKUP($A11,$A:AF,COLUMN(AF10),FALSE)/VLOOKUP($A11,$A:H,COLUMN(H10),FALSE),IF(VLOOKUP($A11,$A:AF,COLUMN(AF10),FALSE)&lt;&gt;0,"Strange",0))</f>
        <v>0</v>
      </c>
      <c r="BI11" s="33">
        <f>IF(VLOOKUP($A11,$A:I,COLUMN(I10),FALSE)&lt;&gt;0,VLOOKUP($A11,$A:AG,COLUMN(AG10),FALSE)/VLOOKUP($A11,$A:I,COLUMN(I10),FALSE),IF(VLOOKUP($A11,$A:AG,COLUMN(AG10),FALSE)&lt;&gt;0,"Strange",0))</f>
        <v>0.11153846153846154</v>
      </c>
      <c r="BJ11" s="33">
        <f>IF(VLOOKUP($A11,$A:J,COLUMN(J10),FALSE)&lt;&gt;0,VLOOKUP($A11,$A:AH,COLUMN(AH10),FALSE)/VLOOKUP($A11,$A:J,COLUMN(J10),FALSE),IF(VLOOKUP($A11,$A:AH,COLUMN(AH10),FALSE)&lt;&gt;0,"Strange",0))</f>
        <v>0</v>
      </c>
      <c r="BK11" s="33">
        <f>IF(VLOOKUP($A11,$A:K,COLUMN(K10),FALSE)&lt;&gt;0,VLOOKUP($A11,$A:AI,COLUMN(AI10),FALSE)/VLOOKUP($A11,$A:K,COLUMN(K10),FALSE),IF(VLOOKUP($A11,$A:AI,COLUMN(AI10),FALSE)&lt;&gt;0,"Strange",0))</f>
        <v>1.970108695652174E-2</v>
      </c>
      <c r="BL11" s="33">
        <f>IF(VLOOKUP($A11,$A:L,COLUMN(L10),FALSE)&lt;&gt;0,VLOOKUP($A11,$A:AJ,COLUMN(AJ10),FALSE)/VLOOKUP($A11,$A:L,COLUMN(L10),FALSE),IF(VLOOKUP($A11,$A:AJ,COLUMN(AJ10),FALSE)&lt;&gt;0,"Strange",0))</f>
        <v>0</v>
      </c>
      <c r="BM11" s="33">
        <f>IF(VLOOKUP($A11,$A:M,COLUMN(M10),FALSE)&lt;&gt;0,VLOOKUP($A11,$A:AK,COLUMN(AK10),FALSE)/VLOOKUP($A11,$A:M,COLUMN(M10),FALSE),IF(VLOOKUP($A11,$A:AK,COLUMN(AK10),FALSE)&lt;&gt;0,"Strange",0))</f>
        <v>0</v>
      </c>
      <c r="BN11" s="33">
        <f>IF(VLOOKUP($A11,$A:N,COLUMN(N10),FALSE)&lt;&gt;0,VLOOKUP($A11,$A:AL,COLUMN(AL10),FALSE)/VLOOKUP($A11,$A:N,COLUMN(N10),FALSE),IF(VLOOKUP($A11,$A:AL,COLUMN(AL10),FALSE)&lt;&gt;0,"Strange",0))</f>
        <v>0</v>
      </c>
      <c r="BO11" s="33">
        <f>IF(VLOOKUP($A11,$A:Q,COLUMN(Q10),FALSE)&lt;&gt;0,VLOOKUP($A11,$A:AM,COLUMN(AM10),FALSE)/VLOOKUP($A11,$A:Q,COLUMN(Q10),FALSE),IF(VLOOKUP($A11,$A:AM,COLUMN(AM10),FALSE)&lt;&gt;0,"Strange",0))</f>
        <v>0</v>
      </c>
      <c r="BP11" s="33">
        <f>IF(VLOOKUP($A11,$A:R,COLUMN(R10),FALSE)&lt;&gt;0,VLOOKUP($A11,$A:AN,COLUMN(AN10),FALSE)/VLOOKUP($A11,$A:R,COLUMN(R10),FALSE),IF(VLOOKUP($A11,$A:AN,COLUMN(AN10),FALSE)&lt;&gt;0,"Strange",0))</f>
        <v>0.15789473684210525</v>
      </c>
      <c r="BQ11" s="33">
        <f>IF(VLOOKUP($A11,$A:S,COLUMN(S10),FALSE)&lt;&gt;0,VLOOKUP($A11,$A:AO,COLUMN(AO10),FALSE)/VLOOKUP($A11,$A:S,COLUMN(S10),FALSE),IF(VLOOKUP($A11,$A:AO,COLUMN(AO10),FALSE)&lt;&gt;0,"Strange",0))</f>
        <v>0</v>
      </c>
      <c r="BR11" s="33">
        <f>IF(VLOOKUP($A11,$A:T,COLUMN(T10),FALSE)&lt;&gt;0,VLOOKUP($A11,$A:AP,COLUMN(AP10),FALSE)/VLOOKUP($A11,$A:T,COLUMN(T10),FALSE),IF(VLOOKUP($A11,$A:AP,COLUMN(AP10),FALSE)&lt;&gt;0,"Strange",0))</f>
        <v>0</v>
      </c>
      <c r="BT11" s="33">
        <f>IF(VLOOKUP($A11,$A:AE,COLUMN(F10),FALSE)&lt;&gt;0,VLOOKUP($A11,$A:AS,COLUMN(AR10),FALSE)/VLOOKUP($A11,$A:AE,COLUMN(F10),FALSE),IF(VLOOKUP($A11,$A:AS,COLUMN(AR10),FALSE)&lt;&gt;0,"Strange",0))</f>
        <v>0</v>
      </c>
      <c r="BU11" s="33">
        <f>IF(VLOOKUP($A11,$A:AF,COLUMN(G10),FALSE)&lt;&gt;0,VLOOKUP($A11,$A:AT,COLUMN(AS10),FALSE)/VLOOKUP($A11,$A:AF,COLUMN(G10),FALSE),IF(VLOOKUP($A11,$A:AT,COLUMN(AS10),FALSE)&lt;&gt;0,"Strange",0))</f>
        <v>0</v>
      </c>
      <c r="BV11" s="33">
        <f>IF(VLOOKUP($A11,$A:AG,COLUMN(H10),FALSE)&lt;&gt;0,VLOOKUP($A11,$A:AU,COLUMN(AT10),FALSE)/VLOOKUP($A11,$A:AG,COLUMN(H10),FALSE),IF(VLOOKUP($A11,$A:AU,COLUMN(AT10),FALSE)&lt;&gt;0,"Strange",0))</f>
        <v>0</v>
      </c>
      <c r="BW11" s="33">
        <f>IF(VLOOKUP($A11,$A:AH,COLUMN(I10),FALSE)&lt;&gt;0,VLOOKUP($A11,$A:AV,COLUMN(AU10),FALSE)/VLOOKUP($A11,$A:AH,COLUMN(I10),FALSE),IF(VLOOKUP($A11,$A:AV,COLUMN(AU10),FALSE)&lt;&gt;0,"Strange",0))</f>
        <v>0.11153846153846154</v>
      </c>
      <c r="BX11" s="33">
        <f>IF(VLOOKUP($A11,$A:AJ,COLUMN(J10),FALSE)&lt;&gt;0,VLOOKUP($A11,$A:AX,COLUMN(AV10),FALSE)/VLOOKUP($A11,$A:AJ,COLUMN(J10),FALSE),IF(VLOOKUP($A11,$A:AX,COLUMN(AV10),FALSE)&lt;&gt;0,"Strange",0))</f>
        <v>0</v>
      </c>
      <c r="BY11" s="33">
        <f>IF(VLOOKUP($A11,$A:AK,COLUMN(K10),FALSE)&lt;&gt;0,VLOOKUP($A11,$A:AY,COLUMN(AW10),FALSE)/VLOOKUP($A11,$A:AK,COLUMN(K10),FALSE),IF(VLOOKUP($A11,$A:AY,COLUMN(AW10),FALSE)&lt;&gt;0,"Strange",0))</f>
        <v>1.970108695652174E-2</v>
      </c>
      <c r="BZ11" s="33">
        <f>IF(VLOOKUP($A11,$A:AK,COLUMN(L10),FALSE)&lt;&gt;0,VLOOKUP($A11,$A:AY,COLUMN(AX10),FALSE)/VLOOKUP($A11,$A:AK,COLUMN(L10),FALSE),IF(VLOOKUP($A11,$A:AY,COLUMN(AX10),FALSE)&lt;&gt;0,"Strange",0))</f>
        <v>0</v>
      </c>
      <c r="CA11" s="33">
        <f>IF(VLOOKUP($A11,$A:AL,COLUMN(M10),FALSE)&lt;&gt;0,VLOOKUP($A11,$A:AZ,COLUMN(AY10),FALSE)/VLOOKUP($A11,$A:AL,COLUMN(M10),FALSE),IF(VLOOKUP($A11,$A:AZ,COLUMN(AY10),FALSE)&lt;&gt;0,"Strange",0))</f>
        <v>0</v>
      </c>
      <c r="CB11" s="33">
        <f>IF(VLOOKUP($A11,$A:AL,COLUMN(N10),FALSE)&lt;&gt;0,VLOOKUP($A11,$A:AZ,COLUMN(AZ10),FALSE)/VLOOKUP($A11,$A:AL,COLUMN(N10),FALSE),IF(VLOOKUP($A11,$A:AZ,COLUMN(AZ10),FALSE)&lt;&gt;0,"Strange",0))</f>
        <v>0</v>
      </c>
      <c r="CC11" s="33">
        <f>IF(VLOOKUP($A11,$A:AM,COLUMN(Q10),FALSE)&lt;&gt;0,VLOOKUP($A11,$A:BA,COLUMN(BA10),FALSE)/VLOOKUP($A11,$A:AM,COLUMN(Q10),FALSE),IF(VLOOKUP($A11,$A:BA,COLUMN(BA10),FALSE)&lt;&gt;0,"Strange",0))</f>
        <v>0</v>
      </c>
      <c r="CD11" s="33">
        <f>IF(VLOOKUP($A11,$A:AN,COLUMN(R10),FALSE)&lt;&gt;0,VLOOKUP($A11,$A:BB,COLUMN(BB10),FALSE)/VLOOKUP($A11,$A:AN,COLUMN(R10),FALSE),IF(VLOOKUP($A11,$A:BB,COLUMN(BB10),FALSE)&lt;&gt;0,"Strange",0))</f>
        <v>0.10526315789473684</v>
      </c>
      <c r="CE11" s="33">
        <f>IF(VLOOKUP($A11,$A:AO,COLUMN(S10),FALSE)&lt;&gt;0,VLOOKUP($A11,$A:BC,COLUMN(BC10),FALSE)/VLOOKUP($A11,$A:AO,COLUMN(S10),FALSE),IF(VLOOKUP($A11,$A:BC,COLUMN(BC10),FALSE)&lt;&gt;0,"Strange",0))</f>
        <v>0</v>
      </c>
      <c r="CF11" s="33">
        <f>IF(VLOOKUP($A11,$A:AP,COLUMN(T10),FALSE)&lt;&gt;0,VLOOKUP($A11,$A:BD,COLUMN(BD10),FALSE)/VLOOKUP($A11,$A:AP,COLUMN(T10),FALSE),IF(VLOOKUP($A11,$A:BD,COLUMN(BD10),FALSE)&lt;&gt;0,"Strange",0))</f>
        <v>0</v>
      </c>
      <c r="CH11" s="33">
        <f>SUMIFS('Bilateral assistance, MAIN DATA'!$M:$M,'Bilateral assistance, MAIN DATA'!$B:$B,'Share, heavy weapons to Ukraine'!$A11,'Bilateral assistance, MAIN DATA'!$AO:$AO,'Share, heavy weapons to Ukraine'!CH$1,'Bilateral assistance, MAIN DATA'!$AQ:$AQ,2)</f>
        <v>0</v>
      </c>
      <c r="CI11" s="33">
        <f>SUMIFS('Bilateral assistance, MAIN DATA'!$M:$M,'Bilateral assistance, MAIN DATA'!$B:$B,'Share, heavy weapons to Ukraine'!$A11,'Bilateral assistance, MAIN DATA'!$AO:$AO,'Share, heavy weapons to Ukraine'!CI$1,'Bilateral assistance, MAIN DATA'!$AQ:$AQ,2)</f>
        <v>0</v>
      </c>
      <c r="CJ11" s="645">
        <f>SUMIFS('Bilateral assistance, MAIN DATA'!$M:$M,'Bilateral assistance, MAIN DATA'!$B:$B,'Share, heavy weapons to Ukraine'!$A11,'Bilateral assistance, MAIN DATA'!$AO:$AO,"122mm MLRS",'Bilateral assistance, MAIN DATA'!$AQ:$AQ,2)+SUMIFS('Bilateral assistance, MAIN DATA'!$M:$M,'Bilateral assistance, MAIN DATA'!$B:$B,'Share, heavy weapons to Ukraine'!$A11,'Bilateral assistance, MAIN DATA'!$AO:$AO,"127mm MLRS",'Bilateral assistance, MAIN DATA'!$AQ:$AQ,2)+SUMIFS('Bilateral assistance, MAIN DATA'!$M:$M,'Bilateral assistance, MAIN DATA'!$B:$B,'Share, heavy weapons to Ukraine'!$A11,'Bilateral assistance, MAIN DATA'!$AO:$AO,"227mm MLRS",'Bilateral assistance, MAIN DATA'!$AQ:$AQ,2)</f>
        <v>0</v>
      </c>
      <c r="CL11" s="33">
        <f>SUMIFS('Bilateral assistance, MAIN DATA'!$M:$M,'Bilateral assistance, MAIN DATA'!$B:$B,'Share, heavy weapons to Ukraine'!$A11,'Bilateral assistance, MAIN DATA'!$AO:$AO,'Share, heavy weapons to Ukraine'!CH$1,'Bilateral assistance, MAIN DATA'!$AQ:$AQ,1)</f>
        <v>0</v>
      </c>
      <c r="CM11" s="33">
        <f>SUMIFS('Bilateral assistance, MAIN DATA'!$M:$M,'Bilateral assistance, MAIN DATA'!$B:$B,'Share, heavy weapons to Ukraine'!$A11,'Bilateral assistance, MAIN DATA'!$AO:$AO,'Share, heavy weapons to Ukraine'!CI$1,'Bilateral assistance, MAIN DATA'!$AQ:$AQ,1)</f>
        <v>0</v>
      </c>
      <c r="CN11" s="645">
        <f>SUMIFS('Bilateral assistance, MAIN DATA'!$M:$M,'Bilateral assistance, MAIN DATA'!$B:$B,'Share, heavy weapons to Ukraine'!$A11,'Bilateral assistance, MAIN DATA'!$AO:$AO,"122mm MLRS",'Bilateral assistance, MAIN DATA'!$AQ:$AQ,1)+SUMIFS('Bilateral assistance, MAIN DATA'!$M:$M,'Bilateral assistance, MAIN DATA'!$B:$B,'Share, heavy weapons to Ukraine'!$A11,'Bilateral assistance, MAIN DATA'!$AO:$AO,"127mm MLRS",'Bilateral assistance, MAIN DATA'!$AQ:$AQ,1)+SUMIFS('Bilateral assistance, MAIN DATA'!$M:$M,'Bilateral assistance, MAIN DATA'!$B:$B,'Share, heavy weapons to Ukraine'!$A11,'Bilateral assistance, MAIN DATA'!$AO:$AO,"227mm MLRS",'Bilateral assistance, MAIN DATA'!$AQ:$AQ,1)</f>
        <v>0</v>
      </c>
      <c r="CP11" s="33">
        <f>SUMIFS('Bilateral assistance, MAIN DATA'!$M:$M,'Bilateral assistance, MAIN DATA'!$B:$B,'Share, heavy weapons to Ukraine'!$A11,'Bilateral assistance, MAIN DATA'!$AO:$AO,'Share, heavy weapons to Ukraine'!CP$1,'Bilateral assistance, MAIN DATA'!$AQ:$AQ,0)</f>
        <v>0</v>
      </c>
      <c r="CQ11" s="33">
        <f>SUMIFS('Bilateral assistance, MAIN DATA'!$M:$M,'Bilateral assistance, MAIN DATA'!$B:$B,'Share, heavy weapons to Ukraine'!$A11,'Bilateral assistance, MAIN DATA'!$AO:$AO,'Share, heavy weapons to Ukraine'!CQ$1,'Bilateral assistance, MAIN DATA'!$AQ:$AQ,0)</f>
        <v>0</v>
      </c>
      <c r="CR11" s="645">
        <f>SUMIFS('Bilateral assistance, MAIN DATA'!$M:$M,'Bilateral assistance, MAIN DATA'!$B:$B,'Share, heavy weapons to Ukraine'!$A11,'Bilateral assistance, MAIN DATA'!$AO:$AO,"122mm MLRS",'Bilateral assistance, MAIN DATA'!$AQ:$AQ,0)+SUMIFS('Bilateral assistance, MAIN DATA'!$M:$M,'Bilateral assistance, MAIN DATA'!$B:$B,'Share, heavy weapons to Ukraine'!$A11,'Bilateral assistance, MAIN DATA'!$AO:$AO,"127mm MLRS",'Bilateral assistance, MAIN DATA'!$AQ:$AQ,0)+SUMIFS('Bilateral assistance, MAIN DATA'!$M:$M,'Bilateral assistance, MAIN DATA'!$B:$B,'Share, heavy weapons to Ukraine'!$A11,'Bilateral assistance, MAIN DATA'!$AO:$AO,"227mm MLRS",'Bilateral assistance, MAIN DATA'!$AQ:$AQ,0)</f>
        <v>0</v>
      </c>
      <c r="CT11" s="33">
        <f>IF(VLOOKUP($A11,$A:CS,COLUMN(F10),FALSE)&lt;&gt;0,VLOOKUP($A11,$A:CS,COLUMN(CH10),FALSE)/VLOOKUP($A11,$A:AU,COLUMN(F10),FALSE),IF(VLOOKUP($A11,$A:CS,COLUMN(CH10),FALSE)&lt;&gt;0,"Strange",0))</f>
        <v>0</v>
      </c>
      <c r="CU11" s="33">
        <f>IF(VLOOKUP($A11,$A:CS,COLUMN(L10),FALSE)&lt;&gt;0,VLOOKUP($A11,$A:CS,COLUMN(CI10),FALSE)/VLOOKUP($A11,$A:AU,COLUMN(L10),FALSE),IF(VLOOKUP($A11,$A:CS,COLUMN(CI10),FALSE)&lt;&gt;0,"Strange",0))</f>
        <v>0</v>
      </c>
      <c r="CV11" s="33">
        <f>IF(VLOOKUP($A11,$A:CT,COLUMN(M10),FALSE)&lt;&gt;0,VLOOKUP($A11,$A:CT,COLUMN(CJ10),FALSE)/VLOOKUP($A11,$A:AV,COLUMN(M10),FALSE),IF(VLOOKUP($A11,$A:CT,COLUMN(CJ10),FALSE)&lt;&gt;0,"Strange",0))</f>
        <v>0</v>
      </c>
      <c r="CX11" s="33">
        <f>IF(VLOOKUP($A11,$A:CS,COLUMN(F10),FALSE)&lt;&gt;0,VLOOKUP($A11,$A:CS,COLUMN(CL10),FALSE)/VLOOKUP($A11,$A:AU,COLUMN(F10),FALSE),IF(VLOOKUP($A11,$A:CS,COLUMN(CL10),FALSE)&lt;&gt;0,"Strange",0))</f>
        <v>0</v>
      </c>
      <c r="CY11" s="33">
        <f>IF(VLOOKUP($A11,$A:CS,COLUMN(L10),FALSE)&lt;&gt;0,VLOOKUP($A11,$A:CS,COLUMN(CM10),FALSE)/VLOOKUP($A11,$A:AU,COLUMN(L10),FALSE),IF(VLOOKUP($A11,$A:CS,COLUMN(CM10),FALSE)&lt;&gt;0,"Strange",0))</f>
        <v>0</v>
      </c>
      <c r="CZ11" s="33">
        <f>IF(VLOOKUP($A11,$A:CT,COLUMN(M10),FALSE)&lt;&gt;0,VLOOKUP($A11,$A:CT,COLUMN(CN10),FALSE)/VLOOKUP($A11,$A:AV,COLUMN(M10),FALSE),IF(VLOOKUP($A11,$A:CT,COLUMN(CN10),FALSE)&lt;&gt;0,"Strange",0))</f>
        <v>0</v>
      </c>
      <c r="DB11" s="33">
        <f>IF(VLOOKUP($A11,$A:CS,COLUMN(F10),FALSE)&lt;&gt;0,VLOOKUP($A11,$A:CS,COLUMN(CP10),FALSE)/VLOOKUP($A11,$A:AU,COLUMN(F10),FALSE),IF(VLOOKUP($A11,$A:CS,COLUMN(CP10),FALSE)&lt;&gt;0,"Strange",0))</f>
        <v>0</v>
      </c>
      <c r="DC11" s="33">
        <f>IF(VLOOKUP($A11,$A:CS,COLUMN(L10),FALSE)&lt;&gt;0,VLOOKUP($A11,$A:CS,COLUMN(CQ10),FALSE)/VLOOKUP($A11,$A:AU,COLUMN(L10),FALSE),IF(VLOOKUP($A11,$A:CS,COLUMN(CQ10),FALSE)&lt;&gt;0,"Strange",0))</f>
        <v>0</v>
      </c>
      <c r="DD11" s="33">
        <f>IF(VLOOKUP($A11,$A:CT,COLUMN(M10),FALSE)&lt;&gt;0,VLOOKUP($A11,$A:CT,COLUMN(CR10),FALSE)/VLOOKUP($A11,$A:AV,COLUMN(M10),FALSE),IF(VLOOKUP($A11,$A:CT,COLUMN(CR10),FALSE)&lt;&gt;0,"Strange",0))</f>
        <v>0</v>
      </c>
      <c r="DF11" s="33">
        <f>SUMIFS('Bilateral assistance, MAIN DATA'!$M:$M,'Bilateral assistance, MAIN DATA'!$B:$B,'Share, heavy weapons to Ukraine'!$A11,'Bilateral assistance, MAIN DATA'!$AO:$AO,'Share, heavy weapons to Ukraine'!DF$1, 'Bilateral assistance, MAIN DATA'!$AA:$AA,1)</f>
        <v>0</v>
      </c>
      <c r="DG11" s="33">
        <f>SUMIFS('Bilateral assistance, MAIN DATA'!$M:$M,'Bilateral assistance, MAIN DATA'!$B:$B,'Share, heavy weapons to Ukraine'!$A11,'Bilateral assistance, MAIN DATA'!$AO:$AO,'Share, heavy weapons to Ukraine'!DG$1, 'Bilateral assistance, MAIN DATA'!$AA:$AA,1)</f>
        <v>6</v>
      </c>
      <c r="DH11" s="33">
        <f>SUMIFS('Bilateral assistance, MAIN DATA'!$M:$M,'Bilateral assistance, MAIN DATA'!$B:$B,'Share, heavy weapons to Ukraine'!$A11,'Bilateral assistance, MAIN DATA'!$AO:$AO,'Share, heavy weapons to Ukraine'!DH$1, 'Bilateral assistance, MAIN DATA'!$AA:$AA,1)</f>
        <v>0</v>
      </c>
      <c r="DI11" s="33">
        <f>SUMIFS('Bilateral assistance, MAIN DATA'!$M:$M,'Bilateral assistance, MAIN DATA'!$B:$B,'Share, heavy weapons to Ukraine'!$A11,'Bilateral assistance, MAIN DATA'!$AO:$AO,'Share, heavy weapons to Ukraine'!DI$1, 'Bilateral assistance, MAIN DATA'!$AA:$AA,1)</f>
        <v>0</v>
      </c>
      <c r="DK11" s="33">
        <f>SUMIFS('Bilateral assistance, MAIN DATA'!$N:$N,'Bilateral assistance, MAIN DATA'!$B:$B,'Share, heavy weapons to Ukraine'!$A11,'Bilateral assistance, MAIN DATA'!$AO:$AO,'Share, heavy weapons to Ukraine'!DK$1, 'Bilateral assistance, MAIN DATA'!$AA:$AA,1)</f>
        <v>0</v>
      </c>
      <c r="DL11" s="33">
        <f>SUMIFS('Bilateral assistance, MAIN DATA'!$N:$N,'Bilateral assistance, MAIN DATA'!$B:$B,'Share, heavy weapons to Ukraine'!$A11,'Bilateral assistance, MAIN DATA'!$AO:$AO,'Share, heavy weapons to Ukraine'!DL$1, 'Bilateral assistance, MAIN DATA'!$AA:$AA,1)</f>
        <v>4</v>
      </c>
      <c r="DM11" s="33">
        <f>SUMIFS('Bilateral assistance, MAIN DATA'!$N:$N,'Bilateral assistance, MAIN DATA'!$B:$B,'Share, heavy weapons to Ukraine'!$A11,'Bilateral assistance, MAIN DATA'!$AO:$AO,'Share, heavy weapons to Ukraine'!DM$1, 'Bilateral assistance, MAIN DATA'!$AA:$AA,1)</f>
        <v>0</v>
      </c>
      <c r="DN11" s="33">
        <f>SUMIFS('Bilateral assistance, MAIN DATA'!$N:$N,'Bilateral assistance, MAIN DATA'!$B:$B,'Share, heavy weapons to Ukraine'!$A11,'Bilateral assistance, MAIN DATA'!$AO:$AO,'Share, heavy weapons to Ukraine'!DN$1, 'Bilateral assistance, MAIN DATA'!$AA:$AA,1)</f>
        <v>0</v>
      </c>
    </row>
    <row r="12" spans="1:118">
      <c r="A12" s="801" t="s">
        <v>1894</v>
      </c>
      <c r="B12" s="801">
        <v>0</v>
      </c>
      <c r="C12" s="33">
        <v>1</v>
      </c>
      <c r="E12" s="802">
        <v>13.4</v>
      </c>
      <c r="F12" s="801">
        <f>VLOOKUP(A12,'Heavy weapon stocks'!A:OH,COLUMN('Heavy weapon stocks'!$G$1),0)</f>
        <v>797</v>
      </c>
      <c r="G12" s="801">
        <f>VLOOKUP(A12,'Heavy weapon stocks'!A:OH,COLUMN('Heavy weapon stocks'!$AW$1),0)</f>
        <v>342</v>
      </c>
      <c r="H12" s="801">
        <f>VLOOKUP(A12,'Heavy weapon stocks'!A:OH,COLUMN('Heavy weapon stocks'!$DQ$1),0)</f>
        <v>30</v>
      </c>
      <c r="I12" s="801">
        <f>VLOOKUP(A12,'Heavy weapon stocks'!A:OH,COLUMN('Heavy weapon stocks'!$EE$1),0)</f>
        <v>85</v>
      </c>
      <c r="J12" s="801">
        <f>VLOOKUP(A12,'Heavy weapon stocks'!A:OH,COLUMN('Heavy weapon stocks'!$FG$1),0)</f>
        <v>1611</v>
      </c>
      <c r="K12" s="801">
        <f t="shared" si="3"/>
        <v>2068</v>
      </c>
      <c r="L12" s="801">
        <f>VLOOKUP(A12,'Heavy weapon stocks'!A:OH,COLUMN('Heavy weapon stocks'!$HC$1),0)+VLOOKUP(A12,'Heavy weapon stocks'!A:OH,COLUMN('Heavy weapon stocks'!$II$1),0)</f>
        <v>183</v>
      </c>
      <c r="M12" s="801">
        <f>VLOOKUP(A12,'Heavy weapon stocks'!A:OH,COLUMN('Heavy weapon stocks'!$IN$1),0)</f>
        <v>179</v>
      </c>
      <c r="N12" s="801">
        <f>VLOOKUP(A12,'Heavy weapon stocks'!A:OH,COLUMN('Heavy weapon stocks'!$JH$1),0)+VLOOKUP(A12,'Heavy weapon stocks'!A:OH,COLUMN('Heavy weapon stocks'!$KE$1),0)</f>
        <v>66</v>
      </c>
      <c r="O12" s="801">
        <f>VLOOKUP(A12,'Heavy weapon stocks'!A:OH,COLUMN('Heavy weapon stocks'!$LU$1),0)</f>
        <v>0</v>
      </c>
      <c r="Q12" s="801">
        <f>VLOOKUP(A12,'Heavy weapon stocks'!A:OH,COLUMN('Heavy weapon stocks'!$LV$1),0)</f>
        <v>1</v>
      </c>
      <c r="R12" s="801">
        <f>VLOOKUP(A12,'Heavy weapon stocks'!A:OH,COLUMN('Heavy weapon stocks'!$MF$1),0)</f>
        <v>0</v>
      </c>
      <c r="S12" s="801">
        <f>VLOOKUP(A12,'Heavy weapon stocks'!A:OH,COLUMN('Heavy weapon stocks'!$MM$1),0)</f>
        <v>37</v>
      </c>
      <c r="T12" s="801">
        <f>VLOOKUP(A12,'Heavy weapon stocks'!A:OH,COLUMN('Heavy weapon stocks'!$NR$1),0)</f>
        <v>228</v>
      </c>
      <c r="V12" s="801">
        <f>VLOOKUP(A12,'Heavy weapon stocks'!A:OH,COLUMN('Heavy weapon stocks'!$H$1),0)</f>
        <v>231</v>
      </c>
      <c r="W12" s="801">
        <f>VLOOKUP(A12,'Heavy weapon stocks'!A:OH,COLUMN('Heavy weapon stocks'!$DQ$1),0)</f>
        <v>30</v>
      </c>
      <c r="X12" s="801">
        <f>VLOOKUP(A12,'Heavy weapon stocks'!A:OH,COLUMN('Heavy weapon stocks'!$FG$1),0)</f>
        <v>1611</v>
      </c>
      <c r="Y12" s="801">
        <f>VLOOKUP(A12,'Heavy weapon stocks'!A:OH,COLUMN('Heavy weapon stocks'!$HC$1),0)+VLOOKUP(A12,'Heavy weapon stocks'!A:OH,COLUMN('Heavy weapon stocks'!$II$1),0)</f>
        <v>183</v>
      </c>
      <c r="Z12" s="801">
        <f>VLOOKUP(A12,'Heavy weapon stocks'!A:OH,COLUMN('Heavy weapon stocks'!$IO$1),0)+VLOOKUP(A12,'Heavy weapon stocks'!A:OH,COLUMN('Heavy weapon stocks'!$IP$1),0)+VLOOKUP(A12,'Heavy weapon stocks'!A:OH,COLUMN('Heavy weapon stocks'!$IU$1),0)</f>
        <v>0</v>
      </c>
      <c r="AA12" s="801">
        <f>VLOOKUP(A12,'Heavy weapon stocks'!A:OH,COLUMN('Heavy weapon stocks'!$MI$1),0)</f>
        <v>0</v>
      </c>
      <c r="AB12" s="801">
        <f>VLOOKUP(A12,'Heavy weapon stocks'!A:OH,COLUMN('Heavy weapon stocks'!$MS$1),0)+VLOOKUP(A12,'Heavy weapon stocks'!A:OH,COLUMN('Heavy weapon stocks'!$MT$1),0)+VLOOKUP(A12,'Heavy weapon stocks'!A:OH,COLUMN('Heavy weapon stocks'!$MU$1),0)+VLOOKUP(A12,'Heavy weapon stocks'!A:OH,COLUMN('Heavy weapon stocks'!$MV$1),0)</f>
        <v>0</v>
      </c>
      <c r="AD12" s="33">
        <f>SUMIFS('Bilateral assistance, MAIN DATA'!$M:$M,'Bilateral assistance, MAIN DATA'!$B:$B,'Share, heavy weapons to Ukraine'!$A12,'Bilateral assistance, MAIN DATA'!$AO:$AO,'Share, heavy weapons to Ukraine'!AD$1)</f>
        <v>240</v>
      </c>
      <c r="AE12" s="33">
        <f>SUMIFS('Bilateral assistance, MAIN DATA'!$M:$M,'Bilateral assistance, MAIN DATA'!$B:$B,'Share, heavy weapons to Ukraine'!$A12,'Bilateral assistance, MAIN DATA'!$AO:$AO,'Share, heavy weapons to Ukraine'!AE$1)</f>
        <v>0</v>
      </c>
      <c r="AF12" s="33">
        <f>SUMIFS('Bilateral assistance, MAIN DATA'!$M:$M,'Bilateral assistance, MAIN DATA'!$B:$B,'Share, heavy weapons to Ukraine'!$A12,'Bilateral assistance, MAIN DATA'!$AO:$AO,'Share, heavy weapons to Ukraine'!AF$1)</f>
        <v>0</v>
      </c>
      <c r="AG12" s="33">
        <f>SUMIFS('Bilateral assistance, MAIN DATA'!$M:$M,'Bilateral assistance, MAIN DATA'!$B:$B,'Share, heavy weapons to Ukraine'!$A12,'Bilateral assistance, MAIN DATA'!$AO:$AO,'Share, heavy weapons to Ukraine'!AG$1)</f>
        <v>0</v>
      </c>
      <c r="AH12" s="33">
        <f>SUMIFS('Bilateral assistance, MAIN DATA'!$M:$M,'Bilateral assistance, MAIN DATA'!$B:$B,'Share, heavy weapons to Ukraine'!$A12,'Bilateral assistance, MAIN DATA'!$AO:$AO,'Share, heavy weapons to Ukraine'!AH$1)</f>
        <v>40</v>
      </c>
      <c r="AI12" s="33">
        <f t="shared" si="1"/>
        <v>40</v>
      </c>
      <c r="AJ12" s="33">
        <f>SUMIFS('Bilateral assistance, MAIN DATA'!$M:$M,'Bilateral assistance, MAIN DATA'!$B:$B,'Share, heavy weapons to Ukraine'!$A12,'Bilateral assistance, MAIN DATA'!$AO:$AO,'Share, heavy weapons to Ukraine'!AJ$1)</f>
        <v>18</v>
      </c>
      <c r="AK12" s="645">
        <f>SUMIFS('Bilateral assistance, MAIN DATA'!$M:$M,'Bilateral assistance, MAIN DATA'!$B:$B,'Share, heavy weapons to Ukraine'!$A12,'Bilateral assistance, MAIN DATA'!$AO:$AO,"122mm MLRS")+SUMIFS('Bilateral assistance, MAIN DATA'!$M:$M,'Bilateral assistance, MAIN DATA'!$B:$B,'Share, heavy weapons to Ukraine'!$A12,'Bilateral assistance, MAIN DATA'!$AO:$AO,"127mm MLRS")+SUMIFS('Bilateral assistance, MAIN DATA'!$M:$M,'Bilateral assistance, MAIN DATA'!$B:$B,'Share, heavy weapons to Ukraine'!$A12,'Bilateral assistance, MAIN DATA'!$AO:$AO,"227mm MLRS")</f>
        <v>0</v>
      </c>
      <c r="AL12" s="33">
        <f>SUMIFS('Bilateral assistance, MAIN DATA'!$M:$M,'Bilateral assistance, MAIN DATA'!$B:$B,'Share, heavy weapons to Ukraine'!$A12,'Bilateral assistance, MAIN DATA'!$AO:$AO,'Share, heavy weapons to Ukraine'!AL$1)</f>
        <v>0</v>
      </c>
      <c r="AM12" s="33">
        <f>SUMIFS('Bilateral assistance, MAIN DATA'!$M:$M,'Bilateral assistance, MAIN DATA'!$B:$B,'Share, heavy weapons to Ukraine'!$A12,'Bilateral assistance, MAIN DATA'!$AO:$AO,'Share, heavy weapons to Ukraine'!AM$1)</f>
        <v>0</v>
      </c>
      <c r="AN12" s="33">
        <f>SUMIFS('Bilateral assistance, MAIN DATA'!$M:$M,'Bilateral assistance, MAIN DATA'!$B:$B,'Share, heavy weapons to Ukraine'!$A12,'Bilateral assistance, MAIN DATA'!$AO:$AO,'Share, heavy weapons to Ukraine'!AN$1)</f>
        <v>0</v>
      </c>
      <c r="AO12" s="33">
        <f>SUMIFS('Bilateral assistance, MAIN DATA'!$M:$M,'Bilateral assistance, MAIN DATA'!$B:$B,'Share, heavy weapons to Ukraine'!$A12,'Bilateral assistance, MAIN DATA'!$AO:$AO,'Share, heavy weapons to Ukraine'!AO$1)</f>
        <v>0</v>
      </c>
      <c r="AP12" s="33">
        <f>SUMIFS('Bilateral assistance, MAIN DATA'!$M:$M,'Bilateral assistance, MAIN DATA'!$B:$B,'Share, heavy weapons to Ukraine'!$A12,'Bilateral assistance, MAIN DATA'!$AO:$AO,'Share, heavy weapons to Ukraine'!AP$1)</f>
        <v>0</v>
      </c>
      <c r="AR12" s="33">
        <f>SUMIFS('Bilateral assistance, MAIN DATA'!$N:$N,'Bilateral assistance, MAIN DATA'!$B:$B,'Share, heavy weapons to Ukraine'!$A12,'Bilateral assistance, MAIN DATA'!$AO:$AO,'Share, heavy weapons to Ukraine'!AR$1)</f>
        <v>240</v>
      </c>
      <c r="AS12" s="33">
        <f>SUMIFS('Bilateral assistance, MAIN DATA'!$N:$N,'Bilateral assistance, MAIN DATA'!$B:$B,'Share, heavy weapons to Ukraine'!$A12,'Bilateral assistance, MAIN DATA'!$AO:$AO,'Share, heavy weapons to Ukraine'!AS$1)</f>
        <v>0</v>
      </c>
      <c r="AT12" s="33">
        <f>SUMIFS('Bilateral assistance, MAIN DATA'!$N:$N,'Bilateral assistance, MAIN DATA'!$B:$B,'Share, heavy weapons to Ukraine'!$A12,'Bilateral assistance, MAIN DATA'!$AO:$AO,'Share, heavy weapons to Ukraine'!AT$1)</f>
        <v>0</v>
      </c>
      <c r="AU12" s="33">
        <f>SUMIFS('Bilateral assistance, MAIN DATA'!$N:$N,'Bilateral assistance, MAIN DATA'!$B:$B,'Share, heavy weapons to Ukraine'!$A12,'Bilateral assistance, MAIN DATA'!$AO:$AO,'Share, heavy weapons to Ukraine'!AU$1)</f>
        <v>0</v>
      </c>
      <c r="AV12" s="33">
        <f>SUMIFS('Bilateral assistance, MAIN DATA'!$N:$N,'Bilateral assistance, MAIN DATA'!$B:$B,'Share, heavy weapons to Ukraine'!$A12,'Bilateral assistance, MAIN DATA'!$AO:$AO,'Share, heavy weapons to Ukraine'!AV$1)</f>
        <v>40</v>
      </c>
      <c r="AW12" s="33">
        <f t="shared" si="2"/>
        <v>40</v>
      </c>
      <c r="AX12" s="33">
        <f>SUMIFS('Bilateral assistance, MAIN DATA'!$N:$N,'Bilateral assistance, MAIN DATA'!$B:$B,'Share, heavy weapons to Ukraine'!$A12,'Bilateral assistance, MAIN DATA'!$AO:$AO,'Share, heavy weapons to Ukraine'!AX$1)</f>
        <v>18</v>
      </c>
      <c r="AY12" s="645">
        <f>SUMIFS('Bilateral assistance, MAIN DATA'!$N:$N,'Bilateral assistance, MAIN DATA'!$B:$B,'Share, heavy weapons to Ukraine'!$A12,'Bilateral assistance, MAIN DATA'!$AO:$AO,"122mm MLRS")+SUMIFS('Bilateral assistance, MAIN DATA'!$N:$N,'Bilateral assistance, MAIN DATA'!$B:$B,'Share, heavy weapons to Ukraine'!$A12,'Bilateral assistance, MAIN DATA'!$AO:$AO,"127mm MLRS")+SUMIFS('Bilateral assistance, MAIN DATA'!$N:$N,'Bilateral assistance, MAIN DATA'!$B:$B,'Share, heavy weapons to Ukraine'!$A12,'Bilateral assistance, MAIN DATA'!$AO:$AO,"227mm MLRS")</f>
        <v>0</v>
      </c>
      <c r="AZ12" s="33">
        <f>SUMIFS('Bilateral assistance, MAIN DATA'!$N:$N,'Bilateral assistance, MAIN DATA'!$B:$B,'Share, heavy weapons to Ukraine'!$A12,'Bilateral assistance, MAIN DATA'!$AO:$AO,'Share, heavy weapons to Ukraine'!AZ$1)</f>
        <v>0</v>
      </c>
      <c r="BA12" s="33">
        <f>SUMIFS('Bilateral assistance, MAIN DATA'!$N:$N,'Bilateral assistance, MAIN DATA'!$B:$B,'Share, heavy weapons to Ukraine'!$A12,'Bilateral assistance, MAIN DATA'!$AO:$AO,'Share, heavy weapons to Ukraine'!BA$1)</f>
        <v>0</v>
      </c>
      <c r="BB12" s="33">
        <f>SUMIFS('Bilateral assistance, MAIN DATA'!$N:$N,'Bilateral assistance, MAIN DATA'!$B:$B,'Share, heavy weapons to Ukraine'!$A12,'Bilateral assistance, MAIN DATA'!$AO:$AO,'Share, heavy weapons to Ukraine'!BB$1)</f>
        <v>0</v>
      </c>
      <c r="BC12" s="33">
        <f>SUMIFS('Bilateral assistance, MAIN DATA'!$N:$N,'Bilateral assistance, MAIN DATA'!$B:$B,'Share, heavy weapons to Ukraine'!$A12,'Bilateral assistance, MAIN DATA'!$AO:$AO,'Share, heavy weapons to Ukraine'!BC$1)</f>
        <v>0</v>
      </c>
      <c r="BD12" s="33">
        <f>SUMIFS('Bilateral assistance, MAIN DATA'!$N:$N,'Bilateral assistance, MAIN DATA'!$B:$B,'Share, heavy weapons to Ukraine'!$A12,'Bilateral assistance, MAIN DATA'!$AO:$AO,'Share, heavy weapons to Ukraine'!BD$1)</f>
        <v>0</v>
      </c>
      <c r="BF12" s="33">
        <f>IF(VLOOKUP($A12,$A:F,COLUMN(F11),FALSE)&lt;&gt;0,VLOOKUP($A12,$A:AD,COLUMN(AD11),FALSE)/VLOOKUP($A12,$A:F,COLUMN(F11),FALSE),IF(VLOOKUP($A12,$A:AD,COLUMN(AD11),FALSE)&lt;&gt;0,"Strange",0))</f>
        <v>0.30112923462986196</v>
      </c>
      <c r="BG12" s="33">
        <f>IF(VLOOKUP($A12,$A:G,COLUMN(G11),FALSE)&lt;&gt;0,VLOOKUP($A12,$A:AE,COLUMN(AE11),FALSE)/VLOOKUP($A12,$A:G,COLUMN(G11),FALSE),IF(VLOOKUP($A12,$A:AE,COLUMN(AE11),FALSE)&lt;&gt;0,"Strange",0))</f>
        <v>0</v>
      </c>
      <c r="BH12" s="33">
        <f>IF(VLOOKUP($A12,$A:H,COLUMN(H11),FALSE)&lt;&gt;0,VLOOKUP($A12,$A:AF,COLUMN(AF11),FALSE)/VLOOKUP($A12,$A:H,COLUMN(H11),FALSE),IF(VLOOKUP($A12,$A:AF,COLUMN(AF11),FALSE)&lt;&gt;0,"Strange",0))</f>
        <v>0</v>
      </c>
      <c r="BI12" s="33">
        <f>IF(VLOOKUP($A12,$A:I,COLUMN(I11),FALSE)&lt;&gt;0,VLOOKUP($A12,$A:AG,COLUMN(AG11),FALSE)/VLOOKUP($A12,$A:I,COLUMN(I11),FALSE),IF(VLOOKUP($A12,$A:AG,COLUMN(AG11),FALSE)&lt;&gt;0,"Strange",0))</f>
        <v>0</v>
      </c>
      <c r="BJ12" s="33">
        <f>IF(VLOOKUP($A12,$A:J,COLUMN(J11),FALSE)&lt;&gt;0,VLOOKUP($A12,$A:AH,COLUMN(AH11),FALSE)/VLOOKUP($A12,$A:J,COLUMN(J11),FALSE),IF(VLOOKUP($A12,$A:AH,COLUMN(AH11),FALSE)&lt;&gt;0,"Strange",0))</f>
        <v>2.4829298572315334E-2</v>
      </c>
      <c r="BK12" s="33">
        <f>IF(VLOOKUP($A12,$A:K,COLUMN(K11),FALSE)&lt;&gt;0,VLOOKUP($A12,$A:AI,COLUMN(AI11),FALSE)/VLOOKUP($A12,$A:K,COLUMN(K11),FALSE),IF(VLOOKUP($A12,$A:AI,COLUMN(AI11),FALSE)&lt;&gt;0,"Strange",0))</f>
        <v>1.9342359767891684E-2</v>
      </c>
      <c r="BL12" s="33">
        <f>IF(VLOOKUP($A12,$A:L,COLUMN(L11),FALSE)&lt;&gt;0,VLOOKUP($A12,$A:AJ,COLUMN(AJ11),FALSE)/VLOOKUP($A12,$A:L,COLUMN(L11),FALSE),IF(VLOOKUP($A12,$A:AJ,COLUMN(AJ11),FALSE)&lt;&gt;0,"Strange",0))</f>
        <v>9.8360655737704916E-2</v>
      </c>
      <c r="BM12" s="33">
        <f>IF(VLOOKUP($A12,$A:M,COLUMN(M11),FALSE)&lt;&gt;0,VLOOKUP($A12,$A:AK,COLUMN(AK11),FALSE)/VLOOKUP($A12,$A:M,COLUMN(M11),FALSE),IF(VLOOKUP($A12,$A:AK,COLUMN(AK11),FALSE)&lt;&gt;0,"Strange",0))</f>
        <v>0</v>
      </c>
      <c r="BN12" s="33">
        <f>IF(VLOOKUP($A12,$A:N,COLUMN(N11),FALSE)&lt;&gt;0,VLOOKUP($A12,$A:AL,COLUMN(AL11),FALSE)/VLOOKUP($A12,$A:N,COLUMN(N11),FALSE),IF(VLOOKUP($A12,$A:AL,COLUMN(AL11),FALSE)&lt;&gt;0,"Strange",0))</f>
        <v>0</v>
      </c>
      <c r="BO12" s="33">
        <f>IF(VLOOKUP($A12,$A:Q,COLUMN(Q11),FALSE)&lt;&gt;0,VLOOKUP($A12,$A:AM,COLUMN(AM11),FALSE)/VLOOKUP($A12,$A:Q,COLUMN(Q11),FALSE),IF(VLOOKUP($A12,$A:AM,COLUMN(AM11),FALSE)&lt;&gt;0,"Strange",0))</f>
        <v>0</v>
      </c>
      <c r="BP12" s="33">
        <f>IF(VLOOKUP($A12,$A:R,COLUMN(R11),FALSE)&lt;&gt;0,VLOOKUP($A12,$A:AN,COLUMN(AN11),FALSE)/VLOOKUP($A12,$A:R,COLUMN(R11),FALSE),IF(VLOOKUP($A12,$A:AN,COLUMN(AN11),FALSE)&lt;&gt;0,"Strange",0))</f>
        <v>0</v>
      </c>
      <c r="BQ12" s="33">
        <f>IF(VLOOKUP($A12,$A:S,COLUMN(S11),FALSE)&lt;&gt;0,VLOOKUP($A12,$A:AO,COLUMN(AO11),FALSE)/VLOOKUP($A12,$A:S,COLUMN(S11),FALSE),IF(VLOOKUP($A12,$A:AO,COLUMN(AO11),FALSE)&lt;&gt;0,"Strange",0))</f>
        <v>0</v>
      </c>
      <c r="BR12" s="33">
        <f>IF(VLOOKUP($A12,$A:T,COLUMN(T11),FALSE)&lt;&gt;0,VLOOKUP($A12,$A:AP,COLUMN(AP11),FALSE)/VLOOKUP($A12,$A:T,COLUMN(T11),FALSE),IF(VLOOKUP($A12,$A:AP,COLUMN(AP11),FALSE)&lt;&gt;0,"Strange",0))</f>
        <v>0</v>
      </c>
      <c r="BT12" s="33">
        <f>IF(VLOOKUP($A12,$A:AE,COLUMN(F11),FALSE)&lt;&gt;0,VLOOKUP($A12,$A:AS,COLUMN(AR11),FALSE)/VLOOKUP($A12,$A:AE,COLUMN(F11),FALSE),IF(VLOOKUP($A12,$A:AS,COLUMN(AR11),FALSE)&lt;&gt;0,"Strange",0))</f>
        <v>0.30112923462986196</v>
      </c>
      <c r="BU12" s="33">
        <f>IF(VLOOKUP($A12,$A:AF,COLUMN(G11),FALSE)&lt;&gt;0,VLOOKUP($A12,$A:AT,COLUMN(AS11),FALSE)/VLOOKUP($A12,$A:AF,COLUMN(G11),FALSE),IF(VLOOKUP($A12,$A:AT,COLUMN(AS11),FALSE)&lt;&gt;0,"Strange",0))</f>
        <v>0</v>
      </c>
      <c r="BV12" s="33">
        <f>IF(VLOOKUP($A12,$A:AG,COLUMN(H11),FALSE)&lt;&gt;0,VLOOKUP($A12,$A:AU,COLUMN(AT11),FALSE)/VLOOKUP($A12,$A:AG,COLUMN(H11),FALSE),IF(VLOOKUP($A12,$A:AU,COLUMN(AT11),FALSE)&lt;&gt;0,"Strange",0))</f>
        <v>0</v>
      </c>
      <c r="BW12" s="33">
        <f>IF(VLOOKUP($A12,$A:AH,COLUMN(I11),FALSE)&lt;&gt;0,VLOOKUP($A12,$A:AV,COLUMN(AU11),FALSE)/VLOOKUP($A12,$A:AH,COLUMN(I11),FALSE),IF(VLOOKUP($A12,$A:AV,COLUMN(AU11),FALSE)&lt;&gt;0,"Strange",0))</f>
        <v>0</v>
      </c>
      <c r="BX12" s="33">
        <f>IF(VLOOKUP($A12,$A:AJ,COLUMN(J11),FALSE)&lt;&gt;0,VLOOKUP($A12,$A:AX,COLUMN(AV11),FALSE)/VLOOKUP($A12,$A:AJ,COLUMN(J11),FALSE),IF(VLOOKUP($A12,$A:AX,COLUMN(AV11),FALSE)&lt;&gt;0,"Strange",0))</f>
        <v>2.4829298572315334E-2</v>
      </c>
      <c r="BY12" s="33">
        <f>IF(VLOOKUP($A12,$A:AK,COLUMN(K11),FALSE)&lt;&gt;0,VLOOKUP($A12,$A:AY,COLUMN(AW11),FALSE)/VLOOKUP($A12,$A:AK,COLUMN(K11),FALSE),IF(VLOOKUP($A12,$A:AY,COLUMN(AW11),FALSE)&lt;&gt;0,"Strange",0))</f>
        <v>1.9342359767891684E-2</v>
      </c>
      <c r="BZ12" s="33">
        <f>IF(VLOOKUP($A12,$A:AK,COLUMN(L11),FALSE)&lt;&gt;0,VLOOKUP($A12,$A:AY,COLUMN(AX11),FALSE)/VLOOKUP($A12,$A:AK,COLUMN(L11),FALSE),IF(VLOOKUP($A12,$A:AY,COLUMN(AX11),FALSE)&lt;&gt;0,"Strange",0))</f>
        <v>9.8360655737704916E-2</v>
      </c>
      <c r="CA12" s="33">
        <f>IF(VLOOKUP($A12,$A:AL,COLUMN(M11),FALSE)&lt;&gt;0,VLOOKUP($A12,$A:AZ,COLUMN(AY11),FALSE)/VLOOKUP($A12,$A:AL,COLUMN(M11),FALSE),IF(VLOOKUP($A12,$A:AZ,COLUMN(AY11),FALSE)&lt;&gt;0,"Strange",0))</f>
        <v>0</v>
      </c>
      <c r="CB12" s="33">
        <f>IF(VLOOKUP($A12,$A:AL,COLUMN(N11),FALSE)&lt;&gt;0,VLOOKUP($A12,$A:AZ,COLUMN(AZ11),FALSE)/VLOOKUP($A12,$A:AL,COLUMN(N11),FALSE),IF(VLOOKUP($A12,$A:AZ,COLUMN(AZ11),FALSE)&lt;&gt;0,"Strange",0))</f>
        <v>0</v>
      </c>
      <c r="CC12" s="33">
        <f>IF(VLOOKUP($A12,$A:AM,COLUMN(Q11),FALSE)&lt;&gt;0,VLOOKUP($A12,$A:BA,COLUMN(BA11),FALSE)/VLOOKUP($A12,$A:AM,COLUMN(Q11),FALSE),IF(VLOOKUP($A12,$A:BA,COLUMN(BA11),FALSE)&lt;&gt;0,"Strange",0))</f>
        <v>0</v>
      </c>
      <c r="CD12" s="33">
        <f>IF(VLOOKUP($A12,$A:AN,COLUMN(R11),FALSE)&lt;&gt;0,VLOOKUP($A12,$A:BB,COLUMN(BB11),FALSE)/VLOOKUP($A12,$A:AN,COLUMN(R11),FALSE),IF(VLOOKUP($A12,$A:BB,COLUMN(BB11),FALSE)&lt;&gt;0,"Strange",0))</f>
        <v>0</v>
      </c>
      <c r="CE12" s="33">
        <f>IF(VLOOKUP($A12,$A:AO,COLUMN(S11),FALSE)&lt;&gt;0,VLOOKUP($A12,$A:BC,COLUMN(BC11),FALSE)/VLOOKUP($A12,$A:AO,COLUMN(S11),FALSE),IF(VLOOKUP($A12,$A:BC,COLUMN(BC11),FALSE)&lt;&gt;0,"Strange",0))</f>
        <v>0</v>
      </c>
      <c r="CF12" s="33">
        <f>IF(VLOOKUP($A12,$A:AP,COLUMN(T11),FALSE)&lt;&gt;0,VLOOKUP($A12,$A:BD,COLUMN(BD11),FALSE)/VLOOKUP($A12,$A:AP,COLUMN(T11),FALSE),IF(VLOOKUP($A12,$A:BD,COLUMN(BD11),FALSE)&lt;&gt;0,"Strange",0))</f>
        <v>0</v>
      </c>
      <c r="CH12" s="33">
        <f>SUMIFS('Bilateral assistance, MAIN DATA'!$M:$M,'Bilateral assistance, MAIN DATA'!$B:$B,'Share, heavy weapons to Ukraine'!$A12,'Bilateral assistance, MAIN DATA'!$AO:$AO,'Share, heavy weapons to Ukraine'!CH$1,'Bilateral assistance, MAIN DATA'!$AQ:$AQ,2)</f>
        <v>240</v>
      </c>
      <c r="CI12" s="33">
        <f>SUMIFS('Bilateral assistance, MAIN DATA'!$M:$M,'Bilateral assistance, MAIN DATA'!$B:$B,'Share, heavy weapons to Ukraine'!$A12,'Bilateral assistance, MAIN DATA'!$AO:$AO,'Share, heavy weapons to Ukraine'!CI$1,'Bilateral assistance, MAIN DATA'!$AQ:$AQ,2)</f>
        <v>18</v>
      </c>
      <c r="CJ12" s="645">
        <f>SUMIFS('Bilateral assistance, MAIN DATA'!$M:$M,'Bilateral assistance, MAIN DATA'!$B:$B,'Share, heavy weapons to Ukraine'!$A12,'Bilateral assistance, MAIN DATA'!$AO:$AO,"122mm MLRS",'Bilateral assistance, MAIN DATA'!$AQ:$AQ,2)+SUMIFS('Bilateral assistance, MAIN DATA'!$M:$M,'Bilateral assistance, MAIN DATA'!$B:$B,'Share, heavy weapons to Ukraine'!$A12,'Bilateral assistance, MAIN DATA'!$AO:$AO,"127mm MLRS",'Bilateral assistance, MAIN DATA'!$AQ:$AQ,2)+SUMIFS('Bilateral assistance, MAIN DATA'!$M:$M,'Bilateral assistance, MAIN DATA'!$B:$B,'Share, heavy weapons to Ukraine'!$A12,'Bilateral assistance, MAIN DATA'!$AO:$AO,"227mm MLRS",'Bilateral assistance, MAIN DATA'!$AQ:$AQ,2)</f>
        <v>0</v>
      </c>
      <c r="CL12" s="33">
        <f>SUMIFS('Bilateral assistance, MAIN DATA'!$M:$M,'Bilateral assistance, MAIN DATA'!$B:$B,'Share, heavy weapons to Ukraine'!$A12,'Bilateral assistance, MAIN DATA'!$AO:$AO,'Share, heavy weapons to Ukraine'!CH$1,'Bilateral assistance, MAIN DATA'!$AQ:$AQ,1)</f>
        <v>0</v>
      </c>
      <c r="CM12" s="33">
        <f>SUMIFS('Bilateral assistance, MAIN DATA'!$M:$M,'Bilateral assistance, MAIN DATA'!$B:$B,'Share, heavy weapons to Ukraine'!$A12,'Bilateral assistance, MAIN DATA'!$AO:$AO,'Share, heavy weapons to Ukraine'!CI$1,'Bilateral assistance, MAIN DATA'!$AQ:$AQ,1)</f>
        <v>0</v>
      </c>
      <c r="CN12" s="645">
        <f>SUMIFS('Bilateral assistance, MAIN DATA'!$M:$M,'Bilateral assistance, MAIN DATA'!$B:$B,'Share, heavy weapons to Ukraine'!$A12,'Bilateral assistance, MAIN DATA'!$AO:$AO,"122mm MLRS",'Bilateral assistance, MAIN DATA'!$AQ:$AQ,1)+SUMIFS('Bilateral assistance, MAIN DATA'!$M:$M,'Bilateral assistance, MAIN DATA'!$B:$B,'Share, heavy weapons to Ukraine'!$A12,'Bilateral assistance, MAIN DATA'!$AO:$AO,"127mm MLRS",'Bilateral assistance, MAIN DATA'!$AQ:$AQ,1)+SUMIFS('Bilateral assistance, MAIN DATA'!$M:$M,'Bilateral assistance, MAIN DATA'!$B:$B,'Share, heavy weapons to Ukraine'!$A12,'Bilateral assistance, MAIN DATA'!$AO:$AO,"227mm MLRS",'Bilateral assistance, MAIN DATA'!$AQ:$AQ,1)</f>
        <v>0</v>
      </c>
      <c r="CP12" s="33">
        <f>SUMIFS('Bilateral assistance, MAIN DATA'!$M:$M,'Bilateral assistance, MAIN DATA'!$B:$B,'Share, heavy weapons to Ukraine'!$A12,'Bilateral assistance, MAIN DATA'!$AO:$AO,'Share, heavy weapons to Ukraine'!CP$1,'Bilateral assistance, MAIN DATA'!$AQ:$AQ,0)</f>
        <v>0</v>
      </c>
      <c r="CQ12" s="33">
        <f>SUMIFS('Bilateral assistance, MAIN DATA'!$M:$M,'Bilateral assistance, MAIN DATA'!$B:$B,'Share, heavy weapons to Ukraine'!$A12,'Bilateral assistance, MAIN DATA'!$AO:$AO,'Share, heavy weapons to Ukraine'!CQ$1,'Bilateral assistance, MAIN DATA'!$AQ:$AQ,0)</f>
        <v>0</v>
      </c>
      <c r="CR12" s="645">
        <f>SUMIFS('Bilateral assistance, MAIN DATA'!$M:$M,'Bilateral assistance, MAIN DATA'!$B:$B,'Share, heavy weapons to Ukraine'!$A12,'Bilateral assistance, MAIN DATA'!$AO:$AO,"122mm MLRS",'Bilateral assistance, MAIN DATA'!$AQ:$AQ,0)+SUMIFS('Bilateral assistance, MAIN DATA'!$M:$M,'Bilateral assistance, MAIN DATA'!$B:$B,'Share, heavy weapons to Ukraine'!$A12,'Bilateral assistance, MAIN DATA'!$AO:$AO,"127mm MLRS",'Bilateral assistance, MAIN DATA'!$AQ:$AQ,0)+SUMIFS('Bilateral assistance, MAIN DATA'!$M:$M,'Bilateral assistance, MAIN DATA'!$B:$B,'Share, heavy weapons to Ukraine'!$A12,'Bilateral assistance, MAIN DATA'!$AO:$AO,"227mm MLRS",'Bilateral assistance, MAIN DATA'!$AQ:$AQ,0)</f>
        <v>0</v>
      </c>
      <c r="CT12" s="33">
        <f>IF(VLOOKUP($A12,$A:CS,COLUMN(F11),FALSE)&lt;&gt;0,VLOOKUP($A12,$A:CS,COLUMN(CH11),FALSE)/VLOOKUP($A12,$A:AU,COLUMN(F11),FALSE),IF(VLOOKUP($A12,$A:CS,COLUMN(CH11),FALSE)&lt;&gt;0,"Strange",0))</f>
        <v>0.30112923462986196</v>
      </c>
      <c r="CU12" s="33">
        <f>IF(VLOOKUP($A12,$A:CS,COLUMN(L11),FALSE)&lt;&gt;0,VLOOKUP($A12,$A:CS,COLUMN(CI11),FALSE)/VLOOKUP($A12,$A:AU,COLUMN(L11),FALSE),IF(VLOOKUP($A12,$A:CS,COLUMN(CI11),FALSE)&lt;&gt;0,"Strange",0))</f>
        <v>9.8360655737704916E-2</v>
      </c>
      <c r="CV12" s="33">
        <f>IF(VLOOKUP($A12,$A:CT,COLUMN(M11),FALSE)&lt;&gt;0,VLOOKUP($A12,$A:CT,COLUMN(CJ11),FALSE)/VLOOKUP($A12,$A:AV,COLUMN(M11),FALSE),IF(VLOOKUP($A12,$A:CT,COLUMN(CJ11),FALSE)&lt;&gt;0,"Strange",0))</f>
        <v>0</v>
      </c>
      <c r="CX12" s="33">
        <f>IF(VLOOKUP($A12,$A:CS,COLUMN(F11),FALSE)&lt;&gt;0,VLOOKUP($A12,$A:CS,COLUMN(CL11),FALSE)/VLOOKUP($A12,$A:AU,COLUMN(F11),FALSE),IF(VLOOKUP($A12,$A:CS,COLUMN(CL11),FALSE)&lt;&gt;0,"Strange",0))</f>
        <v>0</v>
      </c>
      <c r="CY12" s="33">
        <f>IF(VLOOKUP($A12,$A:CS,COLUMN(L11),FALSE)&lt;&gt;0,VLOOKUP($A12,$A:CS,COLUMN(CM11),FALSE)/VLOOKUP($A12,$A:AU,COLUMN(L11),FALSE),IF(VLOOKUP($A12,$A:CS,COLUMN(CM11),FALSE)&lt;&gt;0,"Strange",0))</f>
        <v>0</v>
      </c>
      <c r="CZ12" s="33">
        <f>IF(VLOOKUP($A12,$A:CT,COLUMN(M11),FALSE)&lt;&gt;0,VLOOKUP($A12,$A:CT,COLUMN(CN11),FALSE)/VLOOKUP($A12,$A:AV,COLUMN(M11),FALSE),IF(VLOOKUP($A12,$A:CT,COLUMN(CN11),FALSE)&lt;&gt;0,"Strange",0))</f>
        <v>0</v>
      </c>
      <c r="DB12" s="33">
        <f>IF(VLOOKUP($A12,$A:CS,COLUMN(F11),FALSE)&lt;&gt;0,VLOOKUP($A12,$A:CS,COLUMN(CP11),FALSE)/VLOOKUP($A12,$A:AU,COLUMN(F11),FALSE),IF(VLOOKUP($A12,$A:CS,COLUMN(CP11),FALSE)&lt;&gt;0,"Strange",0))</f>
        <v>0</v>
      </c>
      <c r="DC12" s="33">
        <f>IF(VLOOKUP($A12,$A:CS,COLUMN(L11),FALSE)&lt;&gt;0,VLOOKUP($A12,$A:CS,COLUMN(CQ11),FALSE)/VLOOKUP($A12,$A:AU,COLUMN(L11),FALSE),IF(VLOOKUP($A12,$A:CS,COLUMN(CQ11),FALSE)&lt;&gt;0,"Strange",0))</f>
        <v>0</v>
      </c>
      <c r="DD12" s="33">
        <f>IF(VLOOKUP($A12,$A:CT,COLUMN(M11),FALSE)&lt;&gt;0,VLOOKUP($A12,$A:CT,COLUMN(CR11),FALSE)/VLOOKUP($A12,$A:AV,COLUMN(M11),FALSE),IF(VLOOKUP($A12,$A:CT,COLUMN(CR11),FALSE)&lt;&gt;0,"Strange",0))</f>
        <v>0</v>
      </c>
      <c r="DF12" s="33">
        <f>SUMIFS('Bilateral assistance, MAIN DATA'!$M:$M,'Bilateral assistance, MAIN DATA'!$B:$B,'Share, heavy weapons to Ukraine'!$A12,'Bilateral assistance, MAIN DATA'!$AO:$AO,'Share, heavy weapons to Ukraine'!DF$1, 'Bilateral assistance, MAIN DATA'!$AA:$AA,1)</f>
        <v>0</v>
      </c>
      <c r="DG12" s="33">
        <f>SUMIFS('Bilateral assistance, MAIN DATA'!$M:$M,'Bilateral assistance, MAIN DATA'!$B:$B,'Share, heavy weapons to Ukraine'!$A12,'Bilateral assistance, MAIN DATA'!$AO:$AO,'Share, heavy weapons to Ukraine'!DG$1, 'Bilateral assistance, MAIN DATA'!$AA:$AA,1)</f>
        <v>0</v>
      </c>
      <c r="DH12" s="33">
        <f>SUMIFS('Bilateral assistance, MAIN DATA'!$M:$M,'Bilateral assistance, MAIN DATA'!$B:$B,'Share, heavy weapons to Ukraine'!$A12,'Bilateral assistance, MAIN DATA'!$AO:$AO,'Share, heavy weapons to Ukraine'!DH$1, 'Bilateral assistance, MAIN DATA'!$AA:$AA,1)</f>
        <v>0</v>
      </c>
      <c r="DI12" s="33">
        <f>SUMIFS('Bilateral assistance, MAIN DATA'!$M:$M,'Bilateral assistance, MAIN DATA'!$B:$B,'Share, heavy weapons to Ukraine'!$A12,'Bilateral assistance, MAIN DATA'!$AO:$AO,'Share, heavy weapons to Ukraine'!DI$1, 'Bilateral assistance, MAIN DATA'!$AA:$AA,1)</f>
        <v>0</v>
      </c>
      <c r="DK12" s="33">
        <f>SUMIFS('Bilateral assistance, MAIN DATA'!$N:$N,'Bilateral assistance, MAIN DATA'!$B:$B,'Share, heavy weapons to Ukraine'!$A12,'Bilateral assistance, MAIN DATA'!$AO:$AO,'Share, heavy weapons to Ukraine'!DK$1, 'Bilateral assistance, MAIN DATA'!$AA:$AA,1)</f>
        <v>0</v>
      </c>
      <c r="DL12" s="33">
        <f>SUMIFS('Bilateral assistance, MAIN DATA'!$N:$N,'Bilateral assistance, MAIN DATA'!$B:$B,'Share, heavy weapons to Ukraine'!$A12,'Bilateral assistance, MAIN DATA'!$AO:$AO,'Share, heavy weapons to Ukraine'!DL$1, 'Bilateral assistance, MAIN DATA'!$AA:$AA,1)</f>
        <v>0</v>
      </c>
      <c r="DM12" s="33">
        <f>SUMIFS('Bilateral assistance, MAIN DATA'!$N:$N,'Bilateral assistance, MAIN DATA'!$B:$B,'Share, heavy weapons to Ukraine'!$A12,'Bilateral assistance, MAIN DATA'!$AO:$AO,'Share, heavy weapons to Ukraine'!DM$1, 'Bilateral assistance, MAIN DATA'!$AA:$AA,1)</f>
        <v>0</v>
      </c>
      <c r="DN12" s="33">
        <f>SUMIFS('Bilateral assistance, MAIN DATA'!$N:$N,'Bilateral assistance, MAIN DATA'!$B:$B,'Share, heavy weapons to Ukraine'!$A12,'Bilateral assistance, MAIN DATA'!$AO:$AO,'Share, heavy weapons to Ukraine'!DN$1, 'Bilateral assistance, MAIN DATA'!$AA:$AA,1)</f>
        <v>0</v>
      </c>
    </row>
    <row r="13" spans="1:118">
      <c r="A13" s="801" t="s">
        <v>2348</v>
      </c>
      <c r="B13" s="801">
        <v>1</v>
      </c>
      <c r="C13" s="33">
        <v>0</v>
      </c>
      <c r="E13" s="802">
        <v>10.199999999999999</v>
      </c>
      <c r="F13" s="801">
        <f>VLOOKUP(A13,'Heavy weapon stocks'!A:OH,COLUMN('Heavy weapon stocks'!$G$1),0)</f>
        <v>5023</v>
      </c>
      <c r="G13" s="801">
        <f>VLOOKUP(A13,'Heavy weapon stocks'!A:OH,COLUMN('Heavy weapon stocks'!$AW$1),0)</f>
        <v>3636</v>
      </c>
      <c r="H13" s="801">
        <f>VLOOKUP(A13,'Heavy weapon stocks'!A:OH,COLUMN('Heavy weapon stocks'!$DQ$1),0)</f>
        <v>1630</v>
      </c>
      <c r="I13" s="801">
        <f>VLOOKUP(A13,'Heavy weapon stocks'!A:OH,COLUMN('Heavy weapon stocks'!$EE$1),0)</f>
        <v>1200</v>
      </c>
      <c r="J13" s="801">
        <f>VLOOKUP(A13,'Heavy weapon stocks'!A:OH,COLUMN('Heavy weapon stocks'!$FG$1),0)</f>
        <v>0</v>
      </c>
      <c r="K13" s="801">
        <f t="shared" si="3"/>
        <v>6466</v>
      </c>
      <c r="L13" s="801">
        <f>VLOOKUP(A13,'Heavy weapon stocks'!A:OH,COLUMN('Heavy weapon stocks'!$HC$1),0)+VLOOKUP(A13,'Heavy weapon stocks'!A:OH,COLUMN('Heavy weapon stocks'!$II$1),0)</f>
        <v>1385</v>
      </c>
      <c r="M13" s="801">
        <f>VLOOKUP(A13,'Heavy weapon stocks'!A:OH,COLUMN('Heavy weapon stocks'!$IN$1),0)</f>
        <v>146</v>
      </c>
      <c r="N13" s="801">
        <f>VLOOKUP(A13,'Heavy weapon stocks'!A:OH,COLUMN('Heavy weapon stocks'!$JH$1),0)+VLOOKUP(A13,'Heavy weapon stocks'!A:OH,COLUMN('Heavy weapon stocks'!$KE$1),0)</f>
        <v>306</v>
      </c>
      <c r="O13" s="801">
        <f>VLOOKUP(A13,'Heavy weapon stocks'!A:OH,COLUMN('Heavy weapon stocks'!$LU$1),0)</f>
        <v>0</v>
      </c>
      <c r="Q13" s="801">
        <f>VLOOKUP(A13,'Heavy weapon stocks'!A:OH,COLUMN('Heavy weapon stocks'!$LV$1),0)</f>
        <v>32</v>
      </c>
      <c r="R13" s="801">
        <f>VLOOKUP(A13,'Heavy weapon stocks'!A:OH,COLUMN('Heavy weapon stocks'!$MF$1),0)</f>
        <v>0</v>
      </c>
      <c r="S13" s="801">
        <f>VLOOKUP(A13,'Heavy weapon stocks'!A:OH,COLUMN('Heavy weapon stocks'!$MM$1),0)</f>
        <v>0</v>
      </c>
      <c r="T13" s="801">
        <f>VLOOKUP(A13,'Heavy weapon stocks'!A:OH,COLUMN('Heavy weapon stocks'!$NR$1),0)</f>
        <v>148</v>
      </c>
      <c r="V13" s="801">
        <f>VLOOKUP(A13,'Heavy weapon stocks'!A:OH,COLUMN('Heavy weapon stocks'!$H$1),0)</f>
        <v>316</v>
      </c>
      <c r="W13" s="801">
        <f>VLOOKUP(A13,'Heavy weapon stocks'!A:OH,COLUMN('Heavy weapon stocks'!$DQ$1),0)</f>
        <v>1630</v>
      </c>
      <c r="X13" s="801">
        <f>VLOOKUP(A13,'Heavy weapon stocks'!A:OH,COLUMN('Heavy weapon stocks'!$FG$1),0)</f>
        <v>0</v>
      </c>
      <c r="Y13" s="801">
        <f>VLOOKUP(A13,'Heavy weapon stocks'!A:OH,COLUMN('Heavy weapon stocks'!$HC$1),0)+VLOOKUP(A13,'Heavy weapon stocks'!A:OH,COLUMN('Heavy weapon stocks'!$II$1),0)</f>
        <v>1385</v>
      </c>
      <c r="Z13" s="801">
        <f>VLOOKUP(A13,'Heavy weapon stocks'!A:OH,COLUMN('Heavy weapon stocks'!$IO$1),0)+VLOOKUP(A13,'Heavy weapon stocks'!A:OH,COLUMN('Heavy weapon stocks'!$IP$1),0)+VLOOKUP(A13,'Heavy weapon stocks'!A:OH,COLUMN('Heavy weapon stocks'!$IU$1),0)</f>
        <v>12</v>
      </c>
      <c r="AA13" s="801">
        <f>VLOOKUP(A13,'Heavy weapon stocks'!A:OH,COLUMN('Heavy weapon stocks'!$MI$1),0)</f>
        <v>0</v>
      </c>
      <c r="AB13" s="801">
        <f>VLOOKUP(A13,'Heavy weapon stocks'!A:OH,COLUMN('Heavy weapon stocks'!$MS$1),0)+VLOOKUP(A13,'Heavy weapon stocks'!A:OH,COLUMN('Heavy weapon stocks'!$MT$1),0)+VLOOKUP(A13,'Heavy weapon stocks'!A:OH,COLUMN('Heavy weapon stocks'!$MU$1),0)+VLOOKUP(A13,'Heavy weapon stocks'!A:OH,COLUMN('Heavy weapon stocks'!$MV$1),0)</f>
        <v>0</v>
      </c>
      <c r="AD13" s="33">
        <f>SUMIFS('Bilateral assistance, MAIN DATA'!$M:$M,'Bilateral assistance, MAIN DATA'!$B:$B,'Share, heavy weapons to Ukraine'!$A13,'Bilateral assistance, MAIN DATA'!$AO:$AO,'Share, heavy weapons to Ukraine'!AD$1)</f>
        <v>0</v>
      </c>
      <c r="AE13" s="33">
        <f>SUMIFS('Bilateral assistance, MAIN DATA'!$M:$M,'Bilateral assistance, MAIN DATA'!$B:$B,'Share, heavy weapons to Ukraine'!$A13,'Bilateral assistance, MAIN DATA'!$AO:$AO,'Share, heavy weapons to Ukraine'!AE$1)</f>
        <v>0</v>
      </c>
      <c r="AF13" s="33">
        <f>SUMIFS('Bilateral assistance, MAIN DATA'!$M:$M,'Bilateral assistance, MAIN DATA'!$B:$B,'Share, heavy weapons to Ukraine'!$A13,'Bilateral assistance, MAIN DATA'!$AO:$AO,'Share, heavy weapons to Ukraine'!AF$1)</f>
        <v>0</v>
      </c>
      <c r="AG13" s="33">
        <f>SUMIFS('Bilateral assistance, MAIN DATA'!$M:$M,'Bilateral assistance, MAIN DATA'!$B:$B,'Share, heavy weapons to Ukraine'!$A13,'Bilateral assistance, MAIN DATA'!$AO:$AO,'Share, heavy weapons to Ukraine'!AG$1)</f>
        <v>50</v>
      </c>
      <c r="AH13" s="33">
        <f>SUMIFS('Bilateral assistance, MAIN DATA'!$M:$M,'Bilateral assistance, MAIN DATA'!$B:$B,'Share, heavy weapons to Ukraine'!$A13,'Bilateral assistance, MAIN DATA'!$AO:$AO,'Share, heavy weapons to Ukraine'!AH$1)</f>
        <v>0</v>
      </c>
      <c r="AI13" s="33">
        <f t="shared" si="1"/>
        <v>50</v>
      </c>
      <c r="AJ13" s="33">
        <f>SUMIFS('Bilateral assistance, MAIN DATA'!$M:$M,'Bilateral assistance, MAIN DATA'!$B:$B,'Share, heavy weapons to Ukraine'!$A13,'Bilateral assistance, MAIN DATA'!$AO:$AO,'Share, heavy weapons to Ukraine'!AJ$1)</f>
        <v>0</v>
      </c>
      <c r="AK13" s="645">
        <f>SUMIFS('Bilateral assistance, MAIN DATA'!$M:$M,'Bilateral assistance, MAIN DATA'!$B:$B,'Share, heavy weapons to Ukraine'!$A13,'Bilateral assistance, MAIN DATA'!$AO:$AO,"122mm MLRS")+SUMIFS('Bilateral assistance, MAIN DATA'!$M:$M,'Bilateral assistance, MAIN DATA'!$B:$B,'Share, heavy weapons to Ukraine'!$A13,'Bilateral assistance, MAIN DATA'!$AO:$AO,"127mm MLRS")+SUMIFS('Bilateral assistance, MAIN DATA'!$M:$M,'Bilateral assistance, MAIN DATA'!$B:$B,'Share, heavy weapons to Ukraine'!$A13,'Bilateral assistance, MAIN DATA'!$AO:$AO,"227mm MLRS")</f>
        <v>0</v>
      </c>
      <c r="AL13" s="33">
        <f>SUMIFS('Bilateral assistance, MAIN DATA'!$M:$M,'Bilateral assistance, MAIN DATA'!$B:$B,'Share, heavy weapons to Ukraine'!$A13,'Bilateral assistance, MAIN DATA'!$AO:$AO,'Share, heavy weapons to Ukraine'!AL$1)</f>
        <v>0</v>
      </c>
      <c r="AM13" s="33">
        <f>SUMIFS('Bilateral assistance, MAIN DATA'!$M:$M,'Bilateral assistance, MAIN DATA'!$B:$B,'Share, heavy weapons to Ukraine'!$A13,'Bilateral assistance, MAIN DATA'!$AO:$AO,'Share, heavy weapons to Ukraine'!AM$1)</f>
        <v>0</v>
      </c>
      <c r="AN13" s="33">
        <f>SUMIFS('Bilateral assistance, MAIN DATA'!$M:$M,'Bilateral assistance, MAIN DATA'!$B:$B,'Share, heavy weapons to Ukraine'!$A13,'Bilateral assistance, MAIN DATA'!$AO:$AO,'Share, heavy weapons to Ukraine'!AN$1)</f>
        <v>0</v>
      </c>
      <c r="AO13" s="33">
        <f>SUMIFS('Bilateral assistance, MAIN DATA'!$M:$M,'Bilateral assistance, MAIN DATA'!$B:$B,'Share, heavy weapons to Ukraine'!$A13,'Bilateral assistance, MAIN DATA'!$AO:$AO,'Share, heavy weapons to Ukraine'!AO$1)</f>
        <v>0</v>
      </c>
      <c r="AP13" s="33">
        <f>SUMIFS('Bilateral assistance, MAIN DATA'!$M:$M,'Bilateral assistance, MAIN DATA'!$B:$B,'Share, heavy weapons to Ukraine'!$A13,'Bilateral assistance, MAIN DATA'!$AO:$AO,'Share, heavy weapons to Ukraine'!AP$1)</f>
        <v>0</v>
      </c>
      <c r="AR13" s="33">
        <f>SUMIFS('Bilateral assistance, MAIN DATA'!$N:$N,'Bilateral assistance, MAIN DATA'!$B:$B,'Share, heavy weapons to Ukraine'!$A13,'Bilateral assistance, MAIN DATA'!$AO:$AO,'Share, heavy weapons to Ukraine'!AR$1)</f>
        <v>0</v>
      </c>
      <c r="AS13" s="33">
        <f>SUMIFS('Bilateral assistance, MAIN DATA'!$N:$N,'Bilateral assistance, MAIN DATA'!$B:$B,'Share, heavy weapons to Ukraine'!$A13,'Bilateral assistance, MAIN DATA'!$AO:$AO,'Share, heavy weapons to Ukraine'!AS$1)</f>
        <v>0</v>
      </c>
      <c r="AT13" s="33">
        <f>SUMIFS('Bilateral assistance, MAIN DATA'!$N:$N,'Bilateral assistance, MAIN DATA'!$B:$B,'Share, heavy weapons to Ukraine'!$A13,'Bilateral assistance, MAIN DATA'!$AO:$AO,'Share, heavy weapons to Ukraine'!AT$1)</f>
        <v>0</v>
      </c>
      <c r="AU13" s="33">
        <f>SUMIFS('Bilateral assistance, MAIN DATA'!$N:$N,'Bilateral assistance, MAIN DATA'!$B:$B,'Share, heavy weapons to Ukraine'!$A13,'Bilateral assistance, MAIN DATA'!$AO:$AO,'Share, heavy weapons to Ukraine'!AU$1)</f>
        <v>50</v>
      </c>
      <c r="AV13" s="33">
        <f>SUMIFS('Bilateral assistance, MAIN DATA'!$N:$N,'Bilateral assistance, MAIN DATA'!$B:$B,'Share, heavy weapons to Ukraine'!$A13,'Bilateral assistance, MAIN DATA'!$AO:$AO,'Share, heavy weapons to Ukraine'!AV$1)</f>
        <v>0</v>
      </c>
      <c r="AW13" s="33">
        <f t="shared" si="2"/>
        <v>50</v>
      </c>
      <c r="AX13" s="33">
        <f>SUMIFS('Bilateral assistance, MAIN DATA'!$N:$N,'Bilateral assistance, MAIN DATA'!$B:$B,'Share, heavy weapons to Ukraine'!$A13,'Bilateral assistance, MAIN DATA'!$AO:$AO,'Share, heavy weapons to Ukraine'!AX$1)</f>
        <v>0</v>
      </c>
      <c r="AY13" s="645">
        <f>SUMIFS('Bilateral assistance, MAIN DATA'!$N:$N,'Bilateral assistance, MAIN DATA'!$B:$B,'Share, heavy weapons to Ukraine'!$A13,'Bilateral assistance, MAIN DATA'!$AO:$AO,"122mm MLRS")+SUMIFS('Bilateral assistance, MAIN DATA'!$N:$N,'Bilateral assistance, MAIN DATA'!$B:$B,'Share, heavy weapons to Ukraine'!$A13,'Bilateral assistance, MAIN DATA'!$AO:$AO,"127mm MLRS")+SUMIFS('Bilateral assistance, MAIN DATA'!$N:$N,'Bilateral assistance, MAIN DATA'!$B:$B,'Share, heavy weapons to Ukraine'!$A13,'Bilateral assistance, MAIN DATA'!$AO:$AO,"227mm MLRS")</f>
        <v>0</v>
      </c>
      <c r="AZ13" s="33">
        <f>SUMIFS('Bilateral assistance, MAIN DATA'!$N:$N,'Bilateral assistance, MAIN DATA'!$B:$B,'Share, heavy weapons to Ukraine'!$A13,'Bilateral assistance, MAIN DATA'!$AO:$AO,'Share, heavy weapons to Ukraine'!AZ$1)</f>
        <v>0</v>
      </c>
      <c r="BA13" s="33">
        <f>SUMIFS('Bilateral assistance, MAIN DATA'!$N:$N,'Bilateral assistance, MAIN DATA'!$B:$B,'Share, heavy weapons to Ukraine'!$A13,'Bilateral assistance, MAIN DATA'!$AO:$AO,'Share, heavy weapons to Ukraine'!BA$1)</f>
        <v>0</v>
      </c>
      <c r="BB13" s="33">
        <f>SUMIFS('Bilateral assistance, MAIN DATA'!$N:$N,'Bilateral assistance, MAIN DATA'!$B:$B,'Share, heavy weapons to Ukraine'!$A13,'Bilateral assistance, MAIN DATA'!$AO:$AO,'Share, heavy weapons to Ukraine'!BB$1)</f>
        <v>0</v>
      </c>
      <c r="BC13" s="33">
        <f>SUMIFS('Bilateral assistance, MAIN DATA'!$N:$N,'Bilateral assistance, MAIN DATA'!$B:$B,'Share, heavy weapons to Ukraine'!$A13,'Bilateral assistance, MAIN DATA'!$AO:$AO,'Share, heavy weapons to Ukraine'!BC$1)</f>
        <v>0</v>
      </c>
      <c r="BD13" s="33">
        <f>SUMIFS('Bilateral assistance, MAIN DATA'!$N:$N,'Bilateral assistance, MAIN DATA'!$B:$B,'Share, heavy weapons to Ukraine'!$A13,'Bilateral assistance, MAIN DATA'!$AO:$AO,'Share, heavy weapons to Ukraine'!BD$1)</f>
        <v>0</v>
      </c>
      <c r="BF13" s="33">
        <f>IF(VLOOKUP($A13,$A:F,COLUMN(F12),FALSE)&lt;&gt;0,VLOOKUP($A13,$A:AD,COLUMN(AD12),FALSE)/VLOOKUP($A13,$A:F,COLUMN(F12),FALSE),IF(VLOOKUP($A13,$A:AD,COLUMN(AD12),FALSE)&lt;&gt;0,"Strange",0))</f>
        <v>0</v>
      </c>
      <c r="BG13" s="33">
        <f>IF(VLOOKUP($A13,$A:G,COLUMN(G12),FALSE)&lt;&gt;0,VLOOKUP($A13,$A:AE,COLUMN(AE12),FALSE)/VLOOKUP($A13,$A:G,COLUMN(G12),FALSE),IF(VLOOKUP($A13,$A:AE,COLUMN(AE12),FALSE)&lt;&gt;0,"Strange",0))</f>
        <v>0</v>
      </c>
      <c r="BH13" s="33">
        <f>IF(VLOOKUP($A13,$A:H,COLUMN(H12),FALSE)&lt;&gt;0,VLOOKUP($A13,$A:AF,COLUMN(AF12),FALSE)/VLOOKUP($A13,$A:H,COLUMN(H12),FALSE),IF(VLOOKUP($A13,$A:AF,COLUMN(AF12),FALSE)&lt;&gt;0,"Strange",0))</f>
        <v>0</v>
      </c>
      <c r="BI13" s="33">
        <f>IF(VLOOKUP($A13,$A:I,COLUMN(I12),FALSE)&lt;&gt;0,VLOOKUP($A13,$A:AG,COLUMN(AG12),FALSE)/VLOOKUP($A13,$A:I,COLUMN(I12),FALSE),IF(VLOOKUP($A13,$A:AG,COLUMN(AG12),FALSE)&lt;&gt;0,"Strange",0))</f>
        <v>4.1666666666666664E-2</v>
      </c>
      <c r="BJ13" s="33">
        <f>IF(VLOOKUP($A13,$A:J,COLUMN(J12),FALSE)&lt;&gt;0,VLOOKUP($A13,$A:AH,COLUMN(AH12),FALSE)/VLOOKUP($A13,$A:J,COLUMN(J12),FALSE),IF(VLOOKUP($A13,$A:AH,COLUMN(AH12),FALSE)&lt;&gt;0,"Strange",0))</f>
        <v>0</v>
      </c>
      <c r="BK13" s="33">
        <f>IF(VLOOKUP($A13,$A:K,COLUMN(K12),FALSE)&lt;&gt;0,VLOOKUP($A13,$A:AI,COLUMN(AI12),FALSE)/VLOOKUP($A13,$A:K,COLUMN(K12),FALSE),IF(VLOOKUP($A13,$A:AI,COLUMN(AI12),FALSE)&lt;&gt;0,"Strange",0))</f>
        <v>7.732755954222085E-3</v>
      </c>
      <c r="BL13" s="33">
        <f>IF(VLOOKUP($A13,$A:L,COLUMN(L12),FALSE)&lt;&gt;0,VLOOKUP($A13,$A:AJ,COLUMN(AJ12),FALSE)/VLOOKUP($A13,$A:L,COLUMN(L12),FALSE),IF(VLOOKUP($A13,$A:AJ,COLUMN(AJ12),FALSE)&lt;&gt;0,"Strange",0))</f>
        <v>0</v>
      </c>
      <c r="BM13" s="33">
        <f>IF(VLOOKUP($A13,$A:M,COLUMN(M12),FALSE)&lt;&gt;0,VLOOKUP($A13,$A:AK,COLUMN(AK12),FALSE)/VLOOKUP($A13,$A:M,COLUMN(M12),FALSE),IF(VLOOKUP($A13,$A:AK,COLUMN(AK12),FALSE)&lt;&gt;0,"Strange",0))</f>
        <v>0</v>
      </c>
      <c r="BN13" s="33">
        <f>IF(VLOOKUP($A13,$A:N,COLUMN(N12),FALSE)&lt;&gt;0,VLOOKUP($A13,$A:AL,COLUMN(AL12),FALSE)/VLOOKUP($A13,$A:N,COLUMN(N12),FALSE),IF(VLOOKUP($A13,$A:AL,COLUMN(AL12),FALSE)&lt;&gt;0,"Strange",0))</f>
        <v>0</v>
      </c>
      <c r="BO13" s="33">
        <f>IF(VLOOKUP($A13,$A:Q,COLUMN(Q12),FALSE)&lt;&gt;0,VLOOKUP($A13,$A:AM,COLUMN(AM12),FALSE)/VLOOKUP($A13,$A:Q,COLUMN(Q12),FALSE),IF(VLOOKUP($A13,$A:AM,COLUMN(AM12),FALSE)&lt;&gt;0,"Strange",0))</f>
        <v>0</v>
      </c>
      <c r="BP13" s="33">
        <f>IF(VLOOKUP($A13,$A:R,COLUMN(R12),FALSE)&lt;&gt;0,VLOOKUP($A13,$A:AN,COLUMN(AN12),FALSE)/VLOOKUP($A13,$A:R,COLUMN(R12),FALSE),IF(VLOOKUP($A13,$A:AN,COLUMN(AN12),FALSE)&lt;&gt;0,"Strange",0))</f>
        <v>0</v>
      </c>
      <c r="BQ13" s="33">
        <f>IF(VLOOKUP($A13,$A:S,COLUMN(S12),FALSE)&lt;&gt;0,VLOOKUP($A13,$A:AO,COLUMN(AO12),FALSE)/VLOOKUP($A13,$A:S,COLUMN(S12),FALSE),IF(VLOOKUP($A13,$A:AO,COLUMN(AO12),FALSE)&lt;&gt;0,"Strange",0))</f>
        <v>0</v>
      </c>
      <c r="BR13" s="33">
        <f>IF(VLOOKUP($A13,$A:T,COLUMN(T12),FALSE)&lt;&gt;0,VLOOKUP($A13,$A:AP,COLUMN(AP12),FALSE)/VLOOKUP($A13,$A:T,COLUMN(T12),FALSE),IF(VLOOKUP($A13,$A:AP,COLUMN(AP12),FALSE)&lt;&gt;0,"Strange",0))</f>
        <v>0</v>
      </c>
      <c r="BT13" s="33">
        <f>IF(VLOOKUP($A13,$A:AE,COLUMN(F12),FALSE)&lt;&gt;0,VLOOKUP($A13,$A:AS,COLUMN(AR12),FALSE)/VLOOKUP($A13,$A:AE,COLUMN(F12),FALSE),IF(VLOOKUP($A13,$A:AS,COLUMN(AR12),FALSE)&lt;&gt;0,"Strange",0))</f>
        <v>0</v>
      </c>
      <c r="BU13" s="33">
        <f>IF(VLOOKUP($A13,$A:AF,COLUMN(G12),FALSE)&lt;&gt;0,VLOOKUP($A13,$A:AT,COLUMN(AS12),FALSE)/VLOOKUP($A13,$A:AF,COLUMN(G12),FALSE),IF(VLOOKUP($A13,$A:AT,COLUMN(AS12),FALSE)&lt;&gt;0,"Strange",0))</f>
        <v>0</v>
      </c>
      <c r="BV13" s="33">
        <f>IF(VLOOKUP($A13,$A:AG,COLUMN(H12),FALSE)&lt;&gt;0,VLOOKUP($A13,$A:AU,COLUMN(AT12),FALSE)/VLOOKUP($A13,$A:AG,COLUMN(H12),FALSE),IF(VLOOKUP($A13,$A:AU,COLUMN(AT12),FALSE)&lt;&gt;0,"Strange",0))</f>
        <v>0</v>
      </c>
      <c r="BW13" s="33">
        <f>IF(VLOOKUP($A13,$A:AH,COLUMN(I12),FALSE)&lt;&gt;0,VLOOKUP($A13,$A:AV,COLUMN(AU12),FALSE)/VLOOKUP($A13,$A:AH,COLUMN(I12),FALSE),IF(VLOOKUP($A13,$A:AV,COLUMN(AU12),FALSE)&lt;&gt;0,"Strange",0))</f>
        <v>4.1666666666666664E-2</v>
      </c>
      <c r="BX13" s="33">
        <f>IF(VLOOKUP($A13,$A:AJ,COLUMN(J12),FALSE)&lt;&gt;0,VLOOKUP($A13,$A:AX,COLUMN(AV12),FALSE)/VLOOKUP($A13,$A:AJ,COLUMN(J12),FALSE),IF(VLOOKUP($A13,$A:AX,COLUMN(AV12),FALSE)&lt;&gt;0,"Strange",0))</f>
        <v>0</v>
      </c>
      <c r="BY13" s="33">
        <f>IF(VLOOKUP($A13,$A:AK,COLUMN(K12),FALSE)&lt;&gt;0,VLOOKUP($A13,$A:AY,COLUMN(AW12),FALSE)/VLOOKUP($A13,$A:AK,COLUMN(K12),FALSE),IF(VLOOKUP($A13,$A:AY,COLUMN(AW12),FALSE)&lt;&gt;0,"Strange",0))</f>
        <v>7.732755954222085E-3</v>
      </c>
      <c r="BZ13" s="33">
        <f>IF(VLOOKUP($A13,$A:AK,COLUMN(L12),FALSE)&lt;&gt;0,VLOOKUP($A13,$A:AY,COLUMN(AX12),FALSE)/VLOOKUP($A13,$A:AK,COLUMN(L12),FALSE),IF(VLOOKUP($A13,$A:AY,COLUMN(AX12),FALSE)&lt;&gt;0,"Strange",0))</f>
        <v>0</v>
      </c>
      <c r="CA13" s="33">
        <f>IF(VLOOKUP($A13,$A:AL,COLUMN(M12),FALSE)&lt;&gt;0,VLOOKUP($A13,$A:AZ,COLUMN(AY12),FALSE)/VLOOKUP($A13,$A:AL,COLUMN(M12),FALSE),IF(VLOOKUP($A13,$A:AZ,COLUMN(AY12),FALSE)&lt;&gt;0,"Strange",0))</f>
        <v>0</v>
      </c>
      <c r="CB13" s="33">
        <f>IF(VLOOKUP($A13,$A:AL,COLUMN(N12),FALSE)&lt;&gt;0,VLOOKUP($A13,$A:AZ,COLUMN(AZ12),FALSE)/VLOOKUP($A13,$A:AL,COLUMN(N12),FALSE),IF(VLOOKUP($A13,$A:AZ,COLUMN(AZ12),FALSE)&lt;&gt;0,"Strange",0))</f>
        <v>0</v>
      </c>
      <c r="CC13" s="33">
        <f>IF(VLOOKUP($A13,$A:AM,COLUMN(Q12),FALSE)&lt;&gt;0,VLOOKUP($A13,$A:BA,COLUMN(BA12),FALSE)/VLOOKUP($A13,$A:AM,COLUMN(Q12),FALSE),IF(VLOOKUP($A13,$A:BA,COLUMN(BA12),FALSE)&lt;&gt;0,"Strange",0))</f>
        <v>0</v>
      </c>
      <c r="CD13" s="33">
        <f>IF(VLOOKUP($A13,$A:AN,COLUMN(R12),FALSE)&lt;&gt;0,VLOOKUP($A13,$A:BB,COLUMN(BB12),FALSE)/VLOOKUP($A13,$A:AN,COLUMN(R12),FALSE),IF(VLOOKUP($A13,$A:BB,COLUMN(BB12),FALSE)&lt;&gt;0,"Strange",0))</f>
        <v>0</v>
      </c>
      <c r="CE13" s="33">
        <f>IF(VLOOKUP($A13,$A:AO,COLUMN(S12),FALSE)&lt;&gt;0,VLOOKUP($A13,$A:BC,COLUMN(BC12),FALSE)/VLOOKUP($A13,$A:AO,COLUMN(S12),FALSE),IF(VLOOKUP($A13,$A:BC,COLUMN(BC12),FALSE)&lt;&gt;0,"Strange",0))</f>
        <v>0</v>
      </c>
      <c r="CF13" s="33">
        <f>IF(VLOOKUP($A13,$A:AP,COLUMN(T12),FALSE)&lt;&gt;0,VLOOKUP($A13,$A:BD,COLUMN(BD12),FALSE)/VLOOKUP($A13,$A:AP,COLUMN(T12),FALSE),IF(VLOOKUP($A13,$A:BD,COLUMN(BD12),FALSE)&lt;&gt;0,"Strange",0))</f>
        <v>0</v>
      </c>
      <c r="CH13" s="33">
        <f>SUMIFS('Bilateral assistance, MAIN DATA'!$M:$M,'Bilateral assistance, MAIN DATA'!$B:$B,'Share, heavy weapons to Ukraine'!$A13,'Bilateral assistance, MAIN DATA'!$AO:$AO,'Share, heavy weapons to Ukraine'!CH$1,'Bilateral assistance, MAIN DATA'!$AQ:$AQ,2)</f>
        <v>0</v>
      </c>
      <c r="CI13" s="33">
        <f>SUMIFS('Bilateral assistance, MAIN DATA'!$M:$M,'Bilateral assistance, MAIN DATA'!$B:$B,'Share, heavy weapons to Ukraine'!$A13,'Bilateral assistance, MAIN DATA'!$AO:$AO,'Share, heavy weapons to Ukraine'!CI$1,'Bilateral assistance, MAIN DATA'!$AQ:$AQ,2)</f>
        <v>0</v>
      </c>
      <c r="CJ13" s="645">
        <f>SUMIFS('Bilateral assistance, MAIN DATA'!$M:$M,'Bilateral assistance, MAIN DATA'!$B:$B,'Share, heavy weapons to Ukraine'!$A13,'Bilateral assistance, MAIN DATA'!$AO:$AO,"122mm MLRS",'Bilateral assistance, MAIN DATA'!$AQ:$AQ,2)+SUMIFS('Bilateral assistance, MAIN DATA'!$M:$M,'Bilateral assistance, MAIN DATA'!$B:$B,'Share, heavy weapons to Ukraine'!$A13,'Bilateral assistance, MAIN DATA'!$AO:$AO,"127mm MLRS",'Bilateral assistance, MAIN DATA'!$AQ:$AQ,2)+SUMIFS('Bilateral assistance, MAIN DATA'!$M:$M,'Bilateral assistance, MAIN DATA'!$B:$B,'Share, heavy weapons to Ukraine'!$A13,'Bilateral assistance, MAIN DATA'!$AO:$AO,"227mm MLRS",'Bilateral assistance, MAIN DATA'!$AQ:$AQ,2)</f>
        <v>0</v>
      </c>
      <c r="CL13" s="33">
        <f>SUMIFS('Bilateral assistance, MAIN DATA'!$M:$M,'Bilateral assistance, MAIN DATA'!$B:$B,'Share, heavy weapons to Ukraine'!$A13,'Bilateral assistance, MAIN DATA'!$AO:$AO,'Share, heavy weapons to Ukraine'!CH$1,'Bilateral assistance, MAIN DATA'!$AQ:$AQ,1)</f>
        <v>0</v>
      </c>
      <c r="CM13" s="33">
        <f>SUMIFS('Bilateral assistance, MAIN DATA'!$M:$M,'Bilateral assistance, MAIN DATA'!$B:$B,'Share, heavy weapons to Ukraine'!$A13,'Bilateral assistance, MAIN DATA'!$AO:$AO,'Share, heavy weapons to Ukraine'!CI$1,'Bilateral assistance, MAIN DATA'!$AQ:$AQ,1)</f>
        <v>0</v>
      </c>
      <c r="CN13" s="645">
        <f>SUMIFS('Bilateral assistance, MAIN DATA'!$M:$M,'Bilateral assistance, MAIN DATA'!$B:$B,'Share, heavy weapons to Ukraine'!$A13,'Bilateral assistance, MAIN DATA'!$AO:$AO,"122mm MLRS",'Bilateral assistance, MAIN DATA'!$AQ:$AQ,1)+SUMIFS('Bilateral assistance, MAIN DATA'!$M:$M,'Bilateral assistance, MAIN DATA'!$B:$B,'Share, heavy weapons to Ukraine'!$A13,'Bilateral assistance, MAIN DATA'!$AO:$AO,"127mm MLRS",'Bilateral assistance, MAIN DATA'!$AQ:$AQ,1)+SUMIFS('Bilateral assistance, MAIN DATA'!$M:$M,'Bilateral assistance, MAIN DATA'!$B:$B,'Share, heavy weapons to Ukraine'!$A13,'Bilateral assistance, MAIN DATA'!$AO:$AO,"227mm MLRS",'Bilateral assistance, MAIN DATA'!$AQ:$AQ,1)</f>
        <v>0</v>
      </c>
      <c r="CP13" s="33">
        <f>SUMIFS('Bilateral assistance, MAIN DATA'!$M:$M,'Bilateral assistance, MAIN DATA'!$B:$B,'Share, heavy weapons to Ukraine'!$A13,'Bilateral assistance, MAIN DATA'!$AO:$AO,'Share, heavy weapons to Ukraine'!CP$1,'Bilateral assistance, MAIN DATA'!$AQ:$AQ,0)</f>
        <v>0</v>
      </c>
      <c r="CQ13" s="33">
        <f>SUMIFS('Bilateral assistance, MAIN DATA'!$M:$M,'Bilateral assistance, MAIN DATA'!$B:$B,'Share, heavy weapons to Ukraine'!$A13,'Bilateral assistance, MAIN DATA'!$AO:$AO,'Share, heavy weapons to Ukraine'!CQ$1,'Bilateral assistance, MAIN DATA'!$AQ:$AQ,0)</f>
        <v>0</v>
      </c>
      <c r="CR13" s="645">
        <f>SUMIFS('Bilateral assistance, MAIN DATA'!$M:$M,'Bilateral assistance, MAIN DATA'!$B:$B,'Share, heavy weapons to Ukraine'!$A13,'Bilateral assistance, MAIN DATA'!$AO:$AO,"122mm MLRS",'Bilateral assistance, MAIN DATA'!$AQ:$AQ,0)+SUMIFS('Bilateral assistance, MAIN DATA'!$M:$M,'Bilateral assistance, MAIN DATA'!$B:$B,'Share, heavy weapons to Ukraine'!$A13,'Bilateral assistance, MAIN DATA'!$AO:$AO,"127mm MLRS",'Bilateral assistance, MAIN DATA'!$AQ:$AQ,0)+SUMIFS('Bilateral assistance, MAIN DATA'!$M:$M,'Bilateral assistance, MAIN DATA'!$B:$B,'Share, heavy weapons to Ukraine'!$A13,'Bilateral assistance, MAIN DATA'!$AO:$AO,"227mm MLRS",'Bilateral assistance, MAIN DATA'!$AQ:$AQ,0)</f>
        <v>0</v>
      </c>
      <c r="CT13" s="33">
        <f>IF(VLOOKUP($A13,$A:CS,COLUMN(F12),FALSE)&lt;&gt;0,VLOOKUP($A13,$A:CS,COLUMN(CH12),FALSE)/VLOOKUP($A13,$A:AU,COLUMN(F12),FALSE),IF(VLOOKUP($A13,$A:CS,COLUMN(CH12),FALSE)&lt;&gt;0,"Strange",0))</f>
        <v>0</v>
      </c>
      <c r="CU13" s="33">
        <f>IF(VLOOKUP($A13,$A:CS,COLUMN(L12),FALSE)&lt;&gt;0,VLOOKUP($A13,$A:CS,COLUMN(CI12),FALSE)/VLOOKUP($A13,$A:AU,COLUMN(L12),FALSE),IF(VLOOKUP($A13,$A:CS,COLUMN(CI12),FALSE)&lt;&gt;0,"Strange",0))</f>
        <v>0</v>
      </c>
      <c r="CV13" s="33">
        <f>IF(VLOOKUP($A13,$A:CT,COLUMN(M12),FALSE)&lt;&gt;0,VLOOKUP($A13,$A:CT,COLUMN(CJ12),FALSE)/VLOOKUP($A13,$A:AV,COLUMN(M12),FALSE),IF(VLOOKUP($A13,$A:CT,COLUMN(CJ12),FALSE)&lt;&gt;0,"Strange",0))</f>
        <v>0</v>
      </c>
      <c r="CX13" s="33">
        <f>IF(VLOOKUP($A13,$A:CS,COLUMN(F12),FALSE)&lt;&gt;0,VLOOKUP($A13,$A:CS,COLUMN(CL12),FALSE)/VLOOKUP($A13,$A:AU,COLUMN(F12),FALSE),IF(VLOOKUP($A13,$A:CS,COLUMN(CL12),FALSE)&lt;&gt;0,"Strange",0))</f>
        <v>0</v>
      </c>
      <c r="CY13" s="33">
        <f>IF(VLOOKUP($A13,$A:CS,COLUMN(L12),FALSE)&lt;&gt;0,VLOOKUP($A13,$A:CS,COLUMN(CM12),FALSE)/VLOOKUP($A13,$A:AU,COLUMN(L12),FALSE),IF(VLOOKUP($A13,$A:CS,COLUMN(CM12),FALSE)&lt;&gt;0,"Strange",0))</f>
        <v>0</v>
      </c>
      <c r="CZ13" s="33">
        <f>IF(VLOOKUP($A13,$A:CT,COLUMN(M12),FALSE)&lt;&gt;0,VLOOKUP($A13,$A:CT,COLUMN(CN12),FALSE)/VLOOKUP($A13,$A:AV,COLUMN(M12),FALSE),IF(VLOOKUP($A13,$A:CT,COLUMN(CN12),FALSE)&lt;&gt;0,"Strange",0))</f>
        <v>0</v>
      </c>
      <c r="DB13" s="33">
        <f>IF(VLOOKUP($A13,$A:CS,COLUMN(F12),FALSE)&lt;&gt;0,VLOOKUP($A13,$A:CS,COLUMN(CP12),FALSE)/VLOOKUP($A13,$A:AU,COLUMN(F12),FALSE),IF(VLOOKUP($A13,$A:CS,COLUMN(CP12),FALSE)&lt;&gt;0,"Strange",0))</f>
        <v>0</v>
      </c>
      <c r="DC13" s="33">
        <f>IF(VLOOKUP($A13,$A:CS,COLUMN(L12),FALSE)&lt;&gt;0,VLOOKUP($A13,$A:CS,COLUMN(CQ12),FALSE)/VLOOKUP($A13,$A:AU,COLUMN(L12),FALSE),IF(VLOOKUP($A13,$A:CS,COLUMN(CQ12),FALSE)&lt;&gt;0,"Strange",0))</f>
        <v>0</v>
      </c>
      <c r="DD13" s="33">
        <f>IF(VLOOKUP($A13,$A:CT,COLUMN(M12),FALSE)&lt;&gt;0,VLOOKUP($A13,$A:CT,COLUMN(CR12),FALSE)/VLOOKUP($A13,$A:AV,COLUMN(M12),FALSE),IF(VLOOKUP($A13,$A:CT,COLUMN(CR12),FALSE)&lt;&gt;0,"Strange",0))</f>
        <v>0</v>
      </c>
      <c r="DF13" s="33">
        <f>SUMIFS('Bilateral assistance, MAIN DATA'!$M:$M,'Bilateral assistance, MAIN DATA'!$B:$B,'Share, heavy weapons to Ukraine'!$A13,'Bilateral assistance, MAIN DATA'!$AO:$AO,'Share, heavy weapons to Ukraine'!DF$1, 'Bilateral assistance, MAIN DATA'!$AA:$AA,1)</f>
        <v>0</v>
      </c>
      <c r="DG13" s="33">
        <f>SUMIFS('Bilateral assistance, MAIN DATA'!$M:$M,'Bilateral assistance, MAIN DATA'!$B:$B,'Share, heavy weapons to Ukraine'!$A13,'Bilateral assistance, MAIN DATA'!$AO:$AO,'Share, heavy weapons to Ukraine'!DG$1, 'Bilateral assistance, MAIN DATA'!$AA:$AA,1)</f>
        <v>0</v>
      </c>
      <c r="DH13" s="33">
        <f>SUMIFS('Bilateral assistance, MAIN DATA'!$M:$M,'Bilateral assistance, MAIN DATA'!$B:$B,'Share, heavy weapons to Ukraine'!$A13,'Bilateral assistance, MAIN DATA'!$AO:$AO,'Share, heavy weapons to Ukraine'!DH$1, 'Bilateral assistance, MAIN DATA'!$AA:$AA,1)</f>
        <v>0</v>
      </c>
      <c r="DI13" s="33">
        <f>SUMIFS('Bilateral assistance, MAIN DATA'!$M:$M,'Bilateral assistance, MAIN DATA'!$B:$B,'Share, heavy weapons to Ukraine'!$A13,'Bilateral assistance, MAIN DATA'!$AO:$AO,'Share, heavy weapons to Ukraine'!DI$1, 'Bilateral assistance, MAIN DATA'!$AA:$AA,1)</f>
        <v>0</v>
      </c>
      <c r="DK13" s="33">
        <f>SUMIFS('Bilateral assistance, MAIN DATA'!$N:$N,'Bilateral assistance, MAIN DATA'!$B:$B,'Share, heavy weapons to Ukraine'!$A13,'Bilateral assistance, MAIN DATA'!$AO:$AO,'Share, heavy weapons to Ukraine'!DK$1, 'Bilateral assistance, MAIN DATA'!$AA:$AA,1)</f>
        <v>0</v>
      </c>
      <c r="DL13" s="33">
        <f>SUMIFS('Bilateral assistance, MAIN DATA'!$N:$N,'Bilateral assistance, MAIN DATA'!$B:$B,'Share, heavy weapons to Ukraine'!$A13,'Bilateral assistance, MAIN DATA'!$AO:$AO,'Share, heavy weapons to Ukraine'!DL$1, 'Bilateral assistance, MAIN DATA'!$AA:$AA,1)</f>
        <v>0</v>
      </c>
      <c r="DM13" s="33">
        <f>SUMIFS('Bilateral assistance, MAIN DATA'!$N:$N,'Bilateral assistance, MAIN DATA'!$B:$B,'Share, heavy weapons to Ukraine'!$A13,'Bilateral assistance, MAIN DATA'!$AO:$AO,'Share, heavy weapons to Ukraine'!DM$1, 'Bilateral assistance, MAIN DATA'!$AA:$AA,1)</f>
        <v>0</v>
      </c>
      <c r="DN13" s="33">
        <f>SUMIFS('Bilateral assistance, MAIN DATA'!$N:$N,'Bilateral assistance, MAIN DATA'!$B:$B,'Share, heavy weapons to Ukraine'!$A13,'Bilateral assistance, MAIN DATA'!$AO:$AO,'Share, heavy weapons to Ukraine'!DN$1, 'Bilateral assistance, MAIN DATA'!$AA:$AA,1)</f>
        <v>0</v>
      </c>
    </row>
    <row r="14" spans="1:118">
      <c r="A14" s="801" t="s">
        <v>2258</v>
      </c>
      <c r="B14" s="801">
        <v>0</v>
      </c>
      <c r="C14" s="33">
        <v>1</v>
      </c>
      <c r="E14" s="802">
        <v>8.36</v>
      </c>
      <c r="F14" s="801">
        <f>VLOOKUP(A14,'Heavy weapon stocks'!A:OH,COLUMN('Heavy weapon stocks'!$G$1),0)</f>
        <v>120</v>
      </c>
      <c r="G14" s="801">
        <f>VLOOKUP(A14,'Heavy weapon stocks'!A:OH,COLUMN('Heavy weapon stocks'!$AW$1),0)</f>
        <v>704</v>
      </c>
      <c r="H14" s="801">
        <f>VLOOKUP(A14,'Heavy weapon stocks'!A:OH,COLUMN('Heavy weapon stocks'!$DQ$1),0)</f>
        <v>360</v>
      </c>
      <c r="I14" s="801">
        <f>VLOOKUP(A14,'Heavy weapon stocks'!A:OH,COLUMN('Heavy weapon stocks'!$EE$1),0)</f>
        <v>0</v>
      </c>
      <c r="J14" s="801">
        <f>VLOOKUP(A14,'Heavy weapon stocks'!A:OH,COLUMN('Heavy weapon stocks'!$FG$1),0)</f>
        <v>411</v>
      </c>
      <c r="K14" s="801">
        <f t="shared" si="3"/>
        <v>1475</v>
      </c>
      <c r="L14" s="801">
        <f>VLOOKUP(A14,'Heavy weapon stocks'!A:OH,COLUMN('Heavy weapon stocks'!$HC$1),0)+VLOOKUP(A14,'Heavy weapon stocks'!A:OH,COLUMN('Heavy weapon stocks'!$II$1),0)</f>
        <v>35</v>
      </c>
      <c r="M14" s="801">
        <f>VLOOKUP(A14,'Heavy weapon stocks'!A:OH,COLUMN('Heavy weapon stocks'!$IN$1),0)</f>
        <v>0</v>
      </c>
      <c r="N14" s="801">
        <f>VLOOKUP(A14,'Heavy weapon stocks'!A:OH,COLUMN('Heavy weapon stocks'!$JH$1),0)+VLOOKUP(A14,'Heavy weapon stocks'!A:OH,COLUMN('Heavy weapon stocks'!$KE$1),0)</f>
        <v>96</v>
      </c>
      <c r="O14" s="801">
        <f>VLOOKUP(A14,'Heavy weapon stocks'!A:OH,COLUMN('Heavy weapon stocks'!$LU$1),0)</f>
        <v>0</v>
      </c>
      <c r="Q14" s="801">
        <f>VLOOKUP(A14,'Heavy weapon stocks'!A:OH,COLUMN('Heavy weapon stocks'!$LV$1),0)</f>
        <v>3</v>
      </c>
      <c r="R14" s="801">
        <f>VLOOKUP(A14,'Heavy weapon stocks'!A:OH,COLUMN('Heavy weapon stocks'!$MF$1),0)</f>
        <v>8</v>
      </c>
      <c r="S14" s="801">
        <f>VLOOKUP(A14,'Heavy weapon stocks'!A:OH,COLUMN('Heavy weapon stocks'!$MM$1),0)</f>
        <v>0</v>
      </c>
      <c r="T14" s="801">
        <f>VLOOKUP(A14,'Heavy weapon stocks'!A:OH,COLUMN('Heavy weapon stocks'!$NR$1),0)</f>
        <v>0</v>
      </c>
      <c r="V14" s="801">
        <f>VLOOKUP(A14,'Heavy weapon stocks'!A:OH,COLUMN('Heavy weapon stocks'!$H$1),0)</f>
        <v>120</v>
      </c>
      <c r="W14" s="801">
        <f>VLOOKUP(A14,'Heavy weapon stocks'!A:OH,COLUMN('Heavy weapon stocks'!$DQ$1),0)</f>
        <v>360</v>
      </c>
      <c r="X14" s="801">
        <f>VLOOKUP(A14,'Heavy weapon stocks'!A:OH,COLUMN('Heavy weapon stocks'!$FG$1),0)</f>
        <v>411</v>
      </c>
      <c r="Y14" s="801">
        <f>VLOOKUP(A14,'Heavy weapon stocks'!A:OH,COLUMN('Heavy weapon stocks'!$HC$1),0)+VLOOKUP(A14,'Heavy weapon stocks'!A:OH,COLUMN('Heavy weapon stocks'!$II$1),0)</f>
        <v>35</v>
      </c>
      <c r="Z14" s="801">
        <f>VLOOKUP(A14,'Heavy weapon stocks'!A:OH,COLUMN('Heavy weapon stocks'!$IO$1),0)+VLOOKUP(A14,'Heavy weapon stocks'!A:OH,COLUMN('Heavy weapon stocks'!$IP$1),0)+VLOOKUP(A14,'Heavy weapon stocks'!A:OH,COLUMN('Heavy weapon stocks'!$IU$1),0)</f>
        <v>0</v>
      </c>
      <c r="AA14" s="801">
        <f>VLOOKUP(A14,'Heavy weapon stocks'!A:OH,COLUMN('Heavy weapon stocks'!$MI$1),0)</f>
        <v>8</v>
      </c>
      <c r="AB14" s="801">
        <f>VLOOKUP(A14,'Heavy weapon stocks'!A:OH,COLUMN('Heavy weapon stocks'!$MS$1),0)+VLOOKUP(A14,'Heavy weapon stocks'!A:OH,COLUMN('Heavy weapon stocks'!$MT$1),0)+VLOOKUP(A14,'Heavy weapon stocks'!A:OH,COLUMN('Heavy weapon stocks'!$MU$1),0)+VLOOKUP(A14,'Heavy weapon stocks'!A:OH,COLUMN('Heavy weapon stocks'!$MV$1),0)</f>
        <v>0</v>
      </c>
      <c r="AD14" s="33">
        <f>SUMIFS('Bilateral assistance, MAIN DATA'!$M:$M,'Bilateral assistance, MAIN DATA'!$B:$B,'Share, heavy weapons to Ukraine'!$A14,'Bilateral assistance, MAIN DATA'!$AO:$AO,'Share, heavy weapons to Ukraine'!AD$1)</f>
        <v>0</v>
      </c>
      <c r="AE14" s="33">
        <f>SUMIFS('Bilateral assistance, MAIN DATA'!$M:$M,'Bilateral assistance, MAIN DATA'!$B:$B,'Share, heavy weapons to Ukraine'!$A14,'Bilateral assistance, MAIN DATA'!$AO:$AO,'Share, heavy weapons to Ukraine'!AE$1)</f>
        <v>0</v>
      </c>
      <c r="AF14" s="33">
        <f>SUMIFS('Bilateral assistance, MAIN DATA'!$M:$M,'Bilateral assistance, MAIN DATA'!$B:$B,'Share, heavy weapons to Ukraine'!$A14,'Bilateral assistance, MAIN DATA'!$AO:$AO,'Share, heavy weapons to Ukraine'!AF$1)</f>
        <v>0</v>
      </c>
      <c r="AG14" s="33">
        <f>SUMIFS('Bilateral assistance, MAIN DATA'!$M:$M,'Bilateral assistance, MAIN DATA'!$B:$B,'Share, heavy weapons to Ukraine'!$A14,'Bilateral assistance, MAIN DATA'!$AO:$AO,'Share, heavy weapons to Ukraine'!AG$1)</f>
        <v>0</v>
      </c>
      <c r="AH14" s="33">
        <f>SUMIFS('Bilateral assistance, MAIN DATA'!$M:$M,'Bilateral assistance, MAIN DATA'!$B:$B,'Share, heavy weapons to Ukraine'!$A14,'Bilateral assistance, MAIN DATA'!$AO:$AO,'Share, heavy weapons to Ukraine'!AH$1)</f>
        <v>0</v>
      </c>
      <c r="AI14" s="33">
        <f t="shared" si="1"/>
        <v>0</v>
      </c>
      <c r="AJ14" s="33">
        <f>SUMIFS('Bilateral assistance, MAIN DATA'!$M:$M,'Bilateral assistance, MAIN DATA'!$B:$B,'Share, heavy weapons to Ukraine'!$A14,'Bilateral assistance, MAIN DATA'!$AO:$AO,'Share, heavy weapons to Ukraine'!AJ$1)</f>
        <v>0</v>
      </c>
      <c r="AK14" s="645">
        <f>SUMIFS('Bilateral assistance, MAIN DATA'!$M:$M,'Bilateral assistance, MAIN DATA'!$B:$B,'Share, heavy weapons to Ukraine'!$A14,'Bilateral assistance, MAIN DATA'!$AO:$AO,"122mm MLRS")+SUMIFS('Bilateral assistance, MAIN DATA'!$M:$M,'Bilateral assistance, MAIN DATA'!$B:$B,'Share, heavy weapons to Ukraine'!$A14,'Bilateral assistance, MAIN DATA'!$AO:$AO,"127mm MLRS")+SUMIFS('Bilateral assistance, MAIN DATA'!$M:$M,'Bilateral assistance, MAIN DATA'!$B:$B,'Share, heavy weapons to Ukraine'!$A14,'Bilateral assistance, MAIN DATA'!$AO:$AO,"227mm MLRS")</f>
        <v>0</v>
      </c>
      <c r="AL14" s="33">
        <f>SUMIFS('Bilateral assistance, MAIN DATA'!$M:$M,'Bilateral assistance, MAIN DATA'!$B:$B,'Share, heavy weapons to Ukraine'!$A14,'Bilateral assistance, MAIN DATA'!$AO:$AO,'Share, heavy weapons to Ukraine'!AL$1)</f>
        <v>0</v>
      </c>
      <c r="AM14" s="33">
        <f>SUMIFS('Bilateral assistance, MAIN DATA'!$M:$M,'Bilateral assistance, MAIN DATA'!$B:$B,'Share, heavy weapons to Ukraine'!$A14,'Bilateral assistance, MAIN DATA'!$AO:$AO,'Share, heavy weapons to Ukraine'!AM$1)</f>
        <v>0</v>
      </c>
      <c r="AN14" s="33">
        <f>SUMIFS('Bilateral assistance, MAIN DATA'!$M:$M,'Bilateral assistance, MAIN DATA'!$B:$B,'Share, heavy weapons to Ukraine'!$A14,'Bilateral assistance, MAIN DATA'!$AO:$AO,'Share, heavy weapons to Ukraine'!AN$1)</f>
        <v>0</v>
      </c>
      <c r="AO14" s="33">
        <f>SUMIFS('Bilateral assistance, MAIN DATA'!$M:$M,'Bilateral assistance, MAIN DATA'!$B:$B,'Share, heavy weapons to Ukraine'!$A14,'Bilateral assistance, MAIN DATA'!$AO:$AO,'Share, heavy weapons to Ukraine'!AO$1)</f>
        <v>0</v>
      </c>
      <c r="AP14" s="33">
        <f>SUMIFS('Bilateral assistance, MAIN DATA'!$M:$M,'Bilateral assistance, MAIN DATA'!$B:$B,'Share, heavy weapons to Ukraine'!$A14,'Bilateral assistance, MAIN DATA'!$AO:$AO,'Share, heavy weapons to Ukraine'!AP$1)</f>
        <v>0</v>
      </c>
      <c r="AR14" s="33">
        <f>SUMIFS('Bilateral assistance, MAIN DATA'!$N:$N,'Bilateral assistance, MAIN DATA'!$B:$B,'Share, heavy weapons to Ukraine'!$A14,'Bilateral assistance, MAIN DATA'!$AO:$AO,'Share, heavy weapons to Ukraine'!AR$1)</f>
        <v>0</v>
      </c>
      <c r="AS14" s="33">
        <f>SUMIFS('Bilateral assistance, MAIN DATA'!$N:$N,'Bilateral assistance, MAIN DATA'!$B:$B,'Share, heavy weapons to Ukraine'!$A14,'Bilateral assistance, MAIN DATA'!$AO:$AO,'Share, heavy weapons to Ukraine'!AS$1)</f>
        <v>0</v>
      </c>
      <c r="AT14" s="33">
        <f>SUMIFS('Bilateral assistance, MAIN DATA'!$N:$N,'Bilateral assistance, MAIN DATA'!$B:$B,'Share, heavy weapons to Ukraine'!$A14,'Bilateral assistance, MAIN DATA'!$AO:$AO,'Share, heavy weapons to Ukraine'!AT$1)</f>
        <v>0</v>
      </c>
      <c r="AU14" s="33">
        <f>SUMIFS('Bilateral assistance, MAIN DATA'!$N:$N,'Bilateral assistance, MAIN DATA'!$B:$B,'Share, heavy weapons to Ukraine'!$A14,'Bilateral assistance, MAIN DATA'!$AO:$AO,'Share, heavy weapons to Ukraine'!AU$1)</f>
        <v>0</v>
      </c>
      <c r="AV14" s="33">
        <f>SUMIFS('Bilateral assistance, MAIN DATA'!$N:$N,'Bilateral assistance, MAIN DATA'!$B:$B,'Share, heavy weapons to Ukraine'!$A14,'Bilateral assistance, MAIN DATA'!$AO:$AO,'Share, heavy weapons to Ukraine'!AV$1)</f>
        <v>0</v>
      </c>
      <c r="AW14" s="33">
        <f t="shared" si="2"/>
        <v>0</v>
      </c>
      <c r="AX14" s="33">
        <f>SUMIFS('Bilateral assistance, MAIN DATA'!$N:$N,'Bilateral assistance, MAIN DATA'!$B:$B,'Share, heavy weapons to Ukraine'!$A14,'Bilateral assistance, MAIN DATA'!$AO:$AO,'Share, heavy weapons to Ukraine'!AX$1)</f>
        <v>0</v>
      </c>
      <c r="AY14" s="645">
        <f>SUMIFS('Bilateral assistance, MAIN DATA'!$N:$N,'Bilateral assistance, MAIN DATA'!$B:$B,'Share, heavy weapons to Ukraine'!$A14,'Bilateral assistance, MAIN DATA'!$AO:$AO,"122mm MLRS")+SUMIFS('Bilateral assistance, MAIN DATA'!$N:$N,'Bilateral assistance, MAIN DATA'!$B:$B,'Share, heavy weapons to Ukraine'!$A14,'Bilateral assistance, MAIN DATA'!$AO:$AO,"127mm MLRS")+SUMIFS('Bilateral assistance, MAIN DATA'!$N:$N,'Bilateral assistance, MAIN DATA'!$B:$B,'Share, heavy weapons to Ukraine'!$A14,'Bilateral assistance, MAIN DATA'!$AO:$AO,"227mm MLRS")</f>
        <v>0</v>
      </c>
      <c r="AZ14" s="33">
        <f>SUMIFS('Bilateral assistance, MAIN DATA'!$N:$N,'Bilateral assistance, MAIN DATA'!$B:$B,'Share, heavy weapons to Ukraine'!$A14,'Bilateral assistance, MAIN DATA'!$AO:$AO,'Share, heavy weapons to Ukraine'!AZ$1)</f>
        <v>0</v>
      </c>
      <c r="BA14" s="33">
        <f>SUMIFS('Bilateral assistance, MAIN DATA'!$N:$N,'Bilateral assistance, MAIN DATA'!$B:$B,'Share, heavy weapons to Ukraine'!$A14,'Bilateral assistance, MAIN DATA'!$AO:$AO,'Share, heavy weapons to Ukraine'!BA$1)</f>
        <v>0</v>
      </c>
      <c r="BB14" s="33">
        <f>SUMIFS('Bilateral assistance, MAIN DATA'!$N:$N,'Bilateral assistance, MAIN DATA'!$B:$B,'Share, heavy weapons to Ukraine'!$A14,'Bilateral assistance, MAIN DATA'!$AO:$AO,'Share, heavy weapons to Ukraine'!BB$1)</f>
        <v>0</v>
      </c>
      <c r="BC14" s="33">
        <f>SUMIFS('Bilateral assistance, MAIN DATA'!$N:$N,'Bilateral assistance, MAIN DATA'!$B:$B,'Share, heavy weapons to Ukraine'!$A14,'Bilateral assistance, MAIN DATA'!$AO:$AO,'Share, heavy weapons to Ukraine'!BC$1)</f>
        <v>0</v>
      </c>
      <c r="BD14" s="33">
        <f>SUMIFS('Bilateral assistance, MAIN DATA'!$N:$N,'Bilateral assistance, MAIN DATA'!$B:$B,'Share, heavy weapons to Ukraine'!$A14,'Bilateral assistance, MAIN DATA'!$AO:$AO,'Share, heavy weapons to Ukraine'!BD$1)</f>
        <v>0</v>
      </c>
      <c r="BF14" s="33">
        <f>IF(VLOOKUP($A14,$A:F,COLUMN(F13),FALSE)&lt;&gt;0,VLOOKUP($A14,$A:AD,COLUMN(AD13),FALSE)/VLOOKUP($A14,$A:F,COLUMN(F13),FALSE),IF(VLOOKUP($A14,$A:AD,COLUMN(AD13),FALSE)&lt;&gt;0,"Strange",0))</f>
        <v>0</v>
      </c>
      <c r="BG14" s="33">
        <f>IF(VLOOKUP($A14,$A:G,COLUMN(G13),FALSE)&lt;&gt;0,VLOOKUP($A14,$A:AE,COLUMN(AE13),FALSE)/VLOOKUP($A14,$A:G,COLUMN(G13),FALSE),IF(VLOOKUP($A14,$A:AE,COLUMN(AE13),FALSE)&lt;&gt;0,"Strange",0))</f>
        <v>0</v>
      </c>
      <c r="BH14" s="33">
        <f>IF(VLOOKUP($A14,$A:H,COLUMN(H13),FALSE)&lt;&gt;0,VLOOKUP($A14,$A:AF,COLUMN(AF13),FALSE)/VLOOKUP($A14,$A:H,COLUMN(H13),FALSE),IF(VLOOKUP($A14,$A:AF,COLUMN(AF13),FALSE)&lt;&gt;0,"Strange",0))</f>
        <v>0</v>
      </c>
      <c r="BI14" s="33">
        <f>IF(VLOOKUP($A14,$A:I,COLUMN(I13),FALSE)&lt;&gt;0,VLOOKUP($A14,$A:AG,COLUMN(AG13),FALSE)/VLOOKUP($A14,$A:I,COLUMN(I13),FALSE),IF(VLOOKUP($A14,$A:AG,COLUMN(AG13),FALSE)&lt;&gt;0,"Strange",0))</f>
        <v>0</v>
      </c>
      <c r="BJ14" s="33">
        <f>IF(VLOOKUP($A14,$A:J,COLUMN(J13),FALSE)&lt;&gt;0,VLOOKUP($A14,$A:AH,COLUMN(AH13),FALSE)/VLOOKUP($A14,$A:J,COLUMN(J13),FALSE),IF(VLOOKUP($A14,$A:AH,COLUMN(AH13),FALSE)&lt;&gt;0,"Strange",0))</f>
        <v>0</v>
      </c>
      <c r="BK14" s="33">
        <f>IF(VLOOKUP($A14,$A:K,COLUMN(K13),FALSE)&lt;&gt;0,VLOOKUP($A14,$A:AI,COLUMN(AI13),FALSE)/VLOOKUP($A14,$A:K,COLUMN(K13),FALSE),IF(VLOOKUP($A14,$A:AI,COLUMN(AI13),FALSE)&lt;&gt;0,"Strange",0))</f>
        <v>0</v>
      </c>
      <c r="BL14" s="33">
        <f>IF(VLOOKUP($A14,$A:L,COLUMN(L13),FALSE)&lt;&gt;0,VLOOKUP($A14,$A:AJ,COLUMN(AJ13),FALSE)/VLOOKUP($A14,$A:L,COLUMN(L13),FALSE),IF(VLOOKUP($A14,$A:AJ,COLUMN(AJ13),FALSE)&lt;&gt;0,"Strange",0))</f>
        <v>0</v>
      </c>
      <c r="BM14" s="33">
        <f>IF(VLOOKUP($A14,$A:M,COLUMN(M13),FALSE)&lt;&gt;0,VLOOKUP($A14,$A:AK,COLUMN(AK13),FALSE)/VLOOKUP($A14,$A:M,COLUMN(M13),FALSE),IF(VLOOKUP($A14,$A:AK,COLUMN(AK13),FALSE)&lt;&gt;0,"Strange",0))</f>
        <v>0</v>
      </c>
      <c r="BN14" s="33">
        <f>IF(VLOOKUP($A14,$A:N,COLUMN(N13),FALSE)&lt;&gt;0,VLOOKUP($A14,$A:AL,COLUMN(AL13),FALSE)/VLOOKUP($A14,$A:N,COLUMN(N13),FALSE),IF(VLOOKUP($A14,$A:AL,COLUMN(AL13),FALSE)&lt;&gt;0,"Strange",0))</f>
        <v>0</v>
      </c>
      <c r="BO14" s="33">
        <f>IF(VLOOKUP($A14,$A:Q,COLUMN(Q13),FALSE)&lt;&gt;0,VLOOKUP($A14,$A:AM,COLUMN(AM13),FALSE)/VLOOKUP($A14,$A:Q,COLUMN(Q13),FALSE),IF(VLOOKUP($A14,$A:AM,COLUMN(AM13),FALSE)&lt;&gt;0,"Strange",0))</f>
        <v>0</v>
      </c>
      <c r="BP14" s="33">
        <f>IF(VLOOKUP($A14,$A:R,COLUMN(R13),FALSE)&lt;&gt;0,VLOOKUP($A14,$A:AN,COLUMN(AN13),FALSE)/VLOOKUP($A14,$A:R,COLUMN(R13),FALSE),IF(VLOOKUP($A14,$A:AN,COLUMN(AN13),FALSE)&lt;&gt;0,"Strange",0))</f>
        <v>0</v>
      </c>
      <c r="BQ14" s="33">
        <f>IF(VLOOKUP($A14,$A:S,COLUMN(S13),FALSE)&lt;&gt;0,VLOOKUP($A14,$A:AO,COLUMN(AO13),FALSE)/VLOOKUP($A14,$A:S,COLUMN(S13),FALSE),IF(VLOOKUP($A14,$A:AO,COLUMN(AO13),FALSE)&lt;&gt;0,"Strange",0))</f>
        <v>0</v>
      </c>
      <c r="BR14" s="33">
        <f>IF(VLOOKUP($A14,$A:T,COLUMN(T13),FALSE)&lt;&gt;0,VLOOKUP($A14,$A:AP,COLUMN(AP13),FALSE)/VLOOKUP($A14,$A:T,COLUMN(T13),FALSE),IF(VLOOKUP($A14,$A:AP,COLUMN(AP13),FALSE)&lt;&gt;0,"Strange",0))</f>
        <v>0</v>
      </c>
      <c r="BT14" s="33">
        <f>IF(VLOOKUP($A14,$A:AE,COLUMN(F13),FALSE)&lt;&gt;0,VLOOKUP($A14,$A:AS,COLUMN(AR13),FALSE)/VLOOKUP($A14,$A:AE,COLUMN(F13),FALSE),IF(VLOOKUP($A14,$A:AS,COLUMN(AR13),FALSE)&lt;&gt;0,"Strange",0))</f>
        <v>0</v>
      </c>
      <c r="BU14" s="33">
        <f>IF(VLOOKUP($A14,$A:AF,COLUMN(G13),FALSE)&lt;&gt;0,VLOOKUP($A14,$A:AT,COLUMN(AS13),FALSE)/VLOOKUP($A14,$A:AF,COLUMN(G13),FALSE),IF(VLOOKUP($A14,$A:AT,COLUMN(AS13),FALSE)&lt;&gt;0,"Strange",0))</f>
        <v>0</v>
      </c>
      <c r="BV14" s="33">
        <f>IF(VLOOKUP($A14,$A:AG,COLUMN(H13),FALSE)&lt;&gt;0,VLOOKUP($A14,$A:AU,COLUMN(AT13),FALSE)/VLOOKUP($A14,$A:AG,COLUMN(H13),FALSE),IF(VLOOKUP($A14,$A:AU,COLUMN(AT13),FALSE)&lt;&gt;0,"Strange",0))</f>
        <v>0</v>
      </c>
      <c r="BW14" s="33">
        <f>IF(VLOOKUP($A14,$A:AH,COLUMN(I13),FALSE)&lt;&gt;0,VLOOKUP($A14,$A:AV,COLUMN(AU13),FALSE)/VLOOKUP($A14,$A:AH,COLUMN(I13),FALSE),IF(VLOOKUP($A14,$A:AV,COLUMN(AU13),FALSE)&lt;&gt;0,"Strange",0))</f>
        <v>0</v>
      </c>
      <c r="BX14" s="33">
        <f>IF(VLOOKUP($A14,$A:AJ,COLUMN(J13),FALSE)&lt;&gt;0,VLOOKUP($A14,$A:AX,COLUMN(AV13),FALSE)/VLOOKUP($A14,$A:AJ,COLUMN(J13),FALSE),IF(VLOOKUP($A14,$A:AX,COLUMN(AV13),FALSE)&lt;&gt;0,"Strange",0))</f>
        <v>0</v>
      </c>
      <c r="BY14" s="33">
        <f>IF(VLOOKUP($A14,$A:AK,COLUMN(K13),FALSE)&lt;&gt;0,VLOOKUP($A14,$A:AY,COLUMN(AW13),FALSE)/VLOOKUP($A14,$A:AK,COLUMN(K13),FALSE),IF(VLOOKUP($A14,$A:AY,COLUMN(AW13),FALSE)&lt;&gt;0,"Strange",0))</f>
        <v>0</v>
      </c>
      <c r="BZ14" s="33">
        <f>IF(VLOOKUP($A14,$A:AK,COLUMN(L13),FALSE)&lt;&gt;0,VLOOKUP($A14,$A:AY,COLUMN(AX13),FALSE)/VLOOKUP($A14,$A:AK,COLUMN(L13),FALSE),IF(VLOOKUP($A14,$A:AY,COLUMN(AX13),FALSE)&lt;&gt;0,"Strange",0))</f>
        <v>0</v>
      </c>
      <c r="CA14" s="33">
        <f>IF(VLOOKUP($A14,$A:AL,COLUMN(M13),FALSE)&lt;&gt;0,VLOOKUP($A14,$A:AZ,COLUMN(AY13),FALSE)/VLOOKUP($A14,$A:AL,COLUMN(M13),FALSE),IF(VLOOKUP($A14,$A:AZ,COLUMN(AY13),FALSE)&lt;&gt;0,"Strange",0))</f>
        <v>0</v>
      </c>
      <c r="CB14" s="33">
        <f>IF(VLOOKUP($A14,$A:AL,COLUMN(N13),FALSE)&lt;&gt;0,VLOOKUP($A14,$A:AZ,COLUMN(AZ13),FALSE)/VLOOKUP($A14,$A:AL,COLUMN(N13),FALSE),IF(VLOOKUP($A14,$A:AZ,COLUMN(AZ13),FALSE)&lt;&gt;0,"Strange",0))</f>
        <v>0</v>
      </c>
      <c r="CC14" s="33">
        <f>IF(VLOOKUP($A14,$A:AM,COLUMN(Q13),FALSE)&lt;&gt;0,VLOOKUP($A14,$A:BA,COLUMN(BA13),FALSE)/VLOOKUP($A14,$A:AM,COLUMN(Q13),FALSE),IF(VLOOKUP($A14,$A:BA,COLUMN(BA13),FALSE)&lt;&gt;0,"Strange",0))</f>
        <v>0</v>
      </c>
      <c r="CD14" s="33">
        <f>IF(VLOOKUP($A14,$A:AN,COLUMN(R13),FALSE)&lt;&gt;0,VLOOKUP($A14,$A:BB,COLUMN(BB13),FALSE)/VLOOKUP($A14,$A:AN,COLUMN(R13),FALSE),IF(VLOOKUP($A14,$A:BB,COLUMN(BB13),FALSE)&lt;&gt;0,"Strange",0))</f>
        <v>0</v>
      </c>
      <c r="CE14" s="33">
        <f>IF(VLOOKUP($A14,$A:AO,COLUMN(S13),FALSE)&lt;&gt;0,VLOOKUP($A14,$A:BC,COLUMN(BC13),FALSE)/VLOOKUP($A14,$A:AO,COLUMN(S13),FALSE),IF(VLOOKUP($A14,$A:BC,COLUMN(BC13),FALSE)&lt;&gt;0,"Strange",0))</f>
        <v>0</v>
      </c>
      <c r="CF14" s="33">
        <f>IF(VLOOKUP($A14,$A:AP,COLUMN(T13),FALSE)&lt;&gt;0,VLOOKUP($A14,$A:BD,COLUMN(BD13),FALSE)/VLOOKUP($A14,$A:AP,COLUMN(T13),FALSE),IF(VLOOKUP($A14,$A:BD,COLUMN(BD13),FALSE)&lt;&gt;0,"Strange",0))</f>
        <v>0</v>
      </c>
      <c r="CH14" s="33">
        <f>SUMIFS('Bilateral assistance, MAIN DATA'!$M:$M,'Bilateral assistance, MAIN DATA'!$B:$B,'Share, heavy weapons to Ukraine'!$A14,'Bilateral assistance, MAIN DATA'!$AO:$AO,'Share, heavy weapons to Ukraine'!CH$1,'Bilateral assistance, MAIN DATA'!$AQ:$AQ,2)</f>
        <v>0</v>
      </c>
      <c r="CI14" s="33">
        <f>SUMIFS('Bilateral assistance, MAIN DATA'!$M:$M,'Bilateral assistance, MAIN DATA'!$B:$B,'Share, heavy weapons to Ukraine'!$A14,'Bilateral assistance, MAIN DATA'!$AO:$AO,'Share, heavy weapons to Ukraine'!CI$1,'Bilateral assistance, MAIN DATA'!$AQ:$AQ,2)</f>
        <v>0</v>
      </c>
      <c r="CJ14" s="645">
        <f>SUMIFS('Bilateral assistance, MAIN DATA'!$M:$M,'Bilateral assistance, MAIN DATA'!$B:$B,'Share, heavy weapons to Ukraine'!$A14,'Bilateral assistance, MAIN DATA'!$AO:$AO,"122mm MLRS",'Bilateral assistance, MAIN DATA'!$AQ:$AQ,2)+SUMIFS('Bilateral assistance, MAIN DATA'!$M:$M,'Bilateral assistance, MAIN DATA'!$B:$B,'Share, heavy weapons to Ukraine'!$A14,'Bilateral assistance, MAIN DATA'!$AO:$AO,"127mm MLRS",'Bilateral assistance, MAIN DATA'!$AQ:$AQ,2)+SUMIFS('Bilateral assistance, MAIN DATA'!$M:$M,'Bilateral assistance, MAIN DATA'!$B:$B,'Share, heavy weapons to Ukraine'!$A14,'Bilateral assistance, MAIN DATA'!$AO:$AO,"227mm MLRS",'Bilateral assistance, MAIN DATA'!$AQ:$AQ,2)</f>
        <v>0</v>
      </c>
      <c r="CL14" s="33">
        <f>SUMIFS('Bilateral assistance, MAIN DATA'!$M:$M,'Bilateral assistance, MAIN DATA'!$B:$B,'Share, heavy weapons to Ukraine'!$A14,'Bilateral assistance, MAIN DATA'!$AO:$AO,'Share, heavy weapons to Ukraine'!CH$1,'Bilateral assistance, MAIN DATA'!$AQ:$AQ,1)</f>
        <v>0</v>
      </c>
      <c r="CM14" s="33">
        <f>SUMIFS('Bilateral assistance, MAIN DATA'!$M:$M,'Bilateral assistance, MAIN DATA'!$B:$B,'Share, heavy weapons to Ukraine'!$A14,'Bilateral assistance, MAIN DATA'!$AO:$AO,'Share, heavy weapons to Ukraine'!CI$1,'Bilateral assistance, MAIN DATA'!$AQ:$AQ,1)</f>
        <v>0</v>
      </c>
      <c r="CN14" s="645">
        <f>SUMIFS('Bilateral assistance, MAIN DATA'!$M:$M,'Bilateral assistance, MAIN DATA'!$B:$B,'Share, heavy weapons to Ukraine'!$A14,'Bilateral assistance, MAIN DATA'!$AO:$AO,"122mm MLRS",'Bilateral assistance, MAIN DATA'!$AQ:$AQ,1)+SUMIFS('Bilateral assistance, MAIN DATA'!$M:$M,'Bilateral assistance, MAIN DATA'!$B:$B,'Share, heavy weapons to Ukraine'!$A14,'Bilateral assistance, MAIN DATA'!$AO:$AO,"127mm MLRS",'Bilateral assistance, MAIN DATA'!$AQ:$AQ,1)+SUMIFS('Bilateral assistance, MAIN DATA'!$M:$M,'Bilateral assistance, MAIN DATA'!$B:$B,'Share, heavy weapons to Ukraine'!$A14,'Bilateral assistance, MAIN DATA'!$AO:$AO,"227mm MLRS",'Bilateral assistance, MAIN DATA'!$AQ:$AQ,1)</f>
        <v>0</v>
      </c>
      <c r="CP14" s="33">
        <f>SUMIFS('Bilateral assistance, MAIN DATA'!$M:$M,'Bilateral assistance, MAIN DATA'!$B:$B,'Share, heavy weapons to Ukraine'!$A14,'Bilateral assistance, MAIN DATA'!$AO:$AO,'Share, heavy weapons to Ukraine'!CP$1,'Bilateral assistance, MAIN DATA'!$AQ:$AQ,0)</f>
        <v>0</v>
      </c>
      <c r="CQ14" s="33">
        <f>SUMIFS('Bilateral assistance, MAIN DATA'!$M:$M,'Bilateral assistance, MAIN DATA'!$B:$B,'Share, heavy weapons to Ukraine'!$A14,'Bilateral assistance, MAIN DATA'!$AO:$AO,'Share, heavy weapons to Ukraine'!CQ$1,'Bilateral assistance, MAIN DATA'!$AQ:$AQ,0)</f>
        <v>0</v>
      </c>
      <c r="CR14" s="645">
        <f>SUMIFS('Bilateral assistance, MAIN DATA'!$M:$M,'Bilateral assistance, MAIN DATA'!$B:$B,'Share, heavy weapons to Ukraine'!$A14,'Bilateral assistance, MAIN DATA'!$AO:$AO,"122mm MLRS",'Bilateral assistance, MAIN DATA'!$AQ:$AQ,0)+SUMIFS('Bilateral assistance, MAIN DATA'!$M:$M,'Bilateral assistance, MAIN DATA'!$B:$B,'Share, heavy weapons to Ukraine'!$A14,'Bilateral assistance, MAIN DATA'!$AO:$AO,"127mm MLRS",'Bilateral assistance, MAIN DATA'!$AQ:$AQ,0)+SUMIFS('Bilateral assistance, MAIN DATA'!$M:$M,'Bilateral assistance, MAIN DATA'!$B:$B,'Share, heavy weapons to Ukraine'!$A14,'Bilateral assistance, MAIN DATA'!$AO:$AO,"227mm MLRS",'Bilateral assistance, MAIN DATA'!$AQ:$AQ,0)</f>
        <v>0</v>
      </c>
      <c r="CT14" s="33">
        <f>IF(VLOOKUP($A14,$A:CS,COLUMN(F13),FALSE)&lt;&gt;0,VLOOKUP($A14,$A:CS,COLUMN(CH13),FALSE)/VLOOKUP($A14,$A:AU,COLUMN(F13),FALSE),IF(VLOOKUP($A14,$A:CS,COLUMN(CH13),FALSE)&lt;&gt;0,"Strange",0))</f>
        <v>0</v>
      </c>
      <c r="CU14" s="33">
        <f>IF(VLOOKUP($A14,$A:CS,COLUMN(L13),FALSE)&lt;&gt;0,VLOOKUP($A14,$A:CS,COLUMN(CI13),FALSE)/VLOOKUP($A14,$A:AU,COLUMN(L13),FALSE),IF(VLOOKUP($A14,$A:CS,COLUMN(CI13),FALSE)&lt;&gt;0,"Strange",0))</f>
        <v>0</v>
      </c>
      <c r="CV14" s="33">
        <f>IF(VLOOKUP($A14,$A:CT,COLUMN(M13),FALSE)&lt;&gt;0,VLOOKUP($A14,$A:CT,COLUMN(CJ13),FALSE)/VLOOKUP($A14,$A:AV,COLUMN(M13),FALSE),IF(VLOOKUP($A14,$A:CT,COLUMN(CJ13),FALSE)&lt;&gt;0,"Strange",0))</f>
        <v>0</v>
      </c>
      <c r="CX14" s="33">
        <f>IF(VLOOKUP($A14,$A:CS,COLUMN(F13),FALSE)&lt;&gt;0,VLOOKUP($A14,$A:CS,COLUMN(CL13),FALSE)/VLOOKUP($A14,$A:AU,COLUMN(F13),FALSE),IF(VLOOKUP($A14,$A:CS,COLUMN(CL13),FALSE)&lt;&gt;0,"Strange",0))</f>
        <v>0</v>
      </c>
      <c r="CY14" s="33">
        <f>IF(VLOOKUP($A14,$A:CS,COLUMN(L13),FALSE)&lt;&gt;0,VLOOKUP($A14,$A:CS,COLUMN(CM13),FALSE)/VLOOKUP($A14,$A:AU,COLUMN(L13),FALSE),IF(VLOOKUP($A14,$A:CS,COLUMN(CM13),FALSE)&lt;&gt;0,"Strange",0))</f>
        <v>0</v>
      </c>
      <c r="CZ14" s="33">
        <f>IF(VLOOKUP($A14,$A:CT,COLUMN(M13),FALSE)&lt;&gt;0,VLOOKUP($A14,$A:CT,COLUMN(CN13),FALSE)/VLOOKUP($A14,$A:AV,COLUMN(M13),FALSE),IF(VLOOKUP($A14,$A:CT,COLUMN(CN13),FALSE)&lt;&gt;0,"Strange",0))</f>
        <v>0</v>
      </c>
      <c r="DB14" s="33">
        <f>IF(VLOOKUP($A14,$A:CS,COLUMN(F13),FALSE)&lt;&gt;0,VLOOKUP($A14,$A:CS,COLUMN(CP13),FALSE)/VLOOKUP($A14,$A:AU,COLUMN(F13),FALSE),IF(VLOOKUP($A14,$A:CS,COLUMN(CP13),FALSE)&lt;&gt;0,"Strange",0))</f>
        <v>0</v>
      </c>
      <c r="DC14" s="33">
        <f>IF(VLOOKUP($A14,$A:CS,COLUMN(L13),FALSE)&lt;&gt;0,VLOOKUP($A14,$A:CS,COLUMN(CQ13),FALSE)/VLOOKUP($A14,$A:AU,COLUMN(L13),FALSE),IF(VLOOKUP($A14,$A:CS,COLUMN(CQ13),FALSE)&lt;&gt;0,"Strange",0))</f>
        <v>0</v>
      </c>
      <c r="DD14" s="33">
        <f>IF(VLOOKUP($A14,$A:CT,COLUMN(M13),FALSE)&lt;&gt;0,VLOOKUP($A14,$A:CT,COLUMN(CR13),FALSE)/VLOOKUP($A14,$A:AV,COLUMN(M13),FALSE),IF(VLOOKUP($A14,$A:CT,COLUMN(CR13),FALSE)&lt;&gt;0,"Strange",0))</f>
        <v>0</v>
      </c>
      <c r="DF14" s="33">
        <f>SUMIFS('Bilateral assistance, MAIN DATA'!$M:$M,'Bilateral assistance, MAIN DATA'!$B:$B,'Share, heavy weapons to Ukraine'!$A14,'Bilateral assistance, MAIN DATA'!$AO:$AO,'Share, heavy weapons to Ukraine'!DF$1, 'Bilateral assistance, MAIN DATA'!$AA:$AA,1)</f>
        <v>0</v>
      </c>
      <c r="DG14" s="33">
        <f>SUMIFS('Bilateral assistance, MAIN DATA'!$M:$M,'Bilateral assistance, MAIN DATA'!$B:$B,'Share, heavy weapons to Ukraine'!$A14,'Bilateral assistance, MAIN DATA'!$AO:$AO,'Share, heavy weapons to Ukraine'!DG$1, 'Bilateral assistance, MAIN DATA'!$AA:$AA,1)</f>
        <v>0</v>
      </c>
      <c r="DH14" s="33">
        <f>SUMIFS('Bilateral assistance, MAIN DATA'!$M:$M,'Bilateral assistance, MAIN DATA'!$B:$B,'Share, heavy weapons to Ukraine'!$A14,'Bilateral assistance, MAIN DATA'!$AO:$AO,'Share, heavy weapons to Ukraine'!DH$1, 'Bilateral assistance, MAIN DATA'!$AA:$AA,1)</f>
        <v>0</v>
      </c>
      <c r="DI14" s="33">
        <f>SUMIFS('Bilateral assistance, MAIN DATA'!$M:$M,'Bilateral assistance, MAIN DATA'!$B:$B,'Share, heavy weapons to Ukraine'!$A14,'Bilateral assistance, MAIN DATA'!$AO:$AO,'Share, heavy weapons to Ukraine'!DI$1, 'Bilateral assistance, MAIN DATA'!$AA:$AA,1)</f>
        <v>0</v>
      </c>
      <c r="DK14" s="33">
        <f>SUMIFS('Bilateral assistance, MAIN DATA'!$N:$N,'Bilateral assistance, MAIN DATA'!$B:$B,'Share, heavy weapons to Ukraine'!$A14,'Bilateral assistance, MAIN DATA'!$AO:$AO,'Share, heavy weapons to Ukraine'!DK$1, 'Bilateral assistance, MAIN DATA'!$AA:$AA,1)</f>
        <v>0</v>
      </c>
      <c r="DL14" s="33">
        <f>SUMIFS('Bilateral assistance, MAIN DATA'!$N:$N,'Bilateral assistance, MAIN DATA'!$B:$B,'Share, heavy weapons to Ukraine'!$A14,'Bilateral assistance, MAIN DATA'!$AO:$AO,'Share, heavy weapons to Ukraine'!DL$1, 'Bilateral assistance, MAIN DATA'!$AA:$AA,1)</f>
        <v>0</v>
      </c>
      <c r="DM14" s="33">
        <f>SUMIFS('Bilateral assistance, MAIN DATA'!$N:$N,'Bilateral assistance, MAIN DATA'!$B:$B,'Share, heavy weapons to Ukraine'!$A14,'Bilateral assistance, MAIN DATA'!$AO:$AO,'Share, heavy weapons to Ukraine'!DM$1, 'Bilateral assistance, MAIN DATA'!$AA:$AA,1)</f>
        <v>0</v>
      </c>
      <c r="DN14" s="33">
        <f>SUMIFS('Bilateral assistance, MAIN DATA'!$N:$N,'Bilateral assistance, MAIN DATA'!$B:$B,'Share, heavy weapons to Ukraine'!$A14,'Bilateral assistance, MAIN DATA'!$AO:$AO,'Share, heavy weapons to Ukraine'!DN$1, 'Bilateral assistance, MAIN DATA'!$AA:$AA,1)</f>
        <v>0</v>
      </c>
    </row>
    <row r="15" spans="1:118">
      <c r="A15" s="801" t="s">
        <v>1294</v>
      </c>
      <c r="B15" s="801">
        <v>0</v>
      </c>
      <c r="C15" s="33">
        <v>1</v>
      </c>
      <c r="E15" s="802">
        <v>7.73</v>
      </c>
      <c r="F15" s="801">
        <f>VLOOKUP(A15,'Heavy weapon stocks'!A:OH,COLUMN('Heavy weapon stocks'!$G$1),0)</f>
        <v>1228</v>
      </c>
      <c r="G15" s="801">
        <f>VLOOKUP(A15,'Heavy weapon stocks'!A:OH,COLUMN('Heavy weapon stocks'!$AW$1),0)</f>
        <v>2130</v>
      </c>
      <c r="H15" s="801">
        <f>VLOOKUP(A15,'Heavy weapon stocks'!A:OH,COLUMN('Heavy weapon stocks'!$DQ$1),0)</f>
        <v>0</v>
      </c>
      <c r="I15" s="801">
        <f>VLOOKUP(A15,'Heavy weapon stocks'!A:OH,COLUMN('Heavy weapon stocks'!$EE$1),0)</f>
        <v>0</v>
      </c>
      <c r="J15" s="801">
        <f>VLOOKUP(A15,'Heavy weapon stocks'!A:OH,COLUMN('Heavy weapon stocks'!$FG$1),0)</f>
        <v>169</v>
      </c>
      <c r="K15" s="801">
        <f t="shared" si="3"/>
        <v>2299</v>
      </c>
      <c r="L15" s="801">
        <f>VLOOKUP(A15,'Heavy weapon stocks'!A:OH,COLUMN('Heavy weapon stocks'!$HC$1),0)+VLOOKUP(A15,'Heavy weapon stocks'!A:OH,COLUMN('Heavy weapon stocks'!$II$1),0)</f>
        <v>672</v>
      </c>
      <c r="M15" s="801">
        <f>VLOOKUP(A15,'Heavy weapon stocks'!A:OH,COLUMN('Heavy weapon stocks'!$IN$1),0)</f>
        <v>145</v>
      </c>
      <c r="N15" s="801">
        <f>VLOOKUP(A15,'Heavy weapon stocks'!A:OH,COLUMN('Heavy weapon stocks'!$JH$1),0)+VLOOKUP(A15,'Heavy weapon stocks'!A:OH,COLUMN('Heavy weapon stocks'!$KE$1),0)</f>
        <v>0</v>
      </c>
      <c r="O15" s="801">
        <f>VLOOKUP(A15,'Heavy weapon stocks'!A:OH,COLUMN('Heavy weapon stocks'!$LU$1),0)</f>
        <v>0</v>
      </c>
      <c r="Q15" s="801">
        <f>VLOOKUP(A15,'Heavy weapon stocks'!A:OH,COLUMN('Heavy weapon stocks'!$LV$1),0)</f>
        <v>48</v>
      </c>
      <c r="R15" s="801">
        <f>VLOOKUP(A15,'Heavy weapon stocks'!A:OH,COLUMN('Heavy weapon stocks'!$MF$1),0)</f>
        <v>42</v>
      </c>
      <c r="S15" s="801">
        <f>VLOOKUP(A15,'Heavy weapon stocks'!A:OH,COLUMN('Heavy weapon stocks'!$MM$1),0)</f>
        <v>34</v>
      </c>
      <c r="T15" s="801">
        <f>VLOOKUP(A15,'Heavy weapon stocks'!A:OH,COLUMN('Heavy weapon stocks'!$NR$1),0)</f>
        <v>112</v>
      </c>
      <c r="V15" s="801">
        <f>VLOOKUP(A15,'Heavy weapon stocks'!A:OH,COLUMN('Heavy weapon stocks'!$H$1),0)</f>
        <v>183</v>
      </c>
      <c r="W15" s="801">
        <f>VLOOKUP(A15,'Heavy weapon stocks'!A:OH,COLUMN('Heavy weapon stocks'!$DQ$1),0)</f>
        <v>0</v>
      </c>
      <c r="X15" s="801">
        <f>VLOOKUP(A15,'Heavy weapon stocks'!A:OH,COLUMN('Heavy weapon stocks'!$FG$1),0)</f>
        <v>169</v>
      </c>
      <c r="Y15" s="801">
        <f>VLOOKUP(A15,'Heavy weapon stocks'!A:OH,COLUMN('Heavy weapon stocks'!$HC$1),0)+VLOOKUP(A15,'Heavy weapon stocks'!A:OH,COLUMN('Heavy weapon stocks'!$II$1),0)</f>
        <v>672</v>
      </c>
      <c r="Z15" s="801">
        <f>VLOOKUP(A15,'Heavy weapon stocks'!A:OH,COLUMN('Heavy weapon stocks'!$IO$1),0)+VLOOKUP(A15,'Heavy weapon stocks'!A:OH,COLUMN('Heavy weapon stocks'!$IP$1),0)+VLOOKUP(A15,'Heavy weapon stocks'!A:OH,COLUMN('Heavy weapon stocks'!$IU$1),0)</f>
        <v>36</v>
      </c>
      <c r="AA15" s="801">
        <f>VLOOKUP(A15,'Heavy weapon stocks'!A:OH,COLUMN('Heavy weapon stocks'!$MI$1),0)</f>
        <v>0</v>
      </c>
      <c r="AB15" s="801">
        <f>VLOOKUP(A15,'Heavy weapon stocks'!A:OH,COLUMN('Heavy weapon stocks'!$MS$1),0)+VLOOKUP(A15,'Heavy weapon stocks'!A:OH,COLUMN('Heavy weapon stocks'!$MT$1),0)+VLOOKUP(A15,'Heavy weapon stocks'!A:OH,COLUMN('Heavy weapon stocks'!$MU$1),0)+VLOOKUP(A15,'Heavy weapon stocks'!A:OH,COLUMN('Heavy weapon stocks'!$MV$1),0)</f>
        <v>0</v>
      </c>
      <c r="AD15" s="33">
        <f>SUMIFS('Bilateral assistance, MAIN DATA'!$M:$M,'Bilateral assistance, MAIN DATA'!$B:$B,'Share, heavy weapons to Ukraine'!$A15,'Bilateral assistance, MAIN DATA'!$AO:$AO,'Share, heavy weapons to Ukraine'!AD$1)</f>
        <v>0</v>
      </c>
      <c r="AE15" s="33">
        <f>SUMIFS('Bilateral assistance, MAIN DATA'!$M:$M,'Bilateral assistance, MAIN DATA'!$B:$B,'Share, heavy weapons to Ukraine'!$A15,'Bilateral assistance, MAIN DATA'!$AO:$AO,'Share, heavy weapons to Ukraine'!AE$1)</f>
        <v>0</v>
      </c>
      <c r="AF15" s="33">
        <f>SUMIFS('Bilateral assistance, MAIN DATA'!$M:$M,'Bilateral assistance, MAIN DATA'!$B:$B,'Share, heavy weapons to Ukraine'!$A15,'Bilateral assistance, MAIN DATA'!$AO:$AO,'Share, heavy weapons to Ukraine'!AF$1)</f>
        <v>0</v>
      </c>
      <c r="AG15" s="33">
        <f>SUMIFS('Bilateral assistance, MAIN DATA'!$M:$M,'Bilateral assistance, MAIN DATA'!$B:$B,'Share, heavy weapons to Ukraine'!$A15,'Bilateral assistance, MAIN DATA'!$AO:$AO,'Share, heavy weapons to Ukraine'!AG$1)</f>
        <v>0</v>
      </c>
      <c r="AH15" s="33">
        <f>SUMIFS('Bilateral assistance, MAIN DATA'!$M:$M,'Bilateral assistance, MAIN DATA'!$B:$B,'Share, heavy weapons to Ukraine'!$A15,'Bilateral assistance, MAIN DATA'!$AO:$AO,'Share, heavy weapons to Ukraine'!AH$1)</f>
        <v>40</v>
      </c>
      <c r="AI15" s="33">
        <f t="shared" si="1"/>
        <v>40</v>
      </c>
      <c r="AJ15" s="33">
        <f>SUMIFS('Bilateral assistance, MAIN DATA'!$M:$M,'Bilateral assistance, MAIN DATA'!$B:$B,'Share, heavy weapons to Ukraine'!$A15,'Bilateral assistance, MAIN DATA'!$AO:$AO,'Share, heavy weapons to Ukraine'!AJ$1)</f>
        <v>0</v>
      </c>
      <c r="AK15" s="645">
        <f>SUMIFS('Bilateral assistance, MAIN DATA'!$M:$M,'Bilateral assistance, MAIN DATA'!$B:$B,'Share, heavy weapons to Ukraine'!$A15,'Bilateral assistance, MAIN DATA'!$AO:$AO,"122mm MLRS")+SUMIFS('Bilateral assistance, MAIN DATA'!$M:$M,'Bilateral assistance, MAIN DATA'!$B:$B,'Share, heavy weapons to Ukraine'!$A15,'Bilateral assistance, MAIN DATA'!$AO:$AO,"127mm MLRS")+SUMIFS('Bilateral assistance, MAIN DATA'!$M:$M,'Bilateral assistance, MAIN DATA'!$B:$B,'Share, heavy weapons to Ukraine'!$A15,'Bilateral assistance, MAIN DATA'!$AO:$AO,"227mm MLRS")</f>
        <v>0</v>
      </c>
      <c r="AL15" s="33">
        <f>SUMIFS('Bilateral assistance, MAIN DATA'!$M:$M,'Bilateral assistance, MAIN DATA'!$B:$B,'Share, heavy weapons to Ukraine'!$A15,'Bilateral assistance, MAIN DATA'!$AO:$AO,'Share, heavy weapons to Ukraine'!AL$1)</f>
        <v>0</v>
      </c>
      <c r="AM15" s="33">
        <f>SUMIFS('Bilateral assistance, MAIN DATA'!$M:$M,'Bilateral assistance, MAIN DATA'!$B:$B,'Share, heavy weapons to Ukraine'!$A15,'Bilateral assistance, MAIN DATA'!$AO:$AO,'Share, heavy weapons to Ukraine'!AM$1)</f>
        <v>0</v>
      </c>
      <c r="AN15" s="33">
        <f>SUMIFS('Bilateral assistance, MAIN DATA'!$M:$M,'Bilateral assistance, MAIN DATA'!$B:$B,'Share, heavy weapons to Ukraine'!$A15,'Bilateral assistance, MAIN DATA'!$AO:$AO,'Share, heavy weapons to Ukraine'!AN$1)</f>
        <v>0</v>
      </c>
      <c r="AO15" s="33">
        <f>SUMIFS('Bilateral assistance, MAIN DATA'!$M:$M,'Bilateral assistance, MAIN DATA'!$B:$B,'Share, heavy weapons to Ukraine'!$A15,'Bilateral assistance, MAIN DATA'!$AO:$AO,'Share, heavy weapons to Ukraine'!AO$1)</f>
        <v>0</v>
      </c>
      <c r="AP15" s="33">
        <f>SUMIFS('Bilateral assistance, MAIN DATA'!$M:$M,'Bilateral assistance, MAIN DATA'!$B:$B,'Share, heavy weapons to Ukraine'!$A15,'Bilateral assistance, MAIN DATA'!$AO:$AO,'Share, heavy weapons to Ukraine'!AP$1)</f>
        <v>0</v>
      </c>
      <c r="AR15" s="33">
        <f>SUMIFS('Bilateral assistance, MAIN DATA'!$N:$N,'Bilateral assistance, MAIN DATA'!$B:$B,'Share, heavy weapons to Ukraine'!$A15,'Bilateral assistance, MAIN DATA'!$AO:$AO,'Share, heavy weapons to Ukraine'!AR$1)</f>
        <v>0</v>
      </c>
      <c r="AS15" s="33">
        <f>SUMIFS('Bilateral assistance, MAIN DATA'!$N:$N,'Bilateral assistance, MAIN DATA'!$B:$B,'Share, heavy weapons to Ukraine'!$A15,'Bilateral assistance, MAIN DATA'!$AO:$AO,'Share, heavy weapons to Ukraine'!AS$1)</f>
        <v>0</v>
      </c>
      <c r="AT15" s="33">
        <f>SUMIFS('Bilateral assistance, MAIN DATA'!$N:$N,'Bilateral assistance, MAIN DATA'!$B:$B,'Share, heavy weapons to Ukraine'!$A15,'Bilateral assistance, MAIN DATA'!$AO:$AO,'Share, heavy weapons to Ukraine'!AT$1)</f>
        <v>0</v>
      </c>
      <c r="AU15" s="33">
        <f>SUMIFS('Bilateral assistance, MAIN DATA'!$N:$N,'Bilateral assistance, MAIN DATA'!$B:$B,'Share, heavy weapons to Ukraine'!$A15,'Bilateral assistance, MAIN DATA'!$AO:$AO,'Share, heavy weapons to Ukraine'!AU$1)</f>
        <v>0</v>
      </c>
      <c r="AV15" s="33">
        <f>SUMIFS('Bilateral assistance, MAIN DATA'!$N:$N,'Bilateral assistance, MAIN DATA'!$B:$B,'Share, heavy weapons to Ukraine'!$A15,'Bilateral assistance, MAIN DATA'!$AO:$AO,'Share, heavy weapons to Ukraine'!AV$1)</f>
        <v>40</v>
      </c>
      <c r="AW15" s="33">
        <f t="shared" si="2"/>
        <v>40</v>
      </c>
      <c r="AX15" s="33">
        <f>SUMIFS('Bilateral assistance, MAIN DATA'!$N:$N,'Bilateral assistance, MAIN DATA'!$B:$B,'Share, heavy weapons to Ukraine'!$A15,'Bilateral assistance, MAIN DATA'!$AO:$AO,'Share, heavy weapons to Ukraine'!AX$1)</f>
        <v>0</v>
      </c>
      <c r="AY15" s="645">
        <f>SUMIFS('Bilateral assistance, MAIN DATA'!$N:$N,'Bilateral assistance, MAIN DATA'!$B:$B,'Share, heavy weapons to Ukraine'!$A15,'Bilateral assistance, MAIN DATA'!$AO:$AO,"122mm MLRS")+SUMIFS('Bilateral assistance, MAIN DATA'!$N:$N,'Bilateral assistance, MAIN DATA'!$B:$B,'Share, heavy weapons to Ukraine'!$A15,'Bilateral assistance, MAIN DATA'!$AO:$AO,"127mm MLRS")+SUMIFS('Bilateral assistance, MAIN DATA'!$N:$N,'Bilateral assistance, MAIN DATA'!$B:$B,'Share, heavy weapons to Ukraine'!$A15,'Bilateral assistance, MAIN DATA'!$AO:$AO,"227mm MLRS")</f>
        <v>0</v>
      </c>
      <c r="AZ15" s="33">
        <f>SUMIFS('Bilateral assistance, MAIN DATA'!$N:$N,'Bilateral assistance, MAIN DATA'!$B:$B,'Share, heavy weapons to Ukraine'!$A15,'Bilateral assistance, MAIN DATA'!$AO:$AO,'Share, heavy weapons to Ukraine'!AZ$1)</f>
        <v>0</v>
      </c>
      <c r="BA15" s="33">
        <f>SUMIFS('Bilateral assistance, MAIN DATA'!$N:$N,'Bilateral assistance, MAIN DATA'!$B:$B,'Share, heavy weapons to Ukraine'!$A15,'Bilateral assistance, MAIN DATA'!$AO:$AO,'Share, heavy weapons to Ukraine'!BA$1)</f>
        <v>0</v>
      </c>
      <c r="BB15" s="33">
        <f>SUMIFS('Bilateral assistance, MAIN DATA'!$N:$N,'Bilateral assistance, MAIN DATA'!$B:$B,'Share, heavy weapons to Ukraine'!$A15,'Bilateral assistance, MAIN DATA'!$AO:$AO,'Share, heavy weapons to Ukraine'!BB$1)</f>
        <v>0</v>
      </c>
      <c r="BC15" s="33">
        <f>SUMIFS('Bilateral assistance, MAIN DATA'!$N:$N,'Bilateral assistance, MAIN DATA'!$B:$B,'Share, heavy weapons to Ukraine'!$A15,'Bilateral assistance, MAIN DATA'!$AO:$AO,'Share, heavy weapons to Ukraine'!BC$1)</f>
        <v>0</v>
      </c>
      <c r="BD15" s="33">
        <f>SUMIFS('Bilateral assistance, MAIN DATA'!$N:$N,'Bilateral assistance, MAIN DATA'!$B:$B,'Share, heavy weapons to Ukraine'!$A15,'Bilateral assistance, MAIN DATA'!$AO:$AO,'Share, heavy weapons to Ukraine'!BD$1)</f>
        <v>0</v>
      </c>
      <c r="BF15" s="33">
        <f>IF(VLOOKUP($A15,$A:F,COLUMN(F14),FALSE)&lt;&gt;0,VLOOKUP($A15,$A:AD,COLUMN(AD14),FALSE)/VLOOKUP($A15,$A:F,COLUMN(F14),FALSE),IF(VLOOKUP($A15,$A:AD,COLUMN(AD14),FALSE)&lt;&gt;0,"Strange",0))</f>
        <v>0</v>
      </c>
      <c r="BG15" s="33">
        <f>IF(VLOOKUP($A15,$A:G,COLUMN(G14),FALSE)&lt;&gt;0,VLOOKUP($A15,$A:AE,COLUMN(AE14),FALSE)/VLOOKUP($A15,$A:G,COLUMN(G14),FALSE),IF(VLOOKUP($A15,$A:AE,COLUMN(AE14),FALSE)&lt;&gt;0,"Strange",0))</f>
        <v>0</v>
      </c>
      <c r="BH15" s="33">
        <f>IF(VLOOKUP($A15,$A:H,COLUMN(H14),FALSE)&lt;&gt;0,VLOOKUP($A15,$A:AF,COLUMN(AF14),FALSE)/VLOOKUP($A15,$A:H,COLUMN(H14),FALSE),IF(VLOOKUP($A15,$A:AF,COLUMN(AF14),FALSE)&lt;&gt;0,"Strange",0))</f>
        <v>0</v>
      </c>
      <c r="BI15" s="33">
        <f>IF(VLOOKUP($A15,$A:I,COLUMN(I14),FALSE)&lt;&gt;0,VLOOKUP($A15,$A:AG,COLUMN(AG14),FALSE)/VLOOKUP($A15,$A:I,COLUMN(I14),FALSE),IF(VLOOKUP($A15,$A:AG,COLUMN(AG14),FALSE)&lt;&gt;0,"Strange",0))</f>
        <v>0</v>
      </c>
      <c r="BJ15" s="33">
        <f>IF(VLOOKUP($A15,$A:J,COLUMN(J14),FALSE)&lt;&gt;0,VLOOKUP($A15,$A:AH,COLUMN(AH14),FALSE)/VLOOKUP($A15,$A:J,COLUMN(J14),FALSE),IF(VLOOKUP($A15,$A:AH,COLUMN(AH14),FALSE)&lt;&gt;0,"Strange",0))</f>
        <v>0.23668639053254437</v>
      </c>
      <c r="BK15" s="33">
        <f>IF(VLOOKUP($A15,$A:K,COLUMN(K14),FALSE)&lt;&gt;0,VLOOKUP($A15,$A:AI,COLUMN(AI14),FALSE)/VLOOKUP($A15,$A:K,COLUMN(K14),FALSE),IF(VLOOKUP($A15,$A:AI,COLUMN(AI14),FALSE)&lt;&gt;0,"Strange",0))</f>
        <v>1.7398869073510223E-2</v>
      </c>
      <c r="BL15" s="33">
        <f>IF(VLOOKUP($A15,$A:L,COLUMN(L14),FALSE)&lt;&gt;0,VLOOKUP($A15,$A:AJ,COLUMN(AJ14),FALSE)/VLOOKUP($A15,$A:L,COLUMN(L14),FALSE),IF(VLOOKUP($A15,$A:AJ,COLUMN(AJ14),FALSE)&lt;&gt;0,"Strange",0))</f>
        <v>0</v>
      </c>
      <c r="BM15" s="33">
        <f>IF(VLOOKUP($A15,$A:M,COLUMN(M14),FALSE)&lt;&gt;0,VLOOKUP($A15,$A:AK,COLUMN(AK14),FALSE)/VLOOKUP($A15,$A:M,COLUMN(M14),FALSE),IF(VLOOKUP($A15,$A:AK,COLUMN(AK14),FALSE)&lt;&gt;0,"Strange",0))</f>
        <v>0</v>
      </c>
      <c r="BN15" s="33">
        <f>IF(VLOOKUP($A15,$A:N,COLUMN(N14),FALSE)&lt;&gt;0,VLOOKUP($A15,$A:AL,COLUMN(AL14),FALSE)/VLOOKUP($A15,$A:N,COLUMN(N14),FALSE),IF(VLOOKUP($A15,$A:AL,COLUMN(AL14),FALSE)&lt;&gt;0,"Strange",0))</f>
        <v>0</v>
      </c>
      <c r="BO15" s="33">
        <f>IF(VLOOKUP($A15,$A:Q,COLUMN(Q14),FALSE)&lt;&gt;0,VLOOKUP($A15,$A:AM,COLUMN(AM14),FALSE)/VLOOKUP($A15,$A:Q,COLUMN(Q14),FALSE),IF(VLOOKUP($A15,$A:AM,COLUMN(AM14),FALSE)&lt;&gt;0,"Strange",0))</f>
        <v>0</v>
      </c>
      <c r="BP15" s="33">
        <f>IF(VLOOKUP($A15,$A:R,COLUMN(R14),FALSE)&lt;&gt;0,VLOOKUP($A15,$A:AN,COLUMN(AN14),FALSE)/VLOOKUP($A15,$A:R,COLUMN(R14),FALSE),IF(VLOOKUP($A15,$A:AN,COLUMN(AN14),FALSE)&lt;&gt;0,"Strange",0))</f>
        <v>0</v>
      </c>
      <c r="BQ15" s="33">
        <f>IF(VLOOKUP($A15,$A:S,COLUMN(S14),FALSE)&lt;&gt;0,VLOOKUP($A15,$A:AO,COLUMN(AO14),FALSE)/VLOOKUP($A15,$A:S,COLUMN(S14),FALSE),IF(VLOOKUP($A15,$A:AO,COLUMN(AO14),FALSE)&lt;&gt;0,"Strange",0))</f>
        <v>0</v>
      </c>
      <c r="BR15" s="33">
        <f>IF(VLOOKUP($A15,$A:T,COLUMN(T14),FALSE)&lt;&gt;0,VLOOKUP($A15,$A:AP,COLUMN(AP14),FALSE)/VLOOKUP($A15,$A:T,COLUMN(T14),FALSE),IF(VLOOKUP($A15,$A:AP,COLUMN(AP14),FALSE)&lt;&gt;0,"Strange",0))</f>
        <v>0</v>
      </c>
      <c r="BT15" s="33">
        <f>IF(VLOOKUP($A15,$A:AE,COLUMN(F14),FALSE)&lt;&gt;0,VLOOKUP($A15,$A:AS,COLUMN(AR14),FALSE)/VLOOKUP($A15,$A:AE,COLUMN(F14),FALSE),IF(VLOOKUP($A15,$A:AS,COLUMN(AR14),FALSE)&lt;&gt;0,"Strange",0))</f>
        <v>0</v>
      </c>
      <c r="BU15" s="33">
        <f>IF(VLOOKUP($A15,$A:AF,COLUMN(G14),FALSE)&lt;&gt;0,VLOOKUP($A15,$A:AT,COLUMN(AS14),FALSE)/VLOOKUP($A15,$A:AF,COLUMN(G14),FALSE),IF(VLOOKUP($A15,$A:AT,COLUMN(AS14),FALSE)&lt;&gt;0,"Strange",0))</f>
        <v>0</v>
      </c>
      <c r="BV15" s="33">
        <f>IF(VLOOKUP($A15,$A:AG,COLUMN(H14),FALSE)&lt;&gt;0,VLOOKUP($A15,$A:AU,COLUMN(AT14),FALSE)/VLOOKUP($A15,$A:AG,COLUMN(H14),FALSE),IF(VLOOKUP($A15,$A:AU,COLUMN(AT14),FALSE)&lt;&gt;0,"Strange",0))</f>
        <v>0</v>
      </c>
      <c r="BW15" s="33">
        <f>IF(VLOOKUP($A15,$A:AH,COLUMN(I14),FALSE)&lt;&gt;0,VLOOKUP($A15,$A:AV,COLUMN(AU14),FALSE)/VLOOKUP($A15,$A:AH,COLUMN(I14),FALSE),IF(VLOOKUP($A15,$A:AV,COLUMN(AU14),FALSE)&lt;&gt;0,"Strange",0))</f>
        <v>0</v>
      </c>
      <c r="BX15" s="33">
        <f>IF(VLOOKUP($A15,$A:AJ,COLUMN(J14),FALSE)&lt;&gt;0,VLOOKUP($A15,$A:AX,COLUMN(AV14),FALSE)/VLOOKUP($A15,$A:AJ,COLUMN(J14),FALSE),IF(VLOOKUP($A15,$A:AX,COLUMN(AV14),FALSE)&lt;&gt;0,"Strange",0))</f>
        <v>0.23668639053254437</v>
      </c>
      <c r="BY15" s="33">
        <f>IF(VLOOKUP($A15,$A:AK,COLUMN(K14),FALSE)&lt;&gt;0,VLOOKUP($A15,$A:AY,COLUMN(AW14),FALSE)/VLOOKUP($A15,$A:AK,COLUMN(K14),FALSE),IF(VLOOKUP($A15,$A:AY,COLUMN(AW14),FALSE)&lt;&gt;0,"Strange",0))</f>
        <v>1.7398869073510223E-2</v>
      </c>
      <c r="BZ15" s="33">
        <f>IF(VLOOKUP($A15,$A:AK,COLUMN(L14),FALSE)&lt;&gt;0,VLOOKUP($A15,$A:AY,COLUMN(AX14),FALSE)/VLOOKUP($A15,$A:AK,COLUMN(L14),FALSE),IF(VLOOKUP($A15,$A:AY,COLUMN(AX14),FALSE)&lt;&gt;0,"Strange",0))</f>
        <v>0</v>
      </c>
      <c r="CA15" s="33">
        <f>IF(VLOOKUP($A15,$A:AL,COLUMN(M14),FALSE)&lt;&gt;0,VLOOKUP($A15,$A:AZ,COLUMN(AY14),FALSE)/VLOOKUP($A15,$A:AL,COLUMN(M14),FALSE),IF(VLOOKUP($A15,$A:AZ,COLUMN(AY14),FALSE)&lt;&gt;0,"Strange",0))</f>
        <v>0</v>
      </c>
      <c r="CB15" s="33">
        <f>IF(VLOOKUP($A15,$A:AL,COLUMN(N14),FALSE)&lt;&gt;0,VLOOKUP($A15,$A:AZ,COLUMN(AZ14),FALSE)/VLOOKUP($A15,$A:AL,COLUMN(N14),FALSE),IF(VLOOKUP($A15,$A:AZ,COLUMN(AZ14),FALSE)&lt;&gt;0,"Strange",0))</f>
        <v>0</v>
      </c>
      <c r="CC15" s="33">
        <f>IF(VLOOKUP($A15,$A:AM,COLUMN(Q14),FALSE)&lt;&gt;0,VLOOKUP($A15,$A:BA,COLUMN(BA14),FALSE)/VLOOKUP($A15,$A:AM,COLUMN(Q14),FALSE),IF(VLOOKUP($A15,$A:BA,COLUMN(BA14),FALSE)&lt;&gt;0,"Strange",0))</f>
        <v>0</v>
      </c>
      <c r="CD15" s="33">
        <f>IF(VLOOKUP($A15,$A:AN,COLUMN(R14),FALSE)&lt;&gt;0,VLOOKUP($A15,$A:BB,COLUMN(BB14),FALSE)/VLOOKUP($A15,$A:AN,COLUMN(R14),FALSE),IF(VLOOKUP($A15,$A:BB,COLUMN(BB14),FALSE)&lt;&gt;0,"Strange",0))</f>
        <v>0</v>
      </c>
      <c r="CE15" s="33">
        <f>IF(VLOOKUP($A15,$A:AO,COLUMN(S14),FALSE)&lt;&gt;0,VLOOKUP($A15,$A:BC,COLUMN(BC14),FALSE)/VLOOKUP($A15,$A:AO,COLUMN(S14),FALSE),IF(VLOOKUP($A15,$A:BC,COLUMN(BC14),FALSE)&lt;&gt;0,"Strange",0))</f>
        <v>0</v>
      </c>
      <c r="CF15" s="33">
        <f>IF(VLOOKUP($A15,$A:AP,COLUMN(T14),FALSE)&lt;&gt;0,VLOOKUP($A15,$A:BD,COLUMN(BD14),FALSE)/VLOOKUP($A15,$A:AP,COLUMN(T14),FALSE),IF(VLOOKUP($A15,$A:BD,COLUMN(BD14),FALSE)&lt;&gt;0,"Strange",0))</f>
        <v>0</v>
      </c>
      <c r="CH15" s="33">
        <f>SUMIFS('Bilateral assistance, MAIN DATA'!$M:$M,'Bilateral assistance, MAIN DATA'!$B:$B,'Share, heavy weapons to Ukraine'!$A15,'Bilateral assistance, MAIN DATA'!$AO:$AO,'Share, heavy weapons to Ukraine'!CH$1,'Bilateral assistance, MAIN DATA'!$AQ:$AQ,2)</f>
        <v>0</v>
      </c>
      <c r="CI15" s="33">
        <f>SUMIFS('Bilateral assistance, MAIN DATA'!$M:$M,'Bilateral assistance, MAIN DATA'!$B:$B,'Share, heavy weapons to Ukraine'!$A15,'Bilateral assistance, MAIN DATA'!$AO:$AO,'Share, heavy weapons to Ukraine'!CI$1,'Bilateral assistance, MAIN DATA'!$AQ:$AQ,2)</f>
        <v>0</v>
      </c>
      <c r="CJ15" s="645">
        <f>SUMIFS('Bilateral assistance, MAIN DATA'!$M:$M,'Bilateral assistance, MAIN DATA'!$B:$B,'Share, heavy weapons to Ukraine'!$A15,'Bilateral assistance, MAIN DATA'!$AO:$AO,"122mm MLRS",'Bilateral assistance, MAIN DATA'!$AQ:$AQ,2)+SUMIFS('Bilateral assistance, MAIN DATA'!$M:$M,'Bilateral assistance, MAIN DATA'!$B:$B,'Share, heavy weapons to Ukraine'!$A15,'Bilateral assistance, MAIN DATA'!$AO:$AO,"127mm MLRS",'Bilateral assistance, MAIN DATA'!$AQ:$AQ,2)+SUMIFS('Bilateral assistance, MAIN DATA'!$M:$M,'Bilateral assistance, MAIN DATA'!$B:$B,'Share, heavy weapons to Ukraine'!$A15,'Bilateral assistance, MAIN DATA'!$AO:$AO,"227mm MLRS",'Bilateral assistance, MAIN DATA'!$AQ:$AQ,2)</f>
        <v>0</v>
      </c>
      <c r="CL15" s="33">
        <f>SUMIFS('Bilateral assistance, MAIN DATA'!$M:$M,'Bilateral assistance, MAIN DATA'!$B:$B,'Share, heavy weapons to Ukraine'!$A15,'Bilateral assistance, MAIN DATA'!$AO:$AO,'Share, heavy weapons to Ukraine'!CH$1,'Bilateral assistance, MAIN DATA'!$AQ:$AQ,1)</f>
        <v>0</v>
      </c>
      <c r="CM15" s="33">
        <f>SUMIFS('Bilateral assistance, MAIN DATA'!$M:$M,'Bilateral assistance, MAIN DATA'!$B:$B,'Share, heavy weapons to Ukraine'!$A15,'Bilateral assistance, MAIN DATA'!$AO:$AO,'Share, heavy weapons to Ukraine'!CI$1,'Bilateral assistance, MAIN DATA'!$AQ:$AQ,1)</f>
        <v>0</v>
      </c>
      <c r="CN15" s="645">
        <f>SUMIFS('Bilateral assistance, MAIN DATA'!$M:$M,'Bilateral assistance, MAIN DATA'!$B:$B,'Share, heavy weapons to Ukraine'!$A15,'Bilateral assistance, MAIN DATA'!$AO:$AO,"122mm MLRS",'Bilateral assistance, MAIN DATA'!$AQ:$AQ,1)+SUMIFS('Bilateral assistance, MAIN DATA'!$M:$M,'Bilateral assistance, MAIN DATA'!$B:$B,'Share, heavy weapons to Ukraine'!$A15,'Bilateral assistance, MAIN DATA'!$AO:$AO,"127mm MLRS",'Bilateral assistance, MAIN DATA'!$AQ:$AQ,1)+SUMIFS('Bilateral assistance, MAIN DATA'!$M:$M,'Bilateral assistance, MAIN DATA'!$B:$B,'Share, heavy weapons to Ukraine'!$A15,'Bilateral assistance, MAIN DATA'!$AO:$AO,"227mm MLRS",'Bilateral assistance, MAIN DATA'!$AQ:$AQ,1)</f>
        <v>0</v>
      </c>
      <c r="CP15" s="33">
        <f>SUMIFS('Bilateral assistance, MAIN DATA'!$M:$M,'Bilateral assistance, MAIN DATA'!$B:$B,'Share, heavy weapons to Ukraine'!$A15,'Bilateral assistance, MAIN DATA'!$AO:$AO,'Share, heavy weapons to Ukraine'!CP$1,'Bilateral assistance, MAIN DATA'!$AQ:$AQ,0)</f>
        <v>0</v>
      </c>
      <c r="CQ15" s="33">
        <f>SUMIFS('Bilateral assistance, MAIN DATA'!$M:$M,'Bilateral assistance, MAIN DATA'!$B:$B,'Share, heavy weapons to Ukraine'!$A15,'Bilateral assistance, MAIN DATA'!$AO:$AO,'Share, heavy weapons to Ukraine'!CQ$1,'Bilateral assistance, MAIN DATA'!$AQ:$AQ,0)</f>
        <v>0</v>
      </c>
      <c r="CR15" s="645">
        <f>SUMIFS('Bilateral assistance, MAIN DATA'!$M:$M,'Bilateral assistance, MAIN DATA'!$B:$B,'Share, heavy weapons to Ukraine'!$A15,'Bilateral assistance, MAIN DATA'!$AO:$AO,"122mm MLRS",'Bilateral assistance, MAIN DATA'!$AQ:$AQ,0)+SUMIFS('Bilateral assistance, MAIN DATA'!$M:$M,'Bilateral assistance, MAIN DATA'!$B:$B,'Share, heavy weapons to Ukraine'!$A15,'Bilateral assistance, MAIN DATA'!$AO:$AO,"127mm MLRS",'Bilateral assistance, MAIN DATA'!$AQ:$AQ,0)+SUMIFS('Bilateral assistance, MAIN DATA'!$M:$M,'Bilateral assistance, MAIN DATA'!$B:$B,'Share, heavy weapons to Ukraine'!$A15,'Bilateral assistance, MAIN DATA'!$AO:$AO,"227mm MLRS",'Bilateral assistance, MAIN DATA'!$AQ:$AQ,0)</f>
        <v>0</v>
      </c>
      <c r="CT15" s="33">
        <f>IF(VLOOKUP($A15,$A:CS,COLUMN(F14),FALSE)&lt;&gt;0,VLOOKUP($A15,$A:CS,COLUMN(CH14),FALSE)/VLOOKUP($A15,$A:AU,COLUMN(F14),FALSE),IF(VLOOKUP($A15,$A:CS,COLUMN(CH14),FALSE)&lt;&gt;0,"Strange",0))</f>
        <v>0</v>
      </c>
      <c r="CU15" s="33">
        <f>IF(VLOOKUP($A15,$A:CS,COLUMN(L14),FALSE)&lt;&gt;0,VLOOKUP($A15,$A:CS,COLUMN(CI14),FALSE)/VLOOKUP($A15,$A:AU,COLUMN(L14),FALSE),IF(VLOOKUP($A15,$A:CS,COLUMN(CI14),FALSE)&lt;&gt;0,"Strange",0))</f>
        <v>0</v>
      </c>
      <c r="CV15" s="33">
        <f>IF(VLOOKUP($A15,$A:CT,COLUMN(M14),FALSE)&lt;&gt;0,VLOOKUP($A15,$A:CT,COLUMN(CJ14),FALSE)/VLOOKUP($A15,$A:AV,COLUMN(M14),FALSE),IF(VLOOKUP($A15,$A:CT,COLUMN(CJ14),FALSE)&lt;&gt;0,"Strange",0))</f>
        <v>0</v>
      </c>
      <c r="CX15" s="33">
        <f>IF(VLOOKUP($A15,$A:CS,COLUMN(F14),FALSE)&lt;&gt;0,VLOOKUP($A15,$A:CS,COLUMN(CL14),FALSE)/VLOOKUP($A15,$A:AU,COLUMN(F14),FALSE),IF(VLOOKUP($A15,$A:CS,COLUMN(CL14),FALSE)&lt;&gt;0,"Strange",0))</f>
        <v>0</v>
      </c>
      <c r="CY15" s="33">
        <f>IF(VLOOKUP($A15,$A:CS,COLUMN(L14),FALSE)&lt;&gt;0,VLOOKUP($A15,$A:CS,COLUMN(CM14),FALSE)/VLOOKUP($A15,$A:AU,COLUMN(L14),FALSE),IF(VLOOKUP($A15,$A:CS,COLUMN(CM14),FALSE)&lt;&gt;0,"Strange",0))</f>
        <v>0</v>
      </c>
      <c r="CZ15" s="33">
        <f>IF(VLOOKUP($A15,$A:CT,COLUMN(M14),FALSE)&lt;&gt;0,VLOOKUP($A15,$A:CT,COLUMN(CN14),FALSE)/VLOOKUP($A15,$A:AV,COLUMN(M14),FALSE),IF(VLOOKUP($A15,$A:CT,COLUMN(CN14),FALSE)&lt;&gt;0,"Strange",0))</f>
        <v>0</v>
      </c>
      <c r="DB15" s="33">
        <f>IF(VLOOKUP($A15,$A:CS,COLUMN(F14),FALSE)&lt;&gt;0,VLOOKUP($A15,$A:CS,COLUMN(CP14),FALSE)/VLOOKUP($A15,$A:AU,COLUMN(F14),FALSE),IF(VLOOKUP($A15,$A:CS,COLUMN(CP14),FALSE)&lt;&gt;0,"Strange",0))</f>
        <v>0</v>
      </c>
      <c r="DC15" s="33">
        <f>IF(VLOOKUP($A15,$A:CS,COLUMN(L14),FALSE)&lt;&gt;0,VLOOKUP($A15,$A:CS,COLUMN(CQ14),FALSE)/VLOOKUP($A15,$A:AU,COLUMN(L14),FALSE),IF(VLOOKUP($A15,$A:CS,COLUMN(CQ14),FALSE)&lt;&gt;0,"Strange",0))</f>
        <v>0</v>
      </c>
      <c r="DD15" s="33">
        <f>IF(VLOOKUP($A15,$A:CT,COLUMN(M14),FALSE)&lt;&gt;0,VLOOKUP($A15,$A:CT,COLUMN(CR14),FALSE)/VLOOKUP($A15,$A:AV,COLUMN(M14),FALSE),IF(VLOOKUP($A15,$A:CT,COLUMN(CR14),FALSE)&lt;&gt;0,"Strange",0))</f>
        <v>0</v>
      </c>
      <c r="DF15" s="33">
        <f>SUMIFS('Bilateral assistance, MAIN DATA'!$M:$M,'Bilateral assistance, MAIN DATA'!$B:$B,'Share, heavy weapons to Ukraine'!$A15,'Bilateral assistance, MAIN DATA'!$AO:$AO,'Share, heavy weapons to Ukraine'!DF$1, 'Bilateral assistance, MAIN DATA'!$AA:$AA,1)</f>
        <v>0</v>
      </c>
      <c r="DG15" s="33">
        <f>SUMIFS('Bilateral assistance, MAIN DATA'!$M:$M,'Bilateral assistance, MAIN DATA'!$B:$B,'Share, heavy weapons to Ukraine'!$A15,'Bilateral assistance, MAIN DATA'!$AO:$AO,'Share, heavy weapons to Ukraine'!DG$1, 'Bilateral assistance, MAIN DATA'!$AA:$AA,1)</f>
        <v>0</v>
      </c>
      <c r="DH15" s="33">
        <f>SUMIFS('Bilateral assistance, MAIN DATA'!$M:$M,'Bilateral assistance, MAIN DATA'!$B:$B,'Share, heavy weapons to Ukraine'!$A15,'Bilateral assistance, MAIN DATA'!$AO:$AO,'Share, heavy weapons to Ukraine'!DH$1, 'Bilateral assistance, MAIN DATA'!$AA:$AA,1)</f>
        <v>0</v>
      </c>
      <c r="DI15" s="33">
        <f>SUMIFS('Bilateral assistance, MAIN DATA'!$M:$M,'Bilateral assistance, MAIN DATA'!$B:$B,'Share, heavy weapons to Ukraine'!$A15,'Bilateral assistance, MAIN DATA'!$AO:$AO,'Share, heavy weapons to Ukraine'!DI$1, 'Bilateral assistance, MAIN DATA'!$AA:$AA,1)</f>
        <v>0</v>
      </c>
      <c r="DK15" s="33">
        <f>SUMIFS('Bilateral assistance, MAIN DATA'!$N:$N,'Bilateral assistance, MAIN DATA'!$B:$B,'Share, heavy weapons to Ukraine'!$A15,'Bilateral assistance, MAIN DATA'!$AO:$AO,'Share, heavy weapons to Ukraine'!DK$1, 'Bilateral assistance, MAIN DATA'!$AA:$AA,1)</f>
        <v>0</v>
      </c>
      <c r="DL15" s="33">
        <f>SUMIFS('Bilateral assistance, MAIN DATA'!$N:$N,'Bilateral assistance, MAIN DATA'!$B:$B,'Share, heavy weapons to Ukraine'!$A15,'Bilateral assistance, MAIN DATA'!$AO:$AO,'Share, heavy weapons to Ukraine'!DL$1, 'Bilateral assistance, MAIN DATA'!$AA:$AA,1)</f>
        <v>0</v>
      </c>
      <c r="DM15" s="33">
        <f>SUMIFS('Bilateral assistance, MAIN DATA'!$N:$N,'Bilateral assistance, MAIN DATA'!$B:$B,'Share, heavy weapons to Ukraine'!$A15,'Bilateral assistance, MAIN DATA'!$AO:$AO,'Share, heavy weapons to Ukraine'!DM$1, 'Bilateral assistance, MAIN DATA'!$AA:$AA,1)</f>
        <v>0</v>
      </c>
      <c r="DN15" s="33">
        <f>SUMIFS('Bilateral assistance, MAIN DATA'!$N:$N,'Bilateral assistance, MAIN DATA'!$B:$B,'Share, heavy weapons to Ukraine'!$A15,'Bilateral assistance, MAIN DATA'!$AO:$AO,'Share, heavy weapons to Ukraine'!DN$1, 'Bilateral assistance, MAIN DATA'!$AA:$AA,1)</f>
        <v>0</v>
      </c>
    </row>
    <row r="16" spans="1:118">
      <c r="A16" s="801" t="s">
        <v>1804</v>
      </c>
      <c r="B16" s="801">
        <v>1</v>
      </c>
      <c r="C16" s="33">
        <v>0</v>
      </c>
      <c r="E16" s="802">
        <v>7.46</v>
      </c>
      <c r="F16" s="801">
        <f>VLOOKUP(A16,'Heavy weapon stocks'!A:OH,COLUMN('Heavy weapon stocks'!$G$1),0)</f>
        <v>52</v>
      </c>
      <c r="G16" s="801">
        <f>VLOOKUP(A16,'Heavy weapon stocks'!A:OH,COLUMN('Heavy weapon stocks'!$AW$1),0)</f>
        <v>390</v>
      </c>
      <c r="H16" s="801">
        <f>VLOOKUP(A16,'Heavy weapon stocks'!A:OH,COLUMN('Heavy weapon stocks'!$DQ$1),0)</f>
        <v>0</v>
      </c>
      <c r="I16" s="801">
        <f>VLOOKUP(A16,'Heavy weapon stocks'!A:OH,COLUMN('Heavy weapon stocks'!$EE$1),0)</f>
        <v>190</v>
      </c>
      <c r="J16" s="801">
        <f>VLOOKUP(A16,'Heavy weapon stocks'!A:OH,COLUMN('Heavy weapon stocks'!$FG$1),0)</f>
        <v>91</v>
      </c>
      <c r="K16" s="801">
        <f t="shared" si="3"/>
        <v>671</v>
      </c>
      <c r="L16" s="801">
        <f>VLOOKUP(A16,'Heavy weapon stocks'!A:OH,COLUMN('Heavy weapon stocks'!$HC$1),0)+VLOOKUP(A16,'Heavy weapon stocks'!A:OH,COLUMN('Heavy weapon stocks'!$II$1),0)</f>
        <v>53</v>
      </c>
      <c r="M16" s="801">
        <v>12</v>
      </c>
      <c r="N16" s="801">
        <f>VLOOKUP(A16,'Heavy weapon stocks'!A:OH,COLUMN('Heavy weapon stocks'!$JH$1),0)+VLOOKUP(A16,'Heavy weapon stocks'!A:OH,COLUMN('Heavy weapon stocks'!$KE$1),0)</f>
        <v>66</v>
      </c>
      <c r="O16" s="801">
        <f>VLOOKUP(A16,'Heavy weapon stocks'!A:OH,COLUMN('Heavy weapon stocks'!$LU$1),0)</f>
        <v>0</v>
      </c>
      <c r="Q16" s="801">
        <f>VLOOKUP(A16,'Heavy weapon stocks'!A:OH,COLUMN('Heavy weapon stocks'!$LV$1),0)</f>
        <v>0</v>
      </c>
      <c r="R16" s="801">
        <f>VLOOKUP(A16,'Heavy weapon stocks'!A:OH,COLUMN('Heavy weapon stocks'!$MF$1),0)</f>
        <v>0</v>
      </c>
      <c r="S16" s="801">
        <f>VLOOKUP(A16,'Heavy weapon stocks'!A:OH,COLUMN('Heavy weapon stocks'!$MM$1),0)</f>
        <v>39</v>
      </c>
      <c r="T16" s="801">
        <f>VLOOKUP(A16,'Heavy weapon stocks'!A:OH,COLUMN('Heavy weapon stocks'!$NR$1),0)</f>
        <v>0</v>
      </c>
      <c r="V16" s="801">
        <f>VLOOKUP(A16,'Heavy weapon stocks'!A:OH,COLUMN('Heavy weapon stocks'!$H$1),0)</f>
        <v>52</v>
      </c>
      <c r="W16" s="801">
        <f>VLOOKUP(A16,'Heavy weapon stocks'!A:OH,COLUMN('Heavy weapon stocks'!$DQ$1),0)</f>
        <v>0</v>
      </c>
      <c r="X16" s="801">
        <f>VLOOKUP(A16,'Heavy weapon stocks'!A:OH,COLUMN('Heavy weapon stocks'!$FG$1),0)</f>
        <v>91</v>
      </c>
      <c r="Y16" s="801">
        <f>VLOOKUP(A16,'Heavy weapon stocks'!A:OH,COLUMN('Heavy weapon stocks'!$HC$1),0)+VLOOKUP(A16,'Heavy weapon stocks'!A:OH,COLUMN('Heavy weapon stocks'!$II$1),0)</f>
        <v>53</v>
      </c>
      <c r="Z16" s="801">
        <f>VLOOKUP(A16,'Heavy weapon stocks'!A:OH,COLUMN('Heavy weapon stocks'!$IO$1),0)+VLOOKUP(A16,'Heavy weapon stocks'!A:OH,COLUMN('Heavy weapon stocks'!$IP$1),0)+VLOOKUP(A16,'Heavy weapon stocks'!A:OH,COLUMN('Heavy weapon stocks'!$IU$1),0)</f>
        <v>0</v>
      </c>
      <c r="AA16" s="801">
        <f>VLOOKUP(A16,'Heavy weapon stocks'!A:OH,COLUMN('Heavy weapon stocks'!$MI$1),0)</f>
        <v>0</v>
      </c>
      <c r="AB16" s="801">
        <f>VLOOKUP(A16,'Heavy weapon stocks'!A:OH,COLUMN('Heavy weapon stocks'!$MS$1),0)+VLOOKUP(A16,'Heavy weapon stocks'!A:OH,COLUMN('Heavy weapon stocks'!$MT$1),0)+VLOOKUP(A16,'Heavy weapon stocks'!A:OH,COLUMN('Heavy weapon stocks'!$MU$1),0)+VLOOKUP(A16,'Heavy weapon stocks'!A:OH,COLUMN('Heavy weapon stocks'!$MV$1),0)</f>
        <v>39</v>
      </c>
      <c r="AD16" s="33">
        <f>SUMIFS('Bilateral assistance, MAIN DATA'!$M:$M,'Bilateral assistance, MAIN DATA'!$B:$B,'Share, heavy weapons to Ukraine'!$A16,'Bilateral assistance, MAIN DATA'!$AO:$AO,'Share, heavy weapons to Ukraine'!AD$1)</f>
        <v>0</v>
      </c>
      <c r="AE16" s="33">
        <f>SUMIFS('Bilateral assistance, MAIN DATA'!$M:$M,'Bilateral assistance, MAIN DATA'!$B:$B,'Share, heavy weapons to Ukraine'!$A16,'Bilateral assistance, MAIN DATA'!$AO:$AO,'Share, heavy weapons to Ukraine'!AE$1)</f>
        <v>0</v>
      </c>
      <c r="AF16" s="33">
        <f>SUMIFS('Bilateral assistance, MAIN DATA'!$M:$M,'Bilateral assistance, MAIN DATA'!$B:$B,'Share, heavy weapons to Ukraine'!$A16,'Bilateral assistance, MAIN DATA'!$AO:$AO,'Share, heavy weapons to Ukraine'!AF$1)</f>
        <v>0</v>
      </c>
      <c r="AG16" s="33">
        <f>SUMIFS('Bilateral assistance, MAIN DATA'!$M:$M,'Bilateral assistance, MAIN DATA'!$B:$B,'Share, heavy weapons to Ukraine'!$A16,'Bilateral assistance, MAIN DATA'!$AO:$AO,'Share, heavy weapons to Ukraine'!AG$1)</f>
        <v>14</v>
      </c>
      <c r="AH16" s="33">
        <f>SUMIFS('Bilateral assistance, MAIN DATA'!$M:$M,'Bilateral assistance, MAIN DATA'!$B:$B,'Share, heavy weapons to Ukraine'!$A16,'Bilateral assistance, MAIN DATA'!$AO:$AO,'Share, heavy weapons to Ukraine'!AH$1)</f>
        <v>0</v>
      </c>
      <c r="AI16" s="33">
        <f t="shared" si="1"/>
        <v>14</v>
      </c>
      <c r="AJ16" s="33">
        <f>SUMIFS('Bilateral assistance, MAIN DATA'!$M:$M,'Bilateral assistance, MAIN DATA'!$B:$B,'Share, heavy weapons to Ukraine'!$A16,'Bilateral assistance, MAIN DATA'!$AO:$AO,'Share, heavy weapons to Ukraine'!AJ$1)</f>
        <v>27</v>
      </c>
      <c r="AK16" s="645">
        <f>SUMIFS('Bilateral assistance, MAIN DATA'!$M:$M,'Bilateral assistance, MAIN DATA'!$B:$B,'Share, heavy weapons to Ukraine'!$A16,'Bilateral assistance, MAIN DATA'!$AO:$AO,"122mm MLRS")+SUMIFS('Bilateral assistance, MAIN DATA'!$M:$M,'Bilateral assistance, MAIN DATA'!$B:$B,'Share, heavy weapons to Ukraine'!$A16,'Bilateral assistance, MAIN DATA'!$AO:$AO,"127mm MLRS")+SUMIFS('Bilateral assistance, MAIN DATA'!$M:$M,'Bilateral assistance, MAIN DATA'!$B:$B,'Share, heavy weapons to Ukraine'!$A16,'Bilateral assistance, MAIN DATA'!$AO:$AO,"227mm MLRS")</f>
        <v>3</v>
      </c>
      <c r="AL16" s="33">
        <f>SUMIFS('Bilateral assistance, MAIN DATA'!$M:$M,'Bilateral assistance, MAIN DATA'!$B:$B,'Share, heavy weapons to Ukraine'!$A16,'Bilateral assistance, MAIN DATA'!$AO:$AO,'Share, heavy weapons to Ukraine'!AL$1)</f>
        <v>0</v>
      </c>
      <c r="AM16" s="33">
        <f>SUMIFS('Bilateral assistance, MAIN DATA'!$M:$M,'Bilateral assistance, MAIN DATA'!$B:$B,'Share, heavy weapons to Ukraine'!$A16,'Bilateral assistance, MAIN DATA'!$AO:$AO,'Share, heavy weapons to Ukraine'!AM$1)</f>
        <v>0</v>
      </c>
      <c r="AN16" s="33">
        <f>SUMIFS('Bilateral assistance, MAIN DATA'!$M:$M,'Bilateral assistance, MAIN DATA'!$B:$B,'Share, heavy weapons to Ukraine'!$A16,'Bilateral assistance, MAIN DATA'!$AO:$AO,'Share, heavy weapons to Ukraine'!AN$1)</f>
        <v>0</v>
      </c>
      <c r="AO16" s="33">
        <f>SUMIFS('Bilateral assistance, MAIN DATA'!$M:$M,'Bilateral assistance, MAIN DATA'!$B:$B,'Share, heavy weapons to Ukraine'!$A16,'Bilateral assistance, MAIN DATA'!$AO:$AO,'Share, heavy weapons to Ukraine'!AO$1)</f>
        <v>0</v>
      </c>
      <c r="AP16" s="33">
        <f>SUMIFS('Bilateral assistance, MAIN DATA'!$M:$M,'Bilateral assistance, MAIN DATA'!$B:$B,'Share, heavy weapons to Ukraine'!$A16,'Bilateral assistance, MAIN DATA'!$AO:$AO,'Share, heavy weapons to Ukraine'!AP$1)</f>
        <v>0</v>
      </c>
      <c r="AR16" s="33">
        <f>SUMIFS('Bilateral assistance, MAIN DATA'!$N:$N,'Bilateral assistance, MAIN DATA'!$B:$B,'Share, heavy weapons to Ukraine'!$A16,'Bilateral assistance, MAIN DATA'!$AO:$AO,'Share, heavy weapons to Ukraine'!AR$1)</f>
        <v>0</v>
      </c>
      <c r="AS16" s="33">
        <f>SUMIFS('Bilateral assistance, MAIN DATA'!$N:$N,'Bilateral assistance, MAIN DATA'!$B:$B,'Share, heavy weapons to Ukraine'!$A16,'Bilateral assistance, MAIN DATA'!$AO:$AO,'Share, heavy weapons to Ukraine'!AS$1)</f>
        <v>0</v>
      </c>
      <c r="AT16" s="33">
        <f>SUMIFS('Bilateral assistance, MAIN DATA'!$N:$N,'Bilateral assistance, MAIN DATA'!$B:$B,'Share, heavy weapons to Ukraine'!$A16,'Bilateral assistance, MAIN DATA'!$AO:$AO,'Share, heavy weapons to Ukraine'!AT$1)</f>
        <v>0</v>
      </c>
      <c r="AU16" s="33">
        <f>SUMIFS('Bilateral assistance, MAIN DATA'!$N:$N,'Bilateral assistance, MAIN DATA'!$B:$B,'Share, heavy weapons to Ukraine'!$A16,'Bilateral assistance, MAIN DATA'!$AO:$AO,'Share, heavy weapons to Ukraine'!AU$1)</f>
        <v>14</v>
      </c>
      <c r="AV16" s="33">
        <f>SUMIFS('Bilateral assistance, MAIN DATA'!$N:$N,'Bilateral assistance, MAIN DATA'!$B:$B,'Share, heavy weapons to Ukraine'!$A16,'Bilateral assistance, MAIN DATA'!$AO:$AO,'Share, heavy weapons to Ukraine'!AV$1)</f>
        <v>0</v>
      </c>
      <c r="AW16" s="33">
        <f t="shared" si="2"/>
        <v>14</v>
      </c>
      <c r="AX16" s="33">
        <f>SUMIFS('Bilateral assistance, MAIN DATA'!$N:$N,'Bilateral assistance, MAIN DATA'!$B:$B,'Share, heavy weapons to Ukraine'!$A16,'Bilateral assistance, MAIN DATA'!$AO:$AO,'Share, heavy weapons to Ukraine'!AX$1)</f>
        <v>22</v>
      </c>
      <c r="AY16" s="645">
        <f>SUMIFS('Bilateral assistance, MAIN DATA'!$N:$N,'Bilateral assistance, MAIN DATA'!$B:$B,'Share, heavy weapons to Ukraine'!$A16,'Bilateral assistance, MAIN DATA'!$AO:$AO,"122mm MLRS")+SUMIFS('Bilateral assistance, MAIN DATA'!$N:$N,'Bilateral assistance, MAIN DATA'!$B:$B,'Share, heavy weapons to Ukraine'!$A16,'Bilateral assistance, MAIN DATA'!$AO:$AO,"127mm MLRS")+SUMIFS('Bilateral assistance, MAIN DATA'!$N:$N,'Bilateral assistance, MAIN DATA'!$B:$B,'Share, heavy weapons to Ukraine'!$A16,'Bilateral assistance, MAIN DATA'!$AO:$AO,"227mm MLRS")</f>
        <v>3</v>
      </c>
      <c r="AZ16" s="33">
        <f>SUMIFS('Bilateral assistance, MAIN DATA'!$N:$N,'Bilateral assistance, MAIN DATA'!$B:$B,'Share, heavy weapons to Ukraine'!$A16,'Bilateral assistance, MAIN DATA'!$AO:$AO,'Share, heavy weapons to Ukraine'!AZ$1)</f>
        <v>0</v>
      </c>
      <c r="BA16" s="33">
        <f>SUMIFS('Bilateral assistance, MAIN DATA'!$N:$N,'Bilateral assistance, MAIN DATA'!$B:$B,'Share, heavy weapons to Ukraine'!$A16,'Bilateral assistance, MAIN DATA'!$AO:$AO,'Share, heavy weapons to Ukraine'!BA$1)</f>
        <v>0</v>
      </c>
      <c r="BB16" s="33">
        <f>SUMIFS('Bilateral assistance, MAIN DATA'!$N:$N,'Bilateral assistance, MAIN DATA'!$B:$B,'Share, heavy weapons to Ukraine'!$A16,'Bilateral assistance, MAIN DATA'!$AO:$AO,'Share, heavy weapons to Ukraine'!BB$1)</f>
        <v>0</v>
      </c>
      <c r="BC16" s="33">
        <f>SUMIFS('Bilateral assistance, MAIN DATA'!$N:$N,'Bilateral assistance, MAIN DATA'!$B:$B,'Share, heavy weapons to Ukraine'!$A16,'Bilateral assistance, MAIN DATA'!$AO:$AO,'Share, heavy weapons to Ukraine'!BC$1)</f>
        <v>0</v>
      </c>
      <c r="BD16" s="33">
        <f>SUMIFS('Bilateral assistance, MAIN DATA'!$N:$N,'Bilateral assistance, MAIN DATA'!$B:$B,'Share, heavy weapons to Ukraine'!$A16,'Bilateral assistance, MAIN DATA'!$AO:$AO,'Share, heavy weapons to Ukraine'!BD$1)</f>
        <v>0</v>
      </c>
      <c r="BF16" s="33">
        <f>IF(VLOOKUP($A16,$A:F,COLUMN(F15),FALSE)&lt;&gt;0,VLOOKUP($A16,$A:AD,COLUMN(AD15),FALSE)/VLOOKUP($A16,$A:F,COLUMN(F15),FALSE),IF(VLOOKUP($A16,$A:AD,COLUMN(AD15),FALSE)&lt;&gt;0,"Strange",0))</f>
        <v>0</v>
      </c>
      <c r="BG16" s="33">
        <f>IF(VLOOKUP($A16,$A:G,COLUMN(G15),FALSE)&lt;&gt;0,VLOOKUP($A16,$A:AE,COLUMN(AE15),FALSE)/VLOOKUP($A16,$A:G,COLUMN(G15),FALSE),IF(VLOOKUP($A16,$A:AE,COLUMN(AE15),FALSE)&lt;&gt;0,"Strange",0))</f>
        <v>0</v>
      </c>
      <c r="BH16" s="33">
        <f>IF(VLOOKUP($A16,$A:H,COLUMN(H15),FALSE)&lt;&gt;0,VLOOKUP($A16,$A:AF,COLUMN(AF15),FALSE)/VLOOKUP($A16,$A:H,COLUMN(H15),FALSE),IF(VLOOKUP($A16,$A:AF,COLUMN(AF15),FALSE)&lt;&gt;0,"Strange",0))</f>
        <v>0</v>
      </c>
      <c r="BI16" s="33">
        <f>IF(VLOOKUP($A16,$A:I,COLUMN(I15),FALSE)&lt;&gt;0,VLOOKUP($A16,$A:AG,COLUMN(AG15),FALSE)/VLOOKUP($A16,$A:I,COLUMN(I15),FALSE),IF(VLOOKUP($A16,$A:AG,COLUMN(AG15),FALSE)&lt;&gt;0,"Strange",0))</f>
        <v>7.3684210526315783E-2</v>
      </c>
      <c r="BJ16" s="33">
        <f>IF(VLOOKUP($A16,$A:J,COLUMN(J15),FALSE)&lt;&gt;0,VLOOKUP($A16,$A:AH,COLUMN(AH15),FALSE)/VLOOKUP($A16,$A:J,COLUMN(J15),FALSE),IF(VLOOKUP($A16,$A:AH,COLUMN(AH15),FALSE)&lt;&gt;0,"Strange",0))</f>
        <v>0</v>
      </c>
      <c r="BK16" s="33">
        <f>IF(VLOOKUP($A16,$A:K,COLUMN(K15),FALSE)&lt;&gt;0,VLOOKUP($A16,$A:AI,COLUMN(AI15),FALSE)/VLOOKUP($A16,$A:K,COLUMN(K15),FALSE),IF(VLOOKUP($A16,$A:AI,COLUMN(AI15),FALSE)&lt;&gt;0,"Strange",0))</f>
        <v>2.0864381520119227E-2</v>
      </c>
      <c r="BL16" s="33">
        <f>IF(VLOOKUP($A16,$A:L,COLUMN(L15),FALSE)&lt;&gt;0,VLOOKUP($A16,$A:AJ,COLUMN(AJ15),FALSE)/VLOOKUP($A16,$A:L,COLUMN(L15),FALSE),IF(VLOOKUP($A16,$A:AJ,COLUMN(AJ15),FALSE)&lt;&gt;0,"Strange",0))</f>
        <v>0.50943396226415094</v>
      </c>
      <c r="BM16" s="33">
        <f>IF(VLOOKUP($A16,$A:M,COLUMN(M15),FALSE)&lt;&gt;0,VLOOKUP($A16,$A:AK,COLUMN(AK15),FALSE)/VLOOKUP($A16,$A:M,COLUMN(M15),FALSE),IF(VLOOKUP($A16,$A:AK,COLUMN(AK15),FALSE)&lt;&gt;0,"Strange",0))</f>
        <v>0.25</v>
      </c>
      <c r="BN16" s="33">
        <f>IF(VLOOKUP($A16,$A:N,COLUMN(N15),FALSE)&lt;&gt;0,VLOOKUP($A16,$A:AL,COLUMN(AL15),FALSE)/VLOOKUP($A16,$A:N,COLUMN(N15),FALSE),IF(VLOOKUP($A16,$A:AL,COLUMN(AL15),FALSE)&lt;&gt;0,"Strange",0))</f>
        <v>0</v>
      </c>
      <c r="BO16" s="33">
        <f>IF(VLOOKUP($A16,$A:Q,COLUMN(Q15),FALSE)&lt;&gt;0,VLOOKUP($A16,$A:AM,COLUMN(AM15),FALSE)/VLOOKUP($A16,$A:Q,COLUMN(Q15),FALSE),IF(VLOOKUP($A16,$A:AM,COLUMN(AM15),FALSE)&lt;&gt;0,"Strange",0))</f>
        <v>0</v>
      </c>
      <c r="BP16" s="33">
        <f>IF(VLOOKUP($A16,$A:R,COLUMN(R15),FALSE)&lt;&gt;0,VLOOKUP($A16,$A:AN,COLUMN(AN15),FALSE)/VLOOKUP($A16,$A:R,COLUMN(R15),FALSE),IF(VLOOKUP($A16,$A:AN,COLUMN(AN15),FALSE)&lt;&gt;0,"Strange",0))</f>
        <v>0</v>
      </c>
      <c r="BQ16" s="33">
        <f>IF(VLOOKUP($A16,$A:S,COLUMN(S15),FALSE)&lt;&gt;0,VLOOKUP($A16,$A:AO,COLUMN(AO15),FALSE)/VLOOKUP($A16,$A:S,COLUMN(S15),FALSE),IF(VLOOKUP($A16,$A:AO,COLUMN(AO15),FALSE)&lt;&gt;0,"Strange",0))</f>
        <v>0</v>
      </c>
      <c r="BR16" s="33">
        <f>IF(VLOOKUP($A16,$A:T,COLUMN(T15),FALSE)&lt;&gt;0,VLOOKUP($A16,$A:AP,COLUMN(AP15),FALSE)/VLOOKUP($A16,$A:T,COLUMN(T15),FALSE),IF(VLOOKUP($A16,$A:AP,COLUMN(AP15),FALSE)&lt;&gt;0,"Strange",0))</f>
        <v>0</v>
      </c>
      <c r="BT16" s="33">
        <f>IF(VLOOKUP($A16,$A:AE,COLUMN(F15),FALSE)&lt;&gt;0,VLOOKUP($A16,$A:AS,COLUMN(AR15),FALSE)/VLOOKUP($A16,$A:AE,COLUMN(F15),FALSE),IF(VLOOKUP($A16,$A:AS,COLUMN(AR15),FALSE)&lt;&gt;0,"Strange",0))</f>
        <v>0</v>
      </c>
      <c r="BU16" s="33">
        <f>IF(VLOOKUP($A16,$A:AF,COLUMN(G15),FALSE)&lt;&gt;0,VLOOKUP($A16,$A:AT,COLUMN(AS15),FALSE)/VLOOKUP($A16,$A:AF,COLUMN(G15),FALSE),IF(VLOOKUP($A16,$A:AT,COLUMN(AS15),FALSE)&lt;&gt;0,"Strange",0))</f>
        <v>0</v>
      </c>
      <c r="BV16" s="33">
        <f>IF(VLOOKUP($A16,$A:AG,COLUMN(H15),FALSE)&lt;&gt;0,VLOOKUP($A16,$A:AU,COLUMN(AT15),FALSE)/VLOOKUP($A16,$A:AG,COLUMN(H15),FALSE),IF(VLOOKUP($A16,$A:AU,COLUMN(AT15),FALSE)&lt;&gt;0,"Strange",0))</f>
        <v>0</v>
      </c>
      <c r="BW16" s="33">
        <f>IF(VLOOKUP($A16,$A:AH,COLUMN(I15),FALSE)&lt;&gt;0,VLOOKUP($A16,$A:AV,COLUMN(AU15),FALSE)/VLOOKUP($A16,$A:AH,COLUMN(I15),FALSE),IF(VLOOKUP($A16,$A:AV,COLUMN(AU15),FALSE)&lt;&gt;0,"Strange",0))</f>
        <v>7.3684210526315783E-2</v>
      </c>
      <c r="BX16" s="33">
        <f>IF(VLOOKUP($A16,$A:AJ,COLUMN(J15),FALSE)&lt;&gt;0,VLOOKUP($A16,$A:AX,COLUMN(AV15),FALSE)/VLOOKUP($A16,$A:AJ,COLUMN(J15),FALSE),IF(VLOOKUP($A16,$A:AX,COLUMN(AV15),FALSE)&lt;&gt;0,"Strange",0))</f>
        <v>0</v>
      </c>
      <c r="BY16" s="33">
        <f>IF(VLOOKUP($A16,$A:AK,COLUMN(K15),FALSE)&lt;&gt;0,VLOOKUP($A16,$A:AY,COLUMN(AW15),FALSE)/VLOOKUP($A16,$A:AK,COLUMN(K15),FALSE),IF(VLOOKUP($A16,$A:AY,COLUMN(AW15),FALSE)&lt;&gt;0,"Strange",0))</f>
        <v>2.0864381520119227E-2</v>
      </c>
      <c r="BZ16" s="33">
        <f>IF(VLOOKUP($A16,$A:AK,COLUMN(L15),FALSE)&lt;&gt;0,VLOOKUP($A16,$A:AY,COLUMN(AX15),FALSE)/VLOOKUP($A16,$A:AK,COLUMN(L15),FALSE),IF(VLOOKUP($A16,$A:AY,COLUMN(AX15),FALSE)&lt;&gt;0,"Strange",0))</f>
        <v>0.41509433962264153</v>
      </c>
      <c r="CA16" s="33">
        <f>IF(VLOOKUP($A16,$A:AL,COLUMN(M15),FALSE)&lt;&gt;0,VLOOKUP($A16,$A:AZ,COLUMN(AY15),FALSE)/VLOOKUP($A16,$A:AL,COLUMN(M15),FALSE),IF(VLOOKUP($A16,$A:AZ,COLUMN(AY15),FALSE)&lt;&gt;0,"Strange",0))</f>
        <v>0.25</v>
      </c>
      <c r="CB16" s="33">
        <f>IF(VLOOKUP($A16,$A:AL,COLUMN(N15),FALSE)&lt;&gt;0,VLOOKUP($A16,$A:AZ,COLUMN(AZ15),FALSE)/VLOOKUP($A16,$A:AL,COLUMN(N15),FALSE),IF(VLOOKUP($A16,$A:AZ,COLUMN(AZ15),FALSE)&lt;&gt;0,"Strange",0))</f>
        <v>0</v>
      </c>
      <c r="CC16" s="33">
        <f>IF(VLOOKUP($A16,$A:AM,COLUMN(Q15),FALSE)&lt;&gt;0,VLOOKUP($A16,$A:BA,COLUMN(BA15),FALSE)/VLOOKUP($A16,$A:AM,COLUMN(Q15),FALSE),IF(VLOOKUP($A16,$A:BA,COLUMN(BA15),FALSE)&lt;&gt;0,"Strange",0))</f>
        <v>0</v>
      </c>
      <c r="CD16" s="33">
        <f>IF(VLOOKUP($A16,$A:AN,COLUMN(R15),FALSE)&lt;&gt;0,VLOOKUP($A16,$A:BB,COLUMN(BB15),FALSE)/VLOOKUP($A16,$A:AN,COLUMN(R15),FALSE),IF(VLOOKUP($A16,$A:BB,COLUMN(BB15),FALSE)&lt;&gt;0,"Strange",0))</f>
        <v>0</v>
      </c>
      <c r="CE16" s="33">
        <f>IF(VLOOKUP($A16,$A:AO,COLUMN(S15),FALSE)&lt;&gt;0,VLOOKUP($A16,$A:BC,COLUMN(BC15),FALSE)/VLOOKUP($A16,$A:AO,COLUMN(S15),FALSE),IF(VLOOKUP($A16,$A:BC,COLUMN(BC15),FALSE)&lt;&gt;0,"Strange",0))</f>
        <v>0</v>
      </c>
      <c r="CF16" s="33">
        <f>IF(VLOOKUP($A16,$A:AP,COLUMN(T15),FALSE)&lt;&gt;0,VLOOKUP($A16,$A:BD,COLUMN(BD15),FALSE)/VLOOKUP($A16,$A:AP,COLUMN(T15),FALSE),IF(VLOOKUP($A16,$A:BD,COLUMN(BD15),FALSE)&lt;&gt;0,"Strange",0))</f>
        <v>0</v>
      </c>
      <c r="CH16" s="33">
        <f>SUMIFS('Bilateral assistance, MAIN DATA'!$M:$M,'Bilateral assistance, MAIN DATA'!$B:$B,'Share, heavy weapons to Ukraine'!$A16,'Bilateral assistance, MAIN DATA'!$AO:$AO,'Share, heavy weapons to Ukraine'!CH$1,'Bilateral assistance, MAIN DATA'!$AQ:$AQ,2)</f>
        <v>0</v>
      </c>
      <c r="CI16" s="33">
        <f>SUMIFS('Bilateral assistance, MAIN DATA'!$M:$M,'Bilateral assistance, MAIN DATA'!$B:$B,'Share, heavy weapons to Ukraine'!$A16,'Bilateral assistance, MAIN DATA'!$AO:$AO,'Share, heavy weapons to Ukraine'!CI$1,'Bilateral assistance, MAIN DATA'!$AQ:$AQ,2)</f>
        <v>27</v>
      </c>
      <c r="CJ16" s="645">
        <f>SUMIFS('Bilateral assistance, MAIN DATA'!$M:$M,'Bilateral assistance, MAIN DATA'!$B:$B,'Share, heavy weapons to Ukraine'!$A16,'Bilateral assistance, MAIN DATA'!$AO:$AO,"122mm MLRS",'Bilateral assistance, MAIN DATA'!$AQ:$AQ,2)+SUMIFS('Bilateral assistance, MAIN DATA'!$M:$M,'Bilateral assistance, MAIN DATA'!$B:$B,'Share, heavy weapons to Ukraine'!$A16,'Bilateral assistance, MAIN DATA'!$AO:$AO,"127mm MLRS",'Bilateral assistance, MAIN DATA'!$AQ:$AQ,2)+SUMIFS('Bilateral assistance, MAIN DATA'!$M:$M,'Bilateral assistance, MAIN DATA'!$B:$B,'Share, heavy weapons to Ukraine'!$A16,'Bilateral assistance, MAIN DATA'!$AO:$AO,"227mm MLRS",'Bilateral assistance, MAIN DATA'!$AQ:$AQ,2)</f>
        <v>3</v>
      </c>
      <c r="CL16" s="33">
        <f>SUMIFS('Bilateral assistance, MAIN DATA'!$M:$M,'Bilateral assistance, MAIN DATA'!$B:$B,'Share, heavy weapons to Ukraine'!$A16,'Bilateral assistance, MAIN DATA'!$AO:$AO,'Share, heavy weapons to Ukraine'!CH$1,'Bilateral assistance, MAIN DATA'!$AQ:$AQ,1)</f>
        <v>0</v>
      </c>
      <c r="CM16" s="33">
        <f>SUMIFS('Bilateral assistance, MAIN DATA'!$M:$M,'Bilateral assistance, MAIN DATA'!$B:$B,'Share, heavy weapons to Ukraine'!$A16,'Bilateral assistance, MAIN DATA'!$AO:$AO,'Share, heavy weapons to Ukraine'!CI$1,'Bilateral assistance, MAIN DATA'!$AQ:$AQ,1)</f>
        <v>0</v>
      </c>
      <c r="CN16" s="645">
        <f>SUMIFS('Bilateral assistance, MAIN DATA'!$M:$M,'Bilateral assistance, MAIN DATA'!$B:$B,'Share, heavy weapons to Ukraine'!$A16,'Bilateral assistance, MAIN DATA'!$AO:$AO,"122mm MLRS",'Bilateral assistance, MAIN DATA'!$AQ:$AQ,1)+SUMIFS('Bilateral assistance, MAIN DATA'!$M:$M,'Bilateral assistance, MAIN DATA'!$B:$B,'Share, heavy weapons to Ukraine'!$A16,'Bilateral assistance, MAIN DATA'!$AO:$AO,"127mm MLRS",'Bilateral assistance, MAIN DATA'!$AQ:$AQ,1)+SUMIFS('Bilateral assistance, MAIN DATA'!$M:$M,'Bilateral assistance, MAIN DATA'!$B:$B,'Share, heavy weapons to Ukraine'!$A16,'Bilateral assistance, MAIN DATA'!$AO:$AO,"227mm MLRS",'Bilateral assistance, MAIN DATA'!$AQ:$AQ,1)</f>
        <v>0</v>
      </c>
      <c r="CP16" s="33">
        <f>SUMIFS('Bilateral assistance, MAIN DATA'!$M:$M,'Bilateral assistance, MAIN DATA'!$B:$B,'Share, heavy weapons to Ukraine'!$A16,'Bilateral assistance, MAIN DATA'!$AO:$AO,'Share, heavy weapons to Ukraine'!CP$1,'Bilateral assistance, MAIN DATA'!$AQ:$AQ,0)</f>
        <v>0</v>
      </c>
      <c r="CQ16" s="33">
        <f>SUMIFS('Bilateral assistance, MAIN DATA'!$M:$M,'Bilateral assistance, MAIN DATA'!$B:$B,'Share, heavy weapons to Ukraine'!$A16,'Bilateral assistance, MAIN DATA'!$AO:$AO,'Share, heavy weapons to Ukraine'!CQ$1,'Bilateral assistance, MAIN DATA'!$AQ:$AQ,0)</f>
        <v>0</v>
      </c>
      <c r="CR16" s="645">
        <f>SUMIFS('Bilateral assistance, MAIN DATA'!$M:$M,'Bilateral assistance, MAIN DATA'!$B:$B,'Share, heavy weapons to Ukraine'!$A16,'Bilateral assistance, MAIN DATA'!$AO:$AO,"122mm MLRS",'Bilateral assistance, MAIN DATA'!$AQ:$AQ,0)+SUMIFS('Bilateral assistance, MAIN DATA'!$M:$M,'Bilateral assistance, MAIN DATA'!$B:$B,'Share, heavy weapons to Ukraine'!$A16,'Bilateral assistance, MAIN DATA'!$AO:$AO,"127mm MLRS",'Bilateral assistance, MAIN DATA'!$AQ:$AQ,0)+SUMIFS('Bilateral assistance, MAIN DATA'!$M:$M,'Bilateral assistance, MAIN DATA'!$B:$B,'Share, heavy weapons to Ukraine'!$A16,'Bilateral assistance, MAIN DATA'!$AO:$AO,"227mm MLRS",'Bilateral assistance, MAIN DATA'!$AQ:$AQ,0)</f>
        <v>0</v>
      </c>
      <c r="CT16" s="33">
        <f>IF(VLOOKUP($A16,$A:CS,COLUMN(F15),FALSE)&lt;&gt;0,VLOOKUP($A16,$A:CS,COLUMN(CH15),FALSE)/VLOOKUP($A16,$A:AU,COLUMN(F15),FALSE),IF(VLOOKUP($A16,$A:CS,COLUMN(CH15),FALSE)&lt;&gt;0,"Strange",0))</f>
        <v>0</v>
      </c>
      <c r="CU16" s="33">
        <f>IF(VLOOKUP($A16,$A:CS,COLUMN(L15),FALSE)&lt;&gt;0,VLOOKUP($A16,$A:CS,COLUMN(CI15),FALSE)/VLOOKUP($A16,$A:AU,COLUMN(L15),FALSE),IF(VLOOKUP($A16,$A:CS,COLUMN(CI15),FALSE)&lt;&gt;0,"Strange",0))</f>
        <v>0.50943396226415094</v>
      </c>
      <c r="CV16" s="33">
        <f>IF(VLOOKUP($A16,$A:CT,COLUMN(M15),FALSE)&lt;&gt;0,VLOOKUP($A16,$A:CT,COLUMN(CJ15),FALSE)/VLOOKUP($A16,$A:AV,COLUMN(M15),FALSE),IF(VLOOKUP($A16,$A:CT,COLUMN(CJ15),FALSE)&lt;&gt;0,"Strange",0))</f>
        <v>0.25</v>
      </c>
      <c r="CX16" s="33">
        <f>IF(VLOOKUP($A16,$A:CS,COLUMN(F15),FALSE)&lt;&gt;0,VLOOKUP($A16,$A:CS,COLUMN(CL15),FALSE)/VLOOKUP($A16,$A:AU,COLUMN(F15),FALSE),IF(VLOOKUP($A16,$A:CS,COLUMN(CL15),FALSE)&lt;&gt;0,"Strange",0))</f>
        <v>0</v>
      </c>
      <c r="CY16" s="33">
        <f>IF(VLOOKUP($A16,$A:CS,COLUMN(L15),FALSE)&lt;&gt;0,VLOOKUP($A16,$A:CS,COLUMN(CM15),FALSE)/VLOOKUP($A16,$A:AU,COLUMN(L15),FALSE),IF(VLOOKUP($A16,$A:CS,COLUMN(CM15),FALSE)&lt;&gt;0,"Strange",0))</f>
        <v>0</v>
      </c>
      <c r="CZ16" s="33">
        <f>IF(VLOOKUP($A16,$A:CT,COLUMN(M15),FALSE)&lt;&gt;0,VLOOKUP($A16,$A:CT,COLUMN(CN15),FALSE)/VLOOKUP($A16,$A:AV,COLUMN(M15),FALSE),IF(VLOOKUP($A16,$A:CT,COLUMN(CN15),FALSE)&lt;&gt;0,"Strange",0))</f>
        <v>0</v>
      </c>
      <c r="DB16" s="33">
        <f>IF(VLOOKUP($A16,$A:CS,COLUMN(F15),FALSE)&lt;&gt;0,VLOOKUP($A16,$A:CS,COLUMN(CP15),FALSE)/VLOOKUP($A16,$A:AU,COLUMN(F15),FALSE),IF(VLOOKUP($A16,$A:CS,COLUMN(CP15),FALSE)&lt;&gt;0,"Strange",0))</f>
        <v>0</v>
      </c>
      <c r="DC16" s="33">
        <f>IF(VLOOKUP($A16,$A:CS,COLUMN(L15),FALSE)&lt;&gt;0,VLOOKUP($A16,$A:CS,COLUMN(CQ15),FALSE)/VLOOKUP($A16,$A:AU,COLUMN(L15),FALSE),IF(VLOOKUP($A16,$A:CS,COLUMN(CQ15),FALSE)&lt;&gt;0,"Strange",0))</f>
        <v>0</v>
      </c>
      <c r="DD16" s="33">
        <f>IF(VLOOKUP($A16,$A:CT,COLUMN(M15),FALSE)&lt;&gt;0,VLOOKUP($A16,$A:CT,COLUMN(CR15),FALSE)/VLOOKUP($A16,$A:AV,COLUMN(M15),FALSE),IF(VLOOKUP($A16,$A:CT,COLUMN(CR15),FALSE)&lt;&gt;0,"Strange",0))</f>
        <v>0</v>
      </c>
      <c r="DF16" s="33">
        <f>SUMIFS('Bilateral assistance, MAIN DATA'!$M:$M,'Bilateral assistance, MAIN DATA'!$B:$B,'Share, heavy weapons to Ukraine'!$A16,'Bilateral assistance, MAIN DATA'!$AO:$AO,'Share, heavy weapons to Ukraine'!DF$1, 'Bilateral assistance, MAIN DATA'!$AA:$AA,1)</f>
        <v>0</v>
      </c>
      <c r="DG16" s="33">
        <f>SUMIFS('Bilateral assistance, MAIN DATA'!$M:$M,'Bilateral assistance, MAIN DATA'!$B:$B,'Share, heavy weapons to Ukraine'!$A16,'Bilateral assistance, MAIN DATA'!$AO:$AO,'Share, heavy weapons to Ukraine'!DG$1, 'Bilateral assistance, MAIN DATA'!$AA:$AA,1)</f>
        <v>0</v>
      </c>
      <c r="DH16" s="33">
        <f>SUMIFS('Bilateral assistance, MAIN DATA'!$M:$M,'Bilateral assistance, MAIN DATA'!$B:$B,'Share, heavy weapons to Ukraine'!$A16,'Bilateral assistance, MAIN DATA'!$AO:$AO,'Share, heavy weapons to Ukraine'!DH$1, 'Bilateral assistance, MAIN DATA'!$AA:$AA,1)</f>
        <v>0</v>
      </c>
      <c r="DI16" s="33">
        <f>SUMIFS('Bilateral assistance, MAIN DATA'!$M:$M,'Bilateral assistance, MAIN DATA'!$B:$B,'Share, heavy weapons to Ukraine'!$A16,'Bilateral assistance, MAIN DATA'!$AO:$AO,'Share, heavy weapons to Ukraine'!DI$1, 'Bilateral assistance, MAIN DATA'!$AA:$AA,1)</f>
        <v>0</v>
      </c>
      <c r="DK16" s="33">
        <f>SUMIFS('Bilateral assistance, MAIN DATA'!$N:$N,'Bilateral assistance, MAIN DATA'!$B:$B,'Share, heavy weapons to Ukraine'!$A16,'Bilateral assistance, MAIN DATA'!$AO:$AO,'Share, heavy weapons to Ukraine'!DK$1, 'Bilateral assistance, MAIN DATA'!$AA:$AA,1)</f>
        <v>0</v>
      </c>
      <c r="DL16" s="33">
        <f>SUMIFS('Bilateral assistance, MAIN DATA'!$N:$N,'Bilateral assistance, MAIN DATA'!$B:$B,'Share, heavy weapons to Ukraine'!$A16,'Bilateral assistance, MAIN DATA'!$AO:$AO,'Share, heavy weapons to Ukraine'!DL$1, 'Bilateral assistance, MAIN DATA'!$AA:$AA,1)</f>
        <v>0</v>
      </c>
      <c r="DM16" s="33">
        <f>SUMIFS('Bilateral assistance, MAIN DATA'!$N:$N,'Bilateral assistance, MAIN DATA'!$B:$B,'Share, heavy weapons to Ukraine'!$A16,'Bilateral assistance, MAIN DATA'!$AO:$AO,'Share, heavy weapons to Ukraine'!DM$1, 'Bilateral assistance, MAIN DATA'!$AA:$AA,1)</f>
        <v>0</v>
      </c>
      <c r="DN16" s="33">
        <f>SUMIFS('Bilateral assistance, MAIN DATA'!$N:$N,'Bilateral assistance, MAIN DATA'!$B:$B,'Share, heavy weapons to Ukraine'!$A16,'Bilateral assistance, MAIN DATA'!$AO:$AO,'Share, heavy weapons to Ukraine'!DN$1, 'Bilateral assistance, MAIN DATA'!$AA:$AA,1)</f>
        <v>0</v>
      </c>
    </row>
    <row r="17" spans="1:118">
      <c r="A17" s="801" t="s">
        <v>3175</v>
      </c>
      <c r="B17" s="801">
        <v>0</v>
      </c>
      <c r="C17" s="33">
        <v>1</v>
      </c>
      <c r="E17" s="802">
        <v>6.4</v>
      </c>
      <c r="F17" s="801">
        <f>VLOOKUP(A17,'Heavy weapon stocks'!A:OH,COLUMN('Heavy weapon stocks'!$G$1),0)</f>
        <v>0</v>
      </c>
      <c r="G17" s="801">
        <f>VLOOKUP(A17,'Heavy weapon stocks'!A:OH,COLUMN('Heavy weapon stocks'!$AW$1),0)</f>
        <v>88</v>
      </c>
      <c r="H17" s="801">
        <f>VLOOKUP(A17,'Heavy weapon stocks'!A:OH,COLUMN('Heavy weapon stocks'!$DQ$1),0)</f>
        <v>0</v>
      </c>
      <c r="I17" s="801">
        <f>VLOOKUP(A17,'Heavy weapon stocks'!A:OH,COLUMN('Heavy weapon stocks'!$EE$1),0)</f>
        <v>665</v>
      </c>
      <c r="J17" s="801">
        <f>VLOOKUP(A17,'Heavy weapon stocks'!A:OH,COLUMN('Heavy weapon stocks'!$FG$1),0)</f>
        <v>37</v>
      </c>
      <c r="K17" s="801">
        <f t="shared" si="3"/>
        <v>790</v>
      </c>
      <c r="L17" s="801">
        <f>VLOOKUP(A17,'Heavy weapon stocks'!A:OH,COLUMN('Heavy weapon stocks'!$HC$1),0)+VLOOKUP(A17,'Heavy weapon stocks'!A:OH,COLUMN('Heavy weapon stocks'!$II$1),0)</f>
        <v>0</v>
      </c>
      <c r="M17" s="801">
        <f>VLOOKUP(A17,'Heavy weapon stocks'!A:OH,COLUMN('Heavy weapon stocks'!$IN$1),0)</f>
        <v>0</v>
      </c>
      <c r="N17" s="801">
        <f>VLOOKUP(A17,'Heavy weapon stocks'!A:OH,COLUMN('Heavy weapon stocks'!$JH$1),0)+VLOOKUP(A17,'Heavy weapon stocks'!A:OH,COLUMN('Heavy weapon stocks'!$KE$1),0)</f>
        <v>53</v>
      </c>
      <c r="O17" s="801">
        <f>VLOOKUP(A17,'Heavy weapon stocks'!A:OH,COLUMN('Heavy weapon stocks'!$LU$1),0)</f>
        <v>0</v>
      </c>
      <c r="Q17" s="801">
        <f>VLOOKUP(A17,'Heavy weapon stocks'!A:OH,COLUMN('Heavy weapon stocks'!$LV$1),0)</f>
        <v>0</v>
      </c>
      <c r="R17" s="801">
        <f>VLOOKUP(A17,'Heavy weapon stocks'!A:OH,COLUMN('Heavy weapon stocks'!$MF$1),0)</f>
        <v>0</v>
      </c>
      <c r="S17" s="801">
        <f>VLOOKUP(A17,'Heavy weapon stocks'!A:OH,COLUMN('Heavy weapon stocks'!$MM$1),0)</f>
        <v>0</v>
      </c>
      <c r="T17" s="801">
        <f>VLOOKUP(A17,'Heavy weapon stocks'!A:OH,COLUMN('Heavy weapon stocks'!$NR$1),0)</f>
        <v>0</v>
      </c>
      <c r="V17" s="801">
        <f>VLOOKUP(A17,'Heavy weapon stocks'!A:OH,COLUMN('Heavy weapon stocks'!$H$1),0)</f>
        <v>0</v>
      </c>
      <c r="W17" s="801">
        <f>VLOOKUP(A17,'Heavy weapon stocks'!A:OH,COLUMN('Heavy weapon stocks'!$DQ$1),0)</f>
        <v>0</v>
      </c>
      <c r="X17" s="801">
        <f>VLOOKUP(A17,'Heavy weapon stocks'!A:OH,COLUMN('Heavy weapon stocks'!$FG$1),0)</f>
        <v>37</v>
      </c>
      <c r="Y17" s="801">
        <f>VLOOKUP(A17,'Heavy weapon stocks'!A:OH,COLUMN('Heavy weapon stocks'!$HC$1),0)+VLOOKUP(A17,'Heavy weapon stocks'!A:OH,COLUMN('Heavy weapon stocks'!$II$1),0)</f>
        <v>0</v>
      </c>
      <c r="Z17" s="801">
        <f>VLOOKUP(A17,'Heavy weapon stocks'!A:OH,COLUMN('Heavy weapon stocks'!$IO$1),0)+VLOOKUP(A17,'Heavy weapon stocks'!A:OH,COLUMN('Heavy weapon stocks'!$IP$1),0)+VLOOKUP(A17,'Heavy weapon stocks'!A:OH,COLUMN('Heavy weapon stocks'!$IU$1),0)</f>
        <v>0</v>
      </c>
      <c r="AA17" s="801">
        <f>VLOOKUP(A17,'Heavy weapon stocks'!A:OH,COLUMN('Heavy weapon stocks'!$MI$1),0)</f>
        <v>0</v>
      </c>
      <c r="AB17" s="801">
        <f>VLOOKUP(A17,'Heavy weapon stocks'!A:OH,COLUMN('Heavy weapon stocks'!$MS$1),0)+VLOOKUP(A17,'Heavy weapon stocks'!A:OH,COLUMN('Heavy weapon stocks'!$MT$1),0)+VLOOKUP(A17,'Heavy weapon stocks'!A:OH,COLUMN('Heavy weapon stocks'!$MU$1),0)+VLOOKUP(A17,'Heavy weapon stocks'!A:OH,COLUMN('Heavy weapon stocks'!$MV$1),0)</f>
        <v>0</v>
      </c>
      <c r="AD17" s="33">
        <f>SUMIFS('Bilateral assistance, MAIN DATA'!$M:$M,'Bilateral assistance, MAIN DATA'!$B:$B,'Share, heavy weapons to Ukraine'!$A17,'Bilateral assistance, MAIN DATA'!$AO:$AO,'Share, heavy weapons to Ukraine'!AD$1)</f>
        <v>0</v>
      </c>
      <c r="AE17" s="33">
        <f>SUMIFS('Bilateral assistance, MAIN DATA'!$M:$M,'Bilateral assistance, MAIN DATA'!$B:$B,'Share, heavy weapons to Ukraine'!$A17,'Bilateral assistance, MAIN DATA'!$AO:$AO,'Share, heavy weapons to Ukraine'!AE$1)</f>
        <v>0</v>
      </c>
      <c r="AF17" s="33">
        <f>SUMIFS('Bilateral assistance, MAIN DATA'!$M:$M,'Bilateral assistance, MAIN DATA'!$B:$B,'Share, heavy weapons to Ukraine'!$A17,'Bilateral assistance, MAIN DATA'!$AO:$AO,'Share, heavy weapons to Ukraine'!AF$1)</f>
        <v>0</v>
      </c>
      <c r="AG17" s="33">
        <f>SUMIFS('Bilateral assistance, MAIN DATA'!$M:$M,'Bilateral assistance, MAIN DATA'!$B:$B,'Share, heavy weapons to Ukraine'!$A17,'Bilateral assistance, MAIN DATA'!$AO:$AO,'Share, heavy weapons to Ukraine'!AG$1)</f>
        <v>0</v>
      </c>
      <c r="AH17" s="33">
        <f>SUMIFS('Bilateral assistance, MAIN DATA'!$M:$M,'Bilateral assistance, MAIN DATA'!$B:$B,'Share, heavy weapons to Ukraine'!$A17,'Bilateral assistance, MAIN DATA'!$AO:$AO,'Share, heavy weapons to Ukraine'!AH$1)</f>
        <v>0</v>
      </c>
      <c r="AI17" s="33">
        <f t="shared" si="1"/>
        <v>0</v>
      </c>
      <c r="AJ17" s="33">
        <f>SUMIFS('Bilateral assistance, MAIN DATA'!$M:$M,'Bilateral assistance, MAIN DATA'!$B:$B,'Share, heavy weapons to Ukraine'!$A17,'Bilateral assistance, MAIN DATA'!$AO:$AO,'Share, heavy weapons to Ukraine'!AJ$1)</f>
        <v>0</v>
      </c>
      <c r="AK17" s="645">
        <f>SUMIFS('Bilateral assistance, MAIN DATA'!$M:$M,'Bilateral assistance, MAIN DATA'!$B:$B,'Share, heavy weapons to Ukraine'!$A17,'Bilateral assistance, MAIN DATA'!$AO:$AO,"122mm MLRS")+SUMIFS('Bilateral assistance, MAIN DATA'!$M:$M,'Bilateral assistance, MAIN DATA'!$B:$B,'Share, heavy weapons to Ukraine'!$A17,'Bilateral assistance, MAIN DATA'!$AO:$AO,"127mm MLRS")+SUMIFS('Bilateral assistance, MAIN DATA'!$M:$M,'Bilateral assistance, MAIN DATA'!$B:$B,'Share, heavy weapons to Ukraine'!$A17,'Bilateral assistance, MAIN DATA'!$AO:$AO,"227mm MLRS")</f>
        <v>0</v>
      </c>
      <c r="AL17" s="33">
        <f>SUMIFS('Bilateral assistance, MAIN DATA'!$M:$M,'Bilateral assistance, MAIN DATA'!$B:$B,'Share, heavy weapons to Ukraine'!$A17,'Bilateral assistance, MAIN DATA'!$AO:$AO,'Share, heavy weapons to Ukraine'!AL$1)</f>
        <v>0</v>
      </c>
      <c r="AM17" s="33">
        <f>SUMIFS('Bilateral assistance, MAIN DATA'!$M:$M,'Bilateral assistance, MAIN DATA'!$B:$B,'Share, heavy weapons to Ukraine'!$A17,'Bilateral assistance, MAIN DATA'!$AO:$AO,'Share, heavy weapons to Ukraine'!AM$1)</f>
        <v>0</v>
      </c>
      <c r="AN17" s="33">
        <f>SUMIFS('Bilateral assistance, MAIN DATA'!$M:$M,'Bilateral assistance, MAIN DATA'!$B:$B,'Share, heavy weapons to Ukraine'!$A17,'Bilateral assistance, MAIN DATA'!$AO:$AO,'Share, heavy weapons to Ukraine'!AN$1)</f>
        <v>0</v>
      </c>
      <c r="AO17" s="33">
        <f>SUMIFS('Bilateral assistance, MAIN DATA'!$M:$M,'Bilateral assistance, MAIN DATA'!$B:$B,'Share, heavy weapons to Ukraine'!$A17,'Bilateral assistance, MAIN DATA'!$AO:$AO,'Share, heavy weapons to Ukraine'!AO$1)</f>
        <v>0</v>
      </c>
      <c r="AP17" s="33">
        <f>SUMIFS('Bilateral assistance, MAIN DATA'!$M:$M,'Bilateral assistance, MAIN DATA'!$B:$B,'Share, heavy weapons to Ukraine'!$A17,'Bilateral assistance, MAIN DATA'!$AO:$AO,'Share, heavy weapons to Ukraine'!AP$1)</f>
        <v>0</v>
      </c>
      <c r="AR17" s="33">
        <f>SUMIFS('Bilateral assistance, MAIN DATA'!$N:$N,'Bilateral assistance, MAIN DATA'!$B:$B,'Share, heavy weapons to Ukraine'!$A17,'Bilateral assistance, MAIN DATA'!$AO:$AO,'Share, heavy weapons to Ukraine'!AR$1)</f>
        <v>0</v>
      </c>
      <c r="AS17" s="33">
        <f>SUMIFS('Bilateral assistance, MAIN DATA'!$N:$N,'Bilateral assistance, MAIN DATA'!$B:$B,'Share, heavy weapons to Ukraine'!$A17,'Bilateral assistance, MAIN DATA'!$AO:$AO,'Share, heavy weapons to Ukraine'!AS$1)</f>
        <v>0</v>
      </c>
      <c r="AT17" s="33">
        <f>SUMIFS('Bilateral assistance, MAIN DATA'!$N:$N,'Bilateral assistance, MAIN DATA'!$B:$B,'Share, heavy weapons to Ukraine'!$A17,'Bilateral assistance, MAIN DATA'!$AO:$AO,'Share, heavy weapons to Ukraine'!AT$1)</f>
        <v>0</v>
      </c>
      <c r="AU17" s="33">
        <f>SUMIFS('Bilateral assistance, MAIN DATA'!$N:$N,'Bilateral assistance, MAIN DATA'!$B:$B,'Share, heavy weapons to Ukraine'!$A17,'Bilateral assistance, MAIN DATA'!$AO:$AO,'Share, heavy weapons to Ukraine'!AU$1)</f>
        <v>0</v>
      </c>
      <c r="AV17" s="33">
        <f>SUMIFS('Bilateral assistance, MAIN DATA'!$N:$N,'Bilateral assistance, MAIN DATA'!$B:$B,'Share, heavy weapons to Ukraine'!$A17,'Bilateral assistance, MAIN DATA'!$AO:$AO,'Share, heavy weapons to Ukraine'!AV$1)</f>
        <v>0</v>
      </c>
      <c r="AW17" s="33">
        <f t="shared" si="2"/>
        <v>0</v>
      </c>
      <c r="AX17" s="33">
        <f>SUMIFS('Bilateral assistance, MAIN DATA'!$N:$N,'Bilateral assistance, MAIN DATA'!$B:$B,'Share, heavy weapons to Ukraine'!$A17,'Bilateral assistance, MAIN DATA'!$AO:$AO,'Share, heavy weapons to Ukraine'!AX$1)</f>
        <v>0</v>
      </c>
      <c r="AY17" s="645">
        <f>SUMIFS('Bilateral assistance, MAIN DATA'!$N:$N,'Bilateral assistance, MAIN DATA'!$B:$B,'Share, heavy weapons to Ukraine'!$A17,'Bilateral assistance, MAIN DATA'!$AO:$AO,"122mm MLRS")+SUMIFS('Bilateral assistance, MAIN DATA'!$N:$N,'Bilateral assistance, MAIN DATA'!$B:$B,'Share, heavy weapons to Ukraine'!$A17,'Bilateral assistance, MAIN DATA'!$AO:$AO,"127mm MLRS")+SUMIFS('Bilateral assistance, MAIN DATA'!$N:$N,'Bilateral assistance, MAIN DATA'!$B:$B,'Share, heavy weapons to Ukraine'!$A17,'Bilateral assistance, MAIN DATA'!$AO:$AO,"227mm MLRS")</f>
        <v>0</v>
      </c>
      <c r="AZ17" s="33">
        <f>SUMIFS('Bilateral assistance, MAIN DATA'!$N:$N,'Bilateral assistance, MAIN DATA'!$B:$B,'Share, heavy weapons to Ukraine'!$A17,'Bilateral assistance, MAIN DATA'!$AO:$AO,'Share, heavy weapons to Ukraine'!AZ$1)</f>
        <v>0</v>
      </c>
      <c r="BA17" s="33">
        <f>SUMIFS('Bilateral assistance, MAIN DATA'!$N:$N,'Bilateral assistance, MAIN DATA'!$B:$B,'Share, heavy weapons to Ukraine'!$A17,'Bilateral assistance, MAIN DATA'!$AO:$AO,'Share, heavy weapons to Ukraine'!BA$1)</f>
        <v>0</v>
      </c>
      <c r="BB17" s="33">
        <f>SUMIFS('Bilateral assistance, MAIN DATA'!$N:$N,'Bilateral assistance, MAIN DATA'!$B:$B,'Share, heavy weapons to Ukraine'!$A17,'Bilateral assistance, MAIN DATA'!$AO:$AO,'Share, heavy weapons to Ukraine'!BB$1)</f>
        <v>0</v>
      </c>
      <c r="BC17" s="33">
        <f>SUMIFS('Bilateral assistance, MAIN DATA'!$N:$N,'Bilateral assistance, MAIN DATA'!$B:$B,'Share, heavy weapons to Ukraine'!$A17,'Bilateral assistance, MAIN DATA'!$AO:$AO,'Share, heavy weapons to Ukraine'!BC$1)</f>
        <v>0</v>
      </c>
      <c r="BD17" s="33">
        <f>SUMIFS('Bilateral assistance, MAIN DATA'!$N:$N,'Bilateral assistance, MAIN DATA'!$B:$B,'Share, heavy weapons to Ukraine'!$A17,'Bilateral assistance, MAIN DATA'!$AO:$AO,'Share, heavy weapons to Ukraine'!BD$1)</f>
        <v>0</v>
      </c>
      <c r="BF17" s="33">
        <f>IF(VLOOKUP($A17,$A:F,COLUMN(F16),FALSE)&lt;&gt;0,VLOOKUP($A17,$A:AD,COLUMN(AD16),FALSE)/VLOOKUP($A17,$A:F,COLUMN(F16),FALSE),IF(VLOOKUP($A17,$A:AD,COLUMN(AD16),FALSE)&lt;&gt;0,"Strange",0))</f>
        <v>0</v>
      </c>
      <c r="BG17" s="33">
        <f>IF(VLOOKUP($A17,$A:G,COLUMN(G16),FALSE)&lt;&gt;0,VLOOKUP($A17,$A:AE,COLUMN(AE16),FALSE)/VLOOKUP($A17,$A:G,COLUMN(G16),FALSE),IF(VLOOKUP($A17,$A:AE,COLUMN(AE16),FALSE)&lt;&gt;0,"Strange",0))</f>
        <v>0</v>
      </c>
      <c r="BH17" s="33">
        <f>IF(VLOOKUP($A17,$A:H,COLUMN(H16),FALSE)&lt;&gt;0,VLOOKUP($A17,$A:AF,COLUMN(AF16),FALSE)/VLOOKUP($A17,$A:H,COLUMN(H16),FALSE),IF(VLOOKUP($A17,$A:AF,COLUMN(AF16),FALSE)&lt;&gt;0,"Strange",0))</f>
        <v>0</v>
      </c>
      <c r="BI17" s="33">
        <f>IF(VLOOKUP($A17,$A:I,COLUMN(I16),FALSE)&lt;&gt;0,VLOOKUP($A17,$A:AG,COLUMN(AG16),FALSE)/VLOOKUP($A17,$A:I,COLUMN(I16),FALSE),IF(VLOOKUP($A17,$A:AG,COLUMN(AG16),FALSE)&lt;&gt;0,"Strange",0))</f>
        <v>0</v>
      </c>
      <c r="BJ17" s="33">
        <f>IF(VLOOKUP($A17,$A:J,COLUMN(J16),FALSE)&lt;&gt;0,VLOOKUP($A17,$A:AH,COLUMN(AH16),FALSE)/VLOOKUP($A17,$A:J,COLUMN(J16),FALSE),IF(VLOOKUP($A17,$A:AH,COLUMN(AH16),FALSE)&lt;&gt;0,"Strange",0))</f>
        <v>0</v>
      </c>
      <c r="BK17" s="33">
        <f>IF(VLOOKUP($A17,$A:K,COLUMN(K16),FALSE)&lt;&gt;0,VLOOKUP($A17,$A:AI,COLUMN(AI16),FALSE)/VLOOKUP($A17,$A:K,COLUMN(K16),FALSE),IF(VLOOKUP($A17,$A:AI,COLUMN(AI16),FALSE)&lt;&gt;0,"Strange",0))</f>
        <v>0</v>
      </c>
      <c r="BL17" s="33">
        <f>IF(VLOOKUP($A17,$A:L,COLUMN(L16),FALSE)&lt;&gt;0,VLOOKUP($A17,$A:AJ,COLUMN(AJ16),FALSE)/VLOOKUP($A17,$A:L,COLUMN(L16),FALSE),IF(VLOOKUP($A17,$A:AJ,COLUMN(AJ16),FALSE)&lt;&gt;0,"Strange",0))</f>
        <v>0</v>
      </c>
      <c r="BM17" s="33">
        <f>IF(VLOOKUP($A17,$A:M,COLUMN(M16),FALSE)&lt;&gt;0,VLOOKUP($A17,$A:AK,COLUMN(AK16),FALSE)/VLOOKUP($A17,$A:M,COLUMN(M16),FALSE),IF(VLOOKUP($A17,$A:AK,COLUMN(AK16),FALSE)&lt;&gt;0,"Strange",0))</f>
        <v>0</v>
      </c>
      <c r="BN17" s="33">
        <f>IF(VLOOKUP($A17,$A:N,COLUMN(N16),FALSE)&lt;&gt;0,VLOOKUP($A17,$A:AL,COLUMN(AL16),FALSE)/VLOOKUP($A17,$A:N,COLUMN(N16),FALSE),IF(VLOOKUP($A17,$A:AL,COLUMN(AL16),FALSE)&lt;&gt;0,"Strange",0))</f>
        <v>0</v>
      </c>
      <c r="BO17" s="33">
        <f>IF(VLOOKUP($A17,$A:Q,COLUMN(Q16),FALSE)&lt;&gt;0,VLOOKUP($A17,$A:AM,COLUMN(AM16),FALSE)/VLOOKUP($A17,$A:Q,COLUMN(Q16),FALSE),IF(VLOOKUP($A17,$A:AM,COLUMN(AM16),FALSE)&lt;&gt;0,"Strange",0))</f>
        <v>0</v>
      </c>
      <c r="BP17" s="33">
        <f>IF(VLOOKUP($A17,$A:R,COLUMN(R16),FALSE)&lt;&gt;0,VLOOKUP($A17,$A:AN,COLUMN(AN16),FALSE)/VLOOKUP($A17,$A:R,COLUMN(R16),FALSE),IF(VLOOKUP($A17,$A:AN,COLUMN(AN16),FALSE)&lt;&gt;0,"Strange",0))</f>
        <v>0</v>
      </c>
      <c r="BQ17" s="33">
        <f>IF(VLOOKUP($A17,$A:S,COLUMN(S16),FALSE)&lt;&gt;0,VLOOKUP($A17,$A:AO,COLUMN(AO16),FALSE)/VLOOKUP($A17,$A:S,COLUMN(S16),FALSE),IF(VLOOKUP($A17,$A:AO,COLUMN(AO16),FALSE)&lt;&gt;0,"Strange",0))</f>
        <v>0</v>
      </c>
      <c r="BR17" s="33">
        <f>IF(VLOOKUP($A17,$A:T,COLUMN(T16),FALSE)&lt;&gt;0,VLOOKUP($A17,$A:AP,COLUMN(AP16),FALSE)/VLOOKUP($A17,$A:T,COLUMN(T16),FALSE),IF(VLOOKUP($A17,$A:AP,COLUMN(AP16),FALSE)&lt;&gt;0,"Strange",0))</f>
        <v>0</v>
      </c>
      <c r="BT17" s="33">
        <f>IF(VLOOKUP($A17,$A:AE,COLUMN(F16),FALSE)&lt;&gt;0,VLOOKUP($A17,$A:AS,COLUMN(AR16),FALSE)/VLOOKUP($A17,$A:AE,COLUMN(F16),FALSE),IF(VLOOKUP($A17,$A:AS,COLUMN(AR16),FALSE)&lt;&gt;0,"Strange",0))</f>
        <v>0</v>
      </c>
      <c r="BU17" s="33">
        <f>IF(VLOOKUP($A17,$A:AF,COLUMN(G16),FALSE)&lt;&gt;0,VLOOKUP($A17,$A:AT,COLUMN(AS16),FALSE)/VLOOKUP($A17,$A:AF,COLUMN(G16),FALSE),IF(VLOOKUP($A17,$A:AT,COLUMN(AS16),FALSE)&lt;&gt;0,"Strange",0))</f>
        <v>0</v>
      </c>
      <c r="BV17" s="33">
        <f>IF(VLOOKUP($A17,$A:AG,COLUMN(H16),FALSE)&lt;&gt;0,VLOOKUP($A17,$A:AU,COLUMN(AT16),FALSE)/VLOOKUP($A17,$A:AG,COLUMN(H16),FALSE),IF(VLOOKUP($A17,$A:AU,COLUMN(AT16),FALSE)&lt;&gt;0,"Strange",0))</f>
        <v>0</v>
      </c>
      <c r="BW17" s="33">
        <f>IF(VLOOKUP($A17,$A:AH,COLUMN(I16),FALSE)&lt;&gt;0,VLOOKUP($A17,$A:AV,COLUMN(AU16),FALSE)/VLOOKUP($A17,$A:AH,COLUMN(I16),FALSE),IF(VLOOKUP($A17,$A:AV,COLUMN(AU16),FALSE)&lt;&gt;0,"Strange",0))</f>
        <v>0</v>
      </c>
      <c r="BX17" s="33">
        <f>IF(VLOOKUP($A17,$A:AJ,COLUMN(J16),FALSE)&lt;&gt;0,VLOOKUP($A17,$A:AX,COLUMN(AV16),FALSE)/VLOOKUP($A17,$A:AJ,COLUMN(J16),FALSE),IF(VLOOKUP($A17,$A:AX,COLUMN(AV16),FALSE)&lt;&gt;0,"Strange",0))</f>
        <v>0</v>
      </c>
      <c r="BY17" s="33">
        <f>IF(VLOOKUP($A17,$A:AK,COLUMN(K16),FALSE)&lt;&gt;0,VLOOKUP($A17,$A:AY,COLUMN(AW16),FALSE)/VLOOKUP($A17,$A:AK,COLUMN(K16),FALSE),IF(VLOOKUP($A17,$A:AY,COLUMN(AW16),FALSE)&lt;&gt;0,"Strange",0))</f>
        <v>0</v>
      </c>
      <c r="BZ17" s="33">
        <f>IF(VLOOKUP($A17,$A:AK,COLUMN(L16),FALSE)&lt;&gt;0,VLOOKUP($A17,$A:AY,COLUMN(AX16),FALSE)/VLOOKUP($A17,$A:AK,COLUMN(L16),FALSE),IF(VLOOKUP($A17,$A:AY,COLUMN(AX16),FALSE)&lt;&gt;0,"Strange",0))</f>
        <v>0</v>
      </c>
      <c r="CA17" s="33">
        <f>IF(VLOOKUP($A17,$A:AL,COLUMN(M16),FALSE)&lt;&gt;0,VLOOKUP($A17,$A:AZ,COLUMN(AY16),FALSE)/VLOOKUP($A17,$A:AL,COLUMN(M16),FALSE),IF(VLOOKUP($A17,$A:AZ,COLUMN(AY16),FALSE)&lt;&gt;0,"Strange",0))</f>
        <v>0</v>
      </c>
      <c r="CB17" s="33">
        <f>IF(VLOOKUP($A17,$A:AL,COLUMN(N16),FALSE)&lt;&gt;0,VLOOKUP($A17,$A:AZ,COLUMN(AZ16),FALSE)/VLOOKUP($A17,$A:AL,COLUMN(N16),FALSE),IF(VLOOKUP($A17,$A:AZ,COLUMN(AZ16),FALSE)&lt;&gt;0,"Strange",0))</f>
        <v>0</v>
      </c>
      <c r="CC17" s="33">
        <f>IF(VLOOKUP($A17,$A:AM,COLUMN(Q16),FALSE)&lt;&gt;0,VLOOKUP($A17,$A:BA,COLUMN(BA16),FALSE)/VLOOKUP($A17,$A:AM,COLUMN(Q16),FALSE),IF(VLOOKUP($A17,$A:BA,COLUMN(BA16),FALSE)&lt;&gt;0,"Strange",0))</f>
        <v>0</v>
      </c>
      <c r="CD17" s="33">
        <f>IF(VLOOKUP($A17,$A:AN,COLUMN(R16),FALSE)&lt;&gt;0,VLOOKUP($A17,$A:BB,COLUMN(BB16),FALSE)/VLOOKUP($A17,$A:AN,COLUMN(R16),FALSE),IF(VLOOKUP($A17,$A:BB,COLUMN(BB16),FALSE)&lt;&gt;0,"Strange",0))</f>
        <v>0</v>
      </c>
      <c r="CE17" s="33">
        <f>IF(VLOOKUP($A17,$A:AO,COLUMN(S16),FALSE)&lt;&gt;0,VLOOKUP($A17,$A:BC,COLUMN(BC16),FALSE)/VLOOKUP($A17,$A:AO,COLUMN(S16),FALSE),IF(VLOOKUP($A17,$A:BC,COLUMN(BC16),FALSE)&lt;&gt;0,"Strange",0))</f>
        <v>0</v>
      </c>
      <c r="CF17" s="33">
        <f>IF(VLOOKUP($A17,$A:AP,COLUMN(T16),FALSE)&lt;&gt;0,VLOOKUP($A17,$A:BD,COLUMN(BD16),FALSE)/VLOOKUP($A17,$A:AP,COLUMN(T16),FALSE),IF(VLOOKUP($A17,$A:BD,COLUMN(BD16),FALSE)&lt;&gt;0,"Strange",0))</f>
        <v>0</v>
      </c>
      <c r="CH17" s="33">
        <f>SUMIFS('Bilateral assistance, MAIN DATA'!$M:$M,'Bilateral assistance, MAIN DATA'!$B:$B,'Share, heavy weapons to Ukraine'!$A17,'Bilateral assistance, MAIN DATA'!$AO:$AO,'Share, heavy weapons to Ukraine'!CH$1,'Bilateral assistance, MAIN DATA'!$AQ:$AQ,2)</f>
        <v>0</v>
      </c>
      <c r="CI17" s="33">
        <f>SUMIFS('Bilateral assistance, MAIN DATA'!$M:$M,'Bilateral assistance, MAIN DATA'!$B:$B,'Share, heavy weapons to Ukraine'!$A17,'Bilateral assistance, MAIN DATA'!$AO:$AO,'Share, heavy weapons to Ukraine'!CI$1,'Bilateral assistance, MAIN DATA'!$AQ:$AQ,2)</f>
        <v>0</v>
      </c>
      <c r="CJ17" s="645">
        <f>SUMIFS('Bilateral assistance, MAIN DATA'!$M:$M,'Bilateral assistance, MAIN DATA'!$B:$B,'Share, heavy weapons to Ukraine'!$A17,'Bilateral assistance, MAIN DATA'!$AO:$AO,"122mm MLRS",'Bilateral assistance, MAIN DATA'!$AQ:$AQ,2)+SUMIFS('Bilateral assistance, MAIN DATA'!$M:$M,'Bilateral assistance, MAIN DATA'!$B:$B,'Share, heavy weapons to Ukraine'!$A17,'Bilateral assistance, MAIN DATA'!$AO:$AO,"127mm MLRS",'Bilateral assistance, MAIN DATA'!$AQ:$AQ,2)+SUMIFS('Bilateral assistance, MAIN DATA'!$M:$M,'Bilateral assistance, MAIN DATA'!$B:$B,'Share, heavy weapons to Ukraine'!$A17,'Bilateral assistance, MAIN DATA'!$AO:$AO,"227mm MLRS",'Bilateral assistance, MAIN DATA'!$AQ:$AQ,2)</f>
        <v>0</v>
      </c>
      <c r="CL17" s="33">
        <f>SUMIFS('Bilateral assistance, MAIN DATA'!$M:$M,'Bilateral assistance, MAIN DATA'!$B:$B,'Share, heavy weapons to Ukraine'!$A17,'Bilateral assistance, MAIN DATA'!$AO:$AO,'Share, heavy weapons to Ukraine'!CH$1,'Bilateral assistance, MAIN DATA'!$AQ:$AQ,1)</f>
        <v>0</v>
      </c>
      <c r="CM17" s="33">
        <f>SUMIFS('Bilateral assistance, MAIN DATA'!$M:$M,'Bilateral assistance, MAIN DATA'!$B:$B,'Share, heavy weapons to Ukraine'!$A17,'Bilateral assistance, MAIN DATA'!$AO:$AO,'Share, heavy weapons to Ukraine'!CI$1,'Bilateral assistance, MAIN DATA'!$AQ:$AQ,1)</f>
        <v>0</v>
      </c>
      <c r="CN17" s="645">
        <f>SUMIFS('Bilateral assistance, MAIN DATA'!$M:$M,'Bilateral assistance, MAIN DATA'!$B:$B,'Share, heavy weapons to Ukraine'!$A17,'Bilateral assistance, MAIN DATA'!$AO:$AO,"122mm MLRS",'Bilateral assistance, MAIN DATA'!$AQ:$AQ,1)+SUMIFS('Bilateral assistance, MAIN DATA'!$M:$M,'Bilateral assistance, MAIN DATA'!$B:$B,'Share, heavy weapons to Ukraine'!$A17,'Bilateral assistance, MAIN DATA'!$AO:$AO,"127mm MLRS",'Bilateral assistance, MAIN DATA'!$AQ:$AQ,1)+SUMIFS('Bilateral assistance, MAIN DATA'!$M:$M,'Bilateral assistance, MAIN DATA'!$B:$B,'Share, heavy weapons to Ukraine'!$A17,'Bilateral assistance, MAIN DATA'!$AO:$AO,"227mm MLRS",'Bilateral assistance, MAIN DATA'!$AQ:$AQ,1)</f>
        <v>0</v>
      </c>
      <c r="CP17" s="33">
        <f>SUMIFS('Bilateral assistance, MAIN DATA'!$M:$M,'Bilateral assistance, MAIN DATA'!$B:$B,'Share, heavy weapons to Ukraine'!$A17,'Bilateral assistance, MAIN DATA'!$AO:$AO,'Share, heavy weapons to Ukraine'!CP$1,'Bilateral assistance, MAIN DATA'!$AQ:$AQ,0)</f>
        <v>0</v>
      </c>
      <c r="CQ17" s="33">
        <f>SUMIFS('Bilateral assistance, MAIN DATA'!$M:$M,'Bilateral assistance, MAIN DATA'!$B:$B,'Share, heavy weapons to Ukraine'!$A17,'Bilateral assistance, MAIN DATA'!$AO:$AO,'Share, heavy weapons to Ukraine'!CQ$1,'Bilateral assistance, MAIN DATA'!$AQ:$AQ,0)</f>
        <v>0</v>
      </c>
      <c r="CR17" s="645">
        <f>SUMIFS('Bilateral assistance, MAIN DATA'!$M:$M,'Bilateral assistance, MAIN DATA'!$B:$B,'Share, heavy weapons to Ukraine'!$A17,'Bilateral assistance, MAIN DATA'!$AO:$AO,"122mm MLRS",'Bilateral assistance, MAIN DATA'!$AQ:$AQ,0)+SUMIFS('Bilateral assistance, MAIN DATA'!$M:$M,'Bilateral assistance, MAIN DATA'!$B:$B,'Share, heavy weapons to Ukraine'!$A17,'Bilateral assistance, MAIN DATA'!$AO:$AO,"127mm MLRS",'Bilateral assistance, MAIN DATA'!$AQ:$AQ,0)+SUMIFS('Bilateral assistance, MAIN DATA'!$M:$M,'Bilateral assistance, MAIN DATA'!$B:$B,'Share, heavy weapons to Ukraine'!$A17,'Bilateral assistance, MAIN DATA'!$AO:$AO,"227mm MLRS",'Bilateral assistance, MAIN DATA'!$AQ:$AQ,0)</f>
        <v>0</v>
      </c>
      <c r="CT17" s="33">
        <f>IF(VLOOKUP($A17,$A:CS,COLUMN(F16),FALSE)&lt;&gt;0,VLOOKUP($A17,$A:CS,COLUMN(CH16),FALSE)/VLOOKUP($A17,$A:AU,COLUMN(F16),FALSE),IF(VLOOKUP($A17,$A:CS,COLUMN(CH16),FALSE)&lt;&gt;0,"Strange",0))</f>
        <v>0</v>
      </c>
      <c r="CU17" s="33">
        <f>IF(VLOOKUP($A17,$A:CS,COLUMN(L16),FALSE)&lt;&gt;0,VLOOKUP($A17,$A:CS,COLUMN(CI16),FALSE)/VLOOKUP($A17,$A:AU,COLUMN(L16),FALSE),IF(VLOOKUP($A17,$A:CS,COLUMN(CI16),FALSE)&lt;&gt;0,"Strange",0))</f>
        <v>0</v>
      </c>
      <c r="CV17" s="33">
        <f>IF(VLOOKUP($A17,$A:CT,COLUMN(M16),FALSE)&lt;&gt;0,VLOOKUP($A17,$A:CT,COLUMN(CJ16),FALSE)/VLOOKUP($A17,$A:AV,COLUMN(M16),FALSE),IF(VLOOKUP($A17,$A:CT,COLUMN(CJ16),FALSE)&lt;&gt;0,"Strange",0))</f>
        <v>0</v>
      </c>
      <c r="CX17" s="33">
        <f>IF(VLOOKUP($A17,$A:CS,COLUMN(F16),FALSE)&lt;&gt;0,VLOOKUP($A17,$A:CS,COLUMN(CL16),FALSE)/VLOOKUP($A17,$A:AU,COLUMN(F16),FALSE),IF(VLOOKUP($A17,$A:CS,COLUMN(CL16),FALSE)&lt;&gt;0,"Strange",0))</f>
        <v>0</v>
      </c>
      <c r="CY17" s="33">
        <f>IF(VLOOKUP($A17,$A:CS,COLUMN(L16),FALSE)&lt;&gt;0,VLOOKUP($A17,$A:CS,COLUMN(CM16),FALSE)/VLOOKUP($A17,$A:AU,COLUMN(L16),FALSE),IF(VLOOKUP($A17,$A:CS,COLUMN(CM16),FALSE)&lt;&gt;0,"Strange",0))</f>
        <v>0</v>
      </c>
      <c r="CZ17" s="33">
        <f>IF(VLOOKUP($A17,$A:CT,COLUMN(M16),FALSE)&lt;&gt;0,VLOOKUP($A17,$A:CT,COLUMN(CN16),FALSE)/VLOOKUP($A17,$A:AV,COLUMN(M16),FALSE),IF(VLOOKUP($A17,$A:CT,COLUMN(CN16),FALSE)&lt;&gt;0,"Strange",0))</f>
        <v>0</v>
      </c>
      <c r="DB17" s="33">
        <f>IF(VLOOKUP($A17,$A:CS,COLUMN(F16),FALSE)&lt;&gt;0,VLOOKUP($A17,$A:CS,COLUMN(CP16),FALSE)/VLOOKUP($A17,$A:AU,COLUMN(F16),FALSE),IF(VLOOKUP($A17,$A:CS,COLUMN(CP16),FALSE)&lt;&gt;0,"Strange",0))</f>
        <v>0</v>
      </c>
      <c r="DC17" s="33">
        <f>IF(VLOOKUP($A17,$A:CS,COLUMN(L16),FALSE)&lt;&gt;0,VLOOKUP($A17,$A:CS,COLUMN(CQ16),FALSE)/VLOOKUP($A17,$A:AU,COLUMN(L16),FALSE),IF(VLOOKUP($A17,$A:CS,COLUMN(CQ16),FALSE)&lt;&gt;0,"Strange",0))</f>
        <v>0</v>
      </c>
      <c r="DD17" s="33">
        <f>IF(VLOOKUP($A17,$A:CT,COLUMN(M16),FALSE)&lt;&gt;0,VLOOKUP($A17,$A:CT,COLUMN(CR16),FALSE)/VLOOKUP($A17,$A:AV,COLUMN(M16),FALSE),IF(VLOOKUP($A17,$A:CT,COLUMN(CR16),FALSE)&lt;&gt;0,"Strange",0))</f>
        <v>0</v>
      </c>
      <c r="DF17" s="33">
        <f>SUMIFS('Bilateral assistance, MAIN DATA'!$M:$M,'Bilateral assistance, MAIN DATA'!$B:$B,'Share, heavy weapons to Ukraine'!$A17,'Bilateral assistance, MAIN DATA'!$AO:$AO,'Share, heavy weapons to Ukraine'!DF$1, 'Bilateral assistance, MAIN DATA'!$AA:$AA,1)</f>
        <v>0</v>
      </c>
      <c r="DG17" s="33">
        <f>SUMIFS('Bilateral assistance, MAIN DATA'!$M:$M,'Bilateral assistance, MAIN DATA'!$B:$B,'Share, heavy weapons to Ukraine'!$A17,'Bilateral assistance, MAIN DATA'!$AO:$AO,'Share, heavy weapons to Ukraine'!DG$1, 'Bilateral assistance, MAIN DATA'!$AA:$AA,1)</f>
        <v>0</v>
      </c>
      <c r="DH17" s="33">
        <f>SUMIFS('Bilateral assistance, MAIN DATA'!$M:$M,'Bilateral assistance, MAIN DATA'!$B:$B,'Share, heavy weapons to Ukraine'!$A17,'Bilateral assistance, MAIN DATA'!$AO:$AO,'Share, heavy weapons to Ukraine'!DH$1, 'Bilateral assistance, MAIN DATA'!$AA:$AA,1)</f>
        <v>0</v>
      </c>
      <c r="DI17" s="33">
        <f>SUMIFS('Bilateral assistance, MAIN DATA'!$M:$M,'Bilateral assistance, MAIN DATA'!$B:$B,'Share, heavy weapons to Ukraine'!$A17,'Bilateral assistance, MAIN DATA'!$AO:$AO,'Share, heavy weapons to Ukraine'!DI$1, 'Bilateral assistance, MAIN DATA'!$AA:$AA,1)</f>
        <v>0</v>
      </c>
      <c r="DK17" s="33">
        <f>SUMIFS('Bilateral assistance, MAIN DATA'!$N:$N,'Bilateral assistance, MAIN DATA'!$B:$B,'Share, heavy weapons to Ukraine'!$A17,'Bilateral assistance, MAIN DATA'!$AO:$AO,'Share, heavy weapons to Ukraine'!DK$1, 'Bilateral assistance, MAIN DATA'!$AA:$AA,1)</f>
        <v>0</v>
      </c>
      <c r="DL17" s="33">
        <f>SUMIFS('Bilateral assistance, MAIN DATA'!$N:$N,'Bilateral assistance, MAIN DATA'!$B:$B,'Share, heavy weapons to Ukraine'!$A17,'Bilateral assistance, MAIN DATA'!$AO:$AO,'Share, heavy weapons to Ukraine'!DL$1, 'Bilateral assistance, MAIN DATA'!$AA:$AA,1)</f>
        <v>0</v>
      </c>
      <c r="DM17" s="33">
        <f>SUMIFS('Bilateral assistance, MAIN DATA'!$N:$N,'Bilateral assistance, MAIN DATA'!$B:$B,'Share, heavy weapons to Ukraine'!$A17,'Bilateral assistance, MAIN DATA'!$AO:$AO,'Share, heavy weapons to Ukraine'!DM$1, 'Bilateral assistance, MAIN DATA'!$AA:$AA,1)</f>
        <v>0</v>
      </c>
      <c r="DN17" s="33">
        <f>SUMIFS('Bilateral assistance, MAIN DATA'!$N:$N,'Bilateral assistance, MAIN DATA'!$B:$B,'Share, heavy weapons to Ukraine'!$A17,'Bilateral assistance, MAIN DATA'!$AO:$AO,'Share, heavy weapons to Ukraine'!DN$1, 'Bilateral assistance, MAIN DATA'!$AA:$AA,1)</f>
        <v>0</v>
      </c>
    </row>
    <row r="18" spans="1:118">
      <c r="A18" s="801" t="s">
        <v>917</v>
      </c>
      <c r="B18" s="801">
        <v>0</v>
      </c>
      <c r="C18" s="33">
        <v>1</v>
      </c>
      <c r="E18" s="802">
        <v>5.96</v>
      </c>
      <c r="F18" s="801">
        <f>VLOOKUP(A18,'Heavy weapon stocks'!A:OH,COLUMN('Heavy weapon stocks'!$G$1),0)</f>
        <v>200</v>
      </c>
      <c r="G18" s="801">
        <f>VLOOKUP(A18,'Heavy weapon stocks'!A:OH,COLUMN('Heavy weapon stocks'!$AW$1),0)</f>
        <v>613</v>
      </c>
      <c r="H18" s="801">
        <f>VLOOKUP(A18,'Heavy weapon stocks'!A:OH,COLUMN('Heavy weapon stocks'!$DQ$1),0)</f>
        <v>0</v>
      </c>
      <c r="I18" s="801">
        <f>VLOOKUP(A18,'Heavy weapon stocks'!A:OH,COLUMN('Heavy weapon stocks'!$EE$1),0)</f>
        <v>0</v>
      </c>
      <c r="J18" s="801">
        <f>VLOOKUP(A18,'Heavy weapon stocks'!A:OH,COLUMN('Heavy weapon stocks'!$FG$1),0)</f>
        <v>212</v>
      </c>
      <c r="K18" s="801">
        <f t="shared" si="3"/>
        <v>825</v>
      </c>
      <c r="L18" s="801">
        <f>VLOOKUP(A18,'Heavy weapon stocks'!A:OH,COLUMN('Heavy weapon stocks'!$HC$1),0)+VLOOKUP(A18,'Heavy weapon stocks'!A:OH,COLUMN('Heavy weapon stocks'!$II$1),0)</f>
        <v>67</v>
      </c>
      <c r="M18" s="801">
        <f>VLOOKUP(A18,'Heavy weapon stocks'!A:OH,COLUMN('Heavy weapon stocks'!$IN$1),0)</f>
        <v>56</v>
      </c>
      <c r="N18" s="801">
        <f>VLOOKUP(A18,'Heavy weapon stocks'!A:OH,COLUMN('Heavy weapon stocks'!$JH$1),0)+VLOOKUP(A18,'Heavy weapon stocks'!A:OH,COLUMN('Heavy weapon stocks'!$KE$1),0)</f>
        <v>62</v>
      </c>
      <c r="O18" s="801">
        <f>VLOOKUP(A18,'Heavy weapon stocks'!A:OH,COLUMN('Heavy weapon stocks'!$LU$1),0)</f>
        <v>0</v>
      </c>
      <c r="Q18" s="801">
        <f>VLOOKUP(A18,'Heavy weapon stocks'!A:OH,COLUMN('Heavy weapon stocks'!$LV$1),0)</f>
        <v>0</v>
      </c>
      <c r="R18" s="801">
        <f>VLOOKUP(A18,'Heavy weapon stocks'!A:OH,COLUMN('Heavy weapon stocks'!$MF$1),0)</f>
        <v>0</v>
      </c>
      <c r="S18" s="801">
        <f>VLOOKUP(A18,'Heavy weapon stocks'!A:OH,COLUMN('Heavy weapon stocks'!$MM$1),0)</f>
        <v>44</v>
      </c>
      <c r="T18" s="801">
        <f>VLOOKUP(A18,'Heavy weapon stocks'!A:OH,COLUMN('Heavy weapon stocks'!$NR$1),0)</f>
        <v>16</v>
      </c>
      <c r="V18" s="801">
        <f>VLOOKUP(A18,'Heavy weapon stocks'!A:OH,COLUMN('Heavy weapon stocks'!$H$1),0)</f>
        <v>100</v>
      </c>
      <c r="W18" s="801">
        <f>VLOOKUP(A18,'Heavy weapon stocks'!A:OH,COLUMN('Heavy weapon stocks'!$DQ$1),0)</f>
        <v>0</v>
      </c>
      <c r="X18" s="801">
        <f>VLOOKUP(A18,'Heavy weapon stocks'!A:OH,COLUMN('Heavy weapon stocks'!$FG$1),0)</f>
        <v>212</v>
      </c>
      <c r="Y18" s="801">
        <f>VLOOKUP(A18,'Heavy weapon stocks'!A:OH,COLUMN('Heavy weapon stocks'!$HC$1),0)+VLOOKUP(A18,'Heavy weapon stocks'!A:OH,COLUMN('Heavy weapon stocks'!$II$1),0)</f>
        <v>67</v>
      </c>
      <c r="Z18" s="801">
        <f>VLOOKUP(A18,'Heavy weapon stocks'!A:OH,COLUMN('Heavy weapon stocks'!$IO$1),0)+VLOOKUP(A18,'Heavy weapon stocks'!A:OH,COLUMN('Heavy weapon stocks'!$IP$1),0)+VLOOKUP(A18,'Heavy weapon stocks'!A:OH,COLUMN('Heavy weapon stocks'!$IU$1),0)</f>
        <v>22</v>
      </c>
      <c r="AA18" s="801">
        <f>VLOOKUP(A18,'Heavy weapon stocks'!A:OH,COLUMN('Heavy weapon stocks'!$MI$1),0)</f>
        <v>0</v>
      </c>
      <c r="AB18" s="801">
        <f>VLOOKUP(A18,'Heavy weapon stocks'!A:OH,COLUMN('Heavy weapon stocks'!$MS$1),0)+VLOOKUP(A18,'Heavy weapon stocks'!A:OH,COLUMN('Heavy weapon stocks'!$MT$1),0)+VLOOKUP(A18,'Heavy weapon stocks'!A:OH,COLUMN('Heavy weapon stocks'!$MU$1),0)+VLOOKUP(A18,'Heavy weapon stocks'!A:OH,COLUMN('Heavy weapon stocks'!$MV$1),0)</f>
        <v>24</v>
      </c>
      <c r="AD18" s="33">
        <f>SUMIFS('Bilateral assistance, MAIN DATA'!$M:$M,'Bilateral assistance, MAIN DATA'!$B:$B,'Share, heavy weapons to Ukraine'!$A18,'Bilateral assistance, MAIN DATA'!$AO:$AO,'Share, heavy weapons to Ukraine'!AD$1)</f>
        <v>0</v>
      </c>
      <c r="AE18" s="33">
        <f>SUMIFS('Bilateral assistance, MAIN DATA'!$M:$M,'Bilateral assistance, MAIN DATA'!$B:$B,'Share, heavy weapons to Ukraine'!$A18,'Bilateral assistance, MAIN DATA'!$AO:$AO,'Share, heavy weapons to Ukraine'!AE$1)</f>
        <v>0</v>
      </c>
      <c r="AF18" s="33">
        <f>SUMIFS('Bilateral assistance, MAIN DATA'!$M:$M,'Bilateral assistance, MAIN DATA'!$B:$B,'Share, heavy weapons to Ukraine'!$A18,'Bilateral assistance, MAIN DATA'!$AO:$AO,'Share, heavy weapons to Ukraine'!AF$1)</f>
        <v>0</v>
      </c>
      <c r="AG18" s="33">
        <f>SUMIFS('Bilateral assistance, MAIN DATA'!$M:$M,'Bilateral assistance, MAIN DATA'!$B:$B,'Share, heavy weapons to Ukraine'!$A18,'Bilateral assistance, MAIN DATA'!$AO:$AO,'Share, heavy weapons to Ukraine'!AG$1)</f>
        <v>0</v>
      </c>
      <c r="AH18" s="33">
        <f>SUMIFS('Bilateral assistance, MAIN DATA'!$M:$M,'Bilateral assistance, MAIN DATA'!$B:$B,'Share, heavy weapons to Ukraine'!$A18,'Bilateral assistance, MAIN DATA'!$AO:$AO,'Share, heavy weapons to Ukraine'!AH$1)</f>
        <v>0</v>
      </c>
      <c r="AI18" s="33">
        <f t="shared" si="1"/>
        <v>0</v>
      </c>
      <c r="AJ18" s="33">
        <f>SUMIFS('Bilateral assistance, MAIN DATA'!$M:$M,'Bilateral assistance, MAIN DATA'!$B:$B,'Share, heavy weapons to Ukraine'!$A18,'Bilateral assistance, MAIN DATA'!$AO:$AO,'Share, heavy weapons to Ukraine'!AJ$1)</f>
        <v>0</v>
      </c>
      <c r="AK18" s="645">
        <f>SUMIFS('Bilateral assistance, MAIN DATA'!$M:$M,'Bilateral assistance, MAIN DATA'!$B:$B,'Share, heavy weapons to Ukraine'!$A18,'Bilateral assistance, MAIN DATA'!$AO:$AO,"122mm MLRS")+SUMIFS('Bilateral assistance, MAIN DATA'!$M:$M,'Bilateral assistance, MAIN DATA'!$B:$B,'Share, heavy weapons to Ukraine'!$A18,'Bilateral assistance, MAIN DATA'!$AO:$AO,"127mm MLRS")+SUMIFS('Bilateral assistance, MAIN DATA'!$M:$M,'Bilateral assistance, MAIN DATA'!$B:$B,'Share, heavy weapons to Ukraine'!$A18,'Bilateral assistance, MAIN DATA'!$AO:$AO,"227mm MLRS")</f>
        <v>0</v>
      </c>
      <c r="AL18" s="33">
        <f>SUMIFS('Bilateral assistance, MAIN DATA'!$M:$M,'Bilateral assistance, MAIN DATA'!$B:$B,'Share, heavy weapons to Ukraine'!$A18,'Bilateral assistance, MAIN DATA'!$AO:$AO,'Share, heavy weapons to Ukraine'!AL$1)</f>
        <v>0</v>
      </c>
      <c r="AM18" s="33">
        <f>SUMIFS('Bilateral assistance, MAIN DATA'!$M:$M,'Bilateral assistance, MAIN DATA'!$B:$B,'Share, heavy weapons to Ukraine'!$A18,'Bilateral assistance, MAIN DATA'!$AO:$AO,'Share, heavy weapons to Ukraine'!AM$1)</f>
        <v>0</v>
      </c>
      <c r="AN18" s="33">
        <f>SUMIFS('Bilateral assistance, MAIN DATA'!$M:$M,'Bilateral assistance, MAIN DATA'!$B:$B,'Share, heavy weapons to Ukraine'!$A18,'Bilateral assistance, MAIN DATA'!$AO:$AO,'Share, heavy weapons to Ukraine'!AN$1)</f>
        <v>0</v>
      </c>
      <c r="AO18" s="33">
        <f>SUMIFS('Bilateral assistance, MAIN DATA'!$M:$M,'Bilateral assistance, MAIN DATA'!$B:$B,'Share, heavy weapons to Ukraine'!$A18,'Bilateral assistance, MAIN DATA'!$AO:$AO,'Share, heavy weapons to Ukraine'!AO$1)</f>
        <v>0</v>
      </c>
      <c r="AP18" s="33">
        <f>SUMIFS('Bilateral assistance, MAIN DATA'!$M:$M,'Bilateral assistance, MAIN DATA'!$B:$B,'Share, heavy weapons to Ukraine'!$A18,'Bilateral assistance, MAIN DATA'!$AO:$AO,'Share, heavy weapons to Ukraine'!AP$1)</f>
        <v>0</v>
      </c>
      <c r="AR18" s="33">
        <f>SUMIFS('Bilateral assistance, MAIN DATA'!$N:$N,'Bilateral assistance, MAIN DATA'!$B:$B,'Share, heavy weapons to Ukraine'!$A18,'Bilateral assistance, MAIN DATA'!$AO:$AO,'Share, heavy weapons to Ukraine'!AR$1)</f>
        <v>0</v>
      </c>
      <c r="AS18" s="33">
        <f>SUMIFS('Bilateral assistance, MAIN DATA'!$N:$N,'Bilateral assistance, MAIN DATA'!$B:$B,'Share, heavy weapons to Ukraine'!$A18,'Bilateral assistance, MAIN DATA'!$AO:$AO,'Share, heavy weapons to Ukraine'!AS$1)</f>
        <v>0</v>
      </c>
      <c r="AT18" s="33">
        <f>SUMIFS('Bilateral assistance, MAIN DATA'!$N:$N,'Bilateral assistance, MAIN DATA'!$B:$B,'Share, heavy weapons to Ukraine'!$A18,'Bilateral assistance, MAIN DATA'!$AO:$AO,'Share, heavy weapons to Ukraine'!AT$1)</f>
        <v>0</v>
      </c>
      <c r="AU18" s="33">
        <f>SUMIFS('Bilateral assistance, MAIN DATA'!$N:$N,'Bilateral assistance, MAIN DATA'!$B:$B,'Share, heavy weapons to Ukraine'!$A18,'Bilateral assistance, MAIN DATA'!$AO:$AO,'Share, heavy weapons to Ukraine'!AU$1)</f>
        <v>0</v>
      </c>
      <c r="AV18" s="33">
        <f>SUMIFS('Bilateral assistance, MAIN DATA'!$N:$N,'Bilateral assistance, MAIN DATA'!$B:$B,'Share, heavy weapons to Ukraine'!$A18,'Bilateral assistance, MAIN DATA'!$AO:$AO,'Share, heavy weapons to Ukraine'!AV$1)</f>
        <v>0</v>
      </c>
      <c r="AW18" s="33">
        <f t="shared" si="2"/>
        <v>0</v>
      </c>
      <c r="AX18" s="33">
        <f>SUMIFS('Bilateral assistance, MAIN DATA'!$N:$N,'Bilateral assistance, MAIN DATA'!$B:$B,'Share, heavy weapons to Ukraine'!$A18,'Bilateral assistance, MAIN DATA'!$AO:$AO,'Share, heavy weapons to Ukraine'!AX$1)</f>
        <v>0</v>
      </c>
      <c r="AY18" s="645">
        <f>SUMIFS('Bilateral assistance, MAIN DATA'!$N:$N,'Bilateral assistance, MAIN DATA'!$B:$B,'Share, heavy weapons to Ukraine'!$A18,'Bilateral assistance, MAIN DATA'!$AO:$AO,"122mm MLRS")+SUMIFS('Bilateral assistance, MAIN DATA'!$N:$N,'Bilateral assistance, MAIN DATA'!$B:$B,'Share, heavy weapons to Ukraine'!$A18,'Bilateral assistance, MAIN DATA'!$AO:$AO,"127mm MLRS")+SUMIFS('Bilateral assistance, MAIN DATA'!$N:$N,'Bilateral assistance, MAIN DATA'!$B:$B,'Share, heavy weapons to Ukraine'!$A18,'Bilateral assistance, MAIN DATA'!$AO:$AO,"227mm MLRS")</f>
        <v>0</v>
      </c>
      <c r="AZ18" s="33">
        <f>SUMIFS('Bilateral assistance, MAIN DATA'!$N:$N,'Bilateral assistance, MAIN DATA'!$B:$B,'Share, heavy weapons to Ukraine'!$A18,'Bilateral assistance, MAIN DATA'!$AO:$AO,'Share, heavy weapons to Ukraine'!AZ$1)</f>
        <v>0</v>
      </c>
      <c r="BA18" s="33">
        <f>SUMIFS('Bilateral assistance, MAIN DATA'!$N:$N,'Bilateral assistance, MAIN DATA'!$B:$B,'Share, heavy weapons to Ukraine'!$A18,'Bilateral assistance, MAIN DATA'!$AO:$AO,'Share, heavy weapons to Ukraine'!BA$1)</f>
        <v>0</v>
      </c>
      <c r="BB18" s="33">
        <f>SUMIFS('Bilateral assistance, MAIN DATA'!$N:$N,'Bilateral assistance, MAIN DATA'!$B:$B,'Share, heavy weapons to Ukraine'!$A18,'Bilateral assistance, MAIN DATA'!$AO:$AO,'Share, heavy weapons to Ukraine'!BB$1)</f>
        <v>0</v>
      </c>
      <c r="BC18" s="33">
        <f>SUMIFS('Bilateral assistance, MAIN DATA'!$N:$N,'Bilateral assistance, MAIN DATA'!$B:$B,'Share, heavy weapons to Ukraine'!$A18,'Bilateral assistance, MAIN DATA'!$AO:$AO,'Share, heavy weapons to Ukraine'!BC$1)</f>
        <v>0</v>
      </c>
      <c r="BD18" s="33">
        <f>SUMIFS('Bilateral assistance, MAIN DATA'!$N:$N,'Bilateral assistance, MAIN DATA'!$B:$B,'Share, heavy weapons to Ukraine'!$A18,'Bilateral assistance, MAIN DATA'!$AO:$AO,'Share, heavy weapons to Ukraine'!BD$1)</f>
        <v>0</v>
      </c>
      <c r="BF18" s="33">
        <f>IF(VLOOKUP($A18,$A:F,COLUMN(F17),FALSE)&lt;&gt;0,VLOOKUP($A18,$A:AD,COLUMN(AD17),FALSE)/VLOOKUP($A18,$A:F,COLUMN(F17),FALSE),IF(VLOOKUP($A18,$A:AD,COLUMN(AD17),FALSE)&lt;&gt;0,"Strange",0))</f>
        <v>0</v>
      </c>
      <c r="BG18" s="33">
        <f>IF(VLOOKUP($A18,$A:G,COLUMN(G17),FALSE)&lt;&gt;0,VLOOKUP($A18,$A:AE,COLUMN(AE17),FALSE)/VLOOKUP($A18,$A:G,COLUMN(G17),FALSE),IF(VLOOKUP($A18,$A:AE,COLUMN(AE17),FALSE)&lt;&gt;0,"Strange",0))</f>
        <v>0</v>
      </c>
      <c r="BH18" s="33">
        <f>IF(VLOOKUP($A18,$A:H,COLUMN(H17),FALSE)&lt;&gt;0,VLOOKUP($A18,$A:AF,COLUMN(AF17),FALSE)/VLOOKUP($A18,$A:H,COLUMN(H17),FALSE),IF(VLOOKUP($A18,$A:AF,COLUMN(AF17),FALSE)&lt;&gt;0,"Strange",0))</f>
        <v>0</v>
      </c>
      <c r="BI18" s="33">
        <f>IF(VLOOKUP($A18,$A:I,COLUMN(I17),FALSE)&lt;&gt;0,VLOOKUP($A18,$A:AG,COLUMN(AG17),FALSE)/VLOOKUP($A18,$A:I,COLUMN(I17),FALSE),IF(VLOOKUP($A18,$A:AG,COLUMN(AG17),FALSE)&lt;&gt;0,"Strange",0))</f>
        <v>0</v>
      </c>
      <c r="BJ18" s="33">
        <f>IF(VLOOKUP($A18,$A:J,COLUMN(J17),FALSE)&lt;&gt;0,VLOOKUP($A18,$A:AH,COLUMN(AH17),FALSE)/VLOOKUP($A18,$A:J,COLUMN(J17),FALSE),IF(VLOOKUP($A18,$A:AH,COLUMN(AH17),FALSE)&lt;&gt;0,"Strange",0))</f>
        <v>0</v>
      </c>
      <c r="BK18" s="33">
        <f>IF(VLOOKUP($A18,$A:K,COLUMN(K17),FALSE)&lt;&gt;0,VLOOKUP($A18,$A:AI,COLUMN(AI17),FALSE)/VLOOKUP($A18,$A:K,COLUMN(K17),FALSE),IF(VLOOKUP($A18,$A:AI,COLUMN(AI17),FALSE)&lt;&gt;0,"Strange",0))</f>
        <v>0</v>
      </c>
      <c r="BL18" s="33">
        <f>IF(VLOOKUP($A18,$A:L,COLUMN(L17),FALSE)&lt;&gt;0,VLOOKUP($A18,$A:AJ,COLUMN(AJ17),FALSE)/VLOOKUP($A18,$A:L,COLUMN(L17),FALSE),IF(VLOOKUP($A18,$A:AJ,COLUMN(AJ17),FALSE)&lt;&gt;0,"Strange",0))</f>
        <v>0</v>
      </c>
      <c r="BM18" s="33">
        <f>IF(VLOOKUP($A18,$A:M,COLUMN(M17),FALSE)&lt;&gt;0,VLOOKUP($A18,$A:AK,COLUMN(AK17),FALSE)/VLOOKUP($A18,$A:M,COLUMN(M17),FALSE),IF(VLOOKUP($A18,$A:AK,COLUMN(AK17),FALSE)&lt;&gt;0,"Strange",0))</f>
        <v>0</v>
      </c>
      <c r="BN18" s="33">
        <f>IF(VLOOKUP($A18,$A:N,COLUMN(N17),FALSE)&lt;&gt;0,VLOOKUP($A18,$A:AL,COLUMN(AL17),FALSE)/VLOOKUP($A18,$A:N,COLUMN(N17),FALSE),IF(VLOOKUP($A18,$A:AL,COLUMN(AL17),FALSE)&lt;&gt;0,"Strange",0))</f>
        <v>0</v>
      </c>
      <c r="BO18" s="33">
        <f>IF(VLOOKUP($A18,$A:Q,COLUMN(Q17),FALSE)&lt;&gt;0,VLOOKUP($A18,$A:AM,COLUMN(AM17),FALSE)/VLOOKUP($A18,$A:Q,COLUMN(Q17),FALSE),IF(VLOOKUP($A18,$A:AM,COLUMN(AM17),FALSE)&lt;&gt;0,"Strange",0))</f>
        <v>0</v>
      </c>
      <c r="BP18" s="33">
        <f>IF(VLOOKUP($A18,$A:R,COLUMN(R17),FALSE)&lt;&gt;0,VLOOKUP($A18,$A:AN,COLUMN(AN17),FALSE)/VLOOKUP($A18,$A:R,COLUMN(R17),FALSE),IF(VLOOKUP($A18,$A:AN,COLUMN(AN17),FALSE)&lt;&gt;0,"Strange",0))</f>
        <v>0</v>
      </c>
      <c r="BQ18" s="33">
        <f>IF(VLOOKUP($A18,$A:S,COLUMN(S17),FALSE)&lt;&gt;0,VLOOKUP($A18,$A:AO,COLUMN(AO17),FALSE)/VLOOKUP($A18,$A:S,COLUMN(S17),FALSE),IF(VLOOKUP($A18,$A:AO,COLUMN(AO17),FALSE)&lt;&gt;0,"Strange",0))</f>
        <v>0</v>
      </c>
      <c r="BR18" s="33">
        <f>IF(VLOOKUP($A18,$A:T,COLUMN(T17),FALSE)&lt;&gt;0,VLOOKUP($A18,$A:AP,COLUMN(AP17),FALSE)/VLOOKUP($A18,$A:T,COLUMN(T17),FALSE),IF(VLOOKUP($A18,$A:AP,COLUMN(AP17),FALSE)&lt;&gt;0,"Strange",0))</f>
        <v>0</v>
      </c>
      <c r="BT18" s="33">
        <f>IF(VLOOKUP($A18,$A:AE,COLUMN(F17),FALSE)&lt;&gt;0,VLOOKUP($A18,$A:AS,COLUMN(AR17),FALSE)/VLOOKUP($A18,$A:AE,COLUMN(F17),FALSE),IF(VLOOKUP($A18,$A:AS,COLUMN(AR17),FALSE)&lt;&gt;0,"Strange",0))</f>
        <v>0</v>
      </c>
      <c r="BU18" s="33">
        <f>IF(VLOOKUP($A18,$A:AF,COLUMN(G17),FALSE)&lt;&gt;0,VLOOKUP($A18,$A:AT,COLUMN(AS17),FALSE)/VLOOKUP($A18,$A:AF,COLUMN(G17),FALSE),IF(VLOOKUP($A18,$A:AT,COLUMN(AS17),FALSE)&lt;&gt;0,"Strange",0))</f>
        <v>0</v>
      </c>
      <c r="BV18" s="33">
        <f>IF(VLOOKUP($A18,$A:AG,COLUMN(H17),FALSE)&lt;&gt;0,VLOOKUP($A18,$A:AU,COLUMN(AT17),FALSE)/VLOOKUP($A18,$A:AG,COLUMN(H17),FALSE),IF(VLOOKUP($A18,$A:AU,COLUMN(AT17),FALSE)&lt;&gt;0,"Strange",0))</f>
        <v>0</v>
      </c>
      <c r="BW18" s="33">
        <f>IF(VLOOKUP($A18,$A:AH,COLUMN(I17),FALSE)&lt;&gt;0,VLOOKUP($A18,$A:AV,COLUMN(AU17),FALSE)/VLOOKUP($A18,$A:AH,COLUMN(I17),FALSE),IF(VLOOKUP($A18,$A:AV,COLUMN(AU17),FALSE)&lt;&gt;0,"Strange",0))</f>
        <v>0</v>
      </c>
      <c r="BX18" s="33">
        <f>IF(VLOOKUP($A18,$A:AJ,COLUMN(J17),FALSE)&lt;&gt;0,VLOOKUP($A18,$A:AX,COLUMN(AV17),FALSE)/VLOOKUP($A18,$A:AJ,COLUMN(J17),FALSE),IF(VLOOKUP($A18,$A:AX,COLUMN(AV17),FALSE)&lt;&gt;0,"Strange",0))</f>
        <v>0</v>
      </c>
      <c r="BY18" s="33">
        <f>IF(VLOOKUP($A18,$A:AK,COLUMN(K17),FALSE)&lt;&gt;0,VLOOKUP($A18,$A:AY,COLUMN(AW17),FALSE)/VLOOKUP($A18,$A:AK,COLUMN(K17),FALSE),IF(VLOOKUP($A18,$A:AY,COLUMN(AW17),FALSE)&lt;&gt;0,"Strange",0))</f>
        <v>0</v>
      </c>
      <c r="BZ18" s="33">
        <f>IF(VLOOKUP($A18,$A:AK,COLUMN(L17),FALSE)&lt;&gt;0,VLOOKUP($A18,$A:AY,COLUMN(AX17),FALSE)/VLOOKUP($A18,$A:AK,COLUMN(L17),FALSE),IF(VLOOKUP($A18,$A:AY,COLUMN(AX17),FALSE)&lt;&gt;0,"Strange",0))</f>
        <v>0</v>
      </c>
      <c r="CA18" s="33">
        <f>IF(VLOOKUP($A18,$A:AL,COLUMN(M17),FALSE)&lt;&gt;0,VLOOKUP($A18,$A:AZ,COLUMN(AY17),FALSE)/VLOOKUP($A18,$A:AL,COLUMN(M17),FALSE),IF(VLOOKUP($A18,$A:AZ,COLUMN(AY17),FALSE)&lt;&gt;0,"Strange",0))</f>
        <v>0</v>
      </c>
      <c r="CB18" s="33">
        <f>IF(VLOOKUP($A18,$A:AL,COLUMN(N17),FALSE)&lt;&gt;0,VLOOKUP($A18,$A:AZ,COLUMN(AZ17),FALSE)/VLOOKUP($A18,$A:AL,COLUMN(N17),FALSE),IF(VLOOKUP($A18,$A:AZ,COLUMN(AZ17),FALSE)&lt;&gt;0,"Strange",0))</f>
        <v>0</v>
      </c>
      <c r="CC18" s="33">
        <f>IF(VLOOKUP($A18,$A:AM,COLUMN(Q17),FALSE)&lt;&gt;0,VLOOKUP($A18,$A:BA,COLUMN(BA17),FALSE)/VLOOKUP($A18,$A:AM,COLUMN(Q17),FALSE),IF(VLOOKUP($A18,$A:BA,COLUMN(BA17),FALSE)&lt;&gt;0,"Strange",0))</f>
        <v>0</v>
      </c>
      <c r="CD18" s="33">
        <f>IF(VLOOKUP($A18,$A:AN,COLUMN(R17),FALSE)&lt;&gt;0,VLOOKUP($A18,$A:BB,COLUMN(BB17),FALSE)/VLOOKUP($A18,$A:AN,COLUMN(R17),FALSE),IF(VLOOKUP($A18,$A:BB,COLUMN(BB17),FALSE)&lt;&gt;0,"Strange",0))</f>
        <v>0</v>
      </c>
      <c r="CE18" s="33">
        <f>IF(VLOOKUP($A18,$A:AO,COLUMN(S17),FALSE)&lt;&gt;0,VLOOKUP($A18,$A:BC,COLUMN(BC17),FALSE)/VLOOKUP($A18,$A:AO,COLUMN(S17),FALSE),IF(VLOOKUP($A18,$A:BC,COLUMN(BC17),FALSE)&lt;&gt;0,"Strange",0))</f>
        <v>0</v>
      </c>
      <c r="CF18" s="33">
        <f>IF(VLOOKUP($A18,$A:AP,COLUMN(T17),FALSE)&lt;&gt;0,VLOOKUP($A18,$A:BD,COLUMN(BD17),FALSE)/VLOOKUP($A18,$A:AP,COLUMN(T17),FALSE),IF(VLOOKUP($A18,$A:BD,COLUMN(BD17),FALSE)&lt;&gt;0,"Strange",0))</f>
        <v>0</v>
      </c>
      <c r="CH18" s="33">
        <f>SUMIFS('Bilateral assistance, MAIN DATA'!$M:$M,'Bilateral assistance, MAIN DATA'!$B:$B,'Share, heavy weapons to Ukraine'!$A18,'Bilateral assistance, MAIN DATA'!$AO:$AO,'Share, heavy weapons to Ukraine'!CH$1,'Bilateral assistance, MAIN DATA'!$AQ:$AQ,2)</f>
        <v>0</v>
      </c>
      <c r="CI18" s="33">
        <f>SUMIFS('Bilateral assistance, MAIN DATA'!$M:$M,'Bilateral assistance, MAIN DATA'!$B:$B,'Share, heavy weapons to Ukraine'!$A18,'Bilateral assistance, MAIN DATA'!$AO:$AO,'Share, heavy weapons to Ukraine'!CI$1,'Bilateral assistance, MAIN DATA'!$AQ:$AQ,2)</f>
        <v>0</v>
      </c>
      <c r="CJ18" s="645">
        <f>SUMIFS('Bilateral assistance, MAIN DATA'!$M:$M,'Bilateral assistance, MAIN DATA'!$B:$B,'Share, heavy weapons to Ukraine'!$A18,'Bilateral assistance, MAIN DATA'!$AO:$AO,"122mm MLRS",'Bilateral assistance, MAIN DATA'!$AQ:$AQ,2)+SUMIFS('Bilateral assistance, MAIN DATA'!$M:$M,'Bilateral assistance, MAIN DATA'!$B:$B,'Share, heavy weapons to Ukraine'!$A18,'Bilateral assistance, MAIN DATA'!$AO:$AO,"127mm MLRS",'Bilateral assistance, MAIN DATA'!$AQ:$AQ,2)+SUMIFS('Bilateral assistance, MAIN DATA'!$M:$M,'Bilateral assistance, MAIN DATA'!$B:$B,'Share, heavy weapons to Ukraine'!$A18,'Bilateral assistance, MAIN DATA'!$AO:$AO,"227mm MLRS",'Bilateral assistance, MAIN DATA'!$AQ:$AQ,2)</f>
        <v>0</v>
      </c>
      <c r="CL18" s="33">
        <f>SUMIFS('Bilateral assistance, MAIN DATA'!$M:$M,'Bilateral assistance, MAIN DATA'!$B:$B,'Share, heavy weapons to Ukraine'!$A18,'Bilateral assistance, MAIN DATA'!$AO:$AO,'Share, heavy weapons to Ukraine'!CH$1,'Bilateral assistance, MAIN DATA'!$AQ:$AQ,1)</f>
        <v>0</v>
      </c>
      <c r="CM18" s="33">
        <f>SUMIFS('Bilateral assistance, MAIN DATA'!$M:$M,'Bilateral assistance, MAIN DATA'!$B:$B,'Share, heavy weapons to Ukraine'!$A18,'Bilateral assistance, MAIN DATA'!$AO:$AO,'Share, heavy weapons to Ukraine'!CI$1,'Bilateral assistance, MAIN DATA'!$AQ:$AQ,1)</f>
        <v>0</v>
      </c>
      <c r="CN18" s="645">
        <f>SUMIFS('Bilateral assistance, MAIN DATA'!$M:$M,'Bilateral assistance, MAIN DATA'!$B:$B,'Share, heavy weapons to Ukraine'!$A18,'Bilateral assistance, MAIN DATA'!$AO:$AO,"122mm MLRS",'Bilateral assistance, MAIN DATA'!$AQ:$AQ,1)+SUMIFS('Bilateral assistance, MAIN DATA'!$M:$M,'Bilateral assistance, MAIN DATA'!$B:$B,'Share, heavy weapons to Ukraine'!$A18,'Bilateral assistance, MAIN DATA'!$AO:$AO,"127mm MLRS",'Bilateral assistance, MAIN DATA'!$AQ:$AQ,1)+SUMIFS('Bilateral assistance, MAIN DATA'!$M:$M,'Bilateral assistance, MAIN DATA'!$B:$B,'Share, heavy weapons to Ukraine'!$A18,'Bilateral assistance, MAIN DATA'!$AO:$AO,"227mm MLRS",'Bilateral assistance, MAIN DATA'!$AQ:$AQ,1)</f>
        <v>0</v>
      </c>
      <c r="CP18" s="33">
        <f>SUMIFS('Bilateral assistance, MAIN DATA'!$M:$M,'Bilateral assistance, MAIN DATA'!$B:$B,'Share, heavy weapons to Ukraine'!$A18,'Bilateral assistance, MAIN DATA'!$AO:$AO,'Share, heavy weapons to Ukraine'!CP$1,'Bilateral assistance, MAIN DATA'!$AQ:$AQ,0)</f>
        <v>0</v>
      </c>
      <c r="CQ18" s="33">
        <f>SUMIFS('Bilateral assistance, MAIN DATA'!$M:$M,'Bilateral assistance, MAIN DATA'!$B:$B,'Share, heavy weapons to Ukraine'!$A18,'Bilateral assistance, MAIN DATA'!$AO:$AO,'Share, heavy weapons to Ukraine'!CQ$1,'Bilateral assistance, MAIN DATA'!$AQ:$AQ,0)</f>
        <v>0</v>
      </c>
      <c r="CR18" s="645">
        <f>SUMIFS('Bilateral assistance, MAIN DATA'!$M:$M,'Bilateral assistance, MAIN DATA'!$B:$B,'Share, heavy weapons to Ukraine'!$A18,'Bilateral assistance, MAIN DATA'!$AO:$AO,"122mm MLRS",'Bilateral assistance, MAIN DATA'!$AQ:$AQ,0)+SUMIFS('Bilateral assistance, MAIN DATA'!$M:$M,'Bilateral assistance, MAIN DATA'!$B:$B,'Share, heavy weapons to Ukraine'!$A18,'Bilateral assistance, MAIN DATA'!$AO:$AO,"127mm MLRS",'Bilateral assistance, MAIN DATA'!$AQ:$AQ,0)+SUMIFS('Bilateral assistance, MAIN DATA'!$M:$M,'Bilateral assistance, MAIN DATA'!$B:$B,'Share, heavy weapons to Ukraine'!$A18,'Bilateral assistance, MAIN DATA'!$AO:$AO,"227mm MLRS",'Bilateral assistance, MAIN DATA'!$AQ:$AQ,0)</f>
        <v>0</v>
      </c>
      <c r="CT18" s="33">
        <f>IF(VLOOKUP($A18,$A:CS,COLUMN(F17),FALSE)&lt;&gt;0,VLOOKUP($A18,$A:CS,COLUMN(CH17),FALSE)/VLOOKUP($A18,$A:AU,COLUMN(F17),FALSE),IF(VLOOKUP($A18,$A:CS,COLUMN(CH17),FALSE)&lt;&gt;0,"Strange",0))</f>
        <v>0</v>
      </c>
      <c r="CU18" s="33">
        <f>IF(VLOOKUP($A18,$A:CS,COLUMN(L17),FALSE)&lt;&gt;0,VLOOKUP($A18,$A:CS,COLUMN(CI17),FALSE)/VLOOKUP($A18,$A:AU,COLUMN(L17),FALSE),IF(VLOOKUP($A18,$A:CS,COLUMN(CI17),FALSE)&lt;&gt;0,"Strange",0))</f>
        <v>0</v>
      </c>
      <c r="CV18" s="33">
        <f>IF(VLOOKUP($A18,$A:CT,COLUMN(M17),FALSE)&lt;&gt;0,VLOOKUP($A18,$A:CT,COLUMN(CJ17),FALSE)/VLOOKUP($A18,$A:AV,COLUMN(M17),FALSE),IF(VLOOKUP($A18,$A:CT,COLUMN(CJ17),FALSE)&lt;&gt;0,"Strange",0))</f>
        <v>0</v>
      </c>
      <c r="CX18" s="33">
        <f>IF(VLOOKUP($A18,$A:CS,COLUMN(F17),FALSE)&lt;&gt;0,VLOOKUP($A18,$A:CS,COLUMN(CL17),FALSE)/VLOOKUP($A18,$A:AU,COLUMN(F17),FALSE),IF(VLOOKUP($A18,$A:CS,COLUMN(CL17),FALSE)&lt;&gt;0,"Strange",0))</f>
        <v>0</v>
      </c>
      <c r="CY18" s="33">
        <f>IF(VLOOKUP($A18,$A:CS,COLUMN(L17),FALSE)&lt;&gt;0,VLOOKUP($A18,$A:CS,COLUMN(CM17),FALSE)/VLOOKUP($A18,$A:AU,COLUMN(L17),FALSE),IF(VLOOKUP($A18,$A:CS,COLUMN(CM17),FALSE)&lt;&gt;0,"Strange",0))</f>
        <v>0</v>
      </c>
      <c r="CZ18" s="33">
        <f>IF(VLOOKUP($A18,$A:CT,COLUMN(M17),FALSE)&lt;&gt;0,VLOOKUP($A18,$A:CT,COLUMN(CN17),FALSE)/VLOOKUP($A18,$A:AV,COLUMN(M17),FALSE),IF(VLOOKUP($A18,$A:CT,COLUMN(CN17),FALSE)&lt;&gt;0,"Strange",0))</f>
        <v>0</v>
      </c>
      <c r="DB18" s="33">
        <f>IF(VLOOKUP($A18,$A:CS,COLUMN(F17),FALSE)&lt;&gt;0,VLOOKUP($A18,$A:CS,COLUMN(CP17),FALSE)/VLOOKUP($A18,$A:AU,COLUMN(F17),FALSE),IF(VLOOKUP($A18,$A:CS,COLUMN(CP17),FALSE)&lt;&gt;0,"Strange",0))</f>
        <v>0</v>
      </c>
      <c r="DC18" s="33">
        <f>IF(VLOOKUP($A18,$A:CS,COLUMN(L17),FALSE)&lt;&gt;0,VLOOKUP($A18,$A:CS,COLUMN(CQ17),FALSE)/VLOOKUP($A18,$A:AU,COLUMN(L17),FALSE),IF(VLOOKUP($A18,$A:CS,COLUMN(CQ17),FALSE)&lt;&gt;0,"Strange",0))</f>
        <v>0</v>
      </c>
      <c r="DD18" s="33">
        <f>IF(VLOOKUP($A18,$A:CT,COLUMN(M17),FALSE)&lt;&gt;0,VLOOKUP($A18,$A:CT,COLUMN(CR17),FALSE)/VLOOKUP($A18,$A:AV,COLUMN(M17),FALSE),IF(VLOOKUP($A18,$A:CT,COLUMN(CR17),FALSE)&lt;&gt;0,"Strange",0))</f>
        <v>0</v>
      </c>
      <c r="DF18" s="33">
        <f>SUMIFS('Bilateral assistance, MAIN DATA'!$M:$M,'Bilateral assistance, MAIN DATA'!$B:$B,'Share, heavy weapons to Ukraine'!$A18,'Bilateral assistance, MAIN DATA'!$AO:$AO,'Share, heavy weapons to Ukraine'!DF$1, 'Bilateral assistance, MAIN DATA'!$AA:$AA,1)</f>
        <v>0</v>
      </c>
      <c r="DG18" s="33">
        <f>SUMIFS('Bilateral assistance, MAIN DATA'!$M:$M,'Bilateral assistance, MAIN DATA'!$B:$B,'Share, heavy weapons to Ukraine'!$A18,'Bilateral assistance, MAIN DATA'!$AO:$AO,'Share, heavy weapons to Ukraine'!DG$1, 'Bilateral assistance, MAIN DATA'!$AA:$AA,1)</f>
        <v>0</v>
      </c>
      <c r="DH18" s="33">
        <f>SUMIFS('Bilateral assistance, MAIN DATA'!$M:$M,'Bilateral assistance, MAIN DATA'!$B:$B,'Share, heavy weapons to Ukraine'!$A18,'Bilateral assistance, MAIN DATA'!$AO:$AO,'Share, heavy weapons to Ukraine'!DH$1, 'Bilateral assistance, MAIN DATA'!$AA:$AA,1)</f>
        <v>0</v>
      </c>
      <c r="DI18" s="33">
        <f>SUMIFS('Bilateral assistance, MAIN DATA'!$M:$M,'Bilateral assistance, MAIN DATA'!$B:$B,'Share, heavy weapons to Ukraine'!$A18,'Bilateral assistance, MAIN DATA'!$AO:$AO,'Share, heavy weapons to Ukraine'!DI$1, 'Bilateral assistance, MAIN DATA'!$AA:$AA,1)</f>
        <v>0</v>
      </c>
      <c r="DK18" s="33">
        <f>SUMIFS('Bilateral assistance, MAIN DATA'!$N:$N,'Bilateral assistance, MAIN DATA'!$B:$B,'Share, heavy weapons to Ukraine'!$A18,'Bilateral assistance, MAIN DATA'!$AO:$AO,'Share, heavy weapons to Ukraine'!DK$1, 'Bilateral assistance, MAIN DATA'!$AA:$AA,1)</f>
        <v>0</v>
      </c>
      <c r="DL18" s="33">
        <f>SUMIFS('Bilateral assistance, MAIN DATA'!$N:$N,'Bilateral assistance, MAIN DATA'!$B:$B,'Share, heavy weapons to Ukraine'!$A18,'Bilateral assistance, MAIN DATA'!$AO:$AO,'Share, heavy weapons to Ukraine'!DL$1, 'Bilateral assistance, MAIN DATA'!$AA:$AA,1)</f>
        <v>0</v>
      </c>
      <c r="DM18" s="33">
        <f>SUMIFS('Bilateral assistance, MAIN DATA'!$N:$N,'Bilateral assistance, MAIN DATA'!$B:$B,'Share, heavy weapons to Ukraine'!$A18,'Bilateral assistance, MAIN DATA'!$AO:$AO,'Share, heavy weapons to Ukraine'!DM$1, 'Bilateral assistance, MAIN DATA'!$AA:$AA,1)</f>
        <v>0</v>
      </c>
      <c r="DN18" s="33">
        <f>SUMIFS('Bilateral assistance, MAIN DATA'!$N:$N,'Bilateral assistance, MAIN DATA'!$B:$B,'Share, heavy weapons to Ukraine'!$A18,'Bilateral assistance, MAIN DATA'!$AO:$AO,'Share, heavy weapons to Ukraine'!DN$1, 'Bilateral assistance, MAIN DATA'!$AA:$AA,1)</f>
        <v>0</v>
      </c>
    </row>
    <row r="19" spans="1:118">
      <c r="A19" s="801" t="s">
        <v>2034</v>
      </c>
      <c r="B19" s="801">
        <v>0</v>
      </c>
      <c r="C19" s="33">
        <v>1</v>
      </c>
      <c r="E19" s="802">
        <v>5.61</v>
      </c>
      <c r="F19" s="801">
        <f>VLOOKUP(A19,'Heavy weapon stocks'!A:OH,COLUMN('Heavy weapon stocks'!$G$1),0)</f>
        <v>377</v>
      </c>
      <c r="G19" s="801">
        <f>VLOOKUP(A19,'Heavy weapon stocks'!A:OH,COLUMN('Heavy weapon stocks'!$AW$1),0)</f>
        <v>689</v>
      </c>
      <c r="H19" s="801">
        <f>VLOOKUP(A19,'Heavy weapon stocks'!A:OH,COLUMN('Heavy weapon stocks'!$DQ$1),0)</f>
        <v>60</v>
      </c>
      <c r="I19" s="801">
        <f>VLOOKUP(A19,'Heavy weapon stocks'!A:OH,COLUMN('Heavy weapon stocks'!$EE$1),0)</f>
        <v>480</v>
      </c>
      <c r="J19" s="801">
        <f>VLOOKUP(A19,'Heavy weapon stocks'!A:OH,COLUMN('Heavy weapon stocks'!$FG$1),0)</f>
        <v>191</v>
      </c>
      <c r="K19" s="801">
        <f t="shared" si="3"/>
        <v>1420</v>
      </c>
      <c r="L19" s="801">
        <f>VLOOKUP(A19,'Heavy weapon stocks'!A:OH,COLUMN('Heavy weapon stocks'!$HC$1),0)+VLOOKUP(A19,'Heavy weapon stocks'!A:OH,COLUMN('Heavy weapon stocks'!$II$1),0)</f>
        <v>351</v>
      </c>
      <c r="M19" s="801">
        <f>VLOOKUP(A19,'Heavy weapon stocks'!A:OH,COLUMN('Heavy weapon stocks'!$IN$1),0)</f>
        <v>188</v>
      </c>
      <c r="N19" s="801">
        <f>VLOOKUP(A19,'Heavy weapon stocks'!A:OH,COLUMN('Heavy weapon stocks'!$JH$1),0)+VLOOKUP(A19,'Heavy weapon stocks'!A:OH,COLUMN('Heavy weapon stocks'!$KE$1),0)</f>
        <v>39</v>
      </c>
      <c r="O19" s="801">
        <f>VLOOKUP(A19,'Heavy weapon stocks'!A:OH,COLUMN('Heavy weapon stocks'!$LU$1),0)</f>
        <v>0</v>
      </c>
      <c r="Q19" s="801">
        <f>VLOOKUP(A19,'Heavy weapon stocks'!A:OH,COLUMN('Heavy weapon stocks'!$LV$1),0)</f>
        <v>4</v>
      </c>
      <c r="R19" s="801">
        <f>VLOOKUP(A19,'Heavy weapon stocks'!A:OH,COLUMN('Heavy weapon stocks'!$MF$1),0)</f>
        <v>13</v>
      </c>
      <c r="S19" s="801">
        <f>VLOOKUP(A19,'Heavy weapon stocks'!A:OH,COLUMN('Heavy weapon stocks'!$MM$1),0)</f>
        <v>32</v>
      </c>
      <c r="T19" s="801">
        <f>VLOOKUP(A19,'Heavy weapon stocks'!A:OH,COLUMN('Heavy weapon stocks'!$NR$1),0)</f>
        <v>64</v>
      </c>
      <c r="V19" s="801">
        <f>VLOOKUP(A19,'Heavy weapon stocks'!A:OH,COLUMN('Heavy weapon stocks'!$H$1),0)</f>
        <v>0</v>
      </c>
      <c r="W19" s="801">
        <f>VLOOKUP(A19,'Heavy weapon stocks'!A:OH,COLUMN('Heavy weapon stocks'!$DQ$1),0)</f>
        <v>60</v>
      </c>
      <c r="X19" s="801">
        <f>VLOOKUP(A19,'Heavy weapon stocks'!A:OH,COLUMN('Heavy weapon stocks'!$FG$1),0)</f>
        <v>191</v>
      </c>
      <c r="Y19" s="801">
        <f>VLOOKUP(A19,'Heavy weapon stocks'!A:OH,COLUMN('Heavy weapon stocks'!$HC$1),0)+VLOOKUP(A19,'Heavy weapon stocks'!A:OH,COLUMN('Heavy weapon stocks'!$II$1),0)</f>
        <v>351</v>
      </c>
      <c r="Z19" s="801">
        <f>VLOOKUP(A19,'Heavy weapon stocks'!A:OH,COLUMN('Heavy weapon stocks'!$IO$1),0)+VLOOKUP(A19,'Heavy weapon stocks'!A:OH,COLUMN('Heavy weapon stocks'!$IP$1),0)+VLOOKUP(A19,'Heavy weapon stocks'!A:OH,COLUMN('Heavy weapon stocks'!$IU$1),0)</f>
        <v>18</v>
      </c>
      <c r="AA19" s="801">
        <f>VLOOKUP(A19,'Heavy weapon stocks'!A:OH,COLUMN('Heavy weapon stocks'!$MI$1),0)</f>
        <v>0</v>
      </c>
      <c r="AB19" s="801">
        <f>VLOOKUP(A19,'Heavy weapon stocks'!A:OH,COLUMN('Heavy weapon stocks'!$MS$1),0)+VLOOKUP(A19,'Heavy weapon stocks'!A:OH,COLUMN('Heavy weapon stocks'!$MT$1),0)+VLOOKUP(A19,'Heavy weapon stocks'!A:OH,COLUMN('Heavy weapon stocks'!$MU$1),0)+VLOOKUP(A19,'Heavy weapon stocks'!A:OH,COLUMN('Heavy weapon stocks'!$MV$1),0)</f>
        <v>0</v>
      </c>
      <c r="AD19" s="33">
        <f>SUMIFS('Bilateral assistance, MAIN DATA'!$M:$M,'Bilateral assistance, MAIN DATA'!$B:$B,'Share, heavy weapons to Ukraine'!$A19,'Bilateral assistance, MAIN DATA'!$AO:$AO,'Share, heavy weapons to Ukraine'!AD$1)</f>
        <v>0</v>
      </c>
      <c r="AE19" s="33">
        <f>SUMIFS('Bilateral assistance, MAIN DATA'!$M:$M,'Bilateral assistance, MAIN DATA'!$B:$B,'Share, heavy weapons to Ukraine'!$A19,'Bilateral assistance, MAIN DATA'!$AO:$AO,'Share, heavy weapons to Ukraine'!AE$1)</f>
        <v>0</v>
      </c>
      <c r="AF19" s="33">
        <f>SUMIFS('Bilateral assistance, MAIN DATA'!$M:$M,'Bilateral assistance, MAIN DATA'!$B:$B,'Share, heavy weapons to Ukraine'!$A19,'Bilateral assistance, MAIN DATA'!$AO:$AO,'Share, heavy weapons to Ukraine'!AF$1)</f>
        <v>0</v>
      </c>
      <c r="AG19" s="33">
        <f>SUMIFS('Bilateral assistance, MAIN DATA'!$M:$M,'Bilateral assistance, MAIN DATA'!$B:$B,'Share, heavy weapons to Ukraine'!$A19,'Bilateral assistance, MAIN DATA'!$AO:$AO,'Share, heavy weapons to Ukraine'!AG$1)</f>
        <v>0</v>
      </c>
      <c r="AH19" s="33">
        <f>SUMIFS('Bilateral assistance, MAIN DATA'!$M:$M,'Bilateral assistance, MAIN DATA'!$B:$B,'Share, heavy weapons to Ukraine'!$A19,'Bilateral assistance, MAIN DATA'!$AO:$AO,'Share, heavy weapons to Ukraine'!AH$1)</f>
        <v>0</v>
      </c>
      <c r="AI19" s="33">
        <f t="shared" si="1"/>
        <v>0</v>
      </c>
      <c r="AJ19" s="33">
        <f>SUMIFS('Bilateral assistance, MAIN DATA'!$M:$M,'Bilateral assistance, MAIN DATA'!$B:$B,'Share, heavy weapons to Ukraine'!$A19,'Bilateral assistance, MAIN DATA'!$AO:$AO,'Share, heavy weapons to Ukraine'!AJ$1)</f>
        <v>0</v>
      </c>
      <c r="AK19" s="645">
        <f>SUMIFS('Bilateral assistance, MAIN DATA'!$M:$M,'Bilateral assistance, MAIN DATA'!$B:$B,'Share, heavy weapons to Ukraine'!$A19,'Bilateral assistance, MAIN DATA'!$AO:$AO,"122mm MLRS")+SUMIFS('Bilateral assistance, MAIN DATA'!$M:$M,'Bilateral assistance, MAIN DATA'!$B:$B,'Share, heavy weapons to Ukraine'!$A19,'Bilateral assistance, MAIN DATA'!$AO:$AO,"127mm MLRS")+SUMIFS('Bilateral assistance, MAIN DATA'!$M:$M,'Bilateral assistance, MAIN DATA'!$B:$B,'Share, heavy weapons to Ukraine'!$A19,'Bilateral assistance, MAIN DATA'!$AO:$AO,"227mm MLRS")</f>
        <v>0</v>
      </c>
      <c r="AL19" s="33">
        <f>SUMIFS('Bilateral assistance, MAIN DATA'!$M:$M,'Bilateral assistance, MAIN DATA'!$B:$B,'Share, heavy weapons to Ukraine'!$A19,'Bilateral assistance, MAIN DATA'!$AO:$AO,'Share, heavy weapons to Ukraine'!AL$1)</f>
        <v>0</v>
      </c>
      <c r="AM19" s="33">
        <f>SUMIFS('Bilateral assistance, MAIN DATA'!$M:$M,'Bilateral assistance, MAIN DATA'!$B:$B,'Share, heavy weapons to Ukraine'!$A19,'Bilateral assistance, MAIN DATA'!$AO:$AO,'Share, heavy weapons to Ukraine'!AM$1)</f>
        <v>0</v>
      </c>
      <c r="AN19" s="33">
        <f>SUMIFS('Bilateral assistance, MAIN DATA'!$M:$M,'Bilateral assistance, MAIN DATA'!$B:$B,'Share, heavy weapons to Ukraine'!$A19,'Bilateral assistance, MAIN DATA'!$AO:$AO,'Share, heavy weapons to Ukraine'!AN$1)</f>
        <v>0</v>
      </c>
      <c r="AO19" s="33">
        <f>SUMIFS('Bilateral assistance, MAIN DATA'!$M:$M,'Bilateral assistance, MAIN DATA'!$B:$B,'Share, heavy weapons to Ukraine'!$A19,'Bilateral assistance, MAIN DATA'!$AO:$AO,'Share, heavy weapons to Ukraine'!AO$1)</f>
        <v>0</v>
      </c>
      <c r="AP19" s="33">
        <f>SUMIFS('Bilateral assistance, MAIN DATA'!$M:$M,'Bilateral assistance, MAIN DATA'!$B:$B,'Share, heavy weapons to Ukraine'!$A19,'Bilateral assistance, MAIN DATA'!$AO:$AO,'Share, heavy weapons to Ukraine'!AP$1)</f>
        <v>0</v>
      </c>
      <c r="AR19" s="33">
        <f>SUMIFS('Bilateral assistance, MAIN DATA'!$N:$N,'Bilateral assistance, MAIN DATA'!$B:$B,'Share, heavy weapons to Ukraine'!$A19,'Bilateral assistance, MAIN DATA'!$AO:$AO,'Share, heavy weapons to Ukraine'!AR$1)</f>
        <v>0</v>
      </c>
      <c r="AS19" s="33">
        <f>SUMIFS('Bilateral assistance, MAIN DATA'!$N:$N,'Bilateral assistance, MAIN DATA'!$B:$B,'Share, heavy weapons to Ukraine'!$A19,'Bilateral assistance, MAIN DATA'!$AO:$AO,'Share, heavy weapons to Ukraine'!AS$1)</f>
        <v>0</v>
      </c>
      <c r="AT19" s="33">
        <f>SUMIFS('Bilateral assistance, MAIN DATA'!$N:$N,'Bilateral assistance, MAIN DATA'!$B:$B,'Share, heavy weapons to Ukraine'!$A19,'Bilateral assistance, MAIN DATA'!$AO:$AO,'Share, heavy weapons to Ukraine'!AT$1)</f>
        <v>0</v>
      </c>
      <c r="AU19" s="33">
        <f>SUMIFS('Bilateral assistance, MAIN DATA'!$N:$N,'Bilateral assistance, MAIN DATA'!$B:$B,'Share, heavy weapons to Ukraine'!$A19,'Bilateral assistance, MAIN DATA'!$AO:$AO,'Share, heavy weapons to Ukraine'!AU$1)</f>
        <v>0</v>
      </c>
      <c r="AV19" s="33">
        <f>SUMIFS('Bilateral assistance, MAIN DATA'!$N:$N,'Bilateral assistance, MAIN DATA'!$B:$B,'Share, heavy weapons to Ukraine'!$A19,'Bilateral assistance, MAIN DATA'!$AO:$AO,'Share, heavy weapons to Ukraine'!AV$1)</f>
        <v>0</v>
      </c>
      <c r="AW19" s="33">
        <f t="shared" si="2"/>
        <v>0</v>
      </c>
      <c r="AX19" s="33">
        <f>SUMIFS('Bilateral assistance, MAIN DATA'!$N:$N,'Bilateral assistance, MAIN DATA'!$B:$B,'Share, heavy weapons to Ukraine'!$A19,'Bilateral assistance, MAIN DATA'!$AO:$AO,'Share, heavy weapons to Ukraine'!AX$1)</f>
        <v>0</v>
      </c>
      <c r="AY19" s="645">
        <f>SUMIFS('Bilateral assistance, MAIN DATA'!$N:$N,'Bilateral assistance, MAIN DATA'!$B:$B,'Share, heavy weapons to Ukraine'!$A19,'Bilateral assistance, MAIN DATA'!$AO:$AO,"122mm MLRS")+SUMIFS('Bilateral assistance, MAIN DATA'!$N:$N,'Bilateral assistance, MAIN DATA'!$B:$B,'Share, heavy weapons to Ukraine'!$A19,'Bilateral assistance, MAIN DATA'!$AO:$AO,"127mm MLRS")+SUMIFS('Bilateral assistance, MAIN DATA'!$N:$N,'Bilateral assistance, MAIN DATA'!$B:$B,'Share, heavy weapons to Ukraine'!$A19,'Bilateral assistance, MAIN DATA'!$AO:$AO,"227mm MLRS")</f>
        <v>0</v>
      </c>
      <c r="AZ19" s="33">
        <f>SUMIFS('Bilateral assistance, MAIN DATA'!$N:$N,'Bilateral assistance, MAIN DATA'!$B:$B,'Share, heavy weapons to Ukraine'!$A19,'Bilateral assistance, MAIN DATA'!$AO:$AO,'Share, heavy weapons to Ukraine'!AZ$1)</f>
        <v>0</v>
      </c>
      <c r="BA19" s="33">
        <f>SUMIFS('Bilateral assistance, MAIN DATA'!$N:$N,'Bilateral assistance, MAIN DATA'!$B:$B,'Share, heavy weapons to Ukraine'!$A19,'Bilateral assistance, MAIN DATA'!$AO:$AO,'Share, heavy weapons to Ukraine'!BA$1)</f>
        <v>0</v>
      </c>
      <c r="BB19" s="33">
        <f>SUMIFS('Bilateral assistance, MAIN DATA'!$N:$N,'Bilateral assistance, MAIN DATA'!$B:$B,'Share, heavy weapons to Ukraine'!$A19,'Bilateral assistance, MAIN DATA'!$AO:$AO,'Share, heavy weapons to Ukraine'!BB$1)</f>
        <v>0</v>
      </c>
      <c r="BC19" s="33">
        <f>SUMIFS('Bilateral assistance, MAIN DATA'!$N:$N,'Bilateral assistance, MAIN DATA'!$B:$B,'Share, heavy weapons to Ukraine'!$A19,'Bilateral assistance, MAIN DATA'!$AO:$AO,'Share, heavy weapons to Ukraine'!BC$1)</f>
        <v>0</v>
      </c>
      <c r="BD19" s="33">
        <f>SUMIFS('Bilateral assistance, MAIN DATA'!$N:$N,'Bilateral assistance, MAIN DATA'!$B:$B,'Share, heavy weapons to Ukraine'!$A19,'Bilateral assistance, MAIN DATA'!$AO:$AO,'Share, heavy weapons to Ukraine'!BD$1)</f>
        <v>0</v>
      </c>
      <c r="BF19" s="33">
        <f>IF(VLOOKUP($A19,$A:F,COLUMN(F18),FALSE)&lt;&gt;0,VLOOKUP($A19,$A:AD,COLUMN(AD18),FALSE)/VLOOKUP($A19,$A:F,COLUMN(F18),FALSE),IF(VLOOKUP($A19,$A:AD,COLUMN(AD18),FALSE)&lt;&gt;0,"Strange",0))</f>
        <v>0</v>
      </c>
      <c r="BG19" s="33">
        <f>IF(VLOOKUP($A19,$A:G,COLUMN(G18),FALSE)&lt;&gt;0,VLOOKUP($A19,$A:AE,COLUMN(AE18),FALSE)/VLOOKUP($A19,$A:G,COLUMN(G18),FALSE),IF(VLOOKUP($A19,$A:AE,COLUMN(AE18),FALSE)&lt;&gt;0,"Strange",0))</f>
        <v>0</v>
      </c>
      <c r="BH19" s="33">
        <f>IF(VLOOKUP($A19,$A:H,COLUMN(H18),FALSE)&lt;&gt;0,VLOOKUP($A19,$A:AF,COLUMN(AF18),FALSE)/VLOOKUP($A19,$A:H,COLUMN(H18),FALSE),IF(VLOOKUP($A19,$A:AF,COLUMN(AF18),FALSE)&lt;&gt;0,"Strange",0))</f>
        <v>0</v>
      </c>
      <c r="BI19" s="33">
        <f>IF(VLOOKUP($A19,$A:I,COLUMN(I18),FALSE)&lt;&gt;0,VLOOKUP($A19,$A:AG,COLUMN(AG18),FALSE)/VLOOKUP($A19,$A:I,COLUMN(I18),FALSE),IF(VLOOKUP($A19,$A:AG,COLUMN(AG18),FALSE)&lt;&gt;0,"Strange",0))</f>
        <v>0</v>
      </c>
      <c r="BJ19" s="33">
        <f>IF(VLOOKUP($A19,$A:J,COLUMN(J18),FALSE)&lt;&gt;0,VLOOKUP($A19,$A:AH,COLUMN(AH18),FALSE)/VLOOKUP($A19,$A:J,COLUMN(J18),FALSE),IF(VLOOKUP($A19,$A:AH,COLUMN(AH18),FALSE)&lt;&gt;0,"Strange",0))</f>
        <v>0</v>
      </c>
      <c r="BK19" s="33">
        <f>IF(VLOOKUP($A19,$A:K,COLUMN(K18),FALSE)&lt;&gt;0,VLOOKUP($A19,$A:AI,COLUMN(AI18),FALSE)/VLOOKUP($A19,$A:K,COLUMN(K18),FALSE),IF(VLOOKUP($A19,$A:AI,COLUMN(AI18),FALSE)&lt;&gt;0,"Strange",0))</f>
        <v>0</v>
      </c>
      <c r="BL19" s="33">
        <f>IF(VLOOKUP($A19,$A:L,COLUMN(L18),FALSE)&lt;&gt;0,VLOOKUP($A19,$A:AJ,COLUMN(AJ18),FALSE)/VLOOKUP($A19,$A:L,COLUMN(L18),FALSE),IF(VLOOKUP($A19,$A:AJ,COLUMN(AJ18),FALSE)&lt;&gt;0,"Strange",0))</f>
        <v>0</v>
      </c>
      <c r="BM19" s="33">
        <f>IF(VLOOKUP($A19,$A:M,COLUMN(M18),FALSE)&lt;&gt;0,VLOOKUP($A19,$A:AK,COLUMN(AK18),FALSE)/VLOOKUP($A19,$A:M,COLUMN(M18),FALSE),IF(VLOOKUP($A19,$A:AK,COLUMN(AK18),FALSE)&lt;&gt;0,"Strange",0))</f>
        <v>0</v>
      </c>
      <c r="BN19" s="33">
        <f>IF(VLOOKUP($A19,$A:N,COLUMN(N18),FALSE)&lt;&gt;0,VLOOKUP($A19,$A:AL,COLUMN(AL18),FALSE)/VLOOKUP($A19,$A:N,COLUMN(N18),FALSE),IF(VLOOKUP($A19,$A:AL,COLUMN(AL18),FALSE)&lt;&gt;0,"Strange",0))</f>
        <v>0</v>
      </c>
      <c r="BO19" s="33">
        <f>IF(VLOOKUP($A19,$A:Q,COLUMN(Q18),FALSE)&lt;&gt;0,VLOOKUP($A19,$A:AM,COLUMN(AM18),FALSE)/VLOOKUP($A19,$A:Q,COLUMN(Q18),FALSE),IF(VLOOKUP($A19,$A:AM,COLUMN(AM18),FALSE)&lt;&gt;0,"Strange",0))</f>
        <v>0</v>
      </c>
      <c r="BP19" s="33">
        <f>IF(VLOOKUP($A19,$A:R,COLUMN(R18),FALSE)&lt;&gt;0,VLOOKUP($A19,$A:AN,COLUMN(AN18),FALSE)/VLOOKUP($A19,$A:R,COLUMN(R18),FALSE),IF(VLOOKUP($A19,$A:AN,COLUMN(AN18),FALSE)&lt;&gt;0,"Strange",0))</f>
        <v>0</v>
      </c>
      <c r="BQ19" s="33">
        <f>IF(VLOOKUP($A19,$A:S,COLUMN(S18),FALSE)&lt;&gt;0,VLOOKUP($A19,$A:AO,COLUMN(AO18),FALSE)/VLOOKUP($A19,$A:S,COLUMN(S18),FALSE),IF(VLOOKUP($A19,$A:AO,COLUMN(AO18),FALSE)&lt;&gt;0,"Strange",0))</f>
        <v>0</v>
      </c>
      <c r="BR19" s="33">
        <f>IF(VLOOKUP($A19,$A:T,COLUMN(T18),FALSE)&lt;&gt;0,VLOOKUP($A19,$A:AP,COLUMN(AP18),FALSE)/VLOOKUP($A19,$A:T,COLUMN(T18),FALSE),IF(VLOOKUP($A19,$A:AP,COLUMN(AP18),FALSE)&lt;&gt;0,"Strange",0))</f>
        <v>0</v>
      </c>
      <c r="BT19" s="33">
        <f>IF(VLOOKUP($A19,$A:AE,COLUMN(F18),FALSE)&lt;&gt;0,VLOOKUP($A19,$A:AS,COLUMN(AR18),FALSE)/VLOOKUP($A19,$A:AE,COLUMN(F18),FALSE),IF(VLOOKUP($A19,$A:AS,COLUMN(AR18),FALSE)&lt;&gt;0,"Strange",0))</f>
        <v>0</v>
      </c>
      <c r="BU19" s="33">
        <f>IF(VLOOKUP($A19,$A:AF,COLUMN(G18),FALSE)&lt;&gt;0,VLOOKUP($A19,$A:AT,COLUMN(AS18),FALSE)/VLOOKUP($A19,$A:AF,COLUMN(G18),FALSE),IF(VLOOKUP($A19,$A:AT,COLUMN(AS18),FALSE)&lt;&gt;0,"Strange",0))</f>
        <v>0</v>
      </c>
      <c r="BV19" s="33">
        <f>IF(VLOOKUP($A19,$A:AG,COLUMN(H18),FALSE)&lt;&gt;0,VLOOKUP($A19,$A:AU,COLUMN(AT18),FALSE)/VLOOKUP($A19,$A:AG,COLUMN(H18),FALSE),IF(VLOOKUP($A19,$A:AU,COLUMN(AT18),FALSE)&lt;&gt;0,"Strange",0))</f>
        <v>0</v>
      </c>
      <c r="BW19" s="33">
        <f>IF(VLOOKUP($A19,$A:AH,COLUMN(I18),FALSE)&lt;&gt;0,VLOOKUP($A19,$A:AV,COLUMN(AU18),FALSE)/VLOOKUP($A19,$A:AH,COLUMN(I18),FALSE),IF(VLOOKUP($A19,$A:AV,COLUMN(AU18),FALSE)&lt;&gt;0,"Strange",0))</f>
        <v>0</v>
      </c>
      <c r="BX19" s="33">
        <f>IF(VLOOKUP($A19,$A:AJ,COLUMN(J18),FALSE)&lt;&gt;0,VLOOKUP($A19,$A:AX,COLUMN(AV18),FALSE)/VLOOKUP($A19,$A:AJ,COLUMN(J18),FALSE),IF(VLOOKUP($A19,$A:AX,COLUMN(AV18),FALSE)&lt;&gt;0,"Strange",0))</f>
        <v>0</v>
      </c>
      <c r="BY19" s="33">
        <f>IF(VLOOKUP($A19,$A:AK,COLUMN(K18),FALSE)&lt;&gt;0,VLOOKUP($A19,$A:AY,COLUMN(AW18),FALSE)/VLOOKUP($A19,$A:AK,COLUMN(K18),FALSE),IF(VLOOKUP($A19,$A:AY,COLUMN(AW18),FALSE)&lt;&gt;0,"Strange",0))</f>
        <v>0</v>
      </c>
      <c r="BZ19" s="33">
        <f>IF(VLOOKUP($A19,$A:AK,COLUMN(L18),FALSE)&lt;&gt;0,VLOOKUP($A19,$A:AY,COLUMN(AX18),FALSE)/VLOOKUP($A19,$A:AK,COLUMN(L18),FALSE),IF(VLOOKUP($A19,$A:AY,COLUMN(AX18),FALSE)&lt;&gt;0,"Strange",0))</f>
        <v>0</v>
      </c>
      <c r="CA19" s="33">
        <f>IF(VLOOKUP($A19,$A:AL,COLUMN(M18),FALSE)&lt;&gt;0,VLOOKUP($A19,$A:AZ,COLUMN(AY18),FALSE)/VLOOKUP($A19,$A:AL,COLUMN(M18),FALSE),IF(VLOOKUP($A19,$A:AZ,COLUMN(AY18),FALSE)&lt;&gt;0,"Strange",0))</f>
        <v>0</v>
      </c>
      <c r="CB19" s="33">
        <f>IF(VLOOKUP($A19,$A:AL,COLUMN(N18),FALSE)&lt;&gt;0,VLOOKUP($A19,$A:AZ,COLUMN(AZ18),FALSE)/VLOOKUP($A19,$A:AL,COLUMN(N18),FALSE),IF(VLOOKUP($A19,$A:AZ,COLUMN(AZ18),FALSE)&lt;&gt;0,"Strange",0))</f>
        <v>0</v>
      </c>
      <c r="CC19" s="33">
        <f>IF(VLOOKUP($A19,$A:AM,COLUMN(Q18),FALSE)&lt;&gt;0,VLOOKUP($A19,$A:BA,COLUMN(BA18),FALSE)/VLOOKUP($A19,$A:AM,COLUMN(Q18),FALSE),IF(VLOOKUP($A19,$A:BA,COLUMN(BA18),FALSE)&lt;&gt;0,"Strange",0))</f>
        <v>0</v>
      </c>
      <c r="CD19" s="33">
        <f>IF(VLOOKUP($A19,$A:AN,COLUMN(R18),FALSE)&lt;&gt;0,VLOOKUP($A19,$A:BB,COLUMN(BB18),FALSE)/VLOOKUP($A19,$A:AN,COLUMN(R18),FALSE),IF(VLOOKUP($A19,$A:BB,COLUMN(BB18),FALSE)&lt;&gt;0,"Strange",0))</f>
        <v>0</v>
      </c>
      <c r="CE19" s="33">
        <f>IF(VLOOKUP($A19,$A:AO,COLUMN(S18),FALSE)&lt;&gt;0,VLOOKUP($A19,$A:BC,COLUMN(BC18),FALSE)/VLOOKUP($A19,$A:AO,COLUMN(S18),FALSE),IF(VLOOKUP($A19,$A:BC,COLUMN(BC18),FALSE)&lt;&gt;0,"Strange",0))</f>
        <v>0</v>
      </c>
      <c r="CF19" s="33">
        <f>IF(VLOOKUP($A19,$A:AP,COLUMN(T18),FALSE)&lt;&gt;0,VLOOKUP($A19,$A:BD,COLUMN(BD18),FALSE)/VLOOKUP($A19,$A:AP,COLUMN(T18),FALSE),IF(VLOOKUP($A19,$A:BD,COLUMN(BD18),FALSE)&lt;&gt;0,"Strange",0))</f>
        <v>0</v>
      </c>
      <c r="CH19" s="33">
        <f>SUMIFS('Bilateral assistance, MAIN DATA'!$M:$M,'Bilateral assistance, MAIN DATA'!$B:$B,'Share, heavy weapons to Ukraine'!$A19,'Bilateral assistance, MAIN DATA'!$AO:$AO,'Share, heavy weapons to Ukraine'!CH$1,'Bilateral assistance, MAIN DATA'!$AQ:$AQ,2)</f>
        <v>0</v>
      </c>
      <c r="CI19" s="33">
        <f>SUMIFS('Bilateral assistance, MAIN DATA'!$M:$M,'Bilateral assistance, MAIN DATA'!$B:$B,'Share, heavy weapons to Ukraine'!$A19,'Bilateral assistance, MAIN DATA'!$AO:$AO,'Share, heavy weapons to Ukraine'!CI$1,'Bilateral assistance, MAIN DATA'!$AQ:$AQ,2)</f>
        <v>0</v>
      </c>
      <c r="CJ19" s="645">
        <f>SUMIFS('Bilateral assistance, MAIN DATA'!$M:$M,'Bilateral assistance, MAIN DATA'!$B:$B,'Share, heavy weapons to Ukraine'!$A19,'Bilateral assistance, MAIN DATA'!$AO:$AO,"122mm MLRS",'Bilateral assistance, MAIN DATA'!$AQ:$AQ,2)+SUMIFS('Bilateral assistance, MAIN DATA'!$M:$M,'Bilateral assistance, MAIN DATA'!$B:$B,'Share, heavy weapons to Ukraine'!$A19,'Bilateral assistance, MAIN DATA'!$AO:$AO,"127mm MLRS",'Bilateral assistance, MAIN DATA'!$AQ:$AQ,2)+SUMIFS('Bilateral assistance, MAIN DATA'!$M:$M,'Bilateral assistance, MAIN DATA'!$B:$B,'Share, heavy weapons to Ukraine'!$A19,'Bilateral assistance, MAIN DATA'!$AO:$AO,"227mm MLRS",'Bilateral assistance, MAIN DATA'!$AQ:$AQ,2)</f>
        <v>0</v>
      </c>
      <c r="CL19" s="33">
        <f>SUMIFS('Bilateral assistance, MAIN DATA'!$M:$M,'Bilateral assistance, MAIN DATA'!$B:$B,'Share, heavy weapons to Ukraine'!$A19,'Bilateral assistance, MAIN DATA'!$AO:$AO,'Share, heavy weapons to Ukraine'!CH$1,'Bilateral assistance, MAIN DATA'!$AQ:$AQ,1)</f>
        <v>0</v>
      </c>
      <c r="CM19" s="33">
        <f>SUMIFS('Bilateral assistance, MAIN DATA'!$M:$M,'Bilateral assistance, MAIN DATA'!$B:$B,'Share, heavy weapons to Ukraine'!$A19,'Bilateral assistance, MAIN DATA'!$AO:$AO,'Share, heavy weapons to Ukraine'!CI$1,'Bilateral assistance, MAIN DATA'!$AQ:$AQ,1)</f>
        <v>0</v>
      </c>
      <c r="CN19" s="645">
        <f>SUMIFS('Bilateral assistance, MAIN DATA'!$M:$M,'Bilateral assistance, MAIN DATA'!$B:$B,'Share, heavy weapons to Ukraine'!$A19,'Bilateral assistance, MAIN DATA'!$AO:$AO,"122mm MLRS",'Bilateral assistance, MAIN DATA'!$AQ:$AQ,1)+SUMIFS('Bilateral assistance, MAIN DATA'!$M:$M,'Bilateral assistance, MAIN DATA'!$B:$B,'Share, heavy weapons to Ukraine'!$A19,'Bilateral assistance, MAIN DATA'!$AO:$AO,"127mm MLRS",'Bilateral assistance, MAIN DATA'!$AQ:$AQ,1)+SUMIFS('Bilateral assistance, MAIN DATA'!$M:$M,'Bilateral assistance, MAIN DATA'!$B:$B,'Share, heavy weapons to Ukraine'!$A19,'Bilateral assistance, MAIN DATA'!$AO:$AO,"227mm MLRS",'Bilateral assistance, MAIN DATA'!$AQ:$AQ,1)</f>
        <v>0</v>
      </c>
      <c r="CP19" s="33">
        <f>SUMIFS('Bilateral assistance, MAIN DATA'!$M:$M,'Bilateral assistance, MAIN DATA'!$B:$B,'Share, heavy weapons to Ukraine'!$A19,'Bilateral assistance, MAIN DATA'!$AO:$AO,'Share, heavy weapons to Ukraine'!CP$1,'Bilateral assistance, MAIN DATA'!$AQ:$AQ,0)</f>
        <v>0</v>
      </c>
      <c r="CQ19" s="33">
        <f>SUMIFS('Bilateral assistance, MAIN DATA'!$M:$M,'Bilateral assistance, MAIN DATA'!$B:$B,'Share, heavy weapons to Ukraine'!$A19,'Bilateral assistance, MAIN DATA'!$AO:$AO,'Share, heavy weapons to Ukraine'!CQ$1,'Bilateral assistance, MAIN DATA'!$AQ:$AQ,0)</f>
        <v>0</v>
      </c>
      <c r="CR19" s="645">
        <f>SUMIFS('Bilateral assistance, MAIN DATA'!$M:$M,'Bilateral assistance, MAIN DATA'!$B:$B,'Share, heavy weapons to Ukraine'!$A19,'Bilateral assistance, MAIN DATA'!$AO:$AO,"122mm MLRS",'Bilateral assistance, MAIN DATA'!$AQ:$AQ,0)+SUMIFS('Bilateral assistance, MAIN DATA'!$M:$M,'Bilateral assistance, MAIN DATA'!$B:$B,'Share, heavy weapons to Ukraine'!$A19,'Bilateral assistance, MAIN DATA'!$AO:$AO,"127mm MLRS",'Bilateral assistance, MAIN DATA'!$AQ:$AQ,0)+SUMIFS('Bilateral assistance, MAIN DATA'!$M:$M,'Bilateral assistance, MAIN DATA'!$B:$B,'Share, heavy weapons to Ukraine'!$A19,'Bilateral assistance, MAIN DATA'!$AO:$AO,"227mm MLRS",'Bilateral assistance, MAIN DATA'!$AQ:$AQ,0)</f>
        <v>0</v>
      </c>
      <c r="CT19" s="33">
        <f>IF(VLOOKUP($A19,$A:CS,COLUMN(F18),FALSE)&lt;&gt;0,VLOOKUP($A19,$A:CS,COLUMN(CH18),FALSE)/VLOOKUP($A19,$A:AU,COLUMN(F18),FALSE),IF(VLOOKUP($A19,$A:CS,COLUMN(CH18),FALSE)&lt;&gt;0,"Strange",0))</f>
        <v>0</v>
      </c>
      <c r="CU19" s="33">
        <f>IF(VLOOKUP($A19,$A:CS,COLUMN(L18),FALSE)&lt;&gt;0,VLOOKUP($A19,$A:CS,COLUMN(CI18),FALSE)/VLOOKUP($A19,$A:AU,COLUMN(L18),FALSE),IF(VLOOKUP($A19,$A:CS,COLUMN(CI18),FALSE)&lt;&gt;0,"Strange",0))</f>
        <v>0</v>
      </c>
      <c r="CV19" s="33">
        <f>IF(VLOOKUP($A19,$A:CT,COLUMN(M18),FALSE)&lt;&gt;0,VLOOKUP($A19,$A:CT,COLUMN(CJ18),FALSE)/VLOOKUP($A19,$A:AV,COLUMN(M18),FALSE),IF(VLOOKUP($A19,$A:CT,COLUMN(CJ18),FALSE)&lt;&gt;0,"Strange",0))</f>
        <v>0</v>
      </c>
      <c r="CX19" s="33">
        <f>IF(VLOOKUP($A19,$A:CS,COLUMN(F18),FALSE)&lt;&gt;0,VLOOKUP($A19,$A:CS,COLUMN(CL18),FALSE)/VLOOKUP($A19,$A:AU,COLUMN(F18),FALSE),IF(VLOOKUP($A19,$A:CS,COLUMN(CL18),FALSE)&lt;&gt;0,"Strange",0))</f>
        <v>0</v>
      </c>
      <c r="CY19" s="33">
        <f>IF(VLOOKUP($A19,$A:CS,COLUMN(L18),FALSE)&lt;&gt;0,VLOOKUP($A19,$A:CS,COLUMN(CM18),FALSE)/VLOOKUP($A19,$A:AU,COLUMN(L18),FALSE),IF(VLOOKUP($A19,$A:CS,COLUMN(CM18),FALSE)&lt;&gt;0,"Strange",0))</f>
        <v>0</v>
      </c>
      <c r="CZ19" s="33">
        <f>IF(VLOOKUP($A19,$A:CT,COLUMN(M18),FALSE)&lt;&gt;0,VLOOKUP($A19,$A:CT,COLUMN(CN18),FALSE)/VLOOKUP($A19,$A:AV,COLUMN(M18),FALSE),IF(VLOOKUP($A19,$A:CT,COLUMN(CN18),FALSE)&lt;&gt;0,"Strange",0))</f>
        <v>0</v>
      </c>
      <c r="DB19" s="33">
        <f>IF(VLOOKUP($A19,$A:CS,COLUMN(F18),FALSE)&lt;&gt;0,VLOOKUP($A19,$A:CS,COLUMN(CP18),FALSE)/VLOOKUP($A19,$A:AU,COLUMN(F18),FALSE),IF(VLOOKUP($A19,$A:CS,COLUMN(CP18),FALSE)&lt;&gt;0,"Strange",0))</f>
        <v>0</v>
      </c>
      <c r="DC19" s="33">
        <f>IF(VLOOKUP($A19,$A:CS,COLUMN(L18),FALSE)&lt;&gt;0,VLOOKUP($A19,$A:CS,COLUMN(CQ18),FALSE)/VLOOKUP($A19,$A:AU,COLUMN(L18),FALSE),IF(VLOOKUP($A19,$A:CS,COLUMN(CQ18),FALSE)&lt;&gt;0,"Strange",0))</f>
        <v>0</v>
      </c>
      <c r="DD19" s="33">
        <f>IF(VLOOKUP($A19,$A:CT,COLUMN(M18),FALSE)&lt;&gt;0,VLOOKUP($A19,$A:CT,COLUMN(CR18),FALSE)/VLOOKUP($A19,$A:AV,COLUMN(M18),FALSE),IF(VLOOKUP($A19,$A:CT,COLUMN(CR18),FALSE)&lt;&gt;0,"Strange",0))</f>
        <v>0</v>
      </c>
      <c r="DF19" s="33">
        <f>SUMIFS('Bilateral assistance, MAIN DATA'!$M:$M,'Bilateral assistance, MAIN DATA'!$B:$B,'Share, heavy weapons to Ukraine'!$A19,'Bilateral assistance, MAIN DATA'!$AO:$AO,'Share, heavy weapons to Ukraine'!DF$1, 'Bilateral assistance, MAIN DATA'!$AA:$AA,1)</f>
        <v>0</v>
      </c>
      <c r="DG19" s="33">
        <f>SUMIFS('Bilateral assistance, MAIN DATA'!$M:$M,'Bilateral assistance, MAIN DATA'!$B:$B,'Share, heavy weapons to Ukraine'!$A19,'Bilateral assistance, MAIN DATA'!$AO:$AO,'Share, heavy weapons to Ukraine'!DG$1, 'Bilateral assistance, MAIN DATA'!$AA:$AA,1)</f>
        <v>0</v>
      </c>
      <c r="DH19" s="33">
        <f>SUMIFS('Bilateral assistance, MAIN DATA'!$M:$M,'Bilateral assistance, MAIN DATA'!$B:$B,'Share, heavy weapons to Ukraine'!$A19,'Bilateral assistance, MAIN DATA'!$AO:$AO,'Share, heavy weapons to Ukraine'!DH$1, 'Bilateral assistance, MAIN DATA'!$AA:$AA,1)</f>
        <v>0</v>
      </c>
      <c r="DI19" s="33">
        <f>SUMIFS('Bilateral assistance, MAIN DATA'!$M:$M,'Bilateral assistance, MAIN DATA'!$B:$B,'Share, heavy weapons to Ukraine'!$A19,'Bilateral assistance, MAIN DATA'!$AO:$AO,'Share, heavy weapons to Ukraine'!DI$1, 'Bilateral assistance, MAIN DATA'!$AA:$AA,1)</f>
        <v>0</v>
      </c>
      <c r="DK19" s="33">
        <f>SUMIFS('Bilateral assistance, MAIN DATA'!$N:$N,'Bilateral assistance, MAIN DATA'!$B:$B,'Share, heavy weapons to Ukraine'!$A19,'Bilateral assistance, MAIN DATA'!$AO:$AO,'Share, heavy weapons to Ukraine'!DK$1, 'Bilateral assistance, MAIN DATA'!$AA:$AA,1)</f>
        <v>0</v>
      </c>
      <c r="DL19" s="33">
        <f>SUMIFS('Bilateral assistance, MAIN DATA'!$N:$N,'Bilateral assistance, MAIN DATA'!$B:$B,'Share, heavy weapons to Ukraine'!$A19,'Bilateral assistance, MAIN DATA'!$AO:$AO,'Share, heavy weapons to Ukraine'!DL$1, 'Bilateral assistance, MAIN DATA'!$AA:$AA,1)</f>
        <v>0</v>
      </c>
      <c r="DM19" s="33">
        <f>SUMIFS('Bilateral assistance, MAIN DATA'!$N:$N,'Bilateral assistance, MAIN DATA'!$B:$B,'Share, heavy weapons to Ukraine'!$A19,'Bilateral assistance, MAIN DATA'!$AO:$AO,'Share, heavy weapons to Ukraine'!DM$1, 'Bilateral assistance, MAIN DATA'!$AA:$AA,1)</f>
        <v>0</v>
      </c>
      <c r="DN19" s="33">
        <f>SUMIFS('Bilateral assistance, MAIN DATA'!$N:$N,'Bilateral assistance, MAIN DATA'!$B:$B,'Share, heavy weapons to Ukraine'!$A19,'Bilateral assistance, MAIN DATA'!$AO:$AO,'Share, heavy weapons to Ukraine'!DN$1, 'Bilateral assistance, MAIN DATA'!$AA:$AA,1)</f>
        <v>0</v>
      </c>
    </row>
    <row r="20" spans="1:118">
      <c r="A20" s="801" t="s">
        <v>767</v>
      </c>
      <c r="B20" s="801">
        <v>0</v>
      </c>
      <c r="C20" s="33">
        <v>1</v>
      </c>
      <c r="E20" s="802">
        <v>5.42</v>
      </c>
      <c r="F20" s="801">
        <f>VLOOKUP(A20,'Heavy weapon stocks'!A:OH,COLUMN('Heavy weapon stocks'!$G$1),0)</f>
        <v>44</v>
      </c>
      <c r="G20" s="801">
        <f>VLOOKUP(A20,'Heavy weapon stocks'!A:OH,COLUMN('Heavy weapon stocks'!$AW$1),0)</f>
        <v>287</v>
      </c>
      <c r="H20" s="801">
        <f>VLOOKUP(A20,'Heavy weapon stocks'!A:OH,COLUMN('Heavy weapon stocks'!$DQ$1),0)</f>
        <v>0</v>
      </c>
      <c r="I20" s="801">
        <f>VLOOKUP(A20,'Heavy weapon stocks'!A:OH,COLUMN('Heavy weapon stocks'!$EE$1),0)</f>
        <v>140</v>
      </c>
      <c r="J20" s="801">
        <f>VLOOKUP(A20,'Heavy weapon stocks'!A:OH,COLUMN('Heavy weapon stocks'!$FG$1),0)</f>
        <v>44</v>
      </c>
      <c r="K20" s="801">
        <f t="shared" si="3"/>
        <v>471</v>
      </c>
      <c r="L20" s="801">
        <f>VLOOKUP(A20,'Heavy weapon stocks'!A:OH,COLUMN('Heavy weapon stocks'!$HC$1),0)+VLOOKUP(A20,'Heavy weapon stocks'!A:OH,COLUMN('Heavy weapon stocks'!$II$1),0)</f>
        <v>20</v>
      </c>
      <c r="M20" s="801">
        <f>VLOOKUP(A20,'Heavy weapon stocks'!A:OH,COLUMN('Heavy weapon stocks'!$IN$1),0)</f>
        <v>0</v>
      </c>
      <c r="N20" s="801">
        <f>VLOOKUP(A20,'Heavy weapon stocks'!A:OH,COLUMN('Heavy weapon stocks'!$JH$1),0)+VLOOKUP(A20,'Heavy weapon stocks'!A:OH,COLUMN('Heavy weapon stocks'!$KE$1),0)</f>
        <v>48</v>
      </c>
      <c r="O20" s="801">
        <f>VLOOKUP(A20,'Heavy weapon stocks'!A:OH,COLUMN('Heavy weapon stocks'!$LU$1),0)</f>
        <v>0</v>
      </c>
      <c r="Q20" s="801">
        <f>VLOOKUP(A20,'Heavy weapon stocks'!A:OH,COLUMN('Heavy weapon stocks'!$LV$1),0)</f>
        <v>0</v>
      </c>
      <c r="R20" s="801">
        <f>VLOOKUP(A20,'Heavy weapon stocks'!A:OH,COLUMN('Heavy weapon stocks'!$MF$1),0)</f>
        <v>0</v>
      </c>
      <c r="S20" s="801">
        <f>VLOOKUP(A20,'Heavy weapon stocks'!A:OH,COLUMN('Heavy weapon stocks'!$MM$1),0)</f>
        <v>0</v>
      </c>
      <c r="T20" s="801">
        <f>VLOOKUP(A20,'Heavy weapon stocks'!A:OH,COLUMN('Heavy weapon stocks'!$NR$1),0)</f>
        <v>0</v>
      </c>
      <c r="V20" s="801">
        <f>VLOOKUP(A20,'Heavy weapon stocks'!A:OH,COLUMN('Heavy weapon stocks'!$H$1),0)</f>
        <v>18</v>
      </c>
      <c r="W20" s="801">
        <f>VLOOKUP(A20,'Heavy weapon stocks'!A:OH,COLUMN('Heavy weapon stocks'!$DQ$1),0)</f>
        <v>0</v>
      </c>
      <c r="X20" s="801">
        <f>VLOOKUP(A20,'Heavy weapon stocks'!A:OH,COLUMN('Heavy weapon stocks'!$FG$1),0)</f>
        <v>44</v>
      </c>
      <c r="Y20" s="801">
        <f>VLOOKUP(A20,'Heavy weapon stocks'!A:OH,COLUMN('Heavy weapon stocks'!$HC$1),0)+VLOOKUP(A20,'Heavy weapon stocks'!A:OH,COLUMN('Heavy weapon stocks'!$II$1),0)</f>
        <v>20</v>
      </c>
      <c r="Z20" s="801">
        <f>VLOOKUP(A20,'Heavy weapon stocks'!A:OH,COLUMN('Heavy weapon stocks'!$IO$1),0)+VLOOKUP(A20,'Heavy weapon stocks'!A:OH,COLUMN('Heavy weapon stocks'!$IP$1),0)+VLOOKUP(A20,'Heavy weapon stocks'!A:OH,COLUMN('Heavy weapon stocks'!$IU$1),0)</f>
        <v>0</v>
      </c>
      <c r="AA20" s="801">
        <f>VLOOKUP(A20,'Heavy weapon stocks'!A:OH,COLUMN('Heavy weapon stocks'!$MI$1),0)</f>
        <v>0</v>
      </c>
      <c r="AB20" s="801">
        <f>VLOOKUP(A20,'Heavy weapon stocks'!A:OH,COLUMN('Heavy weapon stocks'!$MS$1),0)+VLOOKUP(A20,'Heavy weapon stocks'!A:OH,COLUMN('Heavy weapon stocks'!$MT$1),0)+VLOOKUP(A20,'Heavy weapon stocks'!A:OH,COLUMN('Heavy weapon stocks'!$MU$1),0)+VLOOKUP(A20,'Heavy weapon stocks'!A:OH,COLUMN('Heavy weapon stocks'!$MV$1),0)</f>
        <v>0</v>
      </c>
      <c r="AD20" s="33">
        <f>SUMIFS('Bilateral assistance, MAIN DATA'!$M:$M,'Bilateral assistance, MAIN DATA'!$B:$B,'Share, heavy weapons to Ukraine'!$A20,'Bilateral assistance, MAIN DATA'!$AO:$AO,'Share, heavy weapons to Ukraine'!AD$1)</f>
        <v>0</v>
      </c>
      <c r="AE20" s="33">
        <f>SUMIFS('Bilateral assistance, MAIN DATA'!$M:$M,'Bilateral assistance, MAIN DATA'!$B:$B,'Share, heavy weapons to Ukraine'!$A20,'Bilateral assistance, MAIN DATA'!$AO:$AO,'Share, heavy weapons to Ukraine'!AE$1)</f>
        <v>50</v>
      </c>
      <c r="AF20" s="33">
        <f>SUMIFS('Bilateral assistance, MAIN DATA'!$M:$M,'Bilateral assistance, MAIN DATA'!$B:$B,'Share, heavy weapons to Ukraine'!$A20,'Bilateral assistance, MAIN DATA'!$AO:$AO,'Share, heavy weapons to Ukraine'!AF$1)</f>
        <v>0</v>
      </c>
      <c r="AG20" s="33">
        <f>SUMIFS('Bilateral assistance, MAIN DATA'!$M:$M,'Bilateral assistance, MAIN DATA'!$B:$B,'Share, heavy weapons to Ukraine'!$A20,'Bilateral assistance, MAIN DATA'!$AO:$AO,'Share, heavy weapons to Ukraine'!AG$1)</f>
        <v>0</v>
      </c>
      <c r="AH20" s="33">
        <f>SUMIFS('Bilateral assistance, MAIN DATA'!$M:$M,'Bilateral assistance, MAIN DATA'!$B:$B,'Share, heavy weapons to Ukraine'!$A20,'Bilateral assistance, MAIN DATA'!$AO:$AO,'Share, heavy weapons to Ukraine'!AH$1)</f>
        <v>0</v>
      </c>
      <c r="AI20" s="33">
        <f t="shared" si="1"/>
        <v>50</v>
      </c>
      <c r="AJ20" s="33">
        <f>SUMIFS('Bilateral assistance, MAIN DATA'!$M:$M,'Bilateral assistance, MAIN DATA'!$B:$B,'Share, heavy weapons to Ukraine'!$A20,'Bilateral assistance, MAIN DATA'!$AO:$AO,'Share, heavy weapons to Ukraine'!AJ$1)</f>
        <v>5</v>
      </c>
      <c r="AK20" s="645">
        <f>SUMIFS('Bilateral assistance, MAIN DATA'!$M:$M,'Bilateral assistance, MAIN DATA'!$B:$B,'Share, heavy weapons to Ukraine'!$A20,'Bilateral assistance, MAIN DATA'!$AO:$AO,"122mm MLRS")+SUMIFS('Bilateral assistance, MAIN DATA'!$M:$M,'Bilateral assistance, MAIN DATA'!$B:$B,'Share, heavy weapons to Ukraine'!$A20,'Bilateral assistance, MAIN DATA'!$AO:$AO,"127mm MLRS")+SUMIFS('Bilateral assistance, MAIN DATA'!$M:$M,'Bilateral assistance, MAIN DATA'!$B:$B,'Share, heavy weapons to Ukraine'!$A20,'Bilateral assistance, MAIN DATA'!$AO:$AO,"227mm MLRS")</f>
        <v>0</v>
      </c>
      <c r="AL20" s="33">
        <f>SUMIFS('Bilateral assistance, MAIN DATA'!$M:$M,'Bilateral assistance, MAIN DATA'!$B:$B,'Share, heavy weapons to Ukraine'!$A20,'Bilateral assistance, MAIN DATA'!$AO:$AO,'Share, heavy weapons to Ukraine'!AL$1)</f>
        <v>0</v>
      </c>
      <c r="AM20" s="33">
        <f>SUMIFS('Bilateral assistance, MAIN DATA'!$M:$M,'Bilateral assistance, MAIN DATA'!$B:$B,'Share, heavy weapons to Ukraine'!$A20,'Bilateral assistance, MAIN DATA'!$AO:$AO,'Share, heavy weapons to Ukraine'!AM$1)</f>
        <v>0</v>
      </c>
      <c r="AN20" s="33">
        <f>SUMIFS('Bilateral assistance, MAIN DATA'!$M:$M,'Bilateral assistance, MAIN DATA'!$B:$B,'Share, heavy weapons to Ukraine'!$A20,'Bilateral assistance, MAIN DATA'!$AO:$AO,'Share, heavy weapons to Ukraine'!AN$1)</f>
        <v>0</v>
      </c>
      <c r="AO20" s="33">
        <f>SUMIFS('Bilateral assistance, MAIN DATA'!$M:$M,'Bilateral assistance, MAIN DATA'!$B:$B,'Share, heavy weapons to Ukraine'!$A20,'Bilateral assistance, MAIN DATA'!$AO:$AO,'Share, heavy weapons to Ukraine'!AO$1)</f>
        <v>0</v>
      </c>
      <c r="AP20" s="33">
        <f>SUMIFS('Bilateral assistance, MAIN DATA'!$M:$M,'Bilateral assistance, MAIN DATA'!$B:$B,'Share, heavy weapons to Ukraine'!$A20,'Bilateral assistance, MAIN DATA'!$AO:$AO,'Share, heavy weapons to Ukraine'!AP$1)</f>
        <v>0</v>
      </c>
      <c r="AR20" s="33">
        <f>SUMIFS('Bilateral assistance, MAIN DATA'!$N:$N,'Bilateral assistance, MAIN DATA'!$B:$B,'Share, heavy weapons to Ukraine'!$A20,'Bilateral assistance, MAIN DATA'!$AO:$AO,'Share, heavy weapons to Ukraine'!AR$1)</f>
        <v>0</v>
      </c>
      <c r="AS20" s="33">
        <f>SUMIFS('Bilateral assistance, MAIN DATA'!$N:$N,'Bilateral assistance, MAIN DATA'!$B:$B,'Share, heavy weapons to Ukraine'!$A20,'Bilateral assistance, MAIN DATA'!$AO:$AO,'Share, heavy weapons to Ukraine'!AS$1)</f>
        <v>0</v>
      </c>
      <c r="AT20" s="33">
        <f>SUMIFS('Bilateral assistance, MAIN DATA'!$N:$N,'Bilateral assistance, MAIN DATA'!$B:$B,'Share, heavy weapons to Ukraine'!$A20,'Bilateral assistance, MAIN DATA'!$AO:$AO,'Share, heavy weapons to Ukraine'!AT$1)</f>
        <v>0</v>
      </c>
      <c r="AU20" s="33">
        <f>SUMIFS('Bilateral assistance, MAIN DATA'!$N:$N,'Bilateral assistance, MAIN DATA'!$B:$B,'Share, heavy weapons to Ukraine'!$A20,'Bilateral assistance, MAIN DATA'!$AO:$AO,'Share, heavy weapons to Ukraine'!AU$1)</f>
        <v>0</v>
      </c>
      <c r="AV20" s="33">
        <f>SUMIFS('Bilateral assistance, MAIN DATA'!$N:$N,'Bilateral assistance, MAIN DATA'!$B:$B,'Share, heavy weapons to Ukraine'!$A20,'Bilateral assistance, MAIN DATA'!$AO:$AO,'Share, heavy weapons to Ukraine'!AV$1)</f>
        <v>0</v>
      </c>
      <c r="AW20" s="33">
        <f t="shared" si="2"/>
        <v>0</v>
      </c>
      <c r="AX20" s="33">
        <f>SUMIFS('Bilateral assistance, MAIN DATA'!$N:$N,'Bilateral assistance, MAIN DATA'!$B:$B,'Share, heavy weapons to Ukraine'!$A20,'Bilateral assistance, MAIN DATA'!$AO:$AO,'Share, heavy weapons to Ukraine'!AX$1)</f>
        <v>0</v>
      </c>
      <c r="AY20" s="645">
        <f>SUMIFS('Bilateral assistance, MAIN DATA'!$N:$N,'Bilateral assistance, MAIN DATA'!$B:$B,'Share, heavy weapons to Ukraine'!$A20,'Bilateral assistance, MAIN DATA'!$AO:$AO,"122mm MLRS")+SUMIFS('Bilateral assistance, MAIN DATA'!$N:$N,'Bilateral assistance, MAIN DATA'!$B:$B,'Share, heavy weapons to Ukraine'!$A20,'Bilateral assistance, MAIN DATA'!$AO:$AO,"127mm MLRS")+SUMIFS('Bilateral assistance, MAIN DATA'!$N:$N,'Bilateral assistance, MAIN DATA'!$B:$B,'Share, heavy weapons to Ukraine'!$A20,'Bilateral assistance, MAIN DATA'!$AO:$AO,"227mm MLRS")</f>
        <v>0</v>
      </c>
      <c r="AZ20" s="33">
        <f>SUMIFS('Bilateral assistance, MAIN DATA'!$N:$N,'Bilateral assistance, MAIN DATA'!$B:$B,'Share, heavy weapons to Ukraine'!$A20,'Bilateral assistance, MAIN DATA'!$AO:$AO,'Share, heavy weapons to Ukraine'!AZ$1)</f>
        <v>0</v>
      </c>
      <c r="BA20" s="33">
        <f>SUMIFS('Bilateral assistance, MAIN DATA'!$N:$N,'Bilateral assistance, MAIN DATA'!$B:$B,'Share, heavy weapons to Ukraine'!$A20,'Bilateral assistance, MAIN DATA'!$AO:$AO,'Share, heavy weapons to Ukraine'!BA$1)</f>
        <v>0</v>
      </c>
      <c r="BB20" s="33">
        <f>SUMIFS('Bilateral assistance, MAIN DATA'!$N:$N,'Bilateral assistance, MAIN DATA'!$B:$B,'Share, heavy weapons to Ukraine'!$A20,'Bilateral assistance, MAIN DATA'!$AO:$AO,'Share, heavy weapons to Ukraine'!BB$1)</f>
        <v>0</v>
      </c>
      <c r="BC20" s="33">
        <f>SUMIFS('Bilateral assistance, MAIN DATA'!$N:$N,'Bilateral assistance, MAIN DATA'!$B:$B,'Share, heavy weapons to Ukraine'!$A20,'Bilateral assistance, MAIN DATA'!$AO:$AO,'Share, heavy weapons to Ukraine'!BC$1)</f>
        <v>0</v>
      </c>
      <c r="BD20" s="33">
        <f>SUMIFS('Bilateral assistance, MAIN DATA'!$N:$N,'Bilateral assistance, MAIN DATA'!$B:$B,'Share, heavy weapons to Ukraine'!$A20,'Bilateral assistance, MAIN DATA'!$AO:$AO,'Share, heavy weapons to Ukraine'!BD$1)</f>
        <v>0</v>
      </c>
      <c r="BF20" s="33">
        <f>IF(VLOOKUP($A20,$A:F,COLUMN(F19),FALSE)&lt;&gt;0,VLOOKUP($A20,$A:AD,COLUMN(AD19),FALSE)/VLOOKUP($A20,$A:F,COLUMN(F19),FALSE),IF(VLOOKUP($A20,$A:AD,COLUMN(AD19),FALSE)&lt;&gt;0,"Strange",0))</f>
        <v>0</v>
      </c>
      <c r="BG20" s="33">
        <f>IF(VLOOKUP($A20,$A:G,COLUMN(G19),FALSE)&lt;&gt;0,VLOOKUP($A20,$A:AE,COLUMN(AE19),FALSE)/VLOOKUP($A20,$A:G,COLUMN(G19),FALSE),IF(VLOOKUP($A20,$A:AE,COLUMN(AE19),FALSE)&lt;&gt;0,"Strange",0))</f>
        <v>0.17421602787456447</v>
      </c>
      <c r="BH20" s="33">
        <f>IF(VLOOKUP($A20,$A:H,COLUMN(H19),FALSE)&lt;&gt;0,VLOOKUP($A20,$A:AF,COLUMN(AF19),FALSE)/VLOOKUP($A20,$A:H,COLUMN(H19),FALSE),IF(VLOOKUP($A20,$A:AF,COLUMN(AF19),FALSE)&lt;&gt;0,"Strange",0))</f>
        <v>0</v>
      </c>
      <c r="BI20" s="33">
        <f>IF(VLOOKUP($A20,$A:I,COLUMN(I19),FALSE)&lt;&gt;0,VLOOKUP($A20,$A:AG,COLUMN(AG19),FALSE)/VLOOKUP($A20,$A:I,COLUMN(I19),FALSE),IF(VLOOKUP($A20,$A:AG,COLUMN(AG19),FALSE)&lt;&gt;0,"Strange",0))</f>
        <v>0</v>
      </c>
      <c r="BJ20" s="33">
        <f>IF(VLOOKUP($A20,$A:J,COLUMN(J19),FALSE)&lt;&gt;0,VLOOKUP($A20,$A:AH,COLUMN(AH19),FALSE)/VLOOKUP($A20,$A:J,COLUMN(J19),FALSE),IF(VLOOKUP($A20,$A:AH,COLUMN(AH19),FALSE)&lt;&gt;0,"Strange",0))</f>
        <v>0</v>
      </c>
      <c r="BK20" s="33">
        <f>IF(VLOOKUP($A20,$A:K,COLUMN(K19),FALSE)&lt;&gt;0,VLOOKUP($A20,$A:AI,COLUMN(AI19),FALSE)/VLOOKUP($A20,$A:K,COLUMN(K19),FALSE),IF(VLOOKUP($A20,$A:AI,COLUMN(AI19),FALSE)&lt;&gt;0,"Strange",0))</f>
        <v>0.10615711252653928</v>
      </c>
      <c r="BL20" s="33">
        <f>IF(VLOOKUP($A20,$A:L,COLUMN(L19),FALSE)&lt;&gt;0,VLOOKUP($A20,$A:AJ,COLUMN(AJ19),FALSE)/VLOOKUP($A20,$A:L,COLUMN(L19),FALSE),IF(VLOOKUP($A20,$A:AJ,COLUMN(AJ19),FALSE)&lt;&gt;0,"Strange",0))</f>
        <v>0.25</v>
      </c>
      <c r="BM20" s="33">
        <f>IF(VLOOKUP($A20,$A:M,COLUMN(M19),FALSE)&lt;&gt;0,VLOOKUP($A20,$A:AK,COLUMN(AK19),FALSE)/VLOOKUP($A20,$A:M,COLUMN(M19),FALSE),IF(VLOOKUP($A20,$A:AK,COLUMN(AK19),FALSE)&lt;&gt;0,"Strange",0))</f>
        <v>0</v>
      </c>
      <c r="BN20" s="33">
        <f>IF(VLOOKUP($A20,$A:N,COLUMN(N19),FALSE)&lt;&gt;0,VLOOKUP($A20,$A:AL,COLUMN(AL19),FALSE)/VLOOKUP($A20,$A:N,COLUMN(N19),FALSE),IF(VLOOKUP($A20,$A:AL,COLUMN(AL19),FALSE)&lt;&gt;0,"Strange",0))</f>
        <v>0</v>
      </c>
      <c r="BO20" s="33">
        <f>IF(VLOOKUP($A20,$A:Q,COLUMN(Q19),FALSE)&lt;&gt;0,VLOOKUP($A20,$A:AM,COLUMN(AM19),FALSE)/VLOOKUP($A20,$A:Q,COLUMN(Q19),FALSE),IF(VLOOKUP($A20,$A:AM,COLUMN(AM19),FALSE)&lt;&gt;0,"Strange",0))</f>
        <v>0</v>
      </c>
      <c r="BP20" s="33">
        <f>IF(VLOOKUP($A20,$A:R,COLUMN(R19),FALSE)&lt;&gt;0,VLOOKUP($A20,$A:AN,COLUMN(AN19),FALSE)/VLOOKUP($A20,$A:R,COLUMN(R19),FALSE),IF(VLOOKUP($A20,$A:AN,COLUMN(AN19),FALSE)&lt;&gt;0,"Strange",0))</f>
        <v>0</v>
      </c>
      <c r="BQ20" s="33">
        <f>IF(VLOOKUP($A20,$A:S,COLUMN(S19),FALSE)&lt;&gt;0,VLOOKUP($A20,$A:AO,COLUMN(AO19),FALSE)/VLOOKUP($A20,$A:S,COLUMN(S19),FALSE),IF(VLOOKUP($A20,$A:AO,COLUMN(AO19),FALSE)&lt;&gt;0,"Strange",0))</f>
        <v>0</v>
      </c>
      <c r="BR20" s="33">
        <f>IF(VLOOKUP($A20,$A:T,COLUMN(T19),FALSE)&lt;&gt;0,VLOOKUP($A20,$A:AP,COLUMN(AP19),FALSE)/VLOOKUP($A20,$A:T,COLUMN(T19),FALSE),IF(VLOOKUP($A20,$A:AP,COLUMN(AP19),FALSE)&lt;&gt;0,"Strange",0))</f>
        <v>0</v>
      </c>
      <c r="BT20" s="33">
        <f>IF(VLOOKUP($A20,$A:AE,COLUMN(F19),FALSE)&lt;&gt;0,VLOOKUP($A20,$A:AS,COLUMN(AR19),FALSE)/VLOOKUP($A20,$A:AE,COLUMN(F19),FALSE),IF(VLOOKUP($A20,$A:AS,COLUMN(AR19),FALSE)&lt;&gt;0,"Strange",0))</f>
        <v>0</v>
      </c>
      <c r="BU20" s="33">
        <f>IF(VLOOKUP($A20,$A:AF,COLUMN(G19),FALSE)&lt;&gt;0,VLOOKUP($A20,$A:AT,COLUMN(AS19),FALSE)/VLOOKUP($A20,$A:AF,COLUMN(G19),FALSE),IF(VLOOKUP($A20,$A:AT,COLUMN(AS19),FALSE)&lt;&gt;0,"Strange",0))</f>
        <v>0</v>
      </c>
      <c r="BV20" s="33">
        <f>IF(VLOOKUP($A20,$A:AG,COLUMN(H19),FALSE)&lt;&gt;0,VLOOKUP($A20,$A:AU,COLUMN(AT19),FALSE)/VLOOKUP($A20,$A:AG,COLUMN(H19),FALSE),IF(VLOOKUP($A20,$A:AU,COLUMN(AT19),FALSE)&lt;&gt;0,"Strange",0))</f>
        <v>0</v>
      </c>
      <c r="BW20" s="33">
        <f>IF(VLOOKUP($A20,$A:AH,COLUMN(I19),FALSE)&lt;&gt;0,VLOOKUP($A20,$A:AV,COLUMN(AU19),FALSE)/VLOOKUP($A20,$A:AH,COLUMN(I19),FALSE),IF(VLOOKUP($A20,$A:AV,COLUMN(AU19),FALSE)&lt;&gt;0,"Strange",0))</f>
        <v>0</v>
      </c>
      <c r="BX20" s="33">
        <f>IF(VLOOKUP($A20,$A:AJ,COLUMN(J19),FALSE)&lt;&gt;0,VLOOKUP($A20,$A:AX,COLUMN(AV19),FALSE)/VLOOKUP($A20,$A:AJ,COLUMN(J19),FALSE),IF(VLOOKUP($A20,$A:AX,COLUMN(AV19),FALSE)&lt;&gt;0,"Strange",0))</f>
        <v>0</v>
      </c>
      <c r="BY20" s="33">
        <f>IF(VLOOKUP($A20,$A:AK,COLUMN(K19),FALSE)&lt;&gt;0,VLOOKUP($A20,$A:AY,COLUMN(AW19),FALSE)/VLOOKUP($A20,$A:AK,COLUMN(K19),FALSE),IF(VLOOKUP($A20,$A:AY,COLUMN(AW19),FALSE)&lt;&gt;0,"Strange",0))</f>
        <v>0</v>
      </c>
      <c r="BZ20" s="33">
        <f>IF(VLOOKUP($A20,$A:AK,COLUMN(L19),FALSE)&lt;&gt;0,VLOOKUP($A20,$A:AY,COLUMN(AX19),FALSE)/VLOOKUP($A20,$A:AK,COLUMN(L19),FALSE),IF(VLOOKUP($A20,$A:AY,COLUMN(AX19),FALSE)&lt;&gt;0,"Strange",0))</f>
        <v>0</v>
      </c>
      <c r="CA20" s="33">
        <f>IF(VLOOKUP($A20,$A:AL,COLUMN(M19),FALSE)&lt;&gt;0,VLOOKUP($A20,$A:AZ,COLUMN(AY19),FALSE)/VLOOKUP($A20,$A:AL,COLUMN(M19),FALSE),IF(VLOOKUP($A20,$A:AZ,COLUMN(AY19),FALSE)&lt;&gt;0,"Strange",0))</f>
        <v>0</v>
      </c>
      <c r="CB20" s="33">
        <f>IF(VLOOKUP($A20,$A:AL,COLUMN(N19),FALSE)&lt;&gt;0,VLOOKUP($A20,$A:AZ,COLUMN(AZ19),FALSE)/VLOOKUP($A20,$A:AL,COLUMN(N19),FALSE),IF(VLOOKUP($A20,$A:AZ,COLUMN(AZ19),FALSE)&lt;&gt;0,"Strange",0))</f>
        <v>0</v>
      </c>
      <c r="CC20" s="33">
        <f>IF(VLOOKUP($A20,$A:AM,COLUMN(Q19),FALSE)&lt;&gt;0,VLOOKUP($A20,$A:BA,COLUMN(BA19),FALSE)/VLOOKUP($A20,$A:AM,COLUMN(Q19),FALSE),IF(VLOOKUP($A20,$A:BA,COLUMN(BA19),FALSE)&lt;&gt;0,"Strange",0))</f>
        <v>0</v>
      </c>
      <c r="CD20" s="33">
        <f>IF(VLOOKUP($A20,$A:AN,COLUMN(R19),FALSE)&lt;&gt;0,VLOOKUP($A20,$A:BB,COLUMN(BB19),FALSE)/VLOOKUP($A20,$A:AN,COLUMN(R19),FALSE),IF(VLOOKUP($A20,$A:BB,COLUMN(BB19),FALSE)&lt;&gt;0,"Strange",0))</f>
        <v>0</v>
      </c>
      <c r="CE20" s="33">
        <f>IF(VLOOKUP($A20,$A:AO,COLUMN(S19),FALSE)&lt;&gt;0,VLOOKUP($A20,$A:BC,COLUMN(BC19),FALSE)/VLOOKUP($A20,$A:AO,COLUMN(S19),FALSE),IF(VLOOKUP($A20,$A:BC,COLUMN(BC19),FALSE)&lt;&gt;0,"Strange",0))</f>
        <v>0</v>
      </c>
      <c r="CF20" s="33">
        <f>IF(VLOOKUP($A20,$A:AP,COLUMN(T19),FALSE)&lt;&gt;0,VLOOKUP($A20,$A:BD,COLUMN(BD19),FALSE)/VLOOKUP($A20,$A:AP,COLUMN(T19),FALSE),IF(VLOOKUP($A20,$A:BD,COLUMN(BD19),FALSE)&lt;&gt;0,"Strange",0))</f>
        <v>0</v>
      </c>
      <c r="CH20" s="33">
        <f>SUMIFS('Bilateral assistance, MAIN DATA'!$M:$M,'Bilateral assistance, MAIN DATA'!$B:$B,'Share, heavy weapons to Ukraine'!$A20,'Bilateral assistance, MAIN DATA'!$AO:$AO,'Share, heavy weapons to Ukraine'!CH$1,'Bilateral assistance, MAIN DATA'!$AQ:$AQ,2)</f>
        <v>0</v>
      </c>
      <c r="CI20" s="33">
        <f>SUMIFS('Bilateral assistance, MAIN DATA'!$M:$M,'Bilateral assistance, MAIN DATA'!$B:$B,'Share, heavy weapons to Ukraine'!$A20,'Bilateral assistance, MAIN DATA'!$AO:$AO,'Share, heavy weapons to Ukraine'!CI$1,'Bilateral assistance, MAIN DATA'!$AQ:$AQ,2)</f>
        <v>5</v>
      </c>
      <c r="CJ20" s="645">
        <f>SUMIFS('Bilateral assistance, MAIN DATA'!$M:$M,'Bilateral assistance, MAIN DATA'!$B:$B,'Share, heavy weapons to Ukraine'!$A20,'Bilateral assistance, MAIN DATA'!$AO:$AO,"122mm MLRS",'Bilateral assistance, MAIN DATA'!$AQ:$AQ,2)+SUMIFS('Bilateral assistance, MAIN DATA'!$M:$M,'Bilateral assistance, MAIN DATA'!$B:$B,'Share, heavy weapons to Ukraine'!$A20,'Bilateral assistance, MAIN DATA'!$AO:$AO,"127mm MLRS",'Bilateral assistance, MAIN DATA'!$AQ:$AQ,2)+SUMIFS('Bilateral assistance, MAIN DATA'!$M:$M,'Bilateral assistance, MAIN DATA'!$B:$B,'Share, heavy weapons to Ukraine'!$A20,'Bilateral assistance, MAIN DATA'!$AO:$AO,"227mm MLRS",'Bilateral assistance, MAIN DATA'!$AQ:$AQ,2)</f>
        <v>0</v>
      </c>
      <c r="CL20" s="33">
        <f>SUMIFS('Bilateral assistance, MAIN DATA'!$M:$M,'Bilateral assistance, MAIN DATA'!$B:$B,'Share, heavy weapons to Ukraine'!$A20,'Bilateral assistance, MAIN DATA'!$AO:$AO,'Share, heavy weapons to Ukraine'!CH$1,'Bilateral assistance, MAIN DATA'!$AQ:$AQ,1)</f>
        <v>0</v>
      </c>
      <c r="CM20" s="33">
        <f>SUMIFS('Bilateral assistance, MAIN DATA'!$M:$M,'Bilateral assistance, MAIN DATA'!$B:$B,'Share, heavy weapons to Ukraine'!$A20,'Bilateral assistance, MAIN DATA'!$AO:$AO,'Share, heavy weapons to Ukraine'!CI$1,'Bilateral assistance, MAIN DATA'!$AQ:$AQ,1)</f>
        <v>0</v>
      </c>
      <c r="CN20" s="645">
        <f>SUMIFS('Bilateral assistance, MAIN DATA'!$M:$M,'Bilateral assistance, MAIN DATA'!$B:$B,'Share, heavy weapons to Ukraine'!$A20,'Bilateral assistance, MAIN DATA'!$AO:$AO,"122mm MLRS",'Bilateral assistance, MAIN DATA'!$AQ:$AQ,1)+SUMIFS('Bilateral assistance, MAIN DATA'!$M:$M,'Bilateral assistance, MAIN DATA'!$B:$B,'Share, heavy weapons to Ukraine'!$A20,'Bilateral assistance, MAIN DATA'!$AO:$AO,"127mm MLRS",'Bilateral assistance, MAIN DATA'!$AQ:$AQ,1)+SUMIFS('Bilateral assistance, MAIN DATA'!$M:$M,'Bilateral assistance, MAIN DATA'!$B:$B,'Share, heavy weapons to Ukraine'!$A20,'Bilateral assistance, MAIN DATA'!$AO:$AO,"227mm MLRS",'Bilateral assistance, MAIN DATA'!$AQ:$AQ,1)</f>
        <v>0</v>
      </c>
      <c r="CP20" s="33">
        <f>SUMIFS('Bilateral assistance, MAIN DATA'!$M:$M,'Bilateral assistance, MAIN DATA'!$B:$B,'Share, heavy weapons to Ukraine'!$A20,'Bilateral assistance, MAIN DATA'!$AO:$AO,'Share, heavy weapons to Ukraine'!CP$1,'Bilateral assistance, MAIN DATA'!$AQ:$AQ,0)</f>
        <v>0</v>
      </c>
      <c r="CQ20" s="33">
        <f>SUMIFS('Bilateral assistance, MAIN DATA'!$M:$M,'Bilateral assistance, MAIN DATA'!$B:$B,'Share, heavy weapons to Ukraine'!$A20,'Bilateral assistance, MAIN DATA'!$AO:$AO,'Share, heavy weapons to Ukraine'!CQ$1,'Bilateral assistance, MAIN DATA'!$AQ:$AQ,0)</f>
        <v>0</v>
      </c>
      <c r="CR20" s="645">
        <f>SUMIFS('Bilateral assistance, MAIN DATA'!$M:$M,'Bilateral assistance, MAIN DATA'!$B:$B,'Share, heavy weapons to Ukraine'!$A20,'Bilateral assistance, MAIN DATA'!$AO:$AO,"122mm MLRS",'Bilateral assistance, MAIN DATA'!$AQ:$AQ,0)+SUMIFS('Bilateral assistance, MAIN DATA'!$M:$M,'Bilateral assistance, MAIN DATA'!$B:$B,'Share, heavy weapons to Ukraine'!$A20,'Bilateral assistance, MAIN DATA'!$AO:$AO,"127mm MLRS",'Bilateral assistance, MAIN DATA'!$AQ:$AQ,0)+SUMIFS('Bilateral assistance, MAIN DATA'!$M:$M,'Bilateral assistance, MAIN DATA'!$B:$B,'Share, heavy weapons to Ukraine'!$A20,'Bilateral assistance, MAIN DATA'!$AO:$AO,"227mm MLRS",'Bilateral assistance, MAIN DATA'!$AQ:$AQ,0)</f>
        <v>0</v>
      </c>
      <c r="CT20" s="33">
        <f>IF(VLOOKUP($A20,$A:CS,COLUMN(F19),FALSE)&lt;&gt;0,VLOOKUP($A20,$A:CS,COLUMN(CH19),FALSE)/VLOOKUP($A20,$A:AU,COLUMN(F19),FALSE),IF(VLOOKUP($A20,$A:CS,COLUMN(CH19),FALSE)&lt;&gt;0,"Strange",0))</f>
        <v>0</v>
      </c>
      <c r="CU20" s="33">
        <f>IF(VLOOKUP($A20,$A:CS,COLUMN(L19),FALSE)&lt;&gt;0,VLOOKUP($A20,$A:CS,COLUMN(CI19),FALSE)/VLOOKUP($A20,$A:AU,COLUMN(L19),FALSE),IF(VLOOKUP($A20,$A:CS,COLUMN(CI19),FALSE)&lt;&gt;0,"Strange",0))</f>
        <v>0.25</v>
      </c>
      <c r="CV20" s="33">
        <f>IF(VLOOKUP($A20,$A:CT,COLUMN(M19),FALSE)&lt;&gt;0,VLOOKUP($A20,$A:CT,COLUMN(CJ19),FALSE)/VLOOKUP($A20,$A:AV,COLUMN(M19),FALSE),IF(VLOOKUP($A20,$A:CT,COLUMN(CJ19),FALSE)&lt;&gt;0,"Strange",0))</f>
        <v>0</v>
      </c>
      <c r="CX20" s="33">
        <f>IF(VLOOKUP($A20,$A:CS,COLUMN(F19),FALSE)&lt;&gt;0,VLOOKUP($A20,$A:CS,COLUMN(CL19),FALSE)/VLOOKUP($A20,$A:AU,COLUMN(F19),FALSE),IF(VLOOKUP($A20,$A:CS,COLUMN(CL19),FALSE)&lt;&gt;0,"Strange",0))</f>
        <v>0</v>
      </c>
      <c r="CY20" s="33">
        <f>IF(VLOOKUP($A20,$A:CS,COLUMN(L19),FALSE)&lt;&gt;0,VLOOKUP($A20,$A:CS,COLUMN(CM19),FALSE)/VLOOKUP($A20,$A:AU,COLUMN(L19),FALSE),IF(VLOOKUP($A20,$A:CS,COLUMN(CM19),FALSE)&lt;&gt;0,"Strange",0))</f>
        <v>0</v>
      </c>
      <c r="CZ20" s="33">
        <f>IF(VLOOKUP($A20,$A:CT,COLUMN(M19),FALSE)&lt;&gt;0,VLOOKUP($A20,$A:CT,COLUMN(CN19),FALSE)/VLOOKUP($A20,$A:AV,COLUMN(M19),FALSE),IF(VLOOKUP($A20,$A:CT,COLUMN(CN19),FALSE)&lt;&gt;0,"Strange",0))</f>
        <v>0</v>
      </c>
      <c r="DB20" s="33">
        <f>IF(VLOOKUP($A20,$A:CS,COLUMN(F19),FALSE)&lt;&gt;0,VLOOKUP($A20,$A:CS,COLUMN(CP19),FALSE)/VLOOKUP($A20,$A:AU,COLUMN(F19),FALSE),IF(VLOOKUP($A20,$A:CS,COLUMN(CP19),FALSE)&lt;&gt;0,"Strange",0))</f>
        <v>0</v>
      </c>
      <c r="DC20" s="33">
        <f>IF(VLOOKUP($A20,$A:CS,COLUMN(L19),FALSE)&lt;&gt;0,VLOOKUP($A20,$A:CS,COLUMN(CQ19),FALSE)/VLOOKUP($A20,$A:AU,COLUMN(L19),FALSE),IF(VLOOKUP($A20,$A:CS,COLUMN(CQ19),FALSE)&lt;&gt;0,"Strange",0))</f>
        <v>0</v>
      </c>
      <c r="DD20" s="33">
        <f>IF(VLOOKUP($A20,$A:CT,COLUMN(M19),FALSE)&lt;&gt;0,VLOOKUP($A20,$A:CT,COLUMN(CR19),FALSE)/VLOOKUP($A20,$A:AV,COLUMN(M19),FALSE),IF(VLOOKUP($A20,$A:CT,COLUMN(CR19),FALSE)&lt;&gt;0,"Strange",0))</f>
        <v>0</v>
      </c>
      <c r="DF20" s="33">
        <f>SUMIFS('Bilateral assistance, MAIN DATA'!$M:$M,'Bilateral assistance, MAIN DATA'!$B:$B,'Share, heavy weapons to Ukraine'!$A20,'Bilateral assistance, MAIN DATA'!$AO:$AO,'Share, heavy weapons to Ukraine'!DF$1, 'Bilateral assistance, MAIN DATA'!$AA:$AA,1)</f>
        <v>0</v>
      </c>
      <c r="DG20" s="33">
        <f>SUMIFS('Bilateral assistance, MAIN DATA'!$M:$M,'Bilateral assistance, MAIN DATA'!$B:$B,'Share, heavy weapons to Ukraine'!$A20,'Bilateral assistance, MAIN DATA'!$AO:$AO,'Share, heavy weapons to Ukraine'!DG$1, 'Bilateral assistance, MAIN DATA'!$AA:$AA,1)</f>
        <v>0</v>
      </c>
      <c r="DH20" s="33">
        <f>SUMIFS('Bilateral assistance, MAIN DATA'!$M:$M,'Bilateral assistance, MAIN DATA'!$B:$B,'Share, heavy weapons to Ukraine'!$A20,'Bilateral assistance, MAIN DATA'!$AO:$AO,'Share, heavy weapons to Ukraine'!DH$1, 'Bilateral assistance, MAIN DATA'!$AA:$AA,1)</f>
        <v>0</v>
      </c>
      <c r="DI20" s="33">
        <f>SUMIFS('Bilateral assistance, MAIN DATA'!$M:$M,'Bilateral assistance, MAIN DATA'!$B:$B,'Share, heavy weapons to Ukraine'!$A20,'Bilateral assistance, MAIN DATA'!$AO:$AO,'Share, heavy weapons to Ukraine'!DI$1, 'Bilateral assistance, MAIN DATA'!$AA:$AA,1)</f>
        <v>0</v>
      </c>
      <c r="DK20" s="33">
        <f>SUMIFS('Bilateral assistance, MAIN DATA'!$N:$N,'Bilateral assistance, MAIN DATA'!$B:$B,'Share, heavy weapons to Ukraine'!$A20,'Bilateral assistance, MAIN DATA'!$AO:$AO,'Share, heavy weapons to Ukraine'!DK$1, 'Bilateral assistance, MAIN DATA'!$AA:$AA,1)</f>
        <v>0</v>
      </c>
      <c r="DL20" s="33">
        <f>SUMIFS('Bilateral assistance, MAIN DATA'!$N:$N,'Bilateral assistance, MAIN DATA'!$B:$B,'Share, heavy weapons to Ukraine'!$A20,'Bilateral assistance, MAIN DATA'!$AO:$AO,'Share, heavy weapons to Ukraine'!DL$1, 'Bilateral assistance, MAIN DATA'!$AA:$AA,1)</f>
        <v>0</v>
      </c>
      <c r="DM20" s="33">
        <f>SUMIFS('Bilateral assistance, MAIN DATA'!$N:$N,'Bilateral assistance, MAIN DATA'!$B:$B,'Share, heavy weapons to Ukraine'!$A20,'Bilateral assistance, MAIN DATA'!$AO:$AO,'Share, heavy weapons to Ukraine'!DM$1, 'Bilateral assistance, MAIN DATA'!$AA:$AA,1)</f>
        <v>0</v>
      </c>
      <c r="DN20" s="33">
        <f>SUMIFS('Bilateral assistance, MAIN DATA'!$N:$N,'Bilateral assistance, MAIN DATA'!$B:$B,'Share, heavy weapons to Ukraine'!$A20,'Bilateral assistance, MAIN DATA'!$AO:$AO,'Share, heavy weapons to Ukraine'!DN$1, 'Bilateral assistance, MAIN DATA'!$AA:$AA,1)</f>
        <v>0</v>
      </c>
    </row>
    <row r="21" spans="1:118">
      <c r="A21" s="801" t="s">
        <v>632</v>
      </c>
      <c r="B21" s="801">
        <v>0</v>
      </c>
      <c r="C21" s="33">
        <v>1</v>
      </c>
      <c r="E21" s="802">
        <v>3.97</v>
      </c>
      <c r="F21" s="801">
        <f>VLOOKUP(A21,'Heavy weapon stocks'!A:OH,COLUMN('Heavy weapon stocks'!$G$1),0)</f>
        <v>119</v>
      </c>
      <c r="G21" s="801">
        <f>VLOOKUP(A21,'Heavy weapon stocks'!A:OH,COLUMN('Heavy weapon stocks'!$AW$1),0)</f>
        <v>0</v>
      </c>
      <c r="H21" s="801">
        <f>VLOOKUP(A21,'Heavy weapon stocks'!A:OH,COLUMN('Heavy weapon stocks'!$DQ$1),0)</f>
        <v>1</v>
      </c>
      <c r="I21" s="801">
        <f>VLOOKUP(A21,'Heavy weapon stocks'!A:OH,COLUMN('Heavy weapon stocks'!$EE$1),0)</f>
        <v>141</v>
      </c>
      <c r="J21" s="801">
        <f>VLOOKUP(A21,'Heavy weapon stocks'!A:OH,COLUMN('Heavy weapon stocks'!$FG$1),0)</f>
        <v>390</v>
      </c>
      <c r="K21" s="801">
        <f t="shared" si="3"/>
        <v>532</v>
      </c>
      <c r="L21" s="801">
        <f>VLOOKUP(A21,'Heavy weapon stocks'!A:OH,COLUMN('Heavy weapon stocks'!$HC$1),0)+VLOOKUP(A21,'Heavy weapon stocks'!A:OH,COLUMN('Heavy weapon stocks'!$II$1),0)</f>
        <v>86</v>
      </c>
      <c r="M21" s="801">
        <v>60</v>
      </c>
      <c r="N21" s="801">
        <f>VLOOKUP(A21,'Heavy weapon stocks'!A:OH,COLUMN('Heavy weapon stocks'!$JH$1),0)+VLOOKUP(A21,'Heavy weapon stocks'!A:OH,COLUMN('Heavy weapon stocks'!$KE$1),0)</f>
        <v>14</v>
      </c>
      <c r="O21" s="801">
        <f>VLOOKUP(A21,'Heavy weapon stocks'!A:OH,COLUMN('Heavy weapon stocks'!$LU$1),0)</f>
        <v>0</v>
      </c>
      <c r="Q21" s="801">
        <f>VLOOKUP(A21,'Heavy weapon stocks'!A:OH,COLUMN('Heavy weapon stocks'!$LV$1),0)</f>
        <v>0</v>
      </c>
      <c r="R21" s="801">
        <f>VLOOKUP(A21,'Heavy weapon stocks'!A:OH,COLUMN('Heavy weapon stocks'!$MF$1),0)</f>
        <v>0</v>
      </c>
      <c r="S21" s="801">
        <f>VLOOKUP(A21,'Heavy weapon stocks'!A:OH,COLUMN('Heavy weapon stocks'!$MM$1),0)</f>
        <v>0</v>
      </c>
      <c r="T21" s="801">
        <f>VLOOKUP(A21,'Heavy weapon stocks'!A:OH,COLUMN('Heavy weapon stocks'!$NR$1),0)</f>
        <v>0</v>
      </c>
      <c r="V21" s="801">
        <f>VLOOKUP(A21,'Heavy weapon stocks'!A:OH,COLUMN('Heavy weapon stocks'!$H$1),0)</f>
        <v>0</v>
      </c>
      <c r="W21" s="801">
        <f>VLOOKUP(A21,'Heavy weapon stocks'!A:OH,COLUMN('Heavy weapon stocks'!$DQ$1),0)</f>
        <v>1</v>
      </c>
      <c r="X21" s="801">
        <f>VLOOKUP(A21,'Heavy weapon stocks'!A:OH,COLUMN('Heavy weapon stocks'!$FG$1),0)</f>
        <v>390</v>
      </c>
      <c r="Y21" s="801">
        <f>VLOOKUP(A21,'Heavy weapon stocks'!A:OH,COLUMN('Heavy weapon stocks'!$HC$1),0)+VLOOKUP(A21,'Heavy weapon stocks'!A:OH,COLUMN('Heavy weapon stocks'!$II$1),0)</f>
        <v>86</v>
      </c>
      <c r="Z21" s="801">
        <f>VLOOKUP(A21,'Heavy weapon stocks'!A:OH,COLUMN('Heavy weapon stocks'!$IO$1),0)+VLOOKUP(A21,'Heavy weapon stocks'!A:OH,COLUMN('Heavy weapon stocks'!$IP$1),0)+VLOOKUP(A21,'Heavy weapon stocks'!A:OH,COLUMN('Heavy weapon stocks'!$IU$1),0)</f>
        <v>0</v>
      </c>
      <c r="AA21" s="801">
        <f>VLOOKUP(A21,'Heavy weapon stocks'!A:OH,COLUMN('Heavy weapon stocks'!$MI$1),0)</f>
        <v>0</v>
      </c>
      <c r="AB21" s="801">
        <f>VLOOKUP(A21,'Heavy weapon stocks'!A:OH,COLUMN('Heavy weapon stocks'!$MS$1),0)+VLOOKUP(A21,'Heavy weapon stocks'!A:OH,COLUMN('Heavy weapon stocks'!$MT$1),0)+VLOOKUP(A21,'Heavy weapon stocks'!A:OH,COLUMN('Heavy weapon stocks'!$MU$1),0)+VLOOKUP(A21,'Heavy weapon stocks'!A:OH,COLUMN('Heavy weapon stocks'!$MV$1),0)</f>
        <v>0</v>
      </c>
      <c r="AD21" s="33">
        <f>SUMIFS('Bilateral assistance, MAIN DATA'!$M:$M,'Bilateral assistance, MAIN DATA'!$B:$B,'Share, heavy weapons to Ukraine'!$A21,'Bilateral assistance, MAIN DATA'!$AO:$AO,'Share, heavy weapons to Ukraine'!AD$1)</f>
        <v>130</v>
      </c>
      <c r="AE21" s="33">
        <f>SUMIFS('Bilateral assistance, MAIN DATA'!$M:$M,'Bilateral assistance, MAIN DATA'!$B:$B,'Share, heavy weapons to Ukraine'!$A21,'Bilateral assistance, MAIN DATA'!$AO:$AO,'Share, heavy weapons to Ukraine'!AE$1)</f>
        <v>0</v>
      </c>
      <c r="AF21" s="33">
        <f>SUMIFS('Bilateral assistance, MAIN DATA'!$M:$M,'Bilateral assistance, MAIN DATA'!$B:$B,'Share, heavy weapons to Ukraine'!$A21,'Bilateral assistance, MAIN DATA'!$AO:$AO,'Share, heavy weapons to Ukraine'!AF$1)</f>
        <v>0</v>
      </c>
      <c r="AG21" s="33">
        <f>SUMIFS('Bilateral assistance, MAIN DATA'!$M:$M,'Bilateral assistance, MAIN DATA'!$B:$B,'Share, heavy weapons to Ukraine'!$A21,'Bilateral assistance, MAIN DATA'!$AO:$AO,'Share, heavy weapons to Ukraine'!AG$1)</f>
        <v>0</v>
      </c>
      <c r="AH21" s="33">
        <f>SUMIFS('Bilateral assistance, MAIN DATA'!$M:$M,'Bilateral assistance, MAIN DATA'!$B:$B,'Share, heavy weapons to Ukraine'!$A21,'Bilateral assistance, MAIN DATA'!$AO:$AO,'Share, heavy weapons to Ukraine'!AH$1)</f>
        <v>5</v>
      </c>
      <c r="AI21" s="33">
        <f t="shared" si="1"/>
        <v>5</v>
      </c>
      <c r="AJ21" s="33">
        <f>SUMIFS('Bilateral assistance, MAIN DATA'!$M:$M,'Bilateral assistance, MAIN DATA'!$B:$B,'Share, heavy weapons to Ukraine'!$A21,'Bilateral assistance, MAIN DATA'!$AO:$AO,'Share, heavy weapons to Ukraine'!AJ$1)</f>
        <v>0</v>
      </c>
      <c r="AK21" s="645">
        <f>SUMIFS('Bilateral assistance, MAIN DATA'!$M:$M,'Bilateral assistance, MAIN DATA'!$B:$B,'Share, heavy weapons to Ukraine'!$A21,'Bilateral assistance, MAIN DATA'!$AO:$AO,"122mm MLRS")+SUMIFS('Bilateral assistance, MAIN DATA'!$M:$M,'Bilateral assistance, MAIN DATA'!$B:$B,'Share, heavy weapons to Ukraine'!$A21,'Bilateral assistance, MAIN DATA'!$AO:$AO,"127mm MLRS")+SUMIFS('Bilateral assistance, MAIN DATA'!$M:$M,'Bilateral assistance, MAIN DATA'!$B:$B,'Share, heavy weapons to Ukraine'!$A21,'Bilateral assistance, MAIN DATA'!$AO:$AO,"227mm MLRS")</f>
        <v>20</v>
      </c>
      <c r="AL21" s="33">
        <f>SUMIFS('Bilateral assistance, MAIN DATA'!$M:$M,'Bilateral assistance, MAIN DATA'!$B:$B,'Share, heavy weapons to Ukraine'!$A21,'Bilateral assistance, MAIN DATA'!$AO:$AO,'Share, heavy weapons to Ukraine'!AL$1)</f>
        <v>0</v>
      </c>
      <c r="AM21" s="33">
        <f>SUMIFS('Bilateral assistance, MAIN DATA'!$M:$M,'Bilateral assistance, MAIN DATA'!$B:$B,'Share, heavy weapons to Ukraine'!$A21,'Bilateral assistance, MAIN DATA'!$AO:$AO,'Share, heavy weapons to Ukraine'!AM$1)</f>
        <v>0</v>
      </c>
      <c r="AN21" s="33">
        <f>SUMIFS('Bilateral assistance, MAIN DATA'!$M:$M,'Bilateral assistance, MAIN DATA'!$B:$B,'Share, heavy weapons to Ukraine'!$A21,'Bilateral assistance, MAIN DATA'!$AO:$AO,'Share, heavy weapons to Ukraine'!AN$1)</f>
        <v>0</v>
      </c>
      <c r="AO21" s="33">
        <f>SUMIFS('Bilateral assistance, MAIN DATA'!$M:$M,'Bilateral assistance, MAIN DATA'!$B:$B,'Share, heavy weapons to Ukraine'!$A21,'Bilateral assistance, MAIN DATA'!$AO:$AO,'Share, heavy weapons to Ukraine'!AO$1)</f>
        <v>0</v>
      </c>
      <c r="AP21" s="33">
        <f>SUMIFS('Bilateral assistance, MAIN DATA'!$M:$M,'Bilateral assistance, MAIN DATA'!$B:$B,'Share, heavy weapons to Ukraine'!$A21,'Bilateral assistance, MAIN DATA'!$AO:$AO,'Share, heavy weapons to Ukraine'!AP$1)</f>
        <v>0</v>
      </c>
      <c r="AR21" s="33">
        <f>SUMIFS('Bilateral assistance, MAIN DATA'!$N:$N,'Bilateral assistance, MAIN DATA'!$B:$B,'Share, heavy weapons to Ukraine'!$A21,'Bilateral assistance, MAIN DATA'!$AO:$AO,'Share, heavy weapons to Ukraine'!AR$1)</f>
        <v>40</v>
      </c>
      <c r="AS21" s="33">
        <f>SUMIFS('Bilateral assistance, MAIN DATA'!$N:$N,'Bilateral assistance, MAIN DATA'!$B:$B,'Share, heavy weapons to Ukraine'!$A21,'Bilateral assistance, MAIN DATA'!$AO:$AO,'Share, heavy weapons to Ukraine'!AS$1)</f>
        <v>0</v>
      </c>
      <c r="AT21" s="33">
        <f>SUMIFS('Bilateral assistance, MAIN DATA'!$N:$N,'Bilateral assistance, MAIN DATA'!$B:$B,'Share, heavy weapons to Ukraine'!$A21,'Bilateral assistance, MAIN DATA'!$AO:$AO,'Share, heavy weapons to Ukraine'!AT$1)</f>
        <v>0</v>
      </c>
      <c r="AU21" s="33">
        <f>SUMIFS('Bilateral assistance, MAIN DATA'!$N:$N,'Bilateral assistance, MAIN DATA'!$B:$B,'Share, heavy weapons to Ukraine'!$A21,'Bilateral assistance, MAIN DATA'!$AO:$AO,'Share, heavy weapons to Ukraine'!AU$1)</f>
        <v>0</v>
      </c>
      <c r="AV21" s="33">
        <f>SUMIFS('Bilateral assistance, MAIN DATA'!$N:$N,'Bilateral assistance, MAIN DATA'!$B:$B,'Share, heavy weapons to Ukraine'!$A21,'Bilateral assistance, MAIN DATA'!$AO:$AO,'Share, heavy weapons to Ukraine'!AV$1)</f>
        <v>5</v>
      </c>
      <c r="AW21" s="33">
        <f t="shared" si="2"/>
        <v>5</v>
      </c>
      <c r="AX21" s="33">
        <f>SUMIFS('Bilateral assistance, MAIN DATA'!$N:$N,'Bilateral assistance, MAIN DATA'!$B:$B,'Share, heavy weapons to Ukraine'!$A21,'Bilateral assistance, MAIN DATA'!$AO:$AO,'Share, heavy weapons to Ukraine'!AX$1)</f>
        <v>0</v>
      </c>
      <c r="AY21" s="645">
        <f>SUMIFS('Bilateral assistance, MAIN DATA'!$N:$N,'Bilateral assistance, MAIN DATA'!$B:$B,'Share, heavy weapons to Ukraine'!$A21,'Bilateral assistance, MAIN DATA'!$AO:$AO,"122mm MLRS")+SUMIFS('Bilateral assistance, MAIN DATA'!$N:$N,'Bilateral assistance, MAIN DATA'!$B:$B,'Share, heavy weapons to Ukraine'!$A21,'Bilateral assistance, MAIN DATA'!$AO:$AO,"127mm MLRS")+SUMIFS('Bilateral assistance, MAIN DATA'!$N:$N,'Bilateral assistance, MAIN DATA'!$B:$B,'Share, heavy weapons to Ukraine'!$A21,'Bilateral assistance, MAIN DATA'!$AO:$AO,"227mm MLRS")</f>
        <v>20</v>
      </c>
      <c r="AZ21" s="33">
        <f>SUMIFS('Bilateral assistance, MAIN DATA'!$N:$N,'Bilateral assistance, MAIN DATA'!$B:$B,'Share, heavy weapons to Ukraine'!$A21,'Bilateral assistance, MAIN DATA'!$AO:$AO,'Share, heavy weapons to Ukraine'!AZ$1)</f>
        <v>0</v>
      </c>
      <c r="BA21" s="33">
        <f>SUMIFS('Bilateral assistance, MAIN DATA'!$N:$N,'Bilateral assistance, MAIN DATA'!$B:$B,'Share, heavy weapons to Ukraine'!$A21,'Bilateral assistance, MAIN DATA'!$AO:$AO,'Share, heavy weapons to Ukraine'!BA$1)</f>
        <v>0</v>
      </c>
      <c r="BB21" s="33">
        <f>SUMIFS('Bilateral assistance, MAIN DATA'!$N:$N,'Bilateral assistance, MAIN DATA'!$B:$B,'Share, heavy weapons to Ukraine'!$A21,'Bilateral assistance, MAIN DATA'!$AO:$AO,'Share, heavy weapons to Ukraine'!BB$1)</f>
        <v>0</v>
      </c>
      <c r="BC21" s="33">
        <f>SUMIFS('Bilateral assistance, MAIN DATA'!$N:$N,'Bilateral assistance, MAIN DATA'!$B:$B,'Share, heavy weapons to Ukraine'!$A21,'Bilateral assistance, MAIN DATA'!$AO:$AO,'Share, heavy weapons to Ukraine'!BC$1)</f>
        <v>0</v>
      </c>
      <c r="BD21" s="33">
        <f>SUMIFS('Bilateral assistance, MAIN DATA'!$N:$N,'Bilateral assistance, MAIN DATA'!$B:$B,'Share, heavy weapons to Ukraine'!$A21,'Bilateral assistance, MAIN DATA'!$AO:$AO,'Share, heavy weapons to Ukraine'!BD$1)</f>
        <v>0</v>
      </c>
      <c r="BF21" s="33">
        <f>IF(VLOOKUP($A21,$A:F,COLUMN(F20),FALSE)&lt;&gt;0,VLOOKUP($A21,$A:AD,COLUMN(AD20),FALSE)/VLOOKUP($A21,$A:F,COLUMN(F20),FALSE),IF(VLOOKUP($A21,$A:AD,COLUMN(AD20),FALSE)&lt;&gt;0,"Strange",0))</f>
        <v>1.0924369747899159</v>
      </c>
      <c r="BG21" s="33">
        <f>IF(VLOOKUP($A21,$A:G,COLUMN(G20),FALSE)&lt;&gt;0,VLOOKUP($A21,$A:AE,COLUMN(AE20),FALSE)/VLOOKUP($A21,$A:G,COLUMN(G20),FALSE),IF(VLOOKUP($A21,$A:AE,COLUMN(AE20),FALSE)&lt;&gt;0,"Strange",0))</f>
        <v>0</v>
      </c>
      <c r="BH21" s="33">
        <f>IF(VLOOKUP($A21,$A:H,COLUMN(H20),FALSE)&lt;&gt;0,VLOOKUP($A21,$A:AF,COLUMN(AF20),FALSE)/VLOOKUP($A21,$A:H,COLUMN(H20),FALSE),IF(VLOOKUP($A21,$A:AF,COLUMN(AF20),FALSE)&lt;&gt;0,"Strange",0))</f>
        <v>0</v>
      </c>
      <c r="BI21" s="33">
        <f>IF(VLOOKUP($A21,$A:I,COLUMN(I20),FALSE)&lt;&gt;0,VLOOKUP($A21,$A:AG,COLUMN(AG20),FALSE)/VLOOKUP($A21,$A:I,COLUMN(I20),FALSE),IF(VLOOKUP($A21,$A:AG,COLUMN(AG20),FALSE)&lt;&gt;0,"Strange",0))</f>
        <v>0</v>
      </c>
      <c r="BJ21" s="33">
        <f>IF(VLOOKUP($A21,$A:J,COLUMN(J20),FALSE)&lt;&gt;0,VLOOKUP($A21,$A:AH,COLUMN(AH20),FALSE)/VLOOKUP($A21,$A:J,COLUMN(J20),FALSE),IF(VLOOKUP($A21,$A:AH,COLUMN(AH20),FALSE)&lt;&gt;0,"Strange",0))</f>
        <v>1.282051282051282E-2</v>
      </c>
      <c r="BK21" s="33">
        <f>IF(VLOOKUP($A21,$A:K,COLUMN(K20),FALSE)&lt;&gt;0,VLOOKUP($A21,$A:AI,COLUMN(AI20),FALSE)/VLOOKUP($A21,$A:K,COLUMN(K20),FALSE),IF(VLOOKUP($A21,$A:AI,COLUMN(AI20),FALSE)&lt;&gt;0,"Strange",0))</f>
        <v>9.3984962406015032E-3</v>
      </c>
      <c r="BL21" s="33">
        <f>IF(VLOOKUP($A21,$A:L,COLUMN(L20),FALSE)&lt;&gt;0,VLOOKUP($A21,$A:AJ,COLUMN(AJ20),FALSE)/VLOOKUP($A21,$A:L,COLUMN(L20),FALSE),IF(VLOOKUP($A21,$A:AJ,COLUMN(AJ20),FALSE)&lt;&gt;0,"Strange",0))</f>
        <v>0</v>
      </c>
      <c r="BM21" s="33">
        <f>IF(VLOOKUP($A21,$A:M,COLUMN(M20),FALSE)&lt;&gt;0,VLOOKUP($A21,$A:AK,COLUMN(AK20),FALSE)/VLOOKUP($A21,$A:M,COLUMN(M20),FALSE),IF(VLOOKUP($A21,$A:AK,COLUMN(AK20),FALSE)&lt;&gt;0,"Strange",0))</f>
        <v>0.33333333333333331</v>
      </c>
      <c r="BN21" s="33">
        <f>IF(VLOOKUP($A21,$A:N,COLUMN(N20),FALSE)&lt;&gt;0,VLOOKUP($A21,$A:AL,COLUMN(AL20),FALSE)/VLOOKUP($A21,$A:N,COLUMN(N20),FALSE),IF(VLOOKUP($A21,$A:AL,COLUMN(AL20),FALSE)&lt;&gt;0,"Strange",0))</f>
        <v>0</v>
      </c>
      <c r="BO21" s="33">
        <f>IF(VLOOKUP($A21,$A:Q,COLUMN(Q20),FALSE)&lt;&gt;0,VLOOKUP($A21,$A:AM,COLUMN(AM20),FALSE)/VLOOKUP($A21,$A:Q,COLUMN(Q20),FALSE),IF(VLOOKUP($A21,$A:AM,COLUMN(AM20),FALSE)&lt;&gt;0,"Strange",0))</f>
        <v>0</v>
      </c>
      <c r="BP21" s="33">
        <f>IF(VLOOKUP($A21,$A:R,COLUMN(R20),FALSE)&lt;&gt;0,VLOOKUP($A21,$A:AN,COLUMN(AN20),FALSE)/VLOOKUP($A21,$A:R,COLUMN(R20),FALSE),IF(VLOOKUP($A21,$A:AN,COLUMN(AN20),FALSE)&lt;&gt;0,"Strange",0))</f>
        <v>0</v>
      </c>
      <c r="BQ21" s="33">
        <f>IF(VLOOKUP($A21,$A:S,COLUMN(S20),FALSE)&lt;&gt;0,VLOOKUP($A21,$A:AO,COLUMN(AO20),FALSE)/VLOOKUP($A21,$A:S,COLUMN(S20),FALSE),IF(VLOOKUP($A21,$A:AO,COLUMN(AO20),FALSE)&lt;&gt;0,"Strange",0))</f>
        <v>0</v>
      </c>
      <c r="BR21" s="33">
        <f>IF(VLOOKUP($A21,$A:T,COLUMN(T20),FALSE)&lt;&gt;0,VLOOKUP($A21,$A:AP,COLUMN(AP20),FALSE)/VLOOKUP($A21,$A:T,COLUMN(T20),FALSE),IF(VLOOKUP($A21,$A:AP,COLUMN(AP20),FALSE)&lt;&gt;0,"Strange",0))</f>
        <v>0</v>
      </c>
      <c r="BT21" s="33">
        <f>IF(VLOOKUP($A21,$A:AE,COLUMN(F20),FALSE)&lt;&gt;0,VLOOKUP($A21,$A:AS,COLUMN(AR20),FALSE)/VLOOKUP($A21,$A:AE,COLUMN(F20),FALSE),IF(VLOOKUP($A21,$A:AS,COLUMN(AR20),FALSE)&lt;&gt;0,"Strange",0))</f>
        <v>0.33613445378151263</v>
      </c>
      <c r="BU21" s="33">
        <f>IF(VLOOKUP($A21,$A:AF,COLUMN(G20),FALSE)&lt;&gt;0,VLOOKUP($A21,$A:AT,COLUMN(AS20),FALSE)/VLOOKUP($A21,$A:AF,COLUMN(G20),FALSE),IF(VLOOKUP($A21,$A:AT,COLUMN(AS20),FALSE)&lt;&gt;0,"Strange",0))</f>
        <v>0</v>
      </c>
      <c r="BV21" s="33">
        <f>IF(VLOOKUP($A21,$A:AG,COLUMN(H20),FALSE)&lt;&gt;0,VLOOKUP($A21,$A:AU,COLUMN(AT20),FALSE)/VLOOKUP($A21,$A:AG,COLUMN(H20),FALSE),IF(VLOOKUP($A21,$A:AU,COLUMN(AT20),FALSE)&lt;&gt;0,"Strange",0))</f>
        <v>0</v>
      </c>
      <c r="BW21" s="33">
        <f>IF(VLOOKUP($A21,$A:AH,COLUMN(I20),FALSE)&lt;&gt;0,VLOOKUP($A21,$A:AV,COLUMN(AU20),FALSE)/VLOOKUP($A21,$A:AH,COLUMN(I20),FALSE),IF(VLOOKUP($A21,$A:AV,COLUMN(AU20),FALSE)&lt;&gt;0,"Strange",0))</f>
        <v>0</v>
      </c>
      <c r="BX21" s="33">
        <f>IF(VLOOKUP($A21,$A:AJ,COLUMN(J20),FALSE)&lt;&gt;0,VLOOKUP($A21,$A:AX,COLUMN(AV20),FALSE)/VLOOKUP($A21,$A:AJ,COLUMN(J20),FALSE),IF(VLOOKUP($A21,$A:AX,COLUMN(AV20),FALSE)&lt;&gt;0,"Strange",0))</f>
        <v>1.282051282051282E-2</v>
      </c>
      <c r="BY21" s="33">
        <f>IF(VLOOKUP($A21,$A:AK,COLUMN(K20),FALSE)&lt;&gt;0,VLOOKUP($A21,$A:AY,COLUMN(AW20),FALSE)/VLOOKUP($A21,$A:AK,COLUMN(K20),FALSE),IF(VLOOKUP($A21,$A:AY,COLUMN(AW20),FALSE)&lt;&gt;0,"Strange",0))</f>
        <v>9.3984962406015032E-3</v>
      </c>
      <c r="BZ21" s="33">
        <f>IF(VLOOKUP($A21,$A:AK,COLUMN(L20),FALSE)&lt;&gt;0,VLOOKUP($A21,$A:AY,COLUMN(AX20),FALSE)/VLOOKUP($A21,$A:AK,COLUMN(L20),FALSE),IF(VLOOKUP($A21,$A:AY,COLUMN(AX20),FALSE)&lt;&gt;0,"Strange",0))</f>
        <v>0</v>
      </c>
      <c r="CA21" s="33">
        <f>IF(VLOOKUP($A21,$A:AL,COLUMN(M20),FALSE)&lt;&gt;0,VLOOKUP($A21,$A:AZ,COLUMN(AY20),FALSE)/VLOOKUP($A21,$A:AL,COLUMN(M20),FALSE),IF(VLOOKUP($A21,$A:AZ,COLUMN(AY20),FALSE)&lt;&gt;0,"Strange",0))</f>
        <v>0.33333333333333331</v>
      </c>
      <c r="CB21" s="33">
        <f>IF(VLOOKUP($A21,$A:AL,COLUMN(N20),FALSE)&lt;&gt;0,VLOOKUP($A21,$A:AZ,COLUMN(AZ20),FALSE)/VLOOKUP($A21,$A:AL,COLUMN(N20),FALSE),IF(VLOOKUP($A21,$A:AZ,COLUMN(AZ20),FALSE)&lt;&gt;0,"Strange",0))</f>
        <v>0</v>
      </c>
      <c r="CC21" s="33">
        <f>IF(VLOOKUP($A21,$A:AM,COLUMN(Q20),FALSE)&lt;&gt;0,VLOOKUP($A21,$A:BA,COLUMN(BA20),FALSE)/VLOOKUP($A21,$A:AM,COLUMN(Q20),FALSE),IF(VLOOKUP($A21,$A:BA,COLUMN(BA20),FALSE)&lt;&gt;0,"Strange",0))</f>
        <v>0</v>
      </c>
      <c r="CD21" s="33">
        <f>IF(VLOOKUP($A21,$A:AN,COLUMN(R20),FALSE)&lt;&gt;0,VLOOKUP($A21,$A:BB,COLUMN(BB20),FALSE)/VLOOKUP($A21,$A:AN,COLUMN(R20),FALSE),IF(VLOOKUP($A21,$A:BB,COLUMN(BB20),FALSE)&lt;&gt;0,"Strange",0))</f>
        <v>0</v>
      </c>
      <c r="CE21" s="33">
        <f>IF(VLOOKUP($A21,$A:AO,COLUMN(S20),FALSE)&lt;&gt;0,VLOOKUP($A21,$A:BC,COLUMN(BC20),FALSE)/VLOOKUP($A21,$A:AO,COLUMN(S20),FALSE),IF(VLOOKUP($A21,$A:BC,COLUMN(BC20),FALSE)&lt;&gt;0,"Strange",0))</f>
        <v>0</v>
      </c>
      <c r="CF21" s="33">
        <f>IF(VLOOKUP($A21,$A:AP,COLUMN(T20),FALSE)&lt;&gt;0,VLOOKUP($A21,$A:BD,COLUMN(BD20),FALSE)/VLOOKUP($A21,$A:AP,COLUMN(T20),FALSE),IF(VLOOKUP($A21,$A:BD,COLUMN(BD20),FALSE)&lt;&gt;0,"Strange",0))</f>
        <v>0</v>
      </c>
      <c r="CH21" s="33">
        <f>SUMIFS('Bilateral assistance, MAIN DATA'!$M:$M,'Bilateral assistance, MAIN DATA'!$B:$B,'Share, heavy weapons to Ukraine'!$A21,'Bilateral assistance, MAIN DATA'!$AO:$AO,'Share, heavy weapons to Ukraine'!CH$1,'Bilateral assistance, MAIN DATA'!$AQ:$AQ,2)</f>
        <v>130</v>
      </c>
      <c r="CI21" s="33">
        <f>SUMIFS('Bilateral assistance, MAIN DATA'!$M:$M,'Bilateral assistance, MAIN DATA'!$B:$B,'Share, heavy weapons to Ukraine'!$A21,'Bilateral assistance, MAIN DATA'!$AO:$AO,'Share, heavy weapons to Ukraine'!CI$1,'Bilateral assistance, MAIN DATA'!$AQ:$AQ,2)</f>
        <v>0</v>
      </c>
      <c r="CJ21" s="645">
        <f>SUMIFS('Bilateral assistance, MAIN DATA'!$M:$M,'Bilateral assistance, MAIN DATA'!$B:$B,'Share, heavy weapons to Ukraine'!$A21,'Bilateral assistance, MAIN DATA'!$AO:$AO,"122mm MLRS",'Bilateral assistance, MAIN DATA'!$AQ:$AQ,2)+SUMIFS('Bilateral assistance, MAIN DATA'!$M:$M,'Bilateral assistance, MAIN DATA'!$B:$B,'Share, heavy weapons to Ukraine'!$A21,'Bilateral assistance, MAIN DATA'!$AO:$AO,"127mm MLRS",'Bilateral assistance, MAIN DATA'!$AQ:$AQ,2)+SUMIFS('Bilateral assistance, MAIN DATA'!$M:$M,'Bilateral assistance, MAIN DATA'!$B:$B,'Share, heavy weapons to Ukraine'!$A21,'Bilateral assistance, MAIN DATA'!$AO:$AO,"227mm MLRS",'Bilateral assistance, MAIN DATA'!$AQ:$AQ,2)</f>
        <v>20</v>
      </c>
      <c r="CL21" s="33">
        <f>SUMIFS('Bilateral assistance, MAIN DATA'!$M:$M,'Bilateral assistance, MAIN DATA'!$B:$B,'Share, heavy weapons to Ukraine'!$A21,'Bilateral assistance, MAIN DATA'!$AO:$AO,'Share, heavy weapons to Ukraine'!CH$1,'Bilateral assistance, MAIN DATA'!$AQ:$AQ,1)</f>
        <v>0</v>
      </c>
      <c r="CM21" s="33">
        <f>SUMIFS('Bilateral assistance, MAIN DATA'!$M:$M,'Bilateral assistance, MAIN DATA'!$B:$B,'Share, heavy weapons to Ukraine'!$A21,'Bilateral assistance, MAIN DATA'!$AO:$AO,'Share, heavy weapons to Ukraine'!CI$1,'Bilateral assistance, MAIN DATA'!$AQ:$AQ,1)</f>
        <v>0</v>
      </c>
      <c r="CN21" s="645">
        <f>SUMIFS('Bilateral assistance, MAIN DATA'!$M:$M,'Bilateral assistance, MAIN DATA'!$B:$B,'Share, heavy weapons to Ukraine'!$A21,'Bilateral assistance, MAIN DATA'!$AO:$AO,"122mm MLRS",'Bilateral assistance, MAIN DATA'!$AQ:$AQ,1)+SUMIFS('Bilateral assistance, MAIN DATA'!$M:$M,'Bilateral assistance, MAIN DATA'!$B:$B,'Share, heavy weapons to Ukraine'!$A21,'Bilateral assistance, MAIN DATA'!$AO:$AO,"127mm MLRS",'Bilateral assistance, MAIN DATA'!$AQ:$AQ,1)+SUMIFS('Bilateral assistance, MAIN DATA'!$M:$M,'Bilateral assistance, MAIN DATA'!$B:$B,'Share, heavy weapons to Ukraine'!$A21,'Bilateral assistance, MAIN DATA'!$AO:$AO,"227mm MLRS",'Bilateral assistance, MAIN DATA'!$AQ:$AQ,1)</f>
        <v>0</v>
      </c>
      <c r="CP21" s="33">
        <f>SUMIFS('Bilateral assistance, MAIN DATA'!$M:$M,'Bilateral assistance, MAIN DATA'!$B:$B,'Share, heavy weapons to Ukraine'!$A21,'Bilateral assistance, MAIN DATA'!$AO:$AO,'Share, heavy weapons to Ukraine'!CP$1,'Bilateral assistance, MAIN DATA'!$AQ:$AQ,0)</f>
        <v>0</v>
      </c>
      <c r="CQ21" s="33">
        <f>SUMIFS('Bilateral assistance, MAIN DATA'!$M:$M,'Bilateral assistance, MAIN DATA'!$B:$B,'Share, heavy weapons to Ukraine'!$A21,'Bilateral assistance, MAIN DATA'!$AO:$AO,'Share, heavy weapons to Ukraine'!CQ$1,'Bilateral assistance, MAIN DATA'!$AQ:$AQ,0)</f>
        <v>0</v>
      </c>
      <c r="CR21" s="645">
        <f>SUMIFS('Bilateral assistance, MAIN DATA'!$M:$M,'Bilateral assistance, MAIN DATA'!$B:$B,'Share, heavy weapons to Ukraine'!$A21,'Bilateral assistance, MAIN DATA'!$AO:$AO,"122mm MLRS",'Bilateral assistance, MAIN DATA'!$AQ:$AQ,0)+SUMIFS('Bilateral assistance, MAIN DATA'!$M:$M,'Bilateral assistance, MAIN DATA'!$B:$B,'Share, heavy weapons to Ukraine'!$A21,'Bilateral assistance, MAIN DATA'!$AO:$AO,"127mm MLRS",'Bilateral assistance, MAIN DATA'!$AQ:$AQ,0)+SUMIFS('Bilateral assistance, MAIN DATA'!$M:$M,'Bilateral assistance, MAIN DATA'!$B:$B,'Share, heavy weapons to Ukraine'!$A21,'Bilateral assistance, MAIN DATA'!$AO:$AO,"227mm MLRS",'Bilateral assistance, MAIN DATA'!$AQ:$AQ,0)</f>
        <v>0</v>
      </c>
      <c r="CT21" s="33">
        <f>IF(VLOOKUP($A21,$A:CS,COLUMN(F20),FALSE)&lt;&gt;0,VLOOKUP($A21,$A:CS,COLUMN(CH20),FALSE)/VLOOKUP($A21,$A:AU,COLUMN(F20),FALSE),IF(VLOOKUP($A21,$A:CS,COLUMN(CH20),FALSE)&lt;&gt;0,"Strange",0))</f>
        <v>1.0924369747899159</v>
      </c>
      <c r="CU21" s="33">
        <f>IF(VLOOKUP($A21,$A:CS,COLUMN(L20),FALSE)&lt;&gt;0,VLOOKUP($A21,$A:CS,COLUMN(CI20),FALSE)/VLOOKUP($A21,$A:AU,COLUMN(L20),FALSE),IF(VLOOKUP($A21,$A:CS,COLUMN(CI20),FALSE)&lt;&gt;0,"Strange",0))</f>
        <v>0</v>
      </c>
      <c r="CV21" s="33">
        <f>IF(VLOOKUP($A21,$A:CT,COLUMN(M20),FALSE)&lt;&gt;0,VLOOKUP($A21,$A:CT,COLUMN(CJ20),FALSE)/VLOOKUP($A21,$A:AV,COLUMN(M20),FALSE),IF(VLOOKUP($A21,$A:CT,COLUMN(CJ20),FALSE)&lt;&gt;0,"Strange",0))</f>
        <v>0.33333333333333331</v>
      </c>
      <c r="CX21" s="33">
        <f>IF(VLOOKUP($A21,$A:CS,COLUMN(F20),FALSE)&lt;&gt;0,VLOOKUP($A21,$A:CS,COLUMN(CL20),FALSE)/VLOOKUP($A21,$A:AU,COLUMN(F20),FALSE),IF(VLOOKUP($A21,$A:CS,COLUMN(CL20),FALSE)&lt;&gt;0,"Strange",0))</f>
        <v>0</v>
      </c>
      <c r="CY21" s="33">
        <f>IF(VLOOKUP($A21,$A:CS,COLUMN(L20),FALSE)&lt;&gt;0,VLOOKUP($A21,$A:CS,COLUMN(CM20),FALSE)/VLOOKUP($A21,$A:AU,COLUMN(L20),FALSE),IF(VLOOKUP($A21,$A:CS,COLUMN(CM20),FALSE)&lt;&gt;0,"Strange",0))</f>
        <v>0</v>
      </c>
      <c r="CZ21" s="33">
        <f>IF(VLOOKUP($A21,$A:CT,COLUMN(M20),FALSE)&lt;&gt;0,VLOOKUP($A21,$A:CT,COLUMN(CN20),FALSE)/VLOOKUP($A21,$A:AV,COLUMN(M20),FALSE),IF(VLOOKUP($A21,$A:CT,COLUMN(CN20),FALSE)&lt;&gt;0,"Strange",0))</f>
        <v>0</v>
      </c>
      <c r="DB21" s="33">
        <f>IF(VLOOKUP($A21,$A:CS,COLUMN(F20),FALSE)&lt;&gt;0,VLOOKUP($A21,$A:CS,COLUMN(CP20),FALSE)/VLOOKUP($A21,$A:AU,COLUMN(F20),FALSE),IF(VLOOKUP($A21,$A:CS,COLUMN(CP20),FALSE)&lt;&gt;0,"Strange",0))</f>
        <v>0</v>
      </c>
      <c r="DC21" s="33">
        <f>IF(VLOOKUP($A21,$A:CS,COLUMN(L20),FALSE)&lt;&gt;0,VLOOKUP($A21,$A:CS,COLUMN(CQ20),FALSE)/VLOOKUP($A21,$A:AU,COLUMN(L20),FALSE),IF(VLOOKUP($A21,$A:CS,COLUMN(CQ20),FALSE)&lt;&gt;0,"Strange",0))</f>
        <v>0</v>
      </c>
      <c r="DD21" s="33">
        <f>IF(VLOOKUP($A21,$A:CT,COLUMN(M20),FALSE)&lt;&gt;0,VLOOKUP($A21,$A:CT,COLUMN(CR20),FALSE)/VLOOKUP($A21,$A:AV,COLUMN(M20),FALSE),IF(VLOOKUP($A21,$A:CT,COLUMN(CR20),FALSE)&lt;&gt;0,"Strange",0))</f>
        <v>0</v>
      </c>
      <c r="DF21" s="33">
        <f>SUMIFS('Bilateral assistance, MAIN DATA'!$M:$M,'Bilateral assistance, MAIN DATA'!$B:$B,'Share, heavy weapons to Ukraine'!$A21,'Bilateral assistance, MAIN DATA'!$AO:$AO,'Share, heavy weapons to Ukraine'!DF$1, 'Bilateral assistance, MAIN DATA'!$AA:$AA,1)</f>
        <v>0</v>
      </c>
      <c r="DG21" s="33">
        <f>SUMIFS('Bilateral assistance, MAIN DATA'!$M:$M,'Bilateral assistance, MAIN DATA'!$B:$B,'Share, heavy weapons to Ukraine'!$A21,'Bilateral assistance, MAIN DATA'!$AO:$AO,'Share, heavy weapons to Ukraine'!DG$1, 'Bilateral assistance, MAIN DATA'!$AA:$AA,1)</f>
        <v>0</v>
      </c>
      <c r="DH21" s="33">
        <f>SUMIFS('Bilateral assistance, MAIN DATA'!$M:$M,'Bilateral assistance, MAIN DATA'!$B:$B,'Share, heavy weapons to Ukraine'!$A21,'Bilateral assistance, MAIN DATA'!$AO:$AO,'Share, heavy weapons to Ukraine'!DH$1, 'Bilateral assistance, MAIN DATA'!$AA:$AA,1)</f>
        <v>0</v>
      </c>
      <c r="DI21" s="33">
        <f>SUMIFS('Bilateral assistance, MAIN DATA'!$M:$M,'Bilateral assistance, MAIN DATA'!$B:$B,'Share, heavy weapons to Ukraine'!$A21,'Bilateral assistance, MAIN DATA'!$AO:$AO,'Share, heavy weapons to Ukraine'!DI$1, 'Bilateral assistance, MAIN DATA'!$AA:$AA,1)</f>
        <v>0</v>
      </c>
      <c r="DK21" s="33">
        <f>SUMIFS('Bilateral assistance, MAIN DATA'!$N:$N,'Bilateral assistance, MAIN DATA'!$B:$B,'Share, heavy weapons to Ukraine'!$A21,'Bilateral assistance, MAIN DATA'!$AO:$AO,'Share, heavy weapons to Ukraine'!DK$1, 'Bilateral assistance, MAIN DATA'!$AA:$AA,1)</f>
        <v>0</v>
      </c>
      <c r="DL21" s="33">
        <f>SUMIFS('Bilateral assistance, MAIN DATA'!$N:$N,'Bilateral assistance, MAIN DATA'!$B:$B,'Share, heavy weapons to Ukraine'!$A21,'Bilateral assistance, MAIN DATA'!$AO:$AO,'Share, heavy weapons to Ukraine'!DL$1, 'Bilateral assistance, MAIN DATA'!$AA:$AA,1)</f>
        <v>0</v>
      </c>
      <c r="DM21" s="33">
        <f>SUMIFS('Bilateral assistance, MAIN DATA'!$N:$N,'Bilateral assistance, MAIN DATA'!$B:$B,'Share, heavy weapons to Ukraine'!$A21,'Bilateral assistance, MAIN DATA'!$AO:$AO,'Share, heavy weapons to Ukraine'!DM$1, 'Bilateral assistance, MAIN DATA'!$AA:$AA,1)</f>
        <v>0</v>
      </c>
      <c r="DN21" s="33">
        <f>SUMIFS('Bilateral assistance, MAIN DATA'!$N:$N,'Bilateral assistance, MAIN DATA'!$B:$B,'Share, heavy weapons to Ukraine'!$A21,'Bilateral assistance, MAIN DATA'!$AO:$AO,'Share, heavy weapons to Ukraine'!DN$1, 'Bilateral assistance, MAIN DATA'!$AA:$AA,1)</f>
        <v>0</v>
      </c>
    </row>
    <row r="22" spans="1:118">
      <c r="A22" s="801" t="s">
        <v>312</v>
      </c>
      <c r="B22" s="801">
        <v>0</v>
      </c>
      <c r="C22" s="33">
        <v>1</v>
      </c>
      <c r="E22" s="802">
        <v>3.68</v>
      </c>
      <c r="F22" s="801">
        <f>VLOOKUP(A22,'Heavy weapon stocks'!A:OH,COLUMN('Heavy weapon stocks'!$G$1),0)</f>
        <v>56</v>
      </c>
      <c r="G22" s="801">
        <f>VLOOKUP(A22,'Heavy weapon stocks'!A:OH,COLUMN('Heavy weapon stocks'!$AW$1),0)</f>
        <v>144</v>
      </c>
      <c r="H22" s="801">
        <f>VLOOKUP(A22,'Heavy weapon stocks'!A:OH,COLUMN('Heavy weapon stocks'!$DQ$1),0)</f>
        <v>0</v>
      </c>
      <c r="I22" s="801">
        <f>VLOOKUP(A22,'Heavy weapon stocks'!A:OH,COLUMN('Heavy weapon stocks'!$EE$1),0)</f>
        <v>216</v>
      </c>
      <c r="J22" s="801">
        <f>VLOOKUP(A22,'Heavy weapon stocks'!A:OH,COLUMN('Heavy weapon stocks'!$FG$1),0)</f>
        <v>112</v>
      </c>
      <c r="K22" s="801">
        <f t="shared" si="3"/>
        <v>472</v>
      </c>
      <c r="L22" s="801">
        <f>VLOOKUP(A22,'Heavy weapon stocks'!A:OH,COLUMN('Heavy weapon stocks'!$HC$1),0)+VLOOKUP(A22,'Heavy weapon stocks'!A:OH,COLUMN('Heavy weapon stocks'!$II$1),0)</f>
        <v>48</v>
      </c>
      <c r="M22" s="801">
        <f>VLOOKUP(A22,'Heavy weapon stocks'!A:OH,COLUMN('Heavy weapon stocks'!$IN$1),0)</f>
        <v>0</v>
      </c>
      <c r="N22" s="801">
        <f>VLOOKUP(A22,'Heavy weapon stocks'!A:OH,COLUMN('Heavy weapon stocks'!$JH$1),0)+VLOOKUP(A22,'Heavy weapon stocks'!A:OH,COLUMN('Heavy weapon stocks'!$KE$1),0)</f>
        <v>15</v>
      </c>
      <c r="O22" s="801">
        <f>VLOOKUP(A22,'Heavy weapon stocks'!A:OH,COLUMN('Heavy weapon stocks'!$LU$1),0)</f>
        <v>0</v>
      </c>
      <c r="Q22" s="801">
        <f>VLOOKUP(A22,'Heavy weapon stocks'!A:OH,COLUMN('Heavy weapon stocks'!$LV$1),0)</f>
        <v>0</v>
      </c>
      <c r="R22" s="801">
        <f>VLOOKUP(A22,'Heavy weapon stocks'!A:OH,COLUMN('Heavy weapon stocks'!$MF$1),0)</f>
        <v>0</v>
      </c>
      <c r="S22" s="801">
        <f>VLOOKUP(A22,'Heavy weapon stocks'!A:OH,COLUMN('Heavy weapon stocks'!$MM$1),0)</f>
        <v>0</v>
      </c>
      <c r="T22" s="801">
        <f>VLOOKUP(A22,'Heavy weapon stocks'!A:OH,COLUMN('Heavy weapon stocks'!$NR$1),0)</f>
        <v>0</v>
      </c>
      <c r="V22" s="801">
        <f>VLOOKUP(A22,'Heavy weapon stocks'!A:OH,COLUMN('Heavy weapon stocks'!$H$1),0)</f>
        <v>56</v>
      </c>
      <c r="W22" s="801">
        <f>VLOOKUP(A22,'Heavy weapon stocks'!A:OH,COLUMN('Heavy weapon stocks'!$DQ$1),0)</f>
        <v>0</v>
      </c>
      <c r="X22" s="801">
        <f>VLOOKUP(A22,'Heavy weapon stocks'!A:OH,COLUMN('Heavy weapon stocks'!$FG$1),0)</f>
        <v>112</v>
      </c>
      <c r="Y22" s="801">
        <f>VLOOKUP(A22,'Heavy weapon stocks'!A:OH,COLUMN('Heavy weapon stocks'!$HC$1),0)+VLOOKUP(A22,'Heavy weapon stocks'!A:OH,COLUMN('Heavy weapon stocks'!$II$1),0)</f>
        <v>48</v>
      </c>
      <c r="Z22" s="801">
        <f>VLOOKUP(A22,'Heavy weapon stocks'!A:OH,COLUMN('Heavy weapon stocks'!$IO$1),0)+VLOOKUP(A22,'Heavy weapon stocks'!A:OH,COLUMN('Heavy weapon stocks'!$IP$1),0)+VLOOKUP(A22,'Heavy weapon stocks'!A:OH,COLUMN('Heavy weapon stocks'!$IU$1),0)</f>
        <v>0</v>
      </c>
      <c r="AA22" s="801">
        <f>VLOOKUP(A22,'Heavy weapon stocks'!A:OH,COLUMN('Heavy weapon stocks'!$MI$1),0)</f>
        <v>0</v>
      </c>
      <c r="AB22" s="801">
        <f>VLOOKUP(A22,'Heavy weapon stocks'!A:OH,COLUMN('Heavy weapon stocks'!$MS$1),0)+VLOOKUP(A22,'Heavy weapon stocks'!A:OH,COLUMN('Heavy weapon stocks'!$MT$1),0)+VLOOKUP(A22,'Heavy weapon stocks'!A:OH,COLUMN('Heavy weapon stocks'!$MU$1),0)+VLOOKUP(A22,'Heavy weapon stocks'!A:OH,COLUMN('Heavy weapon stocks'!$MV$1),0)</f>
        <v>0</v>
      </c>
      <c r="AD22" s="33">
        <f>SUMIFS('Bilateral assistance, MAIN DATA'!$M:$M,'Bilateral assistance, MAIN DATA'!$B:$B,'Share, heavy weapons to Ukraine'!$A22,'Bilateral assistance, MAIN DATA'!$AO:$AO,'Share, heavy weapons to Ukraine'!AD$1)</f>
        <v>0</v>
      </c>
      <c r="AE22" s="33">
        <f>SUMIFS('Bilateral assistance, MAIN DATA'!$M:$M,'Bilateral assistance, MAIN DATA'!$B:$B,'Share, heavy weapons to Ukraine'!$A22,'Bilateral assistance, MAIN DATA'!$AO:$AO,'Share, heavy weapons to Ukraine'!AE$1)</f>
        <v>0</v>
      </c>
      <c r="AF22" s="33">
        <f>SUMIFS('Bilateral assistance, MAIN DATA'!$M:$M,'Bilateral assistance, MAIN DATA'!$B:$B,'Share, heavy weapons to Ukraine'!$A22,'Bilateral assistance, MAIN DATA'!$AO:$AO,'Share, heavy weapons to Ukraine'!AF$1)</f>
        <v>0</v>
      </c>
      <c r="AG22" s="33">
        <f>SUMIFS('Bilateral assistance, MAIN DATA'!$M:$M,'Bilateral assistance, MAIN DATA'!$B:$B,'Share, heavy weapons to Ukraine'!$A22,'Bilateral assistance, MAIN DATA'!$AO:$AO,'Share, heavy weapons to Ukraine'!AG$1)</f>
        <v>0</v>
      </c>
      <c r="AH22" s="33">
        <f>SUMIFS('Bilateral assistance, MAIN DATA'!$M:$M,'Bilateral assistance, MAIN DATA'!$B:$B,'Share, heavy weapons to Ukraine'!$A22,'Bilateral assistance, MAIN DATA'!$AO:$AO,'Share, heavy weapons to Ukraine'!AH$1)</f>
        <v>0</v>
      </c>
      <c r="AI22" s="33">
        <f t="shared" si="1"/>
        <v>0</v>
      </c>
      <c r="AJ22" s="33">
        <f>SUMIFS('Bilateral assistance, MAIN DATA'!$M:$M,'Bilateral assistance, MAIN DATA'!$B:$B,'Share, heavy weapons to Ukraine'!$A22,'Bilateral assistance, MAIN DATA'!$AO:$AO,'Share, heavy weapons to Ukraine'!AJ$1)</f>
        <v>0</v>
      </c>
      <c r="AK22" s="645">
        <f>SUMIFS('Bilateral assistance, MAIN DATA'!$M:$M,'Bilateral assistance, MAIN DATA'!$B:$B,'Share, heavy weapons to Ukraine'!$A22,'Bilateral assistance, MAIN DATA'!$AO:$AO,"122mm MLRS")+SUMIFS('Bilateral assistance, MAIN DATA'!$M:$M,'Bilateral assistance, MAIN DATA'!$B:$B,'Share, heavy weapons to Ukraine'!$A22,'Bilateral assistance, MAIN DATA'!$AO:$AO,"127mm MLRS")+SUMIFS('Bilateral assistance, MAIN DATA'!$M:$M,'Bilateral assistance, MAIN DATA'!$B:$B,'Share, heavy weapons to Ukraine'!$A22,'Bilateral assistance, MAIN DATA'!$AO:$AO,"227mm MLRS")</f>
        <v>0</v>
      </c>
      <c r="AL22" s="33">
        <f>SUMIFS('Bilateral assistance, MAIN DATA'!$M:$M,'Bilateral assistance, MAIN DATA'!$B:$B,'Share, heavy weapons to Ukraine'!$A22,'Bilateral assistance, MAIN DATA'!$AO:$AO,'Share, heavy weapons to Ukraine'!AL$1)</f>
        <v>0</v>
      </c>
      <c r="AM22" s="33">
        <f>SUMIFS('Bilateral assistance, MAIN DATA'!$M:$M,'Bilateral assistance, MAIN DATA'!$B:$B,'Share, heavy weapons to Ukraine'!$A22,'Bilateral assistance, MAIN DATA'!$AO:$AO,'Share, heavy weapons to Ukraine'!AM$1)</f>
        <v>0</v>
      </c>
      <c r="AN22" s="33">
        <f>SUMIFS('Bilateral assistance, MAIN DATA'!$M:$M,'Bilateral assistance, MAIN DATA'!$B:$B,'Share, heavy weapons to Ukraine'!$A22,'Bilateral assistance, MAIN DATA'!$AO:$AO,'Share, heavy weapons to Ukraine'!AN$1)</f>
        <v>0</v>
      </c>
      <c r="AO22" s="33">
        <f>SUMIFS('Bilateral assistance, MAIN DATA'!$M:$M,'Bilateral assistance, MAIN DATA'!$B:$B,'Share, heavy weapons to Ukraine'!$A22,'Bilateral assistance, MAIN DATA'!$AO:$AO,'Share, heavy weapons to Ukraine'!AO$1)</f>
        <v>0</v>
      </c>
      <c r="AP22" s="33">
        <f>SUMIFS('Bilateral assistance, MAIN DATA'!$M:$M,'Bilateral assistance, MAIN DATA'!$B:$B,'Share, heavy weapons to Ukraine'!$A22,'Bilateral assistance, MAIN DATA'!$AO:$AO,'Share, heavy weapons to Ukraine'!AP$1)</f>
        <v>0</v>
      </c>
      <c r="AR22" s="33">
        <f>SUMIFS('Bilateral assistance, MAIN DATA'!$N:$N,'Bilateral assistance, MAIN DATA'!$B:$B,'Share, heavy weapons to Ukraine'!$A22,'Bilateral assistance, MAIN DATA'!$AO:$AO,'Share, heavy weapons to Ukraine'!AR$1)</f>
        <v>0</v>
      </c>
      <c r="AS22" s="33">
        <f>SUMIFS('Bilateral assistance, MAIN DATA'!$N:$N,'Bilateral assistance, MAIN DATA'!$B:$B,'Share, heavy weapons to Ukraine'!$A22,'Bilateral assistance, MAIN DATA'!$AO:$AO,'Share, heavy weapons to Ukraine'!AS$1)</f>
        <v>0</v>
      </c>
      <c r="AT22" s="33">
        <f>SUMIFS('Bilateral assistance, MAIN DATA'!$N:$N,'Bilateral assistance, MAIN DATA'!$B:$B,'Share, heavy weapons to Ukraine'!$A22,'Bilateral assistance, MAIN DATA'!$AO:$AO,'Share, heavy weapons to Ukraine'!AT$1)</f>
        <v>0</v>
      </c>
      <c r="AU22" s="33">
        <f>SUMIFS('Bilateral assistance, MAIN DATA'!$N:$N,'Bilateral assistance, MAIN DATA'!$B:$B,'Share, heavy weapons to Ukraine'!$A22,'Bilateral assistance, MAIN DATA'!$AO:$AO,'Share, heavy weapons to Ukraine'!AU$1)</f>
        <v>0</v>
      </c>
      <c r="AV22" s="33">
        <f>SUMIFS('Bilateral assistance, MAIN DATA'!$N:$N,'Bilateral assistance, MAIN DATA'!$B:$B,'Share, heavy weapons to Ukraine'!$A22,'Bilateral assistance, MAIN DATA'!$AO:$AO,'Share, heavy weapons to Ukraine'!AV$1)</f>
        <v>0</v>
      </c>
      <c r="AW22" s="33">
        <f t="shared" si="2"/>
        <v>0</v>
      </c>
      <c r="AX22" s="33">
        <f>SUMIFS('Bilateral assistance, MAIN DATA'!$N:$N,'Bilateral assistance, MAIN DATA'!$B:$B,'Share, heavy weapons to Ukraine'!$A22,'Bilateral assistance, MAIN DATA'!$AO:$AO,'Share, heavy weapons to Ukraine'!AX$1)</f>
        <v>0</v>
      </c>
      <c r="AY22" s="645">
        <f>SUMIFS('Bilateral assistance, MAIN DATA'!$N:$N,'Bilateral assistance, MAIN DATA'!$B:$B,'Share, heavy weapons to Ukraine'!$A22,'Bilateral assistance, MAIN DATA'!$AO:$AO,"122mm MLRS")+SUMIFS('Bilateral assistance, MAIN DATA'!$N:$N,'Bilateral assistance, MAIN DATA'!$B:$B,'Share, heavy weapons to Ukraine'!$A22,'Bilateral assistance, MAIN DATA'!$AO:$AO,"127mm MLRS")+SUMIFS('Bilateral assistance, MAIN DATA'!$N:$N,'Bilateral assistance, MAIN DATA'!$B:$B,'Share, heavy weapons to Ukraine'!$A22,'Bilateral assistance, MAIN DATA'!$AO:$AO,"227mm MLRS")</f>
        <v>0</v>
      </c>
      <c r="AZ22" s="33">
        <f>SUMIFS('Bilateral assistance, MAIN DATA'!$N:$N,'Bilateral assistance, MAIN DATA'!$B:$B,'Share, heavy weapons to Ukraine'!$A22,'Bilateral assistance, MAIN DATA'!$AO:$AO,'Share, heavy weapons to Ukraine'!AZ$1)</f>
        <v>0</v>
      </c>
      <c r="BA22" s="33">
        <f>SUMIFS('Bilateral assistance, MAIN DATA'!$N:$N,'Bilateral assistance, MAIN DATA'!$B:$B,'Share, heavy weapons to Ukraine'!$A22,'Bilateral assistance, MAIN DATA'!$AO:$AO,'Share, heavy weapons to Ukraine'!BA$1)</f>
        <v>0</v>
      </c>
      <c r="BB22" s="33">
        <f>SUMIFS('Bilateral assistance, MAIN DATA'!$N:$N,'Bilateral assistance, MAIN DATA'!$B:$B,'Share, heavy weapons to Ukraine'!$A22,'Bilateral assistance, MAIN DATA'!$AO:$AO,'Share, heavy weapons to Ukraine'!BB$1)</f>
        <v>0</v>
      </c>
      <c r="BC22" s="33">
        <f>SUMIFS('Bilateral assistance, MAIN DATA'!$N:$N,'Bilateral assistance, MAIN DATA'!$B:$B,'Share, heavy weapons to Ukraine'!$A22,'Bilateral assistance, MAIN DATA'!$AO:$AO,'Share, heavy weapons to Ukraine'!BC$1)</f>
        <v>0</v>
      </c>
      <c r="BD22" s="33">
        <f>SUMIFS('Bilateral assistance, MAIN DATA'!$N:$N,'Bilateral assistance, MAIN DATA'!$B:$B,'Share, heavy weapons to Ukraine'!$A22,'Bilateral assistance, MAIN DATA'!$AO:$AO,'Share, heavy weapons to Ukraine'!BD$1)</f>
        <v>0</v>
      </c>
      <c r="BF22" s="33">
        <f>IF(VLOOKUP($A22,$A:F,COLUMN(F21),FALSE)&lt;&gt;0,VLOOKUP($A22,$A:AD,COLUMN(AD21),FALSE)/VLOOKUP($A22,$A:F,COLUMN(F21),FALSE),IF(VLOOKUP($A22,$A:AD,COLUMN(AD21),FALSE)&lt;&gt;0,"Strange",0))</f>
        <v>0</v>
      </c>
      <c r="BG22" s="33">
        <f>IF(VLOOKUP($A22,$A:G,COLUMN(G21),FALSE)&lt;&gt;0,VLOOKUP($A22,$A:AE,COLUMN(AE21),FALSE)/VLOOKUP($A22,$A:G,COLUMN(G21),FALSE),IF(VLOOKUP($A22,$A:AE,COLUMN(AE21),FALSE)&lt;&gt;0,"Strange",0))</f>
        <v>0</v>
      </c>
      <c r="BH22" s="33">
        <f>IF(VLOOKUP($A22,$A:H,COLUMN(H21),FALSE)&lt;&gt;0,VLOOKUP($A22,$A:AF,COLUMN(AF21),FALSE)/VLOOKUP($A22,$A:H,COLUMN(H21),FALSE),IF(VLOOKUP($A22,$A:AF,COLUMN(AF21),FALSE)&lt;&gt;0,"Strange",0))</f>
        <v>0</v>
      </c>
      <c r="BI22" s="33">
        <f>IF(VLOOKUP($A22,$A:I,COLUMN(I21),FALSE)&lt;&gt;0,VLOOKUP($A22,$A:AG,COLUMN(AG21),FALSE)/VLOOKUP($A22,$A:I,COLUMN(I21),FALSE),IF(VLOOKUP($A22,$A:AG,COLUMN(AG21),FALSE)&lt;&gt;0,"Strange",0))</f>
        <v>0</v>
      </c>
      <c r="BJ22" s="33">
        <f>IF(VLOOKUP($A22,$A:J,COLUMN(J21),FALSE)&lt;&gt;0,VLOOKUP($A22,$A:AH,COLUMN(AH21),FALSE)/VLOOKUP($A22,$A:J,COLUMN(J21),FALSE),IF(VLOOKUP($A22,$A:AH,COLUMN(AH21),FALSE)&lt;&gt;0,"Strange",0))</f>
        <v>0</v>
      </c>
      <c r="BK22" s="33">
        <f>IF(VLOOKUP($A22,$A:K,COLUMN(K21),FALSE)&lt;&gt;0,VLOOKUP($A22,$A:AI,COLUMN(AI21),FALSE)/VLOOKUP($A22,$A:K,COLUMN(K21),FALSE),IF(VLOOKUP($A22,$A:AI,COLUMN(AI21),FALSE)&lt;&gt;0,"Strange",0))</f>
        <v>0</v>
      </c>
      <c r="BL22" s="33">
        <f>IF(VLOOKUP($A22,$A:L,COLUMN(L21),FALSE)&lt;&gt;0,VLOOKUP($A22,$A:AJ,COLUMN(AJ21),FALSE)/VLOOKUP($A22,$A:L,COLUMN(L21),FALSE),IF(VLOOKUP($A22,$A:AJ,COLUMN(AJ21),FALSE)&lt;&gt;0,"Strange",0))</f>
        <v>0</v>
      </c>
      <c r="BM22" s="33">
        <f>IF(VLOOKUP($A22,$A:M,COLUMN(M21),FALSE)&lt;&gt;0,VLOOKUP($A22,$A:AK,COLUMN(AK21),FALSE)/VLOOKUP($A22,$A:M,COLUMN(M21),FALSE),IF(VLOOKUP($A22,$A:AK,COLUMN(AK21),FALSE)&lt;&gt;0,"Strange",0))</f>
        <v>0</v>
      </c>
      <c r="BN22" s="33">
        <f>IF(VLOOKUP($A22,$A:N,COLUMN(N21),FALSE)&lt;&gt;0,VLOOKUP($A22,$A:AL,COLUMN(AL21),FALSE)/VLOOKUP($A22,$A:N,COLUMN(N21),FALSE),IF(VLOOKUP($A22,$A:AL,COLUMN(AL21),FALSE)&lt;&gt;0,"Strange",0))</f>
        <v>0</v>
      </c>
      <c r="BO22" s="33">
        <f>IF(VLOOKUP($A22,$A:Q,COLUMN(Q21),FALSE)&lt;&gt;0,VLOOKUP($A22,$A:AM,COLUMN(AM21),FALSE)/VLOOKUP($A22,$A:Q,COLUMN(Q21),FALSE),IF(VLOOKUP($A22,$A:AM,COLUMN(AM21),FALSE)&lt;&gt;0,"Strange",0))</f>
        <v>0</v>
      </c>
      <c r="BP22" s="33">
        <f>IF(VLOOKUP($A22,$A:R,COLUMN(R21),FALSE)&lt;&gt;0,VLOOKUP($A22,$A:AN,COLUMN(AN21),FALSE)/VLOOKUP($A22,$A:R,COLUMN(R21),FALSE),IF(VLOOKUP($A22,$A:AN,COLUMN(AN21),FALSE)&lt;&gt;0,"Strange",0))</f>
        <v>0</v>
      </c>
      <c r="BQ22" s="33">
        <f>IF(VLOOKUP($A22,$A:S,COLUMN(S21),FALSE)&lt;&gt;0,VLOOKUP($A22,$A:AO,COLUMN(AO21),FALSE)/VLOOKUP($A22,$A:S,COLUMN(S21),FALSE),IF(VLOOKUP($A22,$A:AO,COLUMN(AO21),FALSE)&lt;&gt;0,"Strange",0))</f>
        <v>0</v>
      </c>
      <c r="BR22" s="33">
        <f>IF(VLOOKUP($A22,$A:T,COLUMN(T21),FALSE)&lt;&gt;0,VLOOKUP($A22,$A:AP,COLUMN(AP21),FALSE)/VLOOKUP($A22,$A:T,COLUMN(T21),FALSE),IF(VLOOKUP($A22,$A:AP,COLUMN(AP21),FALSE)&lt;&gt;0,"Strange",0))</f>
        <v>0</v>
      </c>
      <c r="BT22" s="33">
        <f>IF(VLOOKUP($A22,$A:AE,COLUMN(F21),FALSE)&lt;&gt;0,VLOOKUP($A22,$A:AS,COLUMN(AR21),FALSE)/VLOOKUP($A22,$A:AE,COLUMN(F21),FALSE),IF(VLOOKUP($A22,$A:AS,COLUMN(AR21),FALSE)&lt;&gt;0,"Strange",0))</f>
        <v>0</v>
      </c>
      <c r="BU22" s="33">
        <f>IF(VLOOKUP($A22,$A:AF,COLUMN(G21),FALSE)&lt;&gt;0,VLOOKUP($A22,$A:AT,COLUMN(AS21),FALSE)/VLOOKUP($A22,$A:AF,COLUMN(G21),FALSE),IF(VLOOKUP($A22,$A:AT,COLUMN(AS21),FALSE)&lt;&gt;0,"Strange",0))</f>
        <v>0</v>
      </c>
      <c r="BV22" s="33">
        <f>IF(VLOOKUP($A22,$A:AG,COLUMN(H21),FALSE)&lt;&gt;0,VLOOKUP($A22,$A:AU,COLUMN(AT21),FALSE)/VLOOKUP($A22,$A:AG,COLUMN(H21),FALSE),IF(VLOOKUP($A22,$A:AU,COLUMN(AT21),FALSE)&lt;&gt;0,"Strange",0))</f>
        <v>0</v>
      </c>
      <c r="BW22" s="33">
        <f>IF(VLOOKUP($A22,$A:AH,COLUMN(I21),FALSE)&lt;&gt;0,VLOOKUP($A22,$A:AV,COLUMN(AU21),FALSE)/VLOOKUP($A22,$A:AH,COLUMN(I21),FALSE),IF(VLOOKUP($A22,$A:AV,COLUMN(AU21),FALSE)&lt;&gt;0,"Strange",0))</f>
        <v>0</v>
      </c>
      <c r="BX22" s="33">
        <f>IF(VLOOKUP($A22,$A:AJ,COLUMN(J21),FALSE)&lt;&gt;0,VLOOKUP($A22,$A:AX,COLUMN(AV21),FALSE)/VLOOKUP($A22,$A:AJ,COLUMN(J21),FALSE),IF(VLOOKUP($A22,$A:AX,COLUMN(AV21),FALSE)&lt;&gt;0,"Strange",0))</f>
        <v>0</v>
      </c>
      <c r="BY22" s="33">
        <f>IF(VLOOKUP($A22,$A:AK,COLUMN(K21),FALSE)&lt;&gt;0,VLOOKUP($A22,$A:AY,COLUMN(AW21),FALSE)/VLOOKUP($A22,$A:AK,COLUMN(K21),FALSE),IF(VLOOKUP($A22,$A:AY,COLUMN(AW21),FALSE)&lt;&gt;0,"Strange",0))</f>
        <v>0</v>
      </c>
      <c r="BZ22" s="33">
        <f>IF(VLOOKUP($A22,$A:AK,COLUMN(L21),FALSE)&lt;&gt;0,VLOOKUP($A22,$A:AY,COLUMN(AX21),FALSE)/VLOOKUP($A22,$A:AK,COLUMN(L21),FALSE),IF(VLOOKUP($A22,$A:AY,COLUMN(AX21),FALSE)&lt;&gt;0,"Strange",0))</f>
        <v>0</v>
      </c>
      <c r="CA22" s="33">
        <f>IF(VLOOKUP($A22,$A:AL,COLUMN(M21),FALSE)&lt;&gt;0,VLOOKUP($A22,$A:AZ,COLUMN(AY21),FALSE)/VLOOKUP($A22,$A:AL,COLUMN(M21),FALSE),IF(VLOOKUP($A22,$A:AZ,COLUMN(AY21),FALSE)&lt;&gt;0,"Strange",0))</f>
        <v>0</v>
      </c>
      <c r="CB22" s="33">
        <f>IF(VLOOKUP($A22,$A:AL,COLUMN(N21),FALSE)&lt;&gt;0,VLOOKUP($A22,$A:AZ,COLUMN(AZ21),FALSE)/VLOOKUP($A22,$A:AL,COLUMN(N21),FALSE),IF(VLOOKUP($A22,$A:AZ,COLUMN(AZ21),FALSE)&lt;&gt;0,"Strange",0))</f>
        <v>0</v>
      </c>
      <c r="CC22" s="33">
        <f>IF(VLOOKUP($A22,$A:AM,COLUMN(Q21),FALSE)&lt;&gt;0,VLOOKUP($A22,$A:BA,COLUMN(BA21),FALSE)/VLOOKUP($A22,$A:AM,COLUMN(Q21),FALSE),IF(VLOOKUP($A22,$A:BA,COLUMN(BA21),FALSE)&lt;&gt;0,"Strange",0))</f>
        <v>0</v>
      </c>
      <c r="CD22" s="33">
        <f>IF(VLOOKUP($A22,$A:AN,COLUMN(R21),FALSE)&lt;&gt;0,VLOOKUP($A22,$A:BB,COLUMN(BB21),FALSE)/VLOOKUP($A22,$A:AN,COLUMN(R21),FALSE),IF(VLOOKUP($A22,$A:BB,COLUMN(BB21),FALSE)&lt;&gt;0,"Strange",0))</f>
        <v>0</v>
      </c>
      <c r="CE22" s="33">
        <f>IF(VLOOKUP($A22,$A:AO,COLUMN(S21),FALSE)&lt;&gt;0,VLOOKUP($A22,$A:BC,COLUMN(BC21),FALSE)/VLOOKUP($A22,$A:AO,COLUMN(S21),FALSE),IF(VLOOKUP($A22,$A:BC,COLUMN(BC21),FALSE)&lt;&gt;0,"Strange",0))</f>
        <v>0</v>
      </c>
      <c r="CF22" s="33">
        <f>IF(VLOOKUP($A22,$A:AP,COLUMN(T21),FALSE)&lt;&gt;0,VLOOKUP($A22,$A:BD,COLUMN(BD21),FALSE)/VLOOKUP($A22,$A:AP,COLUMN(T21),FALSE),IF(VLOOKUP($A22,$A:BD,COLUMN(BD21),FALSE)&lt;&gt;0,"Strange",0))</f>
        <v>0</v>
      </c>
      <c r="CH22" s="33">
        <f>SUMIFS('Bilateral assistance, MAIN DATA'!$M:$M,'Bilateral assistance, MAIN DATA'!$B:$B,'Share, heavy weapons to Ukraine'!$A22,'Bilateral assistance, MAIN DATA'!$AO:$AO,'Share, heavy weapons to Ukraine'!CH$1,'Bilateral assistance, MAIN DATA'!$AQ:$AQ,2)</f>
        <v>0</v>
      </c>
      <c r="CI22" s="33">
        <f>SUMIFS('Bilateral assistance, MAIN DATA'!$M:$M,'Bilateral assistance, MAIN DATA'!$B:$B,'Share, heavy weapons to Ukraine'!$A22,'Bilateral assistance, MAIN DATA'!$AO:$AO,'Share, heavy weapons to Ukraine'!CI$1,'Bilateral assistance, MAIN DATA'!$AQ:$AQ,2)</f>
        <v>0</v>
      </c>
      <c r="CJ22" s="645">
        <f>SUMIFS('Bilateral assistance, MAIN DATA'!$M:$M,'Bilateral assistance, MAIN DATA'!$B:$B,'Share, heavy weapons to Ukraine'!$A22,'Bilateral assistance, MAIN DATA'!$AO:$AO,"122mm MLRS",'Bilateral assistance, MAIN DATA'!$AQ:$AQ,2)+SUMIFS('Bilateral assistance, MAIN DATA'!$M:$M,'Bilateral assistance, MAIN DATA'!$B:$B,'Share, heavy weapons to Ukraine'!$A22,'Bilateral assistance, MAIN DATA'!$AO:$AO,"127mm MLRS",'Bilateral assistance, MAIN DATA'!$AQ:$AQ,2)+SUMIFS('Bilateral assistance, MAIN DATA'!$M:$M,'Bilateral assistance, MAIN DATA'!$B:$B,'Share, heavy weapons to Ukraine'!$A22,'Bilateral assistance, MAIN DATA'!$AO:$AO,"227mm MLRS",'Bilateral assistance, MAIN DATA'!$AQ:$AQ,2)</f>
        <v>0</v>
      </c>
      <c r="CL22" s="33">
        <f>SUMIFS('Bilateral assistance, MAIN DATA'!$M:$M,'Bilateral assistance, MAIN DATA'!$B:$B,'Share, heavy weapons to Ukraine'!$A22,'Bilateral assistance, MAIN DATA'!$AO:$AO,'Share, heavy weapons to Ukraine'!CH$1,'Bilateral assistance, MAIN DATA'!$AQ:$AQ,1)</f>
        <v>0</v>
      </c>
      <c r="CM22" s="33">
        <f>SUMIFS('Bilateral assistance, MAIN DATA'!$M:$M,'Bilateral assistance, MAIN DATA'!$B:$B,'Share, heavy weapons to Ukraine'!$A22,'Bilateral assistance, MAIN DATA'!$AO:$AO,'Share, heavy weapons to Ukraine'!CI$1,'Bilateral assistance, MAIN DATA'!$AQ:$AQ,1)</f>
        <v>0</v>
      </c>
      <c r="CN22" s="645">
        <f>SUMIFS('Bilateral assistance, MAIN DATA'!$M:$M,'Bilateral assistance, MAIN DATA'!$B:$B,'Share, heavy weapons to Ukraine'!$A22,'Bilateral assistance, MAIN DATA'!$AO:$AO,"122mm MLRS",'Bilateral assistance, MAIN DATA'!$AQ:$AQ,1)+SUMIFS('Bilateral assistance, MAIN DATA'!$M:$M,'Bilateral assistance, MAIN DATA'!$B:$B,'Share, heavy weapons to Ukraine'!$A22,'Bilateral assistance, MAIN DATA'!$AO:$AO,"127mm MLRS",'Bilateral assistance, MAIN DATA'!$AQ:$AQ,1)+SUMIFS('Bilateral assistance, MAIN DATA'!$M:$M,'Bilateral assistance, MAIN DATA'!$B:$B,'Share, heavy weapons to Ukraine'!$A22,'Bilateral assistance, MAIN DATA'!$AO:$AO,"227mm MLRS",'Bilateral assistance, MAIN DATA'!$AQ:$AQ,1)</f>
        <v>0</v>
      </c>
      <c r="CP22" s="33">
        <f>SUMIFS('Bilateral assistance, MAIN DATA'!$M:$M,'Bilateral assistance, MAIN DATA'!$B:$B,'Share, heavy weapons to Ukraine'!$A22,'Bilateral assistance, MAIN DATA'!$AO:$AO,'Share, heavy weapons to Ukraine'!CP$1,'Bilateral assistance, MAIN DATA'!$AQ:$AQ,0)</f>
        <v>0</v>
      </c>
      <c r="CQ22" s="33">
        <f>SUMIFS('Bilateral assistance, MAIN DATA'!$M:$M,'Bilateral assistance, MAIN DATA'!$B:$B,'Share, heavy weapons to Ukraine'!$A22,'Bilateral assistance, MAIN DATA'!$AO:$AO,'Share, heavy weapons to Ukraine'!CQ$1,'Bilateral assistance, MAIN DATA'!$AQ:$AQ,0)</f>
        <v>0</v>
      </c>
      <c r="CR22" s="645">
        <f>SUMIFS('Bilateral assistance, MAIN DATA'!$M:$M,'Bilateral assistance, MAIN DATA'!$B:$B,'Share, heavy weapons to Ukraine'!$A22,'Bilateral assistance, MAIN DATA'!$AO:$AO,"122mm MLRS",'Bilateral assistance, MAIN DATA'!$AQ:$AQ,0)+SUMIFS('Bilateral assistance, MAIN DATA'!$M:$M,'Bilateral assistance, MAIN DATA'!$B:$B,'Share, heavy weapons to Ukraine'!$A22,'Bilateral assistance, MAIN DATA'!$AO:$AO,"127mm MLRS",'Bilateral assistance, MAIN DATA'!$AQ:$AQ,0)+SUMIFS('Bilateral assistance, MAIN DATA'!$M:$M,'Bilateral assistance, MAIN DATA'!$B:$B,'Share, heavy weapons to Ukraine'!$A22,'Bilateral assistance, MAIN DATA'!$AO:$AO,"227mm MLRS",'Bilateral assistance, MAIN DATA'!$AQ:$AQ,0)</f>
        <v>0</v>
      </c>
      <c r="CT22" s="33">
        <f>IF(VLOOKUP($A22,$A:CS,COLUMN(F21),FALSE)&lt;&gt;0,VLOOKUP($A22,$A:CS,COLUMN(CH21),FALSE)/VLOOKUP($A22,$A:AU,COLUMN(F21),FALSE),IF(VLOOKUP($A22,$A:CS,COLUMN(CH21),FALSE)&lt;&gt;0,"Strange",0))</f>
        <v>0</v>
      </c>
      <c r="CU22" s="33">
        <f>IF(VLOOKUP($A22,$A:CS,COLUMN(L21),FALSE)&lt;&gt;0,VLOOKUP($A22,$A:CS,COLUMN(CI21),FALSE)/VLOOKUP($A22,$A:AU,COLUMN(L21),FALSE),IF(VLOOKUP($A22,$A:CS,COLUMN(CI21),FALSE)&lt;&gt;0,"Strange",0))</f>
        <v>0</v>
      </c>
      <c r="CV22" s="33">
        <f>IF(VLOOKUP($A22,$A:CT,COLUMN(M21),FALSE)&lt;&gt;0,VLOOKUP($A22,$A:CT,COLUMN(CJ21),FALSE)/VLOOKUP($A22,$A:AV,COLUMN(M21),FALSE),IF(VLOOKUP($A22,$A:CT,COLUMN(CJ21),FALSE)&lt;&gt;0,"Strange",0))</f>
        <v>0</v>
      </c>
      <c r="CX22" s="33">
        <f>IF(VLOOKUP($A22,$A:CS,COLUMN(F21),FALSE)&lt;&gt;0,VLOOKUP($A22,$A:CS,COLUMN(CL21),FALSE)/VLOOKUP($A22,$A:AU,COLUMN(F21),FALSE),IF(VLOOKUP($A22,$A:CS,COLUMN(CL21),FALSE)&lt;&gt;0,"Strange",0))</f>
        <v>0</v>
      </c>
      <c r="CY22" s="33">
        <f>IF(VLOOKUP($A22,$A:CS,COLUMN(L21),FALSE)&lt;&gt;0,VLOOKUP($A22,$A:CS,COLUMN(CM21),FALSE)/VLOOKUP($A22,$A:AU,COLUMN(L21),FALSE),IF(VLOOKUP($A22,$A:CS,COLUMN(CM21),FALSE)&lt;&gt;0,"Strange",0))</f>
        <v>0</v>
      </c>
      <c r="CZ22" s="33">
        <f>IF(VLOOKUP($A22,$A:CT,COLUMN(M21),FALSE)&lt;&gt;0,VLOOKUP($A22,$A:CT,COLUMN(CN21),FALSE)/VLOOKUP($A22,$A:AV,COLUMN(M21),FALSE),IF(VLOOKUP($A22,$A:CT,COLUMN(CN21),FALSE)&lt;&gt;0,"Strange",0))</f>
        <v>0</v>
      </c>
      <c r="DB22" s="33">
        <f>IF(VLOOKUP($A22,$A:CS,COLUMN(F21),FALSE)&lt;&gt;0,VLOOKUP($A22,$A:CS,COLUMN(CP21),FALSE)/VLOOKUP($A22,$A:AU,COLUMN(F21),FALSE),IF(VLOOKUP($A22,$A:CS,COLUMN(CP21),FALSE)&lt;&gt;0,"Strange",0))</f>
        <v>0</v>
      </c>
      <c r="DC22" s="33">
        <f>IF(VLOOKUP($A22,$A:CS,COLUMN(L21),FALSE)&lt;&gt;0,VLOOKUP($A22,$A:CS,COLUMN(CQ21),FALSE)/VLOOKUP($A22,$A:AU,COLUMN(L21),FALSE),IF(VLOOKUP($A22,$A:CS,COLUMN(CQ21),FALSE)&lt;&gt;0,"Strange",0))</f>
        <v>0</v>
      </c>
      <c r="DD22" s="33">
        <f>IF(VLOOKUP($A22,$A:CT,COLUMN(M21),FALSE)&lt;&gt;0,VLOOKUP($A22,$A:CT,COLUMN(CR21),FALSE)/VLOOKUP($A22,$A:AV,COLUMN(M21),FALSE),IF(VLOOKUP($A22,$A:CT,COLUMN(CR21),FALSE)&lt;&gt;0,"Strange",0))</f>
        <v>0</v>
      </c>
      <c r="DF22" s="33">
        <f>SUMIFS('Bilateral assistance, MAIN DATA'!$M:$M,'Bilateral assistance, MAIN DATA'!$B:$B,'Share, heavy weapons to Ukraine'!$A22,'Bilateral assistance, MAIN DATA'!$AO:$AO,'Share, heavy weapons to Ukraine'!DF$1, 'Bilateral assistance, MAIN DATA'!$AA:$AA,1)</f>
        <v>0</v>
      </c>
      <c r="DG22" s="33">
        <f>SUMIFS('Bilateral assistance, MAIN DATA'!$M:$M,'Bilateral assistance, MAIN DATA'!$B:$B,'Share, heavy weapons to Ukraine'!$A22,'Bilateral assistance, MAIN DATA'!$AO:$AO,'Share, heavy weapons to Ukraine'!DG$1, 'Bilateral assistance, MAIN DATA'!$AA:$AA,1)</f>
        <v>0</v>
      </c>
      <c r="DH22" s="33">
        <f>SUMIFS('Bilateral assistance, MAIN DATA'!$M:$M,'Bilateral assistance, MAIN DATA'!$B:$B,'Share, heavy weapons to Ukraine'!$A22,'Bilateral assistance, MAIN DATA'!$AO:$AO,'Share, heavy weapons to Ukraine'!DH$1, 'Bilateral assistance, MAIN DATA'!$AA:$AA,1)</f>
        <v>0</v>
      </c>
      <c r="DI22" s="33">
        <f>SUMIFS('Bilateral assistance, MAIN DATA'!$M:$M,'Bilateral assistance, MAIN DATA'!$B:$B,'Share, heavy weapons to Ukraine'!$A22,'Bilateral assistance, MAIN DATA'!$AO:$AO,'Share, heavy weapons to Ukraine'!DI$1, 'Bilateral assistance, MAIN DATA'!$AA:$AA,1)</f>
        <v>0</v>
      </c>
      <c r="DK22" s="33">
        <f>SUMIFS('Bilateral assistance, MAIN DATA'!$N:$N,'Bilateral assistance, MAIN DATA'!$B:$B,'Share, heavy weapons to Ukraine'!$A22,'Bilateral assistance, MAIN DATA'!$AO:$AO,'Share, heavy weapons to Ukraine'!DK$1, 'Bilateral assistance, MAIN DATA'!$AA:$AA,1)</f>
        <v>0</v>
      </c>
      <c r="DL22" s="33">
        <f>SUMIFS('Bilateral assistance, MAIN DATA'!$N:$N,'Bilateral assistance, MAIN DATA'!$B:$B,'Share, heavy weapons to Ukraine'!$A22,'Bilateral assistance, MAIN DATA'!$AO:$AO,'Share, heavy weapons to Ukraine'!DL$1, 'Bilateral assistance, MAIN DATA'!$AA:$AA,1)</f>
        <v>0</v>
      </c>
      <c r="DM22" s="33">
        <f>SUMIFS('Bilateral assistance, MAIN DATA'!$N:$N,'Bilateral assistance, MAIN DATA'!$B:$B,'Share, heavy weapons to Ukraine'!$A22,'Bilateral assistance, MAIN DATA'!$AO:$AO,'Share, heavy weapons to Ukraine'!DM$1, 'Bilateral assistance, MAIN DATA'!$AA:$AA,1)</f>
        <v>0</v>
      </c>
      <c r="DN22" s="33">
        <f>SUMIFS('Bilateral assistance, MAIN DATA'!$N:$N,'Bilateral assistance, MAIN DATA'!$B:$B,'Share, heavy weapons to Ukraine'!$A22,'Bilateral assistance, MAIN DATA'!$AO:$AO,'Share, heavy weapons to Ukraine'!DN$1, 'Bilateral assistance, MAIN DATA'!$AA:$AA,1)</f>
        <v>0</v>
      </c>
    </row>
    <row r="23" spans="1:118">
      <c r="A23" s="801" t="s">
        <v>1766</v>
      </c>
      <c r="B23" s="801">
        <v>0</v>
      </c>
      <c r="C23" s="33">
        <v>0</v>
      </c>
      <c r="E23" s="802">
        <v>3.27</v>
      </c>
      <c r="F23" s="801">
        <f>VLOOKUP(A23,'Heavy weapon stocks'!A:OH,COLUMN('Heavy weapon stocks'!$G$1),0)</f>
        <v>0</v>
      </c>
      <c r="G23" s="801">
        <f>VLOOKUP(A23,'Heavy weapon stocks'!A:OH,COLUMN('Heavy weapon stocks'!$AW$1),0)</f>
        <v>0</v>
      </c>
      <c r="H23" s="801">
        <f>VLOOKUP(A23,'Heavy weapon stocks'!A:OH,COLUMN('Heavy weapon stocks'!$DQ$1),0)</f>
        <v>0</v>
      </c>
      <c r="I23" s="801">
        <f>VLOOKUP(A23,'Heavy weapon stocks'!A:OH,COLUMN('Heavy weapon stocks'!$EE$1),0)</f>
        <v>0</v>
      </c>
      <c r="J23" s="801">
        <f>VLOOKUP(A23,'Heavy weapon stocks'!A:OH,COLUMN('Heavy weapon stocks'!$FG$1),0)</f>
        <v>93</v>
      </c>
      <c r="K23" s="801">
        <f t="shared" si="3"/>
        <v>93</v>
      </c>
      <c r="L23" s="801">
        <f>VLOOKUP(A23,'Heavy weapon stocks'!A:OH,COLUMN('Heavy weapon stocks'!$HC$1),0)+VLOOKUP(A23,'Heavy weapon stocks'!A:OH,COLUMN('Heavy weapon stocks'!$II$1),0)</f>
        <v>0</v>
      </c>
      <c r="M23" s="801">
        <f>VLOOKUP(A23,'Heavy weapon stocks'!A:OH,COLUMN('Heavy weapon stocks'!$IN$1),0)</f>
        <v>0</v>
      </c>
      <c r="N23" s="801">
        <f>VLOOKUP(A23,'Heavy weapon stocks'!A:OH,COLUMN('Heavy weapon stocks'!$JH$1),0)+VLOOKUP(A23,'Heavy weapon stocks'!A:OH,COLUMN('Heavy weapon stocks'!$KE$1),0)</f>
        <v>0</v>
      </c>
      <c r="O23" s="801">
        <f>VLOOKUP(A23,'Heavy weapon stocks'!A:OH,COLUMN('Heavy weapon stocks'!$LU$1),0)</f>
        <v>0</v>
      </c>
      <c r="Q23" s="801">
        <f>VLOOKUP(A23,'Heavy weapon stocks'!A:OH,COLUMN('Heavy weapon stocks'!$LV$1),0)</f>
        <v>0</v>
      </c>
      <c r="R23" s="801">
        <f>VLOOKUP(A23,'Heavy weapon stocks'!A:OH,COLUMN('Heavy weapon stocks'!$MF$1),0)</f>
        <v>0</v>
      </c>
      <c r="S23" s="801">
        <f>VLOOKUP(A23,'Heavy weapon stocks'!A:OH,COLUMN('Heavy weapon stocks'!$MM$1),0)</f>
        <v>0</v>
      </c>
      <c r="T23" s="801">
        <f>VLOOKUP(A23,'Heavy weapon stocks'!A:OH,COLUMN('Heavy weapon stocks'!$NR$1),0)</f>
        <v>0</v>
      </c>
      <c r="V23" s="801">
        <f>VLOOKUP(A23,'Heavy weapon stocks'!A:OH,COLUMN('Heavy weapon stocks'!$H$1),0)</f>
        <v>0</v>
      </c>
      <c r="W23" s="801">
        <f>VLOOKUP(A23,'Heavy weapon stocks'!A:OH,COLUMN('Heavy weapon stocks'!$DQ$1),0)</f>
        <v>0</v>
      </c>
      <c r="X23" s="801">
        <f>VLOOKUP(A23,'Heavy weapon stocks'!A:OH,COLUMN('Heavy weapon stocks'!$FG$1),0)</f>
        <v>93</v>
      </c>
      <c r="Y23" s="801">
        <f>VLOOKUP(A23,'Heavy weapon stocks'!A:OH,COLUMN('Heavy weapon stocks'!$HC$1),0)+VLOOKUP(A23,'Heavy weapon stocks'!A:OH,COLUMN('Heavy weapon stocks'!$II$1),0)</f>
        <v>0</v>
      </c>
      <c r="Z23" s="801">
        <f>VLOOKUP(A23,'Heavy weapon stocks'!A:OH,COLUMN('Heavy weapon stocks'!$IO$1),0)+VLOOKUP(A23,'Heavy weapon stocks'!A:OH,COLUMN('Heavy weapon stocks'!$IP$1),0)+VLOOKUP(A23,'Heavy weapon stocks'!A:OH,COLUMN('Heavy weapon stocks'!$IU$1),0)</f>
        <v>0</v>
      </c>
      <c r="AA23" s="801">
        <f>VLOOKUP(A23,'Heavy weapon stocks'!A:OH,COLUMN('Heavy weapon stocks'!$MI$1),0)</f>
        <v>0</v>
      </c>
      <c r="AB23" s="801">
        <f>VLOOKUP(A23,'Heavy weapon stocks'!A:OH,COLUMN('Heavy weapon stocks'!$MS$1),0)+VLOOKUP(A23,'Heavy weapon stocks'!A:OH,COLUMN('Heavy weapon stocks'!$MT$1),0)+VLOOKUP(A23,'Heavy weapon stocks'!A:OH,COLUMN('Heavy weapon stocks'!$MU$1),0)+VLOOKUP(A23,'Heavy weapon stocks'!A:OH,COLUMN('Heavy weapon stocks'!$MV$1),0)</f>
        <v>0</v>
      </c>
      <c r="AD23" s="33">
        <f>SUMIFS('Bilateral assistance, MAIN DATA'!$M:$M,'Bilateral assistance, MAIN DATA'!$B:$B,'Share, heavy weapons to Ukraine'!$A23,'Bilateral assistance, MAIN DATA'!$AO:$AO,'Share, heavy weapons to Ukraine'!AD$1)</f>
        <v>0</v>
      </c>
      <c r="AE23" s="33">
        <f>SUMIFS('Bilateral assistance, MAIN DATA'!$M:$M,'Bilateral assistance, MAIN DATA'!$B:$B,'Share, heavy weapons to Ukraine'!$A23,'Bilateral assistance, MAIN DATA'!$AO:$AO,'Share, heavy weapons to Ukraine'!AE$1)</f>
        <v>0</v>
      </c>
      <c r="AF23" s="33">
        <f>SUMIFS('Bilateral assistance, MAIN DATA'!$M:$M,'Bilateral assistance, MAIN DATA'!$B:$B,'Share, heavy weapons to Ukraine'!$A23,'Bilateral assistance, MAIN DATA'!$AO:$AO,'Share, heavy weapons to Ukraine'!AF$1)</f>
        <v>0</v>
      </c>
      <c r="AG23" s="33">
        <f>SUMIFS('Bilateral assistance, MAIN DATA'!$M:$M,'Bilateral assistance, MAIN DATA'!$B:$B,'Share, heavy weapons to Ukraine'!$A23,'Bilateral assistance, MAIN DATA'!$AO:$AO,'Share, heavy weapons to Ukraine'!AG$1)</f>
        <v>0</v>
      </c>
      <c r="AH23" s="33">
        <f>SUMIFS('Bilateral assistance, MAIN DATA'!$M:$M,'Bilateral assistance, MAIN DATA'!$B:$B,'Share, heavy weapons to Ukraine'!$A23,'Bilateral assistance, MAIN DATA'!$AO:$AO,'Share, heavy weapons to Ukraine'!AH$1)</f>
        <v>0</v>
      </c>
      <c r="AI23" s="33">
        <f t="shared" si="1"/>
        <v>0</v>
      </c>
      <c r="AJ23" s="33">
        <f>SUMIFS('Bilateral assistance, MAIN DATA'!$M:$M,'Bilateral assistance, MAIN DATA'!$B:$B,'Share, heavy weapons to Ukraine'!$A23,'Bilateral assistance, MAIN DATA'!$AO:$AO,'Share, heavy weapons to Ukraine'!AJ$1)</f>
        <v>0</v>
      </c>
      <c r="AK23" s="645">
        <f>SUMIFS('Bilateral assistance, MAIN DATA'!$M:$M,'Bilateral assistance, MAIN DATA'!$B:$B,'Share, heavy weapons to Ukraine'!$A23,'Bilateral assistance, MAIN DATA'!$AO:$AO,"122mm MLRS")+SUMIFS('Bilateral assistance, MAIN DATA'!$M:$M,'Bilateral assistance, MAIN DATA'!$B:$B,'Share, heavy weapons to Ukraine'!$A23,'Bilateral assistance, MAIN DATA'!$AO:$AO,"127mm MLRS")+SUMIFS('Bilateral assistance, MAIN DATA'!$M:$M,'Bilateral assistance, MAIN DATA'!$B:$B,'Share, heavy weapons to Ukraine'!$A23,'Bilateral assistance, MAIN DATA'!$AO:$AO,"227mm MLRS")</f>
        <v>0</v>
      </c>
      <c r="AL23" s="33">
        <f>SUMIFS('Bilateral assistance, MAIN DATA'!$M:$M,'Bilateral assistance, MAIN DATA'!$B:$B,'Share, heavy weapons to Ukraine'!$A23,'Bilateral assistance, MAIN DATA'!$AO:$AO,'Share, heavy weapons to Ukraine'!AL$1)</f>
        <v>0</v>
      </c>
      <c r="AM23" s="33">
        <f>SUMIFS('Bilateral assistance, MAIN DATA'!$M:$M,'Bilateral assistance, MAIN DATA'!$B:$B,'Share, heavy weapons to Ukraine'!$A23,'Bilateral assistance, MAIN DATA'!$AO:$AO,'Share, heavy weapons to Ukraine'!AM$1)</f>
        <v>0</v>
      </c>
      <c r="AN23" s="33">
        <f>SUMIFS('Bilateral assistance, MAIN DATA'!$M:$M,'Bilateral assistance, MAIN DATA'!$B:$B,'Share, heavy weapons to Ukraine'!$A23,'Bilateral assistance, MAIN DATA'!$AO:$AO,'Share, heavy weapons to Ukraine'!AN$1)</f>
        <v>0</v>
      </c>
      <c r="AO23" s="33">
        <f>SUMIFS('Bilateral assistance, MAIN DATA'!$M:$M,'Bilateral assistance, MAIN DATA'!$B:$B,'Share, heavy weapons to Ukraine'!$A23,'Bilateral assistance, MAIN DATA'!$AO:$AO,'Share, heavy weapons to Ukraine'!AO$1)</f>
        <v>0</v>
      </c>
      <c r="AP23" s="33">
        <f>SUMIFS('Bilateral assistance, MAIN DATA'!$M:$M,'Bilateral assistance, MAIN DATA'!$B:$B,'Share, heavy weapons to Ukraine'!$A23,'Bilateral assistance, MAIN DATA'!$AO:$AO,'Share, heavy weapons to Ukraine'!AP$1)</f>
        <v>0</v>
      </c>
      <c r="AR23" s="33">
        <f>SUMIFS('Bilateral assistance, MAIN DATA'!$N:$N,'Bilateral assistance, MAIN DATA'!$B:$B,'Share, heavy weapons to Ukraine'!$A23,'Bilateral assistance, MAIN DATA'!$AO:$AO,'Share, heavy weapons to Ukraine'!AR$1)</f>
        <v>0</v>
      </c>
      <c r="AS23" s="33">
        <f>SUMIFS('Bilateral assistance, MAIN DATA'!$N:$N,'Bilateral assistance, MAIN DATA'!$B:$B,'Share, heavy weapons to Ukraine'!$A23,'Bilateral assistance, MAIN DATA'!$AO:$AO,'Share, heavy weapons to Ukraine'!AS$1)</f>
        <v>0</v>
      </c>
      <c r="AT23" s="33">
        <f>SUMIFS('Bilateral assistance, MAIN DATA'!$N:$N,'Bilateral assistance, MAIN DATA'!$B:$B,'Share, heavy weapons to Ukraine'!$A23,'Bilateral assistance, MAIN DATA'!$AO:$AO,'Share, heavy weapons to Ukraine'!AT$1)</f>
        <v>0</v>
      </c>
      <c r="AU23" s="33">
        <f>SUMIFS('Bilateral assistance, MAIN DATA'!$N:$N,'Bilateral assistance, MAIN DATA'!$B:$B,'Share, heavy weapons to Ukraine'!$A23,'Bilateral assistance, MAIN DATA'!$AO:$AO,'Share, heavy weapons to Ukraine'!AU$1)</f>
        <v>0</v>
      </c>
      <c r="AV23" s="33">
        <f>SUMIFS('Bilateral assistance, MAIN DATA'!$N:$N,'Bilateral assistance, MAIN DATA'!$B:$B,'Share, heavy weapons to Ukraine'!$A23,'Bilateral assistance, MAIN DATA'!$AO:$AO,'Share, heavy weapons to Ukraine'!AV$1)</f>
        <v>0</v>
      </c>
      <c r="AW23" s="33">
        <f t="shared" si="2"/>
        <v>0</v>
      </c>
      <c r="AX23" s="33">
        <f>SUMIFS('Bilateral assistance, MAIN DATA'!$N:$N,'Bilateral assistance, MAIN DATA'!$B:$B,'Share, heavy weapons to Ukraine'!$A23,'Bilateral assistance, MAIN DATA'!$AO:$AO,'Share, heavy weapons to Ukraine'!AX$1)</f>
        <v>0</v>
      </c>
      <c r="AY23" s="645">
        <f>SUMIFS('Bilateral assistance, MAIN DATA'!$N:$N,'Bilateral assistance, MAIN DATA'!$B:$B,'Share, heavy weapons to Ukraine'!$A23,'Bilateral assistance, MAIN DATA'!$AO:$AO,"122mm MLRS")+SUMIFS('Bilateral assistance, MAIN DATA'!$N:$N,'Bilateral assistance, MAIN DATA'!$B:$B,'Share, heavy weapons to Ukraine'!$A23,'Bilateral assistance, MAIN DATA'!$AO:$AO,"127mm MLRS")+SUMIFS('Bilateral assistance, MAIN DATA'!$N:$N,'Bilateral assistance, MAIN DATA'!$B:$B,'Share, heavy weapons to Ukraine'!$A23,'Bilateral assistance, MAIN DATA'!$AO:$AO,"227mm MLRS")</f>
        <v>0</v>
      </c>
      <c r="AZ23" s="33">
        <f>SUMIFS('Bilateral assistance, MAIN DATA'!$N:$N,'Bilateral assistance, MAIN DATA'!$B:$B,'Share, heavy weapons to Ukraine'!$A23,'Bilateral assistance, MAIN DATA'!$AO:$AO,'Share, heavy weapons to Ukraine'!AZ$1)</f>
        <v>0</v>
      </c>
      <c r="BA23" s="33">
        <f>SUMIFS('Bilateral assistance, MAIN DATA'!$N:$N,'Bilateral assistance, MAIN DATA'!$B:$B,'Share, heavy weapons to Ukraine'!$A23,'Bilateral assistance, MAIN DATA'!$AO:$AO,'Share, heavy weapons to Ukraine'!BA$1)</f>
        <v>0</v>
      </c>
      <c r="BB23" s="33">
        <f>SUMIFS('Bilateral assistance, MAIN DATA'!$N:$N,'Bilateral assistance, MAIN DATA'!$B:$B,'Share, heavy weapons to Ukraine'!$A23,'Bilateral assistance, MAIN DATA'!$AO:$AO,'Share, heavy weapons to Ukraine'!BB$1)</f>
        <v>0</v>
      </c>
      <c r="BC23" s="33">
        <f>SUMIFS('Bilateral assistance, MAIN DATA'!$N:$N,'Bilateral assistance, MAIN DATA'!$B:$B,'Share, heavy weapons to Ukraine'!$A23,'Bilateral assistance, MAIN DATA'!$AO:$AO,'Share, heavy weapons to Ukraine'!BC$1)</f>
        <v>0</v>
      </c>
      <c r="BD23" s="33">
        <f>SUMIFS('Bilateral assistance, MAIN DATA'!$N:$N,'Bilateral assistance, MAIN DATA'!$B:$B,'Share, heavy weapons to Ukraine'!$A23,'Bilateral assistance, MAIN DATA'!$AO:$AO,'Share, heavy weapons to Ukraine'!BD$1)</f>
        <v>0</v>
      </c>
      <c r="BF23" s="33">
        <f>IF(VLOOKUP($A23,$A:F,COLUMN(F22),FALSE)&lt;&gt;0,VLOOKUP($A23,$A:AD,COLUMN(AD22),FALSE)/VLOOKUP($A23,$A:F,COLUMN(F22),FALSE),IF(VLOOKUP($A23,$A:AD,COLUMN(AD22),FALSE)&lt;&gt;0,"Strange",0))</f>
        <v>0</v>
      </c>
      <c r="BG23" s="33">
        <f>IF(VLOOKUP($A23,$A:G,COLUMN(G22),FALSE)&lt;&gt;0,VLOOKUP($A23,$A:AE,COLUMN(AE22),FALSE)/VLOOKUP($A23,$A:G,COLUMN(G22),FALSE),IF(VLOOKUP($A23,$A:AE,COLUMN(AE22),FALSE)&lt;&gt;0,"Strange",0))</f>
        <v>0</v>
      </c>
      <c r="BH23" s="33">
        <f>IF(VLOOKUP($A23,$A:H,COLUMN(H22),FALSE)&lt;&gt;0,VLOOKUP($A23,$A:AF,COLUMN(AF22),FALSE)/VLOOKUP($A23,$A:H,COLUMN(H22),FALSE),IF(VLOOKUP($A23,$A:AF,COLUMN(AF22),FALSE)&lt;&gt;0,"Strange",0))</f>
        <v>0</v>
      </c>
      <c r="BI23" s="33">
        <f>IF(VLOOKUP($A23,$A:I,COLUMN(I22),FALSE)&lt;&gt;0,VLOOKUP($A23,$A:AG,COLUMN(AG22),FALSE)/VLOOKUP($A23,$A:I,COLUMN(I22),FALSE),IF(VLOOKUP($A23,$A:AG,COLUMN(AG22),FALSE)&lt;&gt;0,"Strange",0))</f>
        <v>0</v>
      </c>
      <c r="BJ23" s="33">
        <f>IF(VLOOKUP($A23,$A:J,COLUMN(J22),FALSE)&lt;&gt;0,VLOOKUP($A23,$A:AH,COLUMN(AH22),FALSE)/VLOOKUP($A23,$A:J,COLUMN(J22),FALSE),IF(VLOOKUP($A23,$A:AH,COLUMN(AH22),FALSE)&lt;&gt;0,"Strange",0))</f>
        <v>0</v>
      </c>
      <c r="BK23" s="33">
        <f>IF(VLOOKUP($A23,$A:K,COLUMN(K22),FALSE)&lt;&gt;0,VLOOKUP($A23,$A:AI,COLUMN(AI22),FALSE)/VLOOKUP($A23,$A:K,COLUMN(K22),FALSE),IF(VLOOKUP($A23,$A:AI,COLUMN(AI22),FALSE)&lt;&gt;0,"Strange",0))</f>
        <v>0</v>
      </c>
      <c r="BL23" s="33">
        <f>IF(VLOOKUP($A23,$A:L,COLUMN(L22),FALSE)&lt;&gt;0,VLOOKUP($A23,$A:AJ,COLUMN(AJ22),FALSE)/VLOOKUP($A23,$A:L,COLUMN(L22),FALSE),IF(VLOOKUP($A23,$A:AJ,COLUMN(AJ22),FALSE)&lt;&gt;0,"Strange",0))</f>
        <v>0</v>
      </c>
      <c r="BM23" s="33">
        <f>IF(VLOOKUP($A23,$A:M,COLUMN(M22),FALSE)&lt;&gt;0,VLOOKUP($A23,$A:AK,COLUMN(AK22),FALSE)/VLOOKUP($A23,$A:M,COLUMN(M22),FALSE),IF(VLOOKUP($A23,$A:AK,COLUMN(AK22),FALSE)&lt;&gt;0,"Strange",0))</f>
        <v>0</v>
      </c>
      <c r="BN23" s="33">
        <f>IF(VLOOKUP($A23,$A:N,COLUMN(N22),FALSE)&lt;&gt;0,VLOOKUP($A23,$A:AL,COLUMN(AL22),FALSE)/VLOOKUP($A23,$A:N,COLUMN(N22),FALSE),IF(VLOOKUP($A23,$A:AL,COLUMN(AL22),FALSE)&lt;&gt;0,"Strange",0))</f>
        <v>0</v>
      </c>
      <c r="BO23" s="33">
        <f>IF(VLOOKUP($A23,$A:Q,COLUMN(Q22),FALSE)&lt;&gt;0,VLOOKUP($A23,$A:AM,COLUMN(AM22),FALSE)/VLOOKUP($A23,$A:Q,COLUMN(Q22),FALSE),IF(VLOOKUP($A23,$A:AM,COLUMN(AM22),FALSE)&lt;&gt;0,"Strange",0))</f>
        <v>0</v>
      </c>
      <c r="BP23" s="33">
        <f>IF(VLOOKUP($A23,$A:R,COLUMN(R22),FALSE)&lt;&gt;0,VLOOKUP($A23,$A:AN,COLUMN(AN22),FALSE)/VLOOKUP($A23,$A:R,COLUMN(R22),FALSE),IF(VLOOKUP($A23,$A:AN,COLUMN(AN22),FALSE)&lt;&gt;0,"Strange",0))</f>
        <v>0</v>
      </c>
      <c r="BQ23" s="33">
        <f>IF(VLOOKUP($A23,$A:S,COLUMN(S22),FALSE)&lt;&gt;0,VLOOKUP($A23,$A:AO,COLUMN(AO22),FALSE)/VLOOKUP($A23,$A:S,COLUMN(S22),FALSE),IF(VLOOKUP($A23,$A:AO,COLUMN(AO22),FALSE)&lt;&gt;0,"Strange",0))</f>
        <v>0</v>
      </c>
      <c r="BR23" s="33">
        <f>IF(VLOOKUP($A23,$A:T,COLUMN(T22),FALSE)&lt;&gt;0,VLOOKUP($A23,$A:AP,COLUMN(AP22),FALSE)/VLOOKUP($A23,$A:T,COLUMN(T22),FALSE),IF(VLOOKUP($A23,$A:AP,COLUMN(AP22),FALSE)&lt;&gt;0,"Strange",0))</f>
        <v>0</v>
      </c>
      <c r="BT23" s="33">
        <f>IF(VLOOKUP($A23,$A:AE,COLUMN(F22),FALSE)&lt;&gt;0,VLOOKUP($A23,$A:AS,COLUMN(AR22),FALSE)/VLOOKUP($A23,$A:AE,COLUMN(F22),FALSE),IF(VLOOKUP($A23,$A:AS,COLUMN(AR22),FALSE)&lt;&gt;0,"Strange",0))</f>
        <v>0</v>
      </c>
      <c r="BU23" s="33">
        <f>IF(VLOOKUP($A23,$A:AF,COLUMN(G22),FALSE)&lt;&gt;0,VLOOKUP($A23,$A:AT,COLUMN(AS22),FALSE)/VLOOKUP($A23,$A:AF,COLUMN(G22),FALSE),IF(VLOOKUP($A23,$A:AT,COLUMN(AS22),FALSE)&lt;&gt;0,"Strange",0))</f>
        <v>0</v>
      </c>
      <c r="BV23" s="33">
        <f>IF(VLOOKUP($A23,$A:AG,COLUMN(H22),FALSE)&lt;&gt;0,VLOOKUP($A23,$A:AU,COLUMN(AT22),FALSE)/VLOOKUP($A23,$A:AG,COLUMN(H22),FALSE),IF(VLOOKUP($A23,$A:AU,COLUMN(AT22),FALSE)&lt;&gt;0,"Strange",0))</f>
        <v>0</v>
      </c>
      <c r="BW23" s="33">
        <f>IF(VLOOKUP($A23,$A:AH,COLUMN(I22),FALSE)&lt;&gt;0,VLOOKUP($A23,$A:AV,COLUMN(AU22),FALSE)/VLOOKUP($A23,$A:AH,COLUMN(I22),FALSE),IF(VLOOKUP($A23,$A:AV,COLUMN(AU22),FALSE)&lt;&gt;0,"Strange",0))</f>
        <v>0</v>
      </c>
      <c r="BX23" s="33">
        <f>IF(VLOOKUP($A23,$A:AJ,COLUMN(J22),FALSE)&lt;&gt;0,VLOOKUP($A23,$A:AX,COLUMN(AV22),FALSE)/VLOOKUP($A23,$A:AJ,COLUMN(J22),FALSE),IF(VLOOKUP($A23,$A:AX,COLUMN(AV22),FALSE)&lt;&gt;0,"Strange",0))</f>
        <v>0</v>
      </c>
      <c r="BY23" s="33">
        <f>IF(VLOOKUP($A23,$A:AK,COLUMN(K22),FALSE)&lt;&gt;0,VLOOKUP($A23,$A:AY,COLUMN(AW22),FALSE)/VLOOKUP($A23,$A:AK,COLUMN(K22),FALSE),IF(VLOOKUP($A23,$A:AY,COLUMN(AW22),FALSE)&lt;&gt;0,"Strange",0))</f>
        <v>0</v>
      </c>
      <c r="BZ23" s="33">
        <f>IF(VLOOKUP($A23,$A:AK,COLUMN(L22),FALSE)&lt;&gt;0,VLOOKUP($A23,$A:AY,COLUMN(AX22),FALSE)/VLOOKUP($A23,$A:AK,COLUMN(L22),FALSE),IF(VLOOKUP($A23,$A:AY,COLUMN(AX22),FALSE)&lt;&gt;0,"Strange",0))</f>
        <v>0</v>
      </c>
      <c r="CA23" s="33">
        <f>IF(VLOOKUP($A23,$A:AL,COLUMN(M22),FALSE)&lt;&gt;0,VLOOKUP($A23,$A:AZ,COLUMN(AY22),FALSE)/VLOOKUP($A23,$A:AL,COLUMN(M22),FALSE),IF(VLOOKUP($A23,$A:AZ,COLUMN(AY22),FALSE)&lt;&gt;0,"Strange",0))</f>
        <v>0</v>
      </c>
      <c r="CB23" s="33">
        <f>IF(VLOOKUP($A23,$A:AL,COLUMN(N22),FALSE)&lt;&gt;0,VLOOKUP($A23,$A:AZ,COLUMN(AZ22),FALSE)/VLOOKUP($A23,$A:AL,COLUMN(N22),FALSE),IF(VLOOKUP($A23,$A:AZ,COLUMN(AZ22),FALSE)&lt;&gt;0,"Strange",0))</f>
        <v>0</v>
      </c>
      <c r="CC23" s="33">
        <f>IF(VLOOKUP($A23,$A:AM,COLUMN(Q22),FALSE)&lt;&gt;0,VLOOKUP($A23,$A:BA,COLUMN(BA22),FALSE)/VLOOKUP($A23,$A:AM,COLUMN(Q22),FALSE),IF(VLOOKUP($A23,$A:BA,COLUMN(BA22),FALSE)&lt;&gt;0,"Strange",0))</f>
        <v>0</v>
      </c>
      <c r="CD23" s="33">
        <f>IF(VLOOKUP($A23,$A:AN,COLUMN(R22),FALSE)&lt;&gt;0,VLOOKUP($A23,$A:BB,COLUMN(BB22),FALSE)/VLOOKUP($A23,$A:AN,COLUMN(R22),FALSE),IF(VLOOKUP($A23,$A:BB,COLUMN(BB22),FALSE)&lt;&gt;0,"Strange",0))</f>
        <v>0</v>
      </c>
      <c r="CE23" s="33">
        <f>IF(VLOOKUP($A23,$A:AO,COLUMN(S22),FALSE)&lt;&gt;0,VLOOKUP($A23,$A:BC,COLUMN(BC22),FALSE)/VLOOKUP($A23,$A:AO,COLUMN(S22),FALSE),IF(VLOOKUP($A23,$A:BC,COLUMN(BC22),FALSE)&lt;&gt;0,"Strange",0))</f>
        <v>0</v>
      </c>
      <c r="CF23" s="33">
        <f>IF(VLOOKUP($A23,$A:AP,COLUMN(T22),FALSE)&lt;&gt;0,VLOOKUP($A23,$A:BD,COLUMN(BD22),FALSE)/VLOOKUP($A23,$A:AP,COLUMN(T22),FALSE),IF(VLOOKUP($A23,$A:BD,COLUMN(BD22),FALSE)&lt;&gt;0,"Strange",0))</f>
        <v>0</v>
      </c>
      <c r="CH23" s="33">
        <f>SUMIFS('Bilateral assistance, MAIN DATA'!$M:$M,'Bilateral assistance, MAIN DATA'!$B:$B,'Share, heavy weapons to Ukraine'!$A23,'Bilateral assistance, MAIN DATA'!$AO:$AO,'Share, heavy weapons to Ukraine'!CH$1,'Bilateral assistance, MAIN DATA'!$AQ:$AQ,2)</f>
        <v>0</v>
      </c>
      <c r="CI23" s="33">
        <f>SUMIFS('Bilateral assistance, MAIN DATA'!$M:$M,'Bilateral assistance, MAIN DATA'!$B:$B,'Share, heavy weapons to Ukraine'!$A23,'Bilateral assistance, MAIN DATA'!$AO:$AO,'Share, heavy weapons to Ukraine'!CI$1,'Bilateral assistance, MAIN DATA'!$AQ:$AQ,2)</f>
        <v>0</v>
      </c>
      <c r="CJ23" s="645">
        <f>SUMIFS('Bilateral assistance, MAIN DATA'!$M:$M,'Bilateral assistance, MAIN DATA'!$B:$B,'Share, heavy weapons to Ukraine'!$A23,'Bilateral assistance, MAIN DATA'!$AO:$AO,"122mm MLRS",'Bilateral assistance, MAIN DATA'!$AQ:$AQ,2)+SUMIFS('Bilateral assistance, MAIN DATA'!$M:$M,'Bilateral assistance, MAIN DATA'!$B:$B,'Share, heavy weapons to Ukraine'!$A23,'Bilateral assistance, MAIN DATA'!$AO:$AO,"127mm MLRS",'Bilateral assistance, MAIN DATA'!$AQ:$AQ,2)+SUMIFS('Bilateral assistance, MAIN DATA'!$M:$M,'Bilateral assistance, MAIN DATA'!$B:$B,'Share, heavy weapons to Ukraine'!$A23,'Bilateral assistance, MAIN DATA'!$AO:$AO,"227mm MLRS",'Bilateral assistance, MAIN DATA'!$AQ:$AQ,2)</f>
        <v>0</v>
      </c>
      <c r="CL23" s="33">
        <f>SUMIFS('Bilateral assistance, MAIN DATA'!$M:$M,'Bilateral assistance, MAIN DATA'!$B:$B,'Share, heavy weapons to Ukraine'!$A23,'Bilateral assistance, MAIN DATA'!$AO:$AO,'Share, heavy weapons to Ukraine'!CH$1,'Bilateral assistance, MAIN DATA'!$AQ:$AQ,1)</f>
        <v>0</v>
      </c>
      <c r="CM23" s="33">
        <f>SUMIFS('Bilateral assistance, MAIN DATA'!$M:$M,'Bilateral assistance, MAIN DATA'!$B:$B,'Share, heavy weapons to Ukraine'!$A23,'Bilateral assistance, MAIN DATA'!$AO:$AO,'Share, heavy weapons to Ukraine'!CI$1,'Bilateral assistance, MAIN DATA'!$AQ:$AQ,1)</f>
        <v>0</v>
      </c>
      <c r="CN23" s="645">
        <f>SUMIFS('Bilateral assistance, MAIN DATA'!$M:$M,'Bilateral assistance, MAIN DATA'!$B:$B,'Share, heavy weapons to Ukraine'!$A23,'Bilateral assistance, MAIN DATA'!$AO:$AO,"122mm MLRS",'Bilateral assistance, MAIN DATA'!$AQ:$AQ,1)+SUMIFS('Bilateral assistance, MAIN DATA'!$M:$M,'Bilateral assistance, MAIN DATA'!$B:$B,'Share, heavy weapons to Ukraine'!$A23,'Bilateral assistance, MAIN DATA'!$AO:$AO,"127mm MLRS",'Bilateral assistance, MAIN DATA'!$AQ:$AQ,1)+SUMIFS('Bilateral assistance, MAIN DATA'!$M:$M,'Bilateral assistance, MAIN DATA'!$B:$B,'Share, heavy weapons to Ukraine'!$A23,'Bilateral assistance, MAIN DATA'!$AO:$AO,"227mm MLRS",'Bilateral assistance, MAIN DATA'!$AQ:$AQ,1)</f>
        <v>0</v>
      </c>
      <c r="CP23" s="33">
        <f>SUMIFS('Bilateral assistance, MAIN DATA'!$M:$M,'Bilateral assistance, MAIN DATA'!$B:$B,'Share, heavy weapons to Ukraine'!$A23,'Bilateral assistance, MAIN DATA'!$AO:$AO,'Share, heavy weapons to Ukraine'!CP$1,'Bilateral assistance, MAIN DATA'!$AQ:$AQ,0)</f>
        <v>0</v>
      </c>
      <c r="CQ23" s="33">
        <f>SUMIFS('Bilateral assistance, MAIN DATA'!$M:$M,'Bilateral assistance, MAIN DATA'!$B:$B,'Share, heavy weapons to Ukraine'!$A23,'Bilateral assistance, MAIN DATA'!$AO:$AO,'Share, heavy weapons to Ukraine'!CQ$1,'Bilateral assistance, MAIN DATA'!$AQ:$AQ,0)</f>
        <v>0</v>
      </c>
      <c r="CR23" s="645">
        <f>SUMIFS('Bilateral assistance, MAIN DATA'!$M:$M,'Bilateral assistance, MAIN DATA'!$B:$B,'Share, heavy weapons to Ukraine'!$A23,'Bilateral assistance, MAIN DATA'!$AO:$AO,"122mm MLRS",'Bilateral assistance, MAIN DATA'!$AQ:$AQ,0)+SUMIFS('Bilateral assistance, MAIN DATA'!$M:$M,'Bilateral assistance, MAIN DATA'!$B:$B,'Share, heavy weapons to Ukraine'!$A23,'Bilateral assistance, MAIN DATA'!$AO:$AO,"127mm MLRS",'Bilateral assistance, MAIN DATA'!$AQ:$AQ,0)+SUMIFS('Bilateral assistance, MAIN DATA'!$M:$M,'Bilateral assistance, MAIN DATA'!$B:$B,'Share, heavy weapons to Ukraine'!$A23,'Bilateral assistance, MAIN DATA'!$AO:$AO,"227mm MLRS",'Bilateral assistance, MAIN DATA'!$AQ:$AQ,0)</f>
        <v>0</v>
      </c>
      <c r="CT23" s="33">
        <f>IF(VLOOKUP($A23,$A:CS,COLUMN(F22),FALSE)&lt;&gt;0,VLOOKUP($A23,$A:CS,COLUMN(CH22),FALSE)/VLOOKUP($A23,$A:AU,COLUMN(F22),FALSE),IF(VLOOKUP($A23,$A:CS,COLUMN(CH22),FALSE)&lt;&gt;0,"Strange",0))</f>
        <v>0</v>
      </c>
      <c r="CU23" s="33">
        <f>IF(VLOOKUP($A23,$A:CS,COLUMN(L22),FALSE)&lt;&gt;0,VLOOKUP($A23,$A:CS,COLUMN(CI22),FALSE)/VLOOKUP($A23,$A:AU,COLUMN(L22),FALSE),IF(VLOOKUP($A23,$A:CS,COLUMN(CI22),FALSE)&lt;&gt;0,"Strange",0))</f>
        <v>0</v>
      </c>
      <c r="CV23" s="33">
        <f>IF(VLOOKUP($A23,$A:CT,COLUMN(M22),FALSE)&lt;&gt;0,VLOOKUP($A23,$A:CT,COLUMN(CJ22),FALSE)/VLOOKUP($A23,$A:AV,COLUMN(M22),FALSE),IF(VLOOKUP($A23,$A:CT,COLUMN(CJ22),FALSE)&lt;&gt;0,"Strange",0))</f>
        <v>0</v>
      </c>
      <c r="CX23" s="33">
        <f>IF(VLOOKUP($A23,$A:CS,COLUMN(F22),FALSE)&lt;&gt;0,VLOOKUP($A23,$A:CS,COLUMN(CL22),FALSE)/VLOOKUP($A23,$A:AU,COLUMN(F22),FALSE),IF(VLOOKUP($A23,$A:CS,COLUMN(CL22),FALSE)&lt;&gt;0,"Strange",0))</f>
        <v>0</v>
      </c>
      <c r="CY23" s="33">
        <f>IF(VLOOKUP($A23,$A:CS,COLUMN(L22),FALSE)&lt;&gt;0,VLOOKUP($A23,$A:CS,COLUMN(CM22),FALSE)/VLOOKUP($A23,$A:AU,COLUMN(L22),FALSE),IF(VLOOKUP($A23,$A:CS,COLUMN(CM22),FALSE)&lt;&gt;0,"Strange",0))</f>
        <v>0</v>
      </c>
      <c r="CZ23" s="33">
        <f>IF(VLOOKUP($A23,$A:CT,COLUMN(M22),FALSE)&lt;&gt;0,VLOOKUP($A23,$A:CT,COLUMN(CN22),FALSE)/VLOOKUP($A23,$A:AV,COLUMN(M22),FALSE),IF(VLOOKUP($A23,$A:CT,COLUMN(CN22),FALSE)&lt;&gt;0,"Strange",0))</f>
        <v>0</v>
      </c>
      <c r="DB23" s="33">
        <f>IF(VLOOKUP($A23,$A:CS,COLUMN(F22),FALSE)&lt;&gt;0,VLOOKUP($A23,$A:CS,COLUMN(CP22),FALSE)/VLOOKUP($A23,$A:AU,COLUMN(F22),FALSE),IF(VLOOKUP($A23,$A:CS,COLUMN(CP22),FALSE)&lt;&gt;0,"Strange",0))</f>
        <v>0</v>
      </c>
      <c r="DC23" s="33">
        <f>IF(VLOOKUP($A23,$A:CS,COLUMN(L22),FALSE)&lt;&gt;0,VLOOKUP($A23,$A:CS,COLUMN(CQ22),FALSE)/VLOOKUP($A23,$A:AU,COLUMN(L22),FALSE),IF(VLOOKUP($A23,$A:CS,COLUMN(CQ22),FALSE)&lt;&gt;0,"Strange",0))</f>
        <v>0</v>
      </c>
      <c r="DD23" s="33">
        <f>IF(VLOOKUP($A23,$A:CT,COLUMN(M22),FALSE)&lt;&gt;0,VLOOKUP($A23,$A:CT,COLUMN(CR22),FALSE)/VLOOKUP($A23,$A:AV,COLUMN(M22),FALSE),IF(VLOOKUP($A23,$A:CT,COLUMN(CR22),FALSE)&lt;&gt;0,"Strange",0))</f>
        <v>0</v>
      </c>
      <c r="DF23" s="33">
        <f>SUMIFS('Bilateral assistance, MAIN DATA'!$M:$M,'Bilateral assistance, MAIN DATA'!$B:$B,'Share, heavy weapons to Ukraine'!$A23,'Bilateral assistance, MAIN DATA'!$AO:$AO,'Share, heavy weapons to Ukraine'!DF$1, 'Bilateral assistance, MAIN DATA'!$AA:$AA,1)</f>
        <v>0</v>
      </c>
      <c r="DG23" s="33">
        <f>SUMIFS('Bilateral assistance, MAIN DATA'!$M:$M,'Bilateral assistance, MAIN DATA'!$B:$B,'Share, heavy weapons to Ukraine'!$A23,'Bilateral assistance, MAIN DATA'!$AO:$AO,'Share, heavy weapons to Ukraine'!DG$1, 'Bilateral assistance, MAIN DATA'!$AA:$AA,1)</f>
        <v>0</v>
      </c>
      <c r="DH23" s="33">
        <f>SUMIFS('Bilateral assistance, MAIN DATA'!$M:$M,'Bilateral assistance, MAIN DATA'!$B:$B,'Share, heavy weapons to Ukraine'!$A23,'Bilateral assistance, MAIN DATA'!$AO:$AO,'Share, heavy weapons to Ukraine'!DH$1, 'Bilateral assistance, MAIN DATA'!$AA:$AA,1)</f>
        <v>0</v>
      </c>
      <c r="DI23" s="33">
        <f>SUMIFS('Bilateral assistance, MAIN DATA'!$M:$M,'Bilateral assistance, MAIN DATA'!$B:$B,'Share, heavy weapons to Ukraine'!$A23,'Bilateral assistance, MAIN DATA'!$AO:$AO,'Share, heavy weapons to Ukraine'!DI$1, 'Bilateral assistance, MAIN DATA'!$AA:$AA,1)</f>
        <v>0</v>
      </c>
      <c r="DK23" s="33">
        <f>SUMIFS('Bilateral assistance, MAIN DATA'!$N:$N,'Bilateral assistance, MAIN DATA'!$B:$B,'Share, heavy weapons to Ukraine'!$A23,'Bilateral assistance, MAIN DATA'!$AO:$AO,'Share, heavy weapons to Ukraine'!DK$1, 'Bilateral assistance, MAIN DATA'!$AA:$AA,1)</f>
        <v>0</v>
      </c>
      <c r="DL23" s="33">
        <f>SUMIFS('Bilateral assistance, MAIN DATA'!$N:$N,'Bilateral assistance, MAIN DATA'!$B:$B,'Share, heavy weapons to Ukraine'!$A23,'Bilateral assistance, MAIN DATA'!$AO:$AO,'Share, heavy weapons to Ukraine'!DL$1, 'Bilateral assistance, MAIN DATA'!$AA:$AA,1)</f>
        <v>0</v>
      </c>
      <c r="DM23" s="33">
        <f>SUMIFS('Bilateral assistance, MAIN DATA'!$N:$N,'Bilateral assistance, MAIN DATA'!$B:$B,'Share, heavy weapons to Ukraine'!$A23,'Bilateral assistance, MAIN DATA'!$AO:$AO,'Share, heavy weapons to Ukraine'!DM$1, 'Bilateral assistance, MAIN DATA'!$AA:$AA,1)</f>
        <v>0</v>
      </c>
      <c r="DN23" s="33">
        <f>SUMIFS('Bilateral assistance, MAIN DATA'!$N:$N,'Bilateral assistance, MAIN DATA'!$B:$B,'Share, heavy weapons to Ukraine'!$A23,'Bilateral assistance, MAIN DATA'!$AO:$AO,'Share, heavy weapons to Ukraine'!DN$1, 'Bilateral assistance, MAIN DATA'!$AA:$AA,1)</f>
        <v>0</v>
      </c>
    </row>
    <row r="24" spans="1:118">
      <c r="A24" s="801" t="s">
        <v>1957</v>
      </c>
      <c r="B24" s="801">
        <v>0</v>
      </c>
      <c r="C24" s="33">
        <v>1</v>
      </c>
      <c r="E24" s="802">
        <v>2.96</v>
      </c>
      <c r="F24" s="801">
        <f>VLOOKUP(A24,'Heavy weapon stocks'!A:OH,COLUMN('Heavy weapon stocks'!$G$1),0)</f>
        <v>37</v>
      </c>
      <c r="G24" s="801">
        <f>VLOOKUP(A24,'Heavy weapon stocks'!A:OH,COLUMN('Heavy weapon stocks'!$AW$1),0)</f>
        <v>406</v>
      </c>
      <c r="H24" s="801">
        <f>VLOOKUP(A24,'Heavy weapon stocks'!A:OH,COLUMN('Heavy weapon stocks'!$DQ$1),0)</f>
        <v>0</v>
      </c>
      <c r="I24" s="801">
        <f>VLOOKUP(A24,'Heavy weapon stocks'!A:OH,COLUMN('Heavy weapon stocks'!$EE$1),0)</f>
        <v>0</v>
      </c>
      <c r="J24" s="801">
        <f>VLOOKUP(A24,'Heavy weapon stocks'!A:OH,COLUMN('Heavy weapon stocks'!$FG$1),0)</f>
        <v>30</v>
      </c>
      <c r="K24" s="801">
        <f t="shared" si="3"/>
        <v>436</v>
      </c>
      <c r="L24" s="801">
        <f>VLOOKUP(A24,'Heavy weapon stocks'!A:OH,COLUMN('Heavy weapon stocks'!$HC$1),0)+VLOOKUP(A24,'Heavy weapon stocks'!A:OH,COLUMN('Heavy weapon stocks'!$II$1),0)</f>
        <v>48</v>
      </c>
      <c r="M24" s="801">
        <f>VLOOKUP(A24,'Heavy weapon stocks'!A:OH,COLUMN('Heavy weapon stocks'!$IN$1),0)</f>
        <v>0</v>
      </c>
      <c r="N24" s="801">
        <f>VLOOKUP(A24,'Heavy weapon stocks'!A:OH,COLUMN('Heavy weapon stocks'!$JH$1),0)+VLOOKUP(A24,'Heavy weapon stocks'!A:OH,COLUMN('Heavy weapon stocks'!$KE$1),0)</f>
        <v>30</v>
      </c>
      <c r="O24" s="801">
        <f>VLOOKUP(A24,'Heavy weapon stocks'!A:OH,COLUMN('Heavy weapon stocks'!$LU$1),0)</f>
        <v>0</v>
      </c>
      <c r="Q24" s="801">
        <f>VLOOKUP(A24,'Heavy weapon stocks'!A:OH,COLUMN('Heavy weapon stocks'!$LV$1),0)</f>
        <v>0</v>
      </c>
      <c r="R24" s="801">
        <f>VLOOKUP(A24,'Heavy weapon stocks'!A:OH,COLUMN('Heavy weapon stocks'!$MF$1),0)</f>
        <v>0</v>
      </c>
      <c r="S24" s="801">
        <f>VLOOKUP(A24,'Heavy weapon stocks'!A:OH,COLUMN('Heavy weapon stocks'!$MM$1),0)</f>
        <v>0</v>
      </c>
      <c r="T24" s="801">
        <f>VLOOKUP(A24,'Heavy weapon stocks'!A:OH,COLUMN('Heavy weapon stocks'!$NR$1),0)</f>
        <v>20</v>
      </c>
      <c r="V24" s="801">
        <f>VLOOKUP(A24,'Heavy weapon stocks'!A:OH,COLUMN('Heavy weapon stocks'!$H$1),0)</f>
        <v>0</v>
      </c>
      <c r="W24" s="801">
        <f>VLOOKUP(A24,'Heavy weapon stocks'!A:OH,COLUMN('Heavy weapon stocks'!$DQ$1),0)</f>
        <v>0</v>
      </c>
      <c r="X24" s="801">
        <f>VLOOKUP(A24,'Heavy weapon stocks'!A:OH,COLUMN('Heavy weapon stocks'!$FG$1),0)</f>
        <v>30</v>
      </c>
      <c r="Y24" s="801">
        <f>VLOOKUP(A24,'Heavy weapon stocks'!A:OH,COLUMN('Heavy weapon stocks'!$HC$1),0)+VLOOKUP(A24,'Heavy weapon stocks'!A:OH,COLUMN('Heavy weapon stocks'!$II$1),0)</f>
        <v>48</v>
      </c>
      <c r="Z24" s="801">
        <f>VLOOKUP(A24,'Heavy weapon stocks'!A:OH,COLUMN('Heavy weapon stocks'!$IO$1),0)+VLOOKUP(A24,'Heavy weapon stocks'!A:OH,COLUMN('Heavy weapon stocks'!$IP$1),0)+VLOOKUP(A24,'Heavy weapon stocks'!A:OH,COLUMN('Heavy weapon stocks'!$IU$1),0)</f>
        <v>0</v>
      </c>
      <c r="AA24" s="801">
        <f>VLOOKUP(A24,'Heavy weapon stocks'!A:OH,COLUMN('Heavy weapon stocks'!$MI$1),0)</f>
        <v>0</v>
      </c>
      <c r="AB24" s="801">
        <f>VLOOKUP(A24,'Heavy weapon stocks'!A:OH,COLUMN('Heavy weapon stocks'!$MS$1),0)+VLOOKUP(A24,'Heavy weapon stocks'!A:OH,COLUMN('Heavy weapon stocks'!$MT$1),0)+VLOOKUP(A24,'Heavy weapon stocks'!A:OH,COLUMN('Heavy weapon stocks'!$MU$1),0)+VLOOKUP(A24,'Heavy weapon stocks'!A:OH,COLUMN('Heavy weapon stocks'!$MV$1),0)</f>
        <v>0</v>
      </c>
      <c r="AD24" s="33">
        <f>SUMIFS('Bilateral assistance, MAIN DATA'!$M:$M,'Bilateral assistance, MAIN DATA'!$B:$B,'Share, heavy weapons to Ukraine'!$A24,'Bilateral assistance, MAIN DATA'!$AO:$AO,'Share, heavy weapons to Ukraine'!AD$1)</f>
        <v>0</v>
      </c>
      <c r="AE24" s="33">
        <f>SUMIFS('Bilateral assistance, MAIN DATA'!$M:$M,'Bilateral assistance, MAIN DATA'!$B:$B,'Share, heavy weapons to Ukraine'!$A24,'Bilateral assistance, MAIN DATA'!$AO:$AO,'Share, heavy weapons to Ukraine'!AE$1)</f>
        <v>15</v>
      </c>
      <c r="AF24" s="33">
        <f>SUMIFS('Bilateral assistance, MAIN DATA'!$M:$M,'Bilateral assistance, MAIN DATA'!$B:$B,'Share, heavy weapons to Ukraine'!$A24,'Bilateral assistance, MAIN DATA'!$AO:$AO,'Share, heavy weapons to Ukraine'!AF$1)</f>
        <v>0</v>
      </c>
      <c r="AG24" s="33">
        <f>SUMIFS('Bilateral assistance, MAIN DATA'!$M:$M,'Bilateral assistance, MAIN DATA'!$B:$B,'Share, heavy weapons to Ukraine'!$A24,'Bilateral assistance, MAIN DATA'!$AO:$AO,'Share, heavy weapons to Ukraine'!AG$1)</f>
        <v>4</v>
      </c>
      <c r="AH24" s="33">
        <f>SUMIFS('Bilateral assistance, MAIN DATA'!$M:$M,'Bilateral assistance, MAIN DATA'!$B:$B,'Share, heavy weapons to Ukraine'!$A24,'Bilateral assistance, MAIN DATA'!$AO:$AO,'Share, heavy weapons to Ukraine'!AH$1)</f>
        <v>0</v>
      </c>
      <c r="AI24" s="33">
        <f t="shared" si="1"/>
        <v>19</v>
      </c>
      <c r="AJ24" s="33">
        <f>SUMIFS('Bilateral assistance, MAIN DATA'!$M:$M,'Bilateral assistance, MAIN DATA'!$B:$B,'Share, heavy weapons to Ukraine'!$A24,'Bilateral assistance, MAIN DATA'!$AO:$AO,'Share, heavy weapons to Ukraine'!AJ$1)</f>
        <v>5</v>
      </c>
      <c r="AK24" s="645">
        <f>SUMIFS('Bilateral assistance, MAIN DATA'!$M:$M,'Bilateral assistance, MAIN DATA'!$B:$B,'Share, heavy weapons to Ukraine'!$A24,'Bilateral assistance, MAIN DATA'!$AO:$AO,"122mm MLRS")+SUMIFS('Bilateral assistance, MAIN DATA'!$M:$M,'Bilateral assistance, MAIN DATA'!$B:$B,'Share, heavy weapons to Ukraine'!$A24,'Bilateral assistance, MAIN DATA'!$AO:$AO,"127mm MLRS")+SUMIFS('Bilateral assistance, MAIN DATA'!$M:$M,'Bilateral assistance, MAIN DATA'!$B:$B,'Share, heavy weapons to Ukraine'!$A24,'Bilateral assistance, MAIN DATA'!$AO:$AO,"227mm MLRS")</f>
        <v>0</v>
      </c>
      <c r="AL24" s="33">
        <f>SUMIFS('Bilateral assistance, MAIN DATA'!$M:$M,'Bilateral assistance, MAIN DATA'!$B:$B,'Share, heavy weapons to Ukraine'!$A24,'Bilateral assistance, MAIN DATA'!$AO:$AO,'Share, heavy weapons to Ukraine'!AL$1)</f>
        <v>0</v>
      </c>
      <c r="AM24" s="33">
        <f>SUMIFS('Bilateral assistance, MAIN DATA'!$M:$M,'Bilateral assistance, MAIN DATA'!$B:$B,'Share, heavy weapons to Ukraine'!$A24,'Bilateral assistance, MAIN DATA'!$AO:$AO,'Share, heavy weapons to Ukraine'!AM$1)</f>
        <v>0</v>
      </c>
      <c r="AN24" s="33">
        <f>SUMIFS('Bilateral assistance, MAIN DATA'!$M:$M,'Bilateral assistance, MAIN DATA'!$B:$B,'Share, heavy weapons to Ukraine'!$A24,'Bilateral assistance, MAIN DATA'!$AO:$AO,'Share, heavy weapons to Ukraine'!AN$1)</f>
        <v>0</v>
      </c>
      <c r="AO24" s="33">
        <f>SUMIFS('Bilateral assistance, MAIN DATA'!$M:$M,'Bilateral assistance, MAIN DATA'!$B:$B,'Share, heavy weapons to Ukraine'!$A24,'Bilateral assistance, MAIN DATA'!$AO:$AO,'Share, heavy weapons to Ukraine'!AO$1)</f>
        <v>0</v>
      </c>
      <c r="AP24" s="33">
        <f>SUMIFS('Bilateral assistance, MAIN DATA'!$M:$M,'Bilateral assistance, MAIN DATA'!$B:$B,'Share, heavy weapons to Ukraine'!$A24,'Bilateral assistance, MAIN DATA'!$AO:$AO,'Share, heavy weapons to Ukraine'!AP$1)</f>
        <v>0</v>
      </c>
      <c r="AR24" s="33">
        <f>SUMIFS('Bilateral assistance, MAIN DATA'!$N:$N,'Bilateral assistance, MAIN DATA'!$B:$B,'Share, heavy weapons to Ukraine'!$A24,'Bilateral assistance, MAIN DATA'!$AO:$AO,'Share, heavy weapons to Ukraine'!AR$1)</f>
        <v>0</v>
      </c>
      <c r="AS24" s="33">
        <f>SUMIFS('Bilateral assistance, MAIN DATA'!$N:$N,'Bilateral assistance, MAIN DATA'!$B:$B,'Share, heavy weapons to Ukraine'!$A24,'Bilateral assistance, MAIN DATA'!$AO:$AO,'Share, heavy weapons to Ukraine'!AS$1)</f>
        <v>14</v>
      </c>
      <c r="AT24" s="33">
        <f>SUMIFS('Bilateral assistance, MAIN DATA'!$N:$N,'Bilateral assistance, MAIN DATA'!$B:$B,'Share, heavy weapons to Ukraine'!$A24,'Bilateral assistance, MAIN DATA'!$AO:$AO,'Share, heavy weapons to Ukraine'!AT$1)</f>
        <v>0</v>
      </c>
      <c r="AU24" s="33">
        <f>SUMIFS('Bilateral assistance, MAIN DATA'!$N:$N,'Bilateral assistance, MAIN DATA'!$B:$B,'Share, heavy weapons to Ukraine'!$A24,'Bilateral assistance, MAIN DATA'!$AO:$AO,'Share, heavy weapons to Ukraine'!AU$1)</f>
        <v>0</v>
      </c>
      <c r="AV24" s="33">
        <f>SUMIFS('Bilateral assistance, MAIN DATA'!$N:$N,'Bilateral assistance, MAIN DATA'!$B:$B,'Share, heavy weapons to Ukraine'!$A24,'Bilateral assistance, MAIN DATA'!$AO:$AO,'Share, heavy weapons to Ukraine'!AV$1)</f>
        <v>0</v>
      </c>
      <c r="AW24" s="33">
        <f t="shared" si="2"/>
        <v>14</v>
      </c>
      <c r="AX24" s="33">
        <f>SUMIFS('Bilateral assistance, MAIN DATA'!$N:$N,'Bilateral assistance, MAIN DATA'!$B:$B,'Share, heavy weapons to Ukraine'!$A24,'Bilateral assistance, MAIN DATA'!$AO:$AO,'Share, heavy weapons to Ukraine'!AX$1)</f>
        <v>0</v>
      </c>
      <c r="AY24" s="645">
        <f>SUMIFS('Bilateral assistance, MAIN DATA'!$N:$N,'Bilateral assistance, MAIN DATA'!$B:$B,'Share, heavy weapons to Ukraine'!$A24,'Bilateral assistance, MAIN DATA'!$AO:$AO,"122mm MLRS")+SUMIFS('Bilateral assistance, MAIN DATA'!$N:$N,'Bilateral assistance, MAIN DATA'!$B:$B,'Share, heavy weapons to Ukraine'!$A24,'Bilateral assistance, MAIN DATA'!$AO:$AO,"127mm MLRS")+SUMIFS('Bilateral assistance, MAIN DATA'!$N:$N,'Bilateral assistance, MAIN DATA'!$B:$B,'Share, heavy weapons to Ukraine'!$A24,'Bilateral assistance, MAIN DATA'!$AO:$AO,"227mm MLRS")</f>
        <v>0</v>
      </c>
      <c r="AZ24" s="33">
        <f>SUMIFS('Bilateral assistance, MAIN DATA'!$N:$N,'Bilateral assistance, MAIN DATA'!$B:$B,'Share, heavy weapons to Ukraine'!$A24,'Bilateral assistance, MAIN DATA'!$AO:$AO,'Share, heavy weapons to Ukraine'!AZ$1)</f>
        <v>0</v>
      </c>
      <c r="BA24" s="33">
        <f>SUMIFS('Bilateral assistance, MAIN DATA'!$N:$N,'Bilateral assistance, MAIN DATA'!$B:$B,'Share, heavy weapons to Ukraine'!$A24,'Bilateral assistance, MAIN DATA'!$AO:$AO,'Share, heavy weapons to Ukraine'!BA$1)</f>
        <v>0</v>
      </c>
      <c r="BB24" s="33">
        <f>SUMIFS('Bilateral assistance, MAIN DATA'!$N:$N,'Bilateral assistance, MAIN DATA'!$B:$B,'Share, heavy weapons to Ukraine'!$A24,'Bilateral assistance, MAIN DATA'!$AO:$AO,'Share, heavy weapons to Ukraine'!BB$1)</f>
        <v>0</v>
      </c>
      <c r="BC24" s="33">
        <f>SUMIFS('Bilateral assistance, MAIN DATA'!$N:$N,'Bilateral assistance, MAIN DATA'!$B:$B,'Share, heavy weapons to Ukraine'!$A24,'Bilateral assistance, MAIN DATA'!$AO:$AO,'Share, heavy weapons to Ukraine'!BC$1)</f>
        <v>0</v>
      </c>
      <c r="BD24" s="33">
        <f>SUMIFS('Bilateral assistance, MAIN DATA'!$N:$N,'Bilateral assistance, MAIN DATA'!$B:$B,'Share, heavy weapons to Ukraine'!$A24,'Bilateral assistance, MAIN DATA'!$AO:$AO,'Share, heavy weapons to Ukraine'!BD$1)</f>
        <v>0</v>
      </c>
      <c r="BF24" s="33">
        <f>IF(VLOOKUP($A24,$A:F,COLUMN(F23),FALSE)&lt;&gt;0,VLOOKUP($A24,$A:AD,COLUMN(AD23),FALSE)/VLOOKUP($A24,$A:F,COLUMN(F23),FALSE),IF(VLOOKUP($A24,$A:AD,COLUMN(AD23),FALSE)&lt;&gt;0,"Strange",0))</f>
        <v>0</v>
      </c>
      <c r="BG24" s="33">
        <f>IF(VLOOKUP($A24,$A:G,COLUMN(G23),FALSE)&lt;&gt;0,VLOOKUP($A24,$A:AE,COLUMN(AE23),FALSE)/VLOOKUP($A24,$A:G,COLUMN(G23),FALSE),IF(VLOOKUP($A24,$A:AE,COLUMN(AE23),FALSE)&lt;&gt;0,"Strange",0))</f>
        <v>3.6945812807881777E-2</v>
      </c>
      <c r="BH24" s="33">
        <f>IF(VLOOKUP($A24,$A:H,COLUMN(H23),FALSE)&lt;&gt;0,VLOOKUP($A24,$A:AF,COLUMN(AF23),FALSE)/VLOOKUP($A24,$A:H,COLUMN(H23),FALSE),IF(VLOOKUP($A24,$A:AF,COLUMN(AF23),FALSE)&lt;&gt;0,"Strange",0))</f>
        <v>0</v>
      </c>
      <c r="BI24" s="33" t="str">
        <f>IF(VLOOKUP($A24,$A:I,COLUMN(I23),FALSE)&lt;&gt;0,VLOOKUP($A24,$A:AG,COLUMN(AG23),FALSE)/VLOOKUP($A24,$A:I,COLUMN(I23),FALSE),IF(VLOOKUP($A24,$A:AG,COLUMN(AG23),FALSE)&lt;&gt;0,"Strange",0))</f>
        <v>Strange</v>
      </c>
      <c r="BJ24" s="33">
        <f>IF(VLOOKUP($A24,$A:J,COLUMN(J23),FALSE)&lt;&gt;0,VLOOKUP($A24,$A:AH,COLUMN(AH23),FALSE)/VLOOKUP($A24,$A:J,COLUMN(J23),FALSE),IF(VLOOKUP($A24,$A:AH,COLUMN(AH23),FALSE)&lt;&gt;0,"Strange",0))</f>
        <v>0</v>
      </c>
      <c r="BK24" s="33">
        <f>IF(VLOOKUP($A24,$A:K,COLUMN(K23),FALSE)&lt;&gt;0,VLOOKUP($A24,$A:AI,COLUMN(AI23),FALSE)/VLOOKUP($A24,$A:K,COLUMN(K23),FALSE),IF(VLOOKUP($A24,$A:AI,COLUMN(AI23),FALSE)&lt;&gt;0,"Strange",0))</f>
        <v>4.3577981651376149E-2</v>
      </c>
      <c r="BL24" s="33">
        <f>IF(VLOOKUP($A24,$A:L,COLUMN(L23),FALSE)&lt;&gt;0,VLOOKUP($A24,$A:AJ,COLUMN(AJ23),FALSE)/VLOOKUP($A24,$A:L,COLUMN(L23),FALSE),IF(VLOOKUP($A24,$A:AJ,COLUMN(AJ23),FALSE)&lt;&gt;0,"Strange",0))</f>
        <v>0.10416666666666667</v>
      </c>
      <c r="BM24" s="33">
        <f>IF(VLOOKUP($A24,$A:M,COLUMN(M23),FALSE)&lt;&gt;0,VLOOKUP($A24,$A:AK,COLUMN(AK23),FALSE)/VLOOKUP($A24,$A:M,COLUMN(M23),FALSE),IF(VLOOKUP($A24,$A:AK,COLUMN(AK23),FALSE)&lt;&gt;0,"Strange",0))</f>
        <v>0</v>
      </c>
      <c r="BN24" s="33">
        <f>IF(VLOOKUP($A24,$A:N,COLUMN(N23),FALSE)&lt;&gt;0,VLOOKUP($A24,$A:AL,COLUMN(AL23),FALSE)/VLOOKUP($A24,$A:N,COLUMN(N23),FALSE),IF(VLOOKUP($A24,$A:AL,COLUMN(AL23),FALSE)&lt;&gt;0,"Strange",0))</f>
        <v>0</v>
      </c>
      <c r="BO24" s="33">
        <f>IF(VLOOKUP($A24,$A:Q,COLUMN(Q23),FALSE)&lt;&gt;0,VLOOKUP($A24,$A:AM,COLUMN(AM23),FALSE)/VLOOKUP($A24,$A:Q,COLUMN(Q23),FALSE),IF(VLOOKUP($A24,$A:AM,COLUMN(AM23),FALSE)&lt;&gt;0,"Strange",0))</f>
        <v>0</v>
      </c>
      <c r="BP24" s="33">
        <f>IF(VLOOKUP($A24,$A:R,COLUMN(R23),FALSE)&lt;&gt;0,VLOOKUP($A24,$A:AN,COLUMN(AN23),FALSE)/VLOOKUP($A24,$A:R,COLUMN(R23),FALSE),IF(VLOOKUP($A24,$A:AN,COLUMN(AN23),FALSE)&lt;&gt;0,"Strange",0))</f>
        <v>0</v>
      </c>
      <c r="BQ24" s="33">
        <f>IF(VLOOKUP($A24,$A:S,COLUMN(S23),FALSE)&lt;&gt;0,VLOOKUP($A24,$A:AO,COLUMN(AO23),FALSE)/VLOOKUP($A24,$A:S,COLUMN(S23),FALSE),IF(VLOOKUP($A24,$A:AO,COLUMN(AO23),FALSE)&lt;&gt;0,"Strange",0))</f>
        <v>0</v>
      </c>
      <c r="BR24" s="33">
        <f>IF(VLOOKUP($A24,$A:T,COLUMN(T23),FALSE)&lt;&gt;0,VLOOKUP($A24,$A:AP,COLUMN(AP23),FALSE)/VLOOKUP($A24,$A:T,COLUMN(T23),FALSE),IF(VLOOKUP($A24,$A:AP,COLUMN(AP23),FALSE)&lt;&gt;0,"Strange",0))</f>
        <v>0</v>
      </c>
      <c r="BT24" s="33">
        <f>IF(VLOOKUP($A24,$A:AE,COLUMN(F23),FALSE)&lt;&gt;0,VLOOKUP($A24,$A:AS,COLUMN(AR23),FALSE)/VLOOKUP($A24,$A:AE,COLUMN(F23),FALSE),IF(VLOOKUP($A24,$A:AS,COLUMN(AR23),FALSE)&lt;&gt;0,"Strange",0))</f>
        <v>0</v>
      </c>
      <c r="BU24" s="33">
        <f>IF(VLOOKUP($A24,$A:AF,COLUMN(G23),FALSE)&lt;&gt;0,VLOOKUP($A24,$A:AT,COLUMN(AS23),FALSE)/VLOOKUP($A24,$A:AF,COLUMN(G23),FALSE),IF(VLOOKUP($A24,$A:AT,COLUMN(AS23),FALSE)&lt;&gt;0,"Strange",0))</f>
        <v>3.4482758620689655E-2</v>
      </c>
      <c r="BV24" s="33">
        <f>IF(VLOOKUP($A24,$A:AG,COLUMN(H23),FALSE)&lt;&gt;0,VLOOKUP($A24,$A:AU,COLUMN(AT23),FALSE)/VLOOKUP($A24,$A:AG,COLUMN(H23),FALSE),IF(VLOOKUP($A24,$A:AU,COLUMN(AT23),FALSE)&lt;&gt;0,"Strange",0))</f>
        <v>0</v>
      </c>
      <c r="BW24" s="33">
        <f>IF(VLOOKUP($A24,$A:AH,COLUMN(I23),FALSE)&lt;&gt;0,VLOOKUP($A24,$A:AV,COLUMN(AU23),FALSE)/VLOOKUP($A24,$A:AH,COLUMN(I23),FALSE),IF(VLOOKUP($A24,$A:AV,COLUMN(AU23),FALSE)&lt;&gt;0,"Strange",0))</f>
        <v>0</v>
      </c>
      <c r="BX24" s="33">
        <f>IF(VLOOKUP($A24,$A:AJ,COLUMN(J23),FALSE)&lt;&gt;0,VLOOKUP($A24,$A:AX,COLUMN(AV23),FALSE)/VLOOKUP($A24,$A:AJ,COLUMN(J23),FALSE),IF(VLOOKUP($A24,$A:AX,COLUMN(AV23),FALSE)&lt;&gt;0,"Strange",0))</f>
        <v>0</v>
      </c>
      <c r="BY24" s="33">
        <f>IF(VLOOKUP($A24,$A:AK,COLUMN(K23),FALSE)&lt;&gt;0,VLOOKUP($A24,$A:AY,COLUMN(AW23),FALSE)/VLOOKUP($A24,$A:AK,COLUMN(K23),FALSE),IF(VLOOKUP($A24,$A:AY,COLUMN(AW23),FALSE)&lt;&gt;0,"Strange",0))</f>
        <v>3.2110091743119268E-2</v>
      </c>
      <c r="BZ24" s="33">
        <f>IF(VLOOKUP($A24,$A:AK,COLUMN(L23),FALSE)&lt;&gt;0,VLOOKUP($A24,$A:AY,COLUMN(AX23),FALSE)/VLOOKUP($A24,$A:AK,COLUMN(L23),FALSE),IF(VLOOKUP($A24,$A:AY,COLUMN(AX23),FALSE)&lt;&gt;0,"Strange",0))</f>
        <v>0</v>
      </c>
      <c r="CA24" s="33">
        <f>IF(VLOOKUP($A24,$A:AL,COLUMN(M23),FALSE)&lt;&gt;0,VLOOKUP($A24,$A:AZ,COLUMN(AY23),FALSE)/VLOOKUP($A24,$A:AL,COLUMN(M23),FALSE),IF(VLOOKUP($A24,$A:AZ,COLUMN(AY23),FALSE)&lt;&gt;0,"Strange",0))</f>
        <v>0</v>
      </c>
      <c r="CB24" s="33">
        <f>IF(VLOOKUP($A24,$A:AL,COLUMN(N23),FALSE)&lt;&gt;0,VLOOKUP($A24,$A:AZ,COLUMN(AZ23),FALSE)/VLOOKUP($A24,$A:AL,COLUMN(N23),FALSE),IF(VLOOKUP($A24,$A:AZ,COLUMN(AZ23),FALSE)&lt;&gt;0,"Strange",0))</f>
        <v>0</v>
      </c>
      <c r="CC24" s="33">
        <f>IF(VLOOKUP($A24,$A:AM,COLUMN(Q23),FALSE)&lt;&gt;0,VLOOKUP($A24,$A:BA,COLUMN(BA23),FALSE)/VLOOKUP($A24,$A:AM,COLUMN(Q23),FALSE),IF(VLOOKUP($A24,$A:BA,COLUMN(BA23),FALSE)&lt;&gt;0,"Strange",0))</f>
        <v>0</v>
      </c>
      <c r="CD24" s="33">
        <f>IF(VLOOKUP($A24,$A:AN,COLUMN(R23),FALSE)&lt;&gt;0,VLOOKUP($A24,$A:BB,COLUMN(BB23),FALSE)/VLOOKUP($A24,$A:AN,COLUMN(R23),FALSE),IF(VLOOKUP($A24,$A:BB,COLUMN(BB23),FALSE)&lt;&gt;0,"Strange",0))</f>
        <v>0</v>
      </c>
      <c r="CE24" s="33">
        <f>IF(VLOOKUP($A24,$A:AO,COLUMN(S23),FALSE)&lt;&gt;0,VLOOKUP($A24,$A:BC,COLUMN(BC23),FALSE)/VLOOKUP($A24,$A:AO,COLUMN(S23),FALSE),IF(VLOOKUP($A24,$A:BC,COLUMN(BC23),FALSE)&lt;&gt;0,"Strange",0))</f>
        <v>0</v>
      </c>
      <c r="CF24" s="33">
        <f>IF(VLOOKUP($A24,$A:AP,COLUMN(T23),FALSE)&lt;&gt;0,VLOOKUP($A24,$A:BD,COLUMN(BD23),FALSE)/VLOOKUP($A24,$A:AP,COLUMN(T23),FALSE),IF(VLOOKUP($A24,$A:BD,COLUMN(BD23),FALSE)&lt;&gt;0,"Strange",0))</f>
        <v>0</v>
      </c>
      <c r="CH24" s="33">
        <f>SUMIFS('Bilateral assistance, MAIN DATA'!$M:$M,'Bilateral assistance, MAIN DATA'!$B:$B,'Share, heavy weapons to Ukraine'!$A24,'Bilateral assistance, MAIN DATA'!$AO:$AO,'Share, heavy weapons to Ukraine'!CH$1,'Bilateral assistance, MAIN DATA'!$AQ:$AQ,2)</f>
        <v>0</v>
      </c>
      <c r="CI24" s="33">
        <f>SUMIFS('Bilateral assistance, MAIN DATA'!$M:$M,'Bilateral assistance, MAIN DATA'!$B:$B,'Share, heavy weapons to Ukraine'!$A24,'Bilateral assistance, MAIN DATA'!$AO:$AO,'Share, heavy weapons to Ukraine'!CI$1,'Bilateral assistance, MAIN DATA'!$AQ:$AQ,2)</f>
        <v>5</v>
      </c>
      <c r="CJ24" s="645">
        <f>SUMIFS('Bilateral assistance, MAIN DATA'!$M:$M,'Bilateral assistance, MAIN DATA'!$B:$B,'Share, heavy weapons to Ukraine'!$A24,'Bilateral assistance, MAIN DATA'!$AO:$AO,"122mm MLRS",'Bilateral assistance, MAIN DATA'!$AQ:$AQ,2)+SUMIFS('Bilateral assistance, MAIN DATA'!$M:$M,'Bilateral assistance, MAIN DATA'!$B:$B,'Share, heavy weapons to Ukraine'!$A24,'Bilateral assistance, MAIN DATA'!$AO:$AO,"127mm MLRS",'Bilateral assistance, MAIN DATA'!$AQ:$AQ,2)+SUMIFS('Bilateral assistance, MAIN DATA'!$M:$M,'Bilateral assistance, MAIN DATA'!$B:$B,'Share, heavy weapons to Ukraine'!$A24,'Bilateral assistance, MAIN DATA'!$AO:$AO,"227mm MLRS",'Bilateral assistance, MAIN DATA'!$AQ:$AQ,2)</f>
        <v>0</v>
      </c>
      <c r="CL24" s="33">
        <f>SUMIFS('Bilateral assistance, MAIN DATA'!$M:$M,'Bilateral assistance, MAIN DATA'!$B:$B,'Share, heavy weapons to Ukraine'!$A24,'Bilateral assistance, MAIN DATA'!$AO:$AO,'Share, heavy weapons to Ukraine'!CH$1,'Bilateral assistance, MAIN DATA'!$AQ:$AQ,1)</f>
        <v>0</v>
      </c>
      <c r="CM24" s="33">
        <f>SUMIFS('Bilateral assistance, MAIN DATA'!$M:$M,'Bilateral assistance, MAIN DATA'!$B:$B,'Share, heavy weapons to Ukraine'!$A24,'Bilateral assistance, MAIN DATA'!$AO:$AO,'Share, heavy weapons to Ukraine'!CI$1,'Bilateral assistance, MAIN DATA'!$AQ:$AQ,1)</f>
        <v>0</v>
      </c>
      <c r="CN24" s="645">
        <f>SUMIFS('Bilateral assistance, MAIN DATA'!$M:$M,'Bilateral assistance, MAIN DATA'!$B:$B,'Share, heavy weapons to Ukraine'!$A24,'Bilateral assistance, MAIN DATA'!$AO:$AO,"122mm MLRS",'Bilateral assistance, MAIN DATA'!$AQ:$AQ,1)+SUMIFS('Bilateral assistance, MAIN DATA'!$M:$M,'Bilateral assistance, MAIN DATA'!$B:$B,'Share, heavy weapons to Ukraine'!$A24,'Bilateral assistance, MAIN DATA'!$AO:$AO,"127mm MLRS",'Bilateral assistance, MAIN DATA'!$AQ:$AQ,1)+SUMIFS('Bilateral assistance, MAIN DATA'!$M:$M,'Bilateral assistance, MAIN DATA'!$B:$B,'Share, heavy weapons to Ukraine'!$A24,'Bilateral assistance, MAIN DATA'!$AO:$AO,"227mm MLRS",'Bilateral assistance, MAIN DATA'!$AQ:$AQ,1)</f>
        <v>0</v>
      </c>
      <c r="CP24" s="33">
        <f>SUMIFS('Bilateral assistance, MAIN DATA'!$M:$M,'Bilateral assistance, MAIN DATA'!$B:$B,'Share, heavy weapons to Ukraine'!$A24,'Bilateral assistance, MAIN DATA'!$AO:$AO,'Share, heavy weapons to Ukraine'!CP$1,'Bilateral assistance, MAIN DATA'!$AQ:$AQ,0)</f>
        <v>0</v>
      </c>
      <c r="CQ24" s="33">
        <f>SUMIFS('Bilateral assistance, MAIN DATA'!$M:$M,'Bilateral assistance, MAIN DATA'!$B:$B,'Share, heavy weapons to Ukraine'!$A24,'Bilateral assistance, MAIN DATA'!$AO:$AO,'Share, heavy weapons to Ukraine'!CQ$1,'Bilateral assistance, MAIN DATA'!$AQ:$AQ,0)</f>
        <v>0</v>
      </c>
      <c r="CR24" s="645">
        <f>SUMIFS('Bilateral assistance, MAIN DATA'!$M:$M,'Bilateral assistance, MAIN DATA'!$B:$B,'Share, heavy weapons to Ukraine'!$A24,'Bilateral assistance, MAIN DATA'!$AO:$AO,"122mm MLRS",'Bilateral assistance, MAIN DATA'!$AQ:$AQ,0)+SUMIFS('Bilateral assistance, MAIN DATA'!$M:$M,'Bilateral assistance, MAIN DATA'!$B:$B,'Share, heavy weapons to Ukraine'!$A24,'Bilateral assistance, MAIN DATA'!$AO:$AO,"127mm MLRS",'Bilateral assistance, MAIN DATA'!$AQ:$AQ,0)+SUMIFS('Bilateral assistance, MAIN DATA'!$M:$M,'Bilateral assistance, MAIN DATA'!$B:$B,'Share, heavy weapons to Ukraine'!$A24,'Bilateral assistance, MAIN DATA'!$AO:$AO,"227mm MLRS",'Bilateral assistance, MAIN DATA'!$AQ:$AQ,0)</f>
        <v>0</v>
      </c>
      <c r="CT24" s="33">
        <f>IF(VLOOKUP($A24,$A:CS,COLUMN(F23),FALSE)&lt;&gt;0,VLOOKUP($A24,$A:CS,COLUMN(CH23),FALSE)/VLOOKUP($A24,$A:AU,COLUMN(F23),FALSE),IF(VLOOKUP($A24,$A:CS,COLUMN(CH23),FALSE)&lt;&gt;0,"Strange",0))</f>
        <v>0</v>
      </c>
      <c r="CU24" s="33">
        <f>IF(VLOOKUP($A24,$A:CS,COLUMN(L23),FALSE)&lt;&gt;0,VLOOKUP($A24,$A:CS,COLUMN(CI23),FALSE)/VLOOKUP($A24,$A:AU,COLUMN(L23),FALSE),IF(VLOOKUP($A24,$A:CS,COLUMN(CI23),FALSE)&lt;&gt;0,"Strange",0))</f>
        <v>0.10416666666666667</v>
      </c>
      <c r="CV24" s="33">
        <f>IF(VLOOKUP($A24,$A:CT,COLUMN(M23),FALSE)&lt;&gt;0,VLOOKUP($A24,$A:CT,COLUMN(CJ23),FALSE)/VLOOKUP($A24,$A:AV,COLUMN(M23),FALSE),IF(VLOOKUP($A24,$A:CT,COLUMN(CJ23),FALSE)&lt;&gt;0,"Strange",0))</f>
        <v>0</v>
      </c>
      <c r="CX24" s="33">
        <f>IF(VLOOKUP($A24,$A:CS,COLUMN(F23),FALSE)&lt;&gt;0,VLOOKUP($A24,$A:CS,COLUMN(CL23),FALSE)/VLOOKUP($A24,$A:AU,COLUMN(F23),FALSE),IF(VLOOKUP($A24,$A:CS,COLUMN(CL23),FALSE)&lt;&gt;0,"Strange",0))</f>
        <v>0</v>
      </c>
      <c r="CY24" s="33">
        <f>IF(VLOOKUP($A24,$A:CS,COLUMN(L23),FALSE)&lt;&gt;0,VLOOKUP($A24,$A:CS,COLUMN(CM23),FALSE)/VLOOKUP($A24,$A:AU,COLUMN(L23),FALSE),IF(VLOOKUP($A24,$A:CS,COLUMN(CM23),FALSE)&lt;&gt;0,"Strange",0))</f>
        <v>0</v>
      </c>
      <c r="CZ24" s="33">
        <f>IF(VLOOKUP($A24,$A:CT,COLUMN(M23),FALSE)&lt;&gt;0,VLOOKUP($A24,$A:CT,COLUMN(CN23),FALSE)/VLOOKUP($A24,$A:AV,COLUMN(M23),FALSE),IF(VLOOKUP($A24,$A:CT,COLUMN(CN23),FALSE)&lt;&gt;0,"Strange",0))</f>
        <v>0</v>
      </c>
      <c r="DB24" s="33">
        <f>IF(VLOOKUP($A24,$A:CS,COLUMN(F23),FALSE)&lt;&gt;0,VLOOKUP($A24,$A:CS,COLUMN(CP23),FALSE)/VLOOKUP($A24,$A:AU,COLUMN(F23),FALSE),IF(VLOOKUP($A24,$A:CS,COLUMN(CP23),FALSE)&lt;&gt;0,"Strange",0))</f>
        <v>0</v>
      </c>
      <c r="DC24" s="800">
        <f>IF(VLOOKUP($A24,$A:CS,COLUMN(L23),FALSE)&lt;&gt;0,VLOOKUP($A24,$A:CS,COLUMN(CQ23),FALSE)/VLOOKUP($A24,$A:AU,COLUMN(L23),FALSE),IF(VLOOKUP($A24,$A:CS,COLUMN(CQ23),FALSE)&lt;&gt;0,"Strange",0))</f>
        <v>0</v>
      </c>
      <c r="DD24" s="33">
        <f>IF(VLOOKUP($A24,$A:CT,COLUMN(M23),FALSE)&lt;&gt;0,VLOOKUP($A24,$A:CT,COLUMN(CR23),FALSE)/VLOOKUP($A24,$A:AV,COLUMN(M23),FALSE),IF(VLOOKUP($A24,$A:CT,COLUMN(CR23),FALSE)&lt;&gt;0,"Strange",0))</f>
        <v>0</v>
      </c>
      <c r="DF24" s="33">
        <f>SUMIFS('Bilateral assistance, MAIN DATA'!$M:$M,'Bilateral assistance, MAIN DATA'!$B:$B,'Share, heavy weapons to Ukraine'!$A24,'Bilateral assistance, MAIN DATA'!$AO:$AO,'Share, heavy weapons to Ukraine'!DF$1, 'Bilateral assistance, MAIN DATA'!$AA:$AA,1)</f>
        <v>0</v>
      </c>
      <c r="DG24" s="33">
        <f>SUMIFS('Bilateral assistance, MAIN DATA'!$M:$M,'Bilateral assistance, MAIN DATA'!$B:$B,'Share, heavy weapons to Ukraine'!$A24,'Bilateral assistance, MAIN DATA'!$AO:$AO,'Share, heavy weapons to Ukraine'!DG$1, 'Bilateral assistance, MAIN DATA'!$AA:$AA,1)</f>
        <v>0</v>
      </c>
      <c r="DH24" s="33">
        <f>SUMIFS('Bilateral assistance, MAIN DATA'!$M:$M,'Bilateral assistance, MAIN DATA'!$B:$B,'Share, heavy weapons to Ukraine'!$A24,'Bilateral assistance, MAIN DATA'!$AO:$AO,'Share, heavy weapons to Ukraine'!DH$1, 'Bilateral assistance, MAIN DATA'!$AA:$AA,1)</f>
        <v>0</v>
      </c>
      <c r="DI24" s="33">
        <f>SUMIFS('Bilateral assistance, MAIN DATA'!$M:$M,'Bilateral assistance, MAIN DATA'!$B:$B,'Share, heavy weapons to Ukraine'!$A24,'Bilateral assistance, MAIN DATA'!$AO:$AO,'Share, heavy weapons to Ukraine'!DI$1, 'Bilateral assistance, MAIN DATA'!$AA:$AA,1)</f>
        <v>0</v>
      </c>
      <c r="DK24" s="33">
        <f>SUMIFS('Bilateral assistance, MAIN DATA'!$N:$N,'Bilateral assistance, MAIN DATA'!$B:$B,'Share, heavy weapons to Ukraine'!$A24,'Bilateral assistance, MAIN DATA'!$AO:$AO,'Share, heavy weapons to Ukraine'!DK$1, 'Bilateral assistance, MAIN DATA'!$AA:$AA,1)</f>
        <v>0</v>
      </c>
      <c r="DL24" s="33">
        <f>SUMIFS('Bilateral assistance, MAIN DATA'!$N:$N,'Bilateral assistance, MAIN DATA'!$B:$B,'Share, heavy weapons to Ukraine'!$A24,'Bilateral assistance, MAIN DATA'!$AO:$AO,'Share, heavy weapons to Ukraine'!DL$1, 'Bilateral assistance, MAIN DATA'!$AA:$AA,1)</f>
        <v>0</v>
      </c>
      <c r="DM24" s="33">
        <f>SUMIFS('Bilateral assistance, MAIN DATA'!$N:$N,'Bilateral assistance, MAIN DATA'!$B:$B,'Share, heavy weapons to Ukraine'!$A24,'Bilateral assistance, MAIN DATA'!$AO:$AO,'Share, heavy weapons to Ukraine'!DM$1, 'Bilateral assistance, MAIN DATA'!$AA:$AA,1)</f>
        <v>0</v>
      </c>
      <c r="DN24" s="33">
        <f>SUMIFS('Bilateral assistance, MAIN DATA'!$N:$N,'Bilateral assistance, MAIN DATA'!$B:$B,'Share, heavy weapons to Ukraine'!$A24,'Bilateral assistance, MAIN DATA'!$AO:$AO,'Share, heavy weapons to Ukraine'!DN$1, 'Bilateral assistance, MAIN DATA'!$AA:$AA,1)</f>
        <v>0</v>
      </c>
    </row>
    <row r="25" spans="1:118">
      <c r="A25" s="801" t="s">
        <v>1335</v>
      </c>
      <c r="B25" s="801">
        <v>0</v>
      </c>
      <c r="C25" s="33">
        <v>1</v>
      </c>
      <c r="E25" s="802">
        <v>2.63</v>
      </c>
      <c r="F25" s="801">
        <f>VLOOKUP(A25,'Heavy weapon stocks'!A:OH,COLUMN('Heavy weapon stocks'!$G$1),0)</f>
        <v>48</v>
      </c>
      <c r="G25" s="801">
        <f>VLOOKUP(A25,'Heavy weapon stocks'!A:OH,COLUMN('Heavy weapon stocks'!$AW$1),0)</f>
        <v>260</v>
      </c>
      <c r="H25" s="801">
        <f>VLOOKUP(A25,'Heavy weapon stocks'!A:OH,COLUMN('Heavy weapon stocks'!$DQ$1),0)</f>
        <v>49</v>
      </c>
      <c r="I25" s="801">
        <f>VLOOKUP(A25,'Heavy weapon stocks'!A:OH,COLUMN('Heavy weapon stocks'!$EE$1),0)</f>
        <v>0</v>
      </c>
      <c r="J25" s="801">
        <f>VLOOKUP(A25,'Heavy weapon stocks'!A:OH,COLUMN('Heavy weapon stocks'!$FG$1),0)</f>
        <v>120</v>
      </c>
      <c r="K25" s="801">
        <f t="shared" si="3"/>
        <v>429</v>
      </c>
      <c r="L25" s="801">
        <f>VLOOKUP(A25,'Heavy weapon stocks'!A:OH,COLUMN('Heavy weapon stocks'!$HC$1),0)+VLOOKUP(A25,'Heavy weapon stocks'!A:OH,COLUMN('Heavy weapon stocks'!$II$1),0)</f>
        <v>31</v>
      </c>
      <c r="M25" s="801">
        <f>VLOOKUP(A25,'Heavy weapon stocks'!A:OH,COLUMN('Heavy weapon stocks'!$IN$1),0)</f>
        <v>0</v>
      </c>
      <c r="N25" s="801">
        <f>VLOOKUP(A25,'Heavy weapon stocks'!A:OH,COLUMN('Heavy weapon stocks'!$JH$1),0)+VLOOKUP(A25,'Heavy weapon stocks'!A:OH,COLUMN('Heavy weapon stocks'!$KE$1),0)</f>
        <v>14</v>
      </c>
      <c r="O25" s="801">
        <f>VLOOKUP(A25,'Heavy weapon stocks'!A:OH,COLUMN('Heavy weapon stocks'!$LU$1),0)</f>
        <v>0</v>
      </c>
      <c r="Q25" s="801">
        <f>VLOOKUP(A25,'Heavy weapon stocks'!A:OH,COLUMN('Heavy weapon stocks'!$LV$1),0)</f>
        <v>0</v>
      </c>
      <c r="R25" s="801">
        <f>VLOOKUP(A25,'Heavy weapon stocks'!A:OH,COLUMN('Heavy weapon stocks'!$MF$1),0)</f>
        <v>0</v>
      </c>
      <c r="S25" s="801">
        <f>VLOOKUP(A25,'Heavy weapon stocks'!A:OH,COLUMN('Heavy weapon stocks'!$MM$1),0)</f>
        <v>16</v>
      </c>
      <c r="T25" s="801">
        <f>VLOOKUP(A25,'Heavy weapon stocks'!A:OH,COLUMN('Heavy weapon stocks'!$NR$1),0)</f>
        <v>0</v>
      </c>
      <c r="V25" s="801">
        <f>VLOOKUP(A25,'Heavy weapon stocks'!A:OH,COLUMN('Heavy weapon stocks'!$H$1),0)</f>
        <v>4</v>
      </c>
      <c r="W25" s="801">
        <f>VLOOKUP(A25,'Heavy weapon stocks'!A:OH,COLUMN('Heavy weapon stocks'!$DQ$1),0)</f>
        <v>49</v>
      </c>
      <c r="X25" s="801">
        <f>VLOOKUP(A25,'Heavy weapon stocks'!A:OH,COLUMN('Heavy weapon stocks'!$FG$1),0)</f>
        <v>120</v>
      </c>
      <c r="Y25" s="801">
        <f>VLOOKUP(A25,'Heavy weapon stocks'!A:OH,COLUMN('Heavy weapon stocks'!$HC$1),0)+VLOOKUP(A25,'Heavy weapon stocks'!A:OH,COLUMN('Heavy weapon stocks'!$II$1),0)</f>
        <v>31</v>
      </c>
      <c r="Z25" s="801">
        <f>VLOOKUP(A25,'Heavy weapon stocks'!A:OH,COLUMN('Heavy weapon stocks'!$IO$1),0)+VLOOKUP(A25,'Heavy weapon stocks'!A:OH,COLUMN('Heavy weapon stocks'!$IP$1),0)+VLOOKUP(A25,'Heavy weapon stocks'!A:OH,COLUMN('Heavy weapon stocks'!$IU$1),0)</f>
        <v>0</v>
      </c>
      <c r="AA25" s="801">
        <f>VLOOKUP(A25,'Heavy weapon stocks'!A:OH,COLUMN('Heavy weapon stocks'!$MI$1),0)</f>
        <v>0</v>
      </c>
      <c r="AB25" s="801">
        <f>VLOOKUP(A25,'Heavy weapon stocks'!A:OH,COLUMN('Heavy weapon stocks'!$MS$1),0)+VLOOKUP(A25,'Heavy weapon stocks'!A:OH,COLUMN('Heavy weapon stocks'!$MT$1),0)+VLOOKUP(A25,'Heavy weapon stocks'!A:OH,COLUMN('Heavy weapon stocks'!$MU$1),0)+VLOOKUP(A25,'Heavy weapon stocks'!A:OH,COLUMN('Heavy weapon stocks'!$MV$1),0)</f>
        <v>0</v>
      </c>
      <c r="AD25" s="33">
        <f>SUMIFS('Bilateral assistance, MAIN DATA'!$M:$M,'Bilateral assistance, MAIN DATA'!$B:$B,'Share, heavy weapons to Ukraine'!$A25,'Bilateral assistance, MAIN DATA'!$AO:$AO,'Share, heavy weapons to Ukraine'!AD$1)</f>
        <v>0</v>
      </c>
      <c r="AE25" s="33">
        <f>SUMIFS('Bilateral assistance, MAIN DATA'!$M:$M,'Bilateral assistance, MAIN DATA'!$B:$B,'Share, heavy weapons to Ukraine'!$A25,'Bilateral assistance, MAIN DATA'!$AO:$AO,'Share, heavy weapons to Ukraine'!AE$1)</f>
        <v>0</v>
      </c>
      <c r="AF25" s="33">
        <f>SUMIFS('Bilateral assistance, MAIN DATA'!$M:$M,'Bilateral assistance, MAIN DATA'!$B:$B,'Share, heavy weapons to Ukraine'!$A25,'Bilateral assistance, MAIN DATA'!$AO:$AO,'Share, heavy weapons to Ukraine'!AF$1)</f>
        <v>0</v>
      </c>
      <c r="AG25" s="33">
        <f>SUMIFS('Bilateral assistance, MAIN DATA'!$M:$M,'Bilateral assistance, MAIN DATA'!$B:$B,'Share, heavy weapons to Ukraine'!$A25,'Bilateral assistance, MAIN DATA'!$AO:$AO,'Share, heavy weapons to Ukraine'!AG$1)</f>
        <v>0</v>
      </c>
      <c r="AH25" s="33">
        <f>SUMIFS('Bilateral assistance, MAIN DATA'!$M:$M,'Bilateral assistance, MAIN DATA'!$B:$B,'Share, heavy weapons to Ukraine'!$A25,'Bilateral assistance, MAIN DATA'!$AO:$AO,'Share, heavy weapons to Ukraine'!AH$1)</f>
        <v>0</v>
      </c>
      <c r="AI25" s="33">
        <f t="shared" si="1"/>
        <v>0</v>
      </c>
      <c r="AJ25" s="33">
        <f>SUMIFS('Bilateral assistance, MAIN DATA'!$M:$M,'Bilateral assistance, MAIN DATA'!$B:$B,'Share, heavy weapons to Ukraine'!$A25,'Bilateral assistance, MAIN DATA'!$AO:$AO,'Share, heavy weapons to Ukraine'!AJ$1)</f>
        <v>0</v>
      </c>
      <c r="AK25" s="645">
        <f>SUMIFS('Bilateral assistance, MAIN DATA'!$M:$M,'Bilateral assistance, MAIN DATA'!$B:$B,'Share, heavy weapons to Ukraine'!$A25,'Bilateral assistance, MAIN DATA'!$AO:$AO,"122mm MLRS")+SUMIFS('Bilateral assistance, MAIN DATA'!$M:$M,'Bilateral assistance, MAIN DATA'!$B:$B,'Share, heavy weapons to Ukraine'!$A25,'Bilateral assistance, MAIN DATA'!$AO:$AO,"127mm MLRS")+SUMIFS('Bilateral assistance, MAIN DATA'!$M:$M,'Bilateral assistance, MAIN DATA'!$B:$B,'Share, heavy weapons to Ukraine'!$A25,'Bilateral assistance, MAIN DATA'!$AO:$AO,"227mm MLRS")</f>
        <v>0</v>
      </c>
      <c r="AL25" s="33">
        <f>SUMIFS('Bilateral assistance, MAIN DATA'!$M:$M,'Bilateral assistance, MAIN DATA'!$B:$B,'Share, heavy weapons to Ukraine'!$A25,'Bilateral assistance, MAIN DATA'!$AO:$AO,'Share, heavy weapons to Ukraine'!AL$1)</f>
        <v>0</v>
      </c>
      <c r="AM25" s="33">
        <f>SUMIFS('Bilateral assistance, MAIN DATA'!$M:$M,'Bilateral assistance, MAIN DATA'!$B:$B,'Share, heavy weapons to Ukraine'!$A25,'Bilateral assistance, MAIN DATA'!$AO:$AO,'Share, heavy weapons to Ukraine'!AM$1)</f>
        <v>0</v>
      </c>
      <c r="AN25" s="33">
        <f>SUMIFS('Bilateral assistance, MAIN DATA'!$M:$M,'Bilateral assistance, MAIN DATA'!$B:$B,'Share, heavy weapons to Ukraine'!$A25,'Bilateral assistance, MAIN DATA'!$AO:$AO,'Share, heavy weapons to Ukraine'!AN$1)</f>
        <v>0</v>
      </c>
      <c r="AO25" s="33">
        <f>SUMIFS('Bilateral assistance, MAIN DATA'!$M:$M,'Bilateral assistance, MAIN DATA'!$B:$B,'Share, heavy weapons to Ukraine'!$A25,'Bilateral assistance, MAIN DATA'!$AO:$AO,'Share, heavy weapons to Ukraine'!AO$1)</f>
        <v>0</v>
      </c>
      <c r="AP25" s="33">
        <f>SUMIFS('Bilateral assistance, MAIN DATA'!$M:$M,'Bilateral assistance, MAIN DATA'!$B:$B,'Share, heavy weapons to Ukraine'!$A25,'Bilateral assistance, MAIN DATA'!$AO:$AO,'Share, heavy weapons to Ukraine'!AP$1)</f>
        <v>0</v>
      </c>
      <c r="AR25" s="33">
        <f>SUMIFS('Bilateral assistance, MAIN DATA'!$N:$N,'Bilateral assistance, MAIN DATA'!$B:$B,'Share, heavy weapons to Ukraine'!$A25,'Bilateral assistance, MAIN DATA'!$AO:$AO,'Share, heavy weapons to Ukraine'!AR$1)</f>
        <v>0</v>
      </c>
      <c r="AS25" s="33">
        <f>SUMIFS('Bilateral assistance, MAIN DATA'!$N:$N,'Bilateral assistance, MAIN DATA'!$B:$B,'Share, heavy weapons to Ukraine'!$A25,'Bilateral assistance, MAIN DATA'!$AO:$AO,'Share, heavy weapons to Ukraine'!AS$1)</f>
        <v>0</v>
      </c>
      <c r="AT25" s="33">
        <f>SUMIFS('Bilateral assistance, MAIN DATA'!$N:$N,'Bilateral assistance, MAIN DATA'!$B:$B,'Share, heavy weapons to Ukraine'!$A25,'Bilateral assistance, MAIN DATA'!$AO:$AO,'Share, heavy weapons to Ukraine'!AT$1)</f>
        <v>0</v>
      </c>
      <c r="AU25" s="33">
        <f>SUMIFS('Bilateral assistance, MAIN DATA'!$N:$N,'Bilateral assistance, MAIN DATA'!$B:$B,'Share, heavy weapons to Ukraine'!$A25,'Bilateral assistance, MAIN DATA'!$AO:$AO,'Share, heavy weapons to Ukraine'!AU$1)</f>
        <v>0</v>
      </c>
      <c r="AV25" s="33">
        <f>SUMIFS('Bilateral assistance, MAIN DATA'!$N:$N,'Bilateral assistance, MAIN DATA'!$B:$B,'Share, heavy weapons to Ukraine'!$A25,'Bilateral assistance, MAIN DATA'!$AO:$AO,'Share, heavy weapons to Ukraine'!AV$1)</f>
        <v>0</v>
      </c>
      <c r="AW25" s="33">
        <f t="shared" si="2"/>
        <v>0</v>
      </c>
      <c r="AX25" s="33">
        <f>SUMIFS('Bilateral assistance, MAIN DATA'!$N:$N,'Bilateral assistance, MAIN DATA'!$B:$B,'Share, heavy weapons to Ukraine'!$A25,'Bilateral assistance, MAIN DATA'!$AO:$AO,'Share, heavy weapons to Ukraine'!AX$1)</f>
        <v>0</v>
      </c>
      <c r="AY25" s="645">
        <f>SUMIFS('Bilateral assistance, MAIN DATA'!$N:$N,'Bilateral assistance, MAIN DATA'!$B:$B,'Share, heavy weapons to Ukraine'!$A25,'Bilateral assistance, MAIN DATA'!$AO:$AO,"122mm MLRS")+SUMIFS('Bilateral assistance, MAIN DATA'!$N:$N,'Bilateral assistance, MAIN DATA'!$B:$B,'Share, heavy weapons to Ukraine'!$A25,'Bilateral assistance, MAIN DATA'!$AO:$AO,"127mm MLRS")+SUMIFS('Bilateral assistance, MAIN DATA'!$N:$N,'Bilateral assistance, MAIN DATA'!$B:$B,'Share, heavy weapons to Ukraine'!$A25,'Bilateral assistance, MAIN DATA'!$AO:$AO,"227mm MLRS")</f>
        <v>0</v>
      </c>
      <c r="AZ25" s="33">
        <f>SUMIFS('Bilateral assistance, MAIN DATA'!$N:$N,'Bilateral assistance, MAIN DATA'!$B:$B,'Share, heavy weapons to Ukraine'!$A25,'Bilateral assistance, MAIN DATA'!$AO:$AO,'Share, heavy weapons to Ukraine'!AZ$1)</f>
        <v>0</v>
      </c>
      <c r="BA25" s="33">
        <f>SUMIFS('Bilateral assistance, MAIN DATA'!$N:$N,'Bilateral assistance, MAIN DATA'!$B:$B,'Share, heavy weapons to Ukraine'!$A25,'Bilateral assistance, MAIN DATA'!$AO:$AO,'Share, heavy weapons to Ukraine'!BA$1)</f>
        <v>0</v>
      </c>
      <c r="BB25" s="33">
        <f>SUMIFS('Bilateral assistance, MAIN DATA'!$N:$N,'Bilateral assistance, MAIN DATA'!$B:$B,'Share, heavy weapons to Ukraine'!$A25,'Bilateral assistance, MAIN DATA'!$AO:$AO,'Share, heavy weapons to Ukraine'!BB$1)</f>
        <v>0</v>
      </c>
      <c r="BC25" s="33">
        <f>SUMIFS('Bilateral assistance, MAIN DATA'!$N:$N,'Bilateral assistance, MAIN DATA'!$B:$B,'Share, heavy weapons to Ukraine'!$A25,'Bilateral assistance, MAIN DATA'!$AO:$AO,'Share, heavy weapons to Ukraine'!BC$1)</f>
        <v>0</v>
      </c>
      <c r="BD25" s="33">
        <f>SUMIFS('Bilateral assistance, MAIN DATA'!$N:$N,'Bilateral assistance, MAIN DATA'!$B:$B,'Share, heavy weapons to Ukraine'!$A25,'Bilateral assistance, MAIN DATA'!$AO:$AO,'Share, heavy weapons to Ukraine'!BD$1)</f>
        <v>0</v>
      </c>
      <c r="BF25" s="33">
        <f>IF(VLOOKUP($A25,$A:F,COLUMN(F24),FALSE)&lt;&gt;0,VLOOKUP($A25,$A:AD,COLUMN(AD24),FALSE)/VLOOKUP($A25,$A:F,COLUMN(F24),FALSE),IF(VLOOKUP($A25,$A:AD,COLUMN(AD24),FALSE)&lt;&gt;0,"Strange",0))</f>
        <v>0</v>
      </c>
      <c r="BG25" s="33">
        <f>IF(VLOOKUP($A25,$A:G,COLUMN(G24),FALSE)&lt;&gt;0,VLOOKUP($A25,$A:AE,COLUMN(AE24),FALSE)/VLOOKUP($A25,$A:G,COLUMN(G24),FALSE),IF(VLOOKUP($A25,$A:AE,COLUMN(AE24),FALSE)&lt;&gt;0,"Strange",0))</f>
        <v>0</v>
      </c>
      <c r="BH25" s="33">
        <f>IF(VLOOKUP($A25,$A:H,COLUMN(H24),FALSE)&lt;&gt;0,VLOOKUP($A25,$A:AF,COLUMN(AF24),FALSE)/VLOOKUP($A25,$A:H,COLUMN(H24),FALSE),IF(VLOOKUP($A25,$A:AF,COLUMN(AF24),FALSE)&lt;&gt;0,"Strange",0))</f>
        <v>0</v>
      </c>
      <c r="BI25" s="33">
        <f>IF(VLOOKUP($A25,$A:I,COLUMN(I24),FALSE)&lt;&gt;0,VLOOKUP($A25,$A:AG,COLUMN(AG24),FALSE)/VLOOKUP($A25,$A:I,COLUMN(I24),FALSE),IF(VLOOKUP($A25,$A:AG,COLUMN(AG24),FALSE)&lt;&gt;0,"Strange",0))</f>
        <v>0</v>
      </c>
      <c r="BJ25" s="33">
        <f>IF(VLOOKUP($A25,$A:J,COLUMN(J24),FALSE)&lt;&gt;0,VLOOKUP($A25,$A:AH,COLUMN(AH24),FALSE)/VLOOKUP($A25,$A:J,COLUMN(J24),FALSE),IF(VLOOKUP($A25,$A:AH,COLUMN(AH24),FALSE)&lt;&gt;0,"Strange",0))</f>
        <v>0</v>
      </c>
      <c r="BK25" s="33">
        <f>IF(VLOOKUP($A25,$A:K,COLUMN(K24),FALSE)&lt;&gt;0,VLOOKUP($A25,$A:AI,COLUMN(AI24),FALSE)/VLOOKUP($A25,$A:K,COLUMN(K24),FALSE),IF(VLOOKUP($A25,$A:AI,COLUMN(AI24),FALSE)&lt;&gt;0,"Strange",0))</f>
        <v>0</v>
      </c>
      <c r="BL25" s="33">
        <f>IF(VLOOKUP($A25,$A:L,COLUMN(L24),FALSE)&lt;&gt;0,VLOOKUP($A25,$A:AJ,COLUMN(AJ24),FALSE)/VLOOKUP($A25,$A:L,COLUMN(L24),FALSE),IF(VLOOKUP($A25,$A:AJ,COLUMN(AJ24),FALSE)&lt;&gt;0,"Strange",0))</f>
        <v>0</v>
      </c>
      <c r="BM25" s="33">
        <f>IF(VLOOKUP($A25,$A:M,COLUMN(M24),FALSE)&lt;&gt;0,VLOOKUP($A25,$A:AK,COLUMN(AK24),FALSE)/VLOOKUP($A25,$A:M,COLUMN(M24),FALSE),IF(VLOOKUP($A25,$A:AK,COLUMN(AK24),FALSE)&lt;&gt;0,"Strange",0))</f>
        <v>0</v>
      </c>
      <c r="BN25" s="33">
        <f>IF(VLOOKUP($A25,$A:N,COLUMN(N24),FALSE)&lt;&gt;0,VLOOKUP($A25,$A:AL,COLUMN(AL24),FALSE)/VLOOKUP($A25,$A:N,COLUMN(N24),FALSE),IF(VLOOKUP($A25,$A:AL,COLUMN(AL24),FALSE)&lt;&gt;0,"Strange",0))</f>
        <v>0</v>
      </c>
      <c r="BO25" s="33">
        <f>IF(VLOOKUP($A25,$A:Q,COLUMN(Q24),FALSE)&lt;&gt;0,VLOOKUP($A25,$A:AM,COLUMN(AM24),FALSE)/VLOOKUP($A25,$A:Q,COLUMN(Q24),FALSE),IF(VLOOKUP($A25,$A:AM,COLUMN(AM24),FALSE)&lt;&gt;0,"Strange",0))</f>
        <v>0</v>
      </c>
      <c r="BP25" s="33">
        <f>IF(VLOOKUP($A25,$A:R,COLUMN(R24),FALSE)&lt;&gt;0,VLOOKUP($A25,$A:AN,COLUMN(AN24),FALSE)/VLOOKUP($A25,$A:R,COLUMN(R24),FALSE),IF(VLOOKUP($A25,$A:AN,COLUMN(AN24),FALSE)&lt;&gt;0,"Strange",0))</f>
        <v>0</v>
      </c>
      <c r="BQ25" s="33">
        <f>IF(VLOOKUP($A25,$A:S,COLUMN(S24),FALSE)&lt;&gt;0,VLOOKUP($A25,$A:AO,COLUMN(AO24),FALSE)/VLOOKUP($A25,$A:S,COLUMN(S24),FALSE),IF(VLOOKUP($A25,$A:AO,COLUMN(AO24),FALSE)&lt;&gt;0,"Strange",0))</f>
        <v>0</v>
      </c>
      <c r="BR25" s="33">
        <f>IF(VLOOKUP($A25,$A:T,COLUMN(T24),FALSE)&lt;&gt;0,VLOOKUP($A25,$A:AP,COLUMN(AP24),FALSE)/VLOOKUP($A25,$A:T,COLUMN(T24),FALSE),IF(VLOOKUP($A25,$A:AP,COLUMN(AP24),FALSE)&lt;&gt;0,"Strange",0))</f>
        <v>0</v>
      </c>
      <c r="BT25" s="33">
        <f>IF(VLOOKUP($A25,$A:AE,COLUMN(F24),FALSE)&lt;&gt;0,VLOOKUP($A25,$A:AS,COLUMN(AR24),FALSE)/VLOOKUP($A25,$A:AE,COLUMN(F24),FALSE),IF(VLOOKUP($A25,$A:AS,COLUMN(AR24),FALSE)&lt;&gt;0,"Strange",0))</f>
        <v>0</v>
      </c>
      <c r="BU25" s="33">
        <f>IF(VLOOKUP($A25,$A:AF,COLUMN(G24),FALSE)&lt;&gt;0,VLOOKUP($A25,$A:AT,COLUMN(AS24),FALSE)/VLOOKUP($A25,$A:AF,COLUMN(G24),FALSE),IF(VLOOKUP($A25,$A:AT,COLUMN(AS24),FALSE)&lt;&gt;0,"Strange",0))</f>
        <v>0</v>
      </c>
      <c r="BV25" s="33">
        <f>IF(VLOOKUP($A25,$A:AG,COLUMN(H24),FALSE)&lt;&gt;0,VLOOKUP($A25,$A:AU,COLUMN(AT24),FALSE)/VLOOKUP($A25,$A:AG,COLUMN(H24),FALSE),IF(VLOOKUP($A25,$A:AU,COLUMN(AT24),FALSE)&lt;&gt;0,"Strange",0))</f>
        <v>0</v>
      </c>
      <c r="BW25" s="33">
        <f>IF(VLOOKUP($A25,$A:AH,COLUMN(I24),FALSE)&lt;&gt;0,VLOOKUP($A25,$A:AV,COLUMN(AU24),FALSE)/VLOOKUP($A25,$A:AH,COLUMN(I24),FALSE),IF(VLOOKUP($A25,$A:AV,COLUMN(AU24),FALSE)&lt;&gt;0,"Strange",0))</f>
        <v>0</v>
      </c>
      <c r="BX25" s="33">
        <f>IF(VLOOKUP($A25,$A:AJ,COLUMN(J24),FALSE)&lt;&gt;0,VLOOKUP($A25,$A:AX,COLUMN(AV24),FALSE)/VLOOKUP($A25,$A:AJ,COLUMN(J24),FALSE),IF(VLOOKUP($A25,$A:AX,COLUMN(AV24),FALSE)&lt;&gt;0,"Strange",0))</f>
        <v>0</v>
      </c>
      <c r="BY25" s="33">
        <f>IF(VLOOKUP($A25,$A:AK,COLUMN(K24),FALSE)&lt;&gt;0,VLOOKUP($A25,$A:AY,COLUMN(AW24),FALSE)/VLOOKUP($A25,$A:AK,COLUMN(K24),FALSE),IF(VLOOKUP($A25,$A:AY,COLUMN(AW24),FALSE)&lt;&gt;0,"Strange",0))</f>
        <v>0</v>
      </c>
      <c r="BZ25" s="33">
        <f>IF(VLOOKUP($A25,$A:AK,COLUMN(L24),FALSE)&lt;&gt;0,VLOOKUP($A25,$A:AY,COLUMN(AX24),FALSE)/VLOOKUP($A25,$A:AK,COLUMN(L24),FALSE),IF(VLOOKUP($A25,$A:AY,COLUMN(AX24),FALSE)&lt;&gt;0,"Strange",0))</f>
        <v>0</v>
      </c>
      <c r="CA25" s="33">
        <f>IF(VLOOKUP($A25,$A:AL,COLUMN(M24),FALSE)&lt;&gt;0,VLOOKUP($A25,$A:AZ,COLUMN(AY24),FALSE)/VLOOKUP($A25,$A:AL,COLUMN(M24),FALSE),IF(VLOOKUP($A25,$A:AZ,COLUMN(AY24),FALSE)&lt;&gt;0,"Strange",0))</f>
        <v>0</v>
      </c>
      <c r="CB25" s="33">
        <f>IF(VLOOKUP($A25,$A:AL,COLUMN(N24),FALSE)&lt;&gt;0,VLOOKUP($A25,$A:AZ,COLUMN(AZ24),FALSE)/VLOOKUP($A25,$A:AL,COLUMN(N24),FALSE),IF(VLOOKUP($A25,$A:AZ,COLUMN(AZ24),FALSE)&lt;&gt;0,"Strange",0))</f>
        <v>0</v>
      </c>
      <c r="CC25" s="33">
        <f>IF(VLOOKUP($A25,$A:AM,COLUMN(Q24),FALSE)&lt;&gt;0,VLOOKUP($A25,$A:BA,COLUMN(BA24),FALSE)/VLOOKUP($A25,$A:AM,COLUMN(Q24),FALSE),IF(VLOOKUP($A25,$A:BA,COLUMN(BA24),FALSE)&lt;&gt;0,"Strange",0))</f>
        <v>0</v>
      </c>
      <c r="CD25" s="33">
        <f>IF(VLOOKUP($A25,$A:AN,COLUMN(R24),FALSE)&lt;&gt;0,VLOOKUP($A25,$A:BB,COLUMN(BB24),FALSE)/VLOOKUP($A25,$A:AN,COLUMN(R24),FALSE),IF(VLOOKUP($A25,$A:BB,COLUMN(BB24),FALSE)&lt;&gt;0,"Strange",0))</f>
        <v>0</v>
      </c>
      <c r="CE25" s="33">
        <f>IF(VLOOKUP($A25,$A:AO,COLUMN(S24),FALSE)&lt;&gt;0,VLOOKUP($A25,$A:BC,COLUMN(BC24),FALSE)/VLOOKUP($A25,$A:AO,COLUMN(S24),FALSE),IF(VLOOKUP($A25,$A:BC,COLUMN(BC24),FALSE)&lt;&gt;0,"Strange",0))</f>
        <v>0</v>
      </c>
      <c r="CF25" s="33">
        <f>IF(VLOOKUP($A25,$A:AP,COLUMN(T24),FALSE)&lt;&gt;0,VLOOKUP($A25,$A:BD,COLUMN(BD24),FALSE)/VLOOKUP($A25,$A:AP,COLUMN(T24),FALSE),IF(VLOOKUP($A25,$A:BD,COLUMN(BD24),FALSE)&lt;&gt;0,"Strange",0))</f>
        <v>0</v>
      </c>
      <c r="CH25" s="33">
        <f>SUMIFS('Bilateral assistance, MAIN DATA'!$M:$M,'Bilateral assistance, MAIN DATA'!$B:$B,'Share, heavy weapons to Ukraine'!$A25,'Bilateral assistance, MAIN DATA'!$AO:$AO,'Share, heavy weapons to Ukraine'!CH$1,'Bilateral assistance, MAIN DATA'!$AQ:$AQ,2)</f>
        <v>0</v>
      </c>
      <c r="CI25" s="33">
        <f>SUMIFS('Bilateral assistance, MAIN DATA'!$M:$M,'Bilateral assistance, MAIN DATA'!$B:$B,'Share, heavy weapons to Ukraine'!$A25,'Bilateral assistance, MAIN DATA'!$AO:$AO,'Share, heavy weapons to Ukraine'!CI$1,'Bilateral assistance, MAIN DATA'!$AQ:$AQ,2)</f>
        <v>0</v>
      </c>
      <c r="CJ25" s="645">
        <f>SUMIFS('Bilateral assistance, MAIN DATA'!$M:$M,'Bilateral assistance, MAIN DATA'!$B:$B,'Share, heavy weapons to Ukraine'!$A25,'Bilateral assistance, MAIN DATA'!$AO:$AO,"122mm MLRS",'Bilateral assistance, MAIN DATA'!$AQ:$AQ,2)+SUMIFS('Bilateral assistance, MAIN DATA'!$M:$M,'Bilateral assistance, MAIN DATA'!$B:$B,'Share, heavy weapons to Ukraine'!$A25,'Bilateral assistance, MAIN DATA'!$AO:$AO,"127mm MLRS",'Bilateral assistance, MAIN DATA'!$AQ:$AQ,2)+SUMIFS('Bilateral assistance, MAIN DATA'!$M:$M,'Bilateral assistance, MAIN DATA'!$B:$B,'Share, heavy weapons to Ukraine'!$A25,'Bilateral assistance, MAIN DATA'!$AO:$AO,"227mm MLRS",'Bilateral assistance, MAIN DATA'!$AQ:$AQ,2)</f>
        <v>0</v>
      </c>
      <c r="CL25" s="33">
        <f>SUMIFS('Bilateral assistance, MAIN DATA'!$M:$M,'Bilateral assistance, MAIN DATA'!$B:$B,'Share, heavy weapons to Ukraine'!$A25,'Bilateral assistance, MAIN DATA'!$AO:$AO,'Share, heavy weapons to Ukraine'!CH$1,'Bilateral assistance, MAIN DATA'!$AQ:$AQ,1)</f>
        <v>0</v>
      </c>
      <c r="CM25" s="33">
        <f>SUMIFS('Bilateral assistance, MAIN DATA'!$M:$M,'Bilateral assistance, MAIN DATA'!$B:$B,'Share, heavy weapons to Ukraine'!$A25,'Bilateral assistance, MAIN DATA'!$AO:$AO,'Share, heavy weapons to Ukraine'!CI$1,'Bilateral assistance, MAIN DATA'!$AQ:$AQ,1)</f>
        <v>0</v>
      </c>
      <c r="CN25" s="645">
        <f>SUMIFS('Bilateral assistance, MAIN DATA'!$M:$M,'Bilateral assistance, MAIN DATA'!$B:$B,'Share, heavy weapons to Ukraine'!$A25,'Bilateral assistance, MAIN DATA'!$AO:$AO,"122mm MLRS",'Bilateral assistance, MAIN DATA'!$AQ:$AQ,1)+SUMIFS('Bilateral assistance, MAIN DATA'!$M:$M,'Bilateral assistance, MAIN DATA'!$B:$B,'Share, heavy weapons to Ukraine'!$A25,'Bilateral assistance, MAIN DATA'!$AO:$AO,"127mm MLRS",'Bilateral assistance, MAIN DATA'!$AQ:$AQ,1)+SUMIFS('Bilateral assistance, MAIN DATA'!$M:$M,'Bilateral assistance, MAIN DATA'!$B:$B,'Share, heavy weapons to Ukraine'!$A25,'Bilateral assistance, MAIN DATA'!$AO:$AO,"227mm MLRS",'Bilateral assistance, MAIN DATA'!$AQ:$AQ,1)</f>
        <v>0</v>
      </c>
      <c r="CP25" s="33">
        <f>SUMIFS('Bilateral assistance, MAIN DATA'!$M:$M,'Bilateral assistance, MAIN DATA'!$B:$B,'Share, heavy weapons to Ukraine'!$A25,'Bilateral assistance, MAIN DATA'!$AO:$AO,'Share, heavy weapons to Ukraine'!CP$1,'Bilateral assistance, MAIN DATA'!$AQ:$AQ,0)</f>
        <v>0</v>
      </c>
      <c r="CQ25" s="33">
        <f>SUMIFS('Bilateral assistance, MAIN DATA'!$M:$M,'Bilateral assistance, MAIN DATA'!$B:$B,'Share, heavy weapons to Ukraine'!$A25,'Bilateral assistance, MAIN DATA'!$AO:$AO,'Share, heavy weapons to Ukraine'!CQ$1,'Bilateral assistance, MAIN DATA'!$AQ:$AQ,0)</f>
        <v>0</v>
      </c>
      <c r="CR25" s="645">
        <f>SUMIFS('Bilateral assistance, MAIN DATA'!$M:$M,'Bilateral assistance, MAIN DATA'!$B:$B,'Share, heavy weapons to Ukraine'!$A25,'Bilateral assistance, MAIN DATA'!$AO:$AO,"122mm MLRS",'Bilateral assistance, MAIN DATA'!$AQ:$AQ,0)+SUMIFS('Bilateral assistance, MAIN DATA'!$M:$M,'Bilateral assistance, MAIN DATA'!$B:$B,'Share, heavy weapons to Ukraine'!$A25,'Bilateral assistance, MAIN DATA'!$AO:$AO,"127mm MLRS",'Bilateral assistance, MAIN DATA'!$AQ:$AQ,0)+SUMIFS('Bilateral assistance, MAIN DATA'!$M:$M,'Bilateral assistance, MAIN DATA'!$B:$B,'Share, heavy weapons to Ukraine'!$A25,'Bilateral assistance, MAIN DATA'!$AO:$AO,"227mm MLRS",'Bilateral assistance, MAIN DATA'!$AQ:$AQ,0)</f>
        <v>0</v>
      </c>
      <c r="CT25" s="33">
        <f>IF(VLOOKUP($A25,$A:CS,COLUMN(F24),FALSE)&lt;&gt;0,VLOOKUP($A25,$A:CS,COLUMN(CH24),FALSE)/VLOOKUP($A25,$A:AU,COLUMN(F24),FALSE),IF(VLOOKUP($A25,$A:CS,COLUMN(CH24),FALSE)&lt;&gt;0,"Strange",0))</f>
        <v>0</v>
      </c>
      <c r="CU25" s="33">
        <f>IF(VLOOKUP($A25,$A:CS,COLUMN(L24),FALSE)&lt;&gt;0,VLOOKUP($A25,$A:CS,COLUMN(CI24),FALSE)/VLOOKUP($A25,$A:AU,COLUMN(L24),FALSE),IF(VLOOKUP($A25,$A:CS,COLUMN(CI24),FALSE)&lt;&gt;0,"Strange",0))</f>
        <v>0</v>
      </c>
      <c r="CV25" s="33">
        <f>IF(VLOOKUP($A25,$A:CT,COLUMN(M24),FALSE)&lt;&gt;0,VLOOKUP($A25,$A:CT,COLUMN(CJ24),FALSE)/VLOOKUP($A25,$A:AV,COLUMN(M24),FALSE),IF(VLOOKUP($A25,$A:CT,COLUMN(CJ24),FALSE)&lt;&gt;0,"Strange",0))</f>
        <v>0</v>
      </c>
      <c r="CX25" s="33">
        <f>IF(VLOOKUP($A25,$A:CS,COLUMN(F24),FALSE)&lt;&gt;0,VLOOKUP($A25,$A:CS,COLUMN(CL24),FALSE)/VLOOKUP($A25,$A:AU,COLUMN(F24),FALSE),IF(VLOOKUP($A25,$A:CS,COLUMN(CL24),FALSE)&lt;&gt;0,"Strange",0))</f>
        <v>0</v>
      </c>
      <c r="CY25" s="33">
        <f>IF(VLOOKUP($A25,$A:CS,COLUMN(L24),FALSE)&lt;&gt;0,VLOOKUP($A25,$A:CS,COLUMN(CM24),FALSE)/VLOOKUP($A25,$A:AU,COLUMN(L24),FALSE),IF(VLOOKUP($A25,$A:CS,COLUMN(CM24),FALSE)&lt;&gt;0,"Strange",0))</f>
        <v>0</v>
      </c>
      <c r="CZ25" s="33">
        <f>IF(VLOOKUP($A25,$A:CT,COLUMN(M24),FALSE)&lt;&gt;0,VLOOKUP($A25,$A:CT,COLUMN(CN24),FALSE)/VLOOKUP($A25,$A:AV,COLUMN(M24),FALSE),IF(VLOOKUP($A25,$A:CT,COLUMN(CN24),FALSE)&lt;&gt;0,"Strange",0))</f>
        <v>0</v>
      </c>
      <c r="DB25" s="33">
        <f>IF(VLOOKUP($A25,$A:CS,COLUMN(F24),FALSE)&lt;&gt;0,VLOOKUP($A25,$A:CS,COLUMN(CP24),FALSE)/VLOOKUP($A25,$A:AU,COLUMN(F24),FALSE),IF(VLOOKUP($A25,$A:CS,COLUMN(CP24),FALSE)&lt;&gt;0,"Strange",0))</f>
        <v>0</v>
      </c>
      <c r="DC25" s="33">
        <f>IF(VLOOKUP($A25,$A:CS,COLUMN(L24),FALSE)&lt;&gt;0,VLOOKUP($A25,$A:CS,COLUMN(CQ24),FALSE)/VLOOKUP($A25,$A:AU,COLUMN(L24),FALSE),IF(VLOOKUP($A25,$A:CS,COLUMN(CQ24),FALSE)&lt;&gt;0,"Strange",0))</f>
        <v>0</v>
      </c>
      <c r="DD25" s="33">
        <f>IF(VLOOKUP($A25,$A:CT,COLUMN(M24),FALSE)&lt;&gt;0,VLOOKUP($A25,$A:CT,COLUMN(CR24),FALSE)/VLOOKUP($A25,$A:AV,COLUMN(M24),FALSE),IF(VLOOKUP($A25,$A:CT,COLUMN(CR24),FALSE)&lt;&gt;0,"Strange",0))</f>
        <v>0</v>
      </c>
      <c r="DF25" s="33">
        <f>SUMIFS('Bilateral assistance, MAIN DATA'!$M:$M,'Bilateral assistance, MAIN DATA'!$B:$B,'Share, heavy weapons to Ukraine'!$A25,'Bilateral assistance, MAIN DATA'!$AO:$AO,'Share, heavy weapons to Ukraine'!DF$1, 'Bilateral assistance, MAIN DATA'!$AA:$AA,1)</f>
        <v>0</v>
      </c>
      <c r="DG25" s="33">
        <f>SUMIFS('Bilateral assistance, MAIN DATA'!$M:$M,'Bilateral assistance, MAIN DATA'!$B:$B,'Share, heavy weapons to Ukraine'!$A25,'Bilateral assistance, MAIN DATA'!$AO:$AO,'Share, heavy weapons to Ukraine'!DG$1, 'Bilateral assistance, MAIN DATA'!$AA:$AA,1)</f>
        <v>0</v>
      </c>
      <c r="DH25" s="33">
        <f>SUMIFS('Bilateral assistance, MAIN DATA'!$M:$M,'Bilateral assistance, MAIN DATA'!$B:$B,'Share, heavy weapons to Ukraine'!$A25,'Bilateral assistance, MAIN DATA'!$AO:$AO,'Share, heavy weapons to Ukraine'!DH$1, 'Bilateral assistance, MAIN DATA'!$AA:$AA,1)</f>
        <v>0</v>
      </c>
      <c r="DI25" s="33">
        <f>SUMIFS('Bilateral assistance, MAIN DATA'!$M:$M,'Bilateral assistance, MAIN DATA'!$B:$B,'Share, heavy weapons to Ukraine'!$A25,'Bilateral assistance, MAIN DATA'!$AO:$AO,'Share, heavy weapons to Ukraine'!DI$1, 'Bilateral assistance, MAIN DATA'!$AA:$AA,1)</f>
        <v>0</v>
      </c>
      <c r="DK25" s="33">
        <f>SUMIFS('Bilateral assistance, MAIN DATA'!$N:$N,'Bilateral assistance, MAIN DATA'!$B:$B,'Share, heavy weapons to Ukraine'!$A25,'Bilateral assistance, MAIN DATA'!$AO:$AO,'Share, heavy weapons to Ukraine'!DK$1, 'Bilateral assistance, MAIN DATA'!$AA:$AA,1)</f>
        <v>0</v>
      </c>
      <c r="DL25" s="33">
        <f>SUMIFS('Bilateral assistance, MAIN DATA'!$N:$N,'Bilateral assistance, MAIN DATA'!$B:$B,'Share, heavy weapons to Ukraine'!$A25,'Bilateral assistance, MAIN DATA'!$AO:$AO,'Share, heavy weapons to Ukraine'!DL$1, 'Bilateral assistance, MAIN DATA'!$AA:$AA,1)</f>
        <v>0</v>
      </c>
      <c r="DM25" s="33">
        <f>SUMIFS('Bilateral assistance, MAIN DATA'!$N:$N,'Bilateral assistance, MAIN DATA'!$B:$B,'Share, heavy weapons to Ukraine'!$A25,'Bilateral assistance, MAIN DATA'!$AO:$AO,'Share, heavy weapons to Ukraine'!DM$1, 'Bilateral assistance, MAIN DATA'!$AA:$AA,1)</f>
        <v>0</v>
      </c>
      <c r="DN25" s="33">
        <f>SUMIFS('Bilateral assistance, MAIN DATA'!$N:$N,'Bilateral assistance, MAIN DATA'!$B:$B,'Share, heavy weapons to Ukraine'!$A25,'Bilateral assistance, MAIN DATA'!$AO:$AO,'Share, heavy weapons to Ukraine'!DN$1, 'Bilateral assistance, MAIN DATA'!$AA:$AA,1)</f>
        <v>0</v>
      </c>
    </row>
    <row r="26" spans="1:118">
      <c r="A26" s="801" t="s">
        <v>2063</v>
      </c>
      <c r="B26" s="801">
        <v>0</v>
      </c>
      <c r="C26" s="33">
        <v>1</v>
      </c>
      <c r="E26" s="802">
        <v>2.0099999999999998</v>
      </c>
      <c r="F26" s="801">
        <f>VLOOKUP(A26,'Heavy weapon stocks'!A:OH,COLUMN('Heavy weapon stocks'!$G$1),0)</f>
        <v>30</v>
      </c>
      <c r="G26" s="801">
        <f>VLOOKUP(A26,'Heavy weapon stocks'!A:OH,COLUMN('Heavy weapon stocks'!$AW$1),0)</f>
        <v>94</v>
      </c>
      <c r="H26" s="801">
        <f>VLOOKUP(A26,'Heavy weapon stocks'!A:OH,COLUMN('Heavy weapon stocks'!$DQ$1),0)</f>
        <v>7</v>
      </c>
      <c r="I26" s="801">
        <f>VLOOKUP(A26,'Heavy weapon stocks'!A:OH,COLUMN('Heavy weapon stocks'!$EE$1),0)</f>
        <v>0</v>
      </c>
      <c r="J26" s="801">
        <f>VLOOKUP(A26,'Heavy weapon stocks'!A:OH,COLUMN('Heavy weapon stocks'!$FG$1),0)</f>
        <v>256</v>
      </c>
      <c r="K26" s="801">
        <f t="shared" si="3"/>
        <v>357</v>
      </c>
      <c r="L26" s="801">
        <f>VLOOKUP(A26,'Heavy weapon stocks'!A:OH,COLUMN('Heavy weapon stocks'!$HC$1),0)+VLOOKUP(A26,'Heavy weapon stocks'!A:OH,COLUMN('Heavy weapon stocks'!$II$1),0)</f>
        <v>27</v>
      </c>
      <c r="M26" s="801">
        <f>VLOOKUP(A26,'Heavy weapon stocks'!A:OH,COLUMN('Heavy weapon stocks'!$IN$1),0)</f>
        <v>30</v>
      </c>
      <c r="N26" s="801">
        <f>VLOOKUP(A26,'Heavy weapon stocks'!A:OH,COLUMN('Heavy weapon stocks'!$JH$1),0)+VLOOKUP(A26,'Heavy weapon stocks'!A:OH,COLUMN('Heavy weapon stocks'!$KE$1),0)</f>
        <v>11</v>
      </c>
      <c r="O26" s="801">
        <v>1</v>
      </c>
      <c r="Q26" s="801">
        <v>1</v>
      </c>
      <c r="R26" s="801">
        <f>VLOOKUP(A26,'Heavy weapon stocks'!A:OH,COLUMN('Heavy weapon stocks'!$MF$1),0)</f>
        <v>0</v>
      </c>
      <c r="S26" s="801">
        <f>VLOOKUP(A26,'Heavy weapon stocks'!A:OH,COLUMN('Heavy weapon stocks'!$MM$1),0)</f>
        <v>0</v>
      </c>
      <c r="T26" s="801">
        <f>VLOOKUP(A26,'Heavy weapon stocks'!A:OH,COLUMN('Heavy weapon stocks'!$NR$1),0)</f>
        <v>0</v>
      </c>
      <c r="V26" s="801">
        <f>VLOOKUP(A26,'Heavy weapon stocks'!A:OH,COLUMN('Heavy weapon stocks'!$H$1),0)</f>
        <v>0</v>
      </c>
      <c r="W26" s="801">
        <f>VLOOKUP(A26,'Heavy weapon stocks'!A:OH,COLUMN('Heavy weapon stocks'!$DQ$1),0)</f>
        <v>7</v>
      </c>
      <c r="X26" s="801">
        <f>VLOOKUP(A26,'Heavy weapon stocks'!A:OH,COLUMN('Heavy weapon stocks'!$FG$1),0)</f>
        <v>256</v>
      </c>
      <c r="Y26" s="801">
        <f>VLOOKUP(A26,'Heavy weapon stocks'!A:OH,COLUMN('Heavy weapon stocks'!$HC$1),0)+VLOOKUP(A26,'Heavy weapon stocks'!A:OH,COLUMN('Heavy weapon stocks'!$II$1),0)</f>
        <v>27</v>
      </c>
      <c r="Z26" s="801">
        <f>VLOOKUP(A26,'Heavy weapon stocks'!A:OH,COLUMN('Heavy weapon stocks'!$IO$1),0)+VLOOKUP(A26,'Heavy weapon stocks'!A:OH,COLUMN('Heavy weapon stocks'!$IP$1),0)+VLOOKUP(A26,'Heavy weapon stocks'!A:OH,COLUMN('Heavy weapon stocks'!$IU$1),0)</f>
        <v>0</v>
      </c>
      <c r="AA26" s="801">
        <f>VLOOKUP(A26,'Heavy weapon stocks'!A:OH,COLUMN('Heavy weapon stocks'!$MI$1),0)</f>
        <v>0</v>
      </c>
      <c r="AB26" s="801">
        <f>VLOOKUP(A26,'Heavy weapon stocks'!A:OH,COLUMN('Heavy weapon stocks'!$MS$1),0)+VLOOKUP(A26,'Heavy weapon stocks'!A:OH,COLUMN('Heavy weapon stocks'!$MT$1),0)+VLOOKUP(A26,'Heavy weapon stocks'!A:OH,COLUMN('Heavy weapon stocks'!$MU$1),0)+VLOOKUP(A26,'Heavy weapon stocks'!A:OH,COLUMN('Heavy weapon stocks'!$MV$1),0)</f>
        <v>0</v>
      </c>
      <c r="AD26" s="33">
        <f>SUMIFS('Bilateral assistance, MAIN DATA'!$M:$M,'Bilateral assistance, MAIN DATA'!$B:$B,'Share, heavy weapons to Ukraine'!$A26,'Bilateral assistance, MAIN DATA'!$AO:$AO,'Share, heavy weapons to Ukraine'!AD$1)</f>
        <v>0</v>
      </c>
      <c r="AE26" s="33">
        <f>SUMIFS('Bilateral assistance, MAIN DATA'!$M:$M,'Bilateral assistance, MAIN DATA'!$B:$B,'Share, heavy weapons to Ukraine'!$A26,'Bilateral assistance, MAIN DATA'!$AO:$AO,'Share, heavy weapons to Ukraine'!AE$1)</f>
        <v>0</v>
      </c>
      <c r="AF26" s="33">
        <f>SUMIFS('Bilateral assistance, MAIN DATA'!$M:$M,'Bilateral assistance, MAIN DATA'!$B:$B,'Share, heavy weapons to Ukraine'!$A26,'Bilateral assistance, MAIN DATA'!$AO:$AO,'Share, heavy weapons to Ukraine'!AF$1)</f>
        <v>0</v>
      </c>
      <c r="AG26" s="33">
        <f>SUMIFS('Bilateral assistance, MAIN DATA'!$M:$M,'Bilateral assistance, MAIN DATA'!$B:$B,'Share, heavy weapons to Ukraine'!$A26,'Bilateral assistance, MAIN DATA'!$AO:$AO,'Share, heavy weapons to Ukraine'!AG$1)</f>
        <v>0</v>
      </c>
      <c r="AH26" s="33">
        <f>SUMIFS('Bilateral assistance, MAIN DATA'!$M:$M,'Bilateral assistance, MAIN DATA'!$B:$B,'Share, heavy weapons to Ukraine'!$A26,'Bilateral assistance, MAIN DATA'!$AO:$AO,'Share, heavy weapons to Ukraine'!AH$1)</f>
        <v>30</v>
      </c>
      <c r="AI26" s="33">
        <f t="shared" si="1"/>
        <v>30</v>
      </c>
      <c r="AJ26" s="33">
        <f>SUMIFS('Bilateral assistance, MAIN DATA'!$M:$M,'Bilateral assistance, MAIN DATA'!$B:$B,'Share, heavy weapons to Ukraine'!$A26,'Bilateral assistance, MAIN DATA'!$AO:$AO,'Share, heavy weapons to Ukraine'!AJ$1)</f>
        <v>0</v>
      </c>
      <c r="AK26" s="645">
        <f>SUMIFS('Bilateral assistance, MAIN DATA'!$M:$M,'Bilateral assistance, MAIN DATA'!$B:$B,'Share, heavy weapons to Ukraine'!$A26,'Bilateral assistance, MAIN DATA'!$AO:$AO,"122mm MLRS")+SUMIFS('Bilateral assistance, MAIN DATA'!$M:$M,'Bilateral assistance, MAIN DATA'!$B:$B,'Share, heavy weapons to Ukraine'!$A26,'Bilateral assistance, MAIN DATA'!$AO:$AO,"127mm MLRS")+SUMIFS('Bilateral assistance, MAIN DATA'!$M:$M,'Bilateral assistance, MAIN DATA'!$B:$B,'Share, heavy weapons to Ukraine'!$A26,'Bilateral assistance, MAIN DATA'!$AO:$AO,"227mm MLRS")</f>
        <v>0</v>
      </c>
      <c r="AL26" s="33">
        <f>SUMIFS('Bilateral assistance, MAIN DATA'!$M:$M,'Bilateral assistance, MAIN DATA'!$B:$B,'Share, heavy weapons to Ukraine'!$A26,'Bilateral assistance, MAIN DATA'!$AO:$AO,'Share, heavy weapons to Ukraine'!AL$1)</f>
        <v>0</v>
      </c>
      <c r="AM26" s="33">
        <f>SUMIFS('Bilateral assistance, MAIN DATA'!$M:$M,'Bilateral assistance, MAIN DATA'!$B:$B,'Share, heavy weapons to Ukraine'!$A26,'Bilateral assistance, MAIN DATA'!$AO:$AO,'Share, heavy weapons to Ukraine'!AM$1)</f>
        <v>1</v>
      </c>
      <c r="AN26" s="33">
        <f>SUMIFS('Bilateral assistance, MAIN DATA'!$M:$M,'Bilateral assistance, MAIN DATA'!$B:$B,'Share, heavy weapons to Ukraine'!$A26,'Bilateral assistance, MAIN DATA'!$AO:$AO,'Share, heavy weapons to Ukraine'!AN$1)</f>
        <v>0</v>
      </c>
      <c r="AO26" s="33">
        <f>SUMIFS('Bilateral assistance, MAIN DATA'!$M:$M,'Bilateral assistance, MAIN DATA'!$B:$B,'Share, heavy weapons to Ukraine'!$A26,'Bilateral assistance, MAIN DATA'!$AO:$AO,'Share, heavy weapons to Ukraine'!AO$1)</f>
        <v>0</v>
      </c>
      <c r="AP26" s="33">
        <f>SUMIFS('Bilateral assistance, MAIN DATA'!$M:$M,'Bilateral assistance, MAIN DATA'!$B:$B,'Share, heavy weapons to Ukraine'!$A26,'Bilateral assistance, MAIN DATA'!$AO:$AO,'Share, heavy weapons to Ukraine'!AP$1)</f>
        <v>0</v>
      </c>
      <c r="AR26" s="33">
        <f>SUMIFS('Bilateral assistance, MAIN DATA'!$N:$N,'Bilateral assistance, MAIN DATA'!$B:$B,'Share, heavy weapons to Ukraine'!$A26,'Bilateral assistance, MAIN DATA'!$AO:$AO,'Share, heavy weapons to Ukraine'!AR$1)</f>
        <v>0</v>
      </c>
      <c r="AS26" s="33">
        <f>SUMIFS('Bilateral assistance, MAIN DATA'!$N:$N,'Bilateral assistance, MAIN DATA'!$B:$B,'Share, heavy weapons to Ukraine'!$A26,'Bilateral assistance, MAIN DATA'!$AO:$AO,'Share, heavy weapons to Ukraine'!AS$1)</f>
        <v>0</v>
      </c>
      <c r="AT26" s="33">
        <f>SUMIFS('Bilateral assistance, MAIN DATA'!$N:$N,'Bilateral assistance, MAIN DATA'!$B:$B,'Share, heavy weapons to Ukraine'!$A26,'Bilateral assistance, MAIN DATA'!$AO:$AO,'Share, heavy weapons to Ukraine'!AT$1)</f>
        <v>0</v>
      </c>
      <c r="AU26" s="33">
        <f>SUMIFS('Bilateral assistance, MAIN DATA'!$N:$N,'Bilateral assistance, MAIN DATA'!$B:$B,'Share, heavy weapons to Ukraine'!$A26,'Bilateral assistance, MAIN DATA'!$AO:$AO,'Share, heavy weapons to Ukraine'!AU$1)</f>
        <v>0</v>
      </c>
      <c r="AV26" s="33">
        <f>SUMIFS('Bilateral assistance, MAIN DATA'!$N:$N,'Bilateral assistance, MAIN DATA'!$B:$B,'Share, heavy weapons to Ukraine'!$A26,'Bilateral assistance, MAIN DATA'!$AO:$AO,'Share, heavy weapons to Ukraine'!AV$1)</f>
        <v>0</v>
      </c>
      <c r="AW26" s="33">
        <f t="shared" si="2"/>
        <v>0</v>
      </c>
      <c r="AX26" s="33">
        <f>SUMIFS('Bilateral assistance, MAIN DATA'!$N:$N,'Bilateral assistance, MAIN DATA'!$B:$B,'Share, heavy weapons to Ukraine'!$A26,'Bilateral assistance, MAIN DATA'!$AO:$AO,'Share, heavy weapons to Ukraine'!AX$1)</f>
        <v>0</v>
      </c>
      <c r="AY26" s="645">
        <f>SUMIFS('Bilateral assistance, MAIN DATA'!$N:$N,'Bilateral assistance, MAIN DATA'!$B:$B,'Share, heavy weapons to Ukraine'!$A26,'Bilateral assistance, MAIN DATA'!$AO:$AO,"122mm MLRS")+SUMIFS('Bilateral assistance, MAIN DATA'!$N:$N,'Bilateral assistance, MAIN DATA'!$B:$B,'Share, heavy weapons to Ukraine'!$A26,'Bilateral assistance, MAIN DATA'!$AO:$AO,"127mm MLRS")+SUMIFS('Bilateral assistance, MAIN DATA'!$N:$N,'Bilateral assistance, MAIN DATA'!$B:$B,'Share, heavy weapons to Ukraine'!$A26,'Bilateral assistance, MAIN DATA'!$AO:$AO,"227mm MLRS")</f>
        <v>0</v>
      </c>
      <c r="AZ26" s="33">
        <f>SUMIFS('Bilateral assistance, MAIN DATA'!$N:$N,'Bilateral assistance, MAIN DATA'!$B:$B,'Share, heavy weapons to Ukraine'!$A26,'Bilateral assistance, MAIN DATA'!$AO:$AO,'Share, heavy weapons to Ukraine'!AZ$1)</f>
        <v>0</v>
      </c>
      <c r="BA26" s="33">
        <f>SUMIFS('Bilateral assistance, MAIN DATA'!$N:$N,'Bilateral assistance, MAIN DATA'!$B:$B,'Share, heavy weapons to Ukraine'!$A26,'Bilateral assistance, MAIN DATA'!$AO:$AO,'Share, heavy weapons to Ukraine'!BA$1)</f>
        <v>1</v>
      </c>
      <c r="BB26" s="33">
        <f>SUMIFS('Bilateral assistance, MAIN DATA'!$N:$N,'Bilateral assistance, MAIN DATA'!$B:$B,'Share, heavy weapons to Ukraine'!$A26,'Bilateral assistance, MAIN DATA'!$AO:$AO,'Share, heavy weapons to Ukraine'!BB$1)</f>
        <v>0</v>
      </c>
      <c r="BC26" s="33">
        <f>SUMIFS('Bilateral assistance, MAIN DATA'!$N:$N,'Bilateral assistance, MAIN DATA'!$B:$B,'Share, heavy weapons to Ukraine'!$A26,'Bilateral assistance, MAIN DATA'!$AO:$AO,'Share, heavy weapons to Ukraine'!BC$1)</f>
        <v>0</v>
      </c>
      <c r="BD26" s="33">
        <f>SUMIFS('Bilateral assistance, MAIN DATA'!$N:$N,'Bilateral assistance, MAIN DATA'!$B:$B,'Share, heavy weapons to Ukraine'!$A26,'Bilateral assistance, MAIN DATA'!$AO:$AO,'Share, heavy weapons to Ukraine'!BD$1)</f>
        <v>0</v>
      </c>
      <c r="BF26" s="33">
        <f>IF(VLOOKUP($A26,$A:F,COLUMN(F25),FALSE)&lt;&gt;0,VLOOKUP($A26,$A:AD,COLUMN(AD25),FALSE)/VLOOKUP($A26,$A:F,COLUMN(F25),FALSE),IF(VLOOKUP($A26,$A:AD,COLUMN(AD25),FALSE)&lt;&gt;0,"Strange",0))</f>
        <v>0</v>
      </c>
      <c r="BG26" s="33">
        <f>IF(VLOOKUP($A26,$A:G,COLUMN(G25),FALSE)&lt;&gt;0,VLOOKUP($A26,$A:AE,COLUMN(AE25),FALSE)/VLOOKUP($A26,$A:G,COLUMN(G25),FALSE),IF(VLOOKUP($A26,$A:AE,COLUMN(AE25),FALSE)&lt;&gt;0,"Strange",0))</f>
        <v>0</v>
      </c>
      <c r="BH26" s="33">
        <f>IF(VLOOKUP($A26,$A:H,COLUMN(H25),FALSE)&lt;&gt;0,VLOOKUP($A26,$A:AF,COLUMN(AF25),FALSE)/VLOOKUP($A26,$A:H,COLUMN(H25),FALSE),IF(VLOOKUP($A26,$A:AF,COLUMN(AF25),FALSE)&lt;&gt;0,"Strange",0))</f>
        <v>0</v>
      </c>
      <c r="BI26" s="33">
        <f>IF(VLOOKUP($A26,$A:I,COLUMN(I25),FALSE)&lt;&gt;0,VLOOKUP($A26,$A:AG,COLUMN(AG25),FALSE)/VLOOKUP($A26,$A:I,COLUMN(I25),FALSE),IF(VLOOKUP($A26,$A:AG,COLUMN(AG25),FALSE)&lt;&gt;0,"Strange",0))</f>
        <v>0</v>
      </c>
      <c r="BJ26" s="33">
        <f>IF(VLOOKUP($A26,$A:J,COLUMN(J25),FALSE)&lt;&gt;0,VLOOKUP($A26,$A:AH,COLUMN(AH25),FALSE)/VLOOKUP($A26,$A:J,COLUMN(J25),FALSE),IF(VLOOKUP($A26,$A:AH,COLUMN(AH25),FALSE)&lt;&gt;0,"Strange",0))</f>
        <v>0.1171875</v>
      </c>
      <c r="BK26" s="33">
        <f>IF(VLOOKUP($A26,$A:K,COLUMN(K25),FALSE)&lt;&gt;0,VLOOKUP($A26,$A:AI,COLUMN(AI25),FALSE)/VLOOKUP($A26,$A:K,COLUMN(K25),FALSE),IF(VLOOKUP($A26,$A:AI,COLUMN(AI25),FALSE)&lt;&gt;0,"Strange",0))</f>
        <v>8.4033613445378158E-2</v>
      </c>
      <c r="BL26" s="33">
        <f>IF(VLOOKUP($A26,$A:L,COLUMN(L25),FALSE)&lt;&gt;0,VLOOKUP($A26,$A:AJ,COLUMN(AJ25),FALSE)/VLOOKUP($A26,$A:L,COLUMN(L25),FALSE),IF(VLOOKUP($A26,$A:AJ,COLUMN(AJ25),FALSE)&lt;&gt;0,"Strange",0))</f>
        <v>0</v>
      </c>
      <c r="BM26" s="33">
        <f>IF(VLOOKUP($A26,$A:M,COLUMN(M25),FALSE)&lt;&gt;0,VLOOKUP($A26,$A:AK,COLUMN(AK25),FALSE)/VLOOKUP($A26,$A:M,COLUMN(M25),FALSE),IF(VLOOKUP($A26,$A:AK,COLUMN(AK25),FALSE)&lt;&gt;0,"Strange",0))</f>
        <v>0</v>
      </c>
      <c r="BN26" s="33">
        <f>IF(VLOOKUP($A26,$A:N,COLUMN(N25),FALSE)&lt;&gt;0,VLOOKUP($A26,$A:AL,COLUMN(AL25),FALSE)/VLOOKUP($A26,$A:N,COLUMN(N25),FALSE),IF(VLOOKUP($A26,$A:AL,COLUMN(AL25),FALSE)&lt;&gt;0,"Strange",0))</f>
        <v>0</v>
      </c>
      <c r="BO26" s="33">
        <f>IF(VLOOKUP($A26,$A:Q,COLUMN(Q25),FALSE)&lt;&gt;0,VLOOKUP($A26,$A:AM,COLUMN(AM25),FALSE)/VLOOKUP($A26,$A:Q,COLUMN(Q25),FALSE),IF(VLOOKUP($A26,$A:AM,COLUMN(AM25),FALSE)&lt;&gt;0,"Strange",0))</f>
        <v>1</v>
      </c>
      <c r="BP26" s="33">
        <f>IF(VLOOKUP($A26,$A:R,COLUMN(R25),FALSE)&lt;&gt;0,VLOOKUP($A26,$A:AN,COLUMN(AN25),FALSE)/VLOOKUP($A26,$A:R,COLUMN(R25),FALSE),IF(VLOOKUP($A26,$A:AN,COLUMN(AN25),FALSE)&lt;&gt;0,"Strange",0))</f>
        <v>0</v>
      </c>
      <c r="BQ26" s="33">
        <f>IF(VLOOKUP($A26,$A:S,COLUMN(S25),FALSE)&lt;&gt;0,VLOOKUP($A26,$A:AO,COLUMN(AO25),FALSE)/VLOOKUP($A26,$A:S,COLUMN(S25),FALSE),IF(VLOOKUP($A26,$A:AO,COLUMN(AO25),FALSE)&lt;&gt;0,"Strange",0))</f>
        <v>0</v>
      </c>
      <c r="BR26" s="33">
        <f>IF(VLOOKUP($A26,$A:T,COLUMN(T25),FALSE)&lt;&gt;0,VLOOKUP($A26,$A:AP,COLUMN(AP25),FALSE)/VLOOKUP($A26,$A:T,COLUMN(T25),FALSE),IF(VLOOKUP($A26,$A:AP,COLUMN(AP25),FALSE)&lt;&gt;0,"Strange",0))</f>
        <v>0</v>
      </c>
      <c r="BT26" s="33">
        <f>IF(VLOOKUP($A26,$A:AE,COLUMN(F25),FALSE)&lt;&gt;0,VLOOKUP($A26,$A:AS,COLUMN(AR25),FALSE)/VLOOKUP($A26,$A:AE,COLUMN(F25),FALSE),IF(VLOOKUP($A26,$A:AS,COLUMN(AR25),FALSE)&lt;&gt;0,"Strange",0))</f>
        <v>0</v>
      </c>
      <c r="BU26" s="33">
        <f>IF(VLOOKUP($A26,$A:AF,COLUMN(G25),FALSE)&lt;&gt;0,VLOOKUP($A26,$A:AT,COLUMN(AS25),FALSE)/VLOOKUP($A26,$A:AF,COLUMN(G25),FALSE),IF(VLOOKUP($A26,$A:AT,COLUMN(AS25),FALSE)&lt;&gt;0,"Strange",0))</f>
        <v>0</v>
      </c>
      <c r="BV26" s="33">
        <f>IF(VLOOKUP($A26,$A:AG,COLUMN(H25),FALSE)&lt;&gt;0,VLOOKUP($A26,$A:AU,COLUMN(AT25),FALSE)/VLOOKUP($A26,$A:AG,COLUMN(H25),FALSE),IF(VLOOKUP($A26,$A:AU,COLUMN(AT25),FALSE)&lt;&gt;0,"Strange",0))</f>
        <v>0</v>
      </c>
      <c r="BW26" s="33">
        <f>IF(VLOOKUP($A26,$A:AH,COLUMN(I25),FALSE)&lt;&gt;0,VLOOKUP($A26,$A:AV,COLUMN(AU25),FALSE)/VLOOKUP($A26,$A:AH,COLUMN(I25),FALSE),IF(VLOOKUP($A26,$A:AV,COLUMN(AU25),FALSE)&lt;&gt;0,"Strange",0))</f>
        <v>0</v>
      </c>
      <c r="BX26" s="33">
        <f>IF(VLOOKUP($A26,$A:AJ,COLUMN(J25),FALSE)&lt;&gt;0,VLOOKUP($A26,$A:AX,COLUMN(AV25),FALSE)/VLOOKUP($A26,$A:AJ,COLUMN(J25),FALSE),IF(VLOOKUP($A26,$A:AX,COLUMN(AV25),FALSE)&lt;&gt;0,"Strange",0))</f>
        <v>0</v>
      </c>
      <c r="BY26" s="33">
        <f>IF(VLOOKUP($A26,$A:AK,COLUMN(K25),FALSE)&lt;&gt;0,VLOOKUP($A26,$A:AY,COLUMN(AW25),FALSE)/VLOOKUP($A26,$A:AK,COLUMN(K25),FALSE),IF(VLOOKUP($A26,$A:AY,COLUMN(AW25),FALSE)&lt;&gt;0,"Strange",0))</f>
        <v>0</v>
      </c>
      <c r="BZ26" s="33">
        <f>IF(VLOOKUP($A26,$A:AK,COLUMN(L25),FALSE)&lt;&gt;0,VLOOKUP($A26,$A:AY,COLUMN(AX25),FALSE)/VLOOKUP($A26,$A:AK,COLUMN(L25),FALSE),IF(VLOOKUP($A26,$A:AY,COLUMN(AX25),FALSE)&lt;&gt;0,"Strange",0))</f>
        <v>0</v>
      </c>
      <c r="CA26" s="33">
        <f>IF(VLOOKUP($A26,$A:AL,COLUMN(M25),FALSE)&lt;&gt;0,VLOOKUP($A26,$A:AZ,COLUMN(AY25),FALSE)/VLOOKUP($A26,$A:AL,COLUMN(M25),FALSE),IF(VLOOKUP($A26,$A:AZ,COLUMN(AY25),FALSE)&lt;&gt;0,"Strange",0))</f>
        <v>0</v>
      </c>
      <c r="CB26" s="33">
        <f>IF(VLOOKUP($A26,$A:AL,COLUMN(N25),FALSE)&lt;&gt;0,VLOOKUP($A26,$A:AZ,COLUMN(AZ25),FALSE)/VLOOKUP($A26,$A:AL,COLUMN(N25),FALSE),IF(VLOOKUP($A26,$A:AZ,COLUMN(AZ25),FALSE)&lt;&gt;0,"Strange",0))</f>
        <v>0</v>
      </c>
      <c r="CC26" s="33">
        <f>IF(VLOOKUP($A26,$A:AM,COLUMN(Q25),FALSE)&lt;&gt;0,VLOOKUP($A26,$A:BA,COLUMN(BA25),FALSE)/VLOOKUP($A26,$A:AM,COLUMN(Q25),FALSE),IF(VLOOKUP($A26,$A:BA,COLUMN(BA25),FALSE)&lt;&gt;0,"Strange",0))</f>
        <v>1</v>
      </c>
      <c r="CD26" s="33">
        <f>IF(VLOOKUP($A26,$A:AN,COLUMN(R25),FALSE)&lt;&gt;0,VLOOKUP($A26,$A:BB,COLUMN(BB25),FALSE)/VLOOKUP($A26,$A:AN,COLUMN(R25),FALSE),IF(VLOOKUP($A26,$A:BB,COLUMN(BB25),FALSE)&lt;&gt;0,"Strange",0))</f>
        <v>0</v>
      </c>
      <c r="CE26" s="33">
        <f>IF(VLOOKUP($A26,$A:AO,COLUMN(S25),FALSE)&lt;&gt;0,VLOOKUP($A26,$A:BC,COLUMN(BC25),FALSE)/VLOOKUP($A26,$A:AO,COLUMN(S25),FALSE),IF(VLOOKUP($A26,$A:BC,COLUMN(BC25),FALSE)&lt;&gt;0,"Strange",0))</f>
        <v>0</v>
      </c>
      <c r="CF26" s="33">
        <f>IF(VLOOKUP($A26,$A:AP,COLUMN(T25),FALSE)&lt;&gt;0,VLOOKUP($A26,$A:BD,COLUMN(BD25),FALSE)/VLOOKUP($A26,$A:AP,COLUMN(T25),FALSE),IF(VLOOKUP($A26,$A:BD,COLUMN(BD25),FALSE)&lt;&gt;0,"Strange",0))</f>
        <v>0</v>
      </c>
      <c r="CH26" s="33">
        <f>SUMIFS('Bilateral assistance, MAIN DATA'!$M:$M,'Bilateral assistance, MAIN DATA'!$B:$B,'Share, heavy weapons to Ukraine'!$A26,'Bilateral assistance, MAIN DATA'!$AO:$AO,'Share, heavy weapons to Ukraine'!CH$1,'Bilateral assistance, MAIN DATA'!$AQ:$AQ,2)</f>
        <v>0</v>
      </c>
      <c r="CI26" s="33">
        <f>SUMIFS('Bilateral assistance, MAIN DATA'!$M:$M,'Bilateral assistance, MAIN DATA'!$B:$B,'Share, heavy weapons to Ukraine'!$A26,'Bilateral assistance, MAIN DATA'!$AO:$AO,'Share, heavy weapons to Ukraine'!CI$1,'Bilateral assistance, MAIN DATA'!$AQ:$AQ,2)</f>
        <v>0</v>
      </c>
      <c r="CJ26" s="645">
        <f>SUMIFS('Bilateral assistance, MAIN DATA'!$M:$M,'Bilateral assistance, MAIN DATA'!$B:$B,'Share, heavy weapons to Ukraine'!$A26,'Bilateral assistance, MAIN DATA'!$AO:$AO,"122mm MLRS",'Bilateral assistance, MAIN DATA'!$AQ:$AQ,2)+SUMIFS('Bilateral assistance, MAIN DATA'!$M:$M,'Bilateral assistance, MAIN DATA'!$B:$B,'Share, heavy weapons to Ukraine'!$A26,'Bilateral assistance, MAIN DATA'!$AO:$AO,"127mm MLRS",'Bilateral assistance, MAIN DATA'!$AQ:$AQ,2)+SUMIFS('Bilateral assistance, MAIN DATA'!$M:$M,'Bilateral assistance, MAIN DATA'!$B:$B,'Share, heavy weapons to Ukraine'!$A26,'Bilateral assistance, MAIN DATA'!$AO:$AO,"227mm MLRS",'Bilateral assistance, MAIN DATA'!$AQ:$AQ,2)</f>
        <v>0</v>
      </c>
      <c r="CL26" s="33">
        <f>SUMIFS('Bilateral assistance, MAIN DATA'!$M:$M,'Bilateral assistance, MAIN DATA'!$B:$B,'Share, heavy weapons to Ukraine'!$A26,'Bilateral assistance, MAIN DATA'!$AO:$AO,'Share, heavy weapons to Ukraine'!CH$1,'Bilateral assistance, MAIN DATA'!$AQ:$AQ,1)</f>
        <v>0</v>
      </c>
      <c r="CM26" s="33">
        <f>SUMIFS('Bilateral assistance, MAIN DATA'!$M:$M,'Bilateral assistance, MAIN DATA'!$B:$B,'Share, heavy weapons to Ukraine'!$A26,'Bilateral assistance, MAIN DATA'!$AO:$AO,'Share, heavy weapons to Ukraine'!CI$1,'Bilateral assistance, MAIN DATA'!$AQ:$AQ,1)</f>
        <v>0</v>
      </c>
      <c r="CN26" s="645">
        <f>SUMIFS('Bilateral assistance, MAIN DATA'!$M:$M,'Bilateral assistance, MAIN DATA'!$B:$B,'Share, heavy weapons to Ukraine'!$A26,'Bilateral assistance, MAIN DATA'!$AO:$AO,"122mm MLRS",'Bilateral assistance, MAIN DATA'!$AQ:$AQ,1)+SUMIFS('Bilateral assistance, MAIN DATA'!$M:$M,'Bilateral assistance, MAIN DATA'!$B:$B,'Share, heavy weapons to Ukraine'!$A26,'Bilateral assistance, MAIN DATA'!$AO:$AO,"127mm MLRS",'Bilateral assistance, MAIN DATA'!$AQ:$AQ,1)+SUMIFS('Bilateral assistance, MAIN DATA'!$M:$M,'Bilateral assistance, MAIN DATA'!$B:$B,'Share, heavy weapons to Ukraine'!$A26,'Bilateral assistance, MAIN DATA'!$AO:$AO,"227mm MLRS",'Bilateral assistance, MAIN DATA'!$AQ:$AQ,1)</f>
        <v>0</v>
      </c>
      <c r="CP26" s="33">
        <f>SUMIFS('Bilateral assistance, MAIN DATA'!$M:$M,'Bilateral assistance, MAIN DATA'!$B:$B,'Share, heavy weapons to Ukraine'!$A26,'Bilateral assistance, MAIN DATA'!$AO:$AO,'Share, heavy weapons to Ukraine'!CP$1,'Bilateral assistance, MAIN DATA'!$AQ:$AQ,0)</f>
        <v>0</v>
      </c>
      <c r="CQ26" s="33">
        <f>SUMIFS('Bilateral assistance, MAIN DATA'!$M:$M,'Bilateral assistance, MAIN DATA'!$B:$B,'Share, heavy weapons to Ukraine'!$A26,'Bilateral assistance, MAIN DATA'!$AO:$AO,'Share, heavy weapons to Ukraine'!CQ$1,'Bilateral assistance, MAIN DATA'!$AQ:$AQ,0)</f>
        <v>0</v>
      </c>
      <c r="CR26" s="645">
        <f>SUMIFS('Bilateral assistance, MAIN DATA'!$M:$M,'Bilateral assistance, MAIN DATA'!$B:$B,'Share, heavy weapons to Ukraine'!$A26,'Bilateral assistance, MAIN DATA'!$AO:$AO,"122mm MLRS",'Bilateral assistance, MAIN DATA'!$AQ:$AQ,0)+SUMIFS('Bilateral assistance, MAIN DATA'!$M:$M,'Bilateral assistance, MAIN DATA'!$B:$B,'Share, heavy weapons to Ukraine'!$A26,'Bilateral assistance, MAIN DATA'!$AO:$AO,"127mm MLRS",'Bilateral assistance, MAIN DATA'!$AQ:$AQ,0)+SUMIFS('Bilateral assistance, MAIN DATA'!$M:$M,'Bilateral assistance, MAIN DATA'!$B:$B,'Share, heavy weapons to Ukraine'!$A26,'Bilateral assistance, MAIN DATA'!$AO:$AO,"227mm MLRS",'Bilateral assistance, MAIN DATA'!$AQ:$AQ,0)</f>
        <v>0</v>
      </c>
      <c r="CT26" s="33">
        <f>IF(VLOOKUP($A26,$A:CS,COLUMN(F25),FALSE)&lt;&gt;0,VLOOKUP($A26,$A:CS,COLUMN(CH25),FALSE)/VLOOKUP($A26,$A:AU,COLUMN(F25),FALSE),IF(VLOOKUP($A26,$A:CS,COLUMN(CH25),FALSE)&lt;&gt;0,"Strange",0))</f>
        <v>0</v>
      </c>
      <c r="CU26" s="33">
        <f>IF(VLOOKUP($A26,$A:CS,COLUMN(L25),FALSE)&lt;&gt;0,VLOOKUP($A26,$A:CS,COLUMN(CI25),FALSE)/VLOOKUP($A26,$A:AU,COLUMN(L25),FALSE),IF(VLOOKUP($A26,$A:CS,COLUMN(CI25),FALSE)&lt;&gt;0,"Strange",0))</f>
        <v>0</v>
      </c>
      <c r="CV26" s="33">
        <f>IF(VLOOKUP($A26,$A:CT,COLUMN(M25),FALSE)&lt;&gt;0,VLOOKUP($A26,$A:CT,COLUMN(CJ25),FALSE)/VLOOKUP($A26,$A:AV,COLUMN(M25),FALSE),IF(VLOOKUP($A26,$A:CT,COLUMN(CJ25),FALSE)&lt;&gt;0,"Strange",0))</f>
        <v>0</v>
      </c>
      <c r="CX26" s="33">
        <f>IF(VLOOKUP($A26,$A:CS,COLUMN(F25),FALSE)&lt;&gt;0,VLOOKUP($A26,$A:CS,COLUMN(CL25),FALSE)/VLOOKUP($A26,$A:AU,COLUMN(F25),FALSE),IF(VLOOKUP($A26,$A:CS,COLUMN(CL25),FALSE)&lt;&gt;0,"Strange",0))</f>
        <v>0</v>
      </c>
      <c r="CY26" s="33">
        <f>IF(VLOOKUP($A26,$A:CS,COLUMN(L25),FALSE)&lt;&gt;0,VLOOKUP($A26,$A:CS,COLUMN(CM25),FALSE)/VLOOKUP($A26,$A:AU,COLUMN(L25),FALSE),IF(VLOOKUP($A26,$A:CS,COLUMN(CM25),FALSE)&lt;&gt;0,"Strange",0))</f>
        <v>0</v>
      </c>
      <c r="CZ26" s="33">
        <f>IF(VLOOKUP($A26,$A:CT,COLUMN(M25),FALSE)&lt;&gt;0,VLOOKUP($A26,$A:CT,COLUMN(CN25),FALSE)/VLOOKUP($A26,$A:AV,COLUMN(M25),FALSE),IF(VLOOKUP($A26,$A:CT,COLUMN(CN25),FALSE)&lt;&gt;0,"Strange",0))</f>
        <v>0</v>
      </c>
      <c r="DB26" s="33">
        <f>IF(VLOOKUP($A26,$A:CS,COLUMN(F25),FALSE)&lt;&gt;0,VLOOKUP($A26,$A:CS,COLUMN(CP25),FALSE)/VLOOKUP($A26,$A:AU,COLUMN(F25),FALSE),IF(VLOOKUP($A26,$A:CS,COLUMN(CP25),FALSE)&lt;&gt;0,"Strange",0))</f>
        <v>0</v>
      </c>
      <c r="DC26" s="33">
        <f>IF(VLOOKUP($A26,$A:CS,COLUMN(L25),FALSE)&lt;&gt;0,VLOOKUP($A26,$A:CS,COLUMN(CQ25),FALSE)/VLOOKUP($A26,$A:AU,COLUMN(L25),FALSE),IF(VLOOKUP($A26,$A:CS,COLUMN(CQ25),FALSE)&lt;&gt;0,"Strange",0))</f>
        <v>0</v>
      </c>
      <c r="DD26" s="33">
        <f>IF(VLOOKUP($A26,$A:CT,COLUMN(M25),FALSE)&lt;&gt;0,VLOOKUP($A26,$A:CT,COLUMN(CR25),FALSE)/VLOOKUP($A26,$A:AV,COLUMN(M25),FALSE),IF(VLOOKUP($A26,$A:CT,COLUMN(CR25),FALSE)&lt;&gt;0,"Strange",0))</f>
        <v>0</v>
      </c>
      <c r="DF26" s="33">
        <f>SUMIFS('Bilateral assistance, MAIN DATA'!$M:$M,'Bilateral assistance, MAIN DATA'!$B:$B,'Share, heavy weapons to Ukraine'!$A26,'Bilateral assistance, MAIN DATA'!$AO:$AO,'Share, heavy weapons to Ukraine'!DF$1, 'Bilateral assistance, MAIN DATA'!$AA:$AA,1)</f>
        <v>0</v>
      </c>
      <c r="DG26" s="33">
        <f>SUMIFS('Bilateral assistance, MAIN DATA'!$M:$M,'Bilateral assistance, MAIN DATA'!$B:$B,'Share, heavy weapons to Ukraine'!$A26,'Bilateral assistance, MAIN DATA'!$AO:$AO,'Share, heavy weapons to Ukraine'!DG$1, 'Bilateral assistance, MAIN DATA'!$AA:$AA,1)</f>
        <v>0</v>
      </c>
      <c r="DH26" s="33">
        <f>SUMIFS('Bilateral assistance, MAIN DATA'!$M:$M,'Bilateral assistance, MAIN DATA'!$B:$B,'Share, heavy weapons to Ukraine'!$A26,'Bilateral assistance, MAIN DATA'!$AO:$AO,'Share, heavy weapons to Ukraine'!DH$1, 'Bilateral assistance, MAIN DATA'!$AA:$AA,1)</f>
        <v>0</v>
      </c>
      <c r="DI26" s="33">
        <f>SUMIFS('Bilateral assistance, MAIN DATA'!$M:$M,'Bilateral assistance, MAIN DATA'!$B:$B,'Share, heavy weapons to Ukraine'!$A26,'Bilateral assistance, MAIN DATA'!$AO:$AO,'Share, heavy weapons to Ukraine'!DI$1, 'Bilateral assistance, MAIN DATA'!$AA:$AA,1)</f>
        <v>0</v>
      </c>
      <c r="DK26" s="33">
        <f>SUMIFS('Bilateral assistance, MAIN DATA'!$N:$N,'Bilateral assistance, MAIN DATA'!$B:$B,'Share, heavy weapons to Ukraine'!$A26,'Bilateral assistance, MAIN DATA'!$AO:$AO,'Share, heavy weapons to Ukraine'!DK$1, 'Bilateral assistance, MAIN DATA'!$AA:$AA,1)</f>
        <v>0</v>
      </c>
      <c r="DL26" s="33">
        <f>SUMIFS('Bilateral assistance, MAIN DATA'!$N:$N,'Bilateral assistance, MAIN DATA'!$B:$B,'Share, heavy weapons to Ukraine'!$A26,'Bilateral assistance, MAIN DATA'!$AO:$AO,'Share, heavy weapons to Ukraine'!DL$1, 'Bilateral assistance, MAIN DATA'!$AA:$AA,1)</f>
        <v>0</v>
      </c>
      <c r="DM26" s="33">
        <f>SUMIFS('Bilateral assistance, MAIN DATA'!$N:$N,'Bilateral assistance, MAIN DATA'!$B:$B,'Share, heavy weapons to Ukraine'!$A26,'Bilateral assistance, MAIN DATA'!$AO:$AO,'Share, heavy weapons to Ukraine'!DM$1, 'Bilateral assistance, MAIN DATA'!$AA:$AA,1)</f>
        <v>0</v>
      </c>
      <c r="DN26" s="33">
        <f>SUMIFS('Bilateral assistance, MAIN DATA'!$N:$N,'Bilateral assistance, MAIN DATA'!$B:$B,'Share, heavy weapons to Ukraine'!$A26,'Bilateral assistance, MAIN DATA'!$AO:$AO,'Share, heavy weapons to Ukraine'!DN$1, 'Bilateral assistance, MAIN DATA'!$AA:$AA,1)</f>
        <v>0</v>
      </c>
    </row>
    <row r="27" spans="1:118">
      <c r="A27" s="801" t="s">
        <v>428</v>
      </c>
      <c r="B27" s="801">
        <v>0</v>
      </c>
      <c r="C27" s="33">
        <v>1</v>
      </c>
      <c r="E27" s="802">
        <v>1.28</v>
      </c>
      <c r="F27" s="801">
        <f>VLOOKUP(A27,'Heavy weapon stocks'!A:OH,COLUMN('Heavy weapon stocks'!$G$1),0)</f>
        <v>90</v>
      </c>
      <c r="G27" s="801">
        <f>VLOOKUP(A27,'Heavy weapon stocks'!A:OH,COLUMN('Heavy weapon stocks'!$AW$1),0)</f>
        <v>120</v>
      </c>
      <c r="H27" s="801">
        <f>VLOOKUP(A27,'Heavy weapon stocks'!A:OH,COLUMN('Heavy weapon stocks'!$DQ$1),0)</f>
        <v>0</v>
      </c>
      <c r="I27" s="801">
        <f>VLOOKUP(A27,'Heavy weapon stocks'!A:OH,COLUMN('Heavy weapon stocks'!$EE$1),0)</f>
        <v>44</v>
      </c>
      <c r="J27" s="801">
        <f>VLOOKUP(A27,'Heavy weapon stocks'!A:OH,COLUMN('Heavy weapon stocks'!$FG$1),0)</f>
        <v>160</v>
      </c>
      <c r="K27" s="801">
        <f t="shared" si="3"/>
        <v>324</v>
      </c>
      <c r="L27" s="801">
        <f>VLOOKUP(A27,'Heavy weapon stocks'!A:OH,COLUMN('Heavy weapon stocks'!$HC$1),0)+VLOOKUP(A27,'Heavy weapon stocks'!A:OH,COLUMN('Heavy weapon stocks'!$II$1),0)</f>
        <v>24</v>
      </c>
      <c r="M27" s="801">
        <f>VLOOKUP(A27,'Heavy weapon stocks'!A:OH,COLUMN('Heavy weapon stocks'!$IN$1),0)</f>
        <v>24</v>
      </c>
      <c r="N27" s="801">
        <f>VLOOKUP(A27,'Heavy weapon stocks'!A:OH,COLUMN('Heavy weapon stocks'!$JH$1),0)+VLOOKUP(A27,'Heavy weapon stocks'!A:OH,COLUMN('Heavy weapon stocks'!$KE$1),0)</f>
        <v>14</v>
      </c>
      <c r="O27" s="801">
        <f>VLOOKUP(A27,'Heavy weapon stocks'!A:OH,COLUMN('Heavy weapon stocks'!$LU$1),0)</f>
        <v>0</v>
      </c>
      <c r="Q27" s="801">
        <f>VLOOKUP(A27,'Heavy weapon stocks'!A:OH,COLUMN('Heavy weapon stocks'!$LV$1),0)</f>
        <v>20</v>
      </c>
      <c r="R27" s="801">
        <f>VLOOKUP(A27,'Heavy weapon stocks'!A:OH,COLUMN('Heavy weapon stocks'!$MF$1),0)</f>
        <v>0</v>
      </c>
      <c r="S27" s="801">
        <f>VLOOKUP(A27,'Heavy weapon stocks'!A:OH,COLUMN('Heavy weapon stocks'!$MM$1),0)</f>
        <v>0</v>
      </c>
      <c r="T27" s="801">
        <f>VLOOKUP(A27,'Heavy weapon stocks'!A:OH,COLUMN('Heavy weapon stocks'!$NR$1),0)</f>
        <v>24</v>
      </c>
      <c r="V27" s="801">
        <f>VLOOKUP(A27,'Heavy weapon stocks'!A:OH,COLUMN('Heavy weapon stocks'!$H$1),0)</f>
        <v>0</v>
      </c>
      <c r="W27" s="801">
        <f>VLOOKUP(A27,'Heavy weapon stocks'!A:OH,COLUMN('Heavy weapon stocks'!$DQ$1),0)</f>
        <v>0</v>
      </c>
      <c r="X27" s="801">
        <f>VLOOKUP(A27,'Heavy weapon stocks'!A:OH,COLUMN('Heavy weapon stocks'!$FG$1),0)</f>
        <v>160</v>
      </c>
      <c r="Y27" s="801">
        <f>VLOOKUP(A27,'Heavy weapon stocks'!A:OH,COLUMN('Heavy weapon stocks'!$HC$1),0)+VLOOKUP(A27,'Heavy weapon stocks'!A:OH,COLUMN('Heavy weapon stocks'!$II$1),0)</f>
        <v>24</v>
      </c>
      <c r="Z27" s="801">
        <f>VLOOKUP(A27,'Heavy weapon stocks'!A:OH,COLUMN('Heavy weapon stocks'!$IO$1),0)+VLOOKUP(A27,'Heavy weapon stocks'!A:OH,COLUMN('Heavy weapon stocks'!$IP$1),0)+VLOOKUP(A27,'Heavy weapon stocks'!A:OH,COLUMN('Heavy weapon stocks'!$IU$1),0)</f>
        <v>0</v>
      </c>
      <c r="AA27" s="801">
        <f>VLOOKUP(A27,'Heavy weapon stocks'!A:OH,COLUMN('Heavy weapon stocks'!$MI$1),0)</f>
        <v>0</v>
      </c>
      <c r="AB27" s="801">
        <f>VLOOKUP(A27,'Heavy weapon stocks'!A:OH,COLUMN('Heavy weapon stocks'!$MS$1),0)+VLOOKUP(A27,'Heavy weapon stocks'!A:OH,COLUMN('Heavy weapon stocks'!$MT$1),0)+VLOOKUP(A27,'Heavy weapon stocks'!A:OH,COLUMN('Heavy weapon stocks'!$MU$1),0)+VLOOKUP(A27,'Heavy weapon stocks'!A:OH,COLUMN('Heavy weapon stocks'!$MV$1),0)</f>
        <v>0</v>
      </c>
      <c r="AD27" s="33">
        <f>SUMIFS('Bilateral assistance, MAIN DATA'!$M:$M,'Bilateral assistance, MAIN DATA'!$B:$B,'Share, heavy weapons to Ukraine'!$A27,'Bilateral assistance, MAIN DATA'!$AO:$AO,'Share, heavy weapons to Ukraine'!AD$1)</f>
        <v>0</v>
      </c>
      <c r="AE27" s="33">
        <f>SUMIFS('Bilateral assistance, MAIN DATA'!$M:$M,'Bilateral assistance, MAIN DATA'!$B:$B,'Share, heavy weapons to Ukraine'!$A27,'Bilateral assistance, MAIN DATA'!$AO:$AO,'Share, heavy weapons to Ukraine'!AE$1)</f>
        <v>0</v>
      </c>
      <c r="AF27" s="33">
        <f>SUMIFS('Bilateral assistance, MAIN DATA'!$M:$M,'Bilateral assistance, MAIN DATA'!$B:$B,'Share, heavy weapons to Ukraine'!$A27,'Bilateral assistance, MAIN DATA'!$AO:$AO,'Share, heavy weapons to Ukraine'!AF$1)</f>
        <v>0</v>
      </c>
      <c r="AG27" s="33">
        <f>SUMIFS('Bilateral assistance, MAIN DATA'!$M:$M,'Bilateral assistance, MAIN DATA'!$B:$B,'Share, heavy weapons to Ukraine'!$A27,'Bilateral assistance, MAIN DATA'!$AO:$AO,'Share, heavy weapons to Ukraine'!AG$1)</f>
        <v>0</v>
      </c>
      <c r="AH27" s="33">
        <f>SUMIFS('Bilateral assistance, MAIN DATA'!$M:$M,'Bilateral assistance, MAIN DATA'!$B:$B,'Share, heavy weapons to Ukraine'!$A27,'Bilateral assistance, MAIN DATA'!$AO:$AO,'Share, heavy weapons to Ukraine'!AH$1)</f>
        <v>0</v>
      </c>
      <c r="AI27" s="33">
        <f t="shared" si="1"/>
        <v>0</v>
      </c>
      <c r="AJ27" s="33">
        <f>SUMIFS('Bilateral assistance, MAIN DATA'!$M:$M,'Bilateral assistance, MAIN DATA'!$B:$B,'Share, heavy weapons to Ukraine'!$A27,'Bilateral assistance, MAIN DATA'!$AO:$AO,'Share, heavy weapons to Ukraine'!AJ$1)</f>
        <v>0</v>
      </c>
      <c r="AK27" s="645">
        <f>SUMIFS('Bilateral assistance, MAIN DATA'!$M:$M,'Bilateral assistance, MAIN DATA'!$B:$B,'Share, heavy weapons to Ukraine'!$A27,'Bilateral assistance, MAIN DATA'!$AO:$AO,"122mm MLRS")+SUMIFS('Bilateral assistance, MAIN DATA'!$M:$M,'Bilateral assistance, MAIN DATA'!$B:$B,'Share, heavy weapons to Ukraine'!$A27,'Bilateral assistance, MAIN DATA'!$AO:$AO,"127mm MLRS")+SUMIFS('Bilateral assistance, MAIN DATA'!$M:$M,'Bilateral assistance, MAIN DATA'!$B:$B,'Share, heavy weapons to Ukraine'!$A27,'Bilateral assistance, MAIN DATA'!$AO:$AO,"227mm MLRS")</f>
        <v>0</v>
      </c>
      <c r="AL27" s="33">
        <f>SUMIFS('Bilateral assistance, MAIN DATA'!$M:$M,'Bilateral assistance, MAIN DATA'!$B:$B,'Share, heavy weapons to Ukraine'!$A27,'Bilateral assistance, MAIN DATA'!$AO:$AO,'Share, heavy weapons to Ukraine'!AL$1)</f>
        <v>0</v>
      </c>
      <c r="AM27" s="33">
        <f>SUMIFS('Bilateral assistance, MAIN DATA'!$M:$M,'Bilateral assistance, MAIN DATA'!$B:$B,'Share, heavy weapons to Ukraine'!$A27,'Bilateral assistance, MAIN DATA'!$AO:$AO,'Share, heavy weapons to Ukraine'!AM$1)</f>
        <v>0</v>
      </c>
      <c r="AN27" s="33">
        <f>SUMIFS('Bilateral assistance, MAIN DATA'!$M:$M,'Bilateral assistance, MAIN DATA'!$B:$B,'Share, heavy weapons to Ukraine'!$A27,'Bilateral assistance, MAIN DATA'!$AO:$AO,'Share, heavy weapons to Ukraine'!AN$1)</f>
        <v>0</v>
      </c>
      <c r="AO27" s="33">
        <f>SUMIFS('Bilateral assistance, MAIN DATA'!$M:$M,'Bilateral assistance, MAIN DATA'!$B:$B,'Share, heavy weapons to Ukraine'!$A27,'Bilateral assistance, MAIN DATA'!$AO:$AO,'Share, heavy weapons to Ukraine'!AO$1)</f>
        <v>0</v>
      </c>
      <c r="AP27" s="33">
        <f>SUMIFS('Bilateral assistance, MAIN DATA'!$M:$M,'Bilateral assistance, MAIN DATA'!$B:$B,'Share, heavy weapons to Ukraine'!$A27,'Bilateral assistance, MAIN DATA'!$AO:$AO,'Share, heavy weapons to Ukraine'!AP$1)</f>
        <v>0</v>
      </c>
      <c r="AR27" s="33">
        <f>SUMIFS('Bilateral assistance, MAIN DATA'!$N:$N,'Bilateral assistance, MAIN DATA'!$B:$B,'Share, heavy weapons to Ukraine'!$A27,'Bilateral assistance, MAIN DATA'!$AO:$AO,'Share, heavy weapons to Ukraine'!AR$1)</f>
        <v>0</v>
      </c>
      <c r="AS27" s="33">
        <f>SUMIFS('Bilateral assistance, MAIN DATA'!$N:$N,'Bilateral assistance, MAIN DATA'!$B:$B,'Share, heavy weapons to Ukraine'!$A27,'Bilateral assistance, MAIN DATA'!$AO:$AO,'Share, heavy weapons to Ukraine'!AS$1)</f>
        <v>0</v>
      </c>
      <c r="AT27" s="33">
        <f>SUMIFS('Bilateral assistance, MAIN DATA'!$N:$N,'Bilateral assistance, MAIN DATA'!$B:$B,'Share, heavy weapons to Ukraine'!$A27,'Bilateral assistance, MAIN DATA'!$AO:$AO,'Share, heavy weapons to Ukraine'!AT$1)</f>
        <v>0</v>
      </c>
      <c r="AU27" s="33">
        <f>SUMIFS('Bilateral assistance, MAIN DATA'!$N:$N,'Bilateral assistance, MAIN DATA'!$B:$B,'Share, heavy weapons to Ukraine'!$A27,'Bilateral assistance, MAIN DATA'!$AO:$AO,'Share, heavy weapons to Ukraine'!AU$1)</f>
        <v>0</v>
      </c>
      <c r="AV27" s="33">
        <f>SUMIFS('Bilateral assistance, MAIN DATA'!$N:$N,'Bilateral assistance, MAIN DATA'!$B:$B,'Share, heavy weapons to Ukraine'!$A27,'Bilateral assistance, MAIN DATA'!$AO:$AO,'Share, heavy weapons to Ukraine'!AV$1)</f>
        <v>0</v>
      </c>
      <c r="AW27" s="33">
        <f t="shared" si="2"/>
        <v>0</v>
      </c>
      <c r="AX27" s="33">
        <f>SUMIFS('Bilateral assistance, MAIN DATA'!$N:$N,'Bilateral assistance, MAIN DATA'!$B:$B,'Share, heavy weapons to Ukraine'!$A27,'Bilateral assistance, MAIN DATA'!$AO:$AO,'Share, heavy weapons to Ukraine'!AX$1)</f>
        <v>0</v>
      </c>
      <c r="AY27" s="645">
        <f>SUMIFS('Bilateral assistance, MAIN DATA'!$N:$N,'Bilateral assistance, MAIN DATA'!$B:$B,'Share, heavy weapons to Ukraine'!$A27,'Bilateral assistance, MAIN DATA'!$AO:$AO,"122mm MLRS")+SUMIFS('Bilateral assistance, MAIN DATA'!$N:$N,'Bilateral assistance, MAIN DATA'!$B:$B,'Share, heavy weapons to Ukraine'!$A27,'Bilateral assistance, MAIN DATA'!$AO:$AO,"127mm MLRS")+SUMIFS('Bilateral assistance, MAIN DATA'!$N:$N,'Bilateral assistance, MAIN DATA'!$B:$B,'Share, heavy weapons to Ukraine'!$A27,'Bilateral assistance, MAIN DATA'!$AO:$AO,"227mm MLRS")</f>
        <v>0</v>
      </c>
      <c r="AZ27" s="33">
        <f>SUMIFS('Bilateral assistance, MAIN DATA'!$N:$N,'Bilateral assistance, MAIN DATA'!$B:$B,'Share, heavy weapons to Ukraine'!$A27,'Bilateral assistance, MAIN DATA'!$AO:$AO,'Share, heavy weapons to Ukraine'!AZ$1)</f>
        <v>0</v>
      </c>
      <c r="BA27" s="33">
        <f>SUMIFS('Bilateral assistance, MAIN DATA'!$N:$N,'Bilateral assistance, MAIN DATA'!$B:$B,'Share, heavy weapons to Ukraine'!$A27,'Bilateral assistance, MAIN DATA'!$AO:$AO,'Share, heavy weapons to Ukraine'!BA$1)</f>
        <v>0</v>
      </c>
      <c r="BB27" s="33">
        <f>SUMIFS('Bilateral assistance, MAIN DATA'!$N:$N,'Bilateral assistance, MAIN DATA'!$B:$B,'Share, heavy weapons to Ukraine'!$A27,'Bilateral assistance, MAIN DATA'!$AO:$AO,'Share, heavy weapons to Ukraine'!BB$1)</f>
        <v>0</v>
      </c>
      <c r="BC27" s="33">
        <f>SUMIFS('Bilateral assistance, MAIN DATA'!$N:$N,'Bilateral assistance, MAIN DATA'!$B:$B,'Share, heavy weapons to Ukraine'!$A27,'Bilateral assistance, MAIN DATA'!$AO:$AO,'Share, heavy weapons to Ukraine'!BC$1)</f>
        <v>0</v>
      </c>
      <c r="BD27" s="33">
        <f>SUMIFS('Bilateral assistance, MAIN DATA'!$N:$N,'Bilateral assistance, MAIN DATA'!$B:$B,'Share, heavy weapons to Ukraine'!$A27,'Bilateral assistance, MAIN DATA'!$AO:$AO,'Share, heavy weapons to Ukraine'!BD$1)</f>
        <v>0</v>
      </c>
      <c r="BF27" s="33">
        <f>IF(VLOOKUP($A27,$A:F,COLUMN(F26),FALSE)&lt;&gt;0,VLOOKUP($A27,$A:AD,COLUMN(AD26),FALSE)/VLOOKUP($A27,$A:F,COLUMN(F26),FALSE),IF(VLOOKUP($A27,$A:AD,COLUMN(AD26),FALSE)&lt;&gt;0,"Strange",0))</f>
        <v>0</v>
      </c>
      <c r="BG27" s="33">
        <f>IF(VLOOKUP($A27,$A:G,COLUMN(G26),FALSE)&lt;&gt;0,VLOOKUP($A27,$A:AE,COLUMN(AE26),FALSE)/VLOOKUP($A27,$A:G,COLUMN(G26),FALSE),IF(VLOOKUP($A27,$A:AE,COLUMN(AE26),FALSE)&lt;&gt;0,"Strange",0))</f>
        <v>0</v>
      </c>
      <c r="BH27" s="33">
        <f>IF(VLOOKUP($A27,$A:H,COLUMN(H26),FALSE)&lt;&gt;0,VLOOKUP($A27,$A:AF,COLUMN(AF26),FALSE)/VLOOKUP($A27,$A:H,COLUMN(H26),FALSE),IF(VLOOKUP($A27,$A:AF,COLUMN(AF26),FALSE)&lt;&gt;0,"Strange",0))</f>
        <v>0</v>
      </c>
      <c r="BI27" s="33">
        <f>IF(VLOOKUP($A27,$A:I,COLUMN(I26),FALSE)&lt;&gt;0,VLOOKUP($A27,$A:AG,COLUMN(AG26),FALSE)/VLOOKUP($A27,$A:I,COLUMN(I26),FALSE),IF(VLOOKUP($A27,$A:AG,COLUMN(AG26),FALSE)&lt;&gt;0,"Strange",0))</f>
        <v>0</v>
      </c>
      <c r="BJ27" s="33">
        <f>IF(VLOOKUP($A27,$A:J,COLUMN(J26),FALSE)&lt;&gt;0,VLOOKUP($A27,$A:AH,COLUMN(AH26),FALSE)/VLOOKUP($A27,$A:J,COLUMN(J26),FALSE),IF(VLOOKUP($A27,$A:AH,COLUMN(AH26),FALSE)&lt;&gt;0,"Strange",0))</f>
        <v>0</v>
      </c>
      <c r="BK27" s="33">
        <f>IF(VLOOKUP($A27,$A:K,COLUMN(K26),FALSE)&lt;&gt;0,VLOOKUP($A27,$A:AI,COLUMN(AI26),FALSE)/VLOOKUP($A27,$A:K,COLUMN(K26),FALSE),IF(VLOOKUP($A27,$A:AI,COLUMN(AI26),FALSE)&lt;&gt;0,"Strange",0))</f>
        <v>0</v>
      </c>
      <c r="BL27" s="33">
        <f>IF(VLOOKUP($A27,$A:L,COLUMN(L26),FALSE)&lt;&gt;0,VLOOKUP($A27,$A:AJ,COLUMN(AJ26),FALSE)/VLOOKUP($A27,$A:L,COLUMN(L26),FALSE),IF(VLOOKUP($A27,$A:AJ,COLUMN(AJ26),FALSE)&lt;&gt;0,"Strange",0))</f>
        <v>0</v>
      </c>
      <c r="BM27" s="33">
        <f>IF(VLOOKUP($A27,$A:M,COLUMN(M26),FALSE)&lt;&gt;0,VLOOKUP($A27,$A:AK,COLUMN(AK26),FALSE)/VLOOKUP($A27,$A:M,COLUMN(M26),FALSE),IF(VLOOKUP($A27,$A:AK,COLUMN(AK26),FALSE)&lt;&gt;0,"Strange",0))</f>
        <v>0</v>
      </c>
      <c r="BN27" s="33">
        <f>IF(VLOOKUP($A27,$A:N,COLUMN(N26),FALSE)&lt;&gt;0,VLOOKUP($A27,$A:AL,COLUMN(AL26),FALSE)/VLOOKUP($A27,$A:N,COLUMN(N26),FALSE),IF(VLOOKUP($A27,$A:AL,COLUMN(AL26),FALSE)&lt;&gt;0,"Strange",0))</f>
        <v>0</v>
      </c>
      <c r="BO27" s="33">
        <f>IF(VLOOKUP($A27,$A:Q,COLUMN(Q26),FALSE)&lt;&gt;0,VLOOKUP($A27,$A:AM,COLUMN(AM26),FALSE)/VLOOKUP($A27,$A:Q,COLUMN(Q26),FALSE),IF(VLOOKUP($A27,$A:AM,COLUMN(AM26),FALSE)&lt;&gt;0,"Strange",0))</f>
        <v>0</v>
      </c>
      <c r="BP27" s="33">
        <f>IF(VLOOKUP($A27,$A:R,COLUMN(R26),FALSE)&lt;&gt;0,VLOOKUP($A27,$A:AN,COLUMN(AN26),FALSE)/VLOOKUP($A27,$A:R,COLUMN(R26),FALSE),IF(VLOOKUP($A27,$A:AN,COLUMN(AN26),FALSE)&lt;&gt;0,"Strange",0))</f>
        <v>0</v>
      </c>
      <c r="BQ27" s="33">
        <f>IF(VLOOKUP($A27,$A:S,COLUMN(S26),FALSE)&lt;&gt;0,VLOOKUP($A27,$A:AO,COLUMN(AO26),FALSE)/VLOOKUP($A27,$A:S,COLUMN(S26),FALSE),IF(VLOOKUP($A27,$A:AO,COLUMN(AO26),FALSE)&lt;&gt;0,"Strange",0))</f>
        <v>0</v>
      </c>
      <c r="BR27" s="33">
        <f>IF(VLOOKUP($A27,$A:T,COLUMN(T26),FALSE)&lt;&gt;0,VLOOKUP($A27,$A:AP,COLUMN(AP26),FALSE)/VLOOKUP($A27,$A:T,COLUMN(T26),FALSE),IF(VLOOKUP($A27,$A:AP,COLUMN(AP26),FALSE)&lt;&gt;0,"Strange",0))</f>
        <v>0</v>
      </c>
      <c r="BT27" s="33">
        <f>IF(VLOOKUP($A27,$A:AE,COLUMN(F26),FALSE)&lt;&gt;0,VLOOKUP($A27,$A:AS,COLUMN(AR26),FALSE)/VLOOKUP($A27,$A:AE,COLUMN(F26),FALSE),IF(VLOOKUP($A27,$A:AS,COLUMN(AR26),FALSE)&lt;&gt;0,"Strange",0))</f>
        <v>0</v>
      </c>
      <c r="BU27" s="33">
        <f>IF(VLOOKUP($A27,$A:AF,COLUMN(G26),FALSE)&lt;&gt;0,VLOOKUP($A27,$A:AT,COLUMN(AS26),FALSE)/VLOOKUP($A27,$A:AF,COLUMN(G26),FALSE),IF(VLOOKUP($A27,$A:AT,COLUMN(AS26),FALSE)&lt;&gt;0,"Strange",0))</f>
        <v>0</v>
      </c>
      <c r="BV27" s="33">
        <f>IF(VLOOKUP($A27,$A:AG,COLUMN(H26),FALSE)&lt;&gt;0,VLOOKUP($A27,$A:AU,COLUMN(AT26),FALSE)/VLOOKUP($A27,$A:AG,COLUMN(H26),FALSE),IF(VLOOKUP($A27,$A:AU,COLUMN(AT26),FALSE)&lt;&gt;0,"Strange",0))</f>
        <v>0</v>
      </c>
      <c r="BW27" s="33">
        <f>IF(VLOOKUP($A27,$A:AH,COLUMN(I26),FALSE)&lt;&gt;0,VLOOKUP($A27,$A:AV,COLUMN(AU26),FALSE)/VLOOKUP($A27,$A:AH,COLUMN(I26),FALSE),IF(VLOOKUP($A27,$A:AV,COLUMN(AU26),FALSE)&lt;&gt;0,"Strange",0))</f>
        <v>0</v>
      </c>
      <c r="BX27" s="33">
        <f>IF(VLOOKUP($A27,$A:AJ,COLUMN(J26),FALSE)&lt;&gt;0,VLOOKUP($A27,$A:AX,COLUMN(AV26),FALSE)/VLOOKUP($A27,$A:AJ,COLUMN(J26),FALSE),IF(VLOOKUP($A27,$A:AX,COLUMN(AV26),FALSE)&lt;&gt;0,"Strange",0))</f>
        <v>0</v>
      </c>
      <c r="BY27" s="33">
        <f>IF(VLOOKUP($A27,$A:AK,COLUMN(K26),FALSE)&lt;&gt;0,VLOOKUP($A27,$A:AY,COLUMN(AW26),FALSE)/VLOOKUP($A27,$A:AK,COLUMN(K26),FALSE),IF(VLOOKUP($A27,$A:AY,COLUMN(AW26),FALSE)&lt;&gt;0,"Strange",0))</f>
        <v>0</v>
      </c>
      <c r="BZ27" s="33">
        <f>IF(VLOOKUP($A27,$A:AK,COLUMN(L26),FALSE)&lt;&gt;0,VLOOKUP($A27,$A:AY,COLUMN(AX26),FALSE)/VLOOKUP($A27,$A:AK,COLUMN(L26),FALSE),IF(VLOOKUP($A27,$A:AY,COLUMN(AX26),FALSE)&lt;&gt;0,"Strange",0))</f>
        <v>0</v>
      </c>
      <c r="CA27" s="33">
        <f>IF(VLOOKUP($A27,$A:AL,COLUMN(M26),FALSE)&lt;&gt;0,VLOOKUP($A27,$A:AZ,COLUMN(AY26),FALSE)/VLOOKUP($A27,$A:AL,COLUMN(M26),FALSE),IF(VLOOKUP($A27,$A:AZ,COLUMN(AY26),FALSE)&lt;&gt;0,"Strange",0))</f>
        <v>0</v>
      </c>
      <c r="CB27" s="33">
        <f>IF(VLOOKUP($A27,$A:AL,COLUMN(N26),FALSE)&lt;&gt;0,VLOOKUP($A27,$A:AZ,COLUMN(AZ26),FALSE)/VLOOKUP($A27,$A:AL,COLUMN(N26),FALSE),IF(VLOOKUP($A27,$A:AZ,COLUMN(AZ26),FALSE)&lt;&gt;0,"Strange",0))</f>
        <v>0</v>
      </c>
      <c r="CC27" s="33">
        <f>IF(VLOOKUP($A27,$A:AM,COLUMN(Q26),FALSE)&lt;&gt;0,VLOOKUP($A27,$A:BA,COLUMN(BA26),FALSE)/VLOOKUP($A27,$A:AM,COLUMN(Q26),FALSE),IF(VLOOKUP($A27,$A:BA,COLUMN(BA26),FALSE)&lt;&gt;0,"Strange",0))</f>
        <v>0</v>
      </c>
      <c r="CD27" s="33">
        <f>IF(VLOOKUP($A27,$A:AN,COLUMN(R26),FALSE)&lt;&gt;0,VLOOKUP($A27,$A:BB,COLUMN(BB26),FALSE)/VLOOKUP($A27,$A:AN,COLUMN(R26),FALSE),IF(VLOOKUP($A27,$A:BB,COLUMN(BB26),FALSE)&lt;&gt;0,"Strange",0))</f>
        <v>0</v>
      </c>
      <c r="CE27" s="33">
        <f>IF(VLOOKUP($A27,$A:AO,COLUMN(S26),FALSE)&lt;&gt;0,VLOOKUP($A27,$A:BC,COLUMN(BC26),FALSE)/VLOOKUP($A27,$A:AO,COLUMN(S26),FALSE),IF(VLOOKUP($A27,$A:BC,COLUMN(BC26),FALSE)&lt;&gt;0,"Strange",0))</f>
        <v>0</v>
      </c>
      <c r="CF27" s="33">
        <f>IF(VLOOKUP($A27,$A:AP,COLUMN(T26),FALSE)&lt;&gt;0,VLOOKUP($A27,$A:BD,COLUMN(BD26),FALSE)/VLOOKUP($A27,$A:AP,COLUMN(T26),FALSE),IF(VLOOKUP($A27,$A:BD,COLUMN(BD26),FALSE)&lt;&gt;0,"Strange",0))</f>
        <v>0</v>
      </c>
      <c r="CH27" s="33">
        <f>SUMIFS('Bilateral assistance, MAIN DATA'!$M:$M,'Bilateral assistance, MAIN DATA'!$B:$B,'Share, heavy weapons to Ukraine'!$A27,'Bilateral assistance, MAIN DATA'!$AO:$AO,'Share, heavy weapons to Ukraine'!CH$1,'Bilateral assistance, MAIN DATA'!$AQ:$AQ,2)</f>
        <v>0</v>
      </c>
      <c r="CI27" s="33">
        <f>SUMIFS('Bilateral assistance, MAIN DATA'!$M:$M,'Bilateral assistance, MAIN DATA'!$B:$B,'Share, heavy weapons to Ukraine'!$A27,'Bilateral assistance, MAIN DATA'!$AO:$AO,'Share, heavy weapons to Ukraine'!CI$1,'Bilateral assistance, MAIN DATA'!$AQ:$AQ,2)</f>
        <v>0</v>
      </c>
      <c r="CJ27" s="645">
        <f>SUMIFS('Bilateral assistance, MAIN DATA'!$M:$M,'Bilateral assistance, MAIN DATA'!$B:$B,'Share, heavy weapons to Ukraine'!$A27,'Bilateral assistance, MAIN DATA'!$AO:$AO,"122mm MLRS",'Bilateral assistance, MAIN DATA'!$AQ:$AQ,2)+SUMIFS('Bilateral assistance, MAIN DATA'!$M:$M,'Bilateral assistance, MAIN DATA'!$B:$B,'Share, heavy weapons to Ukraine'!$A27,'Bilateral assistance, MAIN DATA'!$AO:$AO,"127mm MLRS",'Bilateral assistance, MAIN DATA'!$AQ:$AQ,2)+SUMIFS('Bilateral assistance, MAIN DATA'!$M:$M,'Bilateral assistance, MAIN DATA'!$B:$B,'Share, heavy weapons to Ukraine'!$A27,'Bilateral assistance, MAIN DATA'!$AO:$AO,"227mm MLRS",'Bilateral assistance, MAIN DATA'!$AQ:$AQ,2)</f>
        <v>0</v>
      </c>
      <c r="CL27" s="33">
        <f>SUMIFS('Bilateral assistance, MAIN DATA'!$M:$M,'Bilateral assistance, MAIN DATA'!$B:$B,'Share, heavy weapons to Ukraine'!$A27,'Bilateral assistance, MAIN DATA'!$AO:$AO,'Share, heavy weapons to Ukraine'!CH$1,'Bilateral assistance, MAIN DATA'!$AQ:$AQ,1)</f>
        <v>0</v>
      </c>
      <c r="CM27" s="33">
        <f>SUMIFS('Bilateral assistance, MAIN DATA'!$M:$M,'Bilateral assistance, MAIN DATA'!$B:$B,'Share, heavy weapons to Ukraine'!$A27,'Bilateral assistance, MAIN DATA'!$AO:$AO,'Share, heavy weapons to Ukraine'!CI$1,'Bilateral assistance, MAIN DATA'!$AQ:$AQ,1)</f>
        <v>0</v>
      </c>
      <c r="CN27" s="645">
        <f>SUMIFS('Bilateral assistance, MAIN DATA'!$M:$M,'Bilateral assistance, MAIN DATA'!$B:$B,'Share, heavy weapons to Ukraine'!$A27,'Bilateral assistance, MAIN DATA'!$AO:$AO,"122mm MLRS",'Bilateral assistance, MAIN DATA'!$AQ:$AQ,1)+SUMIFS('Bilateral assistance, MAIN DATA'!$M:$M,'Bilateral assistance, MAIN DATA'!$B:$B,'Share, heavy weapons to Ukraine'!$A27,'Bilateral assistance, MAIN DATA'!$AO:$AO,"127mm MLRS",'Bilateral assistance, MAIN DATA'!$AQ:$AQ,1)+SUMIFS('Bilateral assistance, MAIN DATA'!$M:$M,'Bilateral assistance, MAIN DATA'!$B:$B,'Share, heavy weapons to Ukraine'!$A27,'Bilateral assistance, MAIN DATA'!$AO:$AO,"227mm MLRS",'Bilateral assistance, MAIN DATA'!$AQ:$AQ,1)</f>
        <v>0</v>
      </c>
      <c r="CP27" s="33">
        <f>SUMIFS('Bilateral assistance, MAIN DATA'!$M:$M,'Bilateral assistance, MAIN DATA'!$B:$B,'Share, heavy weapons to Ukraine'!$A27,'Bilateral assistance, MAIN DATA'!$AO:$AO,'Share, heavy weapons to Ukraine'!CP$1,'Bilateral assistance, MAIN DATA'!$AQ:$AQ,0)</f>
        <v>0</v>
      </c>
      <c r="CQ27" s="33">
        <f>SUMIFS('Bilateral assistance, MAIN DATA'!$M:$M,'Bilateral assistance, MAIN DATA'!$B:$B,'Share, heavy weapons to Ukraine'!$A27,'Bilateral assistance, MAIN DATA'!$AO:$AO,'Share, heavy weapons to Ukraine'!CQ$1,'Bilateral assistance, MAIN DATA'!$AQ:$AQ,0)</f>
        <v>0</v>
      </c>
      <c r="CR27" s="645">
        <f>SUMIFS('Bilateral assistance, MAIN DATA'!$M:$M,'Bilateral assistance, MAIN DATA'!$B:$B,'Share, heavy weapons to Ukraine'!$A27,'Bilateral assistance, MAIN DATA'!$AO:$AO,"122mm MLRS",'Bilateral assistance, MAIN DATA'!$AQ:$AQ,0)+SUMIFS('Bilateral assistance, MAIN DATA'!$M:$M,'Bilateral assistance, MAIN DATA'!$B:$B,'Share, heavy weapons to Ukraine'!$A27,'Bilateral assistance, MAIN DATA'!$AO:$AO,"127mm MLRS",'Bilateral assistance, MAIN DATA'!$AQ:$AQ,0)+SUMIFS('Bilateral assistance, MAIN DATA'!$M:$M,'Bilateral assistance, MAIN DATA'!$B:$B,'Share, heavy weapons to Ukraine'!$A27,'Bilateral assistance, MAIN DATA'!$AO:$AO,"227mm MLRS",'Bilateral assistance, MAIN DATA'!$AQ:$AQ,0)</f>
        <v>0</v>
      </c>
      <c r="CT27" s="33">
        <f>IF(VLOOKUP($A27,$A:CS,COLUMN(F26),FALSE)&lt;&gt;0,VLOOKUP($A27,$A:CS,COLUMN(CH26),FALSE)/VLOOKUP($A27,$A:AU,COLUMN(F26),FALSE),IF(VLOOKUP($A27,$A:CS,COLUMN(CH26),FALSE)&lt;&gt;0,"Strange",0))</f>
        <v>0</v>
      </c>
      <c r="CU27" s="33">
        <f>IF(VLOOKUP($A27,$A:CS,COLUMN(L26),FALSE)&lt;&gt;0,VLOOKUP($A27,$A:CS,COLUMN(CI26),FALSE)/VLOOKUP($A27,$A:AU,COLUMN(L26),FALSE),IF(VLOOKUP($A27,$A:CS,COLUMN(CI26),FALSE)&lt;&gt;0,"Strange",0))</f>
        <v>0</v>
      </c>
      <c r="CV27" s="33">
        <f>IF(VLOOKUP($A27,$A:CT,COLUMN(M26),FALSE)&lt;&gt;0,VLOOKUP($A27,$A:CT,COLUMN(CJ26),FALSE)/VLOOKUP($A27,$A:AV,COLUMN(M26),FALSE),IF(VLOOKUP($A27,$A:CT,COLUMN(CJ26),FALSE)&lt;&gt;0,"Strange",0))</f>
        <v>0</v>
      </c>
      <c r="CX27" s="33">
        <f>IF(VLOOKUP($A27,$A:CS,COLUMN(F26),FALSE)&lt;&gt;0,VLOOKUP($A27,$A:CS,COLUMN(CL26),FALSE)/VLOOKUP($A27,$A:AU,COLUMN(F26),FALSE),IF(VLOOKUP($A27,$A:CS,COLUMN(CL26),FALSE)&lt;&gt;0,"Strange",0))</f>
        <v>0</v>
      </c>
      <c r="CY27" s="33">
        <f>IF(VLOOKUP($A27,$A:CS,COLUMN(L26),FALSE)&lt;&gt;0,VLOOKUP($A27,$A:CS,COLUMN(CM26),FALSE)/VLOOKUP($A27,$A:AU,COLUMN(L26),FALSE),IF(VLOOKUP($A27,$A:CS,COLUMN(CM26),FALSE)&lt;&gt;0,"Strange",0))</f>
        <v>0</v>
      </c>
      <c r="CZ27" s="33">
        <f>IF(VLOOKUP($A27,$A:CT,COLUMN(M26),FALSE)&lt;&gt;0,VLOOKUP($A27,$A:CT,COLUMN(CN26),FALSE)/VLOOKUP($A27,$A:AV,COLUMN(M26),FALSE),IF(VLOOKUP($A27,$A:CT,COLUMN(CN26),FALSE)&lt;&gt;0,"Strange",0))</f>
        <v>0</v>
      </c>
      <c r="DB27" s="33">
        <f>IF(VLOOKUP($A27,$A:CS,COLUMN(F26),FALSE)&lt;&gt;0,VLOOKUP($A27,$A:CS,COLUMN(CP26),FALSE)/VLOOKUP($A27,$A:AU,COLUMN(F26),FALSE),IF(VLOOKUP($A27,$A:CS,COLUMN(CP26),FALSE)&lt;&gt;0,"Strange",0))</f>
        <v>0</v>
      </c>
      <c r="DC27" s="33">
        <f>IF(VLOOKUP($A27,$A:CS,COLUMN(L26),FALSE)&lt;&gt;0,VLOOKUP($A27,$A:CS,COLUMN(CQ26),FALSE)/VLOOKUP($A27,$A:AU,COLUMN(L26),FALSE),IF(VLOOKUP($A27,$A:CS,COLUMN(CQ26),FALSE)&lt;&gt;0,"Strange",0))</f>
        <v>0</v>
      </c>
      <c r="DD27" s="33">
        <f>IF(VLOOKUP($A27,$A:CT,COLUMN(M26),FALSE)&lt;&gt;0,VLOOKUP($A27,$A:CT,COLUMN(CR26),FALSE)/VLOOKUP($A27,$A:AV,COLUMN(M26),FALSE),IF(VLOOKUP($A27,$A:CT,COLUMN(CR26),FALSE)&lt;&gt;0,"Strange",0))</f>
        <v>0</v>
      </c>
      <c r="DF27" s="33">
        <f>SUMIFS('Bilateral assistance, MAIN DATA'!$M:$M,'Bilateral assistance, MAIN DATA'!$B:$B,'Share, heavy weapons to Ukraine'!$A27,'Bilateral assistance, MAIN DATA'!$AO:$AO,'Share, heavy weapons to Ukraine'!DF$1, 'Bilateral assistance, MAIN DATA'!$AA:$AA,1)</f>
        <v>0</v>
      </c>
      <c r="DG27" s="33">
        <f>SUMIFS('Bilateral assistance, MAIN DATA'!$M:$M,'Bilateral assistance, MAIN DATA'!$B:$B,'Share, heavy weapons to Ukraine'!$A27,'Bilateral assistance, MAIN DATA'!$AO:$AO,'Share, heavy weapons to Ukraine'!DG$1, 'Bilateral assistance, MAIN DATA'!$AA:$AA,1)</f>
        <v>0</v>
      </c>
      <c r="DH27" s="33">
        <f>SUMIFS('Bilateral assistance, MAIN DATA'!$M:$M,'Bilateral assistance, MAIN DATA'!$B:$B,'Share, heavy weapons to Ukraine'!$A27,'Bilateral assistance, MAIN DATA'!$AO:$AO,'Share, heavy weapons to Ukraine'!DH$1, 'Bilateral assistance, MAIN DATA'!$AA:$AA,1)</f>
        <v>0</v>
      </c>
      <c r="DI27" s="33">
        <f>SUMIFS('Bilateral assistance, MAIN DATA'!$M:$M,'Bilateral assistance, MAIN DATA'!$B:$B,'Share, heavy weapons to Ukraine'!$A27,'Bilateral assistance, MAIN DATA'!$AO:$AO,'Share, heavy weapons to Ukraine'!DI$1, 'Bilateral assistance, MAIN DATA'!$AA:$AA,1)</f>
        <v>0</v>
      </c>
      <c r="DK27" s="33">
        <f>SUMIFS('Bilateral assistance, MAIN DATA'!$N:$N,'Bilateral assistance, MAIN DATA'!$B:$B,'Share, heavy weapons to Ukraine'!$A27,'Bilateral assistance, MAIN DATA'!$AO:$AO,'Share, heavy weapons to Ukraine'!DK$1, 'Bilateral assistance, MAIN DATA'!$AA:$AA,1)</f>
        <v>0</v>
      </c>
      <c r="DL27" s="33">
        <f>SUMIFS('Bilateral assistance, MAIN DATA'!$N:$N,'Bilateral assistance, MAIN DATA'!$B:$B,'Share, heavy weapons to Ukraine'!$A27,'Bilateral assistance, MAIN DATA'!$AO:$AO,'Share, heavy weapons to Ukraine'!DL$1, 'Bilateral assistance, MAIN DATA'!$AA:$AA,1)</f>
        <v>0</v>
      </c>
      <c r="DM27" s="33">
        <f>SUMIFS('Bilateral assistance, MAIN DATA'!$N:$N,'Bilateral assistance, MAIN DATA'!$B:$B,'Share, heavy weapons to Ukraine'!$A27,'Bilateral assistance, MAIN DATA'!$AO:$AO,'Share, heavy weapons to Ukraine'!DM$1, 'Bilateral assistance, MAIN DATA'!$AA:$AA,1)</f>
        <v>0</v>
      </c>
      <c r="DN27" s="33">
        <f>SUMIFS('Bilateral assistance, MAIN DATA'!$N:$N,'Bilateral assistance, MAIN DATA'!$B:$B,'Share, heavy weapons to Ukraine'!$A27,'Bilateral assistance, MAIN DATA'!$AO:$AO,'Share, heavy weapons to Ukraine'!DN$1, 'Bilateral assistance, MAIN DATA'!$AA:$AA,1)</f>
        <v>0</v>
      </c>
    </row>
    <row r="28" spans="1:118">
      <c r="A28" s="801" t="s">
        <v>1383</v>
      </c>
      <c r="B28" s="801">
        <v>0</v>
      </c>
      <c r="C28" s="33">
        <v>1</v>
      </c>
      <c r="E28" s="802">
        <v>1.28</v>
      </c>
      <c r="F28" s="801">
        <f>VLOOKUP(A28,'Heavy weapon stocks'!A:OH,COLUMN('Heavy weapon stocks'!$G$1),0)</f>
        <v>0</v>
      </c>
      <c r="G28" s="801">
        <f>VLOOKUP(A28,'Heavy weapon stocks'!A:OH,COLUMN('Heavy weapon stocks'!$AW$1),0)</f>
        <v>74</v>
      </c>
      <c r="H28" s="801">
        <f>VLOOKUP(A28,'Heavy weapon stocks'!A:OH,COLUMN('Heavy weapon stocks'!$DQ$1),0)</f>
        <v>0</v>
      </c>
      <c r="I28" s="801">
        <f>VLOOKUP(A28,'Heavy weapon stocks'!A:OH,COLUMN('Heavy weapon stocks'!$EE$1),0)</f>
        <v>0</v>
      </c>
      <c r="J28" s="801">
        <f>VLOOKUP(A28,'Heavy weapon stocks'!A:OH,COLUMN('Heavy weapon stocks'!$FG$1),0)</f>
        <v>0</v>
      </c>
      <c r="K28" s="801">
        <f t="shared" si="3"/>
        <v>74</v>
      </c>
      <c r="L28" s="801">
        <f>VLOOKUP(A28,'Heavy weapon stocks'!A:OH,COLUMN('Heavy weapon stocks'!$HC$1),0)+VLOOKUP(A28,'Heavy weapon stocks'!A:OH,COLUMN('Heavy weapon stocks'!$II$1),0)</f>
        <v>0</v>
      </c>
      <c r="M28" s="801">
        <f>VLOOKUP(A28,'Heavy weapon stocks'!A:OH,COLUMN('Heavy weapon stocks'!$IN$1),0)</f>
        <v>0</v>
      </c>
      <c r="N28" s="801">
        <f>VLOOKUP(A28,'Heavy weapon stocks'!A:OH,COLUMN('Heavy weapon stocks'!$JH$1),0)+VLOOKUP(A28,'Heavy weapon stocks'!A:OH,COLUMN('Heavy weapon stocks'!$KE$1),0)</f>
        <v>0</v>
      </c>
      <c r="O28" s="801">
        <f>VLOOKUP(A28,'Heavy weapon stocks'!A:OH,COLUMN('Heavy weapon stocks'!$LU$1),0)</f>
        <v>0</v>
      </c>
      <c r="Q28" s="801">
        <f>VLOOKUP(A28,'Heavy weapon stocks'!A:OH,COLUMN('Heavy weapon stocks'!$LV$1),0)</f>
        <v>0</v>
      </c>
      <c r="R28" s="801">
        <f>VLOOKUP(A28,'Heavy weapon stocks'!A:OH,COLUMN('Heavy weapon stocks'!$MF$1),0)</f>
        <v>0</v>
      </c>
      <c r="S28" s="801">
        <f>VLOOKUP(A28,'Heavy weapon stocks'!A:OH,COLUMN('Heavy weapon stocks'!$MM$1),0)</f>
        <v>0</v>
      </c>
      <c r="T28" s="801">
        <f>VLOOKUP(A28,'Heavy weapon stocks'!A:OH,COLUMN('Heavy weapon stocks'!$NR$1),0)</f>
        <v>0</v>
      </c>
      <c r="V28" s="801">
        <f>VLOOKUP(A28,'Heavy weapon stocks'!A:OH,COLUMN('Heavy weapon stocks'!$H$1),0)</f>
        <v>0</v>
      </c>
      <c r="W28" s="801">
        <f>VLOOKUP(A28,'Heavy weapon stocks'!A:OH,COLUMN('Heavy weapon stocks'!$DQ$1),0)</f>
        <v>0</v>
      </c>
      <c r="X28" s="801">
        <f>VLOOKUP(A28,'Heavy weapon stocks'!A:OH,COLUMN('Heavy weapon stocks'!$FG$1),0)</f>
        <v>0</v>
      </c>
      <c r="Y28" s="801">
        <f>VLOOKUP(A28,'Heavy weapon stocks'!A:OH,COLUMN('Heavy weapon stocks'!$HC$1),0)+VLOOKUP(A28,'Heavy weapon stocks'!A:OH,COLUMN('Heavy weapon stocks'!$II$1),0)</f>
        <v>0</v>
      </c>
      <c r="Z28" s="801">
        <f>VLOOKUP(A28,'Heavy weapon stocks'!A:OH,COLUMN('Heavy weapon stocks'!$IO$1),0)+VLOOKUP(A28,'Heavy weapon stocks'!A:OH,COLUMN('Heavy weapon stocks'!$IP$1),0)+VLOOKUP(A28,'Heavy weapon stocks'!A:OH,COLUMN('Heavy weapon stocks'!$IU$1),0)</f>
        <v>0</v>
      </c>
      <c r="AA28" s="801">
        <f>VLOOKUP(A28,'Heavy weapon stocks'!A:OH,COLUMN('Heavy weapon stocks'!$MI$1),0)</f>
        <v>0</v>
      </c>
      <c r="AB28" s="801">
        <f>VLOOKUP(A28,'Heavy weapon stocks'!A:OH,COLUMN('Heavy weapon stocks'!$MS$1),0)+VLOOKUP(A28,'Heavy weapon stocks'!A:OH,COLUMN('Heavy weapon stocks'!$MT$1),0)+VLOOKUP(A28,'Heavy weapon stocks'!A:OH,COLUMN('Heavy weapon stocks'!$MU$1),0)+VLOOKUP(A28,'Heavy weapon stocks'!A:OH,COLUMN('Heavy weapon stocks'!$MV$1),0)</f>
        <v>0</v>
      </c>
      <c r="AD28" s="33">
        <f>SUMIFS('Bilateral assistance, MAIN DATA'!$M:$M,'Bilateral assistance, MAIN DATA'!$B:$B,'Share, heavy weapons to Ukraine'!$A28,'Bilateral assistance, MAIN DATA'!$AO:$AO,'Share, heavy weapons to Ukraine'!AD$1)</f>
        <v>0</v>
      </c>
      <c r="AE28" s="33">
        <f>SUMIFS('Bilateral assistance, MAIN DATA'!$M:$M,'Bilateral assistance, MAIN DATA'!$B:$B,'Share, heavy weapons to Ukraine'!$A28,'Bilateral assistance, MAIN DATA'!$AO:$AO,'Share, heavy weapons to Ukraine'!AE$1)</f>
        <v>0</v>
      </c>
      <c r="AF28" s="33">
        <f>SUMIFS('Bilateral assistance, MAIN DATA'!$M:$M,'Bilateral assistance, MAIN DATA'!$B:$B,'Share, heavy weapons to Ukraine'!$A28,'Bilateral assistance, MAIN DATA'!$AO:$AO,'Share, heavy weapons to Ukraine'!AF$1)</f>
        <v>0</v>
      </c>
      <c r="AG28" s="33">
        <f>SUMIFS('Bilateral assistance, MAIN DATA'!$M:$M,'Bilateral assistance, MAIN DATA'!$B:$B,'Share, heavy weapons to Ukraine'!$A28,'Bilateral assistance, MAIN DATA'!$AO:$AO,'Share, heavy weapons to Ukraine'!AG$1)</f>
        <v>0</v>
      </c>
      <c r="AH28" s="33">
        <f>SUMIFS('Bilateral assistance, MAIN DATA'!$M:$M,'Bilateral assistance, MAIN DATA'!$B:$B,'Share, heavy weapons to Ukraine'!$A28,'Bilateral assistance, MAIN DATA'!$AO:$AO,'Share, heavy weapons to Ukraine'!AH$1)</f>
        <v>0</v>
      </c>
      <c r="AI28" s="33">
        <f t="shared" si="1"/>
        <v>0</v>
      </c>
      <c r="AJ28" s="33">
        <f>SUMIFS('Bilateral assistance, MAIN DATA'!$M:$M,'Bilateral assistance, MAIN DATA'!$B:$B,'Share, heavy weapons to Ukraine'!$A28,'Bilateral assistance, MAIN DATA'!$AO:$AO,'Share, heavy weapons to Ukraine'!AJ$1)</f>
        <v>0</v>
      </c>
      <c r="AK28" s="645">
        <f>SUMIFS('Bilateral assistance, MAIN DATA'!$M:$M,'Bilateral assistance, MAIN DATA'!$B:$B,'Share, heavy weapons to Ukraine'!$A28,'Bilateral assistance, MAIN DATA'!$AO:$AO,"122mm MLRS")+SUMIFS('Bilateral assistance, MAIN DATA'!$M:$M,'Bilateral assistance, MAIN DATA'!$B:$B,'Share, heavy weapons to Ukraine'!$A28,'Bilateral assistance, MAIN DATA'!$AO:$AO,"127mm MLRS")+SUMIFS('Bilateral assistance, MAIN DATA'!$M:$M,'Bilateral assistance, MAIN DATA'!$B:$B,'Share, heavy weapons to Ukraine'!$A28,'Bilateral assistance, MAIN DATA'!$AO:$AO,"227mm MLRS")</f>
        <v>0</v>
      </c>
      <c r="AL28" s="33">
        <f>SUMIFS('Bilateral assistance, MAIN DATA'!$M:$M,'Bilateral assistance, MAIN DATA'!$B:$B,'Share, heavy weapons to Ukraine'!$A28,'Bilateral assistance, MAIN DATA'!$AO:$AO,'Share, heavy weapons to Ukraine'!AL$1)</f>
        <v>0</v>
      </c>
      <c r="AM28" s="33">
        <f>SUMIFS('Bilateral assistance, MAIN DATA'!$M:$M,'Bilateral assistance, MAIN DATA'!$B:$B,'Share, heavy weapons to Ukraine'!$A28,'Bilateral assistance, MAIN DATA'!$AO:$AO,'Share, heavy weapons to Ukraine'!AM$1)</f>
        <v>0</v>
      </c>
      <c r="AN28" s="33">
        <f>SUMIFS('Bilateral assistance, MAIN DATA'!$M:$M,'Bilateral assistance, MAIN DATA'!$B:$B,'Share, heavy weapons to Ukraine'!$A28,'Bilateral assistance, MAIN DATA'!$AO:$AO,'Share, heavy weapons to Ukraine'!AN$1)</f>
        <v>0</v>
      </c>
      <c r="AO28" s="33">
        <f>SUMIFS('Bilateral assistance, MAIN DATA'!$M:$M,'Bilateral assistance, MAIN DATA'!$B:$B,'Share, heavy weapons to Ukraine'!$A28,'Bilateral assistance, MAIN DATA'!$AO:$AO,'Share, heavy weapons to Ukraine'!AO$1)</f>
        <v>0</v>
      </c>
      <c r="AP28" s="33">
        <f>SUMIFS('Bilateral assistance, MAIN DATA'!$M:$M,'Bilateral assistance, MAIN DATA'!$B:$B,'Share, heavy weapons to Ukraine'!$A28,'Bilateral assistance, MAIN DATA'!$AO:$AO,'Share, heavy weapons to Ukraine'!AP$1)</f>
        <v>0</v>
      </c>
      <c r="AR28" s="33">
        <f>SUMIFS('Bilateral assistance, MAIN DATA'!$N:$N,'Bilateral assistance, MAIN DATA'!$B:$B,'Share, heavy weapons to Ukraine'!$A28,'Bilateral assistance, MAIN DATA'!$AO:$AO,'Share, heavy weapons to Ukraine'!AR$1)</f>
        <v>0</v>
      </c>
      <c r="AS28" s="33">
        <f>SUMIFS('Bilateral assistance, MAIN DATA'!$N:$N,'Bilateral assistance, MAIN DATA'!$B:$B,'Share, heavy weapons to Ukraine'!$A28,'Bilateral assistance, MAIN DATA'!$AO:$AO,'Share, heavy weapons to Ukraine'!AS$1)</f>
        <v>0</v>
      </c>
      <c r="AT28" s="33">
        <f>SUMIFS('Bilateral assistance, MAIN DATA'!$N:$N,'Bilateral assistance, MAIN DATA'!$B:$B,'Share, heavy weapons to Ukraine'!$A28,'Bilateral assistance, MAIN DATA'!$AO:$AO,'Share, heavy weapons to Ukraine'!AT$1)</f>
        <v>0</v>
      </c>
      <c r="AU28" s="33">
        <f>SUMIFS('Bilateral assistance, MAIN DATA'!$N:$N,'Bilateral assistance, MAIN DATA'!$B:$B,'Share, heavy weapons to Ukraine'!$A28,'Bilateral assistance, MAIN DATA'!$AO:$AO,'Share, heavy weapons to Ukraine'!AU$1)</f>
        <v>0</v>
      </c>
      <c r="AV28" s="33">
        <f>SUMIFS('Bilateral assistance, MAIN DATA'!$N:$N,'Bilateral assistance, MAIN DATA'!$B:$B,'Share, heavy weapons to Ukraine'!$A28,'Bilateral assistance, MAIN DATA'!$AO:$AO,'Share, heavy weapons to Ukraine'!AV$1)</f>
        <v>0</v>
      </c>
      <c r="AW28" s="33">
        <f t="shared" si="2"/>
        <v>0</v>
      </c>
      <c r="AX28" s="33">
        <f>SUMIFS('Bilateral assistance, MAIN DATA'!$N:$N,'Bilateral assistance, MAIN DATA'!$B:$B,'Share, heavy weapons to Ukraine'!$A28,'Bilateral assistance, MAIN DATA'!$AO:$AO,'Share, heavy weapons to Ukraine'!AX$1)</f>
        <v>0</v>
      </c>
      <c r="AY28" s="645">
        <f>SUMIFS('Bilateral assistance, MAIN DATA'!$N:$N,'Bilateral assistance, MAIN DATA'!$B:$B,'Share, heavy weapons to Ukraine'!$A28,'Bilateral assistance, MAIN DATA'!$AO:$AO,"122mm MLRS")+SUMIFS('Bilateral assistance, MAIN DATA'!$N:$N,'Bilateral assistance, MAIN DATA'!$B:$B,'Share, heavy weapons to Ukraine'!$A28,'Bilateral assistance, MAIN DATA'!$AO:$AO,"127mm MLRS")+SUMIFS('Bilateral assistance, MAIN DATA'!$N:$N,'Bilateral assistance, MAIN DATA'!$B:$B,'Share, heavy weapons to Ukraine'!$A28,'Bilateral assistance, MAIN DATA'!$AO:$AO,"227mm MLRS")</f>
        <v>0</v>
      </c>
      <c r="AZ28" s="33">
        <f>SUMIFS('Bilateral assistance, MAIN DATA'!$N:$N,'Bilateral assistance, MAIN DATA'!$B:$B,'Share, heavy weapons to Ukraine'!$A28,'Bilateral assistance, MAIN DATA'!$AO:$AO,'Share, heavy weapons to Ukraine'!AZ$1)</f>
        <v>0</v>
      </c>
      <c r="BA28" s="33">
        <f>SUMIFS('Bilateral assistance, MAIN DATA'!$N:$N,'Bilateral assistance, MAIN DATA'!$B:$B,'Share, heavy weapons to Ukraine'!$A28,'Bilateral assistance, MAIN DATA'!$AO:$AO,'Share, heavy weapons to Ukraine'!BA$1)</f>
        <v>0</v>
      </c>
      <c r="BB28" s="33">
        <f>SUMIFS('Bilateral assistance, MAIN DATA'!$N:$N,'Bilateral assistance, MAIN DATA'!$B:$B,'Share, heavy weapons to Ukraine'!$A28,'Bilateral assistance, MAIN DATA'!$AO:$AO,'Share, heavy weapons to Ukraine'!BB$1)</f>
        <v>0</v>
      </c>
      <c r="BC28" s="33">
        <f>SUMIFS('Bilateral assistance, MAIN DATA'!$N:$N,'Bilateral assistance, MAIN DATA'!$B:$B,'Share, heavy weapons to Ukraine'!$A28,'Bilateral assistance, MAIN DATA'!$AO:$AO,'Share, heavy weapons to Ukraine'!BC$1)</f>
        <v>0</v>
      </c>
      <c r="BD28" s="33">
        <f>SUMIFS('Bilateral assistance, MAIN DATA'!$N:$N,'Bilateral assistance, MAIN DATA'!$B:$B,'Share, heavy weapons to Ukraine'!$A28,'Bilateral assistance, MAIN DATA'!$AO:$AO,'Share, heavy weapons to Ukraine'!BD$1)</f>
        <v>0</v>
      </c>
      <c r="BF28" s="33">
        <f>IF(VLOOKUP($A28,$A:F,COLUMN(F27),FALSE)&lt;&gt;0,VLOOKUP($A28,$A:AD,COLUMN(AD27),FALSE)/VLOOKUP($A28,$A:F,COLUMN(F27),FALSE),IF(VLOOKUP($A28,$A:AD,COLUMN(AD27),FALSE)&lt;&gt;0,"Strange",0))</f>
        <v>0</v>
      </c>
      <c r="BG28" s="33">
        <f>IF(VLOOKUP($A28,$A:G,COLUMN(G27),FALSE)&lt;&gt;0,VLOOKUP($A28,$A:AE,COLUMN(AE27),FALSE)/VLOOKUP($A28,$A:G,COLUMN(G27),FALSE),IF(VLOOKUP($A28,$A:AE,COLUMN(AE27),FALSE)&lt;&gt;0,"Strange",0))</f>
        <v>0</v>
      </c>
      <c r="BH28" s="33">
        <f>IF(VLOOKUP($A28,$A:H,COLUMN(H27),FALSE)&lt;&gt;0,VLOOKUP($A28,$A:AF,COLUMN(AF27),FALSE)/VLOOKUP($A28,$A:H,COLUMN(H27),FALSE),IF(VLOOKUP($A28,$A:AF,COLUMN(AF27),FALSE)&lt;&gt;0,"Strange",0))</f>
        <v>0</v>
      </c>
      <c r="BI28" s="33">
        <f>IF(VLOOKUP($A28,$A:I,COLUMN(I27),FALSE)&lt;&gt;0,VLOOKUP($A28,$A:AG,COLUMN(AG27),FALSE)/VLOOKUP($A28,$A:I,COLUMN(I27),FALSE),IF(VLOOKUP($A28,$A:AG,COLUMN(AG27),FALSE)&lt;&gt;0,"Strange",0))</f>
        <v>0</v>
      </c>
      <c r="BJ28" s="33">
        <f>IF(VLOOKUP($A28,$A:J,COLUMN(J27),FALSE)&lt;&gt;0,VLOOKUP($A28,$A:AH,COLUMN(AH27),FALSE)/VLOOKUP($A28,$A:J,COLUMN(J27),FALSE),IF(VLOOKUP($A28,$A:AH,COLUMN(AH27),FALSE)&lt;&gt;0,"Strange",0))</f>
        <v>0</v>
      </c>
      <c r="BK28" s="33">
        <f>IF(VLOOKUP($A28,$A:K,COLUMN(K27),FALSE)&lt;&gt;0,VLOOKUP($A28,$A:AI,COLUMN(AI27),FALSE)/VLOOKUP($A28,$A:K,COLUMN(K27),FALSE),IF(VLOOKUP($A28,$A:AI,COLUMN(AI27),FALSE)&lt;&gt;0,"Strange",0))</f>
        <v>0</v>
      </c>
      <c r="BL28" s="33">
        <f>IF(VLOOKUP($A28,$A:L,COLUMN(L27),FALSE)&lt;&gt;0,VLOOKUP($A28,$A:AJ,COLUMN(AJ27),FALSE)/VLOOKUP($A28,$A:L,COLUMN(L27),FALSE),IF(VLOOKUP($A28,$A:AJ,COLUMN(AJ27),FALSE)&lt;&gt;0,"Strange",0))</f>
        <v>0</v>
      </c>
      <c r="BM28" s="33">
        <f>IF(VLOOKUP($A28,$A:M,COLUMN(M27),FALSE)&lt;&gt;0,VLOOKUP($A28,$A:AK,COLUMN(AK27),FALSE)/VLOOKUP($A28,$A:M,COLUMN(M27),FALSE),IF(VLOOKUP($A28,$A:AK,COLUMN(AK27),FALSE)&lt;&gt;0,"Strange",0))</f>
        <v>0</v>
      </c>
      <c r="BN28" s="33">
        <f>IF(VLOOKUP($A28,$A:N,COLUMN(N27),FALSE)&lt;&gt;0,VLOOKUP($A28,$A:AL,COLUMN(AL27),FALSE)/VLOOKUP($A28,$A:N,COLUMN(N27),FALSE),IF(VLOOKUP($A28,$A:AL,COLUMN(AL27),FALSE)&lt;&gt;0,"Strange",0))</f>
        <v>0</v>
      </c>
      <c r="BO28" s="33">
        <f>IF(VLOOKUP($A28,$A:Q,COLUMN(Q27),FALSE)&lt;&gt;0,VLOOKUP($A28,$A:AM,COLUMN(AM27),FALSE)/VLOOKUP($A28,$A:Q,COLUMN(Q27),FALSE),IF(VLOOKUP($A28,$A:AM,COLUMN(AM27),FALSE)&lt;&gt;0,"Strange",0))</f>
        <v>0</v>
      </c>
      <c r="BP28" s="33">
        <f>IF(VLOOKUP($A28,$A:R,COLUMN(R27),FALSE)&lt;&gt;0,VLOOKUP($A28,$A:AN,COLUMN(AN27),FALSE)/VLOOKUP($A28,$A:R,COLUMN(R27),FALSE),IF(VLOOKUP($A28,$A:AN,COLUMN(AN27),FALSE)&lt;&gt;0,"Strange",0))</f>
        <v>0</v>
      </c>
      <c r="BQ28" s="33">
        <f>IF(VLOOKUP($A28,$A:S,COLUMN(S27),FALSE)&lt;&gt;0,VLOOKUP($A28,$A:AO,COLUMN(AO27),FALSE)/VLOOKUP($A28,$A:S,COLUMN(S27),FALSE),IF(VLOOKUP($A28,$A:AO,COLUMN(AO27),FALSE)&lt;&gt;0,"Strange",0))</f>
        <v>0</v>
      </c>
      <c r="BR28" s="33">
        <f>IF(VLOOKUP($A28,$A:T,COLUMN(T27),FALSE)&lt;&gt;0,VLOOKUP($A28,$A:AP,COLUMN(AP27),FALSE)/VLOOKUP($A28,$A:T,COLUMN(T27),FALSE),IF(VLOOKUP($A28,$A:AP,COLUMN(AP27),FALSE)&lt;&gt;0,"Strange",0))</f>
        <v>0</v>
      </c>
      <c r="BT28" s="33">
        <f>IF(VLOOKUP($A28,$A:AE,COLUMN(F27),FALSE)&lt;&gt;0,VLOOKUP($A28,$A:AS,COLUMN(AR27),FALSE)/VLOOKUP($A28,$A:AE,COLUMN(F27),FALSE),IF(VLOOKUP($A28,$A:AS,COLUMN(AR27),FALSE)&lt;&gt;0,"Strange",0))</f>
        <v>0</v>
      </c>
      <c r="BU28" s="33">
        <f>IF(VLOOKUP($A28,$A:AF,COLUMN(G27),FALSE)&lt;&gt;0,VLOOKUP($A28,$A:AT,COLUMN(AS27),FALSE)/VLOOKUP($A28,$A:AF,COLUMN(G27),FALSE),IF(VLOOKUP($A28,$A:AT,COLUMN(AS27),FALSE)&lt;&gt;0,"Strange",0))</f>
        <v>0</v>
      </c>
      <c r="BV28" s="33">
        <f>IF(VLOOKUP($A28,$A:AG,COLUMN(H27),FALSE)&lt;&gt;0,VLOOKUP($A28,$A:AU,COLUMN(AT27),FALSE)/VLOOKUP($A28,$A:AG,COLUMN(H27),FALSE),IF(VLOOKUP($A28,$A:AU,COLUMN(AT27),FALSE)&lt;&gt;0,"Strange",0))</f>
        <v>0</v>
      </c>
      <c r="BW28" s="33">
        <f>IF(VLOOKUP($A28,$A:AH,COLUMN(I27),FALSE)&lt;&gt;0,VLOOKUP($A28,$A:AV,COLUMN(AU27),FALSE)/VLOOKUP($A28,$A:AH,COLUMN(I27),FALSE),IF(VLOOKUP($A28,$A:AV,COLUMN(AU27),FALSE)&lt;&gt;0,"Strange",0))</f>
        <v>0</v>
      </c>
      <c r="BX28" s="33">
        <f>IF(VLOOKUP($A28,$A:AJ,COLUMN(J27),FALSE)&lt;&gt;0,VLOOKUP($A28,$A:AX,COLUMN(AV27),FALSE)/VLOOKUP($A28,$A:AJ,COLUMN(J27),FALSE),IF(VLOOKUP($A28,$A:AX,COLUMN(AV27),FALSE)&lt;&gt;0,"Strange",0))</f>
        <v>0</v>
      </c>
      <c r="BY28" s="33">
        <f>IF(VLOOKUP($A28,$A:AK,COLUMN(K27),FALSE)&lt;&gt;0,VLOOKUP($A28,$A:AY,COLUMN(AW27),FALSE)/VLOOKUP($A28,$A:AK,COLUMN(K27),FALSE),IF(VLOOKUP($A28,$A:AY,COLUMN(AW27),FALSE)&lt;&gt;0,"Strange",0))</f>
        <v>0</v>
      </c>
      <c r="BZ28" s="33">
        <f>IF(VLOOKUP($A28,$A:AK,COLUMN(L27),FALSE)&lt;&gt;0,VLOOKUP($A28,$A:AY,COLUMN(AX27),FALSE)/VLOOKUP($A28,$A:AK,COLUMN(L27),FALSE),IF(VLOOKUP($A28,$A:AY,COLUMN(AX27),FALSE)&lt;&gt;0,"Strange",0))</f>
        <v>0</v>
      </c>
      <c r="CA28" s="33">
        <f>IF(VLOOKUP($A28,$A:AL,COLUMN(M27),FALSE)&lt;&gt;0,VLOOKUP($A28,$A:AZ,COLUMN(AY27),FALSE)/VLOOKUP($A28,$A:AL,COLUMN(M27),FALSE),IF(VLOOKUP($A28,$A:AZ,COLUMN(AY27),FALSE)&lt;&gt;0,"Strange",0))</f>
        <v>0</v>
      </c>
      <c r="CB28" s="33">
        <f>IF(VLOOKUP($A28,$A:AL,COLUMN(N27),FALSE)&lt;&gt;0,VLOOKUP($A28,$A:AZ,COLUMN(AZ27),FALSE)/VLOOKUP($A28,$A:AL,COLUMN(N27),FALSE),IF(VLOOKUP($A28,$A:AZ,COLUMN(AZ27),FALSE)&lt;&gt;0,"Strange",0))</f>
        <v>0</v>
      </c>
      <c r="CC28" s="33">
        <f>IF(VLOOKUP($A28,$A:AM,COLUMN(Q27),FALSE)&lt;&gt;0,VLOOKUP($A28,$A:BA,COLUMN(BA27),FALSE)/VLOOKUP($A28,$A:AM,COLUMN(Q27),FALSE),IF(VLOOKUP($A28,$A:BA,COLUMN(BA27),FALSE)&lt;&gt;0,"Strange",0))</f>
        <v>0</v>
      </c>
      <c r="CD28" s="33">
        <f>IF(VLOOKUP($A28,$A:AN,COLUMN(R27),FALSE)&lt;&gt;0,VLOOKUP($A28,$A:BB,COLUMN(BB27),FALSE)/VLOOKUP($A28,$A:AN,COLUMN(R27),FALSE),IF(VLOOKUP($A28,$A:BB,COLUMN(BB27),FALSE)&lt;&gt;0,"Strange",0))</f>
        <v>0</v>
      </c>
      <c r="CE28" s="33">
        <f>IF(VLOOKUP($A28,$A:AO,COLUMN(S27),FALSE)&lt;&gt;0,VLOOKUP($A28,$A:BC,COLUMN(BC27),FALSE)/VLOOKUP($A28,$A:AO,COLUMN(S27),FALSE),IF(VLOOKUP($A28,$A:BC,COLUMN(BC27),FALSE)&lt;&gt;0,"Strange",0))</f>
        <v>0</v>
      </c>
      <c r="CF28" s="33">
        <f>IF(VLOOKUP($A28,$A:AP,COLUMN(T27),FALSE)&lt;&gt;0,VLOOKUP($A28,$A:BD,COLUMN(BD27),FALSE)/VLOOKUP($A28,$A:AP,COLUMN(T27),FALSE),IF(VLOOKUP($A28,$A:BD,COLUMN(BD27),FALSE)&lt;&gt;0,"Strange",0))</f>
        <v>0</v>
      </c>
      <c r="CH28" s="33">
        <f>SUMIFS('Bilateral assistance, MAIN DATA'!$M:$M,'Bilateral assistance, MAIN DATA'!$B:$B,'Share, heavy weapons to Ukraine'!$A28,'Bilateral assistance, MAIN DATA'!$AO:$AO,'Share, heavy weapons to Ukraine'!CH$1,'Bilateral assistance, MAIN DATA'!$AQ:$AQ,2)</f>
        <v>0</v>
      </c>
      <c r="CI28" s="33">
        <f>SUMIFS('Bilateral assistance, MAIN DATA'!$M:$M,'Bilateral assistance, MAIN DATA'!$B:$B,'Share, heavy weapons to Ukraine'!$A28,'Bilateral assistance, MAIN DATA'!$AO:$AO,'Share, heavy weapons to Ukraine'!CI$1,'Bilateral assistance, MAIN DATA'!$AQ:$AQ,2)</f>
        <v>0</v>
      </c>
      <c r="CJ28" s="645">
        <f>SUMIFS('Bilateral assistance, MAIN DATA'!$M:$M,'Bilateral assistance, MAIN DATA'!$B:$B,'Share, heavy weapons to Ukraine'!$A28,'Bilateral assistance, MAIN DATA'!$AO:$AO,"122mm MLRS",'Bilateral assistance, MAIN DATA'!$AQ:$AQ,2)+SUMIFS('Bilateral assistance, MAIN DATA'!$M:$M,'Bilateral assistance, MAIN DATA'!$B:$B,'Share, heavy weapons to Ukraine'!$A28,'Bilateral assistance, MAIN DATA'!$AO:$AO,"127mm MLRS",'Bilateral assistance, MAIN DATA'!$AQ:$AQ,2)+SUMIFS('Bilateral assistance, MAIN DATA'!$M:$M,'Bilateral assistance, MAIN DATA'!$B:$B,'Share, heavy weapons to Ukraine'!$A28,'Bilateral assistance, MAIN DATA'!$AO:$AO,"227mm MLRS",'Bilateral assistance, MAIN DATA'!$AQ:$AQ,2)</f>
        <v>0</v>
      </c>
      <c r="CL28" s="33">
        <f>SUMIFS('Bilateral assistance, MAIN DATA'!$M:$M,'Bilateral assistance, MAIN DATA'!$B:$B,'Share, heavy weapons to Ukraine'!$A28,'Bilateral assistance, MAIN DATA'!$AO:$AO,'Share, heavy weapons to Ukraine'!CH$1,'Bilateral assistance, MAIN DATA'!$AQ:$AQ,1)</f>
        <v>0</v>
      </c>
      <c r="CM28" s="33">
        <f>SUMIFS('Bilateral assistance, MAIN DATA'!$M:$M,'Bilateral assistance, MAIN DATA'!$B:$B,'Share, heavy weapons to Ukraine'!$A28,'Bilateral assistance, MAIN DATA'!$AO:$AO,'Share, heavy weapons to Ukraine'!CI$1,'Bilateral assistance, MAIN DATA'!$AQ:$AQ,1)</f>
        <v>0</v>
      </c>
      <c r="CN28" s="645">
        <f>SUMIFS('Bilateral assistance, MAIN DATA'!$M:$M,'Bilateral assistance, MAIN DATA'!$B:$B,'Share, heavy weapons to Ukraine'!$A28,'Bilateral assistance, MAIN DATA'!$AO:$AO,"122mm MLRS",'Bilateral assistance, MAIN DATA'!$AQ:$AQ,1)+SUMIFS('Bilateral assistance, MAIN DATA'!$M:$M,'Bilateral assistance, MAIN DATA'!$B:$B,'Share, heavy weapons to Ukraine'!$A28,'Bilateral assistance, MAIN DATA'!$AO:$AO,"127mm MLRS",'Bilateral assistance, MAIN DATA'!$AQ:$AQ,1)+SUMIFS('Bilateral assistance, MAIN DATA'!$M:$M,'Bilateral assistance, MAIN DATA'!$B:$B,'Share, heavy weapons to Ukraine'!$A28,'Bilateral assistance, MAIN DATA'!$AO:$AO,"227mm MLRS",'Bilateral assistance, MAIN DATA'!$AQ:$AQ,1)</f>
        <v>0</v>
      </c>
      <c r="CP28" s="33">
        <f>SUMIFS('Bilateral assistance, MAIN DATA'!$M:$M,'Bilateral assistance, MAIN DATA'!$B:$B,'Share, heavy weapons to Ukraine'!$A28,'Bilateral assistance, MAIN DATA'!$AO:$AO,'Share, heavy weapons to Ukraine'!CP$1,'Bilateral assistance, MAIN DATA'!$AQ:$AQ,0)</f>
        <v>0</v>
      </c>
      <c r="CQ28" s="33">
        <f>SUMIFS('Bilateral assistance, MAIN DATA'!$M:$M,'Bilateral assistance, MAIN DATA'!$B:$B,'Share, heavy weapons to Ukraine'!$A28,'Bilateral assistance, MAIN DATA'!$AO:$AO,'Share, heavy weapons to Ukraine'!CQ$1,'Bilateral assistance, MAIN DATA'!$AQ:$AQ,0)</f>
        <v>0</v>
      </c>
      <c r="CR28" s="645">
        <f>SUMIFS('Bilateral assistance, MAIN DATA'!$M:$M,'Bilateral assistance, MAIN DATA'!$B:$B,'Share, heavy weapons to Ukraine'!$A28,'Bilateral assistance, MAIN DATA'!$AO:$AO,"122mm MLRS",'Bilateral assistance, MAIN DATA'!$AQ:$AQ,0)+SUMIFS('Bilateral assistance, MAIN DATA'!$M:$M,'Bilateral assistance, MAIN DATA'!$B:$B,'Share, heavy weapons to Ukraine'!$A28,'Bilateral assistance, MAIN DATA'!$AO:$AO,"127mm MLRS",'Bilateral assistance, MAIN DATA'!$AQ:$AQ,0)+SUMIFS('Bilateral assistance, MAIN DATA'!$M:$M,'Bilateral assistance, MAIN DATA'!$B:$B,'Share, heavy weapons to Ukraine'!$A28,'Bilateral assistance, MAIN DATA'!$AO:$AO,"227mm MLRS",'Bilateral assistance, MAIN DATA'!$AQ:$AQ,0)</f>
        <v>0</v>
      </c>
      <c r="CT28" s="33">
        <f>IF(VLOOKUP($A28,$A:CS,COLUMN(F27),FALSE)&lt;&gt;0,VLOOKUP($A28,$A:CS,COLUMN(CH27),FALSE)/VLOOKUP($A28,$A:AU,COLUMN(F27),FALSE),IF(VLOOKUP($A28,$A:CS,COLUMN(CH27),FALSE)&lt;&gt;0,"Strange",0))</f>
        <v>0</v>
      </c>
      <c r="CU28" s="33">
        <f>IF(VLOOKUP($A28,$A:CS,COLUMN(L27),FALSE)&lt;&gt;0,VLOOKUP($A28,$A:CS,COLUMN(CI27),FALSE)/VLOOKUP($A28,$A:AU,COLUMN(L27),FALSE),IF(VLOOKUP($A28,$A:CS,COLUMN(CI27),FALSE)&lt;&gt;0,"Strange",0))</f>
        <v>0</v>
      </c>
      <c r="CV28" s="33">
        <f>IF(VLOOKUP($A28,$A:CT,COLUMN(M27),FALSE)&lt;&gt;0,VLOOKUP($A28,$A:CT,COLUMN(CJ27),FALSE)/VLOOKUP($A28,$A:AV,COLUMN(M27),FALSE),IF(VLOOKUP($A28,$A:CT,COLUMN(CJ27),FALSE)&lt;&gt;0,"Strange",0))</f>
        <v>0</v>
      </c>
      <c r="CX28" s="33">
        <f>IF(VLOOKUP($A28,$A:CS,COLUMN(F27),FALSE)&lt;&gt;0,VLOOKUP($A28,$A:CS,COLUMN(CL27),FALSE)/VLOOKUP($A28,$A:AU,COLUMN(F27),FALSE),IF(VLOOKUP($A28,$A:CS,COLUMN(CL27),FALSE)&lt;&gt;0,"Strange",0))</f>
        <v>0</v>
      </c>
      <c r="CY28" s="33">
        <f>IF(VLOOKUP($A28,$A:CS,COLUMN(L27),FALSE)&lt;&gt;0,VLOOKUP($A28,$A:CS,COLUMN(CM27),FALSE)/VLOOKUP($A28,$A:AU,COLUMN(L27),FALSE),IF(VLOOKUP($A28,$A:CS,COLUMN(CM27),FALSE)&lt;&gt;0,"Strange",0))</f>
        <v>0</v>
      </c>
      <c r="CZ28" s="33">
        <f>IF(VLOOKUP($A28,$A:CT,COLUMN(M27),FALSE)&lt;&gt;0,VLOOKUP($A28,$A:CT,COLUMN(CN27),FALSE)/VLOOKUP($A28,$A:AV,COLUMN(M27),FALSE),IF(VLOOKUP($A28,$A:CT,COLUMN(CN27),FALSE)&lt;&gt;0,"Strange",0))</f>
        <v>0</v>
      </c>
      <c r="DB28" s="33">
        <f>IF(VLOOKUP($A28,$A:CS,COLUMN(F27),FALSE)&lt;&gt;0,VLOOKUP($A28,$A:CS,COLUMN(CP27),FALSE)/VLOOKUP($A28,$A:AU,COLUMN(F27),FALSE),IF(VLOOKUP($A28,$A:CS,COLUMN(CP27),FALSE)&lt;&gt;0,"Strange",0))</f>
        <v>0</v>
      </c>
      <c r="DC28" s="33">
        <f>IF(VLOOKUP($A28,$A:CS,COLUMN(L27),FALSE)&lt;&gt;0,VLOOKUP($A28,$A:CS,COLUMN(CQ27),FALSE)/VLOOKUP($A28,$A:AU,COLUMN(L27),FALSE),IF(VLOOKUP($A28,$A:CS,COLUMN(CQ27),FALSE)&lt;&gt;0,"Strange",0))</f>
        <v>0</v>
      </c>
      <c r="DD28" s="33">
        <f>IF(VLOOKUP($A28,$A:CT,COLUMN(M27),FALSE)&lt;&gt;0,VLOOKUP($A28,$A:CT,COLUMN(CR27),FALSE)/VLOOKUP($A28,$A:AV,COLUMN(M27),FALSE),IF(VLOOKUP($A28,$A:CT,COLUMN(CR27),FALSE)&lt;&gt;0,"Strange",0))</f>
        <v>0</v>
      </c>
      <c r="DF28" s="33">
        <f>SUMIFS('Bilateral assistance, MAIN DATA'!$M:$M,'Bilateral assistance, MAIN DATA'!$B:$B,'Share, heavy weapons to Ukraine'!$A28,'Bilateral assistance, MAIN DATA'!$AO:$AO,'Share, heavy weapons to Ukraine'!DF$1, 'Bilateral assistance, MAIN DATA'!$AA:$AA,1)</f>
        <v>0</v>
      </c>
      <c r="DG28" s="33">
        <f>SUMIFS('Bilateral assistance, MAIN DATA'!$M:$M,'Bilateral assistance, MAIN DATA'!$B:$B,'Share, heavy weapons to Ukraine'!$A28,'Bilateral assistance, MAIN DATA'!$AO:$AO,'Share, heavy weapons to Ukraine'!DG$1, 'Bilateral assistance, MAIN DATA'!$AA:$AA,1)</f>
        <v>0</v>
      </c>
      <c r="DH28" s="33">
        <f>SUMIFS('Bilateral assistance, MAIN DATA'!$M:$M,'Bilateral assistance, MAIN DATA'!$B:$B,'Share, heavy weapons to Ukraine'!$A28,'Bilateral assistance, MAIN DATA'!$AO:$AO,'Share, heavy weapons to Ukraine'!DH$1, 'Bilateral assistance, MAIN DATA'!$AA:$AA,1)</f>
        <v>0</v>
      </c>
      <c r="DI28" s="33">
        <f>SUMIFS('Bilateral assistance, MAIN DATA'!$M:$M,'Bilateral assistance, MAIN DATA'!$B:$B,'Share, heavy weapons to Ukraine'!$A28,'Bilateral assistance, MAIN DATA'!$AO:$AO,'Share, heavy weapons to Ukraine'!DI$1, 'Bilateral assistance, MAIN DATA'!$AA:$AA,1)</f>
        <v>0</v>
      </c>
      <c r="DK28" s="33">
        <f>SUMIFS('Bilateral assistance, MAIN DATA'!$N:$N,'Bilateral assistance, MAIN DATA'!$B:$B,'Share, heavy weapons to Ukraine'!$A28,'Bilateral assistance, MAIN DATA'!$AO:$AO,'Share, heavy weapons to Ukraine'!DK$1, 'Bilateral assistance, MAIN DATA'!$AA:$AA,1)</f>
        <v>0</v>
      </c>
      <c r="DL28" s="33">
        <f>SUMIFS('Bilateral assistance, MAIN DATA'!$N:$N,'Bilateral assistance, MAIN DATA'!$B:$B,'Share, heavy weapons to Ukraine'!$A28,'Bilateral assistance, MAIN DATA'!$AO:$AO,'Share, heavy weapons to Ukraine'!DL$1, 'Bilateral assistance, MAIN DATA'!$AA:$AA,1)</f>
        <v>0</v>
      </c>
      <c r="DM28" s="33">
        <f>SUMIFS('Bilateral assistance, MAIN DATA'!$N:$N,'Bilateral assistance, MAIN DATA'!$B:$B,'Share, heavy weapons to Ukraine'!$A28,'Bilateral assistance, MAIN DATA'!$AO:$AO,'Share, heavy weapons to Ukraine'!DM$1, 'Bilateral assistance, MAIN DATA'!$AA:$AA,1)</f>
        <v>0</v>
      </c>
      <c r="DN28" s="33">
        <f>SUMIFS('Bilateral assistance, MAIN DATA'!$N:$N,'Bilateral assistance, MAIN DATA'!$B:$B,'Share, heavy weapons to Ukraine'!$A28,'Bilateral assistance, MAIN DATA'!$AO:$AO,'Share, heavy weapons to Ukraine'!DN$1, 'Bilateral assistance, MAIN DATA'!$AA:$AA,1)</f>
        <v>0</v>
      </c>
    </row>
    <row r="29" spans="1:118">
      <c r="A29" s="801" t="s">
        <v>1562</v>
      </c>
      <c r="B29" s="801">
        <v>0</v>
      </c>
      <c r="C29" s="33">
        <v>1</v>
      </c>
      <c r="E29" s="802">
        <v>1.25</v>
      </c>
      <c r="F29" s="801">
        <f>VLOOKUP(A29,'Heavy weapon stocks'!A:OH,COLUMN('Heavy weapon stocks'!$G$1),0)</f>
        <v>0</v>
      </c>
      <c r="G29" s="801">
        <f>VLOOKUP(A29,'Heavy weapon stocks'!A:OH,COLUMN('Heavy weapon stocks'!$AW$1),0)</f>
        <v>306</v>
      </c>
      <c r="H29" s="801">
        <f>VLOOKUP(A29,'Heavy weapon stocks'!A:OH,COLUMN('Heavy weapon stocks'!$DQ$1),0)</f>
        <v>0</v>
      </c>
      <c r="I29" s="801">
        <f>VLOOKUP(A29,'Heavy weapon stocks'!A:OH,COLUMN('Heavy weapon stocks'!$EE$1),0)</f>
        <v>0</v>
      </c>
      <c r="J29" s="801">
        <f>VLOOKUP(A29,'Heavy weapon stocks'!A:OH,COLUMN('Heavy weapon stocks'!$FG$1),0)</f>
        <v>30</v>
      </c>
      <c r="K29" s="801">
        <f t="shared" si="3"/>
        <v>336</v>
      </c>
      <c r="L29" s="801">
        <f>VLOOKUP(A29,'Heavy weapon stocks'!A:OH,COLUMN('Heavy weapon stocks'!$HC$1),0)+VLOOKUP(A29,'Heavy weapon stocks'!A:OH,COLUMN('Heavy weapon stocks'!$II$1),0)</f>
        <v>16</v>
      </c>
      <c r="M29" s="801">
        <f>VLOOKUP(A29,'Heavy weapon stocks'!A:OH,COLUMN('Heavy weapon stocks'!$IN$1),0)</f>
        <v>0</v>
      </c>
      <c r="N29" s="801">
        <f>VLOOKUP(A29,'Heavy weapon stocks'!A:OH,COLUMN('Heavy weapon stocks'!$JH$1),0)+VLOOKUP(A29,'Heavy weapon stocks'!A:OH,COLUMN('Heavy weapon stocks'!$KE$1),0)</f>
        <v>0</v>
      </c>
      <c r="O29" s="801">
        <f>VLOOKUP(A29,'Heavy weapon stocks'!A:OH,COLUMN('Heavy weapon stocks'!$LU$1),0)</f>
        <v>0</v>
      </c>
      <c r="Q29" s="801">
        <f>VLOOKUP(A29,'Heavy weapon stocks'!A:OH,COLUMN('Heavy weapon stocks'!$LV$1),0)</f>
        <v>0</v>
      </c>
      <c r="R29" s="801">
        <f>VLOOKUP(A29,'Heavy weapon stocks'!A:OH,COLUMN('Heavy weapon stocks'!$MF$1),0)</f>
        <v>0</v>
      </c>
      <c r="S29" s="801">
        <f>VLOOKUP(A29,'Heavy weapon stocks'!A:OH,COLUMN('Heavy weapon stocks'!$MM$1),0)</f>
        <v>4</v>
      </c>
      <c r="T29" s="801">
        <f>VLOOKUP(A29,'Heavy weapon stocks'!A:OH,COLUMN('Heavy weapon stocks'!$NR$1),0)</f>
        <v>0</v>
      </c>
      <c r="V29" s="801">
        <f>VLOOKUP(A29,'Heavy weapon stocks'!A:OH,COLUMN('Heavy weapon stocks'!$H$1),0)</f>
        <v>0</v>
      </c>
      <c r="W29" s="801">
        <f>VLOOKUP(A29,'Heavy weapon stocks'!A:OH,COLUMN('Heavy weapon stocks'!$DQ$1),0)</f>
        <v>0</v>
      </c>
      <c r="X29" s="801">
        <f>VLOOKUP(A29,'Heavy weapon stocks'!A:OH,COLUMN('Heavy weapon stocks'!$FG$1),0)</f>
        <v>30</v>
      </c>
      <c r="Y29" s="801">
        <f>VLOOKUP(A29,'Heavy weapon stocks'!A:OH,COLUMN('Heavy weapon stocks'!$HC$1),0)+VLOOKUP(A29,'Heavy weapon stocks'!A:OH,COLUMN('Heavy weapon stocks'!$II$1),0)</f>
        <v>16</v>
      </c>
      <c r="Z29" s="801">
        <f>VLOOKUP(A29,'Heavy weapon stocks'!A:OH,COLUMN('Heavy weapon stocks'!$IO$1),0)+VLOOKUP(A29,'Heavy weapon stocks'!A:OH,COLUMN('Heavy weapon stocks'!$IP$1),0)+VLOOKUP(A29,'Heavy weapon stocks'!A:OH,COLUMN('Heavy weapon stocks'!$IU$1),0)</f>
        <v>0</v>
      </c>
      <c r="AA29" s="801">
        <f>VLOOKUP(A29,'Heavy weapon stocks'!A:OH,COLUMN('Heavy weapon stocks'!$MI$1),0)</f>
        <v>0</v>
      </c>
      <c r="AB29" s="801">
        <f>VLOOKUP(A29,'Heavy weapon stocks'!A:OH,COLUMN('Heavy weapon stocks'!$MS$1),0)+VLOOKUP(A29,'Heavy weapon stocks'!A:OH,COLUMN('Heavy weapon stocks'!$MT$1),0)+VLOOKUP(A29,'Heavy weapon stocks'!A:OH,COLUMN('Heavy weapon stocks'!$MU$1),0)+VLOOKUP(A29,'Heavy weapon stocks'!A:OH,COLUMN('Heavy weapon stocks'!$MV$1),0)</f>
        <v>4</v>
      </c>
      <c r="AD29" s="33">
        <f>SUMIFS('Bilateral assistance, MAIN DATA'!$M:$M,'Bilateral assistance, MAIN DATA'!$B:$B,'Share, heavy weapons to Ukraine'!$A29,'Bilateral assistance, MAIN DATA'!$AO:$AO,'Share, heavy weapons to Ukraine'!AD$1)</f>
        <v>0</v>
      </c>
      <c r="AE29" s="33">
        <f>SUMIFS('Bilateral assistance, MAIN DATA'!$M:$M,'Bilateral assistance, MAIN DATA'!$B:$B,'Share, heavy weapons to Ukraine'!$A29,'Bilateral assistance, MAIN DATA'!$AO:$AO,'Share, heavy weapons to Ukraine'!AE$1)</f>
        <v>92</v>
      </c>
      <c r="AF29" s="33">
        <f>SUMIFS('Bilateral assistance, MAIN DATA'!$M:$M,'Bilateral assistance, MAIN DATA'!$B:$B,'Share, heavy weapons to Ukraine'!$A29,'Bilateral assistance, MAIN DATA'!$AO:$AO,'Share, heavy weapons to Ukraine'!AF$1)</f>
        <v>0</v>
      </c>
      <c r="AG29" s="33">
        <f>SUMIFS('Bilateral assistance, MAIN DATA'!$M:$M,'Bilateral assistance, MAIN DATA'!$B:$B,'Share, heavy weapons to Ukraine'!$A29,'Bilateral assistance, MAIN DATA'!$AO:$AO,'Share, heavy weapons to Ukraine'!AG$1)</f>
        <v>7</v>
      </c>
      <c r="AH29" s="33">
        <f>SUMIFS('Bilateral assistance, MAIN DATA'!$M:$M,'Bilateral assistance, MAIN DATA'!$B:$B,'Share, heavy weapons to Ukraine'!$A29,'Bilateral assistance, MAIN DATA'!$AO:$AO,'Share, heavy weapons to Ukraine'!AH$1)</f>
        <v>0</v>
      </c>
      <c r="AI29" s="33">
        <f t="shared" si="1"/>
        <v>99</v>
      </c>
      <c r="AJ29" s="33">
        <f>SUMIFS('Bilateral assistance, MAIN DATA'!$M:$M,'Bilateral assistance, MAIN DATA'!$B:$B,'Share, heavy weapons to Ukraine'!$A29,'Bilateral assistance, MAIN DATA'!$AO:$AO,'Share, heavy weapons to Ukraine'!AJ$1)</f>
        <v>0</v>
      </c>
      <c r="AK29" s="645">
        <f>SUMIFS('Bilateral assistance, MAIN DATA'!$M:$M,'Bilateral assistance, MAIN DATA'!$B:$B,'Share, heavy weapons to Ukraine'!$A29,'Bilateral assistance, MAIN DATA'!$AO:$AO,"122mm MLRS")+SUMIFS('Bilateral assistance, MAIN DATA'!$M:$M,'Bilateral assistance, MAIN DATA'!$B:$B,'Share, heavy weapons to Ukraine'!$A29,'Bilateral assistance, MAIN DATA'!$AO:$AO,"127mm MLRS")+SUMIFS('Bilateral assistance, MAIN DATA'!$M:$M,'Bilateral assistance, MAIN DATA'!$B:$B,'Share, heavy weapons to Ukraine'!$A29,'Bilateral assistance, MAIN DATA'!$AO:$AO,"227mm MLRS")</f>
        <v>0</v>
      </c>
      <c r="AL29" s="33">
        <f>SUMIFS('Bilateral assistance, MAIN DATA'!$M:$M,'Bilateral assistance, MAIN DATA'!$B:$B,'Share, heavy weapons to Ukraine'!$A29,'Bilateral assistance, MAIN DATA'!$AO:$AO,'Share, heavy weapons to Ukraine'!AL$1)</f>
        <v>0</v>
      </c>
      <c r="AM29" s="33">
        <f>SUMIFS('Bilateral assistance, MAIN DATA'!$M:$M,'Bilateral assistance, MAIN DATA'!$B:$B,'Share, heavy weapons to Ukraine'!$A29,'Bilateral assistance, MAIN DATA'!$AO:$AO,'Share, heavy weapons to Ukraine'!AM$1)</f>
        <v>0</v>
      </c>
      <c r="AN29" s="33">
        <f>SUMIFS('Bilateral assistance, MAIN DATA'!$M:$M,'Bilateral assistance, MAIN DATA'!$B:$B,'Share, heavy weapons to Ukraine'!$A29,'Bilateral assistance, MAIN DATA'!$AO:$AO,'Share, heavy weapons to Ukraine'!AN$1)</f>
        <v>0</v>
      </c>
      <c r="AO29" s="33">
        <f>SUMIFS('Bilateral assistance, MAIN DATA'!$M:$M,'Bilateral assistance, MAIN DATA'!$B:$B,'Share, heavy weapons to Ukraine'!$A29,'Bilateral assistance, MAIN DATA'!$AO:$AO,'Share, heavy weapons to Ukraine'!AO$1)</f>
        <v>0</v>
      </c>
      <c r="AP29" s="33">
        <f>SUMIFS('Bilateral assistance, MAIN DATA'!$M:$M,'Bilateral assistance, MAIN DATA'!$B:$B,'Share, heavy weapons to Ukraine'!$A29,'Bilateral assistance, MAIN DATA'!$AO:$AO,'Share, heavy weapons to Ukraine'!AP$1)</f>
        <v>0</v>
      </c>
      <c r="AR29" s="33">
        <f>SUMIFS('Bilateral assistance, MAIN DATA'!$N:$N,'Bilateral assistance, MAIN DATA'!$B:$B,'Share, heavy weapons to Ukraine'!$A29,'Bilateral assistance, MAIN DATA'!$AO:$AO,'Share, heavy weapons to Ukraine'!AR$1)</f>
        <v>0</v>
      </c>
      <c r="AS29" s="33">
        <f>SUMIFS('Bilateral assistance, MAIN DATA'!$N:$N,'Bilateral assistance, MAIN DATA'!$B:$B,'Share, heavy weapons to Ukraine'!$A29,'Bilateral assistance, MAIN DATA'!$AO:$AO,'Share, heavy weapons to Ukraine'!AS$1)</f>
        <v>82</v>
      </c>
      <c r="AT29" s="33">
        <f>SUMIFS('Bilateral assistance, MAIN DATA'!$N:$N,'Bilateral assistance, MAIN DATA'!$B:$B,'Share, heavy weapons to Ukraine'!$A29,'Bilateral assistance, MAIN DATA'!$AO:$AO,'Share, heavy weapons to Ukraine'!AT$1)</f>
        <v>0</v>
      </c>
      <c r="AU29" s="33">
        <f>SUMIFS('Bilateral assistance, MAIN DATA'!$N:$N,'Bilateral assistance, MAIN DATA'!$B:$B,'Share, heavy weapons to Ukraine'!$A29,'Bilateral assistance, MAIN DATA'!$AO:$AO,'Share, heavy weapons to Ukraine'!AU$1)</f>
        <v>7</v>
      </c>
      <c r="AV29" s="33">
        <f>SUMIFS('Bilateral assistance, MAIN DATA'!$N:$N,'Bilateral assistance, MAIN DATA'!$B:$B,'Share, heavy weapons to Ukraine'!$A29,'Bilateral assistance, MAIN DATA'!$AO:$AO,'Share, heavy weapons to Ukraine'!AV$1)</f>
        <v>0</v>
      </c>
      <c r="AW29" s="33">
        <f t="shared" si="2"/>
        <v>89</v>
      </c>
      <c r="AX29" s="33">
        <f>SUMIFS('Bilateral assistance, MAIN DATA'!$N:$N,'Bilateral assistance, MAIN DATA'!$B:$B,'Share, heavy weapons to Ukraine'!$A29,'Bilateral assistance, MAIN DATA'!$AO:$AO,'Share, heavy weapons to Ukraine'!AX$1)</f>
        <v>0</v>
      </c>
      <c r="AY29" s="645">
        <f>SUMIFS('Bilateral assistance, MAIN DATA'!$N:$N,'Bilateral assistance, MAIN DATA'!$B:$B,'Share, heavy weapons to Ukraine'!$A29,'Bilateral assistance, MAIN DATA'!$AO:$AO,"122mm MLRS")+SUMIFS('Bilateral assistance, MAIN DATA'!$N:$N,'Bilateral assistance, MAIN DATA'!$B:$B,'Share, heavy weapons to Ukraine'!$A29,'Bilateral assistance, MAIN DATA'!$AO:$AO,"127mm MLRS")+SUMIFS('Bilateral assistance, MAIN DATA'!$N:$N,'Bilateral assistance, MAIN DATA'!$B:$B,'Share, heavy weapons to Ukraine'!$A29,'Bilateral assistance, MAIN DATA'!$AO:$AO,"227mm MLRS")</f>
        <v>0</v>
      </c>
      <c r="AZ29" s="33">
        <f>SUMIFS('Bilateral assistance, MAIN DATA'!$N:$N,'Bilateral assistance, MAIN DATA'!$B:$B,'Share, heavy weapons to Ukraine'!$A29,'Bilateral assistance, MAIN DATA'!$AO:$AO,'Share, heavy weapons to Ukraine'!AZ$1)</f>
        <v>0</v>
      </c>
      <c r="BA29" s="33">
        <f>SUMIFS('Bilateral assistance, MAIN DATA'!$N:$N,'Bilateral assistance, MAIN DATA'!$B:$B,'Share, heavy weapons to Ukraine'!$A29,'Bilateral assistance, MAIN DATA'!$AO:$AO,'Share, heavy weapons to Ukraine'!BA$1)</f>
        <v>0</v>
      </c>
      <c r="BB29" s="33">
        <f>SUMIFS('Bilateral assistance, MAIN DATA'!$N:$N,'Bilateral assistance, MAIN DATA'!$B:$B,'Share, heavy weapons to Ukraine'!$A29,'Bilateral assistance, MAIN DATA'!$AO:$AO,'Share, heavy weapons to Ukraine'!BB$1)</f>
        <v>0</v>
      </c>
      <c r="BC29" s="33">
        <f>SUMIFS('Bilateral assistance, MAIN DATA'!$N:$N,'Bilateral assistance, MAIN DATA'!$B:$B,'Share, heavy weapons to Ukraine'!$A29,'Bilateral assistance, MAIN DATA'!$AO:$AO,'Share, heavy weapons to Ukraine'!BC$1)</f>
        <v>0</v>
      </c>
      <c r="BD29" s="33">
        <f>SUMIFS('Bilateral assistance, MAIN DATA'!$N:$N,'Bilateral assistance, MAIN DATA'!$B:$B,'Share, heavy weapons to Ukraine'!$A29,'Bilateral assistance, MAIN DATA'!$AO:$AO,'Share, heavy weapons to Ukraine'!BD$1)</f>
        <v>0</v>
      </c>
      <c r="BF29" s="33">
        <f>IF(VLOOKUP($A29,$A:F,COLUMN(F28),FALSE)&lt;&gt;0,VLOOKUP($A29,$A:AD,COLUMN(AD28),FALSE)/VLOOKUP($A29,$A:F,COLUMN(F28),FALSE),IF(VLOOKUP($A29,$A:AD,COLUMN(AD28),FALSE)&lt;&gt;0,"Strange",0))</f>
        <v>0</v>
      </c>
      <c r="BG29" s="33">
        <f>IF(VLOOKUP($A29,$A:G,COLUMN(G28),FALSE)&lt;&gt;0,VLOOKUP($A29,$A:AE,COLUMN(AE28),FALSE)/VLOOKUP($A29,$A:G,COLUMN(G28),FALSE),IF(VLOOKUP($A29,$A:AE,COLUMN(AE28),FALSE)&lt;&gt;0,"Strange",0))</f>
        <v>0.30065359477124182</v>
      </c>
      <c r="BH29" s="33">
        <f>IF(VLOOKUP($A29,$A:H,COLUMN(H28),FALSE)&lt;&gt;0,VLOOKUP($A29,$A:AF,COLUMN(AF28),FALSE)/VLOOKUP($A29,$A:H,COLUMN(H28),FALSE),IF(VLOOKUP($A29,$A:AF,COLUMN(AF28),FALSE)&lt;&gt;0,"Strange",0))</f>
        <v>0</v>
      </c>
      <c r="BI29" s="33" t="str">
        <f>IF(VLOOKUP($A29,$A:I,COLUMN(I28),FALSE)&lt;&gt;0,VLOOKUP($A29,$A:AG,COLUMN(AG28),FALSE)/VLOOKUP($A29,$A:I,COLUMN(I28),FALSE),IF(VLOOKUP($A29,$A:AG,COLUMN(AG28),FALSE)&lt;&gt;0,"Strange",0))</f>
        <v>Strange</v>
      </c>
      <c r="BJ29" s="33">
        <f>IF(VLOOKUP($A29,$A:J,COLUMN(J28),FALSE)&lt;&gt;0,VLOOKUP($A29,$A:AH,COLUMN(AH28),FALSE)/VLOOKUP($A29,$A:J,COLUMN(J28),FALSE),IF(VLOOKUP($A29,$A:AH,COLUMN(AH28),FALSE)&lt;&gt;0,"Strange",0))</f>
        <v>0</v>
      </c>
      <c r="BK29" s="33">
        <f>IF(VLOOKUP($A29,$A:K,COLUMN(K28),FALSE)&lt;&gt;0,VLOOKUP($A29,$A:AI,COLUMN(AI28),FALSE)/VLOOKUP($A29,$A:K,COLUMN(K28),FALSE),IF(VLOOKUP($A29,$A:AI,COLUMN(AI28),FALSE)&lt;&gt;0,"Strange",0))</f>
        <v>0.29464285714285715</v>
      </c>
      <c r="BL29" s="33">
        <f>IF(VLOOKUP($A29,$A:L,COLUMN(L28),FALSE)&lt;&gt;0,VLOOKUP($A29,$A:AJ,COLUMN(AJ28),FALSE)/VLOOKUP($A29,$A:L,COLUMN(L28),FALSE),IF(VLOOKUP($A29,$A:AJ,COLUMN(AJ28),FALSE)&lt;&gt;0,"Strange",0))</f>
        <v>0</v>
      </c>
      <c r="BM29" s="33">
        <f>IF(VLOOKUP($A29,$A:M,COLUMN(M28),FALSE)&lt;&gt;0,VLOOKUP($A29,$A:AK,COLUMN(AK28),FALSE)/VLOOKUP($A29,$A:M,COLUMN(M28),FALSE),IF(VLOOKUP($A29,$A:AK,COLUMN(AK28),FALSE)&lt;&gt;0,"Strange",0))</f>
        <v>0</v>
      </c>
      <c r="BN29" s="33">
        <f>IF(VLOOKUP($A29,$A:N,COLUMN(N28),FALSE)&lt;&gt;0,VLOOKUP($A29,$A:AL,COLUMN(AL28),FALSE)/VLOOKUP($A29,$A:N,COLUMN(N28),FALSE),IF(VLOOKUP($A29,$A:AL,COLUMN(AL28),FALSE)&lt;&gt;0,"Strange",0))</f>
        <v>0</v>
      </c>
      <c r="BO29" s="33">
        <f>IF(VLOOKUP($A29,$A:Q,COLUMN(Q28),FALSE)&lt;&gt;0,VLOOKUP($A29,$A:AM,COLUMN(AM28),FALSE)/VLOOKUP($A29,$A:Q,COLUMN(Q28),FALSE),IF(VLOOKUP($A29,$A:AM,COLUMN(AM28),FALSE)&lt;&gt;0,"Strange",0))</f>
        <v>0</v>
      </c>
      <c r="BP29" s="33">
        <f>IF(VLOOKUP($A29,$A:R,COLUMN(R28),FALSE)&lt;&gt;0,VLOOKUP($A29,$A:AN,COLUMN(AN28),FALSE)/VLOOKUP($A29,$A:R,COLUMN(R28),FALSE),IF(VLOOKUP($A29,$A:AN,COLUMN(AN28),FALSE)&lt;&gt;0,"Strange",0))</f>
        <v>0</v>
      </c>
      <c r="BQ29" s="33">
        <f>IF(VLOOKUP($A29,$A:S,COLUMN(S28),FALSE)&lt;&gt;0,VLOOKUP($A29,$A:AO,COLUMN(AO28),FALSE)/VLOOKUP($A29,$A:S,COLUMN(S28),FALSE),IF(VLOOKUP($A29,$A:AO,COLUMN(AO28),FALSE)&lt;&gt;0,"Strange",0))</f>
        <v>0</v>
      </c>
      <c r="BR29" s="33">
        <f>IF(VLOOKUP($A29,$A:T,COLUMN(T28),FALSE)&lt;&gt;0,VLOOKUP($A29,$A:AP,COLUMN(AP28),FALSE)/VLOOKUP($A29,$A:T,COLUMN(T28),FALSE),IF(VLOOKUP($A29,$A:AP,COLUMN(AP28),FALSE)&lt;&gt;0,"Strange",0))</f>
        <v>0</v>
      </c>
      <c r="BT29" s="33">
        <f>IF(VLOOKUP($A29,$A:AE,COLUMN(F28),FALSE)&lt;&gt;0,VLOOKUP($A29,$A:AS,COLUMN(AR28),FALSE)/VLOOKUP($A29,$A:AE,COLUMN(F28),FALSE),IF(VLOOKUP($A29,$A:AS,COLUMN(AR28),FALSE)&lt;&gt;0,"Strange",0))</f>
        <v>0</v>
      </c>
      <c r="BU29" s="33">
        <f>IF(VLOOKUP($A29,$A:AF,COLUMN(G28),FALSE)&lt;&gt;0,VLOOKUP($A29,$A:AT,COLUMN(AS28),FALSE)/VLOOKUP($A29,$A:AF,COLUMN(G28),FALSE),IF(VLOOKUP($A29,$A:AT,COLUMN(AS28),FALSE)&lt;&gt;0,"Strange",0))</f>
        <v>0.26797385620915032</v>
      </c>
      <c r="BV29" s="33">
        <f>IF(VLOOKUP($A29,$A:AG,COLUMN(H28),FALSE)&lt;&gt;0,VLOOKUP($A29,$A:AU,COLUMN(AT28),FALSE)/VLOOKUP($A29,$A:AG,COLUMN(H28),FALSE),IF(VLOOKUP($A29,$A:AU,COLUMN(AT28),FALSE)&lt;&gt;0,"Strange",0))</f>
        <v>0</v>
      </c>
      <c r="BW29" s="33" t="str">
        <f>IF(VLOOKUP($A29,$A:AH,COLUMN(I28),FALSE)&lt;&gt;0,VLOOKUP($A29,$A:AV,COLUMN(AU28),FALSE)/VLOOKUP($A29,$A:AH,COLUMN(I28),FALSE),IF(VLOOKUP($A29,$A:AV,COLUMN(AU28),FALSE)&lt;&gt;0,"Strange",0))</f>
        <v>Strange</v>
      </c>
      <c r="BX29" s="33">
        <f>IF(VLOOKUP($A29,$A:AJ,COLUMN(J28),FALSE)&lt;&gt;0,VLOOKUP($A29,$A:AX,COLUMN(AV28),FALSE)/VLOOKUP($A29,$A:AJ,COLUMN(J28),FALSE),IF(VLOOKUP($A29,$A:AX,COLUMN(AV28),FALSE)&lt;&gt;0,"Strange",0))</f>
        <v>0</v>
      </c>
      <c r="BY29" s="33">
        <f>IF(VLOOKUP($A29,$A:AK,COLUMN(K28),FALSE)&lt;&gt;0,VLOOKUP($A29,$A:AY,COLUMN(AW28),FALSE)/VLOOKUP($A29,$A:AK,COLUMN(K28),FALSE),IF(VLOOKUP($A29,$A:AY,COLUMN(AW28),FALSE)&lt;&gt;0,"Strange",0))</f>
        <v>0.26488095238095238</v>
      </c>
      <c r="BZ29" s="33">
        <f>IF(VLOOKUP($A29,$A:AK,COLUMN(L28),FALSE)&lt;&gt;0,VLOOKUP($A29,$A:AY,COLUMN(AX28),FALSE)/VLOOKUP($A29,$A:AK,COLUMN(L28),FALSE),IF(VLOOKUP($A29,$A:AY,COLUMN(AX28),FALSE)&lt;&gt;0,"Strange",0))</f>
        <v>0</v>
      </c>
      <c r="CA29" s="33">
        <f>IF(VLOOKUP($A29,$A:AL,COLUMN(M28),FALSE)&lt;&gt;0,VLOOKUP($A29,$A:AZ,COLUMN(AY28),FALSE)/VLOOKUP($A29,$A:AL,COLUMN(M28),FALSE),IF(VLOOKUP($A29,$A:AZ,COLUMN(AY28),FALSE)&lt;&gt;0,"Strange",0))</f>
        <v>0</v>
      </c>
      <c r="CB29" s="33">
        <f>IF(VLOOKUP($A29,$A:AL,COLUMN(N28),FALSE)&lt;&gt;0,VLOOKUP($A29,$A:AZ,COLUMN(AZ28),FALSE)/VLOOKUP($A29,$A:AL,COLUMN(N28),FALSE),IF(VLOOKUP($A29,$A:AZ,COLUMN(AZ28),FALSE)&lt;&gt;0,"Strange",0))</f>
        <v>0</v>
      </c>
      <c r="CC29" s="33">
        <f>IF(VLOOKUP($A29,$A:AM,COLUMN(Q28),FALSE)&lt;&gt;0,VLOOKUP($A29,$A:BA,COLUMN(BA28),FALSE)/VLOOKUP($A29,$A:AM,COLUMN(Q28),FALSE),IF(VLOOKUP($A29,$A:BA,COLUMN(BA28),FALSE)&lt;&gt;0,"Strange",0))</f>
        <v>0</v>
      </c>
      <c r="CD29" s="33">
        <f>IF(VLOOKUP($A29,$A:AN,COLUMN(R28),FALSE)&lt;&gt;0,VLOOKUP($A29,$A:BB,COLUMN(BB28),FALSE)/VLOOKUP($A29,$A:AN,COLUMN(R28),FALSE),IF(VLOOKUP($A29,$A:BB,COLUMN(BB28),FALSE)&lt;&gt;0,"Strange",0))</f>
        <v>0</v>
      </c>
      <c r="CE29" s="33">
        <f>IF(VLOOKUP($A29,$A:AO,COLUMN(S28),FALSE)&lt;&gt;0,VLOOKUP($A29,$A:BC,COLUMN(BC28),FALSE)/VLOOKUP($A29,$A:AO,COLUMN(S28),FALSE),IF(VLOOKUP($A29,$A:BC,COLUMN(BC28),FALSE)&lt;&gt;0,"Strange",0))</f>
        <v>0</v>
      </c>
      <c r="CF29" s="33">
        <f>IF(VLOOKUP($A29,$A:AP,COLUMN(T28),FALSE)&lt;&gt;0,VLOOKUP($A29,$A:BD,COLUMN(BD28),FALSE)/VLOOKUP($A29,$A:AP,COLUMN(T28),FALSE),IF(VLOOKUP($A29,$A:BD,COLUMN(BD28),FALSE)&lt;&gt;0,"Strange",0))</f>
        <v>0</v>
      </c>
      <c r="CH29" s="33">
        <f>SUMIFS('Bilateral assistance, MAIN DATA'!$M:$M,'Bilateral assistance, MAIN DATA'!$B:$B,'Share, heavy weapons to Ukraine'!$A29,'Bilateral assistance, MAIN DATA'!$AO:$AO,'Share, heavy weapons to Ukraine'!CH$1,'Bilateral assistance, MAIN DATA'!$AQ:$AQ,2)</f>
        <v>0</v>
      </c>
      <c r="CI29" s="33">
        <f>SUMIFS('Bilateral assistance, MAIN DATA'!$M:$M,'Bilateral assistance, MAIN DATA'!$B:$B,'Share, heavy weapons to Ukraine'!$A29,'Bilateral assistance, MAIN DATA'!$AO:$AO,'Share, heavy weapons to Ukraine'!CI$1,'Bilateral assistance, MAIN DATA'!$AQ:$AQ,2)</f>
        <v>0</v>
      </c>
      <c r="CJ29" s="645">
        <f>SUMIFS('Bilateral assistance, MAIN DATA'!$M:$M,'Bilateral assistance, MAIN DATA'!$B:$B,'Share, heavy weapons to Ukraine'!$A29,'Bilateral assistance, MAIN DATA'!$AO:$AO,"122mm MLRS",'Bilateral assistance, MAIN DATA'!$AQ:$AQ,2)+SUMIFS('Bilateral assistance, MAIN DATA'!$M:$M,'Bilateral assistance, MAIN DATA'!$B:$B,'Share, heavy weapons to Ukraine'!$A29,'Bilateral assistance, MAIN DATA'!$AO:$AO,"127mm MLRS",'Bilateral assistance, MAIN DATA'!$AQ:$AQ,2)+SUMIFS('Bilateral assistance, MAIN DATA'!$M:$M,'Bilateral assistance, MAIN DATA'!$B:$B,'Share, heavy weapons to Ukraine'!$A29,'Bilateral assistance, MAIN DATA'!$AO:$AO,"227mm MLRS",'Bilateral assistance, MAIN DATA'!$AQ:$AQ,2)</f>
        <v>0</v>
      </c>
      <c r="CL29" s="33">
        <f>SUMIFS('Bilateral assistance, MAIN DATA'!$M:$M,'Bilateral assistance, MAIN DATA'!$B:$B,'Share, heavy weapons to Ukraine'!$A29,'Bilateral assistance, MAIN DATA'!$AO:$AO,'Share, heavy weapons to Ukraine'!CH$1,'Bilateral assistance, MAIN DATA'!$AQ:$AQ,1)</f>
        <v>0</v>
      </c>
      <c r="CM29" s="33">
        <f>SUMIFS('Bilateral assistance, MAIN DATA'!$M:$M,'Bilateral assistance, MAIN DATA'!$B:$B,'Share, heavy weapons to Ukraine'!$A29,'Bilateral assistance, MAIN DATA'!$AO:$AO,'Share, heavy weapons to Ukraine'!CI$1,'Bilateral assistance, MAIN DATA'!$AQ:$AQ,1)</f>
        <v>0</v>
      </c>
      <c r="CN29" s="645">
        <f>SUMIFS('Bilateral assistance, MAIN DATA'!$M:$M,'Bilateral assistance, MAIN DATA'!$B:$B,'Share, heavy weapons to Ukraine'!$A29,'Bilateral assistance, MAIN DATA'!$AO:$AO,"122mm MLRS",'Bilateral assistance, MAIN DATA'!$AQ:$AQ,1)+SUMIFS('Bilateral assistance, MAIN DATA'!$M:$M,'Bilateral assistance, MAIN DATA'!$B:$B,'Share, heavy weapons to Ukraine'!$A29,'Bilateral assistance, MAIN DATA'!$AO:$AO,"127mm MLRS",'Bilateral assistance, MAIN DATA'!$AQ:$AQ,1)+SUMIFS('Bilateral assistance, MAIN DATA'!$M:$M,'Bilateral assistance, MAIN DATA'!$B:$B,'Share, heavy weapons to Ukraine'!$A29,'Bilateral assistance, MAIN DATA'!$AO:$AO,"227mm MLRS",'Bilateral assistance, MAIN DATA'!$AQ:$AQ,1)</f>
        <v>0</v>
      </c>
      <c r="CP29" s="33">
        <f>SUMIFS('Bilateral assistance, MAIN DATA'!$M:$M,'Bilateral assistance, MAIN DATA'!$B:$B,'Share, heavy weapons to Ukraine'!$A29,'Bilateral assistance, MAIN DATA'!$AO:$AO,'Share, heavy weapons to Ukraine'!CP$1,'Bilateral assistance, MAIN DATA'!$AQ:$AQ,0)</f>
        <v>0</v>
      </c>
      <c r="CQ29" s="33">
        <f>SUMIFS('Bilateral assistance, MAIN DATA'!$M:$M,'Bilateral assistance, MAIN DATA'!$B:$B,'Share, heavy weapons to Ukraine'!$A29,'Bilateral assistance, MAIN DATA'!$AO:$AO,'Share, heavy weapons to Ukraine'!CQ$1,'Bilateral assistance, MAIN DATA'!$AQ:$AQ,0)</f>
        <v>0</v>
      </c>
      <c r="CR29" s="645">
        <f>SUMIFS('Bilateral assistance, MAIN DATA'!$M:$M,'Bilateral assistance, MAIN DATA'!$B:$B,'Share, heavy weapons to Ukraine'!$A29,'Bilateral assistance, MAIN DATA'!$AO:$AO,"122mm MLRS",'Bilateral assistance, MAIN DATA'!$AQ:$AQ,0)+SUMIFS('Bilateral assistance, MAIN DATA'!$M:$M,'Bilateral assistance, MAIN DATA'!$B:$B,'Share, heavy weapons to Ukraine'!$A29,'Bilateral assistance, MAIN DATA'!$AO:$AO,"127mm MLRS",'Bilateral assistance, MAIN DATA'!$AQ:$AQ,0)+SUMIFS('Bilateral assistance, MAIN DATA'!$M:$M,'Bilateral assistance, MAIN DATA'!$B:$B,'Share, heavy weapons to Ukraine'!$A29,'Bilateral assistance, MAIN DATA'!$AO:$AO,"227mm MLRS",'Bilateral assistance, MAIN DATA'!$AQ:$AQ,0)</f>
        <v>0</v>
      </c>
      <c r="CT29" s="33">
        <f>IF(VLOOKUP($A29,$A:CS,COLUMN(F28),FALSE)&lt;&gt;0,VLOOKUP($A29,$A:CS,COLUMN(CH28),FALSE)/VLOOKUP($A29,$A:AU,COLUMN(F28),FALSE),IF(VLOOKUP($A29,$A:CS,COLUMN(CH28),FALSE)&lt;&gt;0,"Strange",0))</f>
        <v>0</v>
      </c>
      <c r="CU29" s="33">
        <f>IF(VLOOKUP($A29,$A:CS,COLUMN(L28),FALSE)&lt;&gt;0,VLOOKUP($A29,$A:CS,COLUMN(CI28),FALSE)/VLOOKUP($A29,$A:AU,COLUMN(L28),FALSE),IF(VLOOKUP($A29,$A:CS,COLUMN(CI28),FALSE)&lt;&gt;0,"Strange",0))</f>
        <v>0</v>
      </c>
      <c r="CV29" s="33">
        <f>IF(VLOOKUP($A29,$A:CT,COLUMN(M28),FALSE)&lt;&gt;0,VLOOKUP($A29,$A:CT,COLUMN(CJ28),FALSE)/VLOOKUP($A29,$A:AV,COLUMN(M28),FALSE),IF(VLOOKUP($A29,$A:CT,COLUMN(CJ28),FALSE)&lt;&gt;0,"Strange",0))</f>
        <v>0</v>
      </c>
      <c r="CX29" s="33">
        <f>IF(VLOOKUP($A29,$A:CS,COLUMN(F28),FALSE)&lt;&gt;0,VLOOKUP($A29,$A:CS,COLUMN(CL28),FALSE)/VLOOKUP($A29,$A:AU,COLUMN(F28),FALSE),IF(VLOOKUP($A29,$A:CS,COLUMN(CL28),FALSE)&lt;&gt;0,"Strange",0))</f>
        <v>0</v>
      </c>
      <c r="CY29" s="33">
        <f>IF(VLOOKUP($A29,$A:CS,COLUMN(L28),FALSE)&lt;&gt;0,VLOOKUP($A29,$A:CS,COLUMN(CM28),FALSE)/VLOOKUP($A29,$A:AU,COLUMN(L28),FALSE),IF(VLOOKUP($A29,$A:CS,COLUMN(CM28),FALSE)&lt;&gt;0,"Strange",0))</f>
        <v>0</v>
      </c>
      <c r="CZ29" s="33">
        <f>IF(VLOOKUP($A29,$A:CT,COLUMN(M28),FALSE)&lt;&gt;0,VLOOKUP($A29,$A:CT,COLUMN(CN28),FALSE)/VLOOKUP($A29,$A:AV,COLUMN(M28),FALSE),IF(VLOOKUP($A29,$A:CT,COLUMN(CN28),FALSE)&lt;&gt;0,"Strange",0))</f>
        <v>0</v>
      </c>
      <c r="DB29" s="33">
        <f>IF(VLOOKUP($A29,$A:CS,COLUMN(F28),FALSE)&lt;&gt;0,VLOOKUP($A29,$A:CS,COLUMN(CP28),FALSE)/VLOOKUP($A29,$A:AU,COLUMN(F28),FALSE),IF(VLOOKUP($A29,$A:CS,COLUMN(CP28),FALSE)&lt;&gt;0,"Strange",0))</f>
        <v>0</v>
      </c>
      <c r="DC29" s="33">
        <f>IF(VLOOKUP($A29,$A:CS,COLUMN(L28),FALSE)&lt;&gt;0,VLOOKUP($A29,$A:CS,COLUMN(CQ28),FALSE)/VLOOKUP($A29,$A:AU,COLUMN(L28),FALSE),IF(VLOOKUP($A29,$A:CS,COLUMN(CQ28),FALSE)&lt;&gt;0,"Strange",0))</f>
        <v>0</v>
      </c>
      <c r="DD29" s="33">
        <f>IF(VLOOKUP($A29,$A:CT,COLUMN(M28),FALSE)&lt;&gt;0,VLOOKUP($A29,$A:CT,COLUMN(CR28),FALSE)/VLOOKUP($A29,$A:AV,COLUMN(M28),FALSE),IF(VLOOKUP($A29,$A:CT,COLUMN(CR28),FALSE)&lt;&gt;0,"Strange",0))</f>
        <v>0</v>
      </c>
      <c r="DF29" s="33">
        <f>SUMIFS('Bilateral assistance, MAIN DATA'!$M:$M,'Bilateral assistance, MAIN DATA'!$B:$B,'Share, heavy weapons to Ukraine'!$A29,'Bilateral assistance, MAIN DATA'!$AO:$AO,'Share, heavy weapons to Ukraine'!DF$1, 'Bilateral assistance, MAIN DATA'!$AA:$AA,1)</f>
        <v>0</v>
      </c>
      <c r="DG29" s="33">
        <f>SUMIFS('Bilateral assistance, MAIN DATA'!$M:$M,'Bilateral assistance, MAIN DATA'!$B:$B,'Share, heavy weapons to Ukraine'!$A29,'Bilateral assistance, MAIN DATA'!$AO:$AO,'Share, heavy weapons to Ukraine'!DG$1, 'Bilateral assistance, MAIN DATA'!$AA:$AA,1)</f>
        <v>0</v>
      </c>
      <c r="DH29" s="33">
        <f>SUMIFS('Bilateral assistance, MAIN DATA'!$M:$M,'Bilateral assistance, MAIN DATA'!$B:$B,'Share, heavy weapons to Ukraine'!$A29,'Bilateral assistance, MAIN DATA'!$AO:$AO,'Share, heavy weapons to Ukraine'!DH$1, 'Bilateral assistance, MAIN DATA'!$AA:$AA,1)</f>
        <v>0</v>
      </c>
      <c r="DI29" s="33">
        <f>SUMIFS('Bilateral assistance, MAIN DATA'!$M:$M,'Bilateral assistance, MAIN DATA'!$B:$B,'Share, heavy weapons to Ukraine'!$A29,'Bilateral assistance, MAIN DATA'!$AO:$AO,'Share, heavy weapons to Ukraine'!DI$1, 'Bilateral assistance, MAIN DATA'!$AA:$AA,1)</f>
        <v>0</v>
      </c>
      <c r="DK29" s="33">
        <f>SUMIFS('Bilateral assistance, MAIN DATA'!$N:$N,'Bilateral assistance, MAIN DATA'!$B:$B,'Share, heavy weapons to Ukraine'!$A29,'Bilateral assistance, MAIN DATA'!$AO:$AO,'Share, heavy weapons to Ukraine'!DK$1, 'Bilateral assistance, MAIN DATA'!$AA:$AA,1)</f>
        <v>0</v>
      </c>
      <c r="DL29" s="33">
        <f>SUMIFS('Bilateral assistance, MAIN DATA'!$N:$N,'Bilateral assistance, MAIN DATA'!$B:$B,'Share, heavy weapons to Ukraine'!$A29,'Bilateral assistance, MAIN DATA'!$AO:$AO,'Share, heavy weapons to Ukraine'!DL$1, 'Bilateral assistance, MAIN DATA'!$AA:$AA,1)</f>
        <v>0</v>
      </c>
      <c r="DM29" s="33">
        <f>SUMIFS('Bilateral assistance, MAIN DATA'!$N:$N,'Bilateral assistance, MAIN DATA'!$B:$B,'Share, heavy weapons to Ukraine'!$A29,'Bilateral assistance, MAIN DATA'!$AO:$AO,'Share, heavy weapons to Ukraine'!DM$1, 'Bilateral assistance, MAIN DATA'!$AA:$AA,1)</f>
        <v>0</v>
      </c>
      <c r="DN29" s="33">
        <f>SUMIFS('Bilateral assistance, MAIN DATA'!$N:$N,'Bilateral assistance, MAIN DATA'!$B:$B,'Share, heavy weapons to Ukraine'!$A29,'Bilateral assistance, MAIN DATA'!$AO:$AO,'Share, heavy weapons to Ukraine'!DN$1, 'Bilateral assistance, MAIN DATA'!$AA:$AA,1)</f>
        <v>0</v>
      </c>
    </row>
    <row r="30" spans="1:118">
      <c r="A30" s="801" t="s">
        <v>591</v>
      </c>
      <c r="B30" s="801">
        <v>0</v>
      </c>
      <c r="C30" s="33">
        <v>1</v>
      </c>
      <c r="E30" s="802">
        <v>1.07</v>
      </c>
      <c r="F30" s="801">
        <f>VLOOKUP(A30,'Heavy weapon stocks'!A:OH,COLUMN('Heavy weapon stocks'!$G$1),0)</f>
        <v>75</v>
      </c>
      <c r="G30" s="801">
        <f>VLOOKUP(A30,'Heavy weapon stocks'!A:OH,COLUMN('Heavy weapon stocks'!$AW$1),0)</f>
        <v>147</v>
      </c>
      <c r="H30" s="801">
        <f>VLOOKUP(A30,'Heavy weapon stocks'!A:OH,COLUMN('Heavy weapon stocks'!$DQ$1),0)</f>
        <v>41</v>
      </c>
      <c r="I30" s="801">
        <f>VLOOKUP(A30,'Heavy weapon stocks'!A:OH,COLUMN('Heavy weapon stocks'!$EE$1),0)</f>
        <v>172</v>
      </c>
      <c r="J30" s="801">
        <f>VLOOKUP(A30,'Heavy weapon stocks'!A:OH,COLUMN('Heavy weapon stocks'!$FG$1),0)</f>
        <v>100</v>
      </c>
      <c r="K30" s="801">
        <f t="shared" si="3"/>
        <v>460</v>
      </c>
      <c r="L30" s="801">
        <f>VLOOKUP(A30,'Heavy weapon stocks'!A:OH,COLUMN('Heavy weapon stocks'!$HC$1),0)+VLOOKUP(A30,'Heavy weapon stocks'!A:OH,COLUMN('Heavy weapon stocks'!$II$1),0)</f>
        <v>13</v>
      </c>
      <c r="M30" s="801">
        <f>VLOOKUP(A30,'Heavy weapon stocks'!A:OH,COLUMN('Heavy weapon stocks'!$IN$1),0)</f>
        <v>27</v>
      </c>
      <c r="N30" s="801">
        <f>VLOOKUP(A30,'Heavy weapon stocks'!A:OH,COLUMN('Heavy weapon stocks'!$JH$1),0)+VLOOKUP(A30,'Heavy weapon stocks'!A:OH,COLUMN('Heavy weapon stocks'!$KE$1),0)</f>
        <v>8</v>
      </c>
      <c r="O30" s="801">
        <f>VLOOKUP(A30,'Heavy weapon stocks'!A:OH,COLUMN('Heavy weapon stocks'!$LU$1),0)</f>
        <v>0</v>
      </c>
      <c r="Q30" s="801">
        <f>VLOOKUP(A30,'Heavy weapon stocks'!A:OH,COLUMN('Heavy weapon stocks'!$LV$1),0)</f>
        <v>0</v>
      </c>
      <c r="R30" s="801">
        <f>VLOOKUP(A30,'Heavy weapon stocks'!A:OH,COLUMN('Heavy weapon stocks'!$MF$1),0)</f>
        <v>0</v>
      </c>
      <c r="S30" s="801">
        <f>VLOOKUP(A30,'Heavy weapon stocks'!A:OH,COLUMN('Heavy weapon stocks'!$MM$1),0)</f>
        <v>0</v>
      </c>
      <c r="T30" s="801">
        <f>VLOOKUP(A30,'Heavy weapon stocks'!A:OH,COLUMN('Heavy weapon stocks'!$NR$1),0)</f>
        <v>0</v>
      </c>
      <c r="V30" s="801">
        <f>VLOOKUP(A30,'Heavy weapon stocks'!A:OH,COLUMN('Heavy weapon stocks'!$H$1),0)</f>
        <v>0</v>
      </c>
      <c r="W30" s="801">
        <f>VLOOKUP(A30,'Heavy weapon stocks'!A:OH,COLUMN('Heavy weapon stocks'!$DQ$1),0)</f>
        <v>41</v>
      </c>
      <c r="X30" s="801">
        <f>VLOOKUP(A30,'Heavy weapon stocks'!A:OH,COLUMN('Heavy weapon stocks'!$FG$1),0)</f>
        <v>100</v>
      </c>
      <c r="Y30" s="801">
        <f>VLOOKUP(A30,'Heavy weapon stocks'!A:OH,COLUMN('Heavy weapon stocks'!$HC$1),0)+VLOOKUP(A30,'Heavy weapon stocks'!A:OH,COLUMN('Heavy weapon stocks'!$II$1),0)</f>
        <v>13</v>
      </c>
      <c r="Z30" s="801">
        <f>VLOOKUP(A30,'Heavy weapon stocks'!A:OH,COLUMN('Heavy weapon stocks'!$IO$1),0)+VLOOKUP(A30,'Heavy weapon stocks'!A:OH,COLUMN('Heavy weapon stocks'!$IP$1),0)+VLOOKUP(A30,'Heavy weapon stocks'!A:OH,COLUMN('Heavy weapon stocks'!$IU$1),0)</f>
        <v>0</v>
      </c>
      <c r="AA30" s="801">
        <f>VLOOKUP(A30,'Heavy weapon stocks'!A:OH,COLUMN('Heavy weapon stocks'!$MI$1),0)</f>
        <v>0</v>
      </c>
      <c r="AB30" s="801">
        <f>VLOOKUP(A30,'Heavy weapon stocks'!A:OH,COLUMN('Heavy weapon stocks'!$MS$1),0)+VLOOKUP(A30,'Heavy weapon stocks'!A:OH,COLUMN('Heavy weapon stocks'!$MT$1),0)+VLOOKUP(A30,'Heavy weapon stocks'!A:OH,COLUMN('Heavy weapon stocks'!$MU$1),0)+VLOOKUP(A30,'Heavy weapon stocks'!A:OH,COLUMN('Heavy weapon stocks'!$MV$1),0)</f>
        <v>0</v>
      </c>
      <c r="AD30" s="33">
        <f>SUMIFS('Bilateral assistance, MAIN DATA'!$M:$M,'Bilateral assistance, MAIN DATA'!$B:$B,'Share, heavy weapons to Ukraine'!$A30,'Bilateral assistance, MAIN DATA'!$AO:$AO,'Share, heavy weapons to Ukraine'!AD$1)</f>
        <v>0</v>
      </c>
      <c r="AE30" s="33">
        <f>SUMIFS('Bilateral assistance, MAIN DATA'!$M:$M,'Bilateral assistance, MAIN DATA'!$B:$B,'Share, heavy weapons to Ukraine'!$A30,'Bilateral assistance, MAIN DATA'!$AO:$AO,'Share, heavy weapons to Ukraine'!AE$1)</f>
        <v>0</v>
      </c>
      <c r="AF30" s="33">
        <f>SUMIFS('Bilateral assistance, MAIN DATA'!$M:$M,'Bilateral assistance, MAIN DATA'!$B:$B,'Share, heavy weapons to Ukraine'!$A30,'Bilateral assistance, MAIN DATA'!$AO:$AO,'Share, heavy weapons to Ukraine'!AF$1)</f>
        <v>0</v>
      </c>
      <c r="AG30" s="33">
        <f>SUMIFS('Bilateral assistance, MAIN DATA'!$M:$M,'Bilateral assistance, MAIN DATA'!$B:$B,'Share, heavy weapons to Ukraine'!$A30,'Bilateral assistance, MAIN DATA'!$AO:$AO,'Share, heavy weapons to Ukraine'!AG$1)</f>
        <v>0</v>
      </c>
      <c r="AH30" s="33">
        <f>SUMIFS('Bilateral assistance, MAIN DATA'!$M:$M,'Bilateral assistance, MAIN DATA'!$B:$B,'Share, heavy weapons to Ukraine'!$A30,'Bilateral assistance, MAIN DATA'!$AO:$AO,'Share, heavy weapons to Ukraine'!AH$1)</f>
        <v>0</v>
      </c>
      <c r="AI30" s="33">
        <f t="shared" si="1"/>
        <v>0</v>
      </c>
      <c r="AJ30" s="33">
        <f>SUMIFS('Bilateral assistance, MAIN DATA'!$M:$M,'Bilateral assistance, MAIN DATA'!$B:$B,'Share, heavy weapons to Ukraine'!$A30,'Bilateral assistance, MAIN DATA'!$AO:$AO,'Share, heavy weapons to Ukraine'!AJ$1)</f>
        <v>0</v>
      </c>
      <c r="AK30" s="645">
        <f>SUMIFS('Bilateral assistance, MAIN DATA'!$M:$M,'Bilateral assistance, MAIN DATA'!$B:$B,'Share, heavy weapons to Ukraine'!$A30,'Bilateral assistance, MAIN DATA'!$AO:$AO,"122mm MLRS")+SUMIFS('Bilateral assistance, MAIN DATA'!$M:$M,'Bilateral assistance, MAIN DATA'!$B:$B,'Share, heavy weapons to Ukraine'!$A30,'Bilateral assistance, MAIN DATA'!$AO:$AO,"127mm MLRS")+SUMIFS('Bilateral assistance, MAIN DATA'!$M:$M,'Bilateral assistance, MAIN DATA'!$B:$B,'Share, heavy weapons to Ukraine'!$A30,'Bilateral assistance, MAIN DATA'!$AO:$AO,"227mm MLRS")</f>
        <v>0</v>
      </c>
      <c r="AL30" s="33">
        <f>SUMIFS('Bilateral assistance, MAIN DATA'!$M:$M,'Bilateral assistance, MAIN DATA'!$B:$B,'Share, heavy weapons to Ukraine'!$A30,'Bilateral assistance, MAIN DATA'!$AO:$AO,'Share, heavy weapons to Ukraine'!AL$1)</f>
        <v>0</v>
      </c>
      <c r="AM30" s="33">
        <f>SUMIFS('Bilateral assistance, MAIN DATA'!$M:$M,'Bilateral assistance, MAIN DATA'!$B:$B,'Share, heavy weapons to Ukraine'!$A30,'Bilateral assistance, MAIN DATA'!$AO:$AO,'Share, heavy weapons to Ukraine'!AM$1)</f>
        <v>0</v>
      </c>
      <c r="AN30" s="33">
        <f>SUMIFS('Bilateral assistance, MAIN DATA'!$M:$M,'Bilateral assistance, MAIN DATA'!$B:$B,'Share, heavy weapons to Ukraine'!$A30,'Bilateral assistance, MAIN DATA'!$AO:$AO,'Share, heavy weapons to Ukraine'!AN$1)</f>
        <v>0</v>
      </c>
      <c r="AO30" s="33">
        <f>SUMIFS('Bilateral assistance, MAIN DATA'!$M:$M,'Bilateral assistance, MAIN DATA'!$B:$B,'Share, heavy weapons to Ukraine'!$A30,'Bilateral assistance, MAIN DATA'!$AO:$AO,'Share, heavy weapons to Ukraine'!AO$1)</f>
        <v>0</v>
      </c>
      <c r="AP30" s="33">
        <f>SUMIFS('Bilateral assistance, MAIN DATA'!$M:$M,'Bilateral assistance, MAIN DATA'!$B:$B,'Share, heavy weapons to Ukraine'!$A30,'Bilateral assistance, MAIN DATA'!$AO:$AO,'Share, heavy weapons to Ukraine'!AP$1)</f>
        <v>0</v>
      </c>
      <c r="AR30" s="33">
        <f>SUMIFS('Bilateral assistance, MAIN DATA'!$N:$N,'Bilateral assistance, MAIN DATA'!$B:$B,'Share, heavy weapons to Ukraine'!$A30,'Bilateral assistance, MAIN DATA'!$AO:$AO,'Share, heavy weapons to Ukraine'!AR$1)</f>
        <v>0</v>
      </c>
      <c r="AS30" s="33">
        <f>SUMIFS('Bilateral assistance, MAIN DATA'!$N:$N,'Bilateral assistance, MAIN DATA'!$B:$B,'Share, heavy weapons to Ukraine'!$A30,'Bilateral assistance, MAIN DATA'!$AO:$AO,'Share, heavy weapons to Ukraine'!AS$1)</f>
        <v>0</v>
      </c>
      <c r="AT30" s="33">
        <f>SUMIFS('Bilateral assistance, MAIN DATA'!$N:$N,'Bilateral assistance, MAIN DATA'!$B:$B,'Share, heavy weapons to Ukraine'!$A30,'Bilateral assistance, MAIN DATA'!$AO:$AO,'Share, heavy weapons to Ukraine'!AT$1)</f>
        <v>0</v>
      </c>
      <c r="AU30" s="33">
        <f>SUMIFS('Bilateral assistance, MAIN DATA'!$N:$N,'Bilateral assistance, MAIN DATA'!$B:$B,'Share, heavy weapons to Ukraine'!$A30,'Bilateral assistance, MAIN DATA'!$AO:$AO,'Share, heavy weapons to Ukraine'!AU$1)</f>
        <v>0</v>
      </c>
      <c r="AV30" s="33">
        <f>SUMIFS('Bilateral assistance, MAIN DATA'!$N:$N,'Bilateral assistance, MAIN DATA'!$B:$B,'Share, heavy weapons to Ukraine'!$A30,'Bilateral assistance, MAIN DATA'!$AO:$AO,'Share, heavy weapons to Ukraine'!AV$1)</f>
        <v>0</v>
      </c>
      <c r="AW30" s="33">
        <f t="shared" si="2"/>
        <v>0</v>
      </c>
      <c r="AX30" s="33">
        <f>SUMIFS('Bilateral assistance, MAIN DATA'!$N:$N,'Bilateral assistance, MAIN DATA'!$B:$B,'Share, heavy weapons to Ukraine'!$A30,'Bilateral assistance, MAIN DATA'!$AO:$AO,'Share, heavy weapons to Ukraine'!AX$1)</f>
        <v>0</v>
      </c>
      <c r="AY30" s="645">
        <f>SUMIFS('Bilateral assistance, MAIN DATA'!$N:$N,'Bilateral assistance, MAIN DATA'!$B:$B,'Share, heavy weapons to Ukraine'!$A30,'Bilateral assistance, MAIN DATA'!$AO:$AO,"122mm MLRS")+SUMIFS('Bilateral assistance, MAIN DATA'!$N:$N,'Bilateral assistance, MAIN DATA'!$B:$B,'Share, heavy weapons to Ukraine'!$A30,'Bilateral assistance, MAIN DATA'!$AO:$AO,"127mm MLRS")+SUMIFS('Bilateral assistance, MAIN DATA'!$N:$N,'Bilateral assistance, MAIN DATA'!$B:$B,'Share, heavy weapons to Ukraine'!$A30,'Bilateral assistance, MAIN DATA'!$AO:$AO,"227mm MLRS")</f>
        <v>0</v>
      </c>
      <c r="AZ30" s="33">
        <f>SUMIFS('Bilateral assistance, MAIN DATA'!$N:$N,'Bilateral assistance, MAIN DATA'!$B:$B,'Share, heavy weapons to Ukraine'!$A30,'Bilateral assistance, MAIN DATA'!$AO:$AO,'Share, heavy weapons to Ukraine'!AZ$1)</f>
        <v>0</v>
      </c>
      <c r="BA30" s="33">
        <f>SUMIFS('Bilateral assistance, MAIN DATA'!$N:$N,'Bilateral assistance, MAIN DATA'!$B:$B,'Share, heavy weapons to Ukraine'!$A30,'Bilateral assistance, MAIN DATA'!$AO:$AO,'Share, heavy weapons to Ukraine'!BA$1)</f>
        <v>0</v>
      </c>
      <c r="BB30" s="33">
        <f>SUMIFS('Bilateral assistance, MAIN DATA'!$N:$N,'Bilateral assistance, MAIN DATA'!$B:$B,'Share, heavy weapons to Ukraine'!$A30,'Bilateral assistance, MAIN DATA'!$AO:$AO,'Share, heavy weapons to Ukraine'!BB$1)</f>
        <v>0</v>
      </c>
      <c r="BC30" s="33">
        <f>SUMIFS('Bilateral assistance, MAIN DATA'!$N:$N,'Bilateral assistance, MAIN DATA'!$B:$B,'Share, heavy weapons to Ukraine'!$A30,'Bilateral assistance, MAIN DATA'!$AO:$AO,'Share, heavy weapons to Ukraine'!BC$1)</f>
        <v>0</v>
      </c>
      <c r="BD30" s="33">
        <f>SUMIFS('Bilateral assistance, MAIN DATA'!$N:$N,'Bilateral assistance, MAIN DATA'!$B:$B,'Share, heavy weapons to Ukraine'!$A30,'Bilateral assistance, MAIN DATA'!$AO:$AO,'Share, heavy weapons to Ukraine'!BD$1)</f>
        <v>0</v>
      </c>
      <c r="BF30" s="33">
        <f>IF(VLOOKUP($A30,$A:F,COLUMN(F29),FALSE)&lt;&gt;0,VLOOKUP($A30,$A:AD,COLUMN(AD29),FALSE)/VLOOKUP($A30,$A:F,COLUMN(F29),FALSE),IF(VLOOKUP($A30,$A:AD,COLUMN(AD29),FALSE)&lt;&gt;0,"Strange",0))</f>
        <v>0</v>
      </c>
      <c r="BG30" s="33">
        <f>IF(VLOOKUP($A30,$A:G,COLUMN(G29),FALSE)&lt;&gt;0,VLOOKUP($A30,$A:AE,COLUMN(AE29),FALSE)/VLOOKUP($A30,$A:G,COLUMN(G29),FALSE),IF(VLOOKUP($A30,$A:AE,COLUMN(AE29),FALSE)&lt;&gt;0,"Strange",0))</f>
        <v>0</v>
      </c>
      <c r="BH30" s="33">
        <f>IF(VLOOKUP($A30,$A:H,COLUMN(H29),FALSE)&lt;&gt;0,VLOOKUP($A30,$A:AF,COLUMN(AF29),FALSE)/VLOOKUP($A30,$A:H,COLUMN(H29),FALSE),IF(VLOOKUP($A30,$A:AF,COLUMN(AF29),FALSE)&lt;&gt;0,"Strange",0))</f>
        <v>0</v>
      </c>
      <c r="BI30" s="33">
        <f>IF(VLOOKUP($A30,$A:I,COLUMN(I29),FALSE)&lt;&gt;0,VLOOKUP($A30,$A:AG,COLUMN(AG29),FALSE)/VLOOKUP($A30,$A:I,COLUMN(I29),FALSE),IF(VLOOKUP($A30,$A:AG,COLUMN(AG29),FALSE)&lt;&gt;0,"Strange",0))</f>
        <v>0</v>
      </c>
      <c r="BJ30" s="33">
        <f>IF(VLOOKUP($A30,$A:J,COLUMN(J29),FALSE)&lt;&gt;0,VLOOKUP($A30,$A:AH,COLUMN(AH29),FALSE)/VLOOKUP($A30,$A:J,COLUMN(J29),FALSE),IF(VLOOKUP($A30,$A:AH,COLUMN(AH29),FALSE)&lt;&gt;0,"Strange",0))</f>
        <v>0</v>
      </c>
      <c r="BK30" s="33">
        <f>IF(VLOOKUP($A30,$A:K,COLUMN(K29),FALSE)&lt;&gt;0,VLOOKUP($A30,$A:AI,COLUMN(AI29),FALSE)/VLOOKUP($A30,$A:K,COLUMN(K29),FALSE),IF(VLOOKUP($A30,$A:AI,COLUMN(AI29),FALSE)&lt;&gt;0,"Strange",0))</f>
        <v>0</v>
      </c>
      <c r="BL30" s="33">
        <f>IF(VLOOKUP($A30,$A:L,COLUMN(L29),FALSE)&lt;&gt;0,VLOOKUP($A30,$A:AJ,COLUMN(AJ29),FALSE)/VLOOKUP($A30,$A:L,COLUMN(L29),FALSE),IF(VLOOKUP($A30,$A:AJ,COLUMN(AJ29),FALSE)&lt;&gt;0,"Strange",0))</f>
        <v>0</v>
      </c>
      <c r="BM30" s="33">
        <f>IF(VLOOKUP($A30,$A:M,COLUMN(M29),FALSE)&lt;&gt;0,VLOOKUP($A30,$A:AK,COLUMN(AK29),FALSE)/VLOOKUP($A30,$A:M,COLUMN(M29),FALSE),IF(VLOOKUP($A30,$A:AK,COLUMN(AK29),FALSE)&lt;&gt;0,"Strange",0))</f>
        <v>0</v>
      </c>
      <c r="BN30" s="33">
        <f>IF(VLOOKUP($A30,$A:N,COLUMN(N29),FALSE)&lt;&gt;0,VLOOKUP($A30,$A:AL,COLUMN(AL29),FALSE)/VLOOKUP($A30,$A:N,COLUMN(N29),FALSE),IF(VLOOKUP($A30,$A:AL,COLUMN(AL29),FALSE)&lt;&gt;0,"Strange",0))</f>
        <v>0</v>
      </c>
      <c r="BO30" s="33">
        <f>IF(VLOOKUP($A30,$A:Q,COLUMN(Q29),FALSE)&lt;&gt;0,VLOOKUP($A30,$A:AM,COLUMN(AM29),FALSE)/VLOOKUP($A30,$A:Q,COLUMN(Q29),FALSE),IF(VLOOKUP($A30,$A:AM,COLUMN(AM29),FALSE)&lt;&gt;0,"Strange",0))</f>
        <v>0</v>
      </c>
      <c r="BP30" s="33">
        <f>IF(VLOOKUP($A30,$A:R,COLUMN(R29),FALSE)&lt;&gt;0,VLOOKUP($A30,$A:AN,COLUMN(AN29),FALSE)/VLOOKUP($A30,$A:R,COLUMN(R29),FALSE),IF(VLOOKUP($A30,$A:AN,COLUMN(AN29),FALSE)&lt;&gt;0,"Strange",0))</f>
        <v>0</v>
      </c>
      <c r="BQ30" s="33">
        <f>IF(VLOOKUP($A30,$A:S,COLUMN(S29),FALSE)&lt;&gt;0,VLOOKUP($A30,$A:AO,COLUMN(AO29),FALSE)/VLOOKUP($A30,$A:S,COLUMN(S29),FALSE),IF(VLOOKUP($A30,$A:AO,COLUMN(AO29),FALSE)&lt;&gt;0,"Strange",0))</f>
        <v>0</v>
      </c>
      <c r="BR30" s="33">
        <f>IF(VLOOKUP($A30,$A:T,COLUMN(T29),FALSE)&lt;&gt;0,VLOOKUP($A30,$A:AP,COLUMN(AP29),FALSE)/VLOOKUP($A30,$A:T,COLUMN(T29),FALSE),IF(VLOOKUP($A30,$A:AP,COLUMN(AP29),FALSE)&lt;&gt;0,"Strange",0))</f>
        <v>0</v>
      </c>
      <c r="BT30" s="33">
        <f>IF(VLOOKUP($A30,$A:AE,COLUMN(F29),FALSE)&lt;&gt;0,VLOOKUP($A30,$A:AS,COLUMN(AR29),FALSE)/VLOOKUP($A30,$A:AE,COLUMN(F29),FALSE),IF(VLOOKUP($A30,$A:AS,COLUMN(AR29),FALSE)&lt;&gt;0,"Strange",0))</f>
        <v>0</v>
      </c>
      <c r="BU30" s="33">
        <f>IF(VLOOKUP($A30,$A:AF,COLUMN(G29),FALSE)&lt;&gt;0,VLOOKUP($A30,$A:AT,COLUMN(AS29),FALSE)/VLOOKUP($A30,$A:AF,COLUMN(G29),FALSE),IF(VLOOKUP($A30,$A:AT,COLUMN(AS29),FALSE)&lt;&gt;0,"Strange",0))</f>
        <v>0</v>
      </c>
      <c r="BV30" s="33">
        <f>IF(VLOOKUP($A30,$A:AG,COLUMN(H29),FALSE)&lt;&gt;0,VLOOKUP($A30,$A:AU,COLUMN(AT29),FALSE)/VLOOKUP($A30,$A:AG,COLUMN(H29),FALSE),IF(VLOOKUP($A30,$A:AU,COLUMN(AT29),FALSE)&lt;&gt;0,"Strange",0))</f>
        <v>0</v>
      </c>
      <c r="BW30" s="33">
        <f>IF(VLOOKUP($A30,$A:AH,COLUMN(I29),FALSE)&lt;&gt;0,VLOOKUP($A30,$A:AV,COLUMN(AU29),FALSE)/VLOOKUP($A30,$A:AH,COLUMN(I29),FALSE),IF(VLOOKUP($A30,$A:AV,COLUMN(AU29),FALSE)&lt;&gt;0,"Strange",0))</f>
        <v>0</v>
      </c>
      <c r="BX30" s="33">
        <f>IF(VLOOKUP($A30,$A:AJ,COLUMN(J29),FALSE)&lt;&gt;0,VLOOKUP($A30,$A:AX,COLUMN(AV29),FALSE)/VLOOKUP($A30,$A:AJ,COLUMN(J29),FALSE),IF(VLOOKUP($A30,$A:AX,COLUMN(AV29),FALSE)&lt;&gt;0,"Strange",0))</f>
        <v>0</v>
      </c>
      <c r="BY30" s="33">
        <f>IF(VLOOKUP($A30,$A:AK,COLUMN(K29),FALSE)&lt;&gt;0,VLOOKUP($A30,$A:AY,COLUMN(AW29),FALSE)/VLOOKUP($A30,$A:AK,COLUMN(K29),FALSE),IF(VLOOKUP($A30,$A:AY,COLUMN(AW29),FALSE)&lt;&gt;0,"Strange",0))</f>
        <v>0</v>
      </c>
      <c r="BZ30" s="33">
        <f>IF(VLOOKUP($A30,$A:AK,COLUMN(L29),FALSE)&lt;&gt;0,VLOOKUP($A30,$A:AY,COLUMN(AX29),FALSE)/VLOOKUP($A30,$A:AK,COLUMN(L29),FALSE),IF(VLOOKUP($A30,$A:AY,COLUMN(AX29),FALSE)&lt;&gt;0,"Strange",0))</f>
        <v>0</v>
      </c>
      <c r="CA30" s="33">
        <f>IF(VLOOKUP($A30,$A:AL,COLUMN(M29),FALSE)&lt;&gt;0,VLOOKUP($A30,$A:AZ,COLUMN(AY29),FALSE)/VLOOKUP($A30,$A:AL,COLUMN(M29),FALSE),IF(VLOOKUP($A30,$A:AZ,COLUMN(AY29),FALSE)&lt;&gt;0,"Strange",0))</f>
        <v>0</v>
      </c>
      <c r="CB30" s="33">
        <f>IF(VLOOKUP($A30,$A:AL,COLUMN(N29),FALSE)&lt;&gt;0,VLOOKUP($A30,$A:AZ,COLUMN(AZ29),FALSE)/VLOOKUP($A30,$A:AL,COLUMN(N29),FALSE),IF(VLOOKUP($A30,$A:AZ,COLUMN(AZ29),FALSE)&lt;&gt;0,"Strange",0))</f>
        <v>0</v>
      </c>
      <c r="CC30" s="33">
        <f>IF(VLOOKUP($A30,$A:AM,COLUMN(Q29),FALSE)&lt;&gt;0,VLOOKUP($A30,$A:BA,COLUMN(BA29),FALSE)/VLOOKUP($A30,$A:AM,COLUMN(Q29),FALSE),IF(VLOOKUP($A30,$A:BA,COLUMN(BA29),FALSE)&lt;&gt;0,"Strange",0))</f>
        <v>0</v>
      </c>
      <c r="CD30" s="33">
        <f>IF(VLOOKUP($A30,$A:AN,COLUMN(R29),FALSE)&lt;&gt;0,VLOOKUP($A30,$A:BB,COLUMN(BB29),FALSE)/VLOOKUP($A30,$A:AN,COLUMN(R29),FALSE),IF(VLOOKUP($A30,$A:BB,COLUMN(BB29),FALSE)&lt;&gt;0,"Strange",0))</f>
        <v>0</v>
      </c>
      <c r="CE30" s="33">
        <f>IF(VLOOKUP($A30,$A:AO,COLUMN(S29),FALSE)&lt;&gt;0,VLOOKUP($A30,$A:BC,COLUMN(BC29),FALSE)/VLOOKUP($A30,$A:AO,COLUMN(S29),FALSE),IF(VLOOKUP($A30,$A:BC,COLUMN(BC29),FALSE)&lt;&gt;0,"Strange",0))</f>
        <v>0</v>
      </c>
      <c r="CF30" s="33">
        <f>IF(VLOOKUP($A30,$A:AP,COLUMN(T29),FALSE)&lt;&gt;0,VLOOKUP($A30,$A:BD,COLUMN(BD29),FALSE)/VLOOKUP($A30,$A:AP,COLUMN(T29),FALSE),IF(VLOOKUP($A30,$A:BD,COLUMN(BD29),FALSE)&lt;&gt;0,"Strange",0))</f>
        <v>0</v>
      </c>
      <c r="CH30" s="33">
        <f>SUMIFS('Bilateral assistance, MAIN DATA'!$M:$M,'Bilateral assistance, MAIN DATA'!$B:$B,'Share, heavy weapons to Ukraine'!$A30,'Bilateral assistance, MAIN DATA'!$AO:$AO,'Share, heavy weapons to Ukraine'!CH$1,'Bilateral assistance, MAIN DATA'!$AQ:$AQ,2)</f>
        <v>0</v>
      </c>
      <c r="CI30" s="33">
        <f>SUMIFS('Bilateral assistance, MAIN DATA'!$M:$M,'Bilateral assistance, MAIN DATA'!$B:$B,'Share, heavy weapons to Ukraine'!$A30,'Bilateral assistance, MAIN DATA'!$AO:$AO,'Share, heavy weapons to Ukraine'!CI$1,'Bilateral assistance, MAIN DATA'!$AQ:$AQ,2)</f>
        <v>0</v>
      </c>
      <c r="CJ30" s="645">
        <f>SUMIFS('Bilateral assistance, MAIN DATA'!$M:$M,'Bilateral assistance, MAIN DATA'!$B:$B,'Share, heavy weapons to Ukraine'!$A30,'Bilateral assistance, MAIN DATA'!$AO:$AO,"122mm MLRS",'Bilateral assistance, MAIN DATA'!$AQ:$AQ,2)+SUMIFS('Bilateral assistance, MAIN DATA'!$M:$M,'Bilateral assistance, MAIN DATA'!$B:$B,'Share, heavy weapons to Ukraine'!$A30,'Bilateral assistance, MAIN DATA'!$AO:$AO,"127mm MLRS",'Bilateral assistance, MAIN DATA'!$AQ:$AQ,2)+SUMIFS('Bilateral assistance, MAIN DATA'!$M:$M,'Bilateral assistance, MAIN DATA'!$B:$B,'Share, heavy weapons to Ukraine'!$A30,'Bilateral assistance, MAIN DATA'!$AO:$AO,"227mm MLRS",'Bilateral assistance, MAIN DATA'!$AQ:$AQ,2)</f>
        <v>0</v>
      </c>
      <c r="CL30" s="33">
        <f>SUMIFS('Bilateral assistance, MAIN DATA'!$M:$M,'Bilateral assistance, MAIN DATA'!$B:$B,'Share, heavy weapons to Ukraine'!$A30,'Bilateral assistance, MAIN DATA'!$AO:$AO,'Share, heavy weapons to Ukraine'!CH$1,'Bilateral assistance, MAIN DATA'!$AQ:$AQ,1)</f>
        <v>0</v>
      </c>
      <c r="CM30" s="33">
        <f>SUMIFS('Bilateral assistance, MAIN DATA'!$M:$M,'Bilateral assistance, MAIN DATA'!$B:$B,'Share, heavy weapons to Ukraine'!$A30,'Bilateral assistance, MAIN DATA'!$AO:$AO,'Share, heavy weapons to Ukraine'!CI$1,'Bilateral assistance, MAIN DATA'!$AQ:$AQ,1)</f>
        <v>0</v>
      </c>
      <c r="CN30" s="645">
        <f>SUMIFS('Bilateral assistance, MAIN DATA'!$M:$M,'Bilateral assistance, MAIN DATA'!$B:$B,'Share, heavy weapons to Ukraine'!$A30,'Bilateral assistance, MAIN DATA'!$AO:$AO,"122mm MLRS",'Bilateral assistance, MAIN DATA'!$AQ:$AQ,1)+SUMIFS('Bilateral assistance, MAIN DATA'!$M:$M,'Bilateral assistance, MAIN DATA'!$B:$B,'Share, heavy weapons to Ukraine'!$A30,'Bilateral assistance, MAIN DATA'!$AO:$AO,"127mm MLRS",'Bilateral assistance, MAIN DATA'!$AQ:$AQ,1)+SUMIFS('Bilateral assistance, MAIN DATA'!$M:$M,'Bilateral assistance, MAIN DATA'!$B:$B,'Share, heavy weapons to Ukraine'!$A30,'Bilateral assistance, MAIN DATA'!$AO:$AO,"227mm MLRS",'Bilateral assistance, MAIN DATA'!$AQ:$AQ,1)</f>
        <v>0</v>
      </c>
      <c r="CP30" s="33">
        <f>SUMIFS('Bilateral assistance, MAIN DATA'!$M:$M,'Bilateral assistance, MAIN DATA'!$B:$B,'Share, heavy weapons to Ukraine'!$A30,'Bilateral assistance, MAIN DATA'!$AO:$AO,'Share, heavy weapons to Ukraine'!CP$1,'Bilateral assistance, MAIN DATA'!$AQ:$AQ,0)</f>
        <v>0</v>
      </c>
      <c r="CQ30" s="33">
        <f>SUMIFS('Bilateral assistance, MAIN DATA'!$M:$M,'Bilateral assistance, MAIN DATA'!$B:$B,'Share, heavy weapons to Ukraine'!$A30,'Bilateral assistance, MAIN DATA'!$AO:$AO,'Share, heavy weapons to Ukraine'!CQ$1,'Bilateral assistance, MAIN DATA'!$AQ:$AQ,0)</f>
        <v>0</v>
      </c>
      <c r="CR30" s="645">
        <f>SUMIFS('Bilateral assistance, MAIN DATA'!$M:$M,'Bilateral assistance, MAIN DATA'!$B:$B,'Share, heavy weapons to Ukraine'!$A30,'Bilateral assistance, MAIN DATA'!$AO:$AO,"122mm MLRS",'Bilateral assistance, MAIN DATA'!$AQ:$AQ,0)+SUMIFS('Bilateral assistance, MAIN DATA'!$M:$M,'Bilateral assistance, MAIN DATA'!$B:$B,'Share, heavy weapons to Ukraine'!$A30,'Bilateral assistance, MAIN DATA'!$AO:$AO,"127mm MLRS",'Bilateral assistance, MAIN DATA'!$AQ:$AQ,0)+SUMIFS('Bilateral assistance, MAIN DATA'!$M:$M,'Bilateral assistance, MAIN DATA'!$B:$B,'Share, heavy weapons to Ukraine'!$A30,'Bilateral assistance, MAIN DATA'!$AO:$AO,"227mm MLRS",'Bilateral assistance, MAIN DATA'!$AQ:$AQ,0)</f>
        <v>0</v>
      </c>
      <c r="CT30" s="33">
        <f>IF(VLOOKUP($A30,$A:CS,COLUMN(F29),FALSE)&lt;&gt;0,VLOOKUP($A30,$A:CS,COLUMN(CH29),FALSE)/VLOOKUP($A30,$A:AU,COLUMN(F29),FALSE),IF(VLOOKUP($A30,$A:CS,COLUMN(CH29),FALSE)&lt;&gt;0,"Strange",0))</f>
        <v>0</v>
      </c>
      <c r="CU30" s="33">
        <f>IF(VLOOKUP($A30,$A:CS,COLUMN(L29),FALSE)&lt;&gt;0,VLOOKUP($A30,$A:CS,COLUMN(CI29),FALSE)/VLOOKUP($A30,$A:AU,COLUMN(L29),FALSE),IF(VLOOKUP($A30,$A:CS,COLUMN(CI29),FALSE)&lt;&gt;0,"Strange",0))</f>
        <v>0</v>
      </c>
      <c r="CV30" s="33">
        <f>IF(VLOOKUP($A30,$A:CT,COLUMN(M29),FALSE)&lt;&gt;0,VLOOKUP($A30,$A:CT,COLUMN(CJ29),FALSE)/VLOOKUP($A30,$A:AV,COLUMN(M29),FALSE),IF(VLOOKUP($A30,$A:CT,COLUMN(CJ29),FALSE)&lt;&gt;0,"Strange",0))</f>
        <v>0</v>
      </c>
      <c r="CX30" s="33">
        <f>IF(VLOOKUP($A30,$A:CS,COLUMN(F29),FALSE)&lt;&gt;0,VLOOKUP($A30,$A:CS,COLUMN(CL29),FALSE)/VLOOKUP($A30,$A:AU,COLUMN(F29),FALSE),IF(VLOOKUP($A30,$A:CS,COLUMN(CL29),FALSE)&lt;&gt;0,"Strange",0))</f>
        <v>0</v>
      </c>
      <c r="CY30" s="33">
        <f>IF(VLOOKUP($A30,$A:CS,COLUMN(L29),FALSE)&lt;&gt;0,VLOOKUP($A30,$A:CS,COLUMN(CM29),FALSE)/VLOOKUP($A30,$A:AU,COLUMN(L29),FALSE),IF(VLOOKUP($A30,$A:CS,COLUMN(CM29),FALSE)&lt;&gt;0,"Strange",0))</f>
        <v>0</v>
      </c>
      <c r="CZ30" s="33">
        <f>IF(VLOOKUP($A30,$A:CT,COLUMN(M29),FALSE)&lt;&gt;0,VLOOKUP($A30,$A:CT,COLUMN(CN29),FALSE)/VLOOKUP($A30,$A:AV,COLUMN(M29),FALSE),IF(VLOOKUP($A30,$A:CT,COLUMN(CN29),FALSE)&lt;&gt;0,"Strange",0))</f>
        <v>0</v>
      </c>
      <c r="DB30" s="33">
        <f>IF(VLOOKUP($A30,$A:CS,COLUMN(F29),FALSE)&lt;&gt;0,VLOOKUP($A30,$A:CS,COLUMN(CP29),FALSE)/VLOOKUP($A30,$A:AU,COLUMN(F29),FALSE),IF(VLOOKUP($A30,$A:CS,COLUMN(CP29),FALSE)&lt;&gt;0,"Strange",0))</f>
        <v>0</v>
      </c>
      <c r="DC30" s="33">
        <f>IF(VLOOKUP($A30,$A:CS,COLUMN(L29),FALSE)&lt;&gt;0,VLOOKUP($A30,$A:CS,COLUMN(CQ29),FALSE)/VLOOKUP($A30,$A:AU,COLUMN(L29),FALSE),IF(VLOOKUP($A30,$A:CS,COLUMN(CQ29),FALSE)&lt;&gt;0,"Strange",0))</f>
        <v>0</v>
      </c>
      <c r="DD30" s="33">
        <f>IF(VLOOKUP($A30,$A:CT,COLUMN(M29),FALSE)&lt;&gt;0,VLOOKUP($A30,$A:CT,COLUMN(CR29),FALSE)/VLOOKUP($A30,$A:AV,COLUMN(M29),FALSE),IF(VLOOKUP($A30,$A:CT,COLUMN(CR29),FALSE)&lt;&gt;0,"Strange",0))</f>
        <v>0</v>
      </c>
      <c r="DF30" s="33">
        <f>SUMIFS('Bilateral assistance, MAIN DATA'!$M:$M,'Bilateral assistance, MAIN DATA'!$B:$B,'Share, heavy weapons to Ukraine'!$A30,'Bilateral assistance, MAIN DATA'!$AO:$AO,'Share, heavy weapons to Ukraine'!DF$1, 'Bilateral assistance, MAIN DATA'!$AA:$AA,1)</f>
        <v>0</v>
      </c>
      <c r="DG30" s="33">
        <f>SUMIFS('Bilateral assistance, MAIN DATA'!$M:$M,'Bilateral assistance, MAIN DATA'!$B:$B,'Share, heavy weapons to Ukraine'!$A30,'Bilateral assistance, MAIN DATA'!$AO:$AO,'Share, heavy weapons to Ukraine'!DG$1, 'Bilateral assistance, MAIN DATA'!$AA:$AA,1)</f>
        <v>0</v>
      </c>
      <c r="DH30" s="33">
        <f>SUMIFS('Bilateral assistance, MAIN DATA'!$M:$M,'Bilateral assistance, MAIN DATA'!$B:$B,'Share, heavy weapons to Ukraine'!$A30,'Bilateral assistance, MAIN DATA'!$AO:$AO,'Share, heavy weapons to Ukraine'!DH$1, 'Bilateral assistance, MAIN DATA'!$AA:$AA,1)</f>
        <v>0</v>
      </c>
      <c r="DI30" s="33">
        <f>SUMIFS('Bilateral assistance, MAIN DATA'!$M:$M,'Bilateral assistance, MAIN DATA'!$B:$B,'Share, heavy weapons to Ukraine'!$A30,'Bilateral assistance, MAIN DATA'!$AO:$AO,'Share, heavy weapons to Ukraine'!DI$1, 'Bilateral assistance, MAIN DATA'!$AA:$AA,1)</f>
        <v>0</v>
      </c>
      <c r="DK30" s="33">
        <f>SUMIFS('Bilateral assistance, MAIN DATA'!$N:$N,'Bilateral assistance, MAIN DATA'!$B:$B,'Share, heavy weapons to Ukraine'!$A30,'Bilateral assistance, MAIN DATA'!$AO:$AO,'Share, heavy weapons to Ukraine'!DK$1, 'Bilateral assistance, MAIN DATA'!$AA:$AA,1)</f>
        <v>0</v>
      </c>
      <c r="DL30" s="33">
        <f>SUMIFS('Bilateral assistance, MAIN DATA'!$N:$N,'Bilateral assistance, MAIN DATA'!$B:$B,'Share, heavy weapons to Ukraine'!$A30,'Bilateral assistance, MAIN DATA'!$AO:$AO,'Share, heavy weapons to Ukraine'!DL$1, 'Bilateral assistance, MAIN DATA'!$AA:$AA,1)</f>
        <v>0</v>
      </c>
      <c r="DM30" s="33">
        <f>SUMIFS('Bilateral assistance, MAIN DATA'!$N:$N,'Bilateral assistance, MAIN DATA'!$B:$B,'Share, heavy weapons to Ukraine'!$A30,'Bilateral assistance, MAIN DATA'!$AO:$AO,'Share, heavy weapons to Ukraine'!DM$1, 'Bilateral assistance, MAIN DATA'!$AA:$AA,1)</f>
        <v>0</v>
      </c>
      <c r="DN30" s="33">
        <f>SUMIFS('Bilateral assistance, MAIN DATA'!$N:$N,'Bilateral assistance, MAIN DATA'!$B:$B,'Share, heavy weapons to Ukraine'!$A30,'Bilateral assistance, MAIN DATA'!$AO:$AO,'Share, heavy weapons to Ukraine'!DN$1, 'Bilateral assistance, MAIN DATA'!$AA:$AA,1)</f>
        <v>0</v>
      </c>
    </row>
    <row r="31" spans="1:118">
      <c r="A31" s="801" t="s">
        <v>4189</v>
      </c>
      <c r="B31" s="801">
        <v>0</v>
      </c>
      <c r="C31" s="33">
        <v>0</v>
      </c>
      <c r="E31" s="802">
        <v>1.04</v>
      </c>
      <c r="F31" s="801">
        <f>VLOOKUP(A31,'Heavy weapon stocks'!A:OH,COLUMN('Heavy weapon stocks'!$G$1),0)</f>
        <v>229</v>
      </c>
      <c r="G31" s="801">
        <f>VLOOKUP(A31,'Heavy weapon stocks'!A:OH,COLUMN('Heavy weapon stocks'!$AW$1),0)</f>
        <v>95</v>
      </c>
      <c r="H31" s="801">
        <f>VLOOKUP(A31,'Heavy weapon stocks'!A:OH,COLUMN('Heavy weapon stocks'!$DQ$1),0)</f>
        <v>0</v>
      </c>
      <c r="I31" s="801">
        <f>VLOOKUP(A31,'Heavy weapon stocks'!A:OH,COLUMN('Heavy weapon stocks'!$EE$1),0)</f>
        <v>0</v>
      </c>
      <c r="J31" s="801">
        <f>VLOOKUP(A31,'Heavy weapon stocks'!A:OH,COLUMN('Heavy weapon stocks'!$FG$1),0)</f>
        <v>335</v>
      </c>
      <c r="K31" s="801">
        <f t="shared" si="3"/>
        <v>430</v>
      </c>
      <c r="L31" s="801">
        <f>VLOOKUP(A31,'Heavy weapon stocks'!A:OH,COLUMN('Heavy weapon stocks'!$HC$1),0)+VLOOKUP(A31,'Heavy weapon stocks'!A:OH,COLUMN('Heavy weapon stocks'!$II$1),0)</f>
        <v>42</v>
      </c>
      <c r="M31" s="801">
        <f>VLOOKUP(A31,'Heavy weapon stocks'!A:OH,COLUMN('Heavy weapon stocks'!$IN$1),0)</f>
        <v>81</v>
      </c>
      <c r="N31" s="801">
        <f>VLOOKUP(A31,'Heavy weapon stocks'!A:OH,COLUMN('Heavy weapon stocks'!$JH$1),0)+VLOOKUP(A31,'Heavy weapon stocks'!A:OH,COLUMN('Heavy weapon stocks'!$KE$1),0)</f>
        <v>31</v>
      </c>
      <c r="O31" s="801">
        <f>VLOOKUP(A31,'Heavy weapon stocks'!A:OH,COLUMN('Heavy weapon stocks'!$LU$1),0)</f>
        <v>0</v>
      </c>
      <c r="Q31" s="801">
        <f>VLOOKUP(A31,'Heavy weapon stocks'!A:OH,COLUMN('Heavy weapon stocks'!$LV$1),0)</f>
        <v>0</v>
      </c>
      <c r="R31" s="801">
        <f>VLOOKUP(A31,'Heavy weapon stocks'!A:OH,COLUMN('Heavy weapon stocks'!$MF$1),0)</f>
        <v>0</v>
      </c>
      <c r="S31" s="801">
        <f>VLOOKUP(A31,'Heavy weapon stocks'!A:OH,COLUMN('Heavy weapon stocks'!$MM$1),0)</f>
        <v>98</v>
      </c>
      <c r="T31" s="801">
        <f>VLOOKUP(A31,'Heavy weapon stocks'!A:OH,COLUMN('Heavy weapon stocks'!$NR$1),0)</f>
        <v>0</v>
      </c>
      <c r="V31" s="801">
        <f>VLOOKUP(A31,'Heavy weapon stocks'!A:OH,COLUMN('Heavy weapon stocks'!$H$1),0)</f>
        <v>0</v>
      </c>
      <c r="W31" s="801">
        <f>VLOOKUP(A31,'Heavy weapon stocks'!A:OH,COLUMN('Heavy weapon stocks'!$DQ$1),0)</f>
        <v>0</v>
      </c>
      <c r="X31" s="801">
        <f>VLOOKUP(A31,'Heavy weapon stocks'!A:OH,COLUMN('Heavy weapon stocks'!$FG$1),0)</f>
        <v>335</v>
      </c>
      <c r="Y31" s="801">
        <f>VLOOKUP(A31,'Heavy weapon stocks'!A:OH,COLUMN('Heavy weapon stocks'!$HC$1),0)+VLOOKUP(A31,'Heavy weapon stocks'!A:OH,COLUMN('Heavy weapon stocks'!$II$1),0)</f>
        <v>42</v>
      </c>
      <c r="Z31" s="801">
        <f>VLOOKUP(A31,'Heavy weapon stocks'!A:OH,COLUMN('Heavy weapon stocks'!$IO$1),0)+VLOOKUP(A31,'Heavy weapon stocks'!A:OH,COLUMN('Heavy weapon stocks'!$IP$1),0)+VLOOKUP(A31,'Heavy weapon stocks'!A:OH,COLUMN('Heavy weapon stocks'!$IU$1),0)</f>
        <v>0</v>
      </c>
      <c r="AA31" s="801">
        <f>VLOOKUP(A31,'Heavy weapon stocks'!A:OH,COLUMN('Heavy weapon stocks'!$MI$1),0)</f>
        <v>0</v>
      </c>
      <c r="AB31" s="801">
        <f>VLOOKUP(A31,'Heavy weapon stocks'!A:OH,COLUMN('Heavy weapon stocks'!$MS$1),0)+VLOOKUP(A31,'Heavy weapon stocks'!A:OH,COLUMN('Heavy weapon stocks'!$MT$1),0)+VLOOKUP(A31,'Heavy weapon stocks'!A:OH,COLUMN('Heavy weapon stocks'!$MU$1),0)+VLOOKUP(A31,'Heavy weapon stocks'!A:OH,COLUMN('Heavy weapon stocks'!$MV$1),0)</f>
        <v>0</v>
      </c>
      <c r="AD31" s="33">
        <f>SUMIFS('Bilateral assistance, MAIN DATA'!$M:$M,'Bilateral assistance, MAIN DATA'!$B:$B,'Share, heavy weapons to Ukraine'!$A31,'Bilateral assistance, MAIN DATA'!$AO:$AO,'Share, heavy weapons to Ukraine'!AD$1)</f>
        <v>0</v>
      </c>
      <c r="AE31" s="33">
        <f>SUMIFS('Bilateral assistance, MAIN DATA'!$M:$M,'Bilateral assistance, MAIN DATA'!$B:$B,'Share, heavy weapons to Ukraine'!$A31,'Bilateral assistance, MAIN DATA'!$AO:$AO,'Share, heavy weapons to Ukraine'!AE$1)</f>
        <v>0</v>
      </c>
      <c r="AF31" s="33">
        <f>SUMIFS('Bilateral assistance, MAIN DATA'!$M:$M,'Bilateral assistance, MAIN DATA'!$B:$B,'Share, heavy weapons to Ukraine'!$A31,'Bilateral assistance, MAIN DATA'!$AO:$AO,'Share, heavy weapons to Ukraine'!AF$1)</f>
        <v>0</v>
      </c>
      <c r="AG31" s="33">
        <f>SUMIFS('Bilateral assistance, MAIN DATA'!$M:$M,'Bilateral assistance, MAIN DATA'!$B:$B,'Share, heavy weapons to Ukraine'!$A31,'Bilateral assistance, MAIN DATA'!$AO:$AO,'Share, heavy weapons to Ukraine'!AG$1)</f>
        <v>0</v>
      </c>
      <c r="AH31" s="33">
        <f>SUMIFS('Bilateral assistance, MAIN DATA'!$M:$M,'Bilateral assistance, MAIN DATA'!$B:$B,'Share, heavy weapons to Ukraine'!$A31,'Bilateral assistance, MAIN DATA'!$AO:$AO,'Share, heavy weapons to Ukraine'!AH$1)</f>
        <v>0</v>
      </c>
      <c r="AI31" s="33">
        <f t="shared" si="1"/>
        <v>0</v>
      </c>
      <c r="AJ31" s="33">
        <f>SUMIFS('Bilateral assistance, MAIN DATA'!$M:$M,'Bilateral assistance, MAIN DATA'!$B:$B,'Share, heavy weapons to Ukraine'!$A31,'Bilateral assistance, MAIN DATA'!$AO:$AO,'Share, heavy weapons to Ukraine'!AJ$1)</f>
        <v>0</v>
      </c>
      <c r="AK31" s="645">
        <f>SUMIFS('Bilateral assistance, MAIN DATA'!$M:$M,'Bilateral assistance, MAIN DATA'!$B:$B,'Share, heavy weapons to Ukraine'!$A31,'Bilateral assistance, MAIN DATA'!$AO:$AO,"122mm MLRS")+SUMIFS('Bilateral assistance, MAIN DATA'!$M:$M,'Bilateral assistance, MAIN DATA'!$B:$B,'Share, heavy weapons to Ukraine'!$A31,'Bilateral assistance, MAIN DATA'!$AO:$AO,"127mm MLRS")+SUMIFS('Bilateral assistance, MAIN DATA'!$M:$M,'Bilateral assistance, MAIN DATA'!$B:$B,'Share, heavy weapons to Ukraine'!$A31,'Bilateral assistance, MAIN DATA'!$AO:$AO,"227mm MLRS")</f>
        <v>0</v>
      </c>
      <c r="AL31" s="33">
        <f>SUMIFS('Bilateral assistance, MAIN DATA'!$M:$M,'Bilateral assistance, MAIN DATA'!$B:$B,'Share, heavy weapons to Ukraine'!$A31,'Bilateral assistance, MAIN DATA'!$AO:$AO,'Share, heavy weapons to Ukraine'!AL$1)</f>
        <v>0</v>
      </c>
      <c r="AM31" s="33">
        <f>SUMIFS('Bilateral assistance, MAIN DATA'!$M:$M,'Bilateral assistance, MAIN DATA'!$B:$B,'Share, heavy weapons to Ukraine'!$A31,'Bilateral assistance, MAIN DATA'!$AO:$AO,'Share, heavy weapons to Ukraine'!AM$1)</f>
        <v>0</v>
      </c>
      <c r="AN31" s="33">
        <f>SUMIFS('Bilateral assistance, MAIN DATA'!$M:$M,'Bilateral assistance, MAIN DATA'!$B:$B,'Share, heavy weapons to Ukraine'!$A31,'Bilateral assistance, MAIN DATA'!$AO:$AO,'Share, heavy weapons to Ukraine'!AN$1)</f>
        <v>0</v>
      </c>
      <c r="AO31" s="33">
        <f>SUMIFS('Bilateral assistance, MAIN DATA'!$M:$M,'Bilateral assistance, MAIN DATA'!$B:$B,'Share, heavy weapons to Ukraine'!$A31,'Bilateral assistance, MAIN DATA'!$AO:$AO,'Share, heavy weapons to Ukraine'!AO$1)</f>
        <v>0</v>
      </c>
      <c r="AP31" s="33">
        <f>SUMIFS('Bilateral assistance, MAIN DATA'!$M:$M,'Bilateral assistance, MAIN DATA'!$B:$B,'Share, heavy weapons to Ukraine'!$A31,'Bilateral assistance, MAIN DATA'!$AO:$AO,'Share, heavy weapons to Ukraine'!AP$1)</f>
        <v>0</v>
      </c>
      <c r="AR31" s="33">
        <f>SUMIFS('Bilateral assistance, MAIN DATA'!$N:$N,'Bilateral assistance, MAIN DATA'!$B:$B,'Share, heavy weapons to Ukraine'!$A31,'Bilateral assistance, MAIN DATA'!$AO:$AO,'Share, heavy weapons to Ukraine'!AR$1)</f>
        <v>0</v>
      </c>
      <c r="AS31" s="33">
        <f>SUMIFS('Bilateral assistance, MAIN DATA'!$N:$N,'Bilateral assistance, MAIN DATA'!$B:$B,'Share, heavy weapons to Ukraine'!$A31,'Bilateral assistance, MAIN DATA'!$AO:$AO,'Share, heavy weapons to Ukraine'!AS$1)</f>
        <v>0</v>
      </c>
      <c r="AT31" s="33">
        <f>SUMIFS('Bilateral assistance, MAIN DATA'!$N:$N,'Bilateral assistance, MAIN DATA'!$B:$B,'Share, heavy weapons to Ukraine'!$A31,'Bilateral assistance, MAIN DATA'!$AO:$AO,'Share, heavy weapons to Ukraine'!AT$1)</f>
        <v>0</v>
      </c>
      <c r="AU31" s="33">
        <f>SUMIFS('Bilateral assistance, MAIN DATA'!$N:$N,'Bilateral assistance, MAIN DATA'!$B:$B,'Share, heavy weapons to Ukraine'!$A31,'Bilateral assistance, MAIN DATA'!$AO:$AO,'Share, heavy weapons to Ukraine'!AU$1)</f>
        <v>0</v>
      </c>
      <c r="AV31" s="33">
        <f>SUMIFS('Bilateral assistance, MAIN DATA'!$N:$N,'Bilateral assistance, MAIN DATA'!$B:$B,'Share, heavy weapons to Ukraine'!$A31,'Bilateral assistance, MAIN DATA'!$AO:$AO,'Share, heavy weapons to Ukraine'!AV$1)</f>
        <v>0</v>
      </c>
      <c r="AW31" s="33">
        <f t="shared" si="2"/>
        <v>0</v>
      </c>
      <c r="AX31" s="33">
        <f>SUMIFS('Bilateral assistance, MAIN DATA'!$N:$N,'Bilateral assistance, MAIN DATA'!$B:$B,'Share, heavy weapons to Ukraine'!$A31,'Bilateral assistance, MAIN DATA'!$AO:$AO,'Share, heavy weapons to Ukraine'!AX$1)</f>
        <v>0</v>
      </c>
      <c r="AY31" s="645">
        <f>SUMIFS('Bilateral assistance, MAIN DATA'!$N:$N,'Bilateral assistance, MAIN DATA'!$B:$B,'Share, heavy weapons to Ukraine'!$A31,'Bilateral assistance, MAIN DATA'!$AO:$AO,"122mm MLRS")+SUMIFS('Bilateral assistance, MAIN DATA'!$N:$N,'Bilateral assistance, MAIN DATA'!$B:$B,'Share, heavy weapons to Ukraine'!$A31,'Bilateral assistance, MAIN DATA'!$AO:$AO,"127mm MLRS")+SUMIFS('Bilateral assistance, MAIN DATA'!$N:$N,'Bilateral assistance, MAIN DATA'!$B:$B,'Share, heavy weapons to Ukraine'!$A31,'Bilateral assistance, MAIN DATA'!$AO:$AO,"227mm MLRS")</f>
        <v>0</v>
      </c>
      <c r="AZ31" s="33">
        <f>SUMIFS('Bilateral assistance, MAIN DATA'!$N:$N,'Bilateral assistance, MAIN DATA'!$B:$B,'Share, heavy weapons to Ukraine'!$A31,'Bilateral assistance, MAIN DATA'!$AO:$AO,'Share, heavy weapons to Ukraine'!AZ$1)</f>
        <v>0</v>
      </c>
      <c r="BA31" s="33">
        <f>SUMIFS('Bilateral assistance, MAIN DATA'!$N:$N,'Bilateral assistance, MAIN DATA'!$B:$B,'Share, heavy weapons to Ukraine'!$A31,'Bilateral assistance, MAIN DATA'!$AO:$AO,'Share, heavy weapons to Ukraine'!BA$1)</f>
        <v>0</v>
      </c>
      <c r="BB31" s="33">
        <f>SUMIFS('Bilateral assistance, MAIN DATA'!$N:$N,'Bilateral assistance, MAIN DATA'!$B:$B,'Share, heavy weapons to Ukraine'!$A31,'Bilateral assistance, MAIN DATA'!$AO:$AO,'Share, heavy weapons to Ukraine'!BB$1)</f>
        <v>0</v>
      </c>
      <c r="BC31" s="33">
        <f>SUMIFS('Bilateral assistance, MAIN DATA'!$N:$N,'Bilateral assistance, MAIN DATA'!$B:$B,'Share, heavy weapons to Ukraine'!$A31,'Bilateral assistance, MAIN DATA'!$AO:$AO,'Share, heavy weapons to Ukraine'!BC$1)</f>
        <v>0</v>
      </c>
      <c r="BD31" s="33">
        <f>SUMIFS('Bilateral assistance, MAIN DATA'!$N:$N,'Bilateral assistance, MAIN DATA'!$B:$B,'Share, heavy weapons to Ukraine'!$A31,'Bilateral assistance, MAIN DATA'!$AO:$AO,'Share, heavy weapons to Ukraine'!BD$1)</f>
        <v>0</v>
      </c>
      <c r="BF31" s="33">
        <f>IF(VLOOKUP($A31,$A:F,COLUMN(F30),FALSE)&lt;&gt;0,VLOOKUP($A31,$A:AD,COLUMN(AD30),FALSE)/VLOOKUP($A31,$A:F,COLUMN(F30),FALSE),IF(VLOOKUP($A31,$A:AD,COLUMN(AD30),FALSE)&lt;&gt;0,"Strange",0))</f>
        <v>0</v>
      </c>
      <c r="BG31" s="33">
        <f>IF(VLOOKUP($A31,$A:G,COLUMN(G30),FALSE)&lt;&gt;0,VLOOKUP($A31,$A:AE,COLUMN(AE30),FALSE)/VLOOKUP($A31,$A:G,COLUMN(G30),FALSE),IF(VLOOKUP($A31,$A:AE,COLUMN(AE30),FALSE)&lt;&gt;0,"Strange",0))</f>
        <v>0</v>
      </c>
      <c r="BH31" s="33">
        <f>IF(VLOOKUP($A31,$A:H,COLUMN(H30),FALSE)&lt;&gt;0,VLOOKUP($A31,$A:AF,COLUMN(AF30),FALSE)/VLOOKUP($A31,$A:H,COLUMN(H30),FALSE),IF(VLOOKUP($A31,$A:AF,COLUMN(AF30),FALSE)&lt;&gt;0,"Strange",0))</f>
        <v>0</v>
      </c>
      <c r="BI31" s="33">
        <f>IF(VLOOKUP($A31,$A:I,COLUMN(I30),FALSE)&lt;&gt;0,VLOOKUP($A31,$A:AG,COLUMN(AG30),FALSE)/VLOOKUP($A31,$A:I,COLUMN(I30),FALSE),IF(VLOOKUP($A31,$A:AG,COLUMN(AG30),FALSE)&lt;&gt;0,"Strange",0))</f>
        <v>0</v>
      </c>
      <c r="BJ31" s="33">
        <f>IF(VLOOKUP($A31,$A:J,COLUMN(J30),FALSE)&lt;&gt;0,VLOOKUP($A31,$A:AH,COLUMN(AH30),FALSE)/VLOOKUP($A31,$A:J,COLUMN(J30),FALSE),IF(VLOOKUP($A31,$A:AH,COLUMN(AH30),FALSE)&lt;&gt;0,"Strange",0))</f>
        <v>0</v>
      </c>
      <c r="BK31" s="33">
        <f>IF(VLOOKUP($A31,$A:K,COLUMN(K30),FALSE)&lt;&gt;0,VLOOKUP($A31,$A:AI,COLUMN(AI30),FALSE)/VLOOKUP($A31,$A:K,COLUMN(K30),FALSE),IF(VLOOKUP($A31,$A:AI,COLUMN(AI30),FALSE)&lt;&gt;0,"Strange",0))</f>
        <v>0</v>
      </c>
      <c r="BL31" s="33">
        <f>IF(VLOOKUP($A31,$A:L,COLUMN(L30),FALSE)&lt;&gt;0,VLOOKUP($A31,$A:AJ,COLUMN(AJ30),FALSE)/VLOOKUP($A31,$A:L,COLUMN(L30),FALSE),IF(VLOOKUP($A31,$A:AJ,COLUMN(AJ30),FALSE)&lt;&gt;0,"Strange",0))</f>
        <v>0</v>
      </c>
      <c r="BM31" s="33">
        <f>IF(VLOOKUP($A31,$A:M,COLUMN(M30),FALSE)&lt;&gt;0,VLOOKUP($A31,$A:AK,COLUMN(AK30),FALSE)/VLOOKUP($A31,$A:M,COLUMN(M30),FALSE),IF(VLOOKUP($A31,$A:AK,COLUMN(AK30),FALSE)&lt;&gt;0,"Strange",0))</f>
        <v>0</v>
      </c>
      <c r="BN31" s="33">
        <f>IF(VLOOKUP($A31,$A:N,COLUMN(N30),FALSE)&lt;&gt;0,VLOOKUP($A31,$A:AL,COLUMN(AL30),FALSE)/VLOOKUP($A31,$A:N,COLUMN(N30),FALSE),IF(VLOOKUP($A31,$A:AL,COLUMN(AL30),FALSE)&lt;&gt;0,"Strange",0))</f>
        <v>0</v>
      </c>
      <c r="BO31" s="33">
        <f>IF(VLOOKUP($A31,$A:Q,COLUMN(Q30),FALSE)&lt;&gt;0,VLOOKUP($A31,$A:AM,COLUMN(AM30),FALSE)/VLOOKUP($A31,$A:Q,COLUMN(Q30),FALSE),IF(VLOOKUP($A31,$A:AM,COLUMN(AM30),FALSE)&lt;&gt;0,"Strange",0))</f>
        <v>0</v>
      </c>
      <c r="BP31" s="33">
        <f>IF(VLOOKUP($A31,$A:R,COLUMN(R30),FALSE)&lt;&gt;0,VLOOKUP($A31,$A:AN,COLUMN(AN30),FALSE)/VLOOKUP($A31,$A:R,COLUMN(R30),FALSE),IF(VLOOKUP($A31,$A:AN,COLUMN(AN30),FALSE)&lt;&gt;0,"Strange",0))</f>
        <v>0</v>
      </c>
      <c r="BQ31" s="33">
        <f>IF(VLOOKUP($A31,$A:S,COLUMN(S30),FALSE)&lt;&gt;0,VLOOKUP($A31,$A:AO,COLUMN(AO30),FALSE)/VLOOKUP($A31,$A:S,COLUMN(S30),FALSE),IF(VLOOKUP($A31,$A:AO,COLUMN(AO30),FALSE)&lt;&gt;0,"Strange",0))</f>
        <v>0</v>
      </c>
      <c r="BR31" s="33">
        <f>IF(VLOOKUP($A31,$A:T,COLUMN(T30),FALSE)&lt;&gt;0,VLOOKUP($A31,$A:AP,COLUMN(AP30),FALSE)/VLOOKUP($A31,$A:T,COLUMN(T30),FALSE),IF(VLOOKUP($A31,$A:AP,COLUMN(AP30),FALSE)&lt;&gt;0,"Strange",0))</f>
        <v>0</v>
      </c>
      <c r="BT31" s="33">
        <f>IF(VLOOKUP($A31,$A:AE,COLUMN(F30),FALSE)&lt;&gt;0,VLOOKUP($A31,$A:AS,COLUMN(AR30),FALSE)/VLOOKUP($A31,$A:AE,COLUMN(F30),FALSE),IF(VLOOKUP($A31,$A:AS,COLUMN(AR30),FALSE)&lt;&gt;0,"Strange",0))</f>
        <v>0</v>
      </c>
      <c r="BU31" s="33">
        <f>IF(VLOOKUP($A31,$A:AF,COLUMN(G30),FALSE)&lt;&gt;0,VLOOKUP($A31,$A:AT,COLUMN(AS30),FALSE)/VLOOKUP($A31,$A:AF,COLUMN(G30),FALSE),IF(VLOOKUP($A31,$A:AT,COLUMN(AS30),FALSE)&lt;&gt;0,"Strange",0))</f>
        <v>0</v>
      </c>
      <c r="BV31" s="33">
        <f>IF(VLOOKUP($A31,$A:AG,COLUMN(H30),FALSE)&lt;&gt;0,VLOOKUP($A31,$A:AU,COLUMN(AT30),FALSE)/VLOOKUP($A31,$A:AG,COLUMN(H30),FALSE),IF(VLOOKUP($A31,$A:AU,COLUMN(AT30),FALSE)&lt;&gt;0,"Strange",0))</f>
        <v>0</v>
      </c>
      <c r="BW31" s="33">
        <f>IF(VLOOKUP($A31,$A:AH,COLUMN(I30),FALSE)&lt;&gt;0,VLOOKUP($A31,$A:AV,COLUMN(AU30),FALSE)/VLOOKUP($A31,$A:AH,COLUMN(I30),FALSE),IF(VLOOKUP($A31,$A:AV,COLUMN(AU30),FALSE)&lt;&gt;0,"Strange",0))</f>
        <v>0</v>
      </c>
      <c r="BX31" s="33">
        <f>IF(VLOOKUP($A31,$A:AJ,COLUMN(J30),FALSE)&lt;&gt;0,VLOOKUP($A31,$A:AX,COLUMN(AV30),FALSE)/VLOOKUP($A31,$A:AJ,COLUMN(J30),FALSE),IF(VLOOKUP($A31,$A:AX,COLUMN(AV30),FALSE)&lt;&gt;0,"Strange",0))</f>
        <v>0</v>
      </c>
      <c r="BY31" s="33">
        <f>IF(VLOOKUP($A31,$A:AK,COLUMN(K30),FALSE)&lt;&gt;0,VLOOKUP($A31,$A:AY,COLUMN(AW30),FALSE)/VLOOKUP($A31,$A:AK,COLUMN(K30),FALSE),IF(VLOOKUP($A31,$A:AY,COLUMN(AW30),FALSE)&lt;&gt;0,"Strange",0))</f>
        <v>0</v>
      </c>
      <c r="BZ31" s="33">
        <f>IF(VLOOKUP($A31,$A:AK,COLUMN(L30),FALSE)&lt;&gt;0,VLOOKUP($A31,$A:AY,COLUMN(AX30),FALSE)/VLOOKUP($A31,$A:AK,COLUMN(L30),FALSE),IF(VLOOKUP($A31,$A:AY,COLUMN(AX30),FALSE)&lt;&gt;0,"Strange",0))</f>
        <v>0</v>
      </c>
      <c r="CA31" s="33">
        <f>IF(VLOOKUP($A31,$A:AL,COLUMN(M30),FALSE)&lt;&gt;0,VLOOKUP($A31,$A:AZ,COLUMN(AY30),FALSE)/VLOOKUP($A31,$A:AL,COLUMN(M30),FALSE),IF(VLOOKUP($A31,$A:AZ,COLUMN(AY30),FALSE)&lt;&gt;0,"Strange",0))</f>
        <v>0</v>
      </c>
      <c r="CB31" s="33">
        <f>IF(VLOOKUP($A31,$A:AL,COLUMN(N30),FALSE)&lt;&gt;0,VLOOKUP($A31,$A:AZ,COLUMN(AZ30),FALSE)/VLOOKUP($A31,$A:AL,COLUMN(N30),FALSE),IF(VLOOKUP($A31,$A:AZ,COLUMN(AZ30),FALSE)&lt;&gt;0,"Strange",0))</f>
        <v>0</v>
      </c>
      <c r="CC31" s="33">
        <f>IF(VLOOKUP($A31,$A:AM,COLUMN(Q30),FALSE)&lt;&gt;0,VLOOKUP($A31,$A:BA,COLUMN(BA30),FALSE)/VLOOKUP($A31,$A:AM,COLUMN(Q30),FALSE),IF(VLOOKUP($A31,$A:BA,COLUMN(BA30),FALSE)&lt;&gt;0,"Strange",0))</f>
        <v>0</v>
      </c>
      <c r="CD31" s="33">
        <f>IF(VLOOKUP($A31,$A:AN,COLUMN(R30),FALSE)&lt;&gt;0,VLOOKUP($A31,$A:BB,COLUMN(BB30),FALSE)/VLOOKUP($A31,$A:AN,COLUMN(R30),FALSE),IF(VLOOKUP($A31,$A:BB,COLUMN(BB30),FALSE)&lt;&gt;0,"Strange",0))</f>
        <v>0</v>
      </c>
      <c r="CE31" s="33">
        <f>IF(VLOOKUP($A31,$A:AO,COLUMN(S30),FALSE)&lt;&gt;0,VLOOKUP($A31,$A:BC,COLUMN(BC30),FALSE)/VLOOKUP($A31,$A:AO,COLUMN(S30),FALSE),IF(VLOOKUP($A31,$A:BC,COLUMN(BC30),FALSE)&lt;&gt;0,"Strange",0))</f>
        <v>0</v>
      </c>
      <c r="CF31" s="33">
        <f>IF(VLOOKUP($A31,$A:AP,COLUMN(T30),FALSE)&lt;&gt;0,VLOOKUP($A31,$A:BD,COLUMN(BD30),FALSE)/VLOOKUP($A31,$A:AP,COLUMN(T30),FALSE),IF(VLOOKUP($A31,$A:BD,COLUMN(BD30),FALSE)&lt;&gt;0,"Strange",0))</f>
        <v>0</v>
      </c>
      <c r="CH31" s="33">
        <f>SUMIFS('Bilateral assistance, MAIN DATA'!$M:$M,'Bilateral assistance, MAIN DATA'!$B:$B,'Share, heavy weapons to Ukraine'!$A31,'Bilateral assistance, MAIN DATA'!$AO:$AO,'Share, heavy weapons to Ukraine'!CH$1,'Bilateral assistance, MAIN DATA'!$AQ:$AQ,2)</f>
        <v>0</v>
      </c>
      <c r="CI31" s="33">
        <f>SUMIFS('Bilateral assistance, MAIN DATA'!$M:$M,'Bilateral assistance, MAIN DATA'!$B:$B,'Share, heavy weapons to Ukraine'!$A31,'Bilateral assistance, MAIN DATA'!$AO:$AO,'Share, heavy weapons to Ukraine'!CI$1,'Bilateral assistance, MAIN DATA'!$AQ:$AQ,2)</f>
        <v>0</v>
      </c>
      <c r="CJ31" s="645">
        <f>SUMIFS('Bilateral assistance, MAIN DATA'!$M:$M,'Bilateral assistance, MAIN DATA'!$B:$B,'Share, heavy weapons to Ukraine'!$A31,'Bilateral assistance, MAIN DATA'!$AO:$AO,"122mm MLRS",'Bilateral assistance, MAIN DATA'!$AQ:$AQ,2)+SUMIFS('Bilateral assistance, MAIN DATA'!$M:$M,'Bilateral assistance, MAIN DATA'!$B:$B,'Share, heavy weapons to Ukraine'!$A31,'Bilateral assistance, MAIN DATA'!$AO:$AO,"127mm MLRS",'Bilateral assistance, MAIN DATA'!$AQ:$AQ,2)+SUMIFS('Bilateral assistance, MAIN DATA'!$M:$M,'Bilateral assistance, MAIN DATA'!$B:$B,'Share, heavy weapons to Ukraine'!$A31,'Bilateral assistance, MAIN DATA'!$AO:$AO,"227mm MLRS",'Bilateral assistance, MAIN DATA'!$AQ:$AQ,2)</f>
        <v>0</v>
      </c>
      <c r="CL31" s="33">
        <f>SUMIFS('Bilateral assistance, MAIN DATA'!$M:$M,'Bilateral assistance, MAIN DATA'!$B:$B,'Share, heavy weapons to Ukraine'!$A31,'Bilateral assistance, MAIN DATA'!$AO:$AO,'Share, heavy weapons to Ukraine'!CH$1,'Bilateral assistance, MAIN DATA'!$AQ:$AQ,1)</f>
        <v>0</v>
      </c>
      <c r="CM31" s="33">
        <f>SUMIFS('Bilateral assistance, MAIN DATA'!$M:$M,'Bilateral assistance, MAIN DATA'!$B:$B,'Share, heavy weapons to Ukraine'!$A31,'Bilateral assistance, MAIN DATA'!$AO:$AO,'Share, heavy weapons to Ukraine'!CI$1,'Bilateral assistance, MAIN DATA'!$AQ:$AQ,1)</f>
        <v>0</v>
      </c>
      <c r="CN31" s="645">
        <f>SUMIFS('Bilateral assistance, MAIN DATA'!$M:$M,'Bilateral assistance, MAIN DATA'!$B:$B,'Share, heavy weapons to Ukraine'!$A31,'Bilateral assistance, MAIN DATA'!$AO:$AO,"122mm MLRS",'Bilateral assistance, MAIN DATA'!$AQ:$AQ,1)+SUMIFS('Bilateral assistance, MAIN DATA'!$M:$M,'Bilateral assistance, MAIN DATA'!$B:$B,'Share, heavy weapons to Ukraine'!$A31,'Bilateral assistance, MAIN DATA'!$AO:$AO,"127mm MLRS",'Bilateral assistance, MAIN DATA'!$AQ:$AQ,1)+SUMIFS('Bilateral assistance, MAIN DATA'!$M:$M,'Bilateral assistance, MAIN DATA'!$B:$B,'Share, heavy weapons to Ukraine'!$A31,'Bilateral assistance, MAIN DATA'!$AO:$AO,"227mm MLRS",'Bilateral assistance, MAIN DATA'!$AQ:$AQ,1)</f>
        <v>0</v>
      </c>
      <c r="CP31" s="33">
        <f>SUMIFS('Bilateral assistance, MAIN DATA'!$M:$M,'Bilateral assistance, MAIN DATA'!$B:$B,'Share, heavy weapons to Ukraine'!$A31,'Bilateral assistance, MAIN DATA'!$AO:$AO,'Share, heavy weapons to Ukraine'!CP$1,'Bilateral assistance, MAIN DATA'!$AQ:$AQ,0)</f>
        <v>0</v>
      </c>
      <c r="CQ31" s="33">
        <f>SUMIFS('Bilateral assistance, MAIN DATA'!$M:$M,'Bilateral assistance, MAIN DATA'!$B:$B,'Share, heavy weapons to Ukraine'!$A31,'Bilateral assistance, MAIN DATA'!$AO:$AO,'Share, heavy weapons to Ukraine'!CQ$1,'Bilateral assistance, MAIN DATA'!$AQ:$AQ,0)</f>
        <v>0</v>
      </c>
      <c r="CR31" s="645">
        <f>SUMIFS('Bilateral assistance, MAIN DATA'!$M:$M,'Bilateral assistance, MAIN DATA'!$B:$B,'Share, heavy weapons to Ukraine'!$A31,'Bilateral assistance, MAIN DATA'!$AO:$AO,"122mm MLRS",'Bilateral assistance, MAIN DATA'!$AQ:$AQ,0)+SUMIFS('Bilateral assistance, MAIN DATA'!$M:$M,'Bilateral assistance, MAIN DATA'!$B:$B,'Share, heavy weapons to Ukraine'!$A31,'Bilateral assistance, MAIN DATA'!$AO:$AO,"127mm MLRS",'Bilateral assistance, MAIN DATA'!$AQ:$AQ,0)+SUMIFS('Bilateral assistance, MAIN DATA'!$M:$M,'Bilateral assistance, MAIN DATA'!$B:$B,'Share, heavy weapons to Ukraine'!$A31,'Bilateral assistance, MAIN DATA'!$AO:$AO,"227mm MLRS",'Bilateral assistance, MAIN DATA'!$AQ:$AQ,0)</f>
        <v>0</v>
      </c>
      <c r="CT31" s="33">
        <f>IF(VLOOKUP($A31,$A:CS,COLUMN(F30),FALSE)&lt;&gt;0,VLOOKUP($A31,$A:CS,COLUMN(CH30),FALSE)/VLOOKUP($A31,$A:AU,COLUMN(F30),FALSE),IF(VLOOKUP($A31,$A:CS,COLUMN(CH30),FALSE)&lt;&gt;0,"Strange",0))</f>
        <v>0</v>
      </c>
      <c r="CU31" s="33">
        <f>IF(VLOOKUP($A31,$A:CS,COLUMN(L30),FALSE)&lt;&gt;0,VLOOKUP($A31,$A:CS,COLUMN(CI30),FALSE)/VLOOKUP($A31,$A:AU,COLUMN(L30),FALSE),IF(VLOOKUP($A31,$A:CS,COLUMN(CI30),FALSE)&lt;&gt;0,"Strange",0))</f>
        <v>0</v>
      </c>
      <c r="CV31" s="33">
        <f>IF(VLOOKUP($A31,$A:CT,COLUMN(M30),FALSE)&lt;&gt;0,VLOOKUP($A31,$A:CT,COLUMN(CJ30),FALSE)/VLOOKUP($A31,$A:AV,COLUMN(M30),FALSE),IF(VLOOKUP($A31,$A:CT,COLUMN(CJ30),FALSE)&lt;&gt;0,"Strange",0))</f>
        <v>0</v>
      </c>
      <c r="CX31" s="33">
        <f>IF(VLOOKUP($A31,$A:CS,COLUMN(F30),FALSE)&lt;&gt;0,VLOOKUP($A31,$A:CS,COLUMN(CL30),FALSE)/VLOOKUP($A31,$A:AU,COLUMN(F30),FALSE),IF(VLOOKUP($A31,$A:CS,COLUMN(CL30),FALSE)&lt;&gt;0,"Strange",0))</f>
        <v>0</v>
      </c>
      <c r="CY31" s="33">
        <f>IF(VLOOKUP($A31,$A:CS,COLUMN(L30),FALSE)&lt;&gt;0,VLOOKUP($A31,$A:CS,COLUMN(CM30),FALSE)/VLOOKUP($A31,$A:AU,COLUMN(L30),FALSE),IF(VLOOKUP($A31,$A:CS,COLUMN(CM30),FALSE)&lt;&gt;0,"Strange",0))</f>
        <v>0</v>
      </c>
      <c r="CZ31" s="33">
        <f>IF(VLOOKUP($A31,$A:CT,COLUMN(M30),FALSE)&lt;&gt;0,VLOOKUP($A31,$A:CT,COLUMN(CN30),FALSE)/VLOOKUP($A31,$A:AV,COLUMN(M30),FALSE),IF(VLOOKUP($A31,$A:CT,COLUMN(CN30),FALSE)&lt;&gt;0,"Strange",0))</f>
        <v>0</v>
      </c>
      <c r="DB31" s="33">
        <f>IF(VLOOKUP($A31,$A:CS,COLUMN(F30),FALSE)&lt;&gt;0,VLOOKUP($A31,$A:CS,COLUMN(CP30),FALSE)/VLOOKUP($A31,$A:AU,COLUMN(F30),FALSE),IF(VLOOKUP($A31,$A:CS,COLUMN(CP30),FALSE)&lt;&gt;0,"Strange",0))</f>
        <v>0</v>
      </c>
      <c r="DC31" s="33">
        <f>IF(VLOOKUP($A31,$A:CS,COLUMN(L30),FALSE)&lt;&gt;0,VLOOKUP($A31,$A:CS,COLUMN(CQ30),FALSE)/VLOOKUP($A31,$A:AU,COLUMN(L30),FALSE),IF(VLOOKUP($A31,$A:CS,COLUMN(CQ30),FALSE)&lt;&gt;0,"Strange",0))</f>
        <v>0</v>
      </c>
      <c r="DD31" s="33">
        <f>IF(VLOOKUP($A31,$A:CT,COLUMN(M30),FALSE)&lt;&gt;0,VLOOKUP($A31,$A:CT,COLUMN(CR30),FALSE)/VLOOKUP($A31,$A:AV,COLUMN(M30),FALSE),IF(VLOOKUP($A31,$A:CT,COLUMN(CR30),FALSE)&lt;&gt;0,"Strange",0))</f>
        <v>0</v>
      </c>
      <c r="DF31" s="33">
        <f>SUMIFS('Bilateral assistance, MAIN DATA'!$M:$M,'Bilateral assistance, MAIN DATA'!$B:$B,'Share, heavy weapons to Ukraine'!$A31,'Bilateral assistance, MAIN DATA'!$AO:$AO,'Share, heavy weapons to Ukraine'!DF$1, 'Bilateral assistance, MAIN DATA'!$AA:$AA,1)</f>
        <v>0</v>
      </c>
      <c r="DG31" s="33">
        <f>SUMIFS('Bilateral assistance, MAIN DATA'!$M:$M,'Bilateral assistance, MAIN DATA'!$B:$B,'Share, heavy weapons to Ukraine'!$A31,'Bilateral assistance, MAIN DATA'!$AO:$AO,'Share, heavy weapons to Ukraine'!DG$1, 'Bilateral assistance, MAIN DATA'!$AA:$AA,1)</f>
        <v>0</v>
      </c>
      <c r="DH31" s="33">
        <f>SUMIFS('Bilateral assistance, MAIN DATA'!$M:$M,'Bilateral assistance, MAIN DATA'!$B:$B,'Share, heavy weapons to Ukraine'!$A31,'Bilateral assistance, MAIN DATA'!$AO:$AO,'Share, heavy weapons to Ukraine'!DH$1, 'Bilateral assistance, MAIN DATA'!$AA:$AA,1)</f>
        <v>0</v>
      </c>
      <c r="DI31" s="33">
        <f>SUMIFS('Bilateral assistance, MAIN DATA'!$M:$M,'Bilateral assistance, MAIN DATA'!$B:$B,'Share, heavy weapons to Ukraine'!$A31,'Bilateral assistance, MAIN DATA'!$AO:$AO,'Share, heavy weapons to Ukraine'!DI$1, 'Bilateral assistance, MAIN DATA'!$AA:$AA,1)</f>
        <v>0</v>
      </c>
      <c r="DK31" s="33">
        <f>SUMIFS('Bilateral assistance, MAIN DATA'!$N:$N,'Bilateral assistance, MAIN DATA'!$B:$B,'Share, heavy weapons to Ukraine'!$A31,'Bilateral assistance, MAIN DATA'!$AO:$AO,'Share, heavy weapons to Ukraine'!DK$1, 'Bilateral assistance, MAIN DATA'!$AA:$AA,1)</f>
        <v>0</v>
      </c>
      <c r="DL31" s="33">
        <f>SUMIFS('Bilateral assistance, MAIN DATA'!$N:$N,'Bilateral assistance, MAIN DATA'!$B:$B,'Share, heavy weapons to Ukraine'!$A31,'Bilateral assistance, MAIN DATA'!$AO:$AO,'Share, heavy weapons to Ukraine'!DL$1, 'Bilateral assistance, MAIN DATA'!$AA:$AA,1)</f>
        <v>0</v>
      </c>
      <c r="DM31" s="33">
        <f>SUMIFS('Bilateral assistance, MAIN DATA'!$N:$N,'Bilateral assistance, MAIN DATA'!$B:$B,'Share, heavy weapons to Ukraine'!$A31,'Bilateral assistance, MAIN DATA'!$AO:$AO,'Share, heavy weapons to Ukraine'!DM$1, 'Bilateral assistance, MAIN DATA'!$AA:$AA,1)</f>
        <v>0</v>
      </c>
      <c r="DN31" s="33">
        <f>SUMIFS('Bilateral assistance, MAIN DATA'!$N:$N,'Bilateral assistance, MAIN DATA'!$B:$B,'Share, heavy weapons to Ukraine'!$A31,'Bilateral assistance, MAIN DATA'!$AO:$AO,'Share, heavy weapons to Ukraine'!DN$1, 'Bilateral assistance, MAIN DATA'!$AA:$AA,1)</f>
        <v>0</v>
      </c>
    </row>
    <row r="32" spans="1:118">
      <c r="A32" s="801" t="s">
        <v>1516</v>
      </c>
      <c r="B32" s="801">
        <v>0</v>
      </c>
      <c r="C32" s="33">
        <v>1</v>
      </c>
      <c r="E32" s="802">
        <v>0.83499999999999996</v>
      </c>
      <c r="F32" s="801">
        <f>VLOOKUP(A32,'Heavy weapon stocks'!A:OH,COLUMN('Heavy weapon stocks'!$G$1),0)</f>
        <v>3</v>
      </c>
      <c r="G32" s="801">
        <f>VLOOKUP(A32,'Heavy weapon stocks'!A:OH,COLUMN('Heavy weapon stocks'!$AW$1),0)</f>
        <v>4</v>
      </c>
      <c r="H32" s="801">
        <f>VLOOKUP(A32,'Heavy weapon stocks'!A:OH,COLUMN('Heavy weapon stocks'!$DQ$1),0)</f>
        <v>0</v>
      </c>
      <c r="I32" s="801">
        <f>VLOOKUP(A32,'Heavy weapon stocks'!A:OH,COLUMN('Heavy weapon stocks'!$EE$1),0)</f>
        <v>0</v>
      </c>
      <c r="J32" s="801">
        <f>VLOOKUP(A32,'Heavy weapon stocks'!A:OH,COLUMN('Heavy weapon stocks'!$FG$1),0)</f>
        <v>0</v>
      </c>
      <c r="K32" s="801">
        <f t="shared" si="3"/>
        <v>4</v>
      </c>
      <c r="L32" s="801">
        <f>VLOOKUP(A32,'Heavy weapon stocks'!A:OH,COLUMN('Heavy weapon stocks'!$HC$1),0)+VLOOKUP(A32,'Heavy weapon stocks'!A:OH,COLUMN('Heavy weapon stocks'!$II$1),0)</f>
        <v>47</v>
      </c>
      <c r="M32" s="801">
        <f>VLOOKUP(A32,'Heavy weapon stocks'!A:OH,COLUMN('Heavy weapon stocks'!$IN$1),0)</f>
        <v>0</v>
      </c>
      <c r="N32" s="801">
        <f>VLOOKUP(A32,'Heavy weapon stocks'!A:OH,COLUMN('Heavy weapon stocks'!$JH$1),0)+VLOOKUP(A32,'Heavy weapon stocks'!A:OH,COLUMN('Heavy weapon stocks'!$KE$1),0)</f>
        <v>0</v>
      </c>
      <c r="O32" s="801">
        <f>VLOOKUP(A32,'Heavy weapon stocks'!A:OH,COLUMN('Heavy weapon stocks'!$LU$1),0)</f>
        <v>0</v>
      </c>
      <c r="Q32" s="801">
        <f>VLOOKUP(A32,'Heavy weapon stocks'!A:OH,COLUMN('Heavy weapon stocks'!$LV$1),0)</f>
        <v>0</v>
      </c>
      <c r="R32" s="801">
        <f>VLOOKUP(A32,'Heavy weapon stocks'!A:OH,COLUMN('Heavy weapon stocks'!$MF$1),0)</f>
        <v>0</v>
      </c>
      <c r="S32" s="801">
        <f>VLOOKUP(A32,'Heavy weapon stocks'!A:OH,COLUMN('Heavy weapon stocks'!$MM$1),0)</f>
        <v>0</v>
      </c>
      <c r="T32" s="801">
        <f>VLOOKUP(A32,'Heavy weapon stocks'!A:OH,COLUMN('Heavy weapon stocks'!$NR$1),0)</f>
        <v>0</v>
      </c>
      <c r="V32" s="801">
        <f>VLOOKUP(A32,'Heavy weapon stocks'!A:OH,COLUMN('Heavy weapon stocks'!$H$1),0)</f>
        <v>0</v>
      </c>
      <c r="W32" s="801">
        <f>VLOOKUP(A32,'Heavy weapon stocks'!A:OH,COLUMN('Heavy weapon stocks'!$DQ$1),0)</f>
        <v>0</v>
      </c>
      <c r="X32" s="801">
        <f>VLOOKUP(A32,'Heavy weapon stocks'!A:OH,COLUMN('Heavy weapon stocks'!$FG$1),0)</f>
        <v>0</v>
      </c>
      <c r="Y32" s="801">
        <f>VLOOKUP(A32,'Heavy weapon stocks'!A:OH,COLUMN('Heavy weapon stocks'!$HC$1),0)+VLOOKUP(A32,'Heavy weapon stocks'!A:OH,COLUMN('Heavy weapon stocks'!$II$1),0)</f>
        <v>47</v>
      </c>
      <c r="Z32" s="801">
        <f>VLOOKUP(A32,'Heavy weapon stocks'!A:OH,COLUMN('Heavy weapon stocks'!$IO$1),0)+VLOOKUP(A32,'Heavy weapon stocks'!A:OH,COLUMN('Heavy weapon stocks'!$IP$1),0)+VLOOKUP(A32,'Heavy weapon stocks'!A:OH,COLUMN('Heavy weapon stocks'!$IU$1),0)</f>
        <v>0</v>
      </c>
      <c r="AA32" s="801">
        <f>VLOOKUP(A32,'Heavy weapon stocks'!A:OH,COLUMN('Heavy weapon stocks'!$MI$1),0)</f>
        <v>0</v>
      </c>
      <c r="AB32" s="801">
        <f>VLOOKUP(A32,'Heavy weapon stocks'!A:OH,COLUMN('Heavy weapon stocks'!$MS$1),0)+VLOOKUP(A32,'Heavy weapon stocks'!A:OH,COLUMN('Heavy weapon stocks'!$MT$1),0)+VLOOKUP(A32,'Heavy weapon stocks'!A:OH,COLUMN('Heavy weapon stocks'!$MU$1),0)+VLOOKUP(A32,'Heavy weapon stocks'!A:OH,COLUMN('Heavy weapon stocks'!$MV$1),0)</f>
        <v>0</v>
      </c>
      <c r="AD32" s="33">
        <f>SUMIFS('Bilateral assistance, MAIN DATA'!$M:$M,'Bilateral assistance, MAIN DATA'!$B:$B,'Share, heavy weapons to Ukraine'!$A32,'Bilateral assistance, MAIN DATA'!$AO:$AO,'Share, heavy weapons to Ukraine'!AD$1)</f>
        <v>0</v>
      </c>
      <c r="AE32" s="33">
        <f>SUMIFS('Bilateral assistance, MAIN DATA'!$M:$M,'Bilateral assistance, MAIN DATA'!$B:$B,'Share, heavy weapons to Ukraine'!$A32,'Bilateral assistance, MAIN DATA'!$AO:$AO,'Share, heavy weapons to Ukraine'!AE$1)</f>
        <v>0</v>
      </c>
      <c r="AF32" s="33">
        <f>SUMIFS('Bilateral assistance, MAIN DATA'!$M:$M,'Bilateral assistance, MAIN DATA'!$B:$B,'Share, heavy weapons to Ukraine'!$A32,'Bilateral assistance, MAIN DATA'!$AO:$AO,'Share, heavy weapons to Ukraine'!AF$1)</f>
        <v>0</v>
      </c>
      <c r="AG32" s="33">
        <f>SUMIFS('Bilateral assistance, MAIN DATA'!$M:$M,'Bilateral assistance, MAIN DATA'!$B:$B,'Share, heavy weapons to Ukraine'!$A32,'Bilateral assistance, MAIN DATA'!$AO:$AO,'Share, heavy weapons to Ukraine'!AG$1)</f>
        <v>0</v>
      </c>
      <c r="AH32" s="33">
        <f>SUMIFS('Bilateral assistance, MAIN DATA'!$M:$M,'Bilateral assistance, MAIN DATA'!$B:$B,'Share, heavy weapons to Ukraine'!$A32,'Bilateral assistance, MAIN DATA'!$AO:$AO,'Share, heavy weapons to Ukraine'!AH$1)</f>
        <v>0</v>
      </c>
      <c r="AI32" s="33">
        <f t="shared" si="1"/>
        <v>0</v>
      </c>
      <c r="AJ32" s="33">
        <f>SUMIFS('Bilateral assistance, MAIN DATA'!$M:$M,'Bilateral assistance, MAIN DATA'!$B:$B,'Share, heavy weapons to Ukraine'!$A32,'Bilateral assistance, MAIN DATA'!$AO:$AO,'Share, heavy weapons to Ukraine'!AJ$1)</f>
        <v>6</v>
      </c>
      <c r="AK32" s="645">
        <f>SUMIFS('Bilateral assistance, MAIN DATA'!$M:$M,'Bilateral assistance, MAIN DATA'!$B:$B,'Share, heavy weapons to Ukraine'!$A32,'Bilateral assistance, MAIN DATA'!$AO:$AO,"122mm MLRS")+SUMIFS('Bilateral assistance, MAIN DATA'!$M:$M,'Bilateral assistance, MAIN DATA'!$B:$B,'Share, heavy weapons to Ukraine'!$A32,'Bilateral assistance, MAIN DATA'!$AO:$AO,"127mm MLRS")+SUMIFS('Bilateral assistance, MAIN DATA'!$M:$M,'Bilateral assistance, MAIN DATA'!$B:$B,'Share, heavy weapons to Ukraine'!$A32,'Bilateral assistance, MAIN DATA'!$AO:$AO,"227mm MLRS")</f>
        <v>0</v>
      </c>
      <c r="AL32" s="33">
        <f>SUMIFS('Bilateral assistance, MAIN DATA'!$M:$M,'Bilateral assistance, MAIN DATA'!$B:$B,'Share, heavy weapons to Ukraine'!$A32,'Bilateral assistance, MAIN DATA'!$AO:$AO,'Share, heavy weapons to Ukraine'!AL$1)</f>
        <v>0</v>
      </c>
      <c r="AM32" s="33">
        <f>SUMIFS('Bilateral assistance, MAIN DATA'!$M:$M,'Bilateral assistance, MAIN DATA'!$B:$B,'Share, heavy weapons to Ukraine'!$A32,'Bilateral assistance, MAIN DATA'!$AO:$AO,'Share, heavy weapons to Ukraine'!AM$1)</f>
        <v>0</v>
      </c>
      <c r="AN32" s="33">
        <f>SUMIFS('Bilateral assistance, MAIN DATA'!$M:$M,'Bilateral assistance, MAIN DATA'!$B:$B,'Share, heavy weapons to Ukraine'!$A32,'Bilateral assistance, MAIN DATA'!$AO:$AO,'Share, heavy weapons to Ukraine'!AN$1)</f>
        <v>0</v>
      </c>
      <c r="AO32" s="33">
        <f>SUMIFS('Bilateral assistance, MAIN DATA'!$M:$M,'Bilateral assistance, MAIN DATA'!$B:$B,'Share, heavy weapons to Ukraine'!$A32,'Bilateral assistance, MAIN DATA'!$AO:$AO,'Share, heavy weapons to Ukraine'!AO$1)</f>
        <v>0</v>
      </c>
      <c r="AP32" s="33">
        <f>SUMIFS('Bilateral assistance, MAIN DATA'!$M:$M,'Bilateral assistance, MAIN DATA'!$B:$B,'Share, heavy weapons to Ukraine'!$A32,'Bilateral assistance, MAIN DATA'!$AO:$AO,'Share, heavy weapons to Ukraine'!AP$1)</f>
        <v>0</v>
      </c>
      <c r="AR32" s="33">
        <f>SUMIFS('Bilateral assistance, MAIN DATA'!$N:$N,'Bilateral assistance, MAIN DATA'!$B:$B,'Share, heavy weapons to Ukraine'!$A32,'Bilateral assistance, MAIN DATA'!$AO:$AO,'Share, heavy weapons to Ukraine'!AR$1)</f>
        <v>0</v>
      </c>
      <c r="AS32" s="33">
        <f>SUMIFS('Bilateral assistance, MAIN DATA'!$N:$N,'Bilateral assistance, MAIN DATA'!$B:$B,'Share, heavy weapons to Ukraine'!$A32,'Bilateral assistance, MAIN DATA'!$AO:$AO,'Share, heavy weapons to Ukraine'!AS$1)</f>
        <v>0</v>
      </c>
      <c r="AT32" s="33">
        <f>SUMIFS('Bilateral assistance, MAIN DATA'!$N:$N,'Bilateral assistance, MAIN DATA'!$B:$B,'Share, heavy weapons to Ukraine'!$A32,'Bilateral assistance, MAIN DATA'!$AO:$AO,'Share, heavy weapons to Ukraine'!AT$1)</f>
        <v>0</v>
      </c>
      <c r="AU32" s="33">
        <f>SUMIFS('Bilateral assistance, MAIN DATA'!$N:$N,'Bilateral assistance, MAIN DATA'!$B:$B,'Share, heavy weapons to Ukraine'!$A32,'Bilateral assistance, MAIN DATA'!$AO:$AO,'Share, heavy weapons to Ukraine'!AU$1)</f>
        <v>0</v>
      </c>
      <c r="AV32" s="33">
        <f>SUMIFS('Bilateral assistance, MAIN DATA'!$N:$N,'Bilateral assistance, MAIN DATA'!$B:$B,'Share, heavy weapons to Ukraine'!$A32,'Bilateral assistance, MAIN DATA'!$AO:$AO,'Share, heavy weapons to Ukraine'!AV$1)</f>
        <v>0</v>
      </c>
      <c r="AW32" s="33">
        <f t="shared" si="2"/>
        <v>0</v>
      </c>
      <c r="AX32" s="33">
        <f>SUMIFS('Bilateral assistance, MAIN DATA'!$N:$N,'Bilateral assistance, MAIN DATA'!$B:$B,'Share, heavy weapons to Ukraine'!$A32,'Bilateral assistance, MAIN DATA'!$AO:$AO,'Share, heavy weapons to Ukraine'!AX$1)</f>
        <v>6</v>
      </c>
      <c r="AY32" s="645">
        <f>SUMIFS('Bilateral assistance, MAIN DATA'!$N:$N,'Bilateral assistance, MAIN DATA'!$B:$B,'Share, heavy weapons to Ukraine'!$A32,'Bilateral assistance, MAIN DATA'!$AO:$AO,"122mm MLRS")+SUMIFS('Bilateral assistance, MAIN DATA'!$N:$N,'Bilateral assistance, MAIN DATA'!$B:$B,'Share, heavy weapons to Ukraine'!$A32,'Bilateral assistance, MAIN DATA'!$AO:$AO,"127mm MLRS")+SUMIFS('Bilateral assistance, MAIN DATA'!$N:$N,'Bilateral assistance, MAIN DATA'!$B:$B,'Share, heavy weapons to Ukraine'!$A32,'Bilateral assistance, MAIN DATA'!$AO:$AO,"227mm MLRS")</f>
        <v>0</v>
      </c>
      <c r="AZ32" s="33">
        <f>SUMIFS('Bilateral assistance, MAIN DATA'!$N:$N,'Bilateral assistance, MAIN DATA'!$B:$B,'Share, heavy weapons to Ukraine'!$A32,'Bilateral assistance, MAIN DATA'!$AO:$AO,'Share, heavy weapons to Ukraine'!AZ$1)</f>
        <v>0</v>
      </c>
      <c r="BA32" s="33">
        <f>SUMIFS('Bilateral assistance, MAIN DATA'!$N:$N,'Bilateral assistance, MAIN DATA'!$B:$B,'Share, heavy weapons to Ukraine'!$A32,'Bilateral assistance, MAIN DATA'!$AO:$AO,'Share, heavy weapons to Ukraine'!BA$1)</f>
        <v>0</v>
      </c>
      <c r="BB32" s="33">
        <f>SUMIFS('Bilateral assistance, MAIN DATA'!$N:$N,'Bilateral assistance, MAIN DATA'!$B:$B,'Share, heavy weapons to Ukraine'!$A32,'Bilateral assistance, MAIN DATA'!$AO:$AO,'Share, heavy weapons to Ukraine'!BB$1)</f>
        <v>0</v>
      </c>
      <c r="BC32" s="33">
        <f>SUMIFS('Bilateral assistance, MAIN DATA'!$N:$N,'Bilateral assistance, MAIN DATA'!$B:$B,'Share, heavy weapons to Ukraine'!$A32,'Bilateral assistance, MAIN DATA'!$AO:$AO,'Share, heavy weapons to Ukraine'!BC$1)</f>
        <v>0</v>
      </c>
      <c r="BD32" s="33">
        <f>SUMIFS('Bilateral assistance, MAIN DATA'!$N:$N,'Bilateral assistance, MAIN DATA'!$B:$B,'Share, heavy weapons to Ukraine'!$A32,'Bilateral assistance, MAIN DATA'!$AO:$AO,'Share, heavy weapons to Ukraine'!BD$1)</f>
        <v>0</v>
      </c>
      <c r="BF32" s="33">
        <f>IF(VLOOKUP($A32,$A:F,COLUMN(F31),FALSE)&lt;&gt;0,VLOOKUP($A32,$A:AD,COLUMN(AD31),FALSE)/VLOOKUP($A32,$A:F,COLUMN(F31),FALSE),IF(VLOOKUP($A32,$A:AD,COLUMN(AD31),FALSE)&lt;&gt;0,"Strange",0))</f>
        <v>0</v>
      </c>
      <c r="BG32" s="33">
        <f>IF(VLOOKUP($A32,$A:G,COLUMN(G31),FALSE)&lt;&gt;0,VLOOKUP($A32,$A:AE,COLUMN(AE31),FALSE)/VLOOKUP($A32,$A:G,COLUMN(G31),FALSE),IF(VLOOKUP($A32,$A:AE,COLUMN(AE31),FALSE)&lt;&gt;0,"Strange",0))</f>
        <v>0</v>
      </c>
      <c r="BH32" s="33">
        <f>IF(VLOOKUP($A32,$A:H,COLUMN(H31),FALSE)&lt;&gt;0,VLOOKUP($A32,$A:AF,COLUMN(AF31),FALSE)/VLOOKUP($A32,$A:H,COLUMN(H31),FALSE),IF(VLOOKUP($A32,$A:AF,COLUMN(AF31),FALSE)&lt;&gt;0,"Strange",0))</f>
        <v>0</v>
      </c>
      <c r="BI32" s="33">
        <f>IF(VLOOKUP($A32,$A:I,COLUMN(I31),FALSE)&lt;&gt;0,VLOOKUP($A32,$A:AG,COLUMN(AG31),FALSE)/VLOOKUP($A32,$A:I,COLUMN(I31),FALSE),IF(VLOOKUP($A32,$A:AG,COLUMN(AG31),FALSE)&lt;&gt;0,"Strange",0))</f>
        <v>0</v>
      </c>
      <c r="BJ32" s="33">
        <f>IF(VLOOKUP($A32,$A:J,COLUMN(J31),FALSE)&lt;&gt;0,VLOOKUP($A32,$A:AH,COLUMN(AH31),FALSE)/VLOOKUP($A32,$A:J,COLUMN(J31),FALSE),IF(VLOOKUP($A32,$A:AH,COLUMN(AH31),FALSE)&lt;&gt;0,"Strange",0))</f>
        <v>0</v>
      </c>
      <c r="BK32" s="33">
        <f>IF(VLOOKUP($A32,$A:K,COLUMN(K31),FALSE)&lt;&gt;0,VLOOKUP($A32,$A:AI,COLUMN(AI31),FALSE)/VLOOKUP($A32,$A:K,COLUMN(K31),FALSE),IF(VLOOKUP($A32,$A:AI,COLUMN(AI31),FALSE)&lt;&gt;0,"Strange",0))</f>
        <v>0</v>
      </c>
      <c r="BL32" s="33">
        <f>IF(VLOOKUP($A32,$A:L,COLUMN(L31),FALSE)&lt;&gt;0,VLOOKUP($A32,$A:AJ,COLUMN(AJ31),FALSE)/VLOOKUP($A32,$A:L,COLUMN(L31),FALSE),IF(VLOOKUP($A32,$A:AJ,COLUMN(AJ31),FALSE)&lt;&gt;0,"Strange",0))</f>
        <v>0.1276595744680851</v>
      </c>
      <c r="BM32" s="33">
        <f>IF(VLOOKUP($A32,$A:M,COLUMN(M31),FALSE)&lt;&gt;0,VLOOKUP($A32,$A:AK,COLUMN(AK31),FALSE)/VLOOKUP($A32,$A:M,COLUMN(M31),FALSE),IF(VLOOKUP($A32,$A:AK,COLUMN(AK31),FALSE)&lt;&gt;0,"Strange",0))</f>
        <v>0</v>
      </c>
      <c r="BN32" s="33">
        <f>IF(VLOOKUP($A32,$A:N,COLUMN(N31),FALSE)&lt;&gt;0,VLOOKUP($A32,$A:AL,COLUMN(AL31),FALSE)/VLOOKUP($A32,$A:N,COLUMN(N31),FALSE),IF(VLOOKUP($A32,$A:AL,COLUMN(AL31),FALSE)&lt;&gt;0,"Strange",0))</f>
        <v>0</v>
      </c>
      <c r="BO32" s="33">
        <f>IF(VLOOKUP($A32,$A:Q,COLUMN(Q31),FALSE)&lt;&gt;0,VLOOKUP($A32,$A:AM,COLUMN(AM31),FALSE)/VLOOKUP($A32,$A:Q,COLUMN(Q31),FALSE),IF(VLOOKUP($A32,$A:AM,COLUMN(AM31),FALSE)&lt;&gt;0,"Strange",0))</f>
        <v>0</v>
      </c>
      <c r="BP32" s="33">
        <f>IF(VLOOKUP($A32,$A:R,COLUMN(R31),FALSE)&lt;&gt;0,VLOOKUP($A32,$A:AN,COLUMN(AN31),FALSE)/VLOOKUP($A32,$A:R,COLUMN(R31),FALSE),IF(VLOOKUP($A32,$A:AN,COLUMN(AN31),FALSE)&lt;&gt;0,"Strange",0))</f>
        <v>0</v>
      </c>
      <c r="BQ32" s="33">
        <f>IF(VLOOKUP($A32,$A:S,COLUMN(S31),FALSE)&lt;&gt;0,VLOOKUP($A32,$A:AO,COLUMN(AO31),FALSE)/VLOOKUP($A32,$A:S,COLUMN(S31),FALSE),IF(VLOOKUP($A32,$A:AO,COLUMN(AO31),FALSE)&lt;&gt;0,"Strange",0))</f>
        <v>0</v>
      </c>
      <c r="BR32" s="33">
        <f>IF(VLOOKUP($A32,$A:T,COLUMN(T31),FALSE)&lt;&gt;0,VLOOKUP($A32,$A:AP,COLUMN(AP31),FALSE)/VLOOKUP($A32,$A:T,COLUMN(T31),FALSE),IF(VLOOKUP($A32,$A:AP,COLUMN(AP31),FALSE)&lt;&gt;0,"Strange",0))</f>
        <v>0</v>
      </c>
      <c r="BT32" s="33">
        <f>IF(VLOOKUP($A32,$A:AE,COLUMN(F31),FALSE)&lt;&gt;0,VLOOKUP($A32,$A:AS,COLUMN(AR31),FALSE)/VLOOKUP($A32,$A:AE,COLUMN(F31),FALSE),IF(VLOOKUP($A32,$A:AS,COLUMN(AR31),FALSE)&lt;&gt;0,"Strange",0))</f>
        <v>0</v>
      </c>
      <c r="BU32" s="33">
        <f>IF(VLOOKUP($A32,$A:AF,COLUMN(G31),FALSE)&lt;&gt;0,VLOOKUP($A32,$A:AT,COLUMN(AS31),FALSE)/VLOOKUP($A32,$A:AF,COLUMN(G31),FALSE),IF(VLOOKUP($A32,$A:AT,COLUMN(AS31),FALSE)&lt;&gt;0,"Strange",0))</f>
        <v>0</v>
      </c>
      <c r="BV32" s="33">
        <f>IF(VLOOKUP($A32,$A:AG,COLUMN(H31),FALSE)&lt;&gt;0,VLOOKUP($A32,$A:AU,COLUMN(AT31),FALSE)/VLOOKUP($A32,$A:AG,COLUMN(H31),FALSE),IF(VLOOKUP($A32,$A:AU,COLUMN(AT31),FALSE)&lt;&gt;0,"Strange",0))</f>
        <v>0</v>
      </c>
      <c r="BW32" s="33">
        <f>IF(VLOOKUP($A32,$A:AH,COLUMN(I31),FALSE)&lt;&gt;0,VLOOKUP($A32,$A:AV,COLUMN(AU31),FALSE)/VLOOKUP($A32,$A:AH,COLUMN(I31),FALSE),IF(VLOOKUP($A32,$A:AV,COLUMN(AU31),FALSE)&lt;&gt;0,"Strange",0))</f>
        <v>0</v>
      </c>
      <c r="BX32" s="33">
        <f>IF(VLOOKUP($A32,$A:AJ,COLUMN(J31),FALSE)&lt;&gt;0,VLOOKUP($A32,$A:AX,COLUMN(AV31),FALSE)/VLOOKUP($A32,$A:AJ,COLUMN(J31),FALSE),IF(VLOOKUP($A32,$A:AX,COLUMN(AV31),FALSE)&lt;&gt;0,"Strange",0))</f>
        <v>0</v>
      </c>
      <c r="BY32" s="33">
        <f>IF(VLOOKUP($A32,$A:AK,COLUMN(K31),FALSE)&lt;&gt;0,VLOOKUP($A32,$A:AY,COLUMN(AW31),FALSE)/VLOOKUP($A32,$A:AK,COLUMN(K31),FALSE),IF(VLOOKUP($A32,$A:AY,COLUMN(AW31),FALSE)&lt;&gt;0,"Strange",0))</f>
        <v>0</v>
      </c>
      <c r="BZ32" s="33">
        <f>IF(VLOOKUP($A32,$A:AK,COLUMN(L31),FALSE)&lt;&gt;0,VLOOKUP($A32,$A:AY,COLUMN(AX31),FALSE)/VLOOKUP($A32,$A:AK,COLUMN(L31),FALSE),IF(VLOOKUP($A32,$A:AY,COLUMN(AX31),FALSE)&lt;&gt;0,"Strange",0))</f>
        <v>0.1276595744680851</v>
      </c>
      <c r="CA32" s="33">
        <f>IF(VLOOKUP($A32,$A:AL,COLUMN(M31),FALSE)&lt;&gt;0,VLOOKUP($A32,$A:AZ,COLUMN(AY31),FALSE)/VLOOKUP($A32,$A:AL,COLUMN(M31),FALSE),IF(VLOOKUP($A32,$A:AZ,COLUMN(AY31),FALSE)&lt;&gt;0,"Strange",0))</f>
        <v>0</v>
      </c>
      <c r="CB32" s="33">
        <f>IF(VLOOKUP($A32,$A:AL,COLUMN(N31),FALSE)&lt;&gt;0,VLOOKUP($A32,$A:AZ,COLUMN(AZ31),FALSE)/VLOOKUP($A32,$A:AL,COLUMN(N31),FALSE),IF(VLOOKUP($A32,$A:AZ,COLUMN(AZ31),FALSE)&lt;&gt;0,"Strange",0))</f>
        <v>0</v>
      </c>
      <c r="CC32" s="33">
        <f>IF(VLOOKUP($A32,$A:AM,COLUMN(Q31),FALSE)&lt;&gt;0,VLOOKUP($A32,$A:BA,COLUMN(BA31),FALSE)/VLOOKUP($A32,$A:AM,COLUMN(Q31),FALSE),IF(VLOOKUP($A32,$A:BA,COLUMN(BA31),FALSE)&lt;&gt;0,"Strange",0))</f>
        <v>0</v>
      </c>
      <c r="CD32" s="33">
        <f>IF(VLOOKUP($A32,$A:AN,COLUMN(R31),FALSE)&lt;&gt;0,VLOOKUP($A32,$A:BB,COLUMN(BB31),FALSE)/VLOOKUP($A32,$A:AN,COLUMN(R31),FALSE),IF(VLOOKUP($A32,$A:BB,COLUMN(BB31),FALSE)&lt;&gt;0,"Strange",0))</f>
        <v>0</v>
      </c>
      <c r="CE32" s="33">
        <f>IF(VLOOKUP($A32,$A:AO,COLUMN(S31),FALSE)&lt;&gt;0,VLOOKUP($A32,$A:BC,COLUMN(BC31),FALSE)/VLOOKUP($A32,$A:AO,COLUMN(S31),FALSE),IF(VLOOKUP($A32,$A:BC,COLUMN(BC31),FALSE)&lt;&gt;0,"Strange",0))</f>
        <v>0</v>
      </c>
      <c r="CF32" s="33">
        <f>IF(VLOOKUP($A32,$A:AP,COLUMN(T31),FALSE)&lt;&gt;0,VLOOKUP($A32,$A:BD,COLUMN(BD31),FALSE)/VLOOKUP($A32,$A:AP,COLUMN(T31),FALSE),IF(VLOOKUP($A32,$A:BD,COLUMN(BD31),FALSE)&lt;&gt;0,"Strange",0))</f>
        <v>0</v>
      </c>
      <c r="CH32" s="33">
        <f>SUMIFS('Bilateral assistance, MAIN DATA'!$M:$M,'Bilateral assistance, MAIN DATA'!$B:$B,'Share, heavy weapons to Ukraine'!$A32,'Bilateral assistance, MAIN DATA'!$AO:$AO,'Share, heavy weapons to Ukraine'!CH$1,'Bilateral assistance, MAIN DATA'!$AQ:$AQ,2)</f>
        <v>0</v>
      </c>
      <c r="CI32" s="33">
        <f>SUMIFS('Bilateral assistance, MAIN DATA'!$M:$M,'Bilateral assistance, MAIN DATA'!$B:$B,'Share, heavy weapons to Ukraine'!$A32,'Bilateral assistance, MAIN DATA'!$AO:$AO,'Share, heavy weapons to Ukraine'!CI$1,'Bilateral assistance, MAIN DATA'!$AQ:$AQ,2)</f>
        <v>6</v>
      </c>
      <c r="CJ32" s="645">
        <f>SUMIFS('Bilateral assistance, MAIN DATA'!$M:$M,'Bilateral assistance, MAIN DATA'!$B:$B,'Share, heavy weapons to Ukraine'!$A32,'Bilateral assistance, MAIN DATA'!$AO:$AO,"122mm MLRS",'Bilateral assistance, MAIN DATA'!$AQ:$AQ,2)+SUMIFS('Bilateral assistance, MAIN DATA'!$M:$M,'Bilateral assistance, MAIN DATA'!$B:$B,'Share, heavy weapons to Ukraine'!$A32,'Bilateral assistance, MAIN DATA'!$AO:$AO,"127mm MLRS",'Bilateral assistance, MAIN DATA'!$AQ:$AQ,2)+SUMIFS('Bilateral assistance, MAIN DATA'!$M:$M,'Bilateral assistance, MAIN DATA'!$B:$B,'Share, heavy weapons to Ukraine'!$A32,'Bilateral assistance, MAIN DATA'!$AO:$AO,"227mm MLRS",'Bilateral assistance, MAIN DATA'!$AQ:$AQ,2)</f>
        <v>0</v>
      </c>
      <c r="CL32" s="33">
        <f>SUMIFS('Bilateral assistance, MAIN DATA'!$M:$M,'Bilateral assistance, MAIN DATA'!$B:$B,'Share, heavy weapons to Ukraine'!$A32,'Bilateral assistance, MAIN DATA'!$AO:$AO,'Share, heavy weapons to Ukraine'!CH$1,'Bilateral assistance, MAIN DATA'!$AQ:$AQ,1)</f>
        <v>0</v>
      </c>
      <c r="CM32" s="33">
        <f>SUMIFS('Bilateral assistance, MAIN DATA'!$M:$M,'Bilateral assistance, MAIN DATA'!$B:$B,'Share, heavy weapons to Ukraine'!$A32,'Bilateral assistance, MAIN DATA'!$AO:$AO,'Share, heavy weapons to Ukraine'!CI$1,'Bilateral assistance, MAIN DATA'!$AQ:$AQ,1)</f>
        <v>0</v>
      </c>
      <c r="CN32" s="645">
        <f>SUMIFS('Bilateral assistance, MAIN DATA'!$M:$M,'Bilateral assistance, MAIN DATA'!$B:$B,'Share, heavy weapons to Ukraine'!$A32,'Bilateral assistance, MAIN DATA'!$AO:$AO,"122mm MLRS",'Bilateral assistance, MAIN DATA'!$AQ:$AQ,1)+SUMIFS('Bilateral assistance, MAIN DATA'!$M:$M,'Bilateral assistance, MAIN DATA'!$B:$B,'Share, heavy weapons to Ukraine'!$A32,'Bilateral assistance, MAIN DATA'!$AO:$AO,"127mm MLRS",'Bilateral assistance, MAIN DATA'!$AQ:$AQ,1)+SUMIFS('Bilateral assistance, MAIN DATA'!$M:$M,'Bilateral assistance, MAIN DATA'!$B:$B,'Share, heavy weapons to Ukraine'!$A32,'Bilateral assistance, MAIN DATA'!$AO:$AO,"227mm MLRS",'Bilateral assistance, MAIN DATA'!$AQ:$AQ,1)</f>
        <v>0</v>
      </c>
      <c r="CP32" s="33">
        <f>SUMIFS('Bilateral assistance, MAIN DATA'!$M:$M,'Bilateral assistance, MAIN DATA'!$B:$B,'Share, heavy weapons to Ukraine'!$A32,'Bilateral assistance, MAIN DATA'!$AO:$AO,'Share, heavy weapons to Ukraine'!CP$1,'Bilateral assistance, MAIN DATA'!$AQ:$AQ,0)</f>
        <v>0</v>
      </c>
      <c r="CQ32" s="33">
        <f>SUMIFS('Bilateral assistance, MAIN DATA'!$M:$M,'Bilateral assistance, MAIN DATA'!$B:$B,'Share, heavy weapons to Ukraine'!$A32,'Bilateral assistance, MAIN DATA'!$AO:$AO,'Share, heavy weapons to Ukraine'!CQ$1,'Bilateral assistance, MAIN DATA'!$AQ:$AQ,0)</f>
        <v>0</v>
      </c>
      <c r="CR32" s="645">
        <f>SUMIFS('Bilateral assistance, MAIN DATA'!$M:$M,'Bilateral assistance, MAIN DATA'!$B:$B,'Share, heavy weapons to Ukraine'!$A32,'Bilateral assistance, MAIN DATA'!$AO:$AO,"122mm MLRS",'Bilateral assistance, MAIN DATA'!$AQ:$AQ,0)+SUMIFS('Bilateral assistance, MAIN DATA'!$M:$M,'Bilateral assistance, MAIN DATA'!$B:$B,'Share, heavy weapons to Ukraine'!$A32,'Bilateral assistance, MAIN DATA'!$AO:$AO,"127mm MLRS",'Bilateral assistance, MAIN DATA'!$AQ:$AQ,0)+SUMIFS('Bilateral assistance, MAIN DATA'!$M:$M,'Bilateral assistance, MAIN DATA'!$B:$B,'Share, heavy weapons to Ukraine'!$A32,'Bilateral assistance, MAIN DATA'!$AO:$AO,"227mm MLRS",'Bilateral assistance, MAIN DATA'!$AQ:$AQ,0)</f>
        <v>0</v>
      </c>
      <c r="CT32" s="33">
        <f>IF(VLOOKUP($A32,$A:CS,COLUMN(F31),FALSE)&lt;&gt;0,VLOOKUP($A32,$A:CS,COLUMN(CH31),FALSE)/VLOOKUP($A32,$A:AU,COLUMN(F31),FALSE),IF(VLOOKUP($A32,$A:CS,COLUMN(CH31),FALSE)&lt;&gt;0,"Strange",0))</f>
        <v>0</v>
      </c>
      <c r="CU32" s="33">
        <f>IF(VLOOKUP($A32,$A:CS,COLUMN(L31),FALSE)&lt;&gt;0,VLOOKUP($A32,$A:CS,COLUMN(CI31),FALSE)/VLOOKUP($A32,$A:AU,COLUMN(L31),FALSE),IF(VLOOKUP($A32,$A:CS,COLUMN(CI31),FALSE)&lt;&gt;0,"Strange",0))</f>
        <v>0.1276595744680851</v>
      </c>
      <c r="CV32" s="33">
        <f>IF(VLOOKUP($A32,$A:CT,COLUMN(M31),FALSE)&lt;&gt;0,VLOOKUP($A32,$A:CT,COLUMN(CJ31),FALSE)/VLOOKUP($A32,$A:AV,COLUMN(M31),FALSE),IF(VLOOKUP($A32,$A:CT,COLUMN(CJ31),FALSE)&lt;&gt;0,"Strange",0))</f>
        <v>0</v>
      </c>
      <c r="CX32" s="33">
        <f>IF(VLOOKUP($A32,$A:CS,COLUMN(F31),FALSE)&lt;&gt;0,VLOOKUP($A32,$A:CS,COLUMN(CL31),FALSE)/VLOOKUP($A32,$A:AU,COLUMN(F31),FALSE),IF(VLOOKUP($A32,$A:CS,COLUMN(CL31),FALSE)&lt;&gt;0,"Strange",0))</f>
        <v>0</v>
      </c>
      <c r="CY32" s="33">
        <f>IF(VLOOKUP($A32,$A:CS,COLUMN(L31),FALSE)&lt;&gt;0,VLOOKUP($A32,$A:CS,COLUMN(CM31),FALSE)/VLOOKUP($A32,$A:AU,COLUMN(L31),FALSE),IF(VLOOKUP($A32,$A:CS,COLUMN(CM31),FALSE)&lt;&gt;0,"Strange",0))</f>
        <v>0</v>
      </c>
      <c r="CZ32" s="33">
        <f>IF(VLOOKUP($A32,$A:CT,COLUMN(M31),FALSE)&lt;&gt;0,VLOOKUP($A32,$A:CT,COLUMN(CN31),FALSE)/VLOOKUP($A32,$A:AV,COLUMN(M31),FALSE),IF(VLOOKUP($A32,$A:CT,COLUMN(CN31),FALSE)&lt;&gt;0,"Strange",0))</f>
        <v>0</v>
      </c>
      <c r="DB32" s="33">
        <f>IF(VLOOKUP($A32,$A:CS,COLUMN(F31),FALSE)&lt;&gt;0,VLOOKUP($A32,$A:CS,COLUMN(CP31),FALSE)/VLOOKUP($A32,$A:AU,COLUMN(F31),FALSE),IF(VLOOKUP($A32,$A:CS,COLUMN(CP31),FALSE)&lt;&gt;0,"Strange",0))</f>
        <v>0</v>
      </c>
      <c r="DC32" s="33">
        <f>IF(VLOOKUP($A32,$A:CS,COLUMN(L31),FALSE)&lt;&gt;0,VLOOKUP($A32,$A:CS,COLUMN(CQ31),FALSE)/VLOOKUP($A32,$A:AU,COLUMN(L31),FALSE),IF(VLOOKUP($A32,$A:CS,COLUMN(CQ31),FALSE)&lt;&gt;0,"Strange",0))</f>
        <v>0</v>
      </c>
      <c r="DD32" s="33">
        <f>IF(VLOOKUP($A32,$A:CT,COLUMN(M31),FALSE)&lt;&gt;0,VLOOKUP($A32,$A:CT,COLUMN(CR31),FALSE)/VLOOKUP($A32,$A:AV,COLUMN(M31),FALSE),IF(VLOOKUP($A32,$A:CT,COLUMN(CR31),FALSE)&lt;&gt;0,"Strange",0))</f>
        <v>0</v>
      </c>
      <c r="DF32" s="33">
        <f>SUMIFS('Bilateral assistance, MAIN DATA'!$M:$M,'Bilateral assistance, MAIN DATA'!$B:$B,'Share, heavy weapons to Ukraine'!$A32,'Bilateral assistance, MAIN DATA'!$AO:$AO,'Share, heavy weapons to Ukraine'!DF$1, 'Bilateral assistance, MAIN DATA'!$AA:$AA,1)</f>
        <v>0</v>
      </c>
      <c r="DG32" s="33">
        <f>SUMIFS('Bilateral assistance, MAIN DATA'!$M:$M,'Bilateral assistance, MAIN DATA'!$B:$B,'Share, heavy weapons to Ukraine'!$A32,'Bilateral assistance, MAIN DATA'!$AO:$AO,'Share, heavy weapons to Ukraine'!DG$1, 'Bilateral assistance, MAIN DATA'!$AA:$AA,1)</f>
        <v>0</v>
      </c>
      <c r="DH32" s="33">
        <f>SUMIFS('Bilateral assistance, MAIN DATA'!$M:$M,'Bilateral assistance, MAIN DATA'!$B:$B,'Share, heavy weapons to Ukraine'!$A32,'Bilateral assistance, MAIN DATA'!$AO:$AO,'Share, heavy weapons to Ukraine'!DH$1, 'Bilateral assistance, MAIN DATA'!$AA:$AA,1)</f>
        <v>0</v>
      </c>
      <c r="DI32" s="33">
        <f>SUMIFS('Bilateral assistance, MAIN DATA'!$M:$M,'Bilateral assistance, MAIN DATA'!$B:$B,'Share, heavy weapons to Ukraine'!$A32,'Bilateral assistance, MAIN DATA'!$AO:$AO,'Share, heavy weapons to Ukraine'!DI$1, 'Bilateral assistance, MAIN DATA'!$AA:$AA,1)</f>
        <v>0</v>
      </c>
      <c r="DK32" s="33">
        <f>SUMIFS('Bilateral assistance, MAIN DATA'!$N:$N,'Bilateral assistance, MAIN DATA'!$B:$B,'Share, heavy weapons to Ukraine'!$A32,'Bilateral assistance, MAIN DATA'!$AO:$AO,'Share, heavy weapons to Ukraine'!DK$1, 'Bilateral assistance, MAIN DATA'!$AA:$AA,1)</f>
        <v>0</v>
      </c>
      <c r="DL32" s="33">
        <f>SUMIFS('Bilateral assistance, MAIN DATA'!$N:$N,'Bilateral assistance, MAIN DATA'!$B:$B,'Share, heavy weapons to Ukraine'!$A32,'Bilateral assistance, MAIN DATA'!$AO:$AO,'Share, heavy weapons to Ukraine'!DL$1, 'Bilateral assistance, MAIN DATA'!$AA:$AA,1)</f>
        <v>0</v>
      </c>
      <c r="DM32" s="33">
        <f>SUMIFS('Bilateral assistance, MAIN DATA'!$N:$N,'Bilateral assistance, MAIN DATA'!$B:$B,'Share, heavy weapons to Ukraine'!$A32,'Bilateral assistance, MAIN DATA'!$AO:$AO,'Share, heavy weapons to Ukraine'!DM$1, 'Bilateral assistance, MAIN DATA'!$AA:$AA,1)</f>
        <v>0</v>
      </c>
      <c r="DN32" s="33">
        <f>SUMIFS('Bilateral assistance, MAIN DATA'!$N:$N,'Bilateral assistance, MAIN DATA'!$B:$B,'Share, heavy weapons to Ukraine'!$A32,'Bilateral assistance, MAIN DATA'!$AO:$AO,'Share, heavy weapons to Ukraine'!DN$1, 'Bilateral assistance, MAIN DATA'!$AA:$AA,1)</f>
        <v>0</v>
      </c>
    </row>
    <row r="33" spans="1:118">
      <c r="A33" s="801" t="s">
        <v>840</v>
      </c>
      <c r="B33" s="801">
        <v>0</v>
      </c>
      <c r="C33" s="33">
        <v>1</v>
      </c>
      <c r="E33" s="802">
        <v>0.78600000000000003</v>
      </c>
      <c r="F33" s="801">
        <f>VLOOKUP(A33,'Heavy weapon stocks'!A:OH,COLUMN('Heavy weapon stocks'!$G$1),0)</f>
        <v>0</v>
      </c>
      <c r="G33" s="801">
        <f>VLOOKUP(A33,'Heavy weapon stocks'!A:OH,COLUMN('Heavy weapon stocks'!$AW$1),0)</f>
        <v>136</v>
      </c>
      <c r="H33" s="801">
        <f>VLOOKUP(A33,'Heavy weapon stocks'!A:OH,COLUMN('Heavy weapon stocks'!$DQ$1),0)</f>
        <v>0</v>
      </c>
      <c r="I33" s="801">
        <f>VLOOKUP(A33,'Heavy weapon stocks'!A:OH,COLUMN('Heavy weapon stocks'!$EE$1),0)</f>
        <v>6</v>
      </c>
      <c r="J33" s="801">
        <f>VLOOKUP(A33,'Heavy weapon stocks'!A:OH,COLUMN('Heavy weapon stocks'!$FG$1),0)</f>
        <v>44</v>
      </c>
      <c r="K33" s="801">
        <f t="shared" si="3"/>
        <v>186</v>
      </c>
      <c r="L33" s="801">
        <f>VLOOKUP(A33,'Heavy weapon stocks'!A:OH,COLUMN('Heavy weapon stocks'!$HC$1),0)+VLOOKUP(A33,'Heavy weapon stocks'!A:OH,COLUMN('Heavy weapon stocks'!$II$1),0)</f>
        <v>30</v>
      </c>
      <c r="M33" s="801">
        <f>VLOOKUP(A33,'Heavy weapon stocks'!A:OH,COLUMN('Heavy weapon stocks'!$IN$1),0)</f>
        <v>0</v>
      </c>
      <c r="N33" s="801">
        <f>VLOOKUP(A33,'Heavy weapon stocks'!A:OH,COLUMN('Heavy weapon stocks'!$JH$1),0)+VLOOKUP(A33,'Heavy weapon stocks'!A:OH,COLUMN('Heavy weapon stocks'!$KE$1),0)</f>
        <v>0</v>
      </c>
      <c r="O33" s="801">
        <f>VLOOKUP(A33,'Heavy weapon stocks'!A:OH,COLUMN('Heavy weapon stocks'!$LU$1),0)</f>
        <v>0</v>
      </c>
      <c r="Q33" s="801">
        <f>VLOOKUP(A33,'Heavy weapon stocks'!A:OH,COLUMN('Heavy weapon stocks'!$LV$1),0)</f>
        <v>0</v>
      </c>
      <c r="R33" s="801">
        <f>VLOOKUP(A33,'Heavy weapon stocks'!A:OH,COLUMN('Heavy weapon stocks'!$MF$1),0)</f>
        <v>0</v>
      </c>
      <c r="S33" s="801">
        <f>VLOOKUP(A33,'Heavy weapon stocks'!A:OH,COLUMN('Heavy weapon stocks'!$MM$1),0)</f>
        <v>0</v>
      </c>
      <c r="T33" s="801">
        <f>VLOOKUP(A33,'Heavy weapon stocks'!A:OH,COLUMN('Heavy weapon stocks'!$NR$1),0)</f>
        <v>0</v>
      </c>
      <c r="V33" s="801">
        <f>VLOOKUP(A33,'Heavy weapon stocks'!A:OH,COLUMN('Heavy weapon stocks'!$H$1),0)</f>
        <v>0</v>
      </c>
      <c r="W33" s="801">
        <f>VLOOKUP(A33,'Heavy weapon stocks'!A:OH,COLUMN('Heavy weapon stocks'!$DQ$1),0)</f>
        <v>0</v>
      </c>
      <c r="X33" s="801">
        <f>VLOOKUP(A33,'Heavy weapon stocks'!A:OH,COLUMN('Heavy weapon stocks'!$FG$1),0)</f>
        <v>44</v>
      </c>
      <c r="Y33" s="801">
        <f>VLOOKUP(A33,'Heavy weapon stocks'!A:OH,COLUMN('Heavy weapon stocks'!$HC$1),0)+VLOOKUP(A33,'Heavy weapon stocks'!A:OH,COLUMN('Heavy weapon stocks'!$II$1),0)</f>
        <v>30</v>
      </c>
      <c r="Z33" s="801">
        <f>VLOOKUP(A33,'Heavy weapon stocks'!A:OH,COLUMN('Heavy weapon stocks'!$IO$1),0)+VLOOKUP(A33,'Heavy weapon stocks'!A:OH,COLUMN('Heavy weapon stocks'!$IP$1),0)+VLOOKUP(A33,'Heavy weapon stocks'!A:OH,COLUMN('Heavy weapon stocks'!$IU$1),0)</f>
        <v>0</v>
      </c>
      <c r="AA33" s="801">
        <f>VLOOKUP(A33,'Heavy weapon stocks'!A:OH,COLUMN('Heavy weapon stocks'!$MI$1),0)</f>
        <v>0</v>
      </c>
      <c r="AB33" s="801">
        <f>VLOOKUP(A33,'Heavy weapon stocks'!A:OH,COLUMN('Heavy weapon stocks'!$MS$1),0)+VLOOKUP(A33,'Heavy weapon stocks'!A:OH,COLUMN('Heavy weapon stocks'!$MT$1),0)+VLOOKUP(A33,'Heavy weapon stocks'!A:OH,COLUMN('Heavy weapon stocks'!$MU$1),0)+VLOOKUP(A33,'Heavy weapon stocks'!A:OH,COLUMN('Heavy weapon stocks'!$MV$1),0)</f>
        <v>0</v>
      </c>
      <c r="AD33" s="33">
        <f>SUMIFS('Bilateral assistance, MAIN DATA'!$M:$M,'Bilateral assistance, MAIN DATA'!$B:$B,'Share, heavy weapons to Ukraine'!$A33,'Bilateral assistance, MAIN DATA'!$AO:$AO,'Share, heavy weapons to Ukraine'!AD$1)</f>
        <v>0</v>
      </c>
      <c r="AE33" s="33">
        <f>SUMIFS('Bilateral assistance, MAIN DATA'!$M:$M,'Bilateral assistance, MAIN DATA'!$B:$B,'Share, heavy weapons to Ukraine'!$A33,'Bilateral assistance, MAIN DATA'!$AO:$AO,'Share, heavy weapons to Ukraine'!AE$1)</f>
        <v>0</v>
      </c>
      <c r="AF33" s="33">
        <f>SUMIFS('Bilateral assistance, MAIN DATA'!$M:$M,'Bilateral assistance, MAIN DATA'!$B:$B,'Share, heavy weapons to Ukraine'!$A33,'Bilateral assistance, MAIN DATA'!$AO:$AO,'Share, heavy weapons to Ukraine'!AF$1)</f>
        <v>7</v>
      </c>
      <c r="AG33" s="33">
        <f>SUMIFS('Bilateral assistance, MAIN DATA'!$M:$M,'Bilateral assistance, MAIN DATA'!$B:$B,'Share, heavy weapons to Ukraine'!$A33,'Bilateral assistance, MAIN DATA'!$AO:$AO,'Share, heavy weapons to Ukraine'!AG$1)</f>
        <v>0</v>
      </c>
      <c r="AH33" s="33">
        <f>SUMIFS('Bilateral assistance, MAIN DATA'!$M:$M,'Bilateral assistance, MAIN DATA'!$B:$B,'Share, heavy weapons to Ukraine'!$A33,'Bilateral assistance, MAIN DATA'!$AO:$AO,'Share, heavy weapons to Ukraine'!AH$1)</f>
        <v>0</v>
      </c>
      <c r="AI33" s="33">
        <f t="shared" si="1"/>
        <v>7</v>
      </c>
      <c r="AJ33" s="33">
        <f>SUMIFS('Bilateral assistance, MAIN DATA'!$M:$M,'Bilateral assistance, MAIN DATA'!$B:$B,'Share, heavy weapons to Ukraine'!$A33,'Bilateral assistance, MAIN DATA'!$AO:$AO,'Share, heavy weapons to Ukraine'!AJ$1)</f>
        <v>0</v>
      </c>
      <c r="AK33" s="645">
        <f>SUMIFS('Bilateral assistance, MAIN DATA'!$M:$M,'Bilateral assistance, MAIN DATA'!$B:$B,'Share, heavy weapons to Ukraine'!$A33,'Bilateral assistance, MAIN DATA'!$AO:$AO,"122mm MLRS")+SUMIFS('Bilateral assistance, MAIN DATA'!$M:$M,'Bilateral assistance, MAIN DATA'!$B:$B,'Share, heavy weapons to Ukraine'!$A33,'Bilateral assistance, MAIN DATA'!$AO:$AO,"127mm MLRS")+SUMIFS('Bilateral assistance, MAIN DATA'!$M:$M,'Bilateral assistance, MAIN DATA'!$B:$B,'Share, heavy weapons to Ukraine'!$A33,'Bilateral assistance, MAIN DATA'!$AO:$AO,"227mm MLRS")</f>
        <v>0</v>
      </c>
      <c r="AL33" s="33">
        <f>SUMIFS('Bilateral assistance, MAIN DATA'!$M:$M,'Bilateral assistance, MAIN DATA'!$B:$B,'Share, heavy weapons to Ukraine'!$A33,'Bilateral assistance, MAIN DATA'!$AO:$AO,'Share, heavy weapons to Ukraine'!AL$1)</f>
        <v>0</v>
      </c>
      <c r="AM33" s="33">
        <f>SUMIFS('Bilateral assistance, MAIN DATA'!$M:$M,'Bilateral assistance, MAIN DATA'!$B:$B,'Share, heavy weapons to Ukraine'!$A33,'Bilateral assistance, MAIN DATA'!$AO:$AO,'Share, heavy weapons to Ukraine'!AM$1)</f>
        <v>0</v>
      </c>
      <c r="AN33" s="33">
        <f>SUMIFS('Bilateral assistance, MAIN DATA'!$M:$M,'Bilateral assistance, MAIN DATA'!$B:$B,'Share, heavy weapons to Ukraine'!$A33,'Bilateral assistance, MAIN DATA'!$AO:$AO,'Share, heavy weapons to Ukraine'!AN$1)</f>
        <v>0</v>
      </c>
      <c r="AO33" s="33">
        <f>SUMIFS('Bilateral assistance, MAIN DATA'!$M:$M,'Bilateral assistance, MAIN DATA'!$B:$B,'Share, heavy weapons to Ukraine'!$A33,'Bilateral assistance, MAIN DATA'!$AO:$AO,'Share, heavy weapons to Ukraine'!AO$1)</f>
        <v>0</v>
      </c>
      <c r="AP33" s="33">
        <f>SUMIFS('Bilateral assistance, MAIN DATA'!$M:$M,'Bilateral assistance, MAIN DATA'!$B:$B,'Share, heavy weapons to Ukraine'!$A33,'Bilateral assistance, MAIN DATA'!$AO:$AO,'Share, heavy weapons to Ukraine'!AP$1)</f>
        <v>0</v>
      </c>
      <c r="AR33" s="33">
        <f>SUMIFS('Bilateral assistance, MAIN DATA'!$N:$N,'Bilateral assistance, MAIN DATA'!$B:$B,'Share, heavy weapons to Ukraine'!$A33,'Bilateral assistance, MAIN DATA'!$AO:$AO,'Share, heavy weapons to Ukraine'!AR$1)</f>
        <v>0</v>
      </c>
      <c r="AS33" s="33">
        <f>SUMIFS('Bilateral assistance, MAIN DATA'!$N:$N,'Bilateral assistance, MAIN DATA'!$B:$B,'Share, heavy weapons to Ukraine'!$A33,'Bilateral assistance, MAIN DATA'!$AO:$AO,'Share, heavy weapons to Ukraine'!AS$1)</f>
        <v>0</v>
      </c>
      <c r="AT33" s="33">
        <f>SUMIFS('Bilateral assistance, MAIN DATA'!$N:$N,'Bilateral assistance, MAIN DATA'!$B:$B,'Share, heavy weapons to Ukraine'!$A33,'Bilateral assistance, MAIN DATA'!$AO:$AO,'Share, heavy weapons to Ukraine'!AT$1)</f>
        <v>7</v>
      </c>
      <c r="AU33" s="33">
        <f>SUMIFS('Bilateral assistance, MAIN DATA'!$N:$N,'Bilateral assistance, MAIN DATA'!$B:$B,'Share, heavy weapons to Ukraine'!$A33,'Bilateral assistance, MAIN DATA'!$AO:$AO,'Share, heavy weapons to Ukraine'!AU$1)</f>
        <v>0</v>
      </c>
      <c r="AV33" s="33">
        <f>SUMIFS('Bilateral assistance, MAIN DATA'!$N:$N,'Bilateral assistance, MAIN DATA'!$B:$B,'Share, heavy weapons to Ukraine'!$A33,'Bilateral assistance, MAIN DATA'!$AO:$AO,'Share, heavy weapons to Ukraine'!AV$1)</f>
        <v>0</v>
      </c>
      <c r="AW33" s="33">
        <f t="shared" si="2"/>
        <v>7</v>
      </c>
      <c r="AX33" s="33">
        <f>SUMIFS('Bilateral assistance, MAIN DATA'!$N:$N,'Bilateral assistance, MAIN DATA'!$B:$B,'Share, heavy weapons to Ukraine'!$A33,'Bilateral assistance, MAIN DATA'!$AO:$AO,'Share, heavy weapons to Ukraine'!AX$1)</f>
        <v>0</v>
      </c>
      <c r="AY33" s="645">
        <f>SUMIFS('Bilateral assistance, MAIN DATA'!$N:$N,'Bilateral assistance, MAIN DATA'!$B:$B,'Share, heavy weapons to Ukraine'!$A33,'Bilateral assistance, MAIN DATA'!$AO:$AO,"122mm MLRS")+SUMIFS('Bilateral assistance, MAIN DATA'!$N:$N,'Bilateral assistance, MAIN DATA'!$B:$B,'Share, heavy weapons to Ukraine'!$A33,'Bilateral assistance, MAIN DATA'!$AO:$AO,"127mm MLRS")+SUMIFS('Bilateral assistance, MAIN DATA'!$N:$N,'Bilateral assistance, MAIN DATA'!$B:$B,'Share, heavy weapons to Ukraine'!$A33,'Bilateral assistance, MAIN DATA'!$AO:$AO,"227mm MLRS")</f>
        <v>0</v>
      </c>
      <c r="AZ33" s="33">
        <f>SUMIFS('Bilateral assistance, MAIN DATA'!$N:$N,'Bilateral assistance, MAIN DATA'!$B:$B,'Share, heavy weapons to Ukraine'!$A33,'Bilateral assistance, MAIN DATA'!$AO:$AO,'Share, heavy weapons to Ukraine'!AZ$1)</f>
        <v>0</v>
      </c>
      <c r="BA33" s="33">
        <f>SUMIFS('Bilateral assistance, MAIN DATA'!$N:$N,'Bilateral assistance, MAIN DATA'!$B:$B,'Share, heavy weapons to Ukraine'!$A33,'Bilateral assistance, MAIN DATA'!$AO:$AO,'Share, heavy weapons to Ukraine'!BA$1)</f>
        <v>0</v>
      </c>
      <c r="BB33" s="33">
        <f>SUMIFS('Bilateral assistance, MAIN DATA'!$N:$N,'Bilateral assistance, MAIN DATA'!$B:$B,'Share, heavy weapons to Ukraine'!$A33,'Bilateral assistance, MAIN DATA'!$AO:$AO,'Share, heavy weapons to Ukraine'!BB$1)</f>
        <v>0</v>
      </c>
      <c r="BC33" s="33">
        <f>SUMIFS('Bilateral assistance, MAIN DATA'!$N:$N,'Bilateral assistance, MAIN DATA'!$B:$B,'Share, heavy weapons to Ukraine'!$A33,'Bilateral assistance, MAIN DATA'!$AO:$AO,'Share, heavy weapons to Ukraine'!BC$1)</f>
        <v>0</v>
      </c>
      <c r="BD33" s="33">
        <f>SUMIFS('Bilateral assistance, MAIN DATA'!$N:$N,'Bilateral assistance, MAIN DATA'!$B:$B,'Share, heavy weapons to Ukraine'!$A33,'Bilateral assistance, MAIN DATA'!$AO:$AO,'Share, heavy weapons to Ukraine'!BD$1)</f>
        <v>0</v>
      </c>
      <c r="BF33" s="33">
        <f>IF(VLOOKUP($A33,$A:F,COLUMN(F32),FALSE)&lt;&gt;0,VLOOKUP($A33,$A:AD,COLUMN(AD32),FALSE)/VLOOKUP($A33,$A:F,COLUMN(F32),FALSE),IF(VLOOKUP($A33,$A:AD,COLUMN(AD32),FALSE)&lt;&gt;0,"Strange",0))</f>
        <v>0</v>
      </c>
      <c r="BG33" s="33">
        <f>IF(VLOOKUP($A33,$A:G,COLUMN(G32),FALSE)&lt;&gt;0,VLOOKUP($A33,$A:AE,COLUMN(AE32),FALSE)/VLOOKUP($A33,$A:G,COLUMN(G32),FALSE),IF(VLOOKUP($A33,$A:AE,COLUMN(AE32),FALSE)&lt;&gt;0,"Strange",0))</f>
        <v>0</v>
      </c>
      <c r="BH33" s="33" t="str">
        <f>IF(VLOOKUP($A33,$A:H,COLUMN(H32),FALSE)&lt;&gt;0,VLOOKUP($A33,$A:AF,COLUMN(AF32),FALSE)/VLOOKUP($A33,$A:H,COLUMN(H32),FALSE),IF(VLOOKUP($A33,$A:AF,COLUMN(AF32),FALSE)&lt;&gt;0,"Strange",0))</f>
        <v>Strange</v>
      </c>
      <c r="BI33" s="33">
        <f>IF(VLOOKUP($A33,$A:I,COLUMN(I32),FALSE)&lt;&gt;0,VLOOKUP($A33,$A:AG,COLUMN(AG32),FALSE)/VLOOKUP($A33,$A:I,COLUMN(I32),FALSE),IF(VLOOKUP($A33,$A:AG,COLUMN(AG32),FALSE)&lt;&gt;0,"Strange",0))</f>
        <v>0</v>
      </c>
      <c r="BJ33" s="33">
        <f>IF(VLOOKUP($A33,$A:J,COLUMN(J32),FALSE)&lt;&gt;0,VLOOKUP($A33,$A:AH,COLUMN(AH32),FALSE)/VLOOKUP($A33,$A:J,COLUMN(J32),FALSE),IF(VLOOKUP($A33,$A:AH,COLUMN(AH32),FALSE)&lt;&gt;0,"Strange",0))</f>
        <v>0</v>
      </c>
      <c r="BK33" s="33">
        <f>IF(VLOOKUP($A33,$A:K,COLUMN(K32),FALSE)&lt;&gt;0,VLOOKUP($A33,$A:AI,COLUMN(AI32),FALSE)/VLOOKUP($A33,$A:K,COLUMN(K32),FALSE),IF(VLOOKUP($A33,$A:AI,COLUMN(AI32),FALSE)&lt;&gt;0,"Strange",0))</f>
        <v>3.7634408602150539E-2</v>
      </c>
      <c r="BL33" s="33">
        <f>IF(VLOOKUP($A33,$A:L,COLUMN(L32),FALSE)&lt;&gt;0,VLOOKUP($A33,$A:AJ,COLUMN(AJ32),FALSE)/VLOOKUP($A33,$A:L,COLUMN(L32),FALSE),IF(VLOOKUP($A33,$A:AJ,COLUMN(AJ32),FALSE)&lt;&gt;0,"Strange",0))</f>
        <v>0</v>
      </c>
      <c r="BM33" s="33">
        <f>IF(VLOOKUP($A33,$A:M,COLUMN(M32),FALSE)&lt;&gt;0,VLOOKUP($A33,$A:AK,COLUMN(AK32),FALSE)/VLOOKUP($A33,$A:M,COLUMN(M32),FALSE),IF(VLOOKUP($A33,$A:AK,COLUMN(AK32),FALSE)&lt;&gt;0,"Strange",0))</f>
        <v>0</v>
      </c>
      <c r="BN33" s="33">
        <f>IF(VLOOKUP($A33,$A:N,COLUMN(N32),FALSE)&lt;&gt;0,VLOOKUP($A33,$A:AL,COLUMN(AL32),FALSE)/VLOOKUP($A33,$A:N,COLUMN(N32),FALSE),IF(VLOOKUP($A33,$A:AL,COLUMN(AL32),FALSE)&lt;&gt;0,"Strange",0))</f>
        <v>0</v>
      </c>
      <c r="BO33" s="33">
        <f>IF(VLOOKUP($A33,$A:Q,COLUMN(Q32),FALSE)&lt;&gt;0,VLOOKUP($A33,$A:AM,COLUMN(AM32),FALSE)/VLOOKUP($A33,$A:Q,COLUMN(Q32),FALSE),IF(VLOOKUP($A33,$A:AM,COLUMN(AM32),FALSE)&lt;&gt;0,"Strange",0))</f>
        <v>0</v>
      </c>
      <c r="BP33" s="33">
        <f>IF(VLOOKUP($A33,$A:R,COLUMN(R32),FALSE)&lt;&gt;0,VLOOKUP($A33,$A:AN,COLUMN(AN32),FALSE)/VLOOKUP($A33,$A:R,COLUMN(R32),FALSE),IF(VLOOKUP($A33,$A:AN,COLUMN(AN32),FALSE)&lt;&gt;0,"Strange",0))</f>
        <v>0</v>
      </c>
      <c r="BQ33" s="33">
        <f>IF(VLOOKUP($A33,$A:S,COLUMN(S32),FALSE)&lt;&gt;0,VLOOKUP($A33,$A:AO,COLUMN(AO32),FALSE)/VLOOKUP($A33,$A:S,COLUMN(S32),FALSE),IF(VLOOKUP($A33,$A:AO,COLUMN(AO32),FALSE)&lt;&gt;0,"Strange",0))</f>
        <v>0</v>
      </c>
      <c r="BR33" s="33">
        <f>IF(VLOOKUP($A33,$A:T,COLUMN(T32),FALSE)&lt;&gt;0,VLOOKUP($A33,$A:AP,COLUMN(AP32),FALSE)/VLOOKUP($A33,$A:T,COLUMN(T32),FALSE),IF(VLOOKUP($A33,$A:AP,COLUMN(AP32),FALSE)&lt;&gt;0,"Strange",0))</f>
        <v>0</v>
      </c>
      <c r="BT33" s="33">
        <f>IF(VLOOKUP($A33,$A:AE,COLUMN(F32),FALSE)&lt;&gt;0,VLOOKUP($A33,$A:AS,COLUMN(AR32),FALSE)/VLOOKUP($A33,$A:AE,COLUMN(F32),FALSE),IF(VLOOKUP($A33,$A:AS,COLUMN(AR32),FALSE)&lt;&gt;0,"Strange",0))</f>
        <v>0</v>
      </c>
      <c r="BU33" s="33">
        <f>IF(VLOOKUP($A33,$A:AF,COLUMN(G32),FALSE)&lt;&gt;0,VLOOKUP($A33,$A:AT,COLUMN(AS32),FALSE)/VLOOKUP($A33,$A:AF,COLUMN(G32),FALSE),IF(VLOOKUP($A33,$A:AT,COLUMN(AS32),FALSE)&lt;&gt;0,"Strange",0))</f>
        <v>0</v>
      </c>
      <c r="BV33" s="33" t="str">
        <f>IF(VLOOKUP($A33,$A:AG,COLUMN(H32),FALSE)&lt;&gt;0,VLOOKUP($A33,$A:AU,COLUMN(AT32),FALSE)/VLOOKUP($A33,$A:AG,COLUMN(H32),FALSE),IF(VLOOKUP($A33,$A:AU,COLUMN(AT32),FALSE)&lt;&gt;0,"Strange",0))</f>
        <v>Strange</v>
      </c>
      <c r="BW33" s="33">
        <f>IF(VLOOKUP($A33,$A:AH,COLUMN(I32),FALSE)&lt;&gt;0,VLOOKUP($A33,$A:AV,COLUMN(AU32),FALSE)/VLOOKUP($A33,$A:AH,COLUMN(I32),FALSE),IF(VLOOKUP($A33,$A:AV,COLUMN(AU32),FALSE)&lt;&gt;0,"Strange",0))</f>
        <v>0</v>
      </c>
      <c r="BX33" s="33">
        <f>IF(VLOOKUP($A33,$A:AJ,COLUMN(J32),FALSE)&lt;&gt;0,VLOOKUP($A33,$A:AX,COLUMN(AV32),FALSE)/VLOOKUP($A33,$A:AJ,COLUMN(J32),FALSE),IF(VLOOKUP($A33,$A:AX,COLUMN(AV32),FALSE)&lt;&gt;0,"Strange",0))</f>
        <v>0</v>
      </c>
      <c r="BY33" s="33">
        <f>IF(VLOOKUP($A33,$A:AK,COLUMN(K32),FALSE)&lt;&gt;0,VLOOKUP($A33,$A:AY,COLUMN(AW32),FALSE)/VLOOKUP($A33,$A:AK,COLUMN(K32),FALSE),IF(VLOOKUP($A33,$A:AY,COLUMN(AW32),FALSE)&lt;&gt;0,"Strange",0))</f>
        <v>3.7634408602150539E-2</v>
      </c>
      <c r="BZ33" s="33">
        <f>IF(VLOOKUP($A33,$A:AK,COLUMN(L32),FALSE)&lt;&gt;0,VLOOKUP($A33,$A:AY,COLUMN(AX32),FALSE)/VLOOKUP($A33,$A:AK,COLUMN(L32),FALSE),IF(VLOOKUP($A33,$A:AY,COLUMN(AX32),FALSE)&lt;&gt;0,"Strange",0))</f>
        <v>0</v>
      </c>
      <c r="CA33" s="33">
        <f>IF(VLOOKUP($A33,$A:AL,COLUMN(M32),FALSE)&lt;&gt;0,VLOOKUP($A33,$A:AZ,COLUMN(AY32),FALSE)/VLOOKUP($A33,$A:AL,COLUMN(M32),FALSE),IF(VLOOKUP($A33,$A:AZ,COLUMN(AY32),FALSE)&lt;&gt;0,"Strange",0))</f>
        <v>0</v>
      </c>
      <c r="CB33" s="33">
        <f>IF(VLOOKUP($A33,$A:AL,COLUMN(N32),FALSE)&lt;&gt;0,VLOOKUP($A33,$A:AZ,COLUMN(AZ32),FALSE)/VLOOKUP($A33,$A:AL,COLUMN(N32),FALSE),IF(VLOOKUP($A33,$A:AZ,COLUMN(AZ32),FALSE)&lt;&gt;0,"Strange",0))</f>
        <v>0</v>
      </c>
      <c r="CC33" s="33">
        <f>IF(VLOOKUP($A33,$A:AM,COLUMN(Q32),FALSE)&lt;&gt;0,VLOOKUP($A33,$A:BA,COLUMN(BA32),FALSE)/VLOOKUP($A33,$A:AM,COLUMN(Q32),FALSE),IF(VLOOKUP($A33,$A:BA,COLUMN(BA32),FALSE)&lt;&gt;0,"Strange",0))</f>
        <v>0</v>
      </c>
      <c r="CD33" s="33">
        <f>IF(VLOOKUP($A33,$A:AN,COLUMN(R32),FALSE)&lt;&gt;0,VLOOKUP($A33,$A:BB,COLUMN(BB32),FALSE)/VLOOKUP($A33,$A:AN,COLUMN(R32),FALSE),IF(VLOOKUP($A33,$A:BB,COLUMN(BB32),FALSE)&lt;&gt;0,"Strange",0))</f>
        <v>0</v>
      </c>
      <c r="CE33" s="33">
        <f>IF(VLOOKUP($A33,$A:AO,COLUMN(S32),FALSE)&lt;&gt;0,VLOOKUP($A33,$A:BC,COLUMN(BC32),FALSE)/VLOOKUP($A33,$A:AO,COLUMN(S32),FALSE),IF(VLOOKUP($A33,$A:BC,COLUMN(BC32),FALSE)&lt;&gt;0,"Strange",0))</f>
        <v>0</v>
      </c>
      <c r="CF33" s="33">
        <f>IF(VLOOKUP($A33,$A:AP,COLUMN(T32),FALSE)&lt;&gt;0,VLOOKUP($A33,$A:BD,COLUMN(BD32),FALSE)/VLOOKUP($A33,$A:AP,COLUMN(T32),FALSE),IF(VLOOKUP($A33,$A:BD,COLUMN(BD32),FALSE)&lt;&gt;0,"Strange",0))</f>
        <v>0</v>
      </c>
      <c r="CH33" s="33">
        <f>SUMIFS('Bilateral assistance, MAIN DATA'!$M:$M,'Bilateral assistance, MAIN DATA'!$B:$B,'Share, heavy weapons to Ukraine'!$A33,'Bilateral assistance, MAIN DATA'!$AO:$AO,'Share, heavy weapons to Ukraine'!CH$1,'Bilateral assistance, MAIN DATA'!$AQ:$AQ,2)</f>
        <v>0</v>
      </c>
      <c r="CI33" s="33">
        <f>SUMIFS('Bilateral assistance, MAIN DATA'!$M:$M,'Bilateral assistance, MAIN DATA'!$B:$B,'Share, heavy weapons to Ukraine'!$A33,'Bilateral assistance, MAIN DATA'!$AO:$AO,'Share, heavy weapons to Ukraine'!CI$1,'Bilateral assistance, MAIN DATA'!$AQ:$AQ,2)</f>
        <v>0</v>
      </c>
      <c r="CJ33" s="645">
        <f>SUMIFS('Bilateral assistance, MAIN DATA'!$M:$M,'Bilateral assistance, MAIN DATA'!$B:$B,'Share, heavy weapons to Ukraine'!$A33,'Bilateral assistance, MAIN DATA'!$AO:$AO,"122mm MLRS",'Bilateral assistance, MAIN DATA'!$AQ:$AQ,2)+SUMIFS('Bilateral assistance, MAIN DATA'!$M:$M,'Bilateral assistance, MAIN DATA'!$B:$B,'Share, heavy weapons to Ukraine'!$A33,'Bilateral assistance, MAIN DATA'!$AO:$AO,"127mm MLRS",'Bilateral assistance, MAIN DATA'!$AQ:$AQ,2)+SUMIFS('Bilateral assistance, MAIN DATA'!$M:$M,'Bilateral assistance, MAIN DATA'!$B:$B,'Share, heavy weapons to Ukraine'!$A33,'Bilateral assistance, MAIN DATA'!$AO:$AO,"227mm MLRS",'Bilateral assistance, MAIN DATA'!$AQ:$AQ,2)</f>
        <v>0</v>
      </c>
      <c r="CL33" s="33">
        <f>SUMIFS('Bilateral assistance, MAIN DATA'!$M:$M,'Bilateral assistance, MAIN DATA'!$B:$B,'Share, heavy weapons to Ukraine'!$A33,'Bilateral assistance, MAIN DATA'!$AO:$AO,'Share, heavy weapons to Ukraine'!CH$1,'Bilateral assistance, MAIN DATA'!$AQ:$AQ,1)</f>
        <v>0</v>
      </c>
      <c r="CM33" s="33">
        <f>SUMIFS('Bilateral assistance, MAIN DATA'!$M:$M,'Bilateral assistance, MAIN DATA'!$B:$B,'Share, heavy weapons to Ukraine'!$A33,'Bilateral assistance, MAIN DATA'!$AO:$AO,'Share, heavy weapons to Ukraine'!CI$1,'Bilateral assistance, MAIN DATA'!$AQ:$AQ,1)</f>
        <v>0</v>
      </c>
      <c r="CN33" s="645">
        <f>SUMIFS('Bilateral assistance, MAIN DATA'!$M:$M,'Bilateral assistance, MAIN DATA'!$B:$B,'Share, heavy weapons to Ukraine'!$A33,'Bilateral assistance, MAIN DATA'!$AO:$AO,"122mm MLRS",'Bilateral assistance, MAIN DATA'!$AQ:$AQ,1)+SUMIFS('Bilateral assistance, MAIN DATA'!$M:$M,'Bilateral assistance, MAIN DATA'!$B:$B,'Share, heavy weapons to Ukraine'!$A33,'Bilateral assistance, MAIN DATA'!$AO:$AO,"127mm MLRS",'Bilateral assistance, MAIN DATA'!$AQ:$AQ,1)+SUMIFS('Bilateral assistance, MAIN DATA'!$M:$M,'Bilateral assistance, MAIN DATA'!$B:$B,'Share, heavy weapons to Ukraine'!$A33,'Bilateral assistance, MAIN DATA'!$AO:$AO,"227mm MLRS",'Bilateral assistance, MAIN DATA'!$AQ:$AQ,1)</f>
        <v>0</v>
      </c>
      <c r="CP33" s="33">
        <f>SUMIFS('Bilateral assistance, MAIN DATA'!$M:$M,'Bilateral assistance, MAIN DATA'!$B:$B,'Share, heavy weapons to Ukraine'!$A33,'Bilateral assistance, MAIN DATA'!$AO:$AO,'Share, heavy weapons to Ukraine'!CP$1,'Bilateral assistance, MAIN DATA'!$AQ:$AQ,0)</f>
        <v>0</v>
      </c>
      <c r="CQ33" s="33">
        <f>SUMIFS('Bilateral assistance, MAIN DATA'!$M:$M,'Bilateral assistance, MAIN DATA'!$B:$B,'Share, heavy weapons to Ukraine'!$A33,'Bilateral assistance, MAIN DATA'!$AO:$AO,'Share, heavy weapons to Ukraine'!CQ$1,'Bilateral assistance, MAIN DATA'!$AQ:$AQ,0)</f>
        <v>0</v>
      </c>
      <c r="CR33" s="645">
        <f>SUMIFS('Bilateral assistance, MAIN DATA'!$M:$M,'Bilateral assistance, MAIN DATA'!$B:$B,'Share, heavy weapons to Ukraine'!$A33,'Bilateral assistance, MAIN DATA'!$AO:$AO,"122mm MLRS",'Bilateral assistance, MAIN DATA'!$AQ:$AQ,0)+SUMIFS('Bilateral assistance, MAIN DATA'!$M:$M,'Bilateral assistance, MAIN DATA'!$B:$B,'Share, heavy weapons to Ukraine'!$A33,'Bilateral assistance, MAIN DATA'!$AO:$AO,"127mm MLRS",'Bilateral assistance, MAIN DATA'!$AQ:$AQ,0)+SUMIFS('Bilateral assistance, MAIN DATA'!$M:$M,'Bilateral assistance, MAIN DATA'!$B:$B,'Share, heavy weapons to Ukraine'!$A33,'Bilateral assistance, MAIN DATA'!$AO:$AO,"227mm MLRS",'Bilateral assistance, MAIN DATA'!$AQ:$AQ,0)</f>
        <v>0</v>
      </c>
      <c r="CT33" s="33">
        <f>IF(VLOOKUP($A33,$A:CS,COLUMN(F32),FALSE)&lt;&gt;0,VLOOKUP($A33,$A:CS,COLUMN(CH32),FALSE)/VLOOKUP($A33,$A:AU,COLUMN(F32),FALSE),IF(VLOOKUP($A33,$A:CS,COLUMN(CH32),FALSE)&lt;&gt;0,"Strange",0))</f>
        <v>0</v>
      </c>
      <c r="CU33" s="33">
        <f>IF(VLOOKUP($A33,$A:CS,COLUMN(L32),FALSE)&lt;&gt;0,VLOOKUP($A33,$A:CS,COLUMN(CI32),FALSE)/VLOOKUP($A33,$A:AU,COLUMN(L32),FALSE),IF(VLOOKUP($A33,$A:CS,COLUMN(CI32),FALSE)&lt;&gt;0,"Strange",0))</f>
        <v>0</v>
      </c>
      <c r="CV33" s="33">
        <f>IF(VLOOKUP($A33,$A:CT,COLUMN(M32),FALSE)&lt;&gt;0,VLOOKUP($A33,$A:CT,COLUMN(CJ32),FALSE)/VLOOKUP($A33,$A:AV,COLUMN(M32),FALSE),IF(VLOOKUP($A33,$A:CT,COLUMN(CJ32),FALSE)&lt;&gt;0,"Strange",0))</f>
        <v>0</v>
      </c>
      <c r="CX33" s="33">
        <f>IF(VLOOKUP($A33,$A:CS,COLUMN(F32),FALSE)&lt;&gt;0,VLOOKUP($A33,$A:CS,COLUMN(CL32),FALSE)/VLOOKUP($A33,$A:AU,COLUMN(F32),FALSE),IF(VLOOKUP($A33,$A:CS,COLUMN(CL32),FALSE)&lt;&gt;0,"Strange",0))</f>
        <v>0</v>
      </c>
      <c r="CY33" s="33">
        <f>IF(VLOOKUP($A33,$A:CS,COLUMN(L32),FALSE)&lt;&gt;0,VLOOKUP($A33,$A:CS,COLUMN(CM32),FALSE)/VLOOKUP($A33,$A:AU,COLUMN(L32),FALSE),IF(VLOOKUP($A33,$A:CS,COLUMN(CM32),FALSE)&lt;&gt;0,"Strange",0))</f>
        <v>0</v>
      </c>
      <c r="CZ33" s="33">
        <f>IF(VLOOKUP($A33,$A:CT,COLUMN(M32),FALSE)&lt;&gt;0,VLOOKUP($A33,$A:CT,COLUMN(CN32),FALSE)/VLOOKUP($A33,$A:AV,COLUMN(M32),FALSE),IF(VLOOKUP($A33,$A:CT,COLUMN(CN32),FALSE)&lt;&gt;0,"Strange",0))</f>
        <v>0</v>
      </c>
      <c r="DB33" s="33">
        <f>IF(VLOOKUP($A33,$A:CS,COLUMN(F32),FALSE)&lt;&gt;0,VLOOKUP($A33,$A:CS,COLUMN(CP32),FALSE)/VLOOKUP($A33,$A:AU,COLUMN(F32),FALSE),IF(VLOOKUP($A33,$A:CS,COLUMN(CP32),FALSE)&lt;&gt;0,"Strange",0))</f>
        <v>0</v>
      </c>
      <c r="DC33" s="33">
        <f>IF(VLOOKUP($A33,$A:CS,COLUMN(L32),FALSE)&lt;&gt;0,VLOOKUP($A33,$A:CS,COLUMN(CQ32),FALSE)/VLOOKUP($A33,$A:AU,COLUMN(L32),FALSE),IF(VLOOKUP($A33,$A:CS,COLUMN(CQ32),FALSE)&lt;&gt;0,"Strange",0))</f>
        <v>0</v>
      </c>
      <c r="DD33" s="33">
        <f>IF(VLOOKUP($A33,$A:CT,COLUMN(M32),FALSE)&lt;&gt;0,VLOOKUP($A33,$A:CT,COLUMN(CR32),FALSE)/VLOOKUP($A33,$A:AV,COLUMN(M32),FALSE),IF(VLOOKUP($A33,$A:CT,COLUMN(CR32),FALSE)&lt;&gt;0,"Strange",0))</f>
        <v>0</v>
      </c>
      <c r="DF33" s="33">
        <f>SUMIFS('Bilateral assistance, MAIN DATA'!$M:$M,'Bilateral assistance, MAIN DATA'!$B:$B,'Share, heavy weapons to Ukraine'!$A33,'Bilateral assistance, MAIN DATA'!$AO:$AO,'Share, heavy weapons to Ukraine'!DF$1, 'Bilateral assistance, MAIN DATA'!$AA:$AA,1)</f>
        <v>0</v>
      </c>
      <c r="DG33" s="33">
        <f>SUMIFS('Bilateral assistance, MAIN DATA'!$M:$M,'Bilateral assistance, MAIN DATA'!$B:$B,'Share, heavy weapons to Ukraine'!$A33,'Bilateral assistance, MAIN DATA'!$AO:$AO,'Share, heavy weapons to Ukraine'!DG$1, 'Bilateral assistance, MAIN DATA'!$AA:$AA,1)</f>
        <v>0</v>
      </c>
      <c r="DH33" s="33">
        <f>SUMIFS('Bilateral assistance, MAIN DATA'!$M:$M,'Bilateral assistance, MAIN DATA'!$B:$B,'Share, heavy weapons to Ukraine'!$A33,'Bilateral assistance, MAIN DATA'!$AO:$AO,'Share, heavy weapons to Ukraine'!DH$1, 'Bilateral assistance, MAIN DATA'!$AA:$AA,1)</f>
        <v>0</v>
      </c>
      <c r="DI33" s="33">
        <f>SUMIFS('Bilateral assistance, MAIN DATA'!$M:$M,'Bilateral assistance, MAIN DATA'!$B:$B,'Share, heavy weapons to Ukraine'!$A33,'Bilateral assistance, MAIN DATA'!$AO:$AO,'Share, heavy weapons to Ukraine'!DI$1, 'Bilateral assistance, MAIN DATA'!$AA:$AA,1)</f>
        <v>0</v>
      </c>
      <c r="DK33" s="33">
        <f>SUMIFS('Bilateral assistance, MAIN DATA'!$N:$N,'Bilateral assistance, MAIN DATA'!$B:$B,'Share, heavy weapons to Ukraine'!$A33,'Bilateral assistance, MAIN DATA'!$AO:$AO,'Share, heavy weapons to Ukraine'!DK$1, 'Bilateral assistance, MAIN DATA'!$AA:$AA,1)</f>
        <v>0</v>
      </c>
      <c r="DL33" s="33">
        <f>SUMIFS('Bilateral assistance, MAIN DATA'!$N:$N,'Bilateral assistance, MAIN DATA'!$B:$B,'Share, heavy weapons to Ukraine'!$A33,'Bilateral assistance, MAIN DATA'!$AO:$AO,'Share, heavy weapons to Ukraine'!DL$1, 'Bilateral assistance, MAIN DATA'!$AA:$AA,1)</f>
        <v>0</v>
      </c>
      <c r="DM33" s="33">
        <f>SUMIFS('Bilateral assistance, MAIN DATA'!$N:$N,'Bilateral assistance, MAIN DATA'!$B:$B,'Share, heavy weapons to Ukraine'!$A33,'Bilateral assistance, MAIN DATA'!$AO:$AO,'Share, heavy weapons to Ukraine'!DM$1, 'Bilateral assistance, MAIN DATA'!$AA:$AA,1)</f>
        <v>0</v>
      </c>
      <c r="DN33" s="33">
        <f>SUMIFS('Bilateral assistance, MAIN DATA'!$N:$N,'Bilateral assistance, MAIN DATA'!$B:$B,'Share, heavy weapons to Ukraine'!$A33,'Bilateral assistance, MAIN DATA'!$AO:$AO,'Share, heavy weapons to Ukraine'!DN$1, 'Bilateral assistance, MAIN DATA'!$AA:$AA,1)</f>
        <v>0</v>
      </c>
    </row>
    <row r="34" spans="1:118">
      <c r="A34" s="801" t="s">
        <v>2106</v>
      </c>
      <c r="B34" s="801">
        <v>0</v>
      </c>
      <c r="C34" s="33">
        <v>1</v>
      </c>
      <c r="E34" s="802">
        <v>0.67</v>
      </c>
      <c r="F34" s="801">
        <f>VLOOKUP(A34,'Heavy weapon stocks'!A:OH,COLUMN('Heavy weapon stocks'!$G$1),0)</f>
        <v>76</v>
      </c>
      <c r="G34" s="801">
        <f>VLOOKUP(A34,'Heavy weapon stocks'!A:OH,COLUMN('Heavy weapon stocks'!$AW$1),0)</f>
        <v>139</v>
      </c>
      <c r="H34" s="801">
        <f>VLOOKUP(A34,'Heavy weapon stocks'!A:OH,COLUMN('Heavy weapon stocks'!$DQ$1),0)</f>
        <v>0</v>
      </c>
      <c r="I34" s="801">
        <f>VLOOKUP(A34,'Heavy weapon stocks'!A:OH,COLUMN('Heavy weapon stocks'!$EE$1),0)</f>
        <v>0</v>
      </c>
      <c r="J34" s="801">
        <v>52</v>
      </c>
      <c r="K34" s="801">
        <f t="shared" si="3"/>
        <v>191</v>
      </c>
      <c r="L34" s="801">
        <f>VLOOKUP(A34,'Heavy weapon stocks'!A:OH,COLUMN('Heavy weapon stocks'!$HC$1),0)+VLOOKUP(A34,'Heavy weapon stocks'!A:OH,COLUMN('Heavy weapon stocks'!$II$1),0)</f>
        <v>18</v>
      </c>
      <c r="M34" s="801">
        <f>VLOOKUP(A34,'Heavy weapon stocks'!A:OH,COLUMN('Heavy weapon stocks'!$IN$1),0)</f>
        <v>0</v>
      </c>
      <c r="N34" s="801">
        <f>VLOOKUP(A34,'Heavy weapon stocks'!A:OH,COLUMN('Heavy weapon stocks'!$JH$1),0)+VLOOKUP(A34,'Heavy weapon stocks'!A:OH,COLUMN('Heavy weapon stocks'!$KE$1),0)</f>
        <v>0</v>
      </c>
      <c r="O34" s="801">
        <f>VLOOKUP(A34,'Heavy weapon stocks'!A:OH,COLUMN('Heavy weapon stocks'!$LU$1),0)</f>
        <v>0</v>
      </c>
      <c r="Q34" s="801">
        <f>VLOOKUP(A34,'Heavy weapon stocks'!A:OH,COLUMN('Heavy weapon stocks'!$LV$1),0)</f>
        <v>0</v>
      </c>
      <c r="R34" s="801">
        <f>VLOOKUP(A34,'Heavy weapon stocks'!A:OH,COLUMN('Heavy weapon stocks'!$MF$1),0)</f>
        <v>0</v>
      </c>
      <c r="S34" s="801">
        <f>VLOOKUP(A34,'Heavy weapon stocks'!A:OH,COLUMN('Heavy weapon stocks'!$MM$1),0)</f>
        <v>0</v>
      </c>
      <c r="T34" s="801">
        <f>VLOOKUP(A34,'Heavy weapon stocks'!A:OH,COLUMN('Heavy weapon stocks'!$NR$1),0)</f>
        <v>0</v>
      </c>
      <c r="V34" s="801">
        <f>VLOOKUP(A34,'Heavy weapon stocks'!A:OH,COLUMN('Heavy weapon stocks'!$H$1),0)</f>
        <v>0</v>
      </c>
      <c r="W34" s="801">
        <f>VLOOKUP(A34,'Heavy weapon stocks'!A:OH,COLUMN('Heavy weapon stocks'!$DQ$1),0)</f>
        <v>0</v>
      </c>
      <c r="X34" s="801">
        <v>52</v>
      </c>
      <c r="Y34" s="801">
        <f>VLOOKUP(A34,'Heavy weapon stocks'!A:OH,COLUMN('Heavy weapon stocks'!$HC$1),0)+VLOOKUP(A34,'Heavy weapon stocks'!A:OH,COLUMN('Heavy weapon stocks'!$II$1),0)</f>
        <v>18</v>
      </c>
      <c r="Z34" s="801">
        <f>VLOOKUP(A34,'Heavy weapon stocks'!A:OH,COLUMN('Heavy weapon stocks'!$IO$1),0)+VLOOKUP(A34,'Heavy weapon stocks'!A:OH,COLUMN('Heavy weapon stocks'!$IP$1),0)+VLOOKUP(A34,'Heavy weapon stocks'!A:OH,COLUMN('Heavy weapon stocks'!$IU$1),0)</f>
        <v>0</v>
      </c>
      <c r="AA34" s="801">
        <f>VLOOKUP(A34,'Heavy weapon stocks'!A:OH,COLUMN('Heavy weapon stocks'!$MI$1),0)</f>
        <v>0</v>
      </c>
      <c r="AB34" s="801">
        <f>VLOOKUP(A34,'Heavy weapon stocks'!A:OH,COLUMN('Heavy weapon stocks'!$MS$1),0)+VLOOKUP(A34,'Heavy weapon stocks'!A:OH,COLUMN('Heavy weapon stocks'!$MT$1),0)+VLOOKUP(A34,'Heavy weapon stocks'!A:OH,COLUMN('Heavy weapon stocks'!$MU$1),0)+VLOOKUP(A34,'Heavy weapon stocks'!A:OH,COLUMN('Heavy weapon stocks'!$MV$1),0)</f>
        <v>0</v>
      </c>
      <c r="AD34" s="33">
        <f>SUMIFS('Bilateral assistance, MAIN DATA'!$M:$M,'Bilateral assistance, MAIN DATA'!$B:$B,'Share, heavy weapons to Ukraine'!$A34,'Bilateral assistance, MAIN DATA'!$AO:$AO,'Share, heavy weapons to Ukraine'!AD$1)</f>
        <v>28</v>
      </c>
      <c r="AE34" s="33">
        <f>SUMIFS('Bilateral assistance, MAIN DATA'!$M:$M,'Bilateral assistance, MAIN DATA'!$B:$B,'Share, heavy weapons to Ukraine'!$A34,'Bilateral assistance, MAIN DATA'!$AO:$AO,'Share, heavy weapons to Ukraine'!AE$1)</f>
        <v>0</v>
      </c>
      <c r="AF34" s="33">
        <f>SUMIFS('Bilateral assistance, MAIN DATA'!$M:$M,'Bilateral assistance, MAIN DATA'!$B:$B,'Share, heavy weapons to Ukraine'!$A34,'Bilateral assistance, MAIN DATA'!$AO:$AO,'Share, heavy weapons to Ukraine'!AF$1)</f>
        <v>0</v>
      </c>
      <c r="AG34" s="33">
        <f>SUMIFS('Bilateral assistance, MAIN DATA'!$M:$M,'Bilateral assistance, MAIN DATA'!$B:$B,'Share, heavy weapons to Ukraine'!$A34,'Bilateral assistance, MAIN DATA'!$AO:$AO,'Share, heavy weapons to Ukraine'!AG$1)</f>
        <v>0</v>
      </c>
      <c r="AH34" s="33">
        <f>SUMIFS('Bilateral assistance, MAIN DATA'!$M:$M,'Bilateral assistance, MAIN DATA'!$B:$B,'Share, heavy weapons to Ukraine'!$A34,'Bilateral assistance, MAIN DATA'!$AO:$AO,'Share, heavy weapons to Ukraine'!AH$1)</f>
        <v>35</v>
      </c>
      <c r="AI34" s="33">
        <f t="shared" si="1"/>
        <v>35</v>
      </c>
      <c r="AJ34" s="33">
        <f>SUMIFS('Bilateral assistance, MAIN DATA'!$M:$M,'Bilateral assistance, MAIN DATA'!$B:$B,'Share, heavy weapons to Ukraine'!$A34,'Bilateral assistance, MAIN DATA'!$AO:$AO,'Share, heavy weapons to Ukraine'!AJ$1)</f>
        <v>0</v>
      </c>
      <c r="AK34" s="645">
        <f>SUMIFS('Bilateral assistance, MAIN DATA'!$M:$M,'Bilateral assistance, MAIN DATA'!$B:$B,'Share, heavy weapons to Ukraine'!$A34,'Bilateral assistance, MAIN DATA'!$AO:$AO,"122mm MLRS")+SUMIFS('Bilateral assistance, MAIN DATA'!$M:$M,'Bilateral assistance, MAIN DATA'!$B:$B,'Share, heavy weapons to Ukraine'!$A34,'Bilateral assistance, MAIN DATA'!$AO:$AO,"127mm MLRS")+SUMIFS('Bilateral assistance, MAIN DATA'!$M:$M,'Bilateral assistance, MAIN DATA'!$B:$B,'Share, heavy weapons to Ukraine'!$A34,'Bilateral assistance, MAIN DATA'!$AO:$AO,"227mm MLRS")</f>
        <v>0</v>
      </c>
      <c r="AL34" s="33">
        <f>SUMIFS('Bilateral assistance, MAIN DATA'!$M:$M,'Bilateral assistance, MAIN DATA'!$B:$B,'Share, heavy weapons to Ukraine'!$A34,'Bilateral assistance, MAIN DATA'!$AO:$AO,'Share, heavy weapons to Ukraine'!AL$1)</f>
        <v>0</v>
      </c>
      <c r="AM34" s="33">
        <f>SUMIFS('Bilateral assistance, MAIN DATA'!$M:$M,'Bilateral assistance, MAIN DATA'!$B:$B,'Share, heavy weapons to Ukraine'!$A34,'Bilateral assistance, MAIN DATA'!$AO:$AO,'Share, heavy weapons to Ukraine'!AM$1)</f>
        <v>0</v>
      </c>
      <c r="AN34" s="33">
        <f>SUMIFS('Bilateral assistance, MAIN DATA'!$M:$M,'Bilateral assistance, MAIN DATA'!$B:$B,'Share, heavy weapons to Ukraine'!$A34,'Bilateral assistance, MAIN DATA'!$AO:$AO,'Share, heavy weapons to Ukraine'!AN$1)</f>
        <v>0</v>
      </c>
      <c r="AO34" s="33">
        <f>SUMIFS('Bilateral assistance, MAIN DATA'!$M:$M,'Bilateral assistance, MAIN DATA'!$B:$B,'Share, heavy weapons to Ukraine'!$A34,'Bilateral assistance, MAIN DATA'!$AO:$AO,'Share, heavy weapons to Ukraine'!AO$1)</f>
        <v>0</v>
      </c>
      <c r="AP34" s="33">
        <f>SUMIFS('Bilateral assistance, MAIN DATA'!$M:$M,'Bilateral assistance, MAIN DATA'!$B:$B,'Share, heavy weapons to Ukraine'!$A34,'Bilateral assistance, MAIN DATA'!$AO:$AO,'Share, heavy weapons to Ukraine'!AP$1)</f>
        <v>0</v>
      </c>
      <c r="AR34" s="33">
        <f>SUMIFS('Bilateral assistance, MAIN DATA'!$N:$N,'Bilateral assistance, MAIN DATA'!$B:$B,'Share, heavy weapons to Ukraine'!$A34,'Bilateral assistance, MAIN DATA'!$AO:$AO,'Share, heavy weapons to Ukraine'!AR$1)</f>
        <v>0</v>
      </c>
      <c r="AS34" s="33">
        <f>SUMIFS('Bilateral assistance, MAIN DATA'!$N:$N,'Bilateral assistance, MAIN DATA'!$B:$B,'Share, heavy weapons to Ukraine'!$A34,'Bilateral assistance, MAIN DATA'!$AO:$AO,'Share, heavy weapons to Ukraine'!AS$1)</f>
        <v>0</v>
      </c>
      <c r="AT34" s="33">
        <f>SUMIFS('Bilateral assistance, MAIN DATA'!$N:$N,'Bilateral assistance, MAIN DATA'!$B:$B,'Share, heavy weapons to Ukraine'!$A34,'Bilateral assistance, MAIN DATA'!$AO:$AO,'Share, heavy weapons to Ukraine'!AT$1)</f>
        <v>0</v>
      </c>
      <c r="AU34" s="33">
        <f>SUMIFS('Bilateral assistance, MAIN DATA'!$N:$N,'Bilateral assistance, MAIN DATA'!$B:$B,'Share, heavy weapons to Ukraine'!$A34,'Bilateral assistance, MAIN DATA'!$AO:$AO,'Share, heavy weapons to Ukraine'!AU$1)</f>
        <v>0</v>
      </c>
      <c r="AV34" s="33">
        <f>SUMIFS('Bilateral assistance, MAIN DATA'!$N:$N,'Bilateral assistance, MAIN DATA'!$B:$B,'Share, heavy weapons to Ukraine'!$A34,'Bilateral assistance, MAIN DATA'!$AO:$AO,'Share, heavy weapons to Ukraine'!AV$1)</f>
        <v>35</v>
      </c>
      <c r="AW34" s="33">
        <f t="shared" si="2"/>
        <v>35</v>
      </c>
      <c r="AX34" s="33">
        <f>SUMIFS('Bilateral assistance, MAIN DATA'!$N:$N,'Bilateral assistance, MAIN DATA'!$B:$B,'Share, heavy weapons to Ukraine'!$A34,'Bilateral assistance, MAIN DATA'!$AO:$AO,'Share, heavy weapons to Ukraine'!AX$1)</f>
        <v>0</v>
      </c>
      <c r="AY34" s="645">
        <f>SUMIFS('Bilateral assistance, MAIN DATA'!$N:$N,'Bilateral assistance, MAIN DATA'!$B:$B,'Share, heavy weapons to Ukraine'!$A34,'Bilateral assistance, MAIN DATA'!$AO:$AO,"122mm MLRS")+SUMIFS('Bilateral assistance, MAIN DATA'!$N:$N,'Bilateral assistance, MAIN DATA'!$B:$B,'Share, heavy weapons to Ukraine'!$A34,'Bilateral assistance, MAIN DATA'!$AO:$AO,"127mm MLRS")+SUMIFS('Bilateral assistance, MAIN DATA'!$N:$N,'Bilateral assistance, MAIN DATA'!$B:$B,'Share, heavy weapons to Ukraine'!$A34,'Bilateral assistance, MAIN DATA'!$AO:$AO,"227mm MLRS")</f>
        <v>0</v>
      </c>
      <c r="AZ34" s="33">
        <f>SUMIFS('Bilateral assistance, MAIN DATA'!$N:$N,'Bilateral assistance, MAIN DATA'!$B:$B,'Share, heavy weapons to Ukraine'!$A34,'Bilateral assistance, MAIN DATA'!$AO:$AO,'Share, heavy weapons to Ukraine'!AZ$1)</f>
        <v>0</v>
      </c>
      <c r="BA34" s="33">
        <f>SUMIFS('Bilateral assistance, MAIN DATA'!$N:$N,'Bilateral assistance, MAIN DATA'!$B:$B,'Share, heavy weapons to Ukraine'!$A34,'Bilateral assistance, MAIN DATA'!$AO:$AO,'Share, heavy weapons to Ukraine'!BA$1)</f>
        <v>0</v>
      </c>
      <c r="BB34" s="33">
        <f>SUMIFS('Bilateral assistance, MAIN DATA'!$N:$N,'Bilateral assistance, MAIN DATA'!$B:$B,'Share, heavy weapons to Ukraine'!$A34,'Bilateral assistance, MAIN DATA'!$AO:$AO,'Share, heavy weapons to Ukraine'!BB$1)</f>
        <v>0</v>
      </c>
      <c r="BC34" s="33">
        <f>SUMIFS('Bilateral assistance, MAIN DATA'!$N:$N,'Bilateral assistance, MAIN DATA'!$B:$B,'Share, heavy weapons to Ukraine'!$A34,'Bilateral assistance, MAIN DATA'!$AO:$AO,'Share, heavy weapons to Ukraine'!BC$1)</f>
        <v>0</v>
      </c>
      <c r="BD34" s="33">
        <f>SUMIFS('Bilateral assistance, MAIN DATA'!$N:$N,'Bilateral assistance, MAIN DATA'!$B:$B,'Share, heavy weapons to Ukraine'!$A34,'Bilateral assistance, MAIN DATA'!$AO:$AO,'Share, heavy weapons to Ukraine'!BD$1)</f>
        <v>0</v>
      </c>
      <c r="BF34" s="33">
        <f>IF(VLOOKUP($A34,$A:F,COLUMN(F33),FALSE)&lt;&gt;0,VLOOKUP($A34,$A:AD,COLUMN(AD33),FALSE)/VLOOKUP($A34,$A:F,COLUMN(F33),FALSE),IF(VLOOKUP($A34,$A:AD,COLUMN(AD33),FALSE)&lt;&gt;0,"Strange",0))</f>
        <v>0.36842105263157893</v>
      </c>
      <c r="BG34" s="33">
        <f>IF(VLOOKUP($A34,$A:G,COLUMN(G33),FALSE)&lt;&gt;0,VLOOKUP($A34,$A:AE,COLUMN(AE33),FALSE)/VLOOKUP($A34,$A:G,COLUMN(G33),FALSE),IF(VLOOKUP($A34,$A:AE,COLUMN(AE33),FALSE)&lt;&gt;0,"Strange",0))</f>
        <v>0</v>
      </c>
      <c r="BH34" s="33">
        <f>IF(VLOOKUP($A34,$A:H,COLUMN(H33),FALSE)&lt;&gt;0,VLOOKUP($A34,$A:AF,COLUMN(AF33),FALSE)/VLOOKUP($A34,$A:H,COLUMN(H33),FALSE),IF(VLOOKUP($A34,$A:AF,COLUMN(AF33),FALSE)&lt;&gt;0,"Strange",0))</f>
        <v>0</v>
      </c>
      <c r="BI34" s="33">
        <f>IF(VLOOKUP($A34,$A:I,COLUMN(I33),FALSE)&lt;&gt;0,VLOOKUP($A34,$A:AG,COLUMN(AG33),FALSE)/VLOOKUP($A34,$A:I,COLUMN(I33),FALSE),IF(VLOOKUP($A34,$A:AG,COLUMN(AG33),FALSE)&lt;&gt;0,"Strange",0))</f>
        <v>0</v>
      </c>
      <c r="BJ34" s="33">
        <f>IF(VLOOKUP($A34,$A:J,COLUMN(J33),FALSE)&lt;&gt;0,VLOOKUP($A34,$A:AH,COLUMN(AH33),FALSE)/VLOOKUP($A34,$A:J,COLUMN(J33),FALSE),IF(VLOOKUP($A34,$A:AH,COLUMN(AH33),FALSE)&lt;&gt;0,"Strange",0))</f>
        <v>0.67307692307692313</v>
      </c>
      <c r="BK34" s="33">
        <f>IF(VLOOKUP($A34,$A:K,COLUMN(K33),FALSE)&lt;&gt;0,VLOOKUP($A34,$A:AI,COLUMN(AI33),FALSE)/VLOOKUP($A34,$A:K,COLUMN(K33),FALSE),IF(VLOOKUP($A34,$A:AI,COLUMN(AI33),FALSE)&lt;&gt;0,"Strange",0))</f>
        <v>0.18324607329842932</v>
      </c>
      <c r="BL34" s="33">
        <f>IF(VLOOKUP($A34,$A:L,COLUMN(L33),FALSE)&lt;&gt;0,VLOOKUP($A34,$A:AJ,COLUMN(AJ33),FALSE)/VLOOKUP($A34,$A:L,COLUMN(L33),FALSE),IF(VLOOKUP($A34,$A:AJ,COLUMN(AJ33),FALSE)&lt;&gt;0,"Strange",0))</f>
        <v>0</v>
      </c>
      <c r="BM34" s="33">
        <f>IF(VLOOKUP($A34,$A:M,COLUMN(M33),FALSE)&lt;&gt;0,VLOOKUP($A34,$A:AK,COLUMN(AK33),FALSE)/VLOOKUP($A34,$A:M,COLUMN(M33),FALSE),IF(VLOOKUP($A34,$A:AK,COLUMN(AK33),FALSE)&lt;&gt;0,"Strange",0))</f>
        <v>0</v>
      </c>
      <c r="BN34" s="33">
        <f>IF(VLOOKUP($A34,$A:N,COLUMN(N33),FALSE)&lt;&gt;0,VLOOKUP($A34,$A:AL,COLUMN(AL33),FALSE)/VLOOKUP($A34,$A:N,COLUMN(N33),FALSE),IF(VLOOKUP($A34,$A:AL,COLUMN(AL33),FALSE)&lt;&gt;0,"Strange",0))</f>
        <v>0</v>
      </c>
      <c r="BO34" s="33">
        <f>IF(VLOOKUP($A34,$A:Q,COLUMN(Q33),FALSE)&lt;&gt;0,VLOOKUP($A34,$A:AM,COLUMN(AM33),FALSE)/VLOOKUP($A34,$A:Q,COLUMN(Q33),FALSE),IF(VLOOKUP($A34,$A:AM,COLUMN(AM33),FALSE)&lt;&gt;0,"Strange",0))</f>
        <v>0</v>
      </c>
      <c r="BP34" s="33">
        <f>IF(VLOOKUP($A34,$A:R,COLUMN(R33),FALSE)&lt;&gt;0,VLOOKUP($A34,$A:AN,COLUMN(AN33),FALSE)/VLOOKUP($A34,$A:R,COLUMN(R33),FALSE),IF(VLOOKUP($A34,$A:AN,COLUMN(AN33),FALSE)&lt;&gt;0,"Strange",0))</f>
        <v>0</v>
      </c>
      <c r="BQ34" s="33">
        <f>IF(VLOOKUP($A34,$A:S,COLUMN(S33),FALSE)&lt;&gt;0,VLOOKUP($A34,$A:AO,COLUMN(AO33),FALSE)/VLOOKUP($A34,$A:S,COLUMN(S33),FALSE),IF(VLOOKUP($A34,$A:AO,COLUMN(AO33),FALSE)&lt;&gt;0,"Strange",0))</f>
        <v>0</v>
      </c>
      <c r="BR34" s="33">
        <f>IF(VLOOKUP($A34,$A:T,COLUMN(T33),FALSE)&lt;&gt;0,VLOOKUP($A34,$A:AP,COLUMN(AP33),FALSE)/VLOOKUP($A34,$A:T,COLUMN(T33),FALSE),IF(VLOOKUP($A34,$A:AP,COLUMN(AP33),FALSE)&lt;&gt;0,"Strange",0))</f>
        <v>0</v>
      </c>
      <c r="BT34" s="33">
        <f>IF(VLOOKUP($A34,$A:AE,COLUMN(F33),FALSE)&lt;&gt;0,VLOOKUP($A34,$A:AS,COLUMN(AR33),FALSE)/VLOOKUP($A34,$A:AE,COLUMN(F33),FALSE),IF(VLOOKUP($A34,$A:AS,COLUMN(AR33),FALSE)&lt;&gt;0,"Strange",0))</f>
        <v>0</v>
      </c>
      <c r="BU34" s="33">
        <f>IF(VLOOKUP($A34,$A:AF,COLUMN(G33),FALSE)&lt;&gt;0,VLOOKUP($A34,$A:AT,COLUMN(AS33),FALSE)/VLOOKUP($A34,$A:AF,COLUMN(G33),FALSE),IF(VLOOKUP($A34,$A:AT,COLUMN(AS33),FALSE)&lt;&gt;0,"Strange",0))</f>
        <v>0</v>
      </c>
      <c r="BV34" s="33">
        <f>IF(VLOOKUP($A34,$A:AG,COLUMN(H33),FALSE)&lt;&gt;0,VLOOKUP($A34,$A:AU,COLUMN(AT33),FALSE)/VLOOKUP($A34,$A:AG,COLUMN(H33),FALSE),IF(VLOOKUP($A34,$A:AU,COLUMN(AT33),FALSE)&lt;&gt;0,"Strange",0))</f>
        <v>0</v>
      </c>
      <c r="BW34" s="33">
        <f>IF(VLOOKUP($A34,$A:AH,COLUMN(I33),FALSE)&lt;&gt;0,VLOOKUP($A34,$A:AV,COLUMN(AU33),FALSE)/VLOOKUP($A34,$A:AH,COLUMN(I33),FALSE),IF(VLOOKUP($A34,$A:AV,COLUMN(AU33),FALSE)&lt;&gt;0,"Strange",0))</f>
        <v>0</v>
      </c>
      <c r="BX34" s="33">
        <f>IF(VLOOKUP($A34,$A:AJ,COLUMN(J33),FALSE)&lt;&gt;0,VLOOKUP($A34,$A:AX,COLUMN(AV33),FALSE)/VLOOKUP($A34,$A:AJ,COLUMN(J33),FALSE),IF(VLOOKUP($A34,$A:AX,COLUMN(AV33),FALSE)&lt;&gt;0,"Strange",0))</f>
        <v>0.67307692307692313</v>
      </c>
      <c r="BY34" s="33">
        <f>IF(VLOOKUP($A34,$A:AK,COLUMN(K33),FALSE)&lt;&gt;0,VLOOKUP($A34,$A:AY,COLUMN(AW33),FALSE)/VLOOKUP($A34,$A:AK,COLUMN(K33),FALSE),IF(VLOOKUP($A34,$A:AY,COLUMN(AW33),FALSE)&lt;&gt;0,"Strange",0))</f>
        <v>0.18324607329842932</v>
      </c>
      <c r="BZ34" s="33">
        <f>IF(VLOOKUP($A34,$A:AK,COLUMN(L33),FALSE)&lt;&gt;0,VLOOKUP($A34,$A:AY,COLUMN(AX33),FALSE)/VLOOKUP($A34,$A:AK,COLUMN(L33),FALSE),IF(VLOOKUP($A34,$A:AY,COLUMN(AX33),FALSE)&lt;&gt;0,"Strange",0))</f>
        <v>0</v>
      </c>
      <c r="CA34" s="33">
        <f>IF(VLOOKUP($A34,$A:AL,COLUMN(M33),FALSE)&lt;&gt;0,VLOOKUP($A34,$A:AZ,COLUMN(AY33),FALSE)/VLOOKUP($A34,$A:AL,COLUMN(M33),FALSE),IF(VLOOKUP($A34,$A:AZ,COLUMN(AY33),FALSE)&lt;&gt;0,"Strange",0))</f>
        <v>0</v>
      </c>
      <c r="CB34" s="33">
        <f>IF(VLOOKUP($A34,$A:AL,COLUMN(N33),FALSE)&lt;&gt;0,VLOOKUP($A34,$A:AZ,COLUMN(AZ33),FALSE)/VLOOKUP($A34,$A:AL,COLUMN(N33),FALSE),IF(VLOOKUP($A34,$A:AZ,COLUMN(AZ33),FALSE)&lt;&gt;0,"Strange",0))</f>
        <v>0</v>
      </c>
      <c r="CC34" s="33">
        <f>IF(VLOOKUP($A34,$A:AM,COLUMN(Q33),FALSE)&lt;&gt;0,VLOOKUP($A34,$A:BA,COLUMN(BA33),FALSE)/VLOOKUP($A34,$A:AM,COLUMN(Q33),FALSE),IF(VLOOKUP($A34,$A:BA,COLUMN(BA33),FALSE)&lt;&gt;0,"Strange",0))</f>
        <v>0</v>
      </c>
      <c r="CD34" s="33">
        <f>IF(VLOOKUP($A34,$A:AN,COLUMN(R33),FALSE)&lt;&gt;0,VLOOKUP($A34,$A:BB,COLUMN(BB33),FALSE)/VLOOKUP($A34,$A:AN,COLUMN(R33),FALSE),IF(VLOOKUP($A34,$A:BB,COLUMN(BB33),FALSE)&lt;&gt;0,"Strange",0))</f>
        <v>0</v>
      </c>
      <c r="CE34" s="33">
        <f>IF(VLOOKUP($A34,$A:AO,COLUMN(S33),FALSE)&lt;&gt;0,VLOOKUP($A34,$A:BC,COLUMN(BC33),FALSE)/VLOOKUP($A34,$A:AO,COLUMN(S33),FALSE),IF(VLOOKUP($A34,$A:BC,COLUMN(BC33),FALSE)&lt;&gt;0,"Strange",0))</f>
        <v>0</v>
      </c>
      <c r="CF34" s="33">
        <f>IF(VLOOKUP($A34,$A:AP,COLUMN(T33),FALSE)&lt;&gt;0,VLOOKUP($A34,$A:BD,COLUMN(BD33),FALSE)/VLOOKUP($A34,$A:AP,COLUMN(T33),FALSE),IF(VLOOKUP($A34,$A:BD,COLUMN(BD33),FALSE)&lt;&gt;0,"Strange",0))</f>
        <v>0</v>
      </c>
      <c r="CH34" s="33">
        <f>SUMIFS('Bilateral assistance, MAIN DATA'!$M:$M,'Bilateral assistance, MAIN DATA'!$B:$B,'Share, heavy weapons to Ukraine'!$A34,'Bilateral assistance, MAIN DATA'!$AO:$AO,'Share, heavy weapons to Ukraine'!CH$1,'Bilateral assistance, MAIN DATA'!$AQ:$AQ,2)</f>
        <v>28</v>
      </c>
      <c r="CI34" s="33">
        <f>SUMIFS('Bilateral assistance, MAIN DATA'!$M:$M,'Bilateral assistance, MAIN DATA'!$B:$B,'Share, heavy weapons to Ukraine'!$A34,'Bilateral assistance, MAIN DATA'!$AO:$AO,'Share, heavy weapons to Ukraine'!CI$1,'Bilateral assistance, MAIN DATA'!$AQ:$AQ,2)</f>
        <v>0</v>
      </c>
      <c r="CJ34" s="645">
        <f>SUMIFS('Bilateral assistance, MAIN DATA'!$M:$M,'Bilateral assistance, MAIN DATA'!$B:$B,'Share, heavy weapons to Ukraine'!$A34,'Bilateral assistance, MAIN DATA'!$AO:$AO,"122mm MLRS",'Bilateral assistance, MAIN DATA'!$AQ:$AQ,2)+SUMIFS('Bilateral assistance, MAIN DATA'!$M:$M,'Bilateral assistance, MAIN DATA'!$B:$B,'Share, heavy weapons to Ukraine'!$A34,'Bilateral assistance, MAIN DATA'!$AO:$AO,"127mm MLRS",'Bilateral assistance, MAIN DATA'!$AQ:$AQ,2)+SUMIFS('Bilateral assistance, MAIN DATA'!$M:$M,'Bilateral assistance, MAIN DATA'!$B:$B,'Share, heavy weapons to Ukraine'!$A34,'Bilateral assistance, MAIN DATA'!$AO:$AO,"227mm MLRS",'Bilateral assistance, MAIN DATA'!$AQ:$AQ,2)</f>
        <v>0</v>
      </c>
      <c r="CL34" s="33">
        <f>SUMIFS('Bilateral assistance, MAIN DATA'!$M:$M,'Bilateral assistance, MAIN DATA'!$B:$B,'Share, heavy weapons to Ukraine'!$A34,'Bilateral assistance, MAIN DATA'!$AO:$AO,'Share, heavy weapons to Ukraine'!CH$1,'Bilateral assistance, MAIN DATA'!$AQ:$AQ,1)</f>
        <v>0</v>
      </c>
      <c r="CM34" s="33">
        <f>SUMIFS('Bilateral assistance, MAIN DATA'!$M:$M,'Bilateral assistance, MAIN DATA'!$B:$B,'Share, heavy weapons to Ukraine'!$A34,'Bilateral assistance, MAIN DATA'!$AO:$AO,'Share, heavy weapons to Ukraine'!CI$1,'Bilateral assistance, MAIN DATA'!$AQ:$AQ,1)</f>
        <v>0</v>
      </c>
      <c r="CN34" s="645">
        <f>SUMIFS('Bilateral assistance, MAIN DATA'!$M:$M,'Bilateral assistance, MAIN DATA'!$B:$B,'Share, heavy weapons to Ukraine'!$A34,'Bilateral assistance, MAIN DATA'!$AO:$AO,"122mm MLRS",'Bilateral assistance, MAIN DATA'!$AQ:$AQ,1)+SUMIFS('Bilateral assistance, MAIN DATA'!$M:$M,'Bilateral assistance, MAIN DATA'!$B:$B,'Share, heavy weapons to Ukraine'!$A34,'Bilateral assistance, MAIN DATA'!$AO:$AO,"127mm MLRS",'Bilateral assistance, MAIN DATA'!$AQ:$AQ,1)+SUMIFS('Bilateral assistance, MAIN DATA'!$M:$M,'Bilateral assistance, MAIN DATA'!$B:$B,'Share, heavy weapons to Ukraine'!$A34,'Bilateral assistance, MAIN DATA'!$AO:$AO,"227mm MLRS",'Bilateral assistance, MAIN DATA'!$AQ:$AQ,1)</f>
        <v>0</v>
      </c>
      <c r="CP34" s="33">
        <f>SUMIFS('Bilateral assistance, MAIN DATA'!$M:$M,'Bilateral assistance, MAIN DATA'!$B:$B,'Share, heavy weapons to Ukraine'!$A34,'Bilateral assistance, MAIN DATA'!$AO:$AO,'Share, heavy weapons to Ukraine'!CP$1,'Bilateral assistance, MAIN DATA'!$AQ:$AQ,0)</f>
        <v>0</v>
      </c>
      <c r="CQ34" s="33">
        <f>SUMIFS('Bilateral assistance, MAIN DATA'!$M:$M,'Bilateral assistance, MAIN DATA'!$B:$B,'Share, heavy weapons to Ukraine'!$A34,'Bilateral assistance, MAIN DATA'!$AO:$AO,'Share, heavy weapons to Ukraine'!CQ$1,'Bilateral assistance, MAIN DATA'!$AQ:$AQ,0)</f>
        <v>0</v>
      </c>
      <c r="CR34" s="645">
        <f>SUMIFS('Bilateral assistance, MAIN DATA'!$M:$M,'Bilateral assistance, MAIN DATA'!$B:$B,'Share, heavy weapons to Ukraine'!$A34,'Bilateral assistance, MAIN DATA'!$AO:$AO,"122mm MLRS",'Bilateral assistance, MAIN DATA'!$AQ:$AQ,0)+SUMIFS('Bilateral assistance, MAIN DATA'!$M:$M,'Bilateral assistance, MAIN DATA'!$B:$B,'Share, heavy weapons to Ukraine'!$A34,'Bilateral assistance, MAIN DATA'!$AO:$AO,"127mm MLRS",'Bilateral assistance, MAIN DATA'!$AQ:$AQ,0)+SUMIFS('Bilateral assistance, MAIN DATA'!$M:$M,'Bilateral assistance, MAIN DATA'!$B:$B,'Share, heavy weapons to Ukraine'!$A34,'Bilateral assistance, MAIN DATA'!$AO:$AO,"227mm MLRS",'Bilateral assistance, MAIN DATA'!$AQ:$AQ,0)</f>
        <v>0</v>
      </c>
      <c r="CT34" s="33">
        <f>IF(VLOOKUP($A34,$A:CS,COLUMN(F33),FALSE)&lt;&gt;0,VLOOKUP($A34,$A:CS,COLUMN(CH33),FALSE)/VLOOKUP($A34,$A:AU,COLUMN(F33),FALSE),IF(VLOOKUP($A34,$A:CS,COLUMN(CH33),FALSE)&lt;&gt;0,"Strange",0))</f>
        <v>0.36842105263157893</v>
      </c>
      <c r="CU34" s="33">
        <f>IF(VLOOKUP($A34,$A:CS,COLUMN(L33),FALSE)&lt;&gt;0,VLOOKUP($A34,$A:CS,COLUMN(CI33),FALSE)/VLOOKUP($A34,$A:AU,COLUMN(L33),FALSE),IF(VLOOKUP($A34,$A:CS,COLUMN(CI33),FALSE)&lt;&gt;0,"Strange",0))</f>
        <v>0</v>
      </c>
      <c r="CV34" s="33">
        <f>IF(VLOOKUP($A34,$A:CT,COLUMN(M33),FALSE)&lt;&gt;0,VLOOKUP($A34,$A:CT,COLUMN(CJ33),FALSE)/VLOOKUP($A34,$A:AV,COLUMN(M33),FALSE),IF(VLOOKUP($A34,$A:CT,COLUMN(CJ33),FALSE)&lt;&gt;0,"Strange",0))</f>
        <v>0</v>
      </c>
      <c r="CX34" s="33">
        <f>IF(VLOOKUP($A34,$A:CS,COLUMN(F33),FALSE)&lt;&gt;0,VLOOKUP($A34,$A:CS,COLUMN(CL33),FALSE)/VLOOKUP($A34,$A:AU,COLUMN(F33),FALSE),IF(VLOOKUP($A34,$A:CS,COLUMN(CL33),FALSE)&lt;&gt;0,"Strange",0))</f>
        <v>0</v>
      </c>
      <c r="CY34" s="33">
        <f>IF(VLOOKUP($A34,$A:CS,COLUMN(L33),FALSE)&lt;&gt;0,VLOOKUP($A34,$A:CS,COLUMN(CM33),FALSE)/VLOOKUP($A34,$A:AU,COLUMN(L33),FALSE),IF(VLOOKUP($A34,$A:CS,COLUMN(CM33),FALSE)&lt;&gt;0,"Strange",0))</f>
        <v>0</v>
      </c>
      <c r="CZ34" s="33">
        <f>IF(VLOOKUP($A34,$A:CT,COLUMN(M33),FALSE)&lt;&gt;0,VLOOKUP($A34,$A:CT,COLUMN(CN33),FALSE)/VLOOKUP($A34,$A:AV,COLUMN(M33),FALSE),IF(VLOOKUP($A34,$A:CT,COLUMN(CN33),FALSE)&lt;&gt;0,"Strange",0))</f>
        <v>0</v>
      </c>
      <c r="DB34" s="33">
        <f>IF(VLOOKUP($A34,$A:CS,COLUMN(F33),FALSE)&lt;&gt;0,VLOOKUP($A34,$A:CS,COLUMN(CP33),FALSE)/VLOOKUP($A34,$A:AU,COLUMN(F33),FALSE),IF(VLOOKUP($A34,$A:CS,COLUMN(CP33),FALSE)&lt;&gt;0,"Strange",0))</f>
        <v>0</v>
      </c>
      <c r="DC34" s="33">
        <f>IF(VLOOKUP($A34,$A:CS,COLUMN(L33),FALSE)&lt;&gt;0,VLOOKUP($A34,$A:CS,COLUMN(CQ33),FALSE)/VLOOKUP($A34,$A:AU,COLUMN(L33),FALSE),IF(VLOOKUP($A34,$A:CS,COLUMN(CQ33),FALSE)&lt;&gt;0,"Strange",0))</f>
        <v>0</v>
      </c>
      <c r="DD34" s="33">
        <f>IF(VLOOKUP($A34,$A:CT,COLUMN(M33),FALSE)&lt;&gt;0,VLOOKUP($A34,$A:CT,COLUMN(CR33),FALSE)/VLOOKUP($A34,$A:AV,COLUMN(M33),FALSE),IF(VLOOKUP($A34,$A:CT,COLUMN(CR33),FALSE)&lt;&gt;0,"Strange",0))</f>
        <v>0</v>
      </c>
      <c r="DF34" s="33">
        <f>SUMIFS('Bilateral assistance, MAIN DATA'!$M:$M,'Bilateral assistance, MAIN DATA'!$B:$B,'Share, heavy weapons to Ukraine'!$A34,'Bilateral assistance, MAIN DATA'!$AO:$AO,'Share, heavy weapons to Ukraine'!DF$1, 'Bilateral assistance, MAIN DATA'!$AA:$AA,1)</f>
        <v>0</v>
      </c>
      <c r="DG34" s="33">
        <f>SUMIFS('Bilateral assistance, MAIN DATA'!$M:$M,'Bilateral assistance, MAIN DATA'!$B:$B,'Share, heavy weapons to Ukraine'!$A34,'Bilateral assistance, MAIN DATA'!$AO:$AO,'Share, heavy weapons to Ukraine'!DG$1, 'Bilateral assistance, MAIN DATA'!$AA:$AA,1)</f>
        <v>0</v>
      </c>
      <c r="DH34" s="33">
        <f>SUMIFS('Bilateral assistance, MAIN DATA'!$M:$M,'Bilateral assistance, MAIN DATA'!$B:$B,'Share, heavy weapons to Ukraine'!$A34,'Bilateral assistance, MAIN DATA'!$AO:$AO,'Share, heavy weapons to Ukraine'!DH$1, 'Bilateral assistance, MAIN DATA'!$AA:$AA,1)</f>
        <v>0</v>
      </c>
      <c r="DI34" s="33">
        <f>SUMIFS('Bilateral assistance, MAIN DATA'!$M:$M,'Bilateral assistance, MAIN DATA'!$B:$B,'Share, heavy weapons to Ukraine'!$A34,'Bilateral assistance, MAIN DATA'!$AO:$AO,'Share, heavy weapons to Ukraine'!DI$1, 'Bilateral assistance, MAIN DATA'!$AA:$AA,1)</f>
        <v>0</v>
      </c>
      <c r="DK34" s="33">
        <f>SUMIFS('Bilateral assistance, MAIN DATA'!$N:$N,'Bilateral assistance, MAIN DATA'!$B:$B,'Share, heavy weapons to Ukraine'!$A34,'Bilateral assistance, MAIN DATA'!$AO:$AO,'Share, heavy weapons to Ukraine'!DK$1, 'Bilateral assistance, MAIN DATA'!$AA:$AA,1)</f>
        <v>0</v>
      </c>
      <c r="DL34" s="33">
        <f>SUMIFS('Bilateral assistance, MAIN DATA'!$N:$N,'Bilateral assistance, MAIN DATA'!$B:$B,'Share, heavy weapons to Ukraine'!$A34,'Bilateral assistance, MAIN DATA'!$AO:$AO,'Share, heavy weapons to Ukraine'!DL$1, 'Bilateral assistance, MAIN DATA'!$AA:$AA,1)</f>
        <v>0</v>
      </c>
      <c r="DM34" s="33">
        <f>SUMIFS('Bilateral assistance, MAIN DATA'!$N:$N,'Bilateral assistance, MAIN DATA'!$B:$B,'Share, heavy weapons to Ukraine'!$A34,'Bilateral assistance, MAIN DATA'!$AO:$AO,'Share, heavy weapons to Ukraine'!DM$1, 'Bilateral assistance, MAIN DATA'!$AA:$AA,1)</f>
        <v>0</v>
      </c>
      <c r="DN34" s="33">
        <f>SUMIFS('Bilateral assistance, MAIN DATA'!$N:$N,'Bilateral assistance, MAIN DATA'!$B:$B,'Share, heavy weapons to Ukraine'!$A34,'Bilateral assistance, MAIN DATA'!$AO:$AO,'Share, heavy weapons to Ukraine'!DN$1, 'Bilateral assistance, MAIN DATA'!$AA:$AA,1)</f>
        <v>0</v>
      </c>
    </row>
    <row r="35" spans="1:118">
      <c r="A35" s="801" t="s">
        <v>618</v>
      </c>
      <c r="B35" s="801">
        <v>0</v>
      </c>
      <c r="C35" s="33">
        <v>1</v>
      </c>
      <c r="E35" s="802">
        <v>0.52300000000000002</v>
      </c>
      <c r="F35" s="801">
        <f>VLOOKUP(A35,'Heavy weapon stocks'!A:OH,COLUMN('Heavy weapon stocks'!$G$1),0)</f>
        <v>134</v>
      </c>
      <c r="G35" s="801">
        <f>VLOOKUP(A35,'Heavy weapon stocks'!A:OH,COLUMN('Heavy weapon stocks'!$AW$1),0)</f>
        <v>295</v>
      </c>
      <c r="H35" s="801">
        <f>VLOOKUP(A35,'Heavy weapon stocks'!A:OH,COLUMN('Heavy weapon stocks'!$DQ$1),0)</f>
        <v>0</v>
      </c>
      <c r="I35" s="801">
        <f>VLOOKUP(A35,'Heavy weapon stocks'!A:OH,COLUMN('Heavy weapon stocks'!$EE$1),0)</f>
        <v>8</v>
      </c>
      <c r="J35" s="801">
        <f>VLOOKUP(A35,'Heavy weapon stocks'!A:OH,COLUMN('Heavy weapon stocks'!$FG$1),0)</f>
        <v>43</v>
      </c>
      <c r="K35" s="801">
        <f t="shared" si="3"/>
        <v>346</v>
      </c>
      <c r="L35" s="801">
        <f>VLOOKUP(A35,'Heavy weapon stocks'!A:OH,COLUMN('Heavy weapon stocks'!$HC$1),0)+VLOOKUP(A35,'Heavy weapon stocks'!A:OH,COLUMN('Heavy weapon stocks'!$II$1),0)</f>
        <v>60</v>
      </c>
      <c r="M35" s="801">
        <f>VLOOKUP(A35,'Heavy weapon stocks'!A:OH,COLUMN('Heavy weapon stocks'!$IN$1),0)</f>
        <v>22</v>
      </c>
      <c r="N35" s="801">
        <f>VLOOKUP(A35,'Heavy weapon stocks'!A:OH,COLUMN('Heavy weapon stocks'!$JH$1),0)+VLOOKUP(A35,'Heavy weapon stocks'!A:OH,COLUMN('Heavy weapon stocks'!$KE$1),0)</f>
        <v>0</v>
      </c>
      <c r="O35" s="801">
        <f>VLOOKUP(A35,'Heavy weapon stocks'!A:OH,COLUMN('Heavy weapon stocks'!$LU$1),0)</f>
        <v>0</v>
      </c>
      <c r="Q35" s="801">
        <f>VLOOKUP(A35,'Heavy weapon stocks'!A:OH,COLUMN('Heavy weapon stocks'!$LV$1),0)</f>
        <v>0</v>
      </c>
      <c r="R35" s="801">
        <f>VLOOKUP(A35,'Heavy weapon stocks'!A:OH,COLUMN('Heavy weapon stocks'!$MF$1),0)</f>
        <v>4</v>
      </c>
      <c r="S35" s="801">
        <f>VLOOKUP(A35,'Heavy weapon stocks'!A:OH,COLUMN('Heavy weapon stocks'!$MM$1),0)</f>
        <v>18</v>
      </c>
      <c r="T35" s="801">
        <f>VLOOKUP(A35,'Heavy weapon stocks'!A:OH,COLUMN('Heavy weapon stocks'!$NR$1),0)</f>
        <v>0</v>
      </c>
      <c r="V35" s="801">
        <f>VLOOKUP(A35,'Heavy weapon stocks'!A:OH,COLUMN('Heavy weapon stocks'!$H$1),0)</f>
        <v>0</v>
      </c>
      <c r="W35" s="801">
        <f>VLOOKUP(A35,'Heavy weapon stocks'!A:OH,COLUMN('Heavy weapon stocks'!$DQ$1),0)</f>
        <v>0</v>
      </c>
      <c r="X35" s="801">
        <f>VLOOKUP(A35,'Heavy weapon stocks'!A:OH,COLUMN('Heavy weapon stocks'!$FG$1),0)</f>
        <v>43</v>
      </c>
      <c r="Y35" s="801">
        <f>VLOOKUP(A35,'Heavy weapon stocks'!A:OH,COLUMN('Heavy weapon stocks'!$HC$1),0)+VLOOKUP(A35,'Heavy weapon stocks'!A:OH,COLUMN('Heavy weapon stocks'!$II$1),0)</f>
        <v>60</v>
      </c>
      <c r="Z35" s="801">
        <f>VLOOKUP(A35,'Heavy weapon stocks'!A:OH,COLUMN('Heavy weapon stocks'!$IO$1),0)+VLOOKUP(A35,'Heavy weapon stocks'!A:OH,COLUMN('Heavy weapon stocks'!$IP$1),0)+VLOOKUP(A35,'Heavy weapon stocks'!A:OH,COLUMN('Heavy weapon stocks'!$IU$1),0)</f>
        <v>0</v>
      </c>
      <c r="AA35" s="801">
        <f>VLOOKUP(A35,'Heavy weapon stocks'!A:OH,COLUMN('Heavy weapon stocks'!$MI$1),0)</f>
        <v>0</v>
      </c>
      <c r="AB35" s="801">
        <f>VLOOKUP(A35,'Heavy weapon stocks'!A:OH,COLUMN('Heavy weapon stocks'!$MS$1),0)+VLOOKUP(A35,'Heavy weapon stocks'!A:OH,COLUMN('Heavy weapon stocks'!$MT$1),0)+VLOOKUP(A35,'Heavy weapon stocks'!A:OH,COLUMN('Heavy weapon stocks'!$MU$1),0)+VLOOKUP(A35,'Heavy weapon stocks'!A:OH,COLUMN('Heavy weapon stocks'!$MV$1),0)</f>
        <v>0</v>
      </c>
      <c r="AD35" s="33">
        <f>SUMIFS('Bilateral assistance, MAIN DATA'!$M:$M,'Bilateral assistance, MAIN DATA'!$B:$B,'Share, heavy weapons to Ukraine'!$A35,'Bilateral assistance, MAIN DATA'!$AO:$AO,'Share, heavy weapons to Ukraine'!AD$1)</f>
        <v>0</v>
      </c>
      <c r="AE35" s="33">
        <f>SUMIFS('Bilateral assistance, MAIN DATA'!$M:$M,'Bilateral assistance, MAIN DATA'!$B:$B,'Share, heavy weapons to Ukraine'!$A35,'Bilateral assistance, MAIN DATA'!$AO:$AO,'Share, heavy weapons to Ukraine'!AE$1)</f>
        <v>0</v>
      </c>
      <c r="AF35" s="33">
        <f>SUMIFS('Bilateral assistance, MAIN DATA'!$M:$M,'Bilateral assistance, MAIN DATA'!$B:$B,'Share, heavy weapons to Ukraine'!$A35,'Bilateral assistance, MAIN DATA'!$AO:$AO,'Share, heavy weapons to Ukraine'!AF$1)</f>
        <v>0</v>
      </c>
      <c r="AG35" s="33">
        <f>SUMIFS('Bilateral assistance, MAIN DATA'!$M:$M,'Bilateral assistance, MAIN DATA'!$B:$B,'Share, heavy weapons to Ukraine'!$A35,'Bilateral assistance, MAIN DATA'!$AO:$AO,'Share, heavy weapons to Ukraine'!AG$1)</f>
        <v>0</v>
      </c>
      <c r="AH35" s="33">
        <f>SUMIFS('Bilateral assistance, MAIN DATA'!$M:$M,'Bilateral assistance, MAIN DATA'!$B:$B,'Share, heavy weapons to Ukraine'!$A35,'Bilateral assistance, MAIN DATA'!$AO:$AO,'Share, heavy weapons to Ukraine'!AH$1)</f>
        <v>0</v>
      </c>
      <c r="AI35" s="33">
        <f t="shared" si="1"/>
        <v>0</v>
      </c>
      <c r="AJ35" s="33">
        <f>SUMIFS('Bilateral assistance, MAIN DATA'!$M:$M,'Bilateral assistance, MAIN DATA'!$B:$B,'Share, heavy weapons to Ukraine'!$A35,'Bilateral assistance, MAIN DATA'!$AO:$AO,'Share, heavy weapons to Ukraine'!AJ$1)</f>
        <v>0</v>
      </c>
      <c r="AK35" s="645">
        <f>SUMIFS('Bilateral assistance, MAIN DATA'!$M:$M,'Bilateral assistance, MAIN DATA'!$B:$B,'Share, heavy weapons to Ukraine'!$A35,'Bilateral assistance, MAIN DATA'!$AO:$AO,"122mm MLRS")+SUMIFS('Bilateral assistance, MAIN DATA'!$M:$M,'Bilateral assistance, MAIN DATA'!$B:$B,'Share, heavy weapons to Ukraine'!$A35,'Bilateral assistance, MAIN DATA'!$AO:$AO,"127mm MLRS")+SUMIFS('Bilateral assistance, MAIN DATA'!$M:$M,'Bilateral assistance, MAIN DATA'!$B:$B,'Share, heavy weapons to Ukraine'!$A35,'Bilateral assistance, MAIN DATA'!$AO:$AO,"227mm MLRS")</f>
        <v>0</v>
      </c>
      <c r="AL35" s="33">
        <f>SUMIFS('Bilateral assistance, MAIN DATA'!$M:$M,'Bilateral assistance, MAIN DATA'!$B:$B,'Share, heavy weapons to Ukraine'!$A35,'Bilateral assistance, MAIN DATA'!$AO:$AO,'Share, heavy weapons to Ukraine'!AL$1)</f>
        <v>0</v>
      </c>
      <c r="AM35" s="33">
        <f>SUMIFS('Bilateral assistance, MAIN DATA'!$M:$M,'Bilateral assistance, MAIN DATA'!$B:$B,'Share, heavy weapons to Ukraine'!$A35,'Bilateral assistance, MAIN DATA'!$AO:$AO,'Share, heavy weapons to Ukraine'!AM$1)</f>
        <v>0</v>
      </c>
      <c r="AN35" s="33">
        <f>SUMIFS('Bilateral assistance, MAIN DATA'!$M:$M,'Bilateral assistance, MAIN DATA'!$B:$B,'Share, heavy weapons to Ukraine'!$A35,'Bilateral assistance, MAIN DATA'!$AO:$AO,'Share, heavy weapons to Ukraine'!AN$1)</f>
        <v>0</v>
      </c>
      <c r="AO35" s="33">
        <f>SUMIFS('Bilateral assistance, MAIN DATA'!$M:$M,'Bilateral assistance, MAIN DATA'!$B:$B,'Share, heavy weapons to Ukraine'!$A35,'Bilateral assistance, MAIN DATA'!$AO:$AO,'Share, heavy weapons to Ukraine'!AO$1)</f>
        <v>0</v>
      </c>
      <c r="AP35" s="33">
        <f>SUMIFS('Bilateral assistance, MAIN DATA'!$M:$M,'Bilateral assistance, MAIN DATA'!$B:$B,'Share, heavy weapons to Ukraine'!$A35,'Bilateral assistance, MAIN DATA'!$AO:$AO,'Share, heavy weapons to Ukraine'!AP$1)</f>
        <v>0</v>
      </c>
      <c r="AR35" s="33">
        <f>SUMIFS('Bilateral assistance, MAIN DATA'!$N:$N,'Bilateral assistance, MAIN DATA'!$B:$B,'Share, heavy weapons to Ukraine'!$A35,'Bilateral assistance, MAIN DATA'!$AO:$AO,'Share, heavy weapons to Ukraine'!AR$1)</f>
        <v>0</v>
      </c>
      <c r="AS35" s="33">
        <f>SUMIFS('Bilateral assistance, MAIN DATA'!$N:$N,'Bilateral assistance, MAIN DATA'!$B:$B,'Share, heavy weapons to Ukraine'!$A35,'Bilateral assistance, MAIN DATA'!$AO:$AO,'Share, heavy weapons to Ukraine'!AS$1)</f>
        <v>0</v>
      </c>
      <c r="AT35" s="33">
        <f>SUMIFS('Bilateral assistance, MAIN DATA'!$N:$N,'Bilateral assistance, MAIN DATA'!$B:$B,'Share, heavy weapons to Ukraine'!$A35,'Bilateral assistance, MAIN DATA'!$AO:$AO,'Share, heavy weapons to Ukraine'!AT$1)</f>
        <v>0</v>
      </c>
      <c r="AU35" s="33">
        <f>SUMIFS('Bilateral assistance, MAIN DATA'!$N:$N,'Bilateral assistance, MAIN DATA'!$B:$B,'Share, heavy weapons to Ukraine'!$A35,'Bilateral assistance, MAIN DATA'!$AO:$AO,'Share, heavy weapons to Ukraine'!AU$1)</f>
        <v>0</v>
      </c>
      <c r="AV35" s="33">
        <f>SUMIFS('Bilateral assistance, MAIN DATA'!$N:$N,'Bilateral assistance, MAIN DATA'!$B:$B,'Share, heavy weapons to Ukraine'!$A35,'Bilateral assistance, MAIN DATA'!$AO:$AO,'Share, heavy weapons to Ukraine'!AV$1)</f>
        <v>0</v>
      </c>
      <c r="AW35" s="33">
        <f t="shared" si="2"/>
        <v>0</v>
      </c>
      <c r="AX35" s="33">
        <f>SUMIFS('Bilateral assistance, MAIN DATA'!$N:$N,'Bilateral assistance, MAIN DATA'!$B:$B,'Share, heavy weapons to Ukraine'!$A35,'Bilateral assistance, MAIN DATA'!$AO:$AO,'Share, heavy weapons to Ukraine'!AX$1)</f>
        <v>0</v>
      </c>
      <c r="AY35" s="645">
        <f>SUMIFS('Bilateral assistance, MAIN DATA'!$N:$N,'Bilateral assistance, MAIN DATA'!$B:$B,'Share, heavy weapons to Ukraine'!$A35,'Bilateral assistance, MAIN DATA'!$AO:$AO,"122mm MLRS")+SUMIFS('Bilateral assistance, MAIN DATA'!$N:$N,'Bilateral assistance, MAIN DATA'!$B:$B,'Share, heavy weapons to Ukraine'!$A35,'Bilateral assistance, MAIN DATA'!$AO:$AO,"127mm MLRS")+SUMIFS('Bilateral assistance, MAIN DATA'!$N:$N,'Bilateral assistance, MAIN DATA'!$B:$B,'Share, heavy weapons to Ukraine'!$A35,'Bilateral assistance, MAIN DATA'!$AO:$AO,"227mm MLRS")</f>
        <v>0</v>
      </c>
      <c r="AZ35" s="33">
        <f>SUMIFS('Bilateral assistance, MAIN DATA'!$N:$N,'Bilateral assistance, MAIN DATA'!$B:$B,'Share, heavy weapons to Ukraine'!$A35,'Bilateral assistance, MAIN DATA'!$AO:$AO,'Share, heavy weapons to Ukraine'!AZ$1)</f>
        <v>0</v>
      </c>
      <c r="BA35" s="33">
        <f>SUMIFS('Bilateral assistance, MAIN DATA'!$N:$N,'Bilateral assistance, MAIN DATA'!$B:$B,'Share, heavy weapons to Ukraine'!$A35,'Bilateral assistance, MAIN DATA'!$AO:$AO,'Share, heavy weapons to Ukraine'!BA$1)</f>
        <v>0</v>
      </c>
      <c r="BB35" s="33">
        <f>SUMIFS('Bilateral assistance, MAIN DATA'!$N:$N,'Bilateral assistance, MAIN DATA'!$B:$B,'Share, heavy weapons to Ukraine'!$A35,'Bilateral assistance, MAIN DATA'!$AO:$AO,'Share, heavy weapons to Ukraine'!BB$1)</f>
        <v>0</v>
      </c>
      <c r="BC35" s="33">
        <f>SUMIFS('Bilateral assistance, MAIN DATA'!$N:$N,'Bilateral assistance, MAIN DATA'!$B:$B,'Share, heavy weapons to Ukraine'!$A35,'Bilateral assistance, MAIN DATA'!$AO:$AO,'Share, heavy weapons to Ukraine'!BC$1)</f>
        <v>0</v>
      </c>
      <c r="BD35" s="33">
        <f>SUMIFS('Bilateral assistance, MAIN DATA'!$N:$N,'Bilateral assistance, MAIN DATA'!$B:$B,'Share, heavy weapons to Ukraine'!$A35,'Bilateral assistance, MAIN DATA'!$AO:$AO,'Share, heavy weapons to Ukraine'!BD$1)</f>
        <v>0</v>
      </c>
      <c r="BF35" s="33">
        <f>IF(VLOOKUP($A35,$A:F,COLUMN(F34),FALSE)&lt;&gt;0,VLOOKUP($A35,$A:AD,COLUMN(AD34),FALSE)/VLOOKUP($A35,$A:F,COLUMN(F34),FALSE),IF(VLOOKUP($A35,$A:AD,COLUMN(AD34),FALSE)&lt;&gt;0,"Strange",0))</f>
        <v>0</v>
      </c>
      <c r="BG35" s="33">
        <f>IF(VLOOKUP($A35,$A:G,COLUMN(G34),FALSE)&lt;&gt;0,VLOOKUP($A35,$A:AE,COLUMN(AE34),FALSE)/VLOOKUP($A35,$A:G,COLUMN(G34),FALSE),IF(VLOOKUP($A35,$A:AE,COLUMN(AE34),FALSE)&lt;&gt;0,"Strange",0))</f>
        <v>0</v>
      </c>
      <c r="BH35" s="33">
        <f>IF(VLOOKUP($A35,$A:H,COLUMN(H34),FALSE)&lt;&gt;0,VLOOKUP($A35,$A:AF,COLUMN(AF34),FALSE)/VLOOKUP($A35,$A:H,COLUMN(H34),FALSE),IF(VLOOKUP($A35,$A:AF,COLUMN(AF34),FALSE)&lt;&gt;0,"Strange",0))</f>
        <v>0</v>
      </c>
      <c r="BI35" s="33">
        <f>IF(VLOOKUP($A35,$A:I,COLUMN(I34),FALSE)&lt;&gt;0,VLOOKUP($A35,$A:AG,COLUMN(AG34),FALSE)/VLOOKUP($A35,$A:I,COLUMN(I34),FALSE),IF(VLOOKUP($A35,$A:AG,COLUMN(AG34),FALSE)&lt;&gt;0,"Strange",0))</f>
        <v>0</v>
      </c>
      <c r="BJ35" s="33">
        <f>IF(VLOOKUP($A35,$A:J,COLUMN(J34),FALSE)&lt;&gt;0,VLOOKUP($A35,$A:AH,COLUMN(AH34),FALSE)/VLOOKUP($A35,$A:J,COLUMN(J34),FALSE),IF(VLOOKUP($A35,$A:AH,COLUMN(AH34),FALSE)&lt;&gt;0,"Strange",0))</f>
        <v>0</v>
      </c>
      <c r="BK35" s="33">
        <f>IF(VLOOKUP($A35,$A:K,COLUMN(K34),FALSE)&lt;&gt;0,VLOOKUP($A35,$A:AI,COLUMN(AI34),FALSE)/VLOOKUP($A35,$A:K,COLUMN(K34),FALSE),IF(VLOOKUP($A35,$A:AI,COLUMN(AI34),FALSE)&lt;&gt;0,"Strange",0))</f>
        <v>0</v>
      </c>
      <c r="BL35" s="33">
        <f>IF(VLOOKUP($A35,$A:L,COLUMN(L34),FALSE)&lt;&gt;0,VLOOKUP($A35,$A:AJ,COLUMN(AJ34),FALSE)/VLOOKUP($A35,$A:L,COLUMN(L34),FALSE),IF(VLOOKUP($A35,$A:AJ,COLUMN(AJ34),FALSE)&lt;&gt;0,"Strange",0))</f>
        <v>0</v>
      </c>
      <c r="BM35" s="33">
        <f>IF(VLOOKUP($A35,$A:M,COLUMN(M34),FALSE)&lt;&gt;0,VLOOKUP($A35,$A:AK,COLUMN(AK34),FALSE)/VLOOKUP($A35,$A:M,COLUMN(M34),FALSE),IF(VLOOKUP($A35,$A:AK,COLUMN(AK34),FALSE)&lt;&gt;0,"Strange",0))</f>
        <v>0</v>
      </c>
      <c r="BN35" s="33">
        <f>IF(VLOOKUP($A35,$A:N,COLUMN(N34),FALSE)&lt;&gt;0,VLOOKUP($A35,$A:AL,COLUMN(AL34),FALSE)/VLOOKUP($A35,$A:N,COLUMN(N34),FALSE),IF(VLOOKUP($A35,$A:AL,COLUMN(AL34),FALSE)&lt;&gt;0,"Strange",0))</f>
        <v>0</v>
      </c>
      <c r="BO35" s="33">
        <f>IF(VLOOKUP($A35,$A:Q,COLUMN(Q34),FALSE)&lt;&gt;0,VLOOKUP($A35,$A:AM,COLUMN(AM34),FALSE)/VLOOKUP($A35,$A:Q,COLUMN(Q34),FALSE),IF(VLOOKUP($A35,$A:AM,COLUMN(AM34),FALSE)&lt;&gt;0,"Strange",0))</f>
        <v>0</v>
      </c>
      <c r="BP35" s="33">
        <f>IF(VLOOKUP($A35,$A:R,COLUMN(R34),FALSE)&lt;&gt;0,VLOOKUP($A35,$A:AN,COLUMN(AN34),FALSE)/VLOOKUP($A35,$A:R,COLUMN(R34),FALSE),IF(VLOOKUP($A35,$A:AN,COLUMN(AN34),FALSE)&lt;&gt;0,"Strange",0))</f>
        <v>0</v>
      </c>
      <c r="BQ35" s="33">
        <f>IF(VLOOKUP($A35,$A:S,COLUMN(S34),FALSE)&lt;&gt;0,VLOOKUP($A35,$A:AO,COLUMN(AO34),FALSE)/VLOOKUP($A35,$A:S,COLUMN(S34),FALSE),IF(VLOOKUP($A35,$A:AO,COLUMN(AO34),FALSE)&lt;&gt;0,"Strange",0))</f>
        <v>0</v>
      </c>
      <c r="BR35" s="33">
        <f>IF(VLOOKUP($A35,$A:T,COLUMN(T34),FALSE)&lt;&gt;0,VLOOKUP($A35,$A:AP,COLUMN(AP34),FALSE)/VLOOKUP($A35,$A:T,COLUMN(T34),FALSE),IF(VLOOKUP($A35,$A:AP,COLUMN(AP34),FALSE)&lt;&gt;0,"Strange",0))</f>
        <v>0</v>
      </c>
      <c r="BT35" s="33">
        <f>IF(VLOOKUP($A35,$A:AE,COLUMN(F34),FALSE)&lt;&gt;0,VLOOKUP($A35,$A:AS,COLUMN(AR34),FALSE)/VLOOKUP($A35,$A:AE,COLUMN(F34),FALSE),IF(VLOOKUP($A35,$A:AS,COLUMN(AR34),FALSE)&lt;&gt;0,"Strange",0))</f>
        <v>0</v>
      </c>
      <c r="BU35" s="33">
        <f>IF(VLOOKUP($A35,$A:AF,COLUMN(G34),FALSE)&lt;&gt;0,VLOOKUP($A35,$A:AT,COLUMN(AS34),FALSE)/VLOOKUP($A35,$A:AF,COLUMN(G34),FALSE),IF(VLOOKUP($A35,$A:AT,COLUMN(AS34),FALSE)&lt;&gt;0,"Strange",0))</f>
        <v>0</v>
      </c>
      <c r="BV35" s="33">
        <f>IF(VLOOKUP($A35,$A:AG,COLUMN(H34),FALSE)&lt;&gt;0,VLOOKUP($A35,$A:AU,COLUMN(AT34),FALSE)/VLOOKUP($A35,$A:AG,COLUMN(H34),FALSE),IF(VLOOKUP($A35,$A:AU,COLUMN(AT34),FALSE)&lt;&gt;0,"Strange",0))</f>
        <v>0</v>
      </c>
      <c r="BW35" s="33">
        <f>IF(VLOOKUP($A35,$A:AH,COLUMN(I34),FALSE)&lt;&gt;0,VLOOKUP($A35,$A:AV,COLUMN(AU34),FALSE)/VLOOKUP($A35,$A:AH,COLUMN(I34),FALSE),IF(VLOOKUP($A35,$A:AV,COLUMN(AU34),FALSE)&lt;&gt;0,"Strange",0))</f>
        <v>0</v>
      </c>
      <c r="BX35" s="33">
        <f>IF(VLOOKUP($A35,$A:AJ,COLUMN(J34),FALSE)&lt;&gt;0,VLOOKUP($A35,$A:AX,COLUMN(AV34),FALSE)/VLOOKUP($A35,$A:AJ,COLUMN(J34),FALSE),IF(VLOOKUP($A35,$A:AX,COLUMN(AV34),FALSE)&lt;&gt;0,"Strange",0))</f>
        <v>0</v>
      </c>
      <c r="BY35" s="33">
        <f>IF(VLOOKUP($A35,$A:AK,COLUMN(K34),FALSE)&lt;&gt;0,VLOOKUP($A35,$A:AY,COLUMN(AW34),FALSE)/VLOOKUP($A35,$A:AK,COLUMN(K34),FALSE),IF(VLOOKUP($A35,$A:AY,COLUMN(AW34),FALSE)&lt;&gt;0,"Strange",0))</f>
        <v>0</v>
      </c>
      <c r="BZ35" s="33">
        <f>IF(VLOOKUP($A35,$A:AK,COLUMN(L34),FALSE)&lt;&gt;0,VLOOKUP($A35,$A:AY,COLUMN(AX34),FALSE)/VLOOKUP($A35,$A:AK,COLUMN(L34),FALSE),IF(VLOOKUP($A35,$A:AY,COLUMN(AX34),FALSE)&lt;&gt;0,"Strange",0))</f>
        <v>0</v>
      </c>
      <c r="CA35" s="33">
        <f>IF(VLOOKUP($A35,$A:AL,COLUMN(M34),FALSE)&lt;&gt;0,VLOOKUP($A35,$A:AZ,COLUMN(AY34),FALSE)/VLOOKUP($A35,$A:AL,COLUMN(M34),FALSE),IF(VLOOKUP($A35,$A:AZ,COLUMN(AY34),FALSE)&lt;&gt;0,"Strange",0))</f>
        <v>0</v>
      </c>
      <c r="CB35" s="33">
        <f>IF(VLOOKUP($A35,$A:AL,COLUMN(N34),FALSE)&lt;&gt;0,VLOOKUP($A35,$A:AZ,COLUMN(AZ34),FALSE)/VLOOKUP($A35,$A:AL,COLUMN(N34),FALSE),IF(VLOOKUP($A35,$A:AZ,COLUMN(AZ34),FALSE)&lt;&gt;0,"Strange",0))</f>
        <v>0</v>
      </c>
      <c r="CC35" s="33">
        <f>IF(VLOOKUP($A35,$A:AM,COLUMN(Q34),FALSE)&lt;&gt;0,VLOOKUP($A35,$A:BA,COLUMN(BA34),FALSE)/VLOOKUP($A35,$A:AM,COLUMN(Q34),FALSE),IF(VLOOKUP($A35,$A:BA,COLUMN(BA34),FALSE)&lt;&gt;0,"Strange",0))</f>
        <v>0</v>
      </c>
      <c r="CD35" s="33">
        <f>IF(VLOOKUP($A35,$A:AN,COLUMN(R34),FALSE)&lt;&gt;0,VLOOKUP($A35,$A:BB,COLUMN(BB34),FALSE)/VLOOKUP($A35,$A:AN,COLUMN(R34),FALSE),IF(VLOOKUP($A35,$A:BB,COLUMN(BB34),FALSE)&lt;&gt;0,"Strange",0))</f>
        <v>0</v>
      </c>
      <c r="CE35" s="33">
        <f>IF(VLOOKUP($A35,$A:AO,COLUMN(S34),FALSE)&lt;&gt;0,VLOOKUP($A35,$A:BC,COLUMN(BC34),FALSE)/VLOOKUP($A35,$A:AO,COLUMN(S34),FALSE),IF(VLOOKUP($A35,$A:BC,COLUMN(BC34),FALSE)&lt;&gt;0,"Strange",0))</f>
        <v>0</v>
      </c>
      <c r="CF35" s="33">
        <f>IF(VLOOKUP($A35,$A:AP,COLUMN(T34),FALSE)&lt;&gt;0,VLOOKUP($A35,$A:BD,COLUMN(BD34),FALSE)/VLOOKUP($A35,$A:AP,COLUMN(T34),FALSE),IF(VLOOKUP($A35,$A:BD,COLUMN(BD34),FALSE)&lt;&gt;0,"Strange",0))</f>
        <v>0</v>
      </c>
      <c r="CH35" s="33">
        <f>SUMIFS('Bilateral assistance, MAIN DATA'!$M:$M,'Bilateral assistance, MAIN DATA'!$B:$B,'Share, heavy weapons to Ukraine'!$A35,'Bilateral assistance, MAIN DATA'!$AO:$AO,'Share, heavy weapons to Ukraine'!CH$1,'Bilateral assistance, MAIN DATA'!$AQ:$AQ,2)</f>
        <v>0</v>
      </c>
      <c r="CI35" s="33">
        <f>SUMIFS('Bilateral assistance, MAIN DATA'!$M:$M,'Bilateral assistance, MAIN DATA'!$B:$B,'Share, heavy weapons to Ukraine'!$A35,'Bilateral assistance, MAIN DATA'!$AO:$AO,'Share, heavy weapons to Ukraine'!CI$1,'Bilateral assistance, MAIN DATA'!$AQ:$AQ,2)</f>
        <v>0</v>
      </c>
      <c r="CJ35" s="645">
        <f>SUMIFS('Bilateral assistance, MAIN DATA'!$M:$M,'Bilateral assistance, MAIN DATA'!$B:$B,'Share, heavy weapons to Ukraine'!$A35,'Bilateral assistance, MAIN DATA'!$AO:$AO,"122mm MLRS",'Bilateral assistance, MAIN DATA'!$AQ:$AQ,2)+SUMIFS('Bilateral assistance, MAIN DATA'!$M:$M,'Bilateral assistance, MAIN DATA'!$B:$B,'Share, heavy weapons to Ukraine'!$A35,'Bilateral assistance, MAIN DATA'!$AO:$AO,"127mm MLRS",'Bilateral assistance, MAIN DATA'!$AQ:$AQ,2)+SUMIFS('Bilateral assistance, MAIN DATA'!$M:$M,'Bilateral assistance, MAIN DATA'!$B:$B,'Share, heavy weapons to Ukraine'!$A35,'Bilateral assistance, MAIN DATA'!$AO:$AO,"227mm MLRS",'Bilateral assistance, MAIN DATA'!$AQ:$AQ,2)</f>
        <v>0</v>
      </c>
      <c r="CL35" s="33">
        <f>SUMIFS('Bilateral assistance, MAIN DATA'!$M:$M,'Bilateral assistance, MAIN DATA'!$B:$B,'Share, heavy weapons to Ukraine'!$A35,'Bilateral assistance, MAIN DATA'!$AO:$AO,'Share, heavy weapons to Ukraine'!CH$1,'Bilateral assistance, MAIN DATA'!$AQ:$AQ,1)</f>
        <v>0</v>
      </c>
      <c r="CM35" s="33">
        <f>SUMIFS('Bilateral assistance, MAIN DATA'!$M:$M,'Bilateral assistance, MAIN DATA'!$B:$B,'Share, heavy weapons to Ukraine'!$A35,'Bilateral assistance, MAIN DATA'!$AO:$AO,'Share, heavy weapons to Ukraine'!CI$1,'Bilateral assistance, MAIN DATA'!$AQ:$AQ,1)</f>
        <v>0</v>
      </c>
      <c r="CN35" s="645">
        <f>SUMIFS('Bilateral assistance, MAIN DATA'!$M:$M,'Bilateral assistance, MAIN DATA'!$B:$B,'Share, heavy weapons to Ukraine'!$A35,'Bilateral assistance, MAIN DATA'!$AO:$AO,"122mm MLRS",'Bilateral assistance, MAIN DATA'!$AQ:$AQ,1)+SUMIFS('Bilateral assistance, MAIN DATA'!$M:$M,'Bilateral assistance, MAIN DATA'!$B:$B,'Share, heavy weapons to Ukraine'!$A35,'Bilateral assistance, MAIN DATA'!$AO:$AO,"127mm MLRS",'Bilateral assistance, MAIN DATA'!$AQ:$AQ,1)+SUMIFS('Bilateral assistance, MAIN DATA'!$M:$M,'Bilateral assistance, MAIN DATA'!$B:$B,'Share, heavy weapons to Ukraine'!$A35,'Bilateral assistance, MAIN DATA'!$AO:$AO,"227mm MLRS",'Bilateral assistance, MAIN DATA'!$AQ:$AQ,1)</f>
        <v>0</v>
      </c>
      <c r="CP35" s="33">
        <f>SUMIFS('Bilateral assistance, MAIN DATA'!$M:$M,'Bilateral assistance, MAIN DATA'!$B:$B,'Share, heavy weapons to Ukraine'!$A35,'Bilateral assistance, MAIN DATA'!$AO:$AO,'Share, heavy weapons to Ukraine'!CP$1,'Bilateral assistance, MAIN DATA'!$AQ:$AQ,0)</f>
        <v>0</v>
      </c>
      <c r="CQ35" s="33">
        <f>SUMIFS('Bilateral assistance, MAIN DATA'!$M:$M,'Bilateral assistance, MAIN DATA'!$B:$B,'Share, heavy weapons to Ukraine'!$A35,'Bilateral assistance, MAIN DATA'!$AO:$AO,'Share, heavy weapons to Ukraine'!CQ$1,'Bilateral assistance, MAIN DATA'!$AQ:$AQ,0)</f>
        <v>0</v>
      </c>
      <c r="CR35" s="645">
        <f>SUMIFS('Bilateral assistance, MAIN DATA'!$M:$M,'Bilateral assistance, MAIN DATA'!$B:$B,'Share, heavy weapons to Ukraine'!$A35,'Bilateral assistance, MAIN DATA'!$AO:$AO,"122mm MLRS",'Bilateral assistance, MAIN DATA'!$AQ:$AQ,0)+SUMIFS('Bilateral assistance, MAIN DATA'!$M:$M,'Bilateral assistance, MAIN DATA'!$B:$B,'Share, heavy weapons to Ukraine'!$A35,'Bilateral assistance, MAIN DATA'!$AO:$AO,"127mm MLRS",'Bilateral assistance, MAIN DATA'!$AQ:$AQ,0)+SUMIFS('Bilateral assistance, MAIN DATA'!$M:$M,'Bilateral assistance, MAIN DATA'!$B:$B,'Share, heavy weapons to Ukraine'!$A35,'Bilateral assistance, MAIN DATA'!$AO:$AO,"227mm MLRS",'Bilateral assistance, MAIN DATA'!$AQ:$AQ,0)</f>
        <v>0</v>
      </c>
      <c r="CT35" s="33">
        <f>IF(VLOOKUP($A35,$A:CS,COLUMN(F34),FALSE)&lt;&gt;0,VLOOKUP($A35,$A:CS,COLUMN(CH34),FALSE)/VLOOKUP($A35,$A:AU,COLUMN(F34),FALSE),IF(VLOOKUP($A35,$A:CS,COLUMN(CH34),FALSE)&lt;&gt;0,"Strange",0))</f>
        <v>0</v>
      </c>
      <c r="CU35" s="33">
        <f>IF(VLOOKUP($A35,$A:CS,COLUMN(L34),FALSE)&lt;&gt;0,VLOOKUP($A35,$A:CS,COLUMN(CI34),FALSE)/VLOOKUP($A35,$A:AU,COLUMN(L34),FALSE),IF(VLOOKUP($A35,$A:CS,COLUMN(CI34),FALSE)&lt;&gt;0,"Strange",0))</f>
        <v>0</v>
      </c>
      <c r="CV35" s="33">
        <f>IF(VLOOKUP($A35,$A:CT,COLUMN(M34),FALSE)&lt;&gt;0,VLOOKUP($A35,$A:CT,COLUMN(CJ34),FALSE)/VLOOKUP($A35,$A:AV,COLUMN(M34),FALSE),IF(VLOOKUP($A35,$A:CT,COLUMN(CJ34),FALSE)&lt;&gt;0,"Strange",0))</f>
        <v>0</v>
      </c>
      <c r="CX35" s="33">
        <f>IF(VLOOKUP($A35,$A:CS,COLUMN(F34),FALSE)&lt;&gt;0,VLOOKUP($A35,$A:CS,COLUMN(CL34),FALSE)/VLOOKUP($A35,$A:AU,COLUMN(F34),FALSE),IF(VLOOKUP($A35,$A:CS,COLUMN(CL34),FALSE)&lt;&gt;0,"Strange",0))</f>
        <v>0</v>
      </c>
      <c r="CY35" s="33">
        <f>IF(VLOOKUP($A35,$A:CS,COLUMN(L34),FALSE)&lt;&gt;0,VLOOKUP($A35,$A:CS,COLUMN(CM34),FALSE)/VLOOKUP($A35,$A:AU,COLUMN(L34),FALSE),IF(VLOOKUP($A35,$A:CS,COLUMN(CM34),FALSE)&lt;&gt;0,"Strange",0))</f>
        <v>0</v>
      </c>
      <c r="CZ35" s="33">
        <f>IF(VLOOKUP($A35,$A:CT,COLUMN(M34),FALSE)&lt;&gt;0,VLOOKUP($A35,$A:CT,COLUMN(CN34),FALSE)/VLOOKUP($A35,$A:AV,COLUMN(M34),FALSE),IF(VLOOKUP($A35,$A:CT,COLUMN(CN34),FALSE)&lt;&gt;0,"Strange",0))</f>
        <v>0</v>
      </c>
      <c r="DB35" s="33">
        <f>IF(VLOOKUP($A35,$A:CS,COLUMN(F34),FALSE)&lt;&gt;0,VLOOKUP($A35,$A:CS,COLUMN(CP34),FALSE)/VLOOKUP($A35,$A:AU,COLUMN(F34),FALSE),IF(VLOOKUP($A35,$A:CS,COLUMN(CP34),FALSE)&lt;&gt;0,"Strange",0))</f>
        <v>0</v>
      </c>
      <c r="DC35" s="33">
        <f>IF(VLOOKUP($A35,$A:CS,COLUMN(L34),FALSE)&lt;&gt;0,VLOOKUP($A35,$A:CS,COLUMN(CQ34),FALSE)/VLOOKUP($A35,$A:AU,COLUMN(L34),FALSE),IF(VLOOKUP($A35,$A:CS,COLUMN(CQ34),FALSE)&lt;&gt;0,"Strange",0))</f>
        <v>0</v>
      </c>
      <c r="DD35" s="33">
        <f>IF(VLOOKUP($A35,$A:CT,COLUMN(M34),FALSE)&lt;&gt;0,VLOOKUP($A35,$A:CT,COLUMN(CR34),FALSE)/VLOOKUP($A35,$A:AV,COLUMN(M34),FALSE),IF(VLOOKUP($A35,$A:CT,COLUMN(CR34),FALSE)&lt;&gt;0,"Strange",0))</f>
        <v>0</v>
      </c>
      <c r="DF35" s="33">
        <f>SUMIFS('Bilateral assistance, MAIN DATA'!$M:$M,'Bilateral assistance, MAIN DATA'!$B:$B,'Share, heavy weapons to Ukraine'!$A35,'Bilateral assistance, MAIN DATA'!$AO:$AO,'Share, heavy weapons to Ukraine'!DF$1, 'Bilateral assistance, MAIN DATA'!$AA:$AA,1)</f>
        <v>0</v>
      </c>
      <c r="DG35" s="33">
        <f>SUMIFS('Bilateral assistance, MAIN DATA'!$M:$M,'Bilateral assistance, MAIN DATA'!$B:$B,'Share, heavy weapons to Ukraine'!$A35,'Bilateral assistance, MAIN DATA'!$AO:$AO,'Share, heavy weapons to Ukraine'!DG$1, 'Bilateral assistance, MAIN DATA'!$AA:$AA,1)</f>
        <v>0</v>
      </c>
      <c r="DH35" s="33">
        <f>SUMIFS('Bilateral assistance, MAIN DATA'!$M:$M,'Bilateral assistance, MAIN DATA'!$B:$B,'Share, heavy weapons to Ukraine'!$A35,'Bilateral assistance, MAIN DATA'!$AO:$AO,'Share, heavy weapons to Ukraine'!DH$1, 'Bilateral assistance, MAIN DATA'!$AA:$AA,1)</f>
        <v>0</v>
      </c>
      <c r="DI35" s="33">
        <f>SUMIFS('Bilateral assistance, MAIN DATA'!$M:$M,'Bilateral assistance, MAIN DATA'!$B:$B,'Share, heavy weapons to Ukraine'!$A35,'Bilateral assistance, MAIN DATA'!$AO:$AO,'Share, heavy weapons to Ukraine'!DI$1, 'Bilateral assistance, MAIN DATA'!$AA:$AA,1)</f>
        <v>0</v>
      </c>
      <c r="DK35" s="33">
        <f>SUMIFS('Bilateral assistance, MAIN DATA'!$N:$N,'Bilateral assistance, MAIN DATA'!$B:$B,'Share, heavy weapons to Ukraine'!$A35,'Bilateral assistance, MAIN DATA'!$AO:$AO,'Share, heavy weapons to Ukraine'!DK$1, 'Bilateral assistance, MAIN DATA'!$AA:$AA,1)</f>
        <v>0</v>
      </c>
      <c r="DL35" s="33">
        <f>SUMIFS('Bilateral assistance, MAIN DATA'!$N:$N,'Bilateral assistance, MAIN DATA'!$B:$B,'Share, heavy weapons to Ukraine'!$A35,'Bilateral assistance, MAIN DATA'!$AO:$AO,'Share, heavy weapons to Ukraine'!DL$1, 'Bilateral assistance, MAIN DATA'!$AA:$AA,1)</f>
        <v>0</v>
      </c>
      <c r="DM35" s="33">
        <f>SUMIFS('Bilateral assistance, MAIN DATA'!$N:$N,'Bilateral assistance, MAIN DATA'!$B:$B,'Share, heavy weapons to Ukraine'!$A35,'Bilateral assistance, MAIN DATA'!$AO:$AO,'Share, heavy weapons to Ukraine'!DM$1, 'Bilateral assistance, MAIN DATA'!$AA:$AA,1)</f>
        <v>0</v>
      </c>
      <c r="DN35" s="33">
        <f>SUMIFS('Bilateral assistance, MAIN DATA'!$N:$N,'Bilateral assistance, MAIN DATA'!$B:$B,'Share, heavy weapons to Ukraine'!$A35,'Bilateral assistance, MAIN DATA'!$AO:$AO,'Share, heavy weapons to Ukraine'!DN$1, 'Bilateral assistance, MAIN DATA'!$AA:$AA,1)</f>
        <v>0</v>
      </c>
    </row>
    <row r="36" spans="1:118">
      <c r="A36" s="801" t="s">
        <v>1653</v>
      </c>
      <c r="B36" s="801">
        <v>0</v>
      </c>
      <c r="C36" s="33">
        <v>1</v>
      </c>
      <c r="E36" s="802">
        <v>0.41599999999999998</v>
      </c>
      <c r="F36" s="801">
        <f>VLOOKUP(A36,'Heavy weapon stocks'!A:OH,COLUMN('Heavy weapon stocks'!$G$1),0)</f>
        <v>0</v>
      </c>
      <c r="G36" s="801">
        <f>VLOOKUP(A36,'Heavy weapon stocks'!A:OH,COLUMN('Heavy weapon stocks'!$AW$1),0)</f>
        <v>0</v>
      </c>
      <c r="H36" s="801">
        <f>VLOOKUP(A36,'Heavy weapon stocks'!A:OH,COLUMN('Heavy weapon stocks'!$DQ$1),0)</f>
        <v>0</v>
      </c>
      <c r="I36" s="801">
        <f>VLOOKUP(A36,'Heavy weapon stocks'!A:OH,COLUMN('Heavy weapon stocks'!$EE$1),0)</f>
        <v>48</v>
      </c>
      <c r="J36" s="801">
        <f>VLOOKUP(A36,'Heavy weapon stocks'!A:OH,COLUMN('Heavy weapon stocks'!$FG$1),0)</f>
        <v>0</v>
      </c>
      <c r="K36" s="801">
        <f t="shared" si="3"/>
        <v>48</v>
      </c>
      <c r="L36" s="801">
        <f>VLOOKUP(A36,'Heavy weapon stocks'!A:OH,COLUMN('Heavy weapon stocks'!$HC$1),0)+VLOOKUP(A36,'Heavy weapon stocks'!A:OH,COLUMN('Heavy weapon stocks'!$II$1),0)</f>
        <v>0</v>
      </c>
      <c r="M36" s="801">
        <f>VLOOKUP(A36,'Heavy weapon stocks'!A:OH,COLUMN('Heavy weapon stocks'!$IN$1),0)</f>
        <v>0</v>
      </c>
      <c r="N36" s="801">
        <f>VLOOKUP(A36,'Heavy weapon stocks'!A:OH,COLUMN('Heavy weapon stocks'!$JH$1),0)+VLOOKUP(A36,'Heavy weapon stocks'!A:OH,COLUMN('Heavy weapon stocks'!$KE$1),0)</f>
        <v>0</v>
      </c>
      <c r="O36" s="801">
        <f>VLOOKUP(A36,'Heavy weapon stocks'!A:OH,COLUMN('Heavy weapon stocks'!$LU$1),0)</f>
        <v>0</v>
      </c>
      <c r="Q36" s="801">
        <f>VLOOKUP(A36,'Heavy weapon stocks'!A:OH,COLUMN('Heavy weapon stocks'!$LV$1),0)</f>
        <v>0</v>
      </c>
      <c r="R36" s="801">
        <f>VLOOKUP(A36,'Heavy weapon stocks'!A:OH,COLUMN('Heavy weapon stocks'!$MF$1),0)</f>
        <v>0</v>
      </c>
      <c r="S36" s="801">
        <f>VLOOKUP(A36,'Heavy weapon stocks'!A:OH,COLUMN('Heavy weapon stocks'!$MM$1),0)</f>
        <v>0</v>
      </c>
      <c r="T36" s="801">
        <f>VLOOKUP(A36,'Heavy weapon stocks'!A:OH,COLUMN('Heavy weapon stocks'!$NR$1),0)</f>
        <v>0</v>
      </c>
      <c r="V36" s="801">
        <f>VLOOKUP(A36,'Heavy weapon stocks'!A:OH,COLUMN('Heavy weapon stocks'!$H$1),0)</f>
        <v>0</v>
      </c>
      <c r="W36" s="801">
        <f>VLOOKUP(A36,'Heavy weapon stocks'!A:OH,COLUMN('Heavy weapon stocks'!$DQ$1),0)</f>
        <v>0</v>
      </c>
      <c r="X36" s="801">
        <f>VLOOKUP(A36,'Heavy weapon stocks'!A:OH,COLUMN('Heavy weapon stocks'!$FG$1),0)</f>
        <v>0</v>
      </c>
      <c r="Y36" s="801">
        <f>VLOOKUP(A36,'Heavy weapon stocks'!A:OH,COLUMN('Heavy weapon stocks'!$HC$1),0)+VLOOKUP(A36,'Heavy weapon stocks'!A:OH,COLUMN('Heavy weapon stocks'!$II$1),0)</f>
        <v>0</v>
      </c>
      <c r="Z36" s="801">
        <f>VLOOKUP(A36,'Heavy weapon stocks'!A:OH,COLUMN('Heavy weapon stocks'!$IO$1),0)+VLOOKUP(A36,'Heavy weapon stocks'!A:OH,COLUMN('Heavy weapon stocks'!$IP$1),0)+VLOOKUP(A36,'Heavy weapon stocks'!A:OH,COLUMN('Heavy weapon stocks'!$IU$1),0)</f>
        <v>0</v>
      </c>
      <c r="AA36" s="801">
        <f>VLOOKUP(A36,'Heavy weapon stocks'!A:OH,COLUMN('Heavy weapon stocks'!$MI$1),0)</f>
        <v>0</v>
      </c>
      <c r="AB36" s="801">
        <f>VLOOKUP(A36,'Heavy weapon stocks'!A:OH,COLUMN('Heavy weapon stocks'!$MS$1),0)+VLOOKUP(A36,'Heavy weapon stocks'!A:OH,COLUMN('Heavy weapon stocks'!$MT$1),0)+VLOOKUP(A36,'Heavy weapon stocks'!A:OH,COLUMN('Heavy weapon stocks'!$MU$1),0)+VLOOKUP(A36,'Heavy weapon stocks'!A:OH,COLUMN('Heavy weapon stocks'!$MV$1),0)</f>
        <v>0</v>
      </c>
      <c r="AD36" s="33">
        <f>SUMIFS('Bilateral assistance, MAIN DATA'!$M:$M,'Bilateral assistance, MAIN DATA'!$B:$B,'Share, heavy weapons to Ukraine'!$A36,'Bilateral assistance, MAIN DATA'!$AO:$AO,'Share, heavy weapons to Ukraine'!AD$1)</f>
        <v>0</v>
      </c>
      <c r="AE36" s="33">
        <f>SUMIFS('Bilateral assistance, MAIN DATA'!$M:$M,'Bilateral assistance, MAIN DATA'!$B:$B,'Share, heavy weapons to Ukraine'!$A36,'Bilateral assistance, MAIN DATA'!$AO:$AO,'Share, heavy weapons to Ukraine'!AE$1)</f>
        <v>0</v>
      </c>
      <c r="AF36" s="33">
        <f>SUMIFS('Bilateral assistance, MAIN DATA'!$M:$M,'Bilateral assistance, MAIN DATA'!$B:$B,'Share, heavy weapons to Ukraine'!$A36,'Bilateral assistance, MAIN DATA'!$AO:$AO,'Share, heavy weapons to Ukraine'!AF$1)</f>
        <v>0</v>
      </c>
      <c r="AG36" s="33">
        <f>SUMIFS('Bilateral assistance, MAIN DATA'!$M:$M,'Bilateral assistance, MAIN DATA'!$B:$B,'Share, heavy weapons to Ukraine'!$A36,'Bilateral assistance, MAIN DATA'!$AO:$AO,'Share, heavy weapons to Ukraine'!AG$1)</f>
        <v>0</v>
      </c>
      <c r="AH36" s="33">
        <f>SUMIFS('Bilateral assistance, MAIN DATA'!$M:$M,'Bilateral assistance, MAIN DATA'!$B:$B,'Share, heavy weapons to Ukraine'!$A36,'Bilateral assistance, MAIN DATA'!$AO:$AO,'Share, heavy weapons to Ukraine'!AH$1)</f>
        <v>0</v>
      </c>
      <c r="AI36" s="33">
        <f t="shared" si="1"/>
        <v>0</v>
      </c>
      <c r="AJ36" s="33">
        <f>SUMIFS('Bilateral assistance, MAIN DATA'!$M:$M,'Bilateral assistance, MAIN DATA'!$B:$B,'Share, heavy weapons to Ukraine'!$A36,'Bilateral assistance, MAIN DATA'!$AO:$AO,'Share, heavy weapons to Ukraine'!AJ$1)</f>
        <v>0</v>
      </c>
      <c r="AK36" s="645">
        <f>SUMIFS('Bilateral assistance, MAIN DATA'!$M:$M,'Bilateral assistance, MAIN DATA'!$B:$B,'Share, heavy weapons to Ukraine'!$A36,'Bilateral assistance, MAIN DATA'!$AO:$AO,"122mm MLRS")+SUMIFS('Bilateral assistance, MAIN DATA'!$M:$M,'Bilateral assistance, MAIN DATA'!$B:$B,'Share, heavy weapons to Ukraine'!$A36,'Bilateral assistance, MAIN DATA'!$AO:$AO,"127mm MLRS")+SUMIFS('Bilateral assistance, MAIN DATA'!$M:$M,'Bilateral assistance, MAIN DATA'!$B:$B,'Share, heavy weapons to Ukraine'!$A36,'Bilateral assistance, MAIN DATA'!$AO:$AO,"227mm MLRS")</f>
        <v>0</v>
      </c>
      <c r="AL36" s="33">
        <f>SUMIFS('Bilateral assistance, MAIN DATA'!$M:$M,'Bilateral assistance, MAIN DATA'!$B:$B,'Share, heavy weapons to Ukraine'!$A36,'Bilateral assistance, MAIN DATA'!$AO:$AO,'Share, heavy weapons to Ukraine'!AL$1)</f>
        <v>0</v>
      </c>
      <c r="AM36" s="33">
        <f>SUMIFS('Bilateral assistance, MAIN DATA'!$M:$M,'Bilateral assistance, MAIN DATA'!$B:$B,'Share, heavy weapons to Ukraine'!$A36,'Bilateral assistance, MAIN DATA'!$AO:$AO,'Share, heavy weapons to Ukraine'!AM$1)</f>
        <v>0</v>
      </c>
      <c r="AN36" s="33">
        <f>SUMIFS('Bilateral assistance, MAIN DATA'!$M:$M,'Bilateral assistance, MAIN DATA'!$B:$B,'Share, heavy weapons to Ukraine'!$A36,'Bilateral assistance, MAIN DATA'!$AO:$AO,'Share, heavy weapons to Ukraine'!AN$1)</f>
        <v>0</v>
      </c>
      <c r="AO36" s="33">
        <f>SUMIFS('Bilateral assistance, MAIN DATA'!$M:$M,'Bilateral assistance, MAIN DATA'!$B:$B,'Share, heavy weapons to Ukraine'!$A36,'Bilateral assistance, MAIN DATA'!$AO:$AO,'Share, heavy weapons to Ukraine'!AO$1)</f>
        <v>0</v>
      </c>
      <c r="AP36" s="33">
        <f>SUMIFS('Bilateral assistance, MAIN DATA'!$M:$M,'Bilateral assistance, MAIN DATA'!$B:$B,'Share, heavy weapons to Ukraine'!$A36,'Bilateral assistance, MAIN DATA'!$AO:$AO,'Share, heavy weapons to Ukraine'!AP$1)</f>
        <v>0</v>
      </c>
      <c r="AR36" s="33">
        <f>SUMIFS('Bilateral assistance, MAIN DATA'!$N:$N,'Bilateral assistance, MAIN DATA'!$B:$B,'Share, heavy weapons to Ukraine'!$A36,'Bilateral assistance, MAIN DATA'!$AO:$AO,'Share, heavy weapons to Ukraine'!AR$1)</f>
        <v>0</v>
      </c>
      <c r="AS36" s="33">
        <f>SUMIFS('Bilateral assistance, MAIN DATA'!$N:$N,'Bilateral assistance, MAIN DATA'!$B:$B,'Share, heavy weapons to Ukraine'!$A36,'Bilateral assistance, MAIN DATA'!$AO:$AO,'Share, heavy weapons to Ukraine'!AS$1)</f>
        <v>0</v>
      </c>
      <c r="AT36" s="33">
        <f>SUMIFS('Bilateral assistance, MAIN DATA'!$N:$N,'Bilateral assistance, MAIN DATA'!$B:$B,'Share, heavy weapons to Ukraine'!$A36,'Bilateral assistance, MAIN DATA'!$AO:$AO,'Share, heavy weapons to Ukraine'!AT$1)</f>
        <v>0</v>
      </c>
      <c r="AU36" s="33">
        <f>SUMIFS('Bilateral assistance, MAIN DATA'!$N:$N,'Bilateral assistance, MAIN DATA'!$B:$B,'Share, heavy weapons to Ukraine'!$A36,'Bilateral assistance, MAIN DATA'!$AO:$AO,'Share, heavy weapons to Ukraine'!AU$1)</f>
        <v>0</v>
      </c>
      <c r="AV36" s="33">
        <f>SUMIFS('Bilateral assistance, MAIN DATA'!$N:$N,'Bilateral assistance, MAIN DATA'!$B:$B,'Share, heavy weapons to Ukraine'!$A36,'Bilateral assistance, MAIN DATA'!$AO:$AO,'Share, heavy weapons to Ukraine'!AV$1)</f>
        <v>0</v>
      </c>
      <c r="AW36" s="33">
        <f t="shared" si="2"/>
        <v>0</v>
      </c>
      <c r="AX36" s="33">
        <f>SUMIFS('Bilateral assistance, MAIN DATA'!$N:$N,'Bilateral assistance, MAIN DATA'!$B:$B,'Share, heavy weapons to Ukraine'!$A36,'Bilateral assistance, MAIN DATA'!$AO:$AO,'Share, heavy weapons to Ukraine'!AX$1)</f>
        <v>0</v>
      </c>
      <c r="AY36" s="645">
        <f>SUMIFS('Bilateral assistance, MAIN DATA'!$N:$N,'Bilateral assistance, MAIN DATA'!$B:$B,'Share, heavy weapons to Ukraine'!$A36,'Bilateral assistance, MAIN DATA'!$AO:$AO,"122mm MLRS")+SUMIFS('Bilateral assistance, MAIN DATA'!$N:$N,'Bilateral assistance, MAIN DATA'!$B:$B,'Share, heavy weapons to Ukraine'!$A36,'Bilateral assistance, MAIN DATA'!$AO:$AO,"127mm MLRS")+SUMIFS('Bilateral assistance, MAIN DATA'!$N:$N,'Bilateral assistance, MAIN DATA'!$B:$B,'Share, heavy weapons to Ukraine'!$A36,'Bilateral assistance, MAIN DATA'!$AO:$AO,"227mm MLRS")</f>
        <v>0</v>
      </c>
      <c r="AZ36" s="33">
        <f>SUMIFS('Bilateral assistance, MAIN DATA'!$N:$N,'Bilateral assistance, MAIN DATA'!$B:$B,'Share, heavy weapons to Ukraine'!$A36,'Bilateral assistance, MAIN DATA'!$AO:$AO,'Share, heavy weapons to Ukraine'!AZ$1)</f>
        <v>0</v>
      </c>
      <c r="BA36" s="33">
        <f>SUMIFS('Bilateral assistance, MAIN DATA'!$N:$N,'Bilateral assistance, MAIN DATA'!$B:$B,'Share, heavy weapons to Ukraine'!$A36,'Bilateral assistance, MAIN DATA'!$AO:$AO,'Share, heavy weapons to Ukraine'!BA$1)</f>
        <v>0</v>
      </c>
      <c r="BB36" s="33">
        <f>SUMIFS('Bilateral assistance, MAIN DATA'!$N:$N,'Bilateral assistance, MAIN DATA'!$B:$B,'Share, heavy weapons to Ukraine'!$A36,'Bilateral assistance, MAIN DATA'!$AO:$AO,'Share, heavy weapons to Ukraine'!BB$1)</f>
        <v>0</v>
      </c>
      <c r="BC36" s="33">
        <f>SUMIFS('Bilateral assistance, MAIN DATA'!$N:$N,'Bilateral assistance, MAIN DATA'!$B:$B,'Share, heavy weapons to Ukraine'!$A36,'Bilateral assistance, MAIN DATA'!$AO:$AO,'Share, heavy weapons to Ukraine'!BC$1)</f>
        <v>0</v>
      </c>
      <c r="BD36" s="33">
        <f>SUMIFS('Bilateral assistance, MAIN DATA'!$N:$N,'Bilateral assistance, MAIN DATA'!$B:$B,'Share, heavy weapons to Ukraine'!$A36,'Bilateral assistance, MAIN DATA'!$AO:$AO,'Share, heavy weapons to Ukraine'!BD$1)</f>
        <v>0</v>
      </c>
      <c r="BF36" s="33">
        <f>IF(VLOOKUP($A36,$A:F,COLUMN(F35),FALSE)&lt;&gt;0,VLOOKUP($A36,$A:AD,COLUMN(AD35),FALSE)/VLOOKUP($A36,$A:F,COLUMN(F35),FALSE),IF(VLOOKUP($A36,$A:AD,COLUMN(AD35),FALSE)&lt;&gt;0,"Strange",0))</f>
        <v>0</v>
      </c>
      <c r="BG36" s="33">
        <f>IF(VLOOKUP($A36,$A:G,COLUMN(G35),FALSE)&lt;&gt;0,VLOOKUP($A36,$A:AE,COLUMN(AE35),FALSE)/VLOOKUP($A36,$A:G,COLUMN(G35),FALSE),IF(VLOOKUP($A36,$A:AE,COLUMN(AE35),FALSE)&lt;&gt;0,"Strange",0))</f>
        <v>0</v>
      </c>
      <c r="BH36" s="33">
        <f>IF(VLOOKUP($A36,$A:H,COLUMN(H35),FALSE)&lt;&gt;0,VLOOKUP($A36,$A:AF,COLUMN(AF35),FALSE)/VLOOKUP($A36,$A:H,COLUMN(H35),FALSE),IF(VLOOKUP($A36,$A:AF,COLUMN(AF35),FALSE)&lt;&gt;0,"Strange",0))</f>
        <v>0</v>
      </c>
      <c r="BI36" s="33">
        <f>IF(VLOOKUP($A36,$A:I,COLUMN(I35),FALSE)&lt;&gt;0,VLOOKUP($A36,$A:AG,COLUMN(AG35),FALSE)/VLOOKUP($A36,$A:I,COLUMN(I35),FALSE),IF(VLOOKUP($A36,$A:AG,COLUMN(AG35),FALSE)&lt;&gt;0,"Strange",0))</f>
        <v>0</v>
      </c>
      <c r="BJ36" s="33">
        <f>IF(VLOOKUP($A36,$A:J,COLUMN(J35),FALSE)&lt;&gt;0,VLOOKUP($A36,$A:AH,COLUMN(AH35),FALSE)/VLOOKUP($A36,$A:J,COLUMN(J35),FALSE),IF(VLOOKUP($A36,$A:AH,COLUMN(AH35),FALSE)&lt;&gt;0,"Strange",0))</f>
        <v>0</v>
      </c>
      <c r="BK36" s="33">
        <f>IF(VLOOKUP($A36,$A:K,COLUMN(K35),FALSE)&lt;&gt;0,VLOOKUP($A36,$A:AI,COLUMN(AI35),FALSE)/VLOOKUP($A36,$A:K,COLUMN(K35),FALSE),IF(VLOOKUP($A36,$A:AI,COLUMN(AI35),FALSE)&lt;&gt;0,"Strange",0))</f>
        <v>0</v>
      </c>
      <c r="BL36" s="33">
        <f>IF(VLOOKUP($A36,$A:L,COLUMN(L35),FALSE)&lt;&gt;0,VLOOKUP($A36,$A:AJ,COLUMN(AJ35),FALSE)/VLOOKUP($A36,$A:L,COLUMN(L35),FALSE),IF(VLOOKUP($A36,$A:AJ,COLUMN(AJ35),FALSE)&lt;&gt;0,"Strange",0))</f>
        <v>0</v>
      </c>
      <c r="BM36" s="33">
        <f>IF(VLOOKUP($A36,$A:M,COLUMN(M35),FALSE)&lt;&gt;0,VLOOKUP($A36,$A:AK,COLUMN(AK35),FALSE)/VLOOKUP($A36,$A:M,COLUMN(M35),FALSE),IF(VLOOKUP($A36,$A:AK,COLUMN(AK35),FALSE)&lt;&gt;0,"Strange",0))</f>
        <v>0</v>
      </c>
      <c r="BN36" s="33">
        <f>IF(VLOOKUP($A36,$A:N,COLUMN(N35),FALSE)&lt;&gt;0,VLOOKUP($A36,$A:AL,COLUMN(AL35),FALSE)/VLOOKUP($A36,$A:N,COLUMN(N35),FALSE),IF(VLOOKUP($A36,$A:AL,COLUMN(AL35),FALSE)&lt;&gt;0,"Strange",0))</f>
        <v>0</v>
      </c>
      <c r="BO36" s="33">
        <f>IF(VLOOKUP($A36,$A:Q,COLUMN(Q35),FALSE)&lt;&gt;0,VLOOKUP($A36,$A:AM,COLUMN(AM35),FALSE)/VLOOKUP($A36,$A:Q,COLUMN(Q35),FALSE),IF(VLOOKUP($A36,$A:AM,COLUMN(AM35),FALSE)&lt;&gt;0,"Strange",0))</f>
        <v>0</v>
      </c>
      <c r="BP36" s="33">
        <f>IF(VLOOKUP($A36,$A:R,COLUMN(R35),FALSE)&lt;&gt;0,VLOOKUP($A36,$A:AN,COLUMN(AN35),FALSE)/VLOOKUP($A36,$A:R,COLUMN(R35),FALSE),IF(VLOOKUP($A36,$A:AN,COLUMN(AN35),FALSE)&lt;&gt;0,"Strange",0))</f>
        <v>0</v>
      </c>
      <c r="BQ36" s="33">
        <f>IF(VLOOKUP($A36,$A:S,COLUMN(S35),FALSE)&lt;&gt;0,VLOOKUP($A36,$A:AO,COLUMN(AO35),FALSE)/VLOOKUP($A36,$A:S,COLUMN(S35),FALSE),IF(VLOOKUP($A36,$A:AO,COLUMN(AO35),FALSE)&lt;&gt;0,"Strange",0))</f>
        <v>0</v>
      </c>
      <c r="BR36" s="33">
        <f>IF(VLOOKUP($A36,$A:T,COLUMN(T35),FALSE)&lt;&gt;0,VLOOKUP($A36,$A:AP,COLUMN(AP35),FALSE)/VLOOKUP($A36,$A:T,COLUMN(T35),FALSE),IF(VLOOKUP($A36,$A:AP,COLUMN(AP35),FALSE)&lt;&gt;0,"Strange",0))</f>
        <v>0</v>
      </c>
      <c r="BT36" s="33">
        <f>IF(VLOOKUP($A36,$A:AE,COLUMN(F35),FALSE)&lt;&gt;0,VLOOKUP($A36,$A:AS,COLUMN(AR35),FALSE)/VLOOKUP($A36,$A:AE,COLUMN(F35),FALSE),IF(VLOOKUP($A36,$A:AS,COLUMN(AR35),FALSE)&lt;&gt;0,"Strange",0))</f>
        <v>0</v>
      </c>
      <c r="BU36" s="33">
        <f>IF(VLOOKUP($A36,$A:AF,COLUMN(G35),FALSE)&lt;&gt;0,VLOOKUP($A36,$A:AT,COLUMN(AS35),FALSE)/VLOOKUP($A36,$A:AF,COLUMN(G35),FALSE),IF(VLOOKUP($A36,$A:AT,COLUMN(AS35),FALSE)&lt;&gt;0,"Strange",0))</f>
        <v>0</v>
      </c>
      <c r="BV36" s="33">
        <f>IF(VLOOKUP($A36,$A:AG,COLUMN(H35),FALSE)&lt;&gt;0,VLOOKUP($A36,$A:AU,COLUMN(AT35),FALSE)/VLOOKUP($A36,$A:AG,COLUMN(H35),FALSE),IF(VLOOKUP($A36,$A:AU,COLUMN(AT35),FALSE)&lt;&gt;0,"Strange",0))</f>
        <v>0</v>
      </c>
      <c r="BW36" s="33">
        <f>IF(VLOOKUP($A36,$A:AH,COLUMN(I35),FALSE)&lt;&gt;0,VLOOKUP($A36,$A:AV,COLUMN(AU35),FALSE)/VLOOKUP($A36,$A:AH,COLUMN(I35),FALSE),IF(VLOOKUP($A36,$A:AV,COLUMN(AU35),FALSE)&lt;&gt;0,"Strange",0))</f>
        <v>0</v>
      </c>
      <c r="BX36" s="33">
        <f>IF(VLOOKUP($A36,$A:AJ,COLUMN(J35),FALSE)&lt;&gt;0,VLOOKUP($A36,$A:AX,COLUMN(AV35),FALSE)/VLOOKUP($A36,$A:AJ,COLUMN(J35),FALSE),IF(VLOOKUP($A36,$A:AX,COLUMN(AV35),FALSE)&lt;&gt;0,"Strange",0))</f>
        <v>0</v>
      </c>
      <c r="BY36" s="33">
        <f>IF(VLOOKUP($A36,$A:AK,COLUMN(K35),FALSE)&lt;&gt;0,VLOOKUP($A36,$A:AY,COLUMN(AW35),FALSE)/VLOOKUP($A36,$A:AK,COLUMN(K35),FALSE),IF(VLOOKUP($A36,$A:AY,COLUMN(AW35),FALSE)&lt;&gt;0,"Strange",0))</f>
        <v>0</v>
      </c>
      <c r="BZ36" s="33">
        <f>IF(VLOOKUP($A36,$A:AK,COLUMN(L35),FALSE)&lt;&gt;0,VLOOKUP($A36,$A:AY,COLUMN(AX35),FALSE)/VLOOKUP($A36,$A:AK,COLUMN(L35),FALSE),IF(VLOOKUP($A36,$A:AY,COLUMN(AX35),FALSE)&lt;&gt;0,"Strange",0))</f>
        <v>0</v>
      </c>
      <c r="CA36" s="33">
        <f>IF(VLOOKUP($A36,$A:AL,COLUMN(M35),FALSE)&lt;&gt;0,VLOOKUP($A36,$A:AZ,COLUMN(AY35),FALSE)/VLOOKUP($A36,$A:AL,COLUMN(M35),FALSE),IF(VLOOKUP($A36,$A:AZ,COLUMN(AY35),FALSE)&lt;&gt;0,"Strange",0))</f>
        <v>0</v>
      </c>
      <c r="CB36" s="33">
        <f>IF(VLOOKUP($A36,$A:AL,COLUMN(N35),FALSE)&lt;&gt;0,VLOOKUP($A36,$A:AZ,COLUMN(AZ35),FALSE)/VLOOKUP($A36,$A:AL,COLUMN(N35),FALSE),IF(VLOOKUP($A36,$A:AZ,COLUMN(AZ35),FALSE)&lt;&gt;0,"Strange",0))</f>
        <v>0</v>
      </c>
      <c r="CC36" s="33">
        <f>IF(VLOOKUP($A36,$A:AM,COLUMN(Q35),FALSE)&lt;&gt;0,VLOOKUP($A36,$A:BA,COLUMN(BA35),FALSE)/VLOOKUP($A36,$A:AM,COLUMN(Q35),FALSE),IF(VLOOKUP($A36,$A:BA,COLUMN(BA35),FALSE)&lt;&gt;0,"Strange",0))</f>
        <v>0</v>
      </c>
      <c r="CD36" s="33">
        <f>IF(VLOOKUP($A36,$A:AN,COLUMN(R35),FALSE)&lt;&gt;0,VLOOKUP($A36,$A:BB,COLUMN(BB35),FALSE)/VLOOKUP($A36,$A:AN,COLUMN(R35),FALSE),IF(VLOOKUP($A36,$A:BB,COLUMN(BB35),FALSE)&lt;&gt;0,"Strange",0))</f>
        <v>0</v>
      </c>
      <c r="CE36" s="33">
        <f>IF(VLOOKUP($A36,$A:AO,COLUMN(S35),FALSE)&lt;&gt;0,VLOOKUP($A36,$A:BC,COLUMN(BC35),FALSE)/VLOOKUP($A36,$A:AO,COLUMN(S35),FALSE),IF(VLOOKUP($A36,$A:BC,COLUMN(BC35),FALSE)&lt;&gt;0,"Strange",0))</f>
        <v>0</v>
      </c>
      <c r="CF36" s="33">
        <f>IF(VLOOKUP($A36,$A:AP,COLUMN(T35),FALSE)&lt;&gt;0,VLOOKUP($A36,$A:BD,COLUMN(BD35),FALSE)/VLOOKUP($A36,$A:AP,COLUMN(T35),FALSE),IF(VLOOKUP($A36,$A:BD,COLUMN(BD35),FALSE)&lt;&gt;0,"Strange",0))</f>
        <v>0</v>
      </c>
      <c r="CH36" s="33">
        <f>SUMIFS('Bilateral assistance, MAIN DATA'!$M:$M,'Bilateral assistance, MAIN DATA'!$B:$B,'Share, heavy weapons to Ukraine'!$A36,'Bilateral assistance, MAIN DATA'!$AO:$AO,'Share, heavy weapons to Ukraine'!CH$1,'Bilateral assistance, MAIN DATA'!$AQ:$AQ,2)</f>
        <v>0</v>
      </c>
      <c r="CI36" s="33">
        <f>SUMIFS('Bilateral assistance, MAIN DATA'!$M:$M,'Bilateral assistance, MAIN DATA'!$B:$B,'Share, heavy weapons to Ukraine'!$A36,'Bilateral assistance, MAIN DATA'!$AO:$AO,'Share, heavy weapons to Ukraine'!CI$1,'Bilateral assistance, MAIN DATA'!$AQ:$AQ,2)</f>
        <v>0</v>
      </c>
      <c r="CJ36" s="645">
        <f>SUMIFS('Bilateral assistance, MAIN DATA'!$M:$M,'Bilateral assistance, MAIN DATA'!$B:$B,'Share, heavy weapons to Ukraine'!$A36,'Bilateral assistance, MAIN DATA'!$AO:$AO,"122mm MLRS",'Bilateral assistance, MAIN DATA'!$AQ:$AQ,2)+SUMIFS('Bilateral assistance, MAIN DATA'!$M:$M,'Bilateral assistance, MAIN DATA'!$B:$B,'Share, heavy weapons to Ukraine'!$A36,'Bilateral assistance, MAIN DATA'!$AO:$AO,"127mm MLRS",'Bilateral assistance, MAIN DATA'!$AQ:$AQ,2)+SUMIFS('Bilateral assistance, MAIN DATA'!$M:$M,'Bilateral assistance, MAIN DATA'!$B:$B,'Share, heavy weapons to Ukraine'!$A36,'Bilateral assistance, MAIN DATA'!$AO:$AO,"227mm MLRS",'Bilateral assistance, MAIN DATA'!$AQ:$AQ,2)</f>
        <v>0</v>
      </c>
      <c r="CL36" s="33">
        <f>SUMIFS('Bilateral assistance, MAIN DATA'!$M:$M,'Bilateral assistance, MAIN DATA'!$B:$B,'Share, heavy weapons to Ukraine'!$A36,'Bilateral assistance, MAIN DATA'!$AO:$AO,'Share, heavy weapons to Ukraine'!CH$1,'Bilateral assistance, MAIN DATA'!$AQ:$AQ,1)</f>
        <v>0</v>
      </c>
      <c r="CM36" s="33">
        <f>SUMIFS('Bilateral assistance, MAIN DATA'!$M:$M,'Bilateral assistance, MAIN DATA'!$B:$B,'Share, heavy weapons to Ukraine'!$A36,'Bilateral assistance, MAIN DATA'!$AO:$AO,'Share, heavy weapons to Ukraine'!CI$1,'Bilateral assistance, MAIN DATA'!$AQ:$AQ,1)</f>
        <v>0</v>
      </c>
      <c r="CN36" s="645">
        <f>SUMIFS('Bilateral assistance, MAIN DATA'!$M:$M,'Bilateral assistance, MAIN DATA'!$B:$B,'Share, heavy weapons to Ukraine'!$A36,'Bilateral assistance, MAIN DATA'!$AO:$AO,"122mm MLRS",'Bilateral assistance, MAIN DATA'!$AQ:$AQ,1)+SUMIFS('Bilateral assistance, MAIN DATA'!$M:$M,'Bilateral assistance, MAIN DATA'!$B:$B,'Share, heavy weapons to Ukraine'!$A36,'Bilateral assistance, MAIN DATA'!$AO:$AO,"127mm MLRS",'Bilateral assistance, MAIN DATA'!$AQ:$AQ,1)+SUMIFS('Bilateral assistance, MAIN DATA'!$M:$M,'Bilateral assistance, MAIN DATA'!$B:$B,'Share, heavy weapons to Ukraine'!$A36,'Bilateral assistance, MAIN DATA'!$AO:$AO,"227mm MLRS",'Bilateral assistance, MAIN DATA'!$AQ:$AQ,1)</f>
        <v>0</v>
      </c>
      <c r="CP36" s="33">
        <f>SUMIFS('Bilateral assistance, MAIN DATA'!$M:$M,'Bilateral assistance, MAIN DATA'!$B:$B,'Share, heavy weapons to Ukraine'!$A36,'Bilateral assistance, MAIN DATA'!$AO:$AO,'Share, heavy weapons to Ukraine'!CP$1,'Bilateral assistance, MAIN DATA'!$AQ:$AQ,0)</f>
        <v>0</v>
      </c>
      <c r="CQ36" s="33">
        <f>SUMIFS('Bilateral assistance, MAIN DATA'!$M:$M,'Bilateral assistance, MAIN DATA'!$B:$B,'Share, heavy weapons to Ukraine'!$A36,'Bilateral assistance, MAIN DATA'!$AO:$AO,'Share, heavy weapons to Ukraine'!CQ$1,'Bilateral assistance, MAIN DATA'!$AQ:$AQ,0)</f>
        <v>0</v>
      </c>
      <c r="CR36" s="645">
        <f>SUMIFS('Bilateral assistance, MAIN DATA'!$M:$M,'Bilateral assistance, MAIN DATA'!$B:$B,'Share, heavy weapons to Ukraine'!$A36,'Bilateral assistance, MAIN DATA'!$AO:$AO,"122mm MLRS",'Bilateral assistance, MAIN DATA'!$AQ:$AQ,0)+SUMIFS('Bilateral assistance, MAIN DATA'!$M:$M,'Bilateral assistance, MAIN DATA'!$B:$B,'Share, heavy weapons to Ukraine'!$A36,'Bilateral assistance, MAIN DATA'!$AO:$AO,"127mm MLRS",'Bilateral assistance, MAIN DATA'!$AQ:$AQ,0)+SUMIFS('Bilateral assistance, MAIN DATA'!$M:$M,'Bilateral assistance, MAIN DATA'!$B:$B,'Share, heavy weapons to Ukraine'!$A36,'Bilateral assistance, MAIN DATA'!$AO:$AO,"227mm MLRS",'Bilateral assistance, MAIN DATA'!$AQ:$AQ,0)</f>
        <v>0</v>
      </c>
      <c r="CT36" s="33">
        <f>IF(VLOOKUP($A36,$A:CS,COLUMN(F35),FALSE)&lt;&gt;0,VLOOKUP($A36,$A:CS,COLUMN(CH35),FALSE)/VLOOKUP($A36,$A:AU,COLUMN(F35),FALSE),IF(VLOOKUP($A36,$A:CS,COLUMN(CH35),FALSE)&lt;&gt;0,"Strange",0))</f>
        <v>0</v>
      </c>
      <c r="CU36" s="33">
        <f>IF(VLOOKUP($A36,$A:CS,COLUMN(L35),FALSE)&lt;&gt;0,VLOOKUP($A36,$A:CS,COLUMN(CI35),FALSE)/VLOOKUP($A36,$A:AU,COLUMN(L35),FALSE),IF(VLOOKUP($A36,$A:CS,COLUMN(CI35),FALSE)&lt;&gt;0,"Strange",0))</f>
        <v>0</v>
      </c>
      <c r="CV36" s="33">
        <f>IF(VLOOKUP($A36,$A:CT,COLUMN(M35),FALSE)&lt;&gt;0,VLOOKUP($A36,$A:CT,COLUMN(CJ35),FALSE)/VLOOKUP($A36,$A:AV,COLUMN(M35),FALSE),IF(VLOOKUP($A36,$A:CT,COLUMN(CJ35),FALSE)&lt;&gt;0,"Strange",0))</f>
        <v>0</v>
      </c>
      <c r="CX36" s="33">
        <f>IF(VLOOKUP($A36,$A:CS,COLUMN(F35),FALSE)&lt;&gt;0,VLOOKUP($A36,$A:CS,COLUMN(CL35),FALSE)/VLOOKUP($A36,$A:AU,COLUMN(F35),FALSE),IF(VLOOKUP($A36,$A:CS,COLUMN(CL35),FALSE)&lt;&gt;0,"Strange",0))</f>
        <v>0</v>
      </c>
      <c r="CY36" s="33">
        <f>IF(VLOOKUP($A36,$A:CS,COLUMN(L35),FALSE)&lt;&gt;0,VLOOKUP($A36,$A:CS,COLUMN(CM35),FALSE)/VLOOKUP($A36,$A:AU,COLUMN(L35),FALSE),IF(VLOOKUP($A36,$A:CS,COLUMN(CM35),FALSE)&lt;&gt;0,"Strange",0))</f>
        <v>0</v>
      </c>
      <c r="CZ36" s="33">
        <f>IF(VLOOKUP($A36,$A:CT,COLUMN(M35),FALSE)&lt;&gt;0,VLOOKUP($A36,$A:CT,COLUMN(CN35),FALSE)/VLOOKUP($A36,$A:AV,COLUMN(M35),FALSE),IF(VLOOKUP($A36,$A:CT,COLUMN(CN35),FALSE)&lt;&gt;0,"Strange",0))</f>
        <v>0</v>
      </c>
      <c r="DB36" s="33">
        <f>IF(VLOOKUP($A36,$A:CS,COLUMN(F35),FALSE)&lt;&gt;0,VLOOKUP($A36,$A:CS,COLUMN(CP35),FALSE)/VLOOKUP($A36,$A:AU,COLUMN(F35),FALSE),IF(VLOOKUP($A36,$A:CS,COLUMN(CP35),FALSE)&lt;&gt;0,"Strange",0))</f>
        <v>0</v>
      </c>
      <c r="DC36" s="33">
        <f>IF(VLOOKUP($A36,$A:CS,COLUMN(L35),FALSE)&lt;&gt;0,VLOOKUP($A36,$A:CS,COLUMN(CQ35),FALSE)/VLOOKUP($A36,$A:AU,COLUMN(L35),FALSE),IF(VLOOKUP($A36,$A:CS,COLUMN(CQ35),FALSE)&lt;&gt;0,"Strange",0))</f>
        <v>0</v>
      </c>
      <c r="DD36" s="33">
        <f>IF(VLOOKUP($A36,$A:CT,COLUMN(M35),FALSE)&lt;&gt;0,VLOOKUP($A36,$A:CT,COLUMN(CR35),FALSE)/VLOOKUP($A36,$A:AV,COLUMN(M35),FALSE),IF(VLOOKUP($A36,$A:CT,COLUMN(CR35),FALSE)&lt;&gt;0,"Strange",0))</f>
        <v>0</v>
      </c>
      <c r="DF36" s="33">
        <f>SUMIFS('Bilateral assistance, MAIN DATA'!$M:$M,'Bilateral assistance, MAIN DATA'!$B:$B,'Share, heavy weapons to Ukraine'!$A36,'Bilateral assistance, MAIN DATA'!$AO:$AO,'Share, heavy weapons to Ukraine'!DF$1, 'Bilateral assistance, MAIN DATA'!$AA:$AA,1)</f>
        <v>0</v>
      </c>
      <c r="DG36" s="33">
        <f>SUMIFS('Bilateral assistance, MAIN DATA'!$M:$M,'Bilateral assistance, MAIN DATA'!$B:$B,'Share, heavy weapons to Ukraine'!$A36,'Bilateral assistance, MAIN DATA'!$AO:$AO,'Share, heavy weapons to Ukraine'!DG$1, 'Bilateral assistance, MAIN DATA'!$AA:$AA,1)</f>
        <v>0</v>
      </c>
      <c r="DH36" s="33">
        <f>SUMIFS('Bilateral assistance, MAIN DATA'!$M:$M,'Bilateral assistance, MAIN DATA'!$B:$B,'Share, heavy weapons to Ukraine'!$A36,'Bilateral assistance, MAIN DATA'!$AO:$AO,'Share, heavy weapons to Ukraine'!DH$1, 'Bilateral assistance, MAIN DATA'!$AA:$AA,1)</f>
        <v>0</v>
      </c>
      <c r="DI36" s="33">
        <f>SUMIFS('Bilateral assistance, MAIN DATA'!$M:$M,'Bilateral assistance, MAIN DATA'!$B:$B,'Share, heavy weapons to Ukraine'!$A36,'Bilateral assistance, MAIN DATA'!$AO:$AO,'Share, heavy weapons to Ukraine'!DI$1, 'Bilateral assistance, MAIN DATA'!$AA:$AA,1)</f>
        <v>0</v>
      </c>
      <c r="DK36" s="33">
        <f>SUMIFS('Bilateral assistance, MAIN DATA'!$N:$N,'Bilateral assistance, MAIN DATA'!$B:$B,'Share, heavy weapons to Ukraine'!$A36,'Bilateral assistance, MAIN DATA'!$AO:$AO,'Share, heavy weapons to Ukraine'!DK$1, 'Bilateral assistance, MAIN DATA'!$AA:$AA,1)</f>
        <v>0</v>
      </c>
      <c r="DL36" s="33">
        <f>SUMIFS('Bilateral assistance, MAIN DATA'!$N:$N,'Bilateral assistance, MAIN DATA'!$B:$B,'Share, heavy weapons to Ukraine'!$A36,'Bilateral assistance, MAIN DATA'!$AO:$AO,'Share, heavy weapons to Ukraine'!DL$1, 'Bilateral assistance, MAIN DATA'!$AA:$AA,1)</f>
        <v>0</v>
      </c>
      <c r="DM36" s="33">
        <f>SUMIFS('Bilateral assistance, MAIN DATA'!$N:$N,'Bilateral assistance, MAIN DATA'!$B:$B,'Share, heavy weapons to Ukraine'!$A36,'Bilateral assistance, MAIN DATA'!$AO:$AO,'Share, heavy weapons to Ukraine'!DM$1, 'Bilateral assistance, MAIN DATA'!$AA:$AA,1)</f>
        <v>0</v>
      </c>
      <c r="DN36" s="33">
        <f>SUMIFS('Bilateral assistance, MAIN DATA'!$N:$N,'Bilateral assistance, MAIN DATA'!$B:$B,'Share, heavy weapons to Ukraine'!$A36,'Bilateral assistance, MAIN DATA'!$AO:$AO,'Share, heavy weapons to Ukraine'!DN$1, 'Bilateral assistance, MAIN DATA'!$AA:$AA,1)</f>
        <v>0</v>
      </c>
    </row>
    <row r="37" spans="1:118">
      <c r="A37" s="801" t="s">
        <v>4190</v>
      </c>
      <c r="B37" s="801">
        <v>1</v>
      </c>
      <c r="C37" s="33">
        <v>0</v>
      </c>
      <c r="E37" s="802">
        <v>0.246</v>
      </c>
      <c r="F37" s="801">
        <f>VLOOKUP(A37,'Heavy weapon stocks'!A:OH,COLUMN('Heavy weapon stocks'!$G$1),0)</f>
        <v>0</v>
      </c>
      <c r="G37" s="801">
        <f>VLOOKUP(A37,'Heavy weapon stocks'!A:OH,COLUMN('Heavy weapon stocks'!$AW$1),0)</f>
        <v>0</v>
      </c>
      <c r="H37" s="801">
        <f>VLOOKUP(A37,'Heavy weapon stocks'!A:OH,COLUMN('Heavy weapon stocks'!$DQ$1),0)</f>
        <v>40</v>
      </c>
      <c r="I37" s="801">
        <f>VLOOKUP(A37,'Heavy weapon stocks'!A:OH,COLUMN('Heavy weapon stocks'!$EE$1),0)</f>
        <v>8</v>
      </c>
      <c r="J37" s="801">
        <f>VLOOKUP(A37,'Heavy weapon stocks'!A:OH,COLUMN('Heavy weapon stocks'!$FG$1),0)</f>
        <v>0</v>
      </c>
      <c r="K37" s="801">
        <f t="shared" si="0"/>
        <v>48</v>
      </c>
      <c r="L37" s="801">
        <f>VLOOKUP(A37,'Heavy weapon stocks'!A:OH,COLUMN('Heavy weapon stocks'!$HC$1),0)+VLOOKUP(A37,'Heavy weapon stocks'!A:OH,COLUMN('Heavy weapon stocks'!$II$1),0)</f>
        <v>0</v>
      </c>
      <c r="M37" s="801">
        <f>VLOOKUP(A37,'Heavy weapon stocks'!A:OH,COLUMN('Heavy weapon stocks'!$IN$1),0)</f>
        <v>0</v>
      </c>
      <c r="N37" s="801">
        <f>VLOOKUP(A37,'Heavy weapon stocks'!A:OH,COLUMN('Heavy weapon stocks'!$JH$1),0)+VLOOKUP(A37,'Heavy weapon stocks'!A:OH,COLUMN('Heavy weapon stocks'!$KE$1),0)</f>
        <v>0</v>
      </c>
      <c r="O37" s="801">
        <f>VLOOKUP(A37,'Heavy weapon stocks'!A:OH,COLUMN('Heavy weapon stocks'!$LU$1),0)</f>
        <v>0</v>
      </c>
      <c r="Q37" s="801">
        <f>VLOOKUP(A37,'Heavy weapon stocks'!A:OH,COLUMN('Heavy weapon stocks'!$LV$1),0)</f>
        <v>0</v>
      </c>
      <c r="R37" s="801">
        <f>VLOOKUP(A37,'Heavy weapon stocks'!A:OH,COLUMN('Heavy weapon stocks'!$MF$1),0)</f>
        <v>0</v>
      </c>
      <c r="S37" s="801">
        <f>VLOOKUP(A37,'Heavy weapon stocks'!A:OH,COLUMN('Heavy weapon stocks'!$MM$1),0)</f>
        <v>0</v>
      </c>
      <c r="T37" s="801">
        <f>VLOOKUP(A37,'Heavy weapon stocks'!A:OH,COLUMN('Heavy weapon stocks'!$NR$1),0)</f>
        <v>0</v>
      </c>
      <c r="V37" s="801">
        <f>VLOOKUP(A37,'Heavy weapon stocks'!A:OH,COLUMN('Heavy weapon stocks'!$H$1),0)</f>
        <v>0</v>
      </c>
      <c r="W37" s="801">
        <f>VLOOKUP(A37,'Heavy weapon stocks'!A:OH,COLUMN('Heavy weapon stocks'!$DQ$1),0)</f>
        <v>40</v>
      </c>
      <c r="X37" s="801">
        <f>VLOOKUP(A37,'Heavy weapon stocks'!A:OH,COLUMN('Heavy weapon stocks'!$FG$1),0)</f>
        <v>0</v>
      </c>
      <c r="Y37" s="801">
        <f>VLOOKUP(A37,'Heavy weapon stocks'!A:OH,COLUMN('Heavy weapon stocks'!$HC$1),0)+VLOOKUP(A37,'Heavy weapon stocks'!A:OH,COLUMN('Heavy weapon stocks'!$II$1),0)</f>
        <v>0</v>
      </c>
      <c r="Z37" s="801">
        <f>VLOOKUP(A37,'Heavy weapon stocks'!A:OH,COLUMN('Heavy weapon stocks'!$IO$1),0)+VLOOKUP(A37,'Heavy weapon stocks'!A:OH,COLUMN('Heavy weapon stocks'!$IP$1),0)+VLOOKUP(A37,'Heavy weapon stocks'!A:OH,COLUMN('Heavy weapon stocks'!$IU$1),0)</f>
        <v>0</v>
      </c>
      <c r="AA37" s="801">
        <f>VLOOKUP(A37,'Heavy weapon stocks'!A:OH,COLUMN('Heavy weapon stocks'!$MI$1),0)</f>
        <v>0</v>
      </c>
      <c r="AB37" s="801">
        <f>VLOOKUP(A37,'Heavy weapon stocks'!A:OH,COLUMN('Heavy weapon stocks'!$MS$1),0)+VLOOKUP(A37,'Heavy weapon stocks'!A:OH,COLUMN('Heavy weapon stocks'!$MT$1),0)+VLOOKUP(A37,'Heavy weapon stocks'!A:OH,COLUMN('Heavy weapon stocks'!$MU$1),0)+VLOOKUP(A37,'Heavy weapon stocks'!A:OH,COLUMN('Heavy weapon stocks'!$MV$1),0)</f>
        <v>0</v>
      </c>
      <c r="AD37" s="33">
        <f>SUMIFS('Bilateral assistance, MAIN DATA'!$M:$M,'Bilateral assistance, MAIN DATA'!$B:$B,'Share, heavy weapons to Ukraine'!$A37,'Bilateral assistance, MAIN DATA'!$AO:$AO,'Share, heavy weapons to Ukraine'!AD$1)</f>
        <v>0</v>
      </c>
      <c r="AE37" s="33">
        <f>SUMIFS('Bilateral assistance, MAIN DATA'!$M:$M,'Bilateral assistance, MAIN DATA'!$B:$B,'Share, heavy weapons to Ukraine'!$A37,'Bilateral assistance, MAIN DATA'!$AO:$AO,'Share, heavy weapons to Ukraine'!AE$1)</f>
        <v>0</v>
      </c>
      <c r="AF37" s="33">
        <f>SUMIFS('Bilateral assistance, MAIN DATA'!$M:$M,'Bilateral assistance, MAIN DATA'!$B:$B,'Share, heavy weapons to Ukraine'!$A37,'Bilateral assistance, MAIN DATA'!$AO:$AO,'Share, heavy weapons to Ukraine'!AF$1)</f>
        <v>0</v>
      </c>
      <c r="AG37" s="33">
        <f>SUMIFS('Bilateral assistance, MAIN DATA'!$M:$M,'Bilateral assistance, MAIN DATA'!$B:$B,'Share, heavy weapons to Ukraine'!$A37,'Bilateral assistance, MAIN DATA'!$AO:$AO,'Share, heavy weapons to Ukraine'!AG$1)</f>
        <v>0</v>
      </c>
      <c r="AH37" s="33">
        <f>SUMIFS('Bilateral assistance, MAIN DATA'!$M:$M,'Bilateral assistance, MAIN DATA'!$B:$B,'Share, heavy weapons to Ukraine'!$A37,'Bilateral assistance, MAIN DATA'!$AO:$AO,'Share, heavy weapons to Ukraine'!AH$1)</f>
        <v>0</v>
      </c>
      <c r="AI37" s="33">
        <f t="shared" si="1"/>
        <v>0</v>
      </c>
      <c r="AJ37" s="33">
        <f>SUMIFS('Bilateral assistance, MAIN DATA'!$M:$M,'Bilateral assistance, MAIN DATA'!$B:$B,'Share, heavy weapons to Ukraine'!$A37,'Bilateral assistance, MAIN DATA'!$AO:$AO,'Share, heavy weapons to Ukraine'!AJ$1)</f>
        <v>0</v>
      </c>
      <c r="AK37" s="645">
        <f>SUMIFS('Bilateral assistance, MAIN DATA'!$M:$M,'Bilateral assistance, MAIN DATA'!$B:$B,'Share, heavy weapons to Ukraine'!$A37,'Bilateral assistance, MAIN DATA'!$AO:$AO,"122mm MLRS")+SUMIFS('Bilateral assistance, MAIN DATA'!$M:$M,'Bilateral assistance, MAIN DATA'!$B:$B,'Share, heavy weapons to Ukraine'!$A37,'Bilateral assistance, MAIN DATA'!$AO:$AO,"127mm MLRS")+SUMIFS('Bilateral assistance, MAIN DATA'!$M:$M,'Bilateral assistance, MAIN DATA'!$B:$B,'Share, heavy weapons to Ukraine'!$A37,'Bilateral assistance, MAIN DATA'!$AO:$AO,"227mm MLRS")</f>
        <v>0</v>
      </c>
      <c r="AL37" s="33">
        <f>SUMIFS('Bilateral assistance, MAIN DATA'!$M:$M,'Bilateral assistance, MAIN DATA'!$B:$B,'Share, heavy weapons to Ukraine'!$A37,'Bilateral assistance, MAIN DATA'!$AO:$AO,'Share, heavy weapons to Ukraine'!AL$1)</f>
        <v>0</v>
      </c>
      <c r="AM37" s="33">
        <f>SUMIFS('Bilateral assistance, MAIN DATA'!$M:$M,'Bilateral assistance, MAIN DATA'!$B:$B,'Share, heavy weapons to Ukraine'!$A37,'Bilateral assistance, MAIN DATA'!$AO:$AO,'Share, heavy weapons to Ukraine'!AM$1)</f>
        <v>0</v>
      </c>
      <c r="AN37" s="33">
        <f>SUMIFS('Bilateral assistance, MAIN DATA'!$M:$M,'Bilateral assistance, MAIN DATA'!$B:$B,'Share, heavy weapons to Ukraine'!$A37,'Bilateral assistance, MAIN DATA'!$AO:$AO,'Share, heavy weapons to Ukraine'!AN$1)</f>
        <v>0</v>
      </c>
      <c r="AO37" s="33">
        <f>SUMIFS('Bilateral assistance, MAIN DATA'!$M:$M,'Bilateral assistance, MAIN DATA'!$B:$B,'Share, heavy weapons to Ukraine'!$A37,'Bilateral assistance, MAIN DATA'!$AO:$AO,'Share, heavy weapons to Ukraine'!AO$1)</f>
        <v>0</v>
      </c>
      <c r="AP37" s="33">
        <f>SUMIFS('Bilateral assistance, MAIN DATA'!$M:$M,'Bilateral assistance, MAIN DATA'!$B:$B,'Share, heavy weapons to Ukraine'!$A37,'Bilateral assistance, MAIN DATA'!$AO:$AO,'Share, heavy weapons to Ukraine'!AP$1)</f>
        <v>0</v>
      </c>
      <c r="AR37" s="33">
        <f>SUMIFS('Bilateral assistance, MAIN DATA'!$N:$N,'Bilateral assistance, MAIN DATA'!$B:$B,'Share, heavy weapons to Ukraine'!$A37,'Bilateral assistance, MAIN DATA'!$AO:$AO,'Share, heavy weapons to Ukraine'!AR$1)</f>
        <v>0</v>
      </c>
      <c r="AS37" s="33">
        <f>SUMIFS('Bilateral assistance, MAIN DATA'!$N:$N,'Bilateral assistance, MAIN DATA'!$B:$B,'Share, heavy weapons to Ukraine'!$A37,'Bilateral assistance, MAIN DATA'!$AO:$AO,'Share, heavy weapons to Ukraine'!AS$1)</f>
        <v>0</v>
      </c>
      <c r="AT37" s="33">
        <f>SUMIFS('Bilateral assistance, MAIN DATA'!$N:$N,'Bilateral assistance, MAIN DATA'!$B:$B,'Share, heavy weapons to Ukraine'!$A37,'Bilateral assistance, MAIN DATA'!$AO:$AO,'Share, heavy weapons to Ukraine'!AT$1)</f>
        <v>0</v>
      </c>
      <c r="AU37" s="33">
        <f>SUMIFS('Bilateral assistance, MAIN DATA'!$N:$N,'Bilateral assistance, MAIN DATA'!$B:$B,'Share, heavy weapons to Ukraine'!$A37,'Bilateral assistance, MAIN DATA'!$AO:$AO,'Share, heavy weapons to Ukraine'!AU$1)</f>
        <v>0</v>
      </c>
      <c r="AV37" s="33">
        <f>SUMIFS('Bilateral assistance, MAIN DATA'!$N:$N,'Bilateral assistance, MAIN DATA'!$B:$B,'Share, heavy weapons to Ukraine'!$A37,'Bilateral assistance, MAIN DATA'!$AO:$AO,'Share, heavy weapons to Ukraine'!AV$1)</f>
        <v>0</v>
      </c>
      <c r="AW37" s="33">
        <f t="shared" si="2"/>
        <v>0</v>
      </c>
      <c r="AX37" s="33">
        <f>SUMIFS('Bilateral assistance, MAIN DATA'!$N:$N,'Bilateral assistance, MAIN DATA'!$B:$B,'Share, heavy weapons to Ukraine'!$A37,'Bilateral assistance, MAIN DATA'!$AO:$AO,'Share, heavy weapons to Ukraine'!AX$1)</f>
        <v>0</v>
      </c>
      <c r="AY37" s="645">
        <f>SUMIFS('Bilateral assistance, MAIN DATA'!$N:$N,'Bilateral assistance, MAIN DATA'!$B:$B,'Share, heavy weapons to Ukraine'!$A37,'Bilateral assistance, MAIN DATA'!$AO:$AO,"122mm MLRS")+SUMIFS('Bilateral assistance, MAIN DATA'!$N:$N,'Bilateral assistance, MAIN DATA'!$B:$B,'Share, heavy weapons to Ukraine'!$A37,'Bilateral assistance, MAIN DATA'!$AO:$AO,"127mm MLRS")+SUMIFS('Bilateral assistance, MAIN DATA'!$N:$N,'Bilateral assistance, MAIN DATA'!$B:$B,'Share, heavy weapons to Ukraine'!$A37,'Bilateral assistance, MAIN DATA'!$AO:$AO,"227mm MLRS")</f>
        <v>0</v>
      </c>
      <c r="AZ37" s="33">
        <f>SUMIFS('Bilateral assistance, MAIN DATA'!$N:$N,'Bilateral assistance, MAIN DATA'!$B:$B,'Share, heavy weapons to Ukraine'!$A37,'Bilateral assistance, MAIN DATA'!$AO:$AO,'Share, heavy weapons to Ukraine'!AZ$1)</f>
        <v>0</v>
      </c>
      <c r="BA37" s="33">
        <f>SUMIFS('Bilateral assistance, MAIN DATA'!$N:$N,'Bilateral assistance, MAIN DATA'!$B:$B,'Share, heavy weapons to Ukraine'!$A37,'Bilateral assistance, MAIN DATA'!$AO:$AO,'Share, heavy weapons to Ukraine'!BA$1)</f>
        <v>0</v>
      </c>
      <c r="BB37" s="33">
        <f>SUMIFS('Bilateral assistance, MAIN DATA'!$N:$N,'Bilateral assistance, MAIN DATA'!$B:$B,'Share, heavy weapons to Ukraine'!$A37,'Bilateral assistance, MAIN DATA'!$AO:$AO,'Share, heavy weapons to Ukraine'!BB$1)</f>
        <v>0</v>
      </c>
      <c r="BC37" s="33">
        <f>SUMIFS('Bilateral assistance, MAIN DATA'!$N:$N,'Bilateral assistance, MAIN DATA'!$B:$B,'Share, heavy weapons to Ukraine'!$A37,'Bilateral assistance, MAIN DATA'!$AO:$AO,'Share, heavy weapons to Ukraine'!BC$1)</f>
        <v>0</v>
      </c>
      <c r="BD37" s="33">
        <f>SUMIFS('Bilateral assistance, MAIN DATA'!$N:$N,'Bilateral assistance, MAIN DATA'!$B:$B,'Share, heavy weapons to Ukraine'!$A37,'Bilateral assistance, MAIN DATA'!$AO:$AO,'Share, heavy weapons to Ukraine'!BD$1)</f>
        <v>0</v>
      </c>
      <c r="BF37" s="33">
        <f>IF(VLOOKUP($A37,$A:F,COLUMN(F36),FALSE)&lt;&gt;0,VLOOKUP($A37,$A:AD,COLUMN(AD36),FALSE)/VLOOKUP($A37,$A:F,COLUMN(F36),FALSE),IF(VLOOKUP($A37,$A:AD,COLUMN(AD36),FALSE)&lt;&gt;0,"Strange",0))</f>
        <v>0</v>
      </c>
      <c r="BG37" s="33">
        <f>IF(VLOOKUP($A37,$A:G,COLUMN(G36),FALSE)&lt;&gt;0,VLOOKUP($A37,$A:AE,COLUMN(AE36),FALSE)/VLOOKUP($A37,$A:G,COLUMN(G36),FALSE),IF(VLOOKUP($A37,$A:AE,COLUMN(AE36),FALSE)&lt;&gt;0,"Strange",0))</f>
        <v>0</v>
      </c>
      <c r="BH37" s="33">
        <f>IF(VLOOKUP($A37,$A:H,COLUMN(H36),FALSE)&lt;&gt;0,VLOOKUP($A37,$A:AF,COLUMN(AF36),FALSE)/VLOOKUP($A37,$A:H,COLUMN(H36),FALSE),IF(VLOOKUP($A37,$A:AF,COLUMN(AF36),FALSE)&lt;&gt;0,"Strange",0))</f>
        <v>0</v>
      </c>
      <c r="BI37" s="33">
        <f>IF(VLOOKUP($A37,$A:I,COLUMN(I36),FALSE)&lt;&gt;0,VLOOKUP($A37,$A:AG,COLUMN(AG36),FALSE)/VLOOKUP($A37,$A:I,COLUMN(I36),FALSE),IF(VLOOKUP($A37,$A:AG,COLUMN(AG36),FALSE)&lt;&gt;0,"Strange",0))</f>
        <v>0</v>
      </c>
      <c r="BJ37" s="33">
        <f>IF(VLOOKUP($A37,$A:J,COLUMN(J36),FALSE)&lt;&gt;0,VLOOKUP($A37,$A:AH,COLUMN(AH36),FALSE)/VLOOKUP($A37,$A:J,COLUMN(J36),FALSE),IF(VLOOKUP($A37,$A:AH,COLUMN(AH36),FALSE)&lt;&gt;0,"Strange",0))</f>
        <v>0</v>
      </c>
      <c r="BK37" s="33">
        <f>IF(VLOOKUP($A37,$A:K,COLUMN(K36),FALSE)&lt;&gt;0,VLOOKUP($A37,$A:AI,COLUMN(AI36),FALSE)/VLOOKUP($A37,$A:K,COLUMN(K36),FALSE),IF(VLOOKUP($A37,$A:AI,COLUMN(AI36),FALSE)&lt;&gt;0,"Strange",0))</f>
        <v>0</v>
      </c>
      <c r="BL37" s="33">
        <f>IF(VLOOKUP($A37,$A:L,COLUMN(L36),FALSE)&lt;&gt;0,VLOOKUP($A37,$A:AJ,COLUMN(AJ36),FALSE)/VLOOKUP($A37,$A:L,COLUMN(L36),FALSE),IF(VLOOKUP($A37,$A:AJ,COLUMN(AJ36),FALSE)&lt;&gt;0,"Strange",0))</f>
        <v>0</v>
      </c>
      <c r="BM37" s="33">
        <f>IF(VLOOKUP($A37,$A:M,COLUMN(M36),FALSE)&lt;&gt;0,VLOOKUP($A37,$A:AK,COLUMN(AK36),FALSE)/VLOOKUP($A37,$A:M,COLUMN(M36),FALSE),IF(VLOOKUP($A37,$A:AK,COLUMN(AK36),FALSE)&lt;&gt;0,"Strange",0))</f>
        <v>0</v>
      </c>
      <c r="BN37" s="33">
        <f>IF(VLOOKUP($A37,$A:N,COLUMN(N36),FALSE)&lt;&gt;0,VLOOKUP($A37,$A:AL,COLUMN(AL36),FALSE)/VLOOKUP($A37,$A:N,COLUMN(N36),FALSE),IF(VLOOKUP($A37,$A:AL,COLUMN(AL36),FALSE)&lt;&gt;0,"Strange",0))</f>
        <v>0</v>
      </c>
      <c r="BO37" s="33">
        <f>IF(VLOOKUP($A37,$A:Q,COLUMN(Q36),FALSE)&lt;&gt;0,VLOOKUP($A37,$A:AM,COLUMN(AM36),FALSE)/VLOOKUP($A37,$A:Q,COLUMN(Q36),FALSE),IF(VLOOKUP($A37,$A:AM,COLUMN(AM36),FALSE)&lt;&gt;0,"Strange",0))</f>
        <v>0</v>
      </c>
      <c r="BP37" s="33">
        <f>IF(VLOOKUP($A37,$A:R,COLUMN(R36),FALSE)&lt;&gt;0,VLOOKUP($A37,$A:AN,COLUMN(AN36),FALSE)/VLOOKUP($A37,$A:R,COLUMN(R36),FALSE),IF(VLOOKUP($A37,$A:AN,COLUMN(AN36),FALSE)&lt;&gt;0,"Strange",0))</f>
        <v>0</v>
      </c>
      <c r="BQ37" s="33">
        <f>IF(VLOOKUP($A37,$A:S,COLUMN(S36),FALSE)&lt;&gt;0,VLOOKUP($A37,$A:AO,COLUMN(AO36),FALSE)/VLOOKUP($A37,$A:S,COLUMN(S36),FALSE),IF(VLOOKUP($A37,$A:AO,COLUMN(AO36),FALSE)&lt;&gt;0,"Strange",0))</f>
        <v>0</v>
      </c>
      <c r="BR37" s="33">
        <f>IF(VLOOKUP($A37,$A:T,COLUMN(T36),FALSE)&lt;&gt;0,VLOOKUP($A37,$A:AP,COLUMN(AP36),FALSE)/VLOOKUP($A37,$A:T,COLUMN(T36),FALSE),IF(VLOOKUP($A37,$A:AP,COLUMN(AP36),FALSE)&lt;&gt;0,"Strange",0))</f>
        <v>0</v>
      </c>
      <c r="BT37" s="33">
        <f>IF(VLOOKUP($A37,$A:AE,COLUMN(F36),FALSE)&lt;&gt;0,VLOOKUP($A37,$A:AS,COLUMN(AR36),FALSE)/VLOOKUP($A37,$A:AE,COLUMN(F36),FALSE),IF(VLOOKUP($A37,$A:AS,COLUMN(AR36),FALSE)&lt;&gt;0,"Strange",0))</f>
        <v>0</v>
      </c>
      <c r="BU37" s="33">
        <f>IF(VLOOKUP($A37,$A:AF,COLUMN(G36),FALSE)&lt;&gt;0,VLOOKUP($A37,$A:AT,COLUMN(AS36),FALSE)/VLOOKUP($A37,$A:AF,COLUMN(G36),FALSE),IF(VLOOKUP($A37,$A:AT,COLUMN(AS36),FALSE)&lt;&gt;0,"Strange",0))</f>
        <v>0</v>
      </c>
      <c r="BV37" s="33">
        <f>IF(VLOOKUP($A37,$A:AG,COLUMN(H36),FALSE)&lt;&gt;0,VLOOKUP($A37,$A:AU,COLUMN(AT36),FALSE)/VLOOKUP($A37,$A:AG,COLUMN(H36),FALSE),IF(VLOOKUP($A37,$A:AU,COLUMN(AT36),FALSE)&lt;&gt;0,"Strange",0))</f>
        <v>0</v>
      </c>
      <c r="BW37" s="33">
        <f>IF(VLOOKUP($A37,$A:AH,COLUMN(I36),FALSE)&lt;&gt;0,VLOOKUP($A37,$A:AV,COLUMN(AU36),FALSE)/VLOOKUP($A37,$A:AH,COLUMN(I36),FALSE),IF(VLOOKUP($A37,$A:AV,COLUMN(AU36),FALSE)&lt;&gt;0,"Strange",0))</f>
        <v>0</v>
      </c>
      <c r="BX37" s="33">
        <f>IF(VLOOKUP($A37,$A:AJ,COLUMN(J36),FALSE)&lt;&gt;0,VLOOKUP($A37,$A:AX,COLUMN(AV36),FALSE)/VLOOKUP($A37,$A:AJ,COLUMN(J36),FALSE),IF(VLOOKUP($A37,$A:AX,COLUMN(AV36),FALSE)&lt;&gt;0,"Strange",0))</f>
        <v>0</v>
      </c>
      <c r="BY37" s="33">
        <f>IF(VLOOKUP($A37,$A:AK,COLUMN(K36),FALSE)&lt;&gt;0,VLOOKUP($A37,$A:AY,COLUMN(AW36),FALSE)/VLOOKUP($A37,$A:AK,COLUMN(K36),FALSE),IF(VLOOKUP($A37,$A:AY,COLUMN(AW36),FALSE)&lt;&gt;0,"Strange",0))</f>
        <v>0</v>
      </c>
      <c r="BZ37" s="33">
        <f>IF(VLOOKUP($A37,$A:AK,COLUMN(L36),FALSE)&lt;&gt;0,VLOOKUP($A37,$A:AY,COLUMN(AX36),FALSE)/VLOOKUP($A37,$A:AK,COLUMN(L36),FALSE),IF(VLOOKUP($A37,$A:AY,COLUMN(AX36),FALSE)&lt;&gt;0,"Strange",0))</f>
        <v>0</v>
      </c>
      <c r="CA37" s="33">
        <f>IF(VLOOKUP($A37,$A:AL,COLUMN(M36),FALSE)&lt;&gt;0,VLOOKUP($A37,$A:AZ,COLUMN(AY36),FALSE)/VLOOKUP($A37,$A:AL,COLUMN(M36),FALSE),IF(VLOOKUP($A37,$A:AZ,COLUMN(AY36),FALSE)&lt;&gt;0,"Strange",0))</f>
        <v>0</v>
      </c>
      <c r="CB37" s="33">
        <f>IF(VLOOKUP($A37,$A:AL,COLUMN(N36),FALSE)&lt;&gt;0,VLOOKUP($A37,$A:AZ,COLUMN(AZ36),FALSE)/VLOOKUP($A37,$A:AL,COLUMN(N36),FALSE),IF(VLOOKUP($A37,$A:AZ,COLUMN(AZ36),FALSE)&lt;&gt;0,"Strange",0))</f>
        <v>0</v>
      </c>
      <c r="CC37" s="33">
        <f>IF(VLOOKUP($A37,$A:AM,COLUMN(Q36),FALSE)&lt;&gt;0,VLOOKUP($A37,$A:BA,COLUMN(BA36),FALSE)/VLOOKUP($A37,$A:AM,COLUMN(Q36),FALSE),IF(VLOOKUP($A37,$A:BA,COLUMN(BA36),FALSE)&lt;&gt;0,"Strange",0))</f>
        <v>0</v>
      </c>
      <c r="CD37" s="33">
        <f>IF(VLOOKUP($A37,$A:AN,COLUMN(R36),FALSE)&lt;&gt;0,VLOOKUP($A37,$A:BB,COLUMN(BB36),FALSE)/VLOOKUP($A37,$A:AN,COLUMN(R36),FALSE),IF(VLOOKUP($A37,$A:BB,COLUMN(BB36),FALSE)&lt;&gt;0,"Strange",0))</f>
        <v>0</v>
      </c>
      <c r="CE37" s="33">
        <f>IF(VLOOKUP($A37,$A:AO,COLUMN(S36),FALSE)&lt;&gt;0,VLOOKUP($A37,$A:BC,COLUMN(BC36),FALSE)/VLOOKUP($A37,$A:AO,COLUMN(S36),FALSE),IF(VLOOKUP($A37,$A:BC,COLUMN(BC36),FALSE)&lt;&gt;0,"Strange",0))</f>
        <v>0</v>
      </c>
      <c r="CF37" s="33">
        <f>IF(VLOOKUP($A37,$A:AP,COLUMN(T36),FALSE)&lt;&gt;0,VLOOKUP($A37,$A:BD,COLUMN(BD36),FALSE)/VLOOKUP($A37,$A:AP,COLUMN(T36),FALSE),IF(VLOOKUP($A37,$A:BD,COLUMN(BD36),FALSE)&lt;&gt;0,"Strange",0))</f>
        <v>0</v>
      </c>
      <c r="CH37" s="33">
        <f>SUMIFS('Bilateral assistance, MAIN DATA'!$M:$M,'Bilateral assistance, MAIN DATA'!$B:$B,'Share, heavy weapons to Ukraine'!$A37,'Bilateral assistance, MAIN DATA'!$AO:$AO,'Share, heavy weapons to Ukraine'!CH$1,'Bilateral assistance, MAIN DATA'!$AQ:$AQ,2)</f>
        <v>0</v>
      </c>
      <c r="CI37" s="33">
        <f>SUMIFS('Bilateral assistance, MAIN DATA'!$M:$M,'Bilateral assistance, MAIN DATA'!$B:$B,'Share, heavy weapons to Ukraine'!$A37,'Bilateral assistance, MAIN DATA'!$AO:$AO,'Share, heavy weapons to Ukraine'!CI$1,'Bilateral assistance, MAIN DATA'!$AQ:$AQ,2)</f>
        <v>0</v>
      </c>
      <c r="CJ37" s="645">
        <f>SUMIFS('Bilateral assistance, MAIN DATA'!$M:$M,'Bilateral assistance, MAIN DATA'!$B:$B,'Share, heavy weapons to Ukraine'!$A37,'Bilateral assistance, MAIN DATA'!$AO:$AO,"122mm MLRS",'Bilateral assistance, MAIN DATA'!$AQ:$AQ,2)+SUMIFS('Bilateral assistance, MAIN DATA'!$M:$M,'Bilateral assistance, MAIN DATA'!$B:$B,'Share, heavy weapons to Ukraine'!$A37,'Bilateral assistance, MAIN DATA'!$AO:$AO,"127mm MLRS",'Bilateral assistance, MAIN DATA'!$AQ:$AQ,2)+SUMIFS('Bilateral assistance, MAIN DATA'!$M:$M,'Bilateral assistance, MAIN DATA'!$B:$B,'Share, heavy weapons to Ukraine'!$A37,'Bilateral assistance, MAIN DATA'!$AO:$AO,"227mm MLRS",'Bilateral assistance, MAIN DATA'!$AQ:$AQ,2)</f>
        <v>0</v>
      </c>
      <c r="CL37" s="33">
        <f>SUMIFS('Bilateral assistance, MAIN DATA'!$M:$M,'Bilateral assistance, MAIN DATA'!$B:$B,'Share, heavy weapons to Ukraine'!$A37,'Bilateral assistance, MAIN DATA'!$AO:$AO,'Share, heavy weapons to Ukraine'!CH$1,'Bilateral assistance, MAIN DATA'!$AQ:$AQ,1)</f>
        <v>0</v>
      </c>
      <c r="CM37" s="33">
        <f>SUMIFS('Bilateral assistance, MAIN DATA'!$M:$M,'Bilateral assistance, MAIN DATA'!$B:$B,'Share, heavy weapons to Ukraine'!$A37,'Bilateral assistance, MAIN DATA'!$AO:$AO,'Share, heavy weapons to Ukraine'!CI$1,'Bilateral assistance, MAIN DATA'!$AQ:$AQ,1)</f>
        <v>0</v>
      </c>
      <c r="CN37" s="645">
        <f>SUMIFS('Bilateral assistance, MAIN DATA'!$M:$M,'Bilateral assistance, MAIN DATA'!$B:$B,'Share, heavy weapons to Ukraine'!$A37,'Bilateral assistance, MAIN DATA'!$AO:$AO,"122mm MLRS",'Bilateral assistance, MAIN DATA'!$AQ:$AQ,1)+SUMIFS('Bilateral assistance, MAIN DATA'!$M:$M,'Bilateral assistance, MAIN DATA'!$B:$B,'Share, heavy weapons to Ukraine'!$A37,'Bilateral assistance, MAIN DATA'!$AO:$AO,"127mm MLRS",'Bilateral assistance, MAIN DATA'!$AQ:$AQ,1)+SUMIFS('Bilateral assistance, MAIN DATA'!$M:$M,'Bilateral assistance, MAIN DATA'!$B:$B,'Share, heavy weapons to Ukraine'!$A37,'Bilateral assistance, MAIN DATA'!$AO:$AO,"227mm MLRS",'Bilateral assistance, MAIN DATA'!$AQ:$AQ,1)</f>
        <v>0</v>
      </c>
      <c r="CP37" s="33">
        <f>SUMIFS('Bilateral assistance, MAIN DATA'!$M:$M,'Bilateral assistance, MAIN DATA'!$B:$B,'Share, heavy weapons to Ukraine'!$A37,'Bilateral assistance, MAIN DATA'!$AO:$AO,'Share, heavy weapons to Ukraine'!CP$1,'Bilateral assistance, MAIN DATA'!$AQ:$AQ,0)</f>
        <v>0</v>
      </c>
      <c r="CQ37" s="33">
        <f>SUMIFS('Bilateral assistance, MAIN DATA'!$M:$M,'Bilateral assistance, MAIN DATA'!$B:$B,'Share, heavy weapons to Ukraine'!$A37,'Bilateral assistance, MAIN DATA'!$AO:$AO,'Share, heavy weapons to Ukraine'!CQ$1,'Bilateral assistance, MAIN DATA'!$AQ:$AQ,0)</f>
        <v>0</v>
      </c>
      <c r="CR37" s="645">
        <f>SUMIFS('Bilateral assistance, MAIN DATA'!$M:$M,'Bilateral assistance, MAIN DATA'!$B:$B,'Share, heavy weapons to Ukraine'!$A37,'Bilateral assistance, MAIN DATA'!$AO:$AO,"122mm MLRS",'Bilateral assistance, MAIN DATA'!$AQ:$AQ,0)+SUMIFS('Bilateral assistance, MAIN DATA'!$M:$M,'Bilateral assistance, MAIN DATA'!$B:$B,'Share, heavy weapons to Ukraine'!$A37,'Bilateral assistance, MAIN DATA'!$AO:$AO,"127mm MLRS",'Bilateral assistance, MAIN DATA'!$AQ:$AQ,0)+SUMIFS('Bilateral assistance, MAIN DATA'!$M:$M,'Bilateral assistance, MAIN DATA'!$B:$B,'Share, heavy weapons to Ukraine'!$A37,'Bilateral assistance, MAIN DATA'!$AO:$AO,"227mm MLRS",'Bilateral assistance, MAIN DATA'!$AQ:$AQ,0)</f>
        <v>0</v>
      </c>
      <c r="CT37" s="33">
        <f>IF(VLOOKUP($A37,$A:CS,COLUMN(F36),FALSE)&lt;&gt;0,VLOOKUP($A37,$A:CS,COLUMN(CH36),FALSE)/VLOOKUP($A37,$A:AU,COLUMN(F36),FALSE),IF(VLOOKUP($A37,$A:CS,COLUMN(CH36),FALSE)&lt;&gt;0,"Strange",0))</f>
        <v>0</v>
      </c>
      <c r="CU37" s="33">
        <f>IF(VLOOKUP($A37,$A:CS,COLUMN(L36),FALSE)&lt;&gt;0,VLOOKUP($A37,$A:CS,COLUMN(CI36),FALSE)/VLOOKUP($A37,$A:AU,COLUMN(L36),FALSE),IF(VLOOKUP($A37,$A:CS,COLUMN(CI36),FALSE)&lt;&gt;0,"Strange",0))</f>
        <v>0</v>
      </c>
      <c r="CV37" s="33">
        <f>IF(VLOOKUP($A37,$A:CT,COLUMN(M36),FALSE)&lt;&gt;0,VLOOKUP($A37,$A:CT,COLUMN(CJ36),FALSE)/VLOOKUP($A37,$A:AV,COLUMN(M36),FALSE),IF(VLOOKUP($A37,$A:CT,COLUMN(CJ36),FALSE)&lt;&gt;0,"Strange",0))</f>
        <v>0</v>
      </c>
      <c r="CX37" s="33">
        <f>IF(VLOOKUP($A37,$A:CS,COLUMN(F36),FALSE)&lt;&gt;0,VLOOKUP($A37,$A:CS,COLUMN(CL36),FALSE)/VLOOKUP($A37,$A:AU,COLUMN(F36),FALSE),IF(VLOOKUP($A37,$A:CS,COLUMN(CL36),FALSE)&lt;&gt;0,"Strange",0))</f>
        <v>0</v>
      </c>
      <c r="CY37" s="33">
        <f>IF(VLOOKUP($A37,$A:CS,COLUMN(L36),FALSE)&lt;&gt;0,VLOOKUP($A37,$A:CS,COLUMN(CM36),FALSE)/VLOOKUP($A37,$A:AU,COLUMN(L36),FALSE),IF(VLOOKUP($A37,$A:CS,COLUMN(CM36),FALSE)&lt;&gt;0,"Strange",0))</f>
        <v>0</v>
      </c>
      <c r="CZ37" s="33">
        <f>IF(VLOOKUP($A37,$A:CT,COLUMN(M36),FALSE)&lt;&gt;0,VLOOKUP($A37,$A:CT,COLUMN(CN36),FALSE)/VLOOKUP($A37,$A:AV,COLUMN(M36),FALSE),IF(VLOOKUP($A37,$A:CT,COLUMN(CN36),FALSE)&lt;&gt;0,"Strange",0))</f>
        <v>0</v>
      </c>
      <c r="DB37" s="33">
        <f>IF(VLOOKUP($A37,$A:CS,COLUMN(F36),FALSE)&lt;&gt;0,VLOOKUP($A37,$A:CS,COLUMN(CP36),FALSE)/VLOOKUP($A37,$A:AU,COLUMN(F36),FALSE),IF(VLOOKUP($A37,$A:CS,COLUMN(CP36),FALSE)&lt;&gt;0,"Strange",0))</f>
        <v>0</v>
      </c>
      <c r="DC37" s="33">
        <f>IF(VLOOKUP($A37,$A:CS,COLUMN(L36),FALSE)&lt;&gt;0,VLOOKUP($A37,$A:CS,COLUMN(CQ36),FALSE)/VLOOKUP($A37,$A:AU,COLUMN(L36),FALSE),IF(VLOOKUP($A37,$A:CS,COLUMN(CQ36),FALSE)&lt;&gt;0,"Strange",0))</f>
        <v>0</v>
      </c>
      <c r="DD37" s="33">
        <f>IF(VLOOKUP($A37,$A:CT,COLUMN(M36),FALSE)&lt;&gt;0,VLOOKUP($A37,$A:CT,COLUMN(CR36),FALSE)/VLOOKUP($A37,$A:AV,COLUMN(M36),FALSE),IF(VLOOKUP($A37,$A:CT,COLUMN(CR36),FALSE)&lt;&gt;0,"Strange",0))</f>
        <v>0</v>
      </c>
      <c r="DF37" s="33">
        <f>SUMIFS('Bilateral assistance, MAIN DATA'!$M:$M,'Bilateral assistance, MAIN DATA'!$B:$B,'Share, heavy weapons to Ukraine'!$A37,'Bilateral assistance, MAIN DATA'!$AO:$AO,'Share, heavy weapons to Ukraine'!DF$1, 'Bilateral assistance, MAIN DATA'!$AA:$AA,1)</f>
        <v>0</v>
      </c>
      <c r="DG37" s="33">
        <f>SUMIFS('Bilateral assistance, MAIN DATA'!$M:$M,'Bilateral assistance, MAIN DATA'!$B:$B,'Share, heavy weapons to Ukraine'!$A37,'Bilateral assistance, MAIN DATA'!$AO:$AO,'Share, heavy weapons to Ukraine'!DG$1, 'Bilateral assistance, MAIN DATA'!$AA:$AA,1)</f>
        <v>0</v>
      </c>
      <c r="DH37" s="33">
        <f>SUMIFS('Bilateral assistance, MAIN DATA'!$M:$M,'Bilateral assistance, MAIN DATA'!$B:$B,'Share, heavy weapons to Ukraine'!$A37,'Bilateral assistance, MAIN DATA'!$AO:$AO,'Share, heavy weapons to Ukraine'!DH$1, 'Bilateral assistance, MAIN DATA'!$AA:$AA,1)</f>
        <v>0</v>
      </c>
      <c r="DI37" s="33">
        <f>SUMIFS('Bilateral assistance, MAIN DATA'!$M:$M,'Bilateral assistance, MAIN DATA'!$B:$B,'Share, heavy weapons to Ukraine'!$A37,'Bilateral assistance, MAIN DATA'!$AO:$AO,'Share, heavy weapons to Ukraine'!DI$1, 'Bilateral assistance, MAIN DATA'!$AA:$AA,1)</f>
        <v>0</v>
      </c>
      <c r="DK37" s="33">
        <f>SUMIFS('Bilateral assistance, MAIN DATA'!$N:$N,'Bilateral assistance, MAIN DATA'!$B:$B,'Share, heavy weapons to Ukraine'!$A37,'Bilateral assistance, MAIN DATA'!$AO:$AO,'Share, heavy weapons to Ukraine'!DK$1, 'Bilateral assistance, MAIN DATA'!$AA:$AA,1)</f>
        <v>0</v>
      </c>
      <c r="DL37" s="33">
        <f>SUMIFS('Bilateral assistance, MAIN DATA'!$N:$N,'Bilateral assistance, MAIN DATA'!$B:$B,'Share, heavy weapons to Ukraine'!$A37,'Bilateral assistance, MAIN DATA'!$AO:$AO,'Share, heavy weapons to Ukraine'!DL$1, 'Bilateral assistance, MAIN DATA'!$AA:$AA,1)</f>
        <v>0</v>
      </c>
      <c r="DM37" s="33">
        <f>SUMIFS('Bilateral assistance, MAIN DATA'!$N:$N,'Bilateral assistance, MAIN DATA'!$B:$B,'Share, heavy weapons to Ukraine'!$A37,'Bilateral assistance, MAIN DATA'!$AO:$AO,'Share, heavy weapons to Ukraine'!DM$1, 'Bilateral assistance, MAIN DATA'!$AA:$AA,1)</f>
        <v>0</v>
      </c>
      <c r="DN37" s="33">
        <f>SUMIFS('Bilateral assistance, MAIN DATA'!$N:$N,'Bilateral assistance, MAIN DATA'!$B:$B,'Share, heavy weapons to Ukraine'!$A37,'Bilateral assistance, MAIN DATA'!$AO:$AO,'Share, heavy weapons to Ukraine'!DN$1, 'Bilateral assistance, MAIN DATA'!$AA:$AA,1)</f>
        <v>0</v>
      </c>
    </row>
    <row r="38" spans="1:118">
      <c r="A38" s="801" t="s">
        <v>4191</v>
      </c>
      <c r="B38" s="801">
        <v>1</v>
      </c>
      <c r="C38" s="33">
        <v>0</v>
      </c>
      <c r="E38" s="802">
        <v>0.20899999999999999</v>
      </c>
      <c r="F38" s="801">
        <f>VLOOKUP(A38,'Heavy weapon stocks'!A:OH,COLUMN('Heavy weapon stocks'!$G$1),0)</f>
        <v>0</v>
      </c>
      <c r="G38" s="801">
        <f>VLOOKUP(A38,'Heavy weapon stocks'!A:OH,COLUMN('Heavy weapon stocks'!$AW$1),0)</f>
        <v>0</v>
      </c>
      <c r="H38" s="801">
        <f>VLOOKUP(A38,'Heavy weapon stocks'!A:OH,COLUMN('Heavy weapon stocks'!$DQ$1),0)</f>
        <v>0</v>
      </c>
      <c r="I38" s="801">
        <f>VLOOKUP(A38,'Heavy weapon stocks'!A:OH,COLUMN('Heavy weapon stocks'!$EE$1),0)</f>
        <v>0</v>
      </c>
      <c r="J38" s="801">
        <f>VLOOKUP(A38,'Heavy weapon stocks'!A:OH,COLUMN('Heavy weapon stocks'!$FG$1),0)</f>
        <v>0</v>
      </c>
      <c r="K38" s="801">
        <f t="shared" si="0"/>
        <v>0</v>
      </c>
      <c r="L38" s="801">
        <f>VLOOKUP(A38,'Heavy weapon stocks'!A:OH,COLUMN('Heavy weapon stocks'!$HC$1),0)+VLOOKUP(A38,'Heavy weapon stocks'!A:OH,COLUMN('Heavy weapon stocks'!$II$1),0)</f>
        <v>0</v>
      </c>
      <c r="M38" s="801">
        <f>VLOOKUP(A38,'Heavy weapon stocks'!A:OH,COLUMN('Heavy weapon stocks'!$IN$1),0)</f>
        <v>0</v>
      </c>
      <c r="N38" s="801">
        <f>VLOOKUP(A38,'Heavy weapon stocks'!A:OH,COLUMN('Heavy weapon stocks'!$JH$1),0)+VLOOKUP(A38,'Heavy weapon stocks'!A:OH,COLUMN('Heavy weapon stocks'!$KE$1),0)</f>
        <v>0</v>
      </c>
      <c r="O38" s="801">
        <f>VLOOKUP(A38,'Heavy weapon stocks'!A:OH,COLUMN('Heavy weapon stocks'!$LU$1),0)</f>
        <v>0</v>
      </c>
      <c r="Q38" s="801">
        <f>VLOOKUP(A38,'Heavy weapon stocks'!A:OH,COLUMN('Heavy weapon stocks'!$LV$1),0)</f>
        <v>0</v>
      </c>
      <c r="R38" s="801">
        <f>VLOOKUP(A38,'Heavy weapon stocks'!A:OH,COLUMN('Heavy weapon stocks'!$MF$1),0)</f>
        <v>0</v>
      </c>
      <c r="S38" s="801">
        <f>VLOOKUP(A38,'Heavy weapon stocks'!A:OH,COLUMN('Heavy weapon stocks'!$MM$1),0)</f>
        <v>0</v>
      </c>
      <c r="T38" s="801">
        <f>VLOOKUP(A38,'Heavy weapon stocks'!A:OH,COLUMN('Heavy weapon stocks'!$NR$1),0)</f>
        <v>0</v>
      </c>
      <c r="V38" s="801">
        <f>VLOOKUP(A38,'Heavy weapon stocks'!A:OH,COLUMN('Heavy weapon stocks'!$H$1),0)</f>
        <v>0</v>
      </c>
      <c r="W38" s="801">
        <f>VLOOKUP(A38,'Heavy weapon stocks'!A:OH,COLUMN('Heavy weapon stocks'!$DQ$1),0)</f>
        <v>0</v>
      </c>
      <c r="X38" s="801">
        <f>VLOOKUP(A38,'Heavy weapon stocks'!A:OH,COLUMN('Heavy weapon stocks'!$FG$1),0)</f>
        <v>0</v>
      </c>
      <c r="Y38" s="801">
        <f>VLOOKUP(A38,'Heavy weapon stocks'!A:OH,COLUMN('Heavy weapon stocks'!$HC$1),0)+VLOOKUP(A38,'Heavy weapon stocks'!A:OH,COLUMN('Heavy weapon stocks'!$II$1),0)</f>
        <v>0</v>
      </c>
      <c r="Z38" s="801">
        <f>VLOOKUP(A38,'Heavy weapon stocks'!A:OH,COLUMN('Heavy weapon stocks'!$IO$1),0)+VLOOKUP(A38,'Heavy weapon stocks'!A:OH,COLUMN('Heavy weapon stocks'!$IP$1),0)+VLOOKUP(A38,'Heavy weapon stocks'!A:OH,COLUMN('Heavy weapon stocks'!$IU$1),0)</f>
        <v>0</v>
      </c>
      <c r="AA38" s="801">
        <f>VLOOKUP(A38,'Heavy weapon stocks'!A:OH,COLUMN('Heavy weapon stocks'!$MI$1),0)</f>
        <v>0</v>
      </c>
      <c r="AB38" s="801">
        <f>VLOOKUP(A38,'Heavy weapon stocks'!A:OH,COLUMN('Heavy weapon stocks'!$MS$1),0)+VLOOKUP(A38,'Heavy weapon stocks'!A:OH,COLUMN('Heavy weapon stocks'!$MT$1),0)+VLOOKUP(A38,'Heavy weapon stocks'!A:OH,COLUMN('Heavy weapon stocks'!$MU$1),0)+VLOOKUP(A38,'Heavy weapon stocks'!A:OH,COLUMN('Heavy weapon stocks'!$MV$1),0)</f>
        <v>0</v>
      </c>
      <c r="AD38" s="33">
        <f>SUMIFS('Bilateral assistance, MAIN DATA'!$M:$M,'Bilateral assistance, MAIN DATA'!$B:$B,'Share, heavy weapons to Ukraine'!$A38,'Bilateral assistance, MAIN DATA'!$AO:$AO,'Share, heavy weapons to Ukraine'!AD$1)</f>
        <v>0</v>
      </c>
      <c r="AE38" s="33">
        <f>SUMIFS('Bilateral assistance, MAIN DATA'!$M:$M,'Bilateral assistance, MAIN DATA'!$B:$B,'Share, heavy weapons to Ukraine'!$A38,'Bilateral assistance, MAIN DATA'!$AO:$AO,'Share, heavy weapons to Ukraine'!AE$1)</f>
        <v>0</v>
      </c>
      <c r="AF38" s="33">
        <f>SUMIFS('Bilateral assistance, MAIN DATA'!$M:$M,'Bilateral assistance, MAIN DATA'!$B:$B,'Share, heavy weapons to Ukraine'!$A38,'Bilateral assistance, MAIN DATA'!$AO:$AO,'Share, heavy weapons to Ukraine'!AF$1)</f>
        <v>0</v>
      </c>
      <c r="AG38" s="33">
        <f>SUMIFS('Bilateral assistance, MAIN DATA'!$M:$M,'Bilateral assistance, MAIN DATA'!$B:$B,'Share, heavy weapons to Ukraine'!$A38,'Bilateral assistance, MAIN DATA'!$AO:$AO,'Share, heavy weapons to Ukraine'!AG$1)</f>
        <v>0</v>
      </c>
      <c r="AH38" s="33">
        <f>SUMIFS('Bilateral assistance, MAIN DATA'!$M:$M,'Bilateral assistance, MAIN DATA'!$B:$B,'Share, heavy weapons to Ukraine'!$A38,'Bilateral assistance, MAIN DATA'!$AO:$AO,'Share, heavy weapons to Ukraine'!AH$1)</f>
        <v>0</v>
      </c>
      <c r="AI38" s="33">
        <f t="shared" si="1"/>
        <v>0</v>
      </c>
      <c r="AJ38" s="33">
        <f>SUMIFS('Bilateral assistance, MAIN DATA'!$M:$M,'Bilateral assistance, MAIN DATA'!$B:$B,'Share, heavy weapons to Ukraine'!$A38,'Bilateral assistance, MAIN DATA'!$AO:$AO,'Share, heavy weapons to Ukraine'!AJ$1)</f>
        <v>0</v>
      </c>
      <c r="AK38" s="645">
        <f>SUMIFS('Bilateral assistance, MAIN DATA'!$M:$M,'Bilateral assistance, MAIN DATA'!$B:$B,'Share, heavy weapons to Ukraine'!$A38,'Bilateral assistance, MAIN DATA'!$AO:$AO,"122mm MLRS")+SUMIFS('Bilateral assistance, MAIN DATA'!$M:$M,'Bilateral assistance, MAIN DATA'!$B:$B,'Share, heavy weapons to Ukraine'!$A38,'Bilateral assistance, MAIN DATA'!$AO:$AO,"127mm MLRS")+SUMIFS('Bilateral assistance, MAIN DATA'!$M:$M,'Bilateral assistance, MAIN DATA'!$B:$B,'Share, heavy weapons to Ukraine'!$A38,'Bilateral assistance, MAIN DATA'!$AO:$AO,"227mm MLRS")</f>
        <v>0</v>
      </c>
      <c r="AL38" s="33">
        <f>SUMIFS('Bilateral assistance, MAIN DATA'!$M:$M,'Bilateral assistance, MAIN DATA'!$B:$B,'Share, heavy weapons to Ukraine'!$A38,'Bilateral assistance, MAIN DATA'!$AO:$AO,'Share, heavy weapons to Ukraine'!AL$1)</f>
        <v>0</v>
      </c>
      <c r="AM38" s="33">
        <f>SUMIFS('Bilateral assistance, MAIN DATA'!$M:$M,'Bilateral assistance, MAIN DATA'!$B:$B,'Share, heavy weapons to Ukraine'!$A38,'Bilateral assistance, MAIN DATA'!$AO:$AO,'Share, heavy weapons to Ukraine'!AM$1)</f>
        <v>0</v>
      </c>
      <c r="AN38" s="33">
        <f>SUMIFS('Bilateral assistance, MAIN DATA'!$M:$M,'Bilateral assistance, MAIN DATA'!$B:$B,'Share, heavy weapons to Ukraine'!$A38,'Bilateral assistance, MAIN DATA'!$AO:$AO,'Share, heavy weapons to Ukraine'!AN$1)</f>
        <v>0</v>
      </c>
      <c r="AO38" s="33">
        <f>SUMIFS('Bilateral assistance, MAIN DATA'!$M:$M,'Bilateral assistance, MAIN DATA'!$B:$B,'Share, heavy weapons to Ukraine'!$A38,'Bilateral assistance, MAIN DATA'!$AO:$AO,'Share, heavy weapons to Ukraine'!AO$1)</f>
        <v>0</v>
      </c>
      <c r="AP38" s="33">
        <f>SUMIFS('Bilateral assistance, MAIN DATA'!$M:$M,'Bilateral assistance, MAIN DATA'!$B:$B,'Share, heavy weapons to Ukraine'!$A38,'Bilateral assistance, MAIN DATA'!$AO:$AO,'Share, heavy weapons to Ukraine'!AP$1)</f>
        <v>0</v>
      </c>
      <c r="AR38" s="33">
        <f>SUMIFS('Bilateral assistance, MAIN DATA'!$N:$N,'Bilateral assistance, MAIN DATA'!$B:$B,'Share, heavy weapons to Ukraine'!$A38,'Bilateral assistance, MAIN DATA'!$AO:$AO,'Share, heavy weapons to Ukraine'!AR$1)</f>
        <v>0</v>
      </c>
      <c r="AS38" s="33">
        <f>SUMIFS('Bilateral assistance, MAIN DATA'!$N:$N,'Bilateral assistance, MAIN DATA'!$B:$B,'Share, heavy weapons to Ukraine'!$A38,'Bilateral assistance, MAIN DATA'!$AO:$AO,'Share, heavy weapons to Ukraine'!AS$1)</f>
        <v>0</v>
      </c>
      <c r="AT38" s="33">
        <f>SUMIFS('Bilateral assistance, MAIN DATA'!$N:$N,'Bilateral assistance, MAIN DATA'!$B:$B,'Share, heavy weapons to Ukraine'!$A38,'Bilateral assistance, MAIN DATA'!$AO:$AO,'Share, heavy weapons to Ukraine'!AT$1)</f>
        <v>0</v>
      </c>
      <c r="AU38" s="33">
        <f>SUMIFS('Bilateral assistance, MAIN DATA'!$N:$N,'Bilateral assistance, MAIN DATA'!$B:$B,'Share, heavy weapons to Ukraine'!$A38,'Bilateral assistance, MAIN DATA'!$AO:$AO,'Share, heavy weapons to Ukraine'!AU$1)</f>
        <v>0</v>
      </c>
      <c r="AV38" s="33">
        <f>SUMIFS('Bilateral assistance, MAIN DATA'!$N:$N,'Bilateral assistance, MAIN DATA'!$B:$B,'Share, heavy weapons to Ukraine'!$A38,'Bilateral assistance, MAIN DATA'!$AO:$AO,'Share, heavy weapons to Ukraine'!AV$1)</f>
        <v>0</v>
      </c>
      <c r="AW38" s="33">
        <f t="shared" si="2"/>
        <v>0</v>
      </c>
      <c r="AX38" s="33">
        <f>SUMIFS('Bilateral assistance, MAIN DATA'!$N:$N,'Bilateral assistance, MAIN DATA'!$B:$B,'Share, heavy weapons to Ukraine'!$A38,'Bilateral assistance, MAIN DATA'!$AO:$AO,'Share, heavy weapons to Ukraine'!AX$1)</f>
        <v>0</v>
      </c>
      <c r="AY38" s="645">
        <f>SUMIFS('Bilateral assistance, MAIN DATA'!$N:$N,'Bilateral assistance, MAIN DATA'!$B:$B,'Share, heavy weapons to Ukraine'!$A38,'Bilateral assistance, MAIN DATA'!$AO:$AO,"122mm MLRS")+SUMIFS('Bilateral assistance, MAIN DATA'!$N:$N,'Bilateral assistance, MAIN DATA'!$B:$B,'Share, heavy weapons to Ukraine'!$A38,'Bilateral assistance, MAIN DATA'!$AO:$AO,"127mm MLRS")+SUMIFS('Bilateral assistance, MAIN DATA'!$N:$N,'Bilateral assistance, MAIN DATA'!$B:$B,'Share, heavy weapons to Ukraine'!$A38,'Bilateral assistance, MAIN DATA'!$AO:$AO,"227mm MLRS")</f>
        <v>0</v>
      </c>
      <c r="AZ38" s="33">
        <f>SUMIFS('Bilateral assistance, MAIN DATA'!$N:$N,'Bilateral assistance, MAIN DATA'!$B:$B,'Share, heavy weapons to Ukraine'!$A38,'Bilateral assistance, MAIN DATA'!$AO:$AO,'Share, heavy weapons to Ukraine'!AZ$1)</f>
        <v>0</v>
      </c>
      <c r="BA38" s="33">
        <f>SUMIFS('Bilateral assistance, MAIN DATA'!$N:$N,'Bilateral assistance, MAIN DATA'!$B:$B,'Share, heavy weapons to Ukraine'!$A38,'Bilateral assistance, MAIN DATA'!$AO:$AO,'Share, heavy weapons to Ukraine'!BA$1)</f>
        <v>0</v>
      </c>
      <c r="BB38" s="33">
        <f>SUMIFS('Bilateral assistance, MAIN DATA'!$N:$N,'Bilateral assistance, MAIN DATA'!$B:$B,'Share, heavy weapons to Ukraine'!$A38,'Bilateral assistance, MAIN DATA'!$AO:$AO,'Share, heavy weapons to Ukraine'!BB$1)</f>
        <v>0</v>
      </c>
      <c r="BC38" s="33">
        <f>SUMIFS('Bilateral assistance, MAIN DATA'!$N:$N,'Bilateral assistance, MAIN DATA'!$B:$B,'Share, heavy weapons to Ukraine'!$A38,'Bilateral assistance, MAIN DATA'!$AO:$AO,'Share, heavy weapons to Ukraine'!BC$1)</f>
        <v>0</v>
      </c>
      <c r="BD38" s="33">
        <f>SUMIFS('Bilateral assistance, MAIN DATA'!$N:$N,'Bilateral assistance, MAIN DATA'!$B:$B,'Share, heavy weapons to Ukraine'!$A38,'Bilateral assistance, MAIN DATA'!$AO:$AO,'Share, heavy weapons to Ukraine'!BD$1)</f>
        <v>0</v>
      </c>
      <c r="BF38" s="33">
        <f>IF(VLOOKUP($A38,$A:F,COLUMN(F37),FALSE)&lt;&gt;0,VLOOKUP($A38,$A:AD,COLUMN(AD37),FALSE)/VLOOKUP($A38,$A:F,COLUMN(F37),FALSE),IF(VLOOKUP($A38,$A:AD,COLUMN(AD37),FALSE)&lt;&gt;0,"Strange",0))</f>
        <v>0</v>
      </c>
      <c r="BG38" s="33">
        <f>IF(VLOOKUP($A38,$A:G,COLUMN(G37),FALSE)&lt;&gt;0,VLOOKUP($A38,$A:AE,COLUMN(AE37),FALSE)/VLOOKUP($A38,$A:G,COLUMN(G37),FALSE),IF(VLOOKUP($A38,$A:AE,COLUMN(AE37),FALSE)&lt;&gt;0,"Strange",0))</f>
        <v>0</v>
      </c>
      <c r="BH38" s="33">
        <f>IF(VLOOKUP($A38,$A:H,COLUMN(H37),FALSE)&lt;&gt;0,VLOOKUP($A38,$A:AF,COLUMN(AF37),FALSE)/VLOOKUP($A38,$A:H,COLUMN(H37),FALSE),IF(VLOOKUP($A38,$A:AF,COLUMN(AF37),FALSE)&lt;&gt;0,"Strange",0))</f>
        <v>0</v>
      </c>
      <c r="BI38" s="33">
        <f>IF(VLOOKUP($A38,$A:I,COLUMN(I37),FALSE)&lt;&gt;0,VLOOKUP($A38,$A:AG,COLUMN(AG37),FALSE)/VLOOKUP($A38,$A:I,COLUMN(I37),FALSE),IF(VLOOKUP($A38,$A:AG,COLUMN(AG37),FALSE)&lt;&gt;0,"Strange",0))</f>
        <v>0</v>
      </c>
      <c r="BJ38" s="33">
        <f>IF(VLOOKUP($A38,$A:J,COLUMN(J37),FALSE)&lt;&gt;0,VLOOKUP($A38,$A:AH,COLUMN(AH37),FALSE)/VLOOKUP($A38,$A:J,COLUMN(J37),FALSE),IF(VLOOKUP($A38,$A:AH,COLUMN(AH37),FALSE)&lt;&gt;0,"Strange",0))</f>
        <v>0</v>
      </c>
      <c r="BK38" s="33">
        <f>IF(VLOOKUP($A38,$A:K,COLUMN(K37),FALSE)&lt;&gt;0,VLOOKUP($A38,$A:AI,COLUMN(AI37),FALSE)/VLOOKUP($A38,$A:K,COLUMN(K37),FALSE),IF(VLOOKUP($A38,$A:AI,COLUMN(AI37),FALSE)&lt;&gt;0,"Strange",0))</f>
        <v>0</v>
      </c>
      <c r="BL38" s="33">
        <f>IF(VLOOKUP($A38,$A:L,COLUMN(L37),FALSE)&lt;&gt;0,VLOOKUP($A38,$A:AJ,COLUMN(AJ37),FALSE)/VLOOKUP($A38,$A:L,COLUMN(L37),FALSE),IF(VLOOKUP($A38,$A:AJ,COLUMN(AJ37),FALSE)&lt;&gt;0,"Strange",0))</f>
        <v>0</v>
      </c>
      <c r="BM38" s="33">
        <f>IF(VLOOKUP($A38,$A:M,COLUMN(M37),FALSE)&lt;&gt;0,VLOOKUP($A38,$A:AK,COLUMN(AK37),FALSE)/VLOOKUP($A38,$A:M,COLUMN(M37),FALSE),IF(VLOOKUP($A38,$A:AK,COLUMN(AK37),FALSE)&lt;&gt;0,"Strange",0))</f>
        <v>0</v>
      </c>
      <c r="BN38" s="33">
        <f>IF(VLOOKUP($A38,$A:N,COLUMN(N37),FALSE)&lt;&gt;0,VLOOKUP($A38,$A:AL,COLUMN(AL37),FALSE)/VLOOKUP($A38,$A:N,COLUMN(N37),FALSE),IF(VLOOKUP($A38,$A:AL,COLUMN(AL37),FALSE)&lt;&gt;0,"Strange",0))</f>
        <v>0</v>
      </c>
      <c r="BO38" s="33">
        <f>IF(VLOOKUP($A38,$A:Q,COLUMN(Q37),FALSE)&lt;&gt;0,VLOOKUP($A38,$A:AM,COLUMN(AM37),FALSE)/VLOOKUP($A38,$A:Q,COLUMN(Q37),FALSE),IF(VLOOKUP($A38,$A:AM,COLUMN(AM37),FALSE)&lt;&gt;0,"Strange",0))</f>
        <v>0</v>
      </c>
      <c r="BP38" s="33">
        <f>IF(VLOOKUP($A38,$A:R,COLUMN(R37),FALSE)&lt;&gt;0,VLOOKUP($A38,$A:AN,COLUMN(AN37),FALSE)/VLOOKUP($A38,$A:R,COLUMN(R37),FALSE),IF(VLOOKUP($A38,$A:AN,COLUMN(AN37),FALSE)&lt;&gt;0,"Strange",0))</f>
        <v>0</v>
      </c>
      <c r="BQ38" s="33">
        <f>IF(VLOOKUP($A38,$A:S,COLUMN(S37),FALSE)&lt;&gt;0,VLOOKUP($A38,$A:AO,COLUMN(AO37),FALSE)/VLOOKUP($A38,$A:S,COLUMN(S37),FALSE),IF(VLOOKUP($A38,$A:AO,COLUMN(AO37),FALSE)&lt;&gt;0,"Strange",0))</f>
        <v>0</v>
      </c>
      <c r="BR38" s="33">
        <f>IF(VLOOKUP($A38,$A:T,COLUMN(T37),FALSE)&lt;&gt;0,VLOOKUP($A38,$A:AP,COLUMN(AP37),FALSE)/VLOOKUP($A38,$A:T,COLUMN(T37),FALSE),IF(VLOOKUP($A38,$A:AP,COLUMN(AP37),FALSE)&lt;&gt;0,"Strange",0))</f>
        <v>0</v>
      </c>
      <c r="BT38" s="33">
        <f>IF(VLOOKUP($A38,$A:AE,COLUMN(F37),FALSE)&lt;&gt;0,VLOOKUP($A38,$A:AS,COLUMN(AR37),FALSE)/VLOOKUP($A38,$A:AE,COLUMN(F37),FALSE),IF(VLOOKUP($A38,$A:AS,COLUMN(AR37),FALSE)&lt;&gt;0,"Strange",0))</f>
        <v>0</v>
      </c>
      <c r="BU38" s="33">
        <f>IF(VLOOKUP($A38,$A:AF,COLUMN(G37),FALSE)&lt;&gt;0,VLOOKUP($A38,$A:AT,COLUMN(AS37),FALSE)/VLOOKUP($A38,$A:AF,COLUMN(G37),FALSE),IF(VLOOKUP($A38,$A:AT,COLUMN(AS37),FALSE)&lt;&gt;0,"Strange",0))</f>
        <v>0</v>
      </c>
      <c r="BV38" s="33">
        <f>IF(VLOOKUP($A38,$A:AG,COLUMN(H37),FALSE)&lt;&gt;0,VLOOKUP($A38,$A:AU,COLUMN(AT37),FALSE)/VLOOKUP($A38,$A:AG,COLUMN(H37),FALSE),IF(VLOOKUP($A38,$A:AU,COLUMN(AT37),FALSE)&lt;&gt;0,"Strange",0))</f>
        <v>0</v>
      </c>
      <c r="BW38" s="33">
        <f>IF(VLOOKUP($A38,$A:AH,COLUMN(I37),FALSE)&lt;&gt;0,VLOOKUP($A38,$A:AV,COLUMN(AU37),FALSE)/VLOOKUP($A38,$A:AH,COLUMN(I37),FALSE),IF(VLOOKUP($A38,$A:AV,COLUMN(AU37),FALSE)&lt;&gt;0,"Strange",0))</f>
        <v>0</v>
      </c>
      <c r="BX38" s="33">
        <f>IF(VLOOKUP($A38,$A:AJ,COLUMN(J37),FALSE)&lt;&gt;0,VLOOKUP($A38,$A:AX,COLUMN(AV37),FALSE)/VLOOKUP($A38,$A:AJ,COLUMN(J37),FALSE),IF(VLOOKUP($A38,$A:AX,COLUMN(AV37),FALSE)&lt;&gt;0,"Strange",0))</f>
        <v>0</v>
      </c>
      <c r="BY38" s="33">
        <f>IF(VLOOKUP($A38,$A:AK,COLUMN(K37),FALSE)&lt;&gt;0,VLOOKUP($A38,$A:AY,COLUMN(AW37),FALSE)/VLOOKUP($A38,$A:AK,COLUMN(K37),FALSE),IF(VLOOKUP($A38,$A:AY,COLUMN(AW37),FALSE)&lt;&gt;0,"Strange",0))</f>
        <v>0</v>
      </c>
      <c r="BZ38" s="33">
        <f>IF(VLOOKUP($A38,$A:AK,COLUMN(L37),FALSE)&lt;&gt;0,VLOOKUP($A38,$A:AY,COLUMN(AX37),FALSE)/VLOOKUP($A38,$A:AK,COLUMN(L37),FALSE),IF(VLOOKUP($A38,$A:AY,COLUMN(AX37),FALSE)&lt;&gt;0,"Strange",0))</f>
        <v>0</v>
      </c>
      <c r="CA38" s="33">
        <f>IF(VLOOKUP($A38,$A:AL,COLUMN(M37),FALSE)&lt;&gt;0,VLOOKUP($A38,$A:AZ,COLUMN(AY37),FALSE)/VLOOKUP($A38,$A:AL,COLUMN(M37),FALSE),IF(VLOOKUP($A38,$A:AZ,COLUMN(AY37),FALSE)&lt;&gt;0,"Strange",0))</f>
        <v>0</v>
      </c>
      <c r="CB38" s="33">
        <f>IF(VLOOKUP($A38,$A:AL,COLUMN(N37),FALSE)&lt;&gt;0,VLOOKUP($A38,$A:AZ,COLUMN(AZ37),FALSE)/VLOOKUP($A38,$A:AL,COLUMN(N37),FALSE),IF(VLOOKUP($A38,$A:AZ,COLUMN(AZ37),FALSE)&lt;&gt;0,"Strange",0))</f>
        <v>0</v>
      </c>
      <c r="CC38" s="33">
        <f>IF(VLOOKUP($A38,$A:AM,COLUMN(Q37),FALSE)&lt;&gt;0,VLOOKUP($A38,$A:BA,COLUMN(BA37),FALSE)/VLOOKUP($A38,$A:AM,COLUMN(Q37),FALSE),IF(VLOOKUP($A38,$A:BA,COLUMN(BA37),FALSE)&lt;&gt;0,"Strange",0))</f>
        <v>0</v>
      </c>
      <c r="CD38" s="33">
        <f>IF(VLOOKUP($A38,$A:AN,COLUMN(R37),FALSE)&lt;&gt;0,VLOOKUP($A38,$A:BB,COLUMN(BB37),FALSE)/VLOOKUP($A38,$A:AN,COLUMN(R37),FALSE),IF(VLOOKUP($A38,$A:BB,COLUMN(BB37),FALSE)&lt;&gt;0,"Strange",0))</f>
        <v>0</v>
      </c>
      <c r="CE38" s="33">
        <f>IF(VLOOKUP($A38,$A:AO,COLUMN(S37),FALSE)&lt;&gt;0,VLOOKUP($A38,$A:BC,COLUMN(BC37),FALSE)/VLOOKUP($A38,$A:AO,COLUMN(S37),FALSE),IF(VLOOKUP($A38,$A:BC,COLUMN(BC37),FALSE)&lt;&gt;0,"Strange",0))</f>
        <v>0</v>
      </c>
      <c r="CF38" s="33">
        <f>IF(VLOOKUP($A38,$A:AP,COLUMN(T37),FALSE)&lt;&gt;0,VLOOKUP($A38,$A:BD,COLUMN(BD37),FALSE)/VLOOKUP($A38,$A:AP,COLUMN(T37),FALSE),IF(VLOOKUP($A38,$A:BD,COLUMN(BD37),FALSE)&lt;&gt;0,"Strange",0))</f>
        <v>0</v>
      </c>
      <c r="CH38" s="33">
        <f>SUMIFS('Bilateral assistance, MAIN DATA'!$M:$M,'Bilateral assistance, MAIN DATA'!$B:$B,'Share, heavy weapons to Ukraine'!$A38,'Bilateral assistance, MAIN DATA'!$AO:$AO,'Share, heavy weapons to Ukraine'!CH$1,'Bilateral assistance, MAIN DATA'!$AQ:$AQ,2)</f>
        <v>0</v>
      </c>
      <c r="CI38" s="33">
        <f>SUMIFS('Bilateral assistance, MAIN DATA'!$M:$M,'Bilateral assistance, MAIN DATA'!$B:$B,'Share, heavy weapons to Ukraine'!$A38,'Bilateral assistance, MAIN DATA'!$AO:$AO,'Share, heavy weapons to Ukraine'!CI$1,'Bilateral assistance, MAIN DATA'!$AQ:$AQ,2)</f>
        <v>0</v>
      </c>
      <c r="CJ38" s="645">
        <f>SUMIFS('Bilateral assistance, MAIN DATA'!$M:$M,'Bilateral assistance, MAIN DATA'!$B:$B,'Share, heavy weapons to Ukraine'!$A38,'Bilateral assistance, MAIN DATA'!$AO:$AO,"122mm MLRS",'Bilateral assistance, MAIN DATA'!$AQ:$AQ,2)+SUMIFS('Bilateral assistance, MAIN DATA'!$M:$M,'Bilateral assistance, MAIN DATA'!$B:$B,'Share, heavy weapons to Ukraine'!$A38,'Bilateral assistance, MAIN DATA'!$AO:$AO,"127mm MLRS",'Bilateral assistance, MAIN DATA'!$AQ:$AQ,2)+SUMIFS('Bilateral assistance, MAIN DATA'!$M:$M,'Bilateral assistance, MAIN DATA'!$B:$B,'Share, heavy weapons to Ukraine'!$A38,'Bilateral assistance, MAIN DATA'!$AO:$AO,"227mm MLRS",'Bilateral assistance, MAIN DATA'!$AQ:$AQ,2)</f>
        <v>0</v>
      </c>
      <c r="CL38" s="33">
        <f>SUMIFS('Bilateral assistance, MAIN DATA'!$M:$M,'Bilateral assistance, MAIN DATA'!$B:$B,'Share, heavy weapons to Ukraine'!$A38,'Bilateral assistance, MAIN DATA'!$AO:$AO,'Share, heavy weapons to Ukraine'!CH$1,'Bilateral assistance, MAIN DATA'!$AQ:$AQ,1)</f>
        <v>0</v>
      </c>
      <c r="CM38" s="33">
        <f>SUMIFS('Bilateral assistance, MAIN DATA'!$M:$M,'Bilateral assistance, MAIN DATA'!$B:$B,'Share, heavy weapons to Ukraine'!$A38,'Bilateral assistance, MAIN DATA'!$AO:$AO,'Share, heavy weapons to Ukraine'!CI$1,'Bilateral assistance, MAIN DATA'!$AQ:$AQ,1)</f>
        <v>0</v>
      </c>
      <c r="CN38" s="645">
        <f>SUMIFS('Bilateral assistance, MAIN DATA'!$M:$M,'Bilateral assistance, MAIN DATA'!$B:$B,'Share, heavy weapons to Ukraine'!$A38,'Bilateral assistance, MAIN DATA'!$AO:$AO,"122mm MLRS",'Bilateral assistance, MAIN DATA'!$AQ:$AQ,1)+SUMIFS('Bilateral assistance, MAIN DATA'!$M:$M,'Bilateral assistance, MAIN DATA'!$B:$B,'Share, heavy weapons to Ukraine'!$A38,'Bilateral assistance, MAIN DATA'!$AO:$AO,"127mm MLRS",'Bilateral assistance, MAIN DATA'!$AQ:$AQ,1)+SUMIFS('Bilateral assistance, MAIN DATA'!$M:$M,'Bilateral assistance, MAIN DATA'!$B:$B,'Share, heavy weapons to Ukraine'!$A38,'Bilateral assistance, MAIN DATA'!$AO:$AO,"227mm MLRS",'Bilateral assistance, MAIN DATA'!$AQ:$AQ,1)</f>
        <v>0</v>
      </c>
      <c r="CP38" s="33">
        <f>SUMIFS('Bilateral assistance, MAIN DATA'!$M:$M,'Bilateral assistance, MAIN DATA'!$B:$B,'Share, heavy weapons to Ukraine'!$A38,'Bilateral assistance, MAIN DATA'!$AO:$AO,'Share, heavy weapons to Ukraine'!CP$1,'Bilateral assistance, MAIN DATA'!$AQ:$AQ,0)</f>
        <v>0</v>
      </c>
      <c r="CQ38" s="33">
        <f>SUMIFS('Bilateral assistance, MAIN DATA'!$M:$M,'Bilateral assistance, MAIN DATA'!$B:$B,'Share, heavy weapons to Ukraine'!$A38,'Bilateral assistance, MAIN DATA'!$AO:$AO,'Share, heavy weapons to Ukraine'!CQ$1,'Bilateral assistance, MAIN DATA'!$AQ:$AQ,0)</f>
        <v>0</v>
      </c>
      <c r="CR38" s="645">
        <f>SUMIFS('Bilateral assistance, MAIN DATA'!$M:$M,'Bilateral assistance, MAIN DATA'!$B:$B,'Share, heavy weapons to Ukraine'!$A38,'Bilateral assistance, MAIN DATA'!$AO:$AO,"122mm MLRS",'Bilateral assistance, MAIN DATA'!$AQ:$AQ,0)+SUMIFS('Bilateral assistance, MAIN DATA'!$M:$M,'Bilateral assistance, MAIN DATA'!$B:$B,'Share, heavy weapons to Ukraine'!$A38,'Bilateral assistance, MAIN DATA'!$AO:$AO,"127mm MLRS",'Bilateral assistance, MAIN DATA'!$AQ:$AQ,0)+SUMIFS('Bilateral assistance, MAIN DATA'!$M:$M,'Bilateral assistance, MAIN DATA'!$B:$B,'Share, heavy weapons to Ukraine'!$A38,'Bilateral assistance, MAIN DATA'!$AO:$AO,"227mm MLRS",'Bilateral assistance, MAIN DATA'!$AQ:$AQ,0)</f>
        <v>0</v>
      </c>
      <c r="CT38" s="33">
        <f>IF(VLOOKUP($A38,$A:CS,COLUMN(F37),FALSE)&lt;&gt;0,VLOOKUP($A38,$A:CS,COLUMN(CH37),FALSE)/VLOOKUP($A38,$A:AU,COLUMN(F37),FALSE),IF(VLOOKUP($A38,$A:CS,COLUMN(CH37),FALSE)&lt;&gt;0,"Strange",0))</f>
        <v>0</v>
      </c>
      <c r="CU38" s="33">
        <f>IF(VLOOKUP($A38,$A:CS,COLUMN(L37),FALSE)&lt;&gt;0,VLOOKUP($A38,$A:CS,COLUMN(CI37),FALSE)/VLOOKUP($A38,$A:AU,COLUMN(L37),FALSE),IF(VLOOKUP($A38,$A:CS,COLUMN(CI37),FALSE)&lt;&gt;0,"Strange",0))</f>
        <v>0</v>
      </c>
      <c r="CV38" s="33">
        <f>IF(VLOOKUP($A38,$A:CT,COLUMN(M37),FALSE)&lt;&gt;0,VLOOKUP($A38,$A:CT,COLUMN(CJ37),FALSE)/VLOOKUP($A38,$A:AV,COLUMN(M37),FALSE),IF(VLOOKUP($A38,$A:CT,COLUMN(CJ37),FALSE)&lt;&gt;0,"Strange",0))</f>
        <v>0</v>
      </c>
      <c r="CX38" s="33">
        <f>IF(VLOOKUP($A38,$A:CS,COLUMN(F37),FALSE)&lt;&gt;0,VLOOKUP($A38,$A:CS,COLUMN(CL37),FALSE)/VLOOKUP($A38,$A:AU,COLUMN(F37),FALSE),IF(VLOOKUP($A38,$A:CS,COLUMN(CL37),FALSE)&lt;&gt;0,"Strange",0))</f>
        <v>0</v>
      </c>
      <c r="CY38" s="33">
        <f>IF(VLOOKUP($A38,$A:CS,COLUMN(L37),FALSE)&lt;&gt;0,VLOOKUP($A38,$A:CS,COLUMN(CM37),FALSE)/VLOOKUP($A38,$A:AU,COLUMN(L37),FALSE),IF(VLOOKUP($A38,$A:CS,COLUMN(CM37),FALSE)&lt;&gt;0,"Strange",0))</f>
        <v>0</v>
      </c>
      <c r="CZ38" s="33">
        <f>IF(VLOOKUP($A38,$A:CT,COLUMN(M37),FALSE)&lt;&gt;0,VLOOKUP($A38,$A:CT,COLUMN(CN37),FALSE)/VLOOKUP($A38,$A:AV,COLUMN(M37),FALSE),IF(VLOOKUP($A38,$A:CT,COLUMN(CN37),FALSE)&lt;&gt;0,"Strange",0))</f>
        <v>0</v>
      </c>
      <c r="DB38" s="33">
        <f>IF(VLOOKUP($A38,$A:CS,COLUMN(F37),FALSE)&lt;&gt;0,VLOOKUP($A38,$A:CS,COLUMN(CP37),FALSE)/VLOOKUP($A38,$A:AU,COLUMN(F37),FALSE),IF(VLOOKUP($A38,$A:CS,COLUMN(CP37),FALSE)&lt;&gt;0,"Strange",0))</f>
        <v>0</v>
      </c>
      <c r="DC38" s="33">
        <f>IF(VLOOKUP($A38,$A:CS,COLUMN(L37),FALSE)&lt;&gt;0,VLOOKUP($A38,$A:CS,COLUMN(CQ37),FALSE)/VLOOKUP($A38,$A:AU,COLUMN(L37),FALSE),IF(VLOOKUP($A38,$A:CS,COLUMN(CQ37),FALSE)&lt;&gt;0,"Strange",0))</f>
        <v>0</v>
      </c>
      <c r="DD38" s="33">
        <f>IF(VLOOKUP($A38,$A:CT,COLUMN(M37),FALSE)&lt;&gt;0,VLOOKUP($A38,$A:CT,COLUMN(CR37),FALSE)/VLOOKUP($A38,$A:AV,COLUMN(M37),FALSE),IF(VLOOKUP($A38,$A:CT,COLUMN(CR37),FALSE)&lt;&gt;0,"Strange",0))</f>
        <v>0</v>
      </c>
      <c r="DF38" s="33">
        <f>SUMIFS('Bilateral assistance, MAIN DATA'!$M:$M,'Bilateral assistance, MAIN DATA'!$B:$B,'Share, heavy weapons to Ukraine'!$A38,'Bilateral assistance, MAIN DATA'!$AO:$AO,'Share, heavy weapons to Ukraine'!DF$1, 'Bilateral assistance, MAIN DATA'!$AA:$AA,1)</f>
        <v>0</v>
      </c>
      <c r="DG38" s="33">
        <f>SUMIFS('Bilateral assistance, MAIN DATA'!$M:$M,'Bilateral assistance, MAIN DATA'!$B:$B,'Share, heavy weapons to Ukraine'!$A38,'Bilateral assistance, MAIN DATA'!$AO:$AO,'Share, heavy weapons to Ukraine'!DG$1, 'Bilateral assistance, MAIN DATA'!$AA:$AA,1)</f>
        <v>0</v>
      </c>
      <c r="DH38" s="33">
        <f>SUMIFS('Bilateral assistance, MAIN DATA'!$M:$M,'Bilateral assistance, MAIN DATA'!$B:$B,'Share, heavy weapons to Ukraine'!$A38,'Bilateral assistance, MAIN DATA'!$AO:$AO,'Share, heavy weapons to Ukraine'!DH$1, 'Bilateral assistance, MAIN DATA'!$AA:$AA,1)</f>
        <v>0</v>
      </c>
      <c r="DI38" s="33">
        <f>SUMIFS('Bilateral assistance, MAIN DATA'!$M:$M,'Bilateral assistance, MAIN DATA'!$B:$B,'Share, heavy weapons to Ukraine'!$A38,'Bilateral assistance, MAIN DATA'!$AO:$AO,'Share, heavy weapons to Ukraine'!DI$1, 'Bilateral assistance, MAIN DATA'!$AA:$AA,1)</f>
        <v>0</v>
      </c>
      <c r="DK38" s="33">
        <f>SUMIFS('Bilateral assistance, MAIN DATA'!$N:$N,'Bilateral assistance, MAIN DATA'!$B:$B,'Share, heavy weapons to Ukraine'!$A38,'Bilateral assistance, MAIN DATA'!$AO:$AO,'Share, heavy weapons to Ukraine'!DK$1, 'Bilateral assistance, MAIN DATA'!$AA:$AA,1)</f>
        <v>0</v>
      </c>
      <c r="DL38" s="33">
        <f>SUMIFS('Bilateral assistance, MAIN DATA'!$N:$N,'Bilateral assistance, MAIN DATA'!$B:$B,'Share, heavy weapons to Ukraine'!$A38,'Bilateral assistance, MAIN DATA'!$AO:$AO,'Share, heavy weapons to Ukraine'!DL$1, 'Bilateral assistance, MAIN DATA'!$AA:$AA,1)</f>
        <v>0</v>
      </c>
      <c r="DM38" s="33">
        <f>SUMIFS('Bilateral assistance, MAIN DATA'!$N:$N,'Bilateral assistance, MAIN DATA'!$B:$B,'Share, heavy weapons to Ukraine'!$A38,'Bilateral assistance, MAIN DATA'!$AO:$AO,'Share, heavy weapons to Ukraine'!DM$1, 'Bilateral assistance, MAIN DATA'!$AA:$AA,1)</f>
        <v>0</v>
      </c>
      <c r="DN38" s="33">
        <f>SUMIFS('Bilateral assistance, MAIN DATA'!$N:$N,'Bilateral assistance, MAIN DATA'!$B:$B,'Share, heavy weapons to Ukraine'!$A38,'Bilateral assistance, MAIN DATA'!$AO:$AO,'Share, heavy weapons to Ukraine'!DN$1, 'Bilateral assistance, MAIN DATA'!$AA:$AA,1)</f>
        <v>0</v>
      </c>
    </row>
    <row r="39" spans="1:118">
      <c r="A39" s="801" t="s">
        <v>4192</v>
      </c>
      <c r="B39" s="801">
        <v>0</v>
      </c>
      <c r="C39" s="33">
        <v>0</v>
      </c>
      <c r="E39" s="802">
        <v>0.19400000000000001</v>
      </c>
      <c r="F39" s="801">
        <f>VLOOKUP(A39,'Heavy weapon stocks'!A:OH,COLUMN('Heavy weapon stocks'!$G$1),0)</f>
        <v>45</v>
      </c>
      <c r="G39" s="801">
        <f>VLOOKUP(A39,'Heavy weapon stocks'!A:OH,COLUMN('Heavy weapon stocks'!$AW$1),0)</f>
        <v>20</v>
      </c>
      <c r="H39" s="801">
        <f>VLOOKUP(A39,'Heavy weapon stocks'!A:OH,COLUMN('Heavy weapon stocks'!$DQ$1),0)</f>
        <v>0</v>
      </c>
      <c r="I39" s="801">
        <f>VLOOKUP(A39,'Heavy weapon stocks'!A:OH,COLUMN('Heavy weapon stocks'!$EE$1),0)</f>
        <v>0</v>
      </c>
      <c r="J39" s="801">
        <f>VLOOKUP(A39,'Heavy weapon stocks'!A:OH,COLUMN('Heavy weapon stocks'!$FG$1),0)</f>
        <v>0</v>
      </c>
      <c r="K39" s="801">
        <f t="shared" si="0"/>
        <v>20</v>
      </c>
      <c r="L39" s="801">
        <f>VLOOKUP(A39,'Heavy weapon stocks'!A:OH,COLUMN('Heavy weapon stocks'!$HC$1),0)+VLOOKUP(A39,'Heavy weapon stocks'!A:OH,COLUMN('Heavy weapon stocks'!$II$1),0)</f>
        <v>0</v>
      </c>
      <c r="M39" s="801">
        <f>VLOOKUP(A39,'Heavy weapon stocks'!A:OH,COLUMN('Heavy weapon stocks'!$IN$1),0)</f>
        <v>24</v>
      </c>
      <c r="N39" s="801">
        <f>VLOOKUP(A39,'Heavy weapon stocks'!A:OH,COLUMN('Heavy weapon stocks'!$JH$1),0)+VLOOKUP(A39,'Heavy weapon stocks'!A:OH,COLUMN('Heavy weapon stocks'!$KE$1),0)</f>
        <v>0</v>
      </c>
      <c r="O39" s="801">
        <f>VLOOKUP(A39,'Heavy weapon stocks'!A:OH,COLUMN('Heavy weapon stocks'!$LU$1),0)</f>
        <v>0</v>
      </c>
      <c r="Q39" s="801">
        <f>VLOOKUP(A39,'Heavy weapon stocks'!A:OH,COLUMN('Heavy weapon stocks'!$LV$1),0)</f>
        <v>0</v>
      </c>
      <c r="R39" s="801">
        <f>VLOOKUP(A39,'Heavy weapon stocks'!A:OH,COLUMN('Heavy weapon stocks'!$MF$1),0)</f>
        <v>0</v>
      </c>
      <c r="S39" s="801">
        <f>VLOOKUP(A39,'Heavy weapon stocks'!A:OH,COLUMN('Heavy weapon stocks'!$MM$1),0)</f>
        <v>20</v>
      </c>
      <c r="T39" s="801">
        <f>VLOOKUP(A39,'Heavy weapon stocks'!A:OH,COLUMN('Heavy weapon stocks'!$NR$1),0)</f>
        <v>0</v>
      </c>
      <c r="V39" s="801">
        <f>VLOOKUP(A39,'Heavy weapon stocks'!A:OH,COLUMN('Heavy weapon stocks'!$H$1),0)</f>
        <v>0</v>
      </c>
      <c r="W39" s="801">
        <f>VLOOKUP(A39,'Heavy weapon stocks'!A:OH,COLUMN('Heavy weapon stocks'!$DQ$1),0)</f>
        <v>0</v>
      </c>
      <c r="X39" s="801">
        <f>VLOOKUP(A39,'Heavy weapon stocks'!A:OH,COLUMN('Heavy weapon stocks'!$FG$1),0)</f>
        <v>0</v>
      </c>
      <c r="Y39" s="801">
        <f>VLOOKUP(A39,'Heavy weapon stocks'!A:OH,COLUMN('Heavy weapon stocks'!$HC$1),0)+VLOOKUP(A39,'Heavy weapon stocks'!A:OH,COLUMN('Heavy weapon stocks'!$II$1),0)</f>
        <v>0</v>
      </c>
      <c r="Z39" s="801">
        <f>VLOOKUP(A39,'Heavy weapon stocks'!A:OH,COLUMN('Heavy weapon stocks'!$IO$1),0)+VLOOKUP(A39,'Heavy weapon stocks'!A:OH,COLUMN('Heavy weapon stocks'!$IP$1),0)+VLOOKUP(A39,'Heavy weapon stocks'!A:OH,COLUMN('Heavy weapon stocks'!$IU$1),0)</f>
        <v>0</v>
      </c>
      <c r="AA39" s="801">
        <f>VLOOKUP(A39,'Heavy weapon stocks'!A:OH,COLUMN('Heavy weapon stocks'!$MI$1),0)</f>
        <v>0</v>
      </c>
      <c r="AB39" s="801">
        <f>VLOOKUP(A39,'Heavy weapon stocks'!A:OH,COLUMN('Heavy weapon stocks'!$MS$1),0)+VLOOKUP(A39,'Heavy weapon stocks'!A:OH,COLUMN('Heavy weapon stocks'!$MT$1),0)+VLOOKUP(A39,'Heavy weapon stocks'!A:OH,COLUMN('Heavy weapon stocks'!$MU$1),0)+VLOOKUP(A39,'Heavy weapon stocks'!A:OH,COLUMN('Heavy weapon stocks'!$MV$1),0)</f>
        <v>0</v>
      </c>
      <c r="AD39" s="33">
        <f>SUMIFS('Bilateral assistance, MAIN DATA'!$M:$M,'Bilateral assistance, MAIN DATA'!$B:$B,'Share, heavy weapons to Ukraine'!$A39,'Bilateral assistance, MAIN DATA'!$AO:$AO,'Share, heavy weapons to Ukraine'!AD$1)</f>
        <v>0</v>
      </c>
      <c r="AE39" s="33">
        <f>SUMIFS('Bilateral assistance, MAIN DATA'!$M:$M,'Bilateral assistance, MAIN DATA'!$B:$B,'Share, heavy weapons to Ukraine'!$A39,'Bilateral assistance, MAIN DATA'!$AO:$AO,'Share, heavy weapons to Ukraine'!AE$1)</f>
        <v>0</v>
      </c>
      <c r="AF39" s="33">
        <f>SUMIFS('Bilateral assistance, MAIN DATA'!$M:$M,'Bilateral assistance, MAIN DATA'!$B:$B,'Share, heavy weapons to Ukraine'!$A39,'Bilateral assistance, MAIN DATA'!$AO:$AO,'Share, heavy weapons to Ukraine'!AF$1)</f>
        <v>0</v>
      </c>
      <c r="AG39" s="33">
        <f>SUMIFS('Bilateral assistance, MAIN DATA'!$M:$M,'Bilateral assistance, MAIN DATA'!$B:$B,'Share, heavy weapons to Ukraine'!$A39,'Bilateral assistance, MAIN DATA'!$AO:$AO,'Share, heavy weapons to Ukraine'!AG$1)</f>
        <v>0</v>
      </c>
      <c r="AH39" s="33">
        <f>SUMIFS('Bilateral assistance, MAIN DATA'!$M:$M,'Bilateral assistance, MAIN DATA'!$B:$B,'Share, heavy weapons to Ukraine'!$A39,'Bilateral assistance, MAIN DATA'!$AO:$AO,'Share, heavy weapons to Ukraine'!AH$1)</f>
        <v>0</v>
      </c>
      <c r="AI39" s="33">
        <f t="shared" si="1"/>
        <v>0</v>
      </c>
      <c r="AJ39" s="33">
        <f>SUMIFS('Bilateral assistance, MAIN DATA'!$M:$M,'Bilateral assistance, MAIN DATA'!$B:$B,'Share, heavy weapons to Ukraine'!$A39,'Bilateral assistance, MAIN DATA'!$AO:$AO,'Share, heavy weapons to Ukraine'!AJ$1)</f>
        <v>0</v>
      </c>
      <c r="AK39" s="645">
        <f>SUMIFS('Bilateral assistance, MAIN DATA'!$M:$M,'Bilateral assistance, MAIN DATA'!$B:$B,'Share, heavy weapons to Ukraine'!$A39,'Bilateral assistance, MAIN DATA'!$AO:$AO,"122mm MLRS")+SUMIFS('Bilateral assistance, MAIN DATA'!$M:$M,'Bilateral assistance, MAIN DATA'!$B:$B,'Share, heavy weapons to Ukraine'!$A39,'Bilateral assistance, MAIN DATA'!$AO:$AO,"127mm MLRS")+SUMIFS('Bilateral assistance, MAIN DATA'!$M:$M,'Bilateral assistance, MAIN DATA'!$B:$B,'Share, heavy weapons to Ukraine'!$A39,'Bilateral assistance, MAIN DATA'!$AO:$AO,"227mm MLRS")</f>
        <v>0</v>
      </c>
      <c r="AL39" s="33">
        <f>SUMIFS('Bilateral assistance, MAIN DATA'!$M:$M,'Bilateral assistance, MAIN DATA'!$B:$B,'Share, heavy weapons to Ukraine'!$A39,'Bilateral assistance, MAIN DATA'!$AO:$AO,'Share, heavy weapons to Ukraine'!AL$1)</f>
        <v>0</v>
      </c>
      <c r="AM39" s="33">
        <f>SUMIFS('Bilateral assistance, MAIN DATA'!$M:$M,'Bilateral assistance, MAIN DATA'!$B:$B,'Share, heavy weapons to Ukraine'!$A39,'Bilateral assistance, MAIN DATA'!$AO:$AO,'Share, heavy weapons to Ukraine'!AM$1)</f>
        <v>0</v>
      </c>
      <c r="AN39" s="33">
        <f>SUMIFS('Bilateral assistance, MAIN DATA'!$M:$M,'Bilateral assistance, MAIN DATA'!$B:$B,'Share, heavy weapons to Ukraine'!$A39,'Bilateral assistance, MAIN DATA'!$AO:$AO,'Share, heavy weapons to Ukraine'!AN$1)</f>
        <v>0</v>
      </c>
      <c r="AO39" s="33">
        <f>SUMIFS('Bilateral assistance, MAIN DATA'!$M:$M,'Bilateral assistance, MAIN DATA'!$B:$B,'Share, heavy weapons to Ukraine'!$A39,'Bilateral assistance, MAIN DATA'!$AO:$AO,'Share, heavy weapons to Ukraine'!AO$1)</f>
        <v>0</v>
      </c>
      <c r="AP39" s="33">
        <f>SUMIFS('Bilateral assistance, MAIN DATA'!$M:$M,'Bilateral assistance, MAIN DATA'!$B:$B,'Share, heavy weapons to Ukraine'!$A39,'Bilateral assistance, MAIN DATA'!$AO:$AO,'Share, heavy weapons to Ukraine'!AP$1)</f>
        <v>0</v>
      </c>
      <c r="AR39" s="33">
        <f>SUMIFS('Bilateral assistance, MAIN DATA'!$N:$N,'Bilateral assistance, MAIN DATA'!$B:$B,'Share, heavy weapons to Ukraine'!$A39,'Bilateral assistance, MAIN DATA'!$AO:$AO,'Share, heavy weapons to Ukraine'!AR$1)</f>
        <v>0</v>
      </c>
      <c r="AS39" s="33">
        <f>SUMIFS('Bilateral assistance, MAIN DATA'!$N:$N,'Bilateral assistance, MAIN DATA'!$B:$B,'Share, heavy weapons to Ukraine'!$A39,'Bilateral assistance, MAIN DATA'!$AO:$AO,'Share, heavy weapons to Ukraine'!AS$1)</f>
        <v>0</v>
      </c>
      <c r="AT39" s="33">
        <f>SUMIFS('Bilateral assistance, MAIN DATA'!$N:$N,'Bilateral assistance, MAIN DATA'!$B:$B,'Share, heavy weapons to Ukraine'!$A39,'Bilateral assistance, MAIN DATA'!$AO:$AO,'Share, heavy weapons to Ukraine'!AT$1)</f>
        <v>0</v>
      </c>
      <c r="AU39" s="33">
        <f>SUMIFS('Bilateral assistance, MAIN DATA'!$N:$N,'Bilateral assistance, MAIN DATA'!$B:$B,'Share, heavy weapons to Ukraine'!$A39,'Bilateral assistance, MAIN DATA'!$AO:$AO,'Share, heavy weapons to Ukraine'!AU$1)</f>
        <v>0</v>
      </c>
      <c r="AV39" s="33">
        <f>SUMIFS('Bilateral assistance, MAIN DATA'!$N:$N,'Bilateral assistance, MAIN DATA'!$B:$B,'Share, heavy weapons to Ukraine'!$A39,'Bilateral assistance, MAIN DATA'!$AO:$AO,'Share, heavy weapons to Ukraine'!AV$1)</f>
        <v>0</v>
      </c>
      <c r="AW39" s="33">
        <f t="shared" si="2"/>
        <v>0</v>
      </c>
      <c r="AX39" s="33">
        <f>SUMIFS('Bilateral assistance, MAIN DATA'!$N:$N,'Bilateral assistance, MAIN DATA'!$B:$B,'Share, heavy weapons to Ukraine'!$A39,'Bilateral assistance, MAIN DATA'!$AO:$AO,'Share, heavy weapons to Ukraine'!AX$1)</f>
        <v>0</v>
      </c>
      <c r="AY39" s="645">
        <f>SUMIFS('Bilateral assistance, MAIN DATA'!$N:$N,'Bilateral assistance, MAIN DATA'!$B:$B,'Share, heavy weapons to Ukraine'!$A39,'Bilateral assistance, MAIN DATA'!$AO:$AO,"122mm MLRS")+SUMIFS('Bilateral assistance, MAIN DATA'!$N:$N,'Bilateral assistance, MAIN DATA'!$B:$B,'Share, heavy weapons to Ukraine'!$A39,'Bilateral assistance, MAIN DATA'!$AO:$AO,"127mm MLRS")+SUMIFS('Bilateral assistance, MAIN DATA'!$N:$N,'Bilateral assistance, MAIN DATA'!$B:$B,'Share, heavy weapons to Ukraine'!$A39,'Bilateral assistance, MAIN DATA'!$AO:$AO,"227mm MLRS")</f>
        <v>0</v>
      </c>
      <c r="AZ39" s="33">
        <f>SUMIFS('Bilateral assistance, MAIN DATA'!$N:$N,'Bilateral assistance, MAIN DATA'!$B:$B,'Share, heavy weapons to Ukraine'!$A39,'Bilateral assistance, MAIN DATA'!$AO:$AO,'Share, heavy weapons to Ukraine'!AZ$1)</f>
        <v>0</v>
      </c>
      <c r="BA39" s="33">
        <f>SUMIFS('Bilateral assistance, MAIN DATA'!$N:$N,'Bilateral assistance, MAIN DATA'!$B:$B,'Share, heavy weapons to Ukraine'!$A39,'Bilateral assistance, MAIN DATA'!$AO:$AO,'Share, heavy weapons to Ukraine'!BA$1)</f>
        <v>0</v>
      </c>
      <c r="BB39" s="33">
        <f>SUMIFS('Bilateral assistance, MAIN DATA'!$N:$N,'Bilateral assistance, MAIN DATA'!$B:$B,'Share, heavy weapons to Ukraine'!$A39,'Bilateral assistance, MAIN DATA'!$AO:$AO,'Share, heavy weapons to Ukraine'!BB$1)</f>
        <v>0</v>
      </c>
      <c r="BC39" s="33">
        <f>SUMIFS('Bilateral assistance, MAIN DATA'!$N:$N,'Bilateral assistance, MAIN DATA'!$B:$B,'Share, heavy weapons to Ukraine'!$A39,'Bilateral assistance, MAIN DATA'!$AO:$AO,'Share, heavy weapons to Ukraine'!BC$1)</f>
        <v>0</v>
      </c>
      <c r="BD39" s="33">
        <f>SUMIFS('Bilateral assistance, MAIN DATA'!$N:$N,'Bilateral assistance, MAIN DATA'!$B:$B,'Share, heavy weapons to Ukraine'!$A39,'Bilateral assistance, MAIN DATA'!$AO:$AO,'Share, heavy weapons to Ukraine'!BD$1)</f>
        <v>0</v>
      </c>
      <c r="BF39" s="33">
        <f>IF(VLOOKUP($A39,$A:F,COLUMN(F38),FALSE)&lt;&gt;0,VLOOKUP($A39,$A:AD,COLUMN(AD38),FALSE)/VLOOKUP($A39,$A:F,COLUMN(F38),FALSE),IF(VLOOKUP($A39,$A:AD,COLUMN(AD38),FALSE)&lt;&gt;0,"Strange",0))</f>
        <v>0</v>
      </c>
      <c r="BG39" s="33">
        <f>IF(VLOOKUP($A39,$A:G,COLUMN(G38),FALSE)&lt;&gt;0,VLOOKUP($A39,$A:AE,COLUMN(AE38),FALSE)/VLOOKUP($A39,$A:G,COLUMN(G38),FALSE),IF(VLOOKUP($A39,$A:AE,COLUMN(AE38),FALSE)&lt;&gt;0,"Strange",0))</f>
        <v>0</v>
      </c>
      <c r="BH39" s="33">
        <f>IF(VLOOKUP($A39,$A:H,COLUMN(H38),FALSE)&lt;&gt;0,VLOOKUP($A39,$A:AF,COLUMN(AF38),FALSE)/VLOOKUP($A39,$A:H,COLUMN(H38),FALSE),IF(VLOOKUP($A39,$A:AF,COLUMN(AF38),FALSE)&lt;&gt;0,"Strange",0))</f>
        <v>0</v>
      </c>
      <c r="BI39" s="33">
        <f>IF(VLOOKUP($A39,$A:I,COLUMN(I38),FALSE)&lt;&gt;0,VLOOKUP($A39,$A:AG,COLUMN(AG38),FALSE)/VLOOKUP($A39,$A:I,COLUMN(I38),FALSE),IF(VLOOKUP($A39,$A:AG,COLUMN(AG38),FALSE)&lt;&gt;0,"Strange",0))</f>
        <v>0</v>
      </c>
      <c r="BJ39" s="33">
        <f>IF(VLOOKUP($A39,$A:J,COLUMN(J38),FALSE)&lt;&gt;0,VLOOKUP($A39,$A:AH,COLUMN(AH38),FALSE)/VLOOKUP($A39,$A:J,COLUMN(J38),FALSE),IF(VLOOKUP($A39,$A:AH,COLUMN(AH38),FALSE)&lt;&gt;0,"Strange",0))</f>
        <v>0</v>
      </c>
      <c r="BK39" s="33">
        <f>IF(VLOOKUP($A39,$A:K,COLUMN(K38),FALSE)&lt;&gt;0,VLOOKUP($A39,$A:AI,COLUMN(AI38),FALSE)/VLOOKUP($A39,$A:K,COLUMN(K38),FALSE),IF(VLOOKUP($A39,$A:AI,COLUMN(AI38),FALSE)&lt;&gt;0,"Strange",0))</f>
        <v>0</v>
      </c>
      <c r="BL39" s="33">
        <f>IF(VLOOKUP($A39,$A:L,COLUMN(L38),FALSE)&lt;&gt;0,VLOOKUP($A39,$A:AJ,COLUMN(AJ38),FALSE)/VLOOKUP($A39,$A:L,COLUMN(L38),FALSE),IF(VLOOKUP($A39,$A:AJ,COLUMN(AJ38),FALSE)&lt;&gt;0,"Strange",0))</f>
        <v>0</v>
      </c>
      <c r="BM39" s="33">
        <f>IF(VLOOKUP($A39,$A:M,COLUMN(M38),FALSE)&lt;&gt;0,VLOOKUP($A39,$A:AK,COLUMN(AK38),FALSE)/VLOOKUP($A39,$A:M,COLUMN(M38),FALSE),IF(VLOOKUP($A39,$A:AK,COLUMN(AK38),FALSE)&lt;&gt;0,"Strange",0))</f>
        <v>0</v>
      </c>
      <c r="BN39" s="33">
        <f>IF(VLOOKUP($A39,$A:N,COLUMN(N38),FALSE)&lt;&gt;0,VLOOKUP($A39,$A:AL,COLUMN(AL38),FALSE)/VLOOKUP($A39,$A:N,COLUMN(N38),FALSE),IF(VLOOKUP($A39,$A:AL,COLUMN(AL38),FALSE)&lt;&gt;0,"Strange",0))</f>
        <v>0</v>
      </c>
      <c r="BO39" s="33">
        <f>IF(VLOOKUP($A39,$A:Q,COLUMN(Q38),FALSE)&lt;&gt;0,VLOOKUP($A39,$A:AM,COLUMN(AM38),FALSE)/VLOOKUP($A39,$A:Q,COLUMN(Q38),FALSE),IF(VLOOKUP($A39,$A:AM,COLUMN(AM38),FALSE)&lt;&gt;0,"Strange",0))</f>
        <v>0</v>
      </c>
      <c r="BP39" s="33">
        <f>IF(VLOOKUP($A39,$A:R,COLUMN(R38),FALSE)&lt;&gt;0,VLOOKUP($A39,$A:AN,COLUMN(AN38),FALSE)/VLOOKUP($A39,$A:R,COLUMN(R38),FALSE),IF(VLOOKUP($A39,$A:AN,COLUMN(AN38),FALSE)&lt;&gt;0,"Strange",0))</f>
        <v>0</v>
      </c>
      <c r="BQ39" s="33">
        <f>IF(VLOOKUP($A39,$A:S,COLUMN(S38),FALSE)&lt;&gt;0,VLOOKUP($A39,$A:AO,COLUMN(AO38),FALSE)/VLOOKUP($A39,$A:S,COLUMN(S38),FALSE),IF(VLOOKUP($A39,$A:AO,COLUMN(AO38),FALSE)&lt;&gt;0,"Strange",0))</f>
        <v>0</v>
      </c>
      <c r="BR39" s="33">
        <f>IF(VLOOKUP($A39,$A:T,COLUMN(T38),FALSE)&lt;&gt;0,VLOOKUP($A39,$A:AP,COLUMN(AP38),FALSE)/VLOOKUP($A39,$A:T,COLUMN(T38),FALSE),IF(VLOOKUP($A39,$A:AP,COLUMN(AP38),FALSE)&lt;&gt;0,"Strange",0))</f>
        <v>0</v>
      </c>
      <c r="BT39" s="33">
        <f>IF(VLOOKUP($A39,$A:AE,COLUMN(F38),FALSE)&lt;&gt;0,VLOOKUP($A39,$A:AS,COLUMN(AR38),FALSE)/VLOOKUP($A39,$A:AE,COLUMN(F38),FALSE),IF(VLOOKUP($A39,$A:AS,COLUMN(AR38),FALSE)&lt;&gt;0,"Strange",0))</f>
        <v>0</v>
      </c>
      <c r="BU39" s="33">
        <f>IF(VLOOKUP($A39,$A:AF,COLUMN(G38),FALSE)&lt;&gt;0,VLOOKUP($A39,$A:AT,COLUMN(AS38),FALSE)/VLOOKUP($A39,$A:AF,COLUMN(G38),FALSE),IF(VLOOKUP($A39,$A:AT,COLUMN(AS38),FALSE)&lt;&gt;0,"Strange",0))</f>
        <v>0</v>
      </c>
      <c r="BV39" s="33">
        <f>IF(VLOOKUP($A39,$A:AG,COLUMN(H38),FALSE)&lt;&gt;0,VLOOKUP($A39,$A:AU,COLUMN(AT38),FALSE)/VLOOKUP($A39,$A:AG,COLUMN(H38),FALSE),IF(VLOOKUP($A39,$A:AU,COLUMN(AT38),FALSE)&lt;&gt;0,"Strange",0))</f>
        <v>0</v>
      </c>
      <c r="BW39" s="33">
        <f>IF(VLOOKUP($A39,$A:AH,COLUMN(I38),FALSE)&lt;&gt;0,VLOOKUP($A39,$A:AV,COLUMN(AU38),FALSE)/VLOOKUP($A39,$A:AH,COLUMN(I38),FALSE),IF(VLOOKUP($A39,$A:AV,COLUMN(AU38),FALSE)&lt;&gt;0,"Strange",0))</f>
        <v>0</v>
      </c>
      <c r="BX39" s="33">
        <f>IF(VLOOKUP($A39,$A:AJ,COLUMN(J38),FALSE)&lt;&gt;0,VLOOKUP($A39,$A:AX,COLUMN(AV38),FALSE)/VLOOKUP($A39,$A:AJ,COLUMN(J38),FALSE),IF(VLOOKUP($A39,$A:AX,COLUMN(AV38),FALSE)&lt;&gt;0,"Strange",0))</f>
        <v>0</v>
      </c>
      <c r="BY39" s="33">
        <f>IF(VLOOKUP($A39,$A:AK,COLUMN(K38),FALSE)&lt;&gt;0,VLOOKUP($A39,$A:AY,COLUMN(AW38),FALSE)/VLOOKUP($A39,$A:AK,COLUMN(K38),FALSE),IF(VLOOKUP($A39,$A:AY,COLUMN(AW38),FALSE)&lt;&gt;0,"Strange",0))</f>
        <v>0</v>
      </c>
      <c r="BZ39" s="33">
        <f>IF(VLOOKUP($A39,$A:AK,COLUMN(L38),FALSE)&lt;&gt;0,VLOOKUP($A39,$A:AY,COLUMN(AX38),FALSE)/VLOOKUP($A39,$A:AK,COLUMN(L38),FALSE),IF(VLOOKUP($A39,$A:AY,COLUMN(AX38),FALSE)&lt;&gt;0,"Strange",0))</f>
        <v>0</v>
      </c>
      <c r="CA39" s="33">
        <f>IF(VLOOKUP($A39,$A:AL,COLUMN(M38),FALSE)&lt;&gt;0,VLOOKUP($A39,$A:AZ,COLUMN(AY38),FALSE)/VLOOKUP($A39,$A:AL,COLUMN(M38),FALSE),IF(VLOOKUP($A39,$A:AZ,COLUMN(AY38),FALSE)&lt;&gt;0,"Strange",0))</f>
        <v>0</v>
      </c>
      <c r="CB39" s="33">
        <f>IF(VLOOKUP($A39,$A:AL,COLUMN(N38),FALSE)&lt;&gt;0,VLOOKUP($A39,$A:AZ,COLUMN(AZ38),FALSE)/VLOOKUP($A39,$A:AL,COLUMN(N38),FALSE),IF(VLOOKUP($A39,$A:AZ,COLUMN(AZ38),FALSE)&lt;&gt;0,"Strange",0))</f>
        <v>0</v>
      </c>
      <c r="CC39" s="33">
        <f>IF(VLOOKUP($A39,$A:AM,COLUMN(Q38),FALSE)&lt;&gt;0,VLOOKUP($A39,$A:BA,COLUMN(BA38),FALSE)/VLOOKUP($A39,$A:AM,COLUMN(Q38),FALSE),IF(VLOOKUP($A39,$A:BA,COLUMN(BA38),FALSE)&lt;&gt;0,"Strange",0))</f>
        <v>0</v>
      </c>
      <c r="CD39" s="33">
        <f>IF(VLOOKUP($A39,$A:AN,COLUMN(R38),FALSE)&lt;&gt;0,VLOOKUP($A39,$A:BB,COLUMN(BB38),FALSE)/VLOOKUP($A39,$A:AN,COLUMN(R38),FALSE),IF(VLOOKUP($A39,$A:BB,COLUMN(BB38),FALSE)&lt;&gt;0,"Strange",0))</f>
        <v>0</v>
      </c>
      <c r="CE39" s="33">
        <f>IF(VLOOKUP($A39,$A:AO,COLUMN(S38),FALSE)&lt;&gt;0,VLOOKUP($A39,$A:BC,COLUMN(BC38),FALSE)/VLOOKUP($A39,$A:AO,COLUMN(S38),FALSE),IF(VLOOKUP($A39,$A:BC,COLUMN(BC38),FALSE)&lt;&gt;0,"Strange",0))</f>
        <v>0</v>
      </c>
      <c r="CF39" s="33">
        <f>IF(VLOOKUP($A39,$A:AP,COLUMN(T38),FALSE)&lt;&gt;0,VLOOKUP($A39,$A:BD,COLUMN(BD38),FALSE)/VLOOKUP($A39,$A:AP,COLUMN(T38),FALSE),IF(VLOOKUP($A39,$A:BD,COLUMN(BD38),FALSE)&lt;&gt;0,"Strange",0))</f>
        <v>0</v>
      </c>
      <c r="CH39" s="33">
        <f>SUMIFS('Bilateral assistance, MAIN DATA'!$M:$M,'Bilateral assistance, MAIN DATA'!$B:$B,'Share, heavy weapons to Ukraine'!$A39,'Bilateral assistance, MAIN DATA'!$AO:$AO,'Share, heavy weapons to Ukraine'!CH$1,'Bilateral assistance, MAIN DATA'!$AQ:$AQ,2)</f>
        <v>0</v>
      </c>
      <c r="CI39" s="33">
        <f>SUMIFS('Bilateral assistance, MAIN DATA'!$M:$M,'Bilateral assistance, MAIN DATA'!$B:$B,'Share, heavy weapons to Ukraine'!$A39,'Bilateral assistance, MAIN DATA'!$AO:$AO,'Share, heavy weapons to Ukraine'!CI$1,'Bilateral assistance, MAIN DATA'!$AQ:$AQ,2)</f>
        <v>0</v>
      </c>
      <c r="CJ39" s="645">
        <f>SUMIFS('Bilateral assistance, MAIN DATA'!$M:$M,'Bilateral assistance, MAIN DATA'!$B:$B,'Share, heavy weapons to Ukraine'!$A39,'Bilateral assistance, MAIN DATA'!$AO:$AO,"122mm MLRS",'Bilateral assistance, MAIN DATA'!$AQ:$AQ,2)+SUMIFS('Bilateral assistance, MAIN DATA'!$M:$M,'Bilateral assistance, MAIN DATA'!$B:$B,'Share, heavy weapons to Ukraine'!$A39,'Bilateral assistance, MAIN DATA'!$AO:$AO,"127mm MLRS",'Bilateral assistance, MAIN DATA'!$AQ:$AQ,2)+SUMIFS('Bilateral assistance, MAIN DATA'!$M:$M,'Bilateral assistance, MAIN DATA'!$B:$B,'Share, heavy weapons to Ukraine'!$A39,'Bilateral assistance, MAIN DATA'!$AO:$AO,"227mm MLRS",'Bilateral assistance, MAIN DATA'!$AQ:$AQ,2)</f>
        <v>0</v>
      </c>
      <c r="CL39" s="33">
        <f>SUMIFS('Bilateral assistance, MAIN DATA'!$M:$M,'Bilateral assistance, MAIN DATA'!$B:$B,'Share, heavy weapons to Ukraine'!$A39,'Bilateral assistance, MAIN DATA'!$AO:$AO,'Share, heavy weapons to Ukraine'!CH$1,'Bilateral assistance, MAIN DATA'!$AQ:$AQ,1)</f>
        <v>0</v>
      </c>
      <c r="CM39" s="33">
        <f>SUMIFS('Bilateral assistance, MAIN DATA'!$M:$M,'Bilateral assistance, MAIN DATA'!$B:$B,'Share, heavy weapons to Ukraine'!$A39,'Bilateral assistance, MAIN DATA'!$AO:$AO,'Share, heavy weapons to Ukraine'!CI$1,'Bilateral assistance, MAIN DATA'!$AQ:$AQ,1)</f>
        <v>0</v>
      </c>
      <c r="CN39" s="645">
        <f>SUMIFS('Bilateral assistance, MAIN DATA'!$M:$M,'Bilateral assistance, MAIN DATA'!$B:$B,'Share, heavy weapons to Ukraine'!$A39,'Bilateral assistance, MAIN DATA'!$AO:$AO,"122mm MLRS",'Bilateral assistance, MAIN DATA'!$AQ:$AQ,1)+SUMIFS('Bilateral assistance, MAIN DATA'!$M:$M,'Bilateral assistance, MAIN DATA'!$B:$B,'Share, heavy weapons to Ukraine'!$A39,'Bilateral assistance, MAIN DATA'!$AO:$AO,"127mm MLRS",'Bilateral assistance, MAIN DATA'!$AQ:$AQ,1)+SUMIFS('Bilateral assistance, MAIN DATA'!$M:$M,'Bilateral assistance, MAIN DATA'!$B:$B,'Share, heavy weapons to Ukraine'!$A39,'Bilateral assistance, MAIN DATA'!$AO:$AO,"227mm MLRS",'Bilateral assistance, MAIN DATA'!$AQ:$AQ,1)</f>
        <v>0</v>
      </c>
      <c r="CP39" s="33">
        <f>SUMIFS('Bilateral assistance, MAIN DATA'!$M:$M,'Bilateral assistance, MAIN DATA'!$B:$B,'Share, heavy weapons to Ukraine'!$A39,'Bilateral assistance, MAIN DATA'!$AO:$AO,'Share, heavy weapons to Ukraine'!CP$1,'Bilateral assistance, MAIN DATA'!$AQ:$AQ,0)</f>
        <v>0</v>
      </c>
      <c r="CQ39" s="33">
        <f>SUMIFS('Bilateral assistance, MAIN DATA'!$M:$M,'Bilateral assistance, MAIN DATA'!$B:$B,'Share, heavy weapons to Ukraine'!$A39,'Bilateral assistance, MAIN DATA'!$AO:$AO,'Share, heavy weapons to Ukraine'!CQ$1,'Bilateral assistance, MAIN DATA'!$AQ:$AQ,0)</f>
        <v>0</v>
      </c>
      <c r="CR39" s="645">
        <f>SUMIFS('Bilateral assistance, MAIN DATA'!$M:$M,'Bilateral assistance, MAIN DATA'!$B:$B,'Share, heavy weapons to Ukraine'!$A39,'Bilateral assistance, MAIN DATA'!$AO:$AO,"122mm MLRS",'Bilateral assistance, MAIN DATA'!$AQ:$AQ,0)+SUMIFS('Bilateral assistance, MAIN DATA'!$M:$M,'Bilateral assistance, MAIN DATA'!$B:$B,'Share, heavy weapons to Ukraine'!$A39,'Bilateral assistance, MAIN DATA'!$AO:$AO,"127mm MLRS",'Bilateral assistance, MAIN DATA'!$AQ:$AQ,0)+SUMIFS('Bilateral assistance, MAIN DATA'!$M:$M,'Bilateral assistance, MAIN DATA'!$B:$B,'Share, heavy weapons to Ukraine'!$A39,'Bilateral assistance, MAIN DATA'!$AO:$AO,"227mm MLRS",'Bilateral assistance, MAIN DATA'!$AQ:$AQ,0)</f>
        <v>0</v>
      </c>
      <c r="CT39" s="33">
        <f>IF(VLOOKUP($A39,$A:CS,COLUMN(F38),FALSE)&lt;&gt;0,VLOOKUP($A39,$A:CS,COLUMN(CH38),FALSE)/VLOOKUP($A39,$A:AU,COLUMN(F38),FALSE),IF(VLOOKUP($A39,$A:CS,COLUMN(CH38),FALSE)&lt;&gt;0,"Strange",0))</f>
        <v>0</v>
      </c>
      <c r="CU39" s="33">
        <f>IF(VLOOKUP($A39,$A:CS,COLUMN(L38),FALSE)&lt;&gt;0,VLOOKUP($A39,$A:CS,COLUMN(CI38),FALSE)/VLOOKUP($A39,$A:AU,COLUMN(L38),FALSE),IF(VLOOKUP($A39,$A:CS,COLUMN(CI38),FALSE)&lt;&gt;0,"Strange",0))</f>
        <v>0</v>
      </c>
      <c r="CV39" s="33">
        <f>IF(VLOOKUP($A39,$A:CT,COLUMN(M38),FALSE)&lt;&gt;0,VLOOKUP($A39,$A:CT,COLUMN(CJ38),FALSE)/VLOOKUP($A39,$A:AV,COLUMN(M38),FALSE),IF(VLOOKUP($A39,$A:CT,COLUMN(CJ38),FALSE)&lt;&gt;0,"Strange",0))</f>
        <v>0</v>
      </c>
      <c r="CX39" s="33">
        <f>IF(VLOOKUP($A39,$A:CS,COLUMN(F38),FALSE)&lt;&gt;0,VLOOKUP($A39,$A:CS,COLUMN(CL38),FALSE)/VLOOKUP($A39,$A:AU,COLUMN(F38),FALSE),IF(VLOOKUP($A39,$A:CS,COLUMN(CL38),FALSE)&lt;&gt;0,"Strange",0))</f>
        <v>0</v>
      </c>
      <c r="CY39" s="33">
        <f>IF(VLOOKUP($A39,$A:CS,COLUMN(L38),FALSE)&lt;&gt;0,VLOOKUP($A39,$A:CS,COLUMN(CM38),FALSE)/VLOOKUP($A39,$A:AU,COLUMN(L38),FALSE),IF(VLOOKUP($A39,$A:CS,COLUMN(CM38),FALSE)&lt;&gt;0,"Strange",0))</f>
        <v>0</v>
      </c>
      <c r="CZ39" s="33">
        <f>IF(VLOOKUP($A39,$A:CT,COLUMN(M38),FALSE)&lt;&gt;0,VLOOKUP($A39,$A:CT,COLUMN(CN38),FALSE)/VLOOKUP($A39,$A:AV,COLUMN(M38),FALSE),IF(VLOOKUP($A39,$A:CT,COLUMN(CN38),FALSE)&lt;&gt;0,"Strange",0))</f>
        <v>0</v>
      </c>
      <c r="DB39" s="33">
        <f>IF(VLOOKUP($A39,$A:CS,COLUMN(F38),FALSE)&lt;&gt;0,VLOOKUP($A39,$A:CS,COLUMN(CP38),FALSE)/VLOOKUP($A39,$A:AU,COLUMN(F38),FALSE),IF(VLOOKUP($A39,$A:CS,COLUMN(CP38),FALSE)&lt;&gt;0,"Strange",0))</f>
        <v>0</v>
      </c>
      <c r="DC39" s="33">
        <f>IF(VLOOKUP($A39,$A:CS,COLUMN(L38),FALSE)&lt;&gt;0,VLOOKUP($A39,$A:CS,COLUMN(CQ38),FALSE)/VLOOKUP($A39,$A:AU,COLUMN(L38),FALSE),IF(VLOOKUP($A39,$A:CS,COLUMN(CQ38),FALSE)&lt;&gt;0,"Strange",0))</f>
        <v>0</v>
      </c>
      <c r="DD39" s="33">
        <f>IF(VLOOKUP($A39,$A:CT,COLUMN(M38),FALSE)&lt;&gt;0,VLOOKUP($A39,$A:CT,COLUMN(CR38),FALSE)/VLOOKUP($A39,$A:AV,COLUMN(M38),FALSE),IF(VLOOKUP($A39,$A:CT,COLUMN(CR38),FALSE)&lt;&gt;0,"Strange",0))</f>
        <v>0</v>
      </c>
      <c r="DF39" s="33">
        <f>SUMIFS('Bilateral assistance, MAIN DATA'!$M:$M,'Bilateral assistance, MAIN DATA'!$B:$B,'Share, heavy weapons to Ukraine'!$A39,'Bilateral assistance, MAIN DATA'!$AO:$AO,'Share, heavy weapons to Ukraine'!DF$1, 'Bilateral assistance, MAIN DATA'!$AA:$AA,1)</f>
        <v>0</v>
      </c>
      <c r="DG39" s="33">
        <f>SUMIFS('Bilateral assistance, MAIN DATA'!$M:$M,'Bilateral assistance, MAIN DATA'!$B:$B,'Share, heavy weapons to Ukraine'!$A39,'Bilateral assistance, MAIN DATA'!$AO:$AO,'Share, heavy weapons to Ukraine'!DG$1, 'Bilateral assistance, MAIN DATA'!$AA:$AA,1)</f>
        <v>0</v>
      </c>
      <c r="DH39" s="33">
        <f>SUMIFS('Bilateral assistance, MAIN DATA'!$M:$M,'Bilateral assistance, MAIN DATA'!$B:$B,'Share, heavy weapons to Ukraine'!$A39,'Bilateral assistance, MAIN DATA'!$AO:$AO,'Share, heavy weapons to Ukraine'!DH$1, 'Bilateral assistance, MAIN DATA'!$AA:$AA,1)</f>
        <v>0</v>
      </c>
      <c r="DI39" s="33">
        <f>SUMIFS('Bilateral assistance, MAIN DATA'!$M:$M,'Bilateral assistance, MAIN DATA'!$B:$B,'Share, heavy weapons to Ukraine'!$A39,'Bilateral assistance, MAIN DATA'!$AO:$AO,'Share, heavy weapons to Ukraine'!DI$1, 'Bilateral assistance, MAIN DATA'!$AA:$AA,1)</f>
        <v>0</v>
      </c>
      <c r="DK39" s="33">
        <f>SUMIFS('Bilateral assistance, MAIN DATA'!$N:$N,'Bilateral assistance, MAIN DATA'!$B:$B,'Share, heavy weapons to Ukraine'!$A39,'Bilateral assistance, MAIN DATA'!$AO:$AO,'Share, heavy weapons to Ukraine'!DK$1, 'Bilateral assistance, MAIN DATA'!$AA:$AA,1)</f>
        <v>0</v>
      </c>
      <c r="DL39" s="33">
        <f>SUMIFS('Bilateral assistance, MAIN DATA'!$N:$N,'Bilateral assistance, MAIN DATA'!$B:$B,'Share, heavy weapons to Ukraine'!$A39,'Bilateral assistance, MAIN DATA'!$AO:$AO,'Share, heavy weapons to Ukraine'!DL$1, 'Bilateral assistance, MAIN DATA'!$AA:$AA,1)</f>
        <v>0</v>
      </c>
      <c r="DM39" s="33">
        <f>SUMIFS('Bilateral assistance, MAIN DATA'!$N:$N,'Bilateral assistance, MAIN DATA'!$B:$B,'Share, heavy weapons to Ukraine'!$A39,'Bilateral assistance, MAIN DATA'!$AO:$AO,'Share, heavy weapons to Ukraine'!DM$1, 'Bilateral assistance, MAIN DATA'!$AA:$AA,1)</f>
        <v>0</v>
      </c>
      <c r="DN39" s="33">
        <f>SUMIFS('Bilateral assistance, MAIN DATA'!$N:$N,'Bilateral assistance, MAIN DATA'!$B:$B,'Share, heavy weapons to Ukraine'!$A39,'Bilateral assistance, MAIN DATA'!$AO:$AO,'Share, heavy weapons to Ukraine'!DN$1, 'Bilateral assistance, MAIN DATA'!$AA:$AA,1)</f>
        <v>0</v>
      </c>
    </row>
    <row r="40" spans="1:118">
      <c r="CJ40" s="645"/>
    </row>
    <row r="41" spans="1:118">
      <c r="A41" s="801" t="s">
        <v>3174</v>
      </c>
      <c r="F41" s="801">
        <f>SUMIFS(F2:F39,$B$2:$B$39,1)</f>
        <v>11531</v>
      </c>
      <c r="G41" s="801">
        <f t="shared" ref="G41:N41" si="4">SUMIFS(G2:G39,$B$2:$B$39,1)</f>
        <v>20786</v>
      </c>
      <c r="H41" s="801">
        <f t="shared" si="4"/>
        <v>5000</v>
      </c>
      <c r="I41" s="801">
        <f t="shared" si="4"/>
        <v>29452</v>
      </c>
      <c r="J41" s="801">
        <f t="shared" si="4"/>
        <v>6448</v>
      </c>
      <c r="K41" s="801">
        <f t="shared" si="4"/>
        <v>61686</v>
      </c>
      <c r="L41" s="801">
        <f t="shared" si="4"/>
        <v>4122</v>
      </c>
      <c r="M41" s="801">
        <f t="shared" si="4"/>
        <v>828</v>
      </c>
      <c r="N41" s="801">
        <f t="shared" si="4"/>
        <v>3555</v>
      </c>
      <c r="O41" s="801">
        <f>SUMIFS(O2:O39,$B$2:$B$39,1)</f>
        <v>0</v>
      </c>
      <c r="Q41" s="801">
        <f t="shared" ref="Q41:T41" si="5">SUMIFS(Q2:Q39,$B$2:$B$39,1)</f>
        <v>512</v>
      </c>
      <c r="R41" s="801">
        <f t="shared" si="5"/>
        <v>0</v>
      </c>
      <c r="S41" s="801">
        <f t="shared" si="5"/>
        <v>120</v>
      </c>
      <c r="T41" s="801">
        <f t="shared" si="5"/>
        <v>679</v>
      </c>
      <c r="V41" s="801">
        <f>SUMIFS(V2:V39,$B$2:$B$39,1)</f>
        <v>430</v>
      </c>
      <c r="W41" s="801">
        <f t="shared" ref="W41:AB41" si="6">SUMIFS(W2:W39,$B$2:$B$39,1)</f>
        <v>5000</v>
      </c>
      <c r="X41" s="801">
        <f t="shared" si="6"/>
        <v>6448</v>
      </c>
      <c r="Y41" s="801">
        <f t="shared" si="6"/>
        <v>4122</v>
      </c>
      <c r="Z41" s="801">
        <f t="shared" si="6"/>
        <v>682</v>
      </c>
      <c r="AA41" s="801">
        <f t="shared" si="6"/>
        <v>0</v>
      </c>
      <c r="AB41" s="801">
        <f t="shared" si="6"/>
        <v>120</v>
      </c>
      <c r="AD41" s="801">
        <f t="shared" ref="AD41:AL41" si="7">SUMIFS(AD2:AD39,$B$2:$B$39,1)</f>
        <v>45</v>
      </c>
      <c r="AE41" s="801">
        <f t="shared" si="7"/>
        <v>286</v>
      </c>
      <c r="AF41" s="801">
        <f t="shared" si="7"/>
        <v>80</v>
      </c>
      <c r="AG41" s="801">
        <f t="shared" si="7"/>
        <v>894</v>
      </c>
      <c r="AH41" s="801">
        <f t="shared" si="7"/>
        <v>0</v>
      </c>
      <c r="AI41" s="801">
        <f t="shared" si="7"/>
        <v>1260</v>
      </c>
      <c r="AJ41" s="801">
        <f t="shared" si="7"/>
        <v>185</v>
      </c>
      <c r="AK41" s="801">
        <f t="shared" si="7"/>
        <v>47</v>
      </c>
      <c r="AL41" s="801">
        <f t="shared" si="7"/>
        <v>0</v>
      </c>
      <c r="AM41" s="801">
        <f t="shared" ref="AM41:AP41" si="8">SUMIFS(AM2:AM39,$B$2:$B$39,1)</f>
        <v>0</v>
      </c>
      <c r="AN41" s="801">
        <f t="shared" si="8"/>
        <v>0</v>
      </c>
      <c r="AO41" s="801">
        <f t="shared" si="8"/>
        <v>8</v>
      </c>
      <c r="AP41" s="801">
        <f t="shared" si="8"/>
        <v>10</v>
      </c>
      <c r="AR41" s="801">
        <f t="shared" ref="AR41:AZ41" si="9">SUMIFS(AR2:AR39,$B$2:$B$39,1)</f>
        <v>0</v>
      </c>
      <c r="AS41" s="801">
        <f t="shared" si="9"/>
        <v>243</v>
      </c>
      <c r="AT41" s="801">
        <f t="shared" si="9"/>
        <v>80</v>
      </c>
      <c r="AU41" s="801">
        <f t="shared" si="9"/>
        <v>169</v>
      </c>
      <c r="AV41" s="801">
        <f t="shared" si="9"/>
        <v>0</v>
      </c>
      <c r="AW41" s="801">
        <f t="shared" si="9"/>
        <v>492</v>
      </c>
      <c r="AX41" s="801">
        <f t="shared" si="9"/>
        <v>162</v>
      </c>
      <c r="AY41" s="801">
        <f t="shared" si="9"/>
        <v>22</v>
      </c>
      <c r="AZ41" s="801">
        <f t="shared" si="9"/>
        <v>0</v>
      </c>
      <c r="BA41" s="801">
        <f t="shared" ref="BA41:BD41" si="10">SUMIFS(BA2:BA39,$B$2:$B$39,1)</f>
        <v>0</v>
      </c>
      <c r="BB41" s="801">
        <f t="shared" si="10"/>
        <v>0</v>
      </c>
      <c r="BC41" s="801">
        <f t="shared" si="10"/>
        <v>8</v>
      </c>
      <c r="BD41" s="801">
        <f t="shared" si="10"/>
        <v>6</v>
      </c>
      <c r="BF41" s="33">
        <f>IF(VLOOKUP($A41,$A:F,COLUMN(F40),FALSE)&lt;&gt;0,VLOOKUP($A41,$A:AD,COLUMN(AD40),FALSE)/VLOOKUP($A41,$A:F,COLUMN(F40),FALSE),IF(VLOOKUP($A41,$A:AD,COLUMN(AD40),FALSE)&lt;&gt;0,"Strange",0))</f>
        <v>3.9025236319486603E-3</v>
      </c>
      <c r="BG41" s="33">
        <f>IF(VLOOKUP($A41,$A:G,COLUMN(G40),FALSE)&lt;&gt;0,VLOOKUP($A41,$A:AE,COLUMN(AE40),FALSE)/VLOOKUP($A41,$A:G,COLUMN(G40),FALSE),IF(VLOOKUP($A41,$A:AE,COLUMN(AE40),FALSE)&lt;&gt;0,"Strange",0))</f>
        <v>1.3759261041085345E-2</v>
      </c>
      <c r="BH41" s="33">
        <f>IF(VLOOKUP($A41,$A:H,COLUMN(H40),FALSE)&lt;&gt;0,VLOOKUP($A41,$A:AF,COLUMN(AF40),FALSE)/VLOOKUP($A41,$A:H,COLUMN(H40),FALSE),IF(VLOOKUP($A41,$A:AF,COLUMN(AF40),FALSE)&lt;&gt;0,"Strange",0))</f>
        <v>1.6E-2</v>
      </c>
      <c r="BI41" s="33">
        <f>IF(VLOOKUP($A41,$A:I,COLUMN(I40),FALSE)&lt;&gt;0,VLOOKUP($A41,$A:AG,COLUMN(AG40),FALSE)/VLOOKUP($A41,$A:I,COLUMN(I40),FALSE),IF(VLOOKUP($A41,$A:AG,COLUMN(AG40),FALSE)&lt;&gt;0,"Strange",0))</f>
        <v>3.035447507809317E-2</v>
      </c>
      <c r="BJ41" s="33">
        <f>IF(VLOOKUP($A41,$A:J,COLUMN(J40),FALSE)&lt;&gt;0,VLOOKUP($A41,$A:AH,COLUMN(AH40),FALSE)/VLOOKUP($A41,$A:J,COLUMN(J40),FALSE),IF(VLOOKUP($A41,$A:AH,COLUMN(AH40),FALSE)&lt;&gt;0,"Strange",0))</f>
        <v>0</v>
      </c>
      <c r="BK41" s="33">
        <f>IF(VLOOKUP($A41,$A:K,COLUMN(K40),FALSE)&lt;&gt;0,VLOOKUP($A41,$A:AI,COLUMN(AI40),FALSE)/VLOOKUP($A41,$A:K,COLUMN(K40),FALSE),IF(VLOOKUP($A41,$A:AI,COLUMN(AI40),FALSE)&lt;&gt;0,"Strange",0))</f>
        <v>2.0426028596440035E-2</v>
      </c>
      <c r="BL41" s="33">
        <f>IF(VLOOKUP($A41,$A:L,COLUMN(L40),FALSE)&lt;&gt;0,VLOOKUP($A41,$A:AJ,COLUMN(AJ40),FALSE)/VLOOKUP($A41,$A:L,COLUMN(L40),FALSE),IF(VLOOKUP($A41,$A:AJ,COLUMN(AJ40),FALSE)&lt;&gt;0,"Strange",0))</f>
        <v>4.4881125667151869E-2</v>
      </c>
      <c r="BM41" s="33">
        <f>IF(VLOOKUP($A41,$A:M,COLUMN(M40),FALSE)&lt;&gt;0,VLOOKUP($A41,$A:AK,COLUMN(AK40),FALSE)/VLOOKUP($A41,$A:M,COLUMN(M40),FALSE),IF(VLOOKUP($A41,$A:AK,COLUMN(AK40),FALSE)&lt;&gt;0,"Strange",0))</f>
        <v>5.6763285024154592E-2</v>
      </c>
      <c r="BN41" s="33">
        <f>IF(VLOOKUP($A41,$A:N,COLUMN(N40),FALSE)&lt;&gt;0,VLOOKUP($A41,$A:AL,COLUMN(AL40),FALSE)/VLOOKUP($A41,$A:N,COLUMN(N40),FALSE),IF(VLOOKUP($A41,$A:AL,COLUMN(AL40),FALSE)&lt;&gt;0,"Strange",0))</f>
        <v>0</v>
      </c>
      <c r="BO41" s="33">
        <f>IF(VLOOKUP($A41,$A:Q,COLUMN(Q40),FALSE)&lt;&gt;0,VLOOKUP($A41,$A:AM,COLUMN(AM40),FALSE)/VLOOKUP($A41,$A:Q,COLUMN(Q40),FALSE),IF(VLOOKUP($A41,$A:AM,COLUMN(AM40),FALSE)&lt;&gt;0,"Strange",0))</f>
        <v>0</v>
      </c>
      <c r="BP41" s="33">
        <f>IF(VLOOKUP($A41,$A:R,COLUMN(R40),FALSE)&lt;&gt;0,VLOOKUP($A41,$A:AN,COLUMN(AN40),FALSE)/VLOOKUP($A41,$A:R,COLUMN(R40),FALSE),IF(VLOOKUP($A41,$A:AN,COLUMN(AN40),FALSE)&lt;&gt;0,"Strange",0))</f>
        <v>0</v>
      </c>
      <c r="BQ41" s="33">
        <f>IF(VLOOKUP($A41,$A:S,COLUMN(S40),FALSE)&lt;&gt;0,VLOOKUP($A41,$A:AO,COLUMN(AO40),FALSE)/VLOOKUP($A41,$A:S,COLUMN(S40),FALSE),IF(VLOOKUP($A41,$A:AO,COLUMN(AO40),FALSE)&lt;&gt;0,"Strange",0))</f>
        <v>6.6666666666666666E-2</v>
      </c>
      <c r="BR41" s="33">
        <f>IF(VLOOKUP($A41,$A:T,COLUMN(T40),FALSE)&lt;&gt;0,VLOOKUP($A41,$A:AP,COLUMN(AP40),FALSE)/VLOOKUP($A41,$A:T,COLUMN(T40),FALSE),IF(VLOOKUP($A41,$A:AP,COLUMN(AP40),FALSE)&lt;&gt;0,"Strange",0))</f>
        <v>1.4727540500736377E-2</v>
      </c>
      <c r="BT41" s="33">
        <f>IF(VLOOKUP($A41,$A:AE,COLUMN(F40),FALSE)&lt;&gt;0,VLOOKUP($A41,$A:AS,COLUMN(AR40),FALSE)/VLOOKUP($A41,$A:AE,COLUMN(F40),FALSE),IF(VLOOKUP($A41,$A:AS,COLUMN(AR40),FALSE)&lt;&gt;0,"Strange",0))</f>
        <v>0</v>
      </c>
      <c r="BU41" s="33">
        <f>IF(VLOOKUP($A41,$A:AF,COLUMN(G40),FALSE)&lt;&gt;0,VLOOKUP($A41,$A:AT,COLUMN(AS40),FALSE)/VLOOKUP($A41,$A:AF,COLUMN(G40),FALSE),IF(VLOOKUP($A41,$A:AT,COLUMN(AS40),FALSE)&lt;&gt;0,"Strange",0))</f>
        <v>1.1690560954488598E-2</v>
      </c>
      <c r="BV41" s="33">
        <f>IF(VLOOKUP($A41,$A:AG,COLUMN(H40),FALSE)&lt;&gt;0,VLOOKUP($A41,$A:AU,COLUMN(AT40),FALSE)/VLOOKUP($A41,$A:AG,COLUMN(H40),FALSE),IF(VLOOKUP($A41,$A:AU,COLUMN(AT40),FALSE)&lt;&gt;0,"Strange",0))</f>
        <v>1.6E-2</v>
      </c>
      <c r="BW41" s="33">
        <f>IF(VLOOKUP($A41,$A:AH,COLUMN(I40),FALSE)&lt;&gt;0,VLOOKUP($A41,$A:AV,COLUMN(AU40),FALSE)/VLOOKUP($A41,$A:AH,COLUMN(I40),FALSE),IF(VLOOKUP($A41,$A:AV,COLUMN(AU40),FALSE)&lt;&gt;0,"Strange",0))</f>
        <v>5.7381502105120193E-3</v>
      </c>
      <c r="BX41" s="33">
        <f>IF(VLOOKUP($A41,$A:AJ,COLUMN(J40),FALSE)&lt;&gt;0,VLOOKUP($A41,$A:AX,COLUMN(AV40),FALSE)/VLOOKUP($A41,$A:AJ,COLUMN(J40),FALSE),IF(VLOOKUP($A41,$A:AX,COLUMN(AV40),FALSE)&lt;&gt;0,"Strange",0))</f>
        <v>0</v>
      </c>
      <c r="BY41" s="33">
        <f>IF(VLOOKUP($A41,$A:AK,COLUMN(K40),FALSE)&lt;&gt;0,VLOOKUP($A41,$A:AY,COLUMN(AW40),FALSE)/VLOOKUP($A41,$A:AK,COLUMN(K40),FALSE),IF(VLOOKUP($A41,$A:AY,COLUMN(AW40),FALSE)&lt;&gt;0,"Strange",0))</f>
        <v>7.9758778328956319E-3</v>
      </c>
      <c r="BZ41" s="33">
        <f>IF(VLOOKUP($A41,$A:AK,COLUMN(L40),FALSE)&lt;&gt;0,VLOOKUP($A41,$A:AY,COLUMN(AX40),FALSE)/VLOOKUP($A41,$A:AK,COLUMN(L40),FALSE),IF(VLOOKUP($A41,$A:AY,COLUMN(AX40),FALSE)&lt;&gt;0,"Strange",0))</f>
        <v>3.9301310043668124E-2</v>
      </c>
      <c r="CA41" s="33">
        <f>IF(VLOOKUP($A41,$A:AL,COLUMN(M40),FALSE)&lt;&gt;0,VLOOKUP($A41,$A:AZ,COLUMN(AY40),FALSE)/VLOOKUP($A41,$A:AL,COLUMN(M40),FALSE),IF(VLOOKUP($A41,$A:AZ,COLUMN(AY40),FALSE)&lt;&gt;0,"Strange",0))</f>
        <v>2.6570048309178744E-2</v>
      </c>
      <c r="CB41" s="33">
        <f>IF(VLOOKUP($A41,$A:AL,COLUMN(N40),FALSE)&lt;&gt;0,VLOOKUP($A41,$A:AZ,COLUMN(AZ40),FALSE)/VLOOKUP($A41,$A:AL,COLUMN(N40),FALSE),IF(VLOOKUP($A41,$A:AZ,COLUMN(AZ40),FALSE)&lt;&gt;0,"Strange",0))</f>
        <v>0</v>
      </c>
      <c r="CC41" s="33">
        <f>IF(VLOOKUP($A41,$A:AM,COLUMN(Q40),FALSE)&lt;&gt;0,VLOOKUP($A41,$A:BA,COLUMN(BA40),FALSE)/VLOOKUP($A41,$A:AM,COLUMN(Q40),FALSE),IF(VLOOKUP($A41,$A:BA,COLUMN(BA40),FALSE)&lt;&gt;0,"Strange",0))</f>
        <v>0</v>
      </c>
      <c r="CD41" s="33">
        <f>IF(VLOOKUP($A41,$A:AN,COLUMN(R40),FALSE)&lt;&gt;0,VLOOKUP($A41,$A:BB,COLUMN(BB40),FALSE)/VLOOKUP($A41,$A:AN,COLUMN(R40),FALSE),IF(VLOOKUP($A41,$A:BB,COLUMN(BB40),FALSE)&lt;&gt;0,"Strange",0))</f>
        <v>0</v>
      </c>
      <c r="CE41" s="33">
        <f>IF(VLOOKUP($A41,$A:AO,COLUMN(S40),FALSE)&lt;&gt;0,VLOOKUP($A41,$A:BC,COLUMN(BC40),FALSE)/VLOOKUP($A41,$A:AO,COLUMN(S40),FALSE),IF(VLOOKUP($A41,$A:BC,COLUMN(BC40),FALSE)&lt;&gt;0,"Strange",0))</f>
        <v>6.6666666666666666E-2</v>
      </c>
      <c r="CF41" s="33">
        <f>IF(VLOOKUP($A41,$A:AP,COLUMN(T40),FALSE)&lt;&gt;0,VLOOKUP($A41,$A:BD,COLUMN(BD40),FALSE)/VLOOKUP($A41,$A:AP,COLUMN(T40),FALSE),IF(VLOOKUP($A41,$A:BD,COLUMN(BD40),FALSE)&lt;&gt;0,"Strange",0))</f>
        <v>8.836524300441826E-3</v>
      </c>
      <c r="CH41" s="801">
        <f>SUMIFS(CH2:CH39,$B$2:$B$39,1)</f>
        <v>45</v>
      </c>
      <c r="CI41" s="801">
        <f t="shared" ref="CI41:CJ41" si="11">SUMIFS(CI2:CI39,$B$2:$B$39,1)</f>
        <v>185</v>
      </c>
      <c r="CJ41" s="801">
        <f t="shared" si="11"/>
        <v>47</v>
      </c>
      <c r="CL41" s="801">
        <f t="shared" ref="CL41:CN41" si="12">SUMIFS(CL2:CL39,$B$2:$B$39,1)</f>
        <v>0</v>
      </c>
      <c r="CM41" s="801">
        <f t="shared" si="12"/>
        <v>0</v>
      </c>
      <c r="CN41" s="801">
        <f t="shared" si="12"/>
        <v>0</v>
      </c>
      <c r="CP41" s="801">
        <f t="shared" ref="CP41:CR41" si="13">SUMIFS(CP2:CP39,$B$2:$B$39,1)</f>
        <v>0</v>
      </c>
      <c r="CQ41" s="801">
        <f t="shared" si="13"/>
        <v>0</v>
      </c>
      <c r="CR41" s="801">
        <f t="shared" si="13"/>
        <v>0</v>
      </c>
      <c r="CT41" s="33">
        <f>IF(VLOOKUP($A41,$A:CS,COLUMN(F40),FALSE)&lt;&gt;0,VLOOKUP($A41,$A:CS,COLUMN(CH40),FALSE)/VLOOKUP($A41,$A:AU,COLUMN(F40),FALSE),IF(VLOOKUP($A41,$A:CS,COLUMN(CH40),FALSE)&lt;&gt;0,"Strange",0))</f>
        <v>3.9025236319486603E-3</v>
      </c>
      <c r="CU41" s="33">
        <f>IF(VLOOKUP($A41,$A:CS,COLUMN(L40),FALSE)&lt;&gt;0,VLOOKUP($A41,$A:CS,COLUMN(CI40),FALSE)/VLOOKUP($A41,$A:AU,COLUMN(L40),FALSE),IF(VLOOKUP($A41,$A:CS,COLUMN(CI40),FALSE)&lt;&gt;0,"Strange",0))</f>
        <v>4.4881125667151869E-2</v>
      </c>
      <c r="CV41" s="33">
        <f>IF(VLOOKUP($A41,$A:CT,COLUMN(M40),FALSE)&lt;&gt;0,VLOOKUP($A41,$A:CT,COLUMN(CJ40),FALSE)/VLOOKUP($A41,$A:AV,COLUMN(M40),FALSE),IF(VLOOKUP($A41,$A:CT,COLUMN(CJ40),FALSE)&lt;&gt;0,"Strange",0))</f>
        <v>5.6763285024154592E-2</v>
      </c>
      <c r="CX41" s="33">
        <f>IF(VLOOKUP($A41,$A:CS,COLUMN(F40),FALSE)&lt;&gt;0,VLOOKUP($A41,$A:CS,COLUMN(CL40),FALSE)/VLOOKUP($A41,$A:AU,COLUMN(F40),FALSE),IF(VLOOKUP($A41,$A:CS,COLUMN(CL40),FALSE)&lt;&gt;0,"Strange",0))</f>
        <v>0</v>
      </c>
      <c r="CY41" s="33">
        <f>IF(VLOOKUP($A41,$A:CS,COLUMN(L40),FALSE)&lt;&gt;0,VLOOKUP($A41,$A:CS,COLUMN(CM40),FALSE)/VLOOKUP($A41,$A:AU,COLUMN(L40),FALSE),IF(VLOOKUP($A41,$A:CS,COLUMN(CM40),FALSE)&lt;&gt;0,"Strange",0))</f>
        <v>0</v>
      </c>
      <c r="CZ41" s="33">
        <f>IF(VLOOKUP($A41,$A:CT,COLUMN(M40),FALSE)&lt;&gt;0,VLOOKUP($A41,$A:CT,COLUMN(CN40),FALSE)/VLOOKUP($A41,$A:AV,COLUMN(M40),FALSE),IF(VLOOKUP($A41,$A:CT,COLUMN(CN40),FALSE)&lt;&gt;0,"Strange",0))</f>
        <v>0</v>
      </c>
      <c r="DB41" s="33">
        <f>IF(VLOOKUP($A41,$A:CS,COLUMN(F40),FALSE)&lt;&gt;0,VLOOKUP($A41,$A:CS,COLUMN(CP40),FALSE)/VLOOKUP($A41,$A:AU,COLUMN(F40),FALSE),IF(VLOOKUP($A41,$A:CS,COLUMN(CP40),FALSE)&lt;&gt;0,"Strange",0))</f>
        <v>0</v>
      </c>
      <c r="DC41" s="33">
        <f>IF(VLOOKUP($A41,$A:CS,COLUMN(L40),FALSE)&lt;&gt;0,VLOOKUP($A41,$A:CS,COLUMN(CQ40),FALSE)/VLOOKUP($A41,$A:AU,COLUMN(L40),FALSE),IF(VLOOKUP($A41,$A:CS,COLUMN(CQ40),FALSE)&lt;&gt;0,"Strange",0))</f>
        <v>0</v>
      </c>
      <c r="DD41" s="33">
        <f>IF(VLOOKUP($A41,$A:CT,COLUMN(M40),FALSE)&lt;&gt;0,VLOOKUP($A41,$A:CT,COLUMN(CR40),FALSE)/VLOOKUP($A41,$A:AV,COLUMN(M40),FALSE),IF(VLOOKUP($A41,$A:CT,COLUMN(CR40),FALSE)&lt;&gt;0,"Strange",0))</f>
        <v>0</v>
      </c>
    </row>
    <row r="42" spans="1:118">
      <c r="A42" s="801" t="s">
        <v>3173</v>
      </c>
      <c r="F42" s="801">
        <f>SUMIFS(F2:F39,$C$2:$C$39,1)</f>
        <v>4717</v>
      </c>
      <c r="G42" s="801">
        <f t="shared" ref="G42:N42" si="14">SUMIFS(G2:G39,$C$2:$C$39,1)</f>
        <v>11706</v>
      </c>
      <c r="H42" s="801">
        <f t="shared" si="14"/>
        <v>711</v>
      </c>
      <c r="I42" s="801">
        <f t="shared" si="14"/>
        <v>5080</v>
      </c>
      <c r="J42" s="801">
        <f t="shared" si="14"/>
        <v>6531</v>
      </c>
      <c r="K42" s="801">
        <f t="shared" si="14"/>
        <v>24028</v>
      </c>
      <c r="L42" s="801">
        <f t="shared" si="14"/>
        <v>2470</v>
      </c>
      <c r="M42" s="801">
        <f t="shared" si="14"/>
        <v>807</v>
      </c>
      <c r="N42" s="801">
        <f t="shared" si="14"/>
        <v>1239</v>
      </c>
      <c r="O42" s="801">
        <f>SUMIFS(O2:O39,$C$2:$C$39,1)</f>
        <v>8</v>
      </c>
      <c r="Q42" s="801">
        <f t="shared" ref="Q42:T42" si="15">SUMIFS(Q2:Q39,$C$2:$C$39,1)</f>
        <v>203</v>
      </c>
      <c r="R42" s="801">
        <f t="shared" si="15"/>
        <v>112</v>
      </c>
      <c r="S42" s="801">
        <f t="shared" si="15"/>
        <v>268</v>
      </c>
      <c r="T42" s="801">
        <f t="shared" si="15"/>
        <v>502</v>
      </c>
      <c r="V42" s="801">
        <f>SUMIFS(V2:V39,$C$2:$C$39,1)</f>
        <v>1100</v>
      </c>
      <c r="W42" s="801">
        <f t="shared" ref="W42:AB42" si="16">SUMIFS(W2:W39,$C$2:$C$39,1)</f>
        <v>711</v>
      </c>
      <c r="X42" s="801">
        <f t="shared" si="16"/>
        <v>6531</v>
      </c>
      <c r="Y42" s="801">
        <f t="shared" si="16"/>
        <v>2470</v>
      </c>
      <c r="Z42" s="801">
        <f t="shared" si="16"/>
        <v>130</v>
      </c>
      <c r="AA42" s="801">
        <f t="shared" si="16"/>
        <v>15</v>
      </c>
      <c r="AB42" s="801">
        <f t="shared" si="16"/>
        <v>42</v>
      </c>
      <c r="AD42" s="801">
        <f t="shared" ref="AD42:AL42" si="17">SUMIFS(AD2:AD39,$C$2:$C$39,1)</f>
        <v>398</v>
      </c>
      <c r="AE42" s="801">
        <f t="shared" si="17"/>
        <v>241</v>
      </c>
      <c r="AF42" s="801">
        <f t="shared" si="17"/>
        <v>7</v>
      </c>
      <c r="AG42" s="801">
        <f t="shared" si="17"/>
        <v>173</v>
      </c>
      <c r="AH42" s="801">
        <f t="shared" si="17"/>
        <v>150</v>
      </c>
      <c r="AI42" s="801">
        <f t="shared" si="17"/>
        <v>571</v>
      </c>
      <c r="AJ42" s="801">
        <f t="shared" si="17"/>
        <v>121</v>
      </c>
      <c r="AK42" s="801">
        <f t="shared" si="17"/>
        <v>29</v>
      </c>
      <c r="AL42" s="801">
        <f t="shared" si="17"/>
        <v>0</v>
      </c>
      <c r="AM42" s="801">
        <f t="shared" ref="AM42:AP42" si="18">SUMIFS(AM2:AM39,$C$2:$C$39,1)</f>
        <v>1</v>
      </c>
      <c r="AN42" s="801">
        <f t="shared" si="18"/>
        <v>10</v>
      </c>
      <c r="AO42" s="801">
        <f t="shared" si="18"/>
        <v>2</v>
      </c>
      <c r="AP42" s="801">
        <f t="shared" si="18"/>
        <v>0</v>
      </c>
      <c r="AR42" s="801">
        <f t="shared" ref="AR42:AZ42" si="19">SUMIFS(AR2:AR39,$C$2:$C$39,1)</f>
        <v>280</v>
      </c>
      <c r="AS42" s="801">
        <f t="shared" si="19"/>
        <v>156</v>
      </c>
      <c r="AT42" s="801">
        <f t="shared" si="19"/>
        <v>7</v>
      </c>
      <c r="AU42" s="801">
        <f t="shared" si="19"/>
        <v>116</v>
      </c>
      <c r="AV42" s="801">
        <f t="shared" si="19"/>
        <v>120</v>
      </c>
      <c r="AW42" s="801">
        <f t="shared" si="19"/>
        <v>399</v>
      </c>
      <c r="AX42" s="801">
        <f t="shared" si="19"/>
        <v>97</v>
      </c>
      <c r="AY42" s="801">
        <f t="shared" si="19"/>
        <v>27</v>
      </c>
      <c r="AZ42" s="801">
        <f t="shared" si="19"/>
        <v>0</v>
      </c>
      <c r="BA42" s="801">
        <f t="shared" ref="BA42:BD42" si="20">SUMIFS(BA2:BA39,$C$2:$C$39,1)</f>
        <v>1</v>
      </c>
      <c r="BB42" s="801">
        <f t="shared" si="20"/>
        <v>5</v>
      </c>
      <c r="BC42" s="801">
        <f t="shared" si="20"/>
        <v>0</v>
      </c>
      <c r="BD42" s="801">
        <f t="shared" si="20"/>
        <v>0</v>
      </c>
      <c r="BF42" s="33">
        <f>IF(VLOOKUP($A42,$A:F,COLUMN(F41),FALSE)&lt;&gt;0,VLOOKUP($A42,$A:AD,COLUMN(AD41),FALSE)/VLOOKUP($A42,$A:F,COLUMN(F41),FALSE),IF(VLOOKUP($A42,$A:AD,COLUMN(AD41),FALSE)&lt;&gt;0,"Strange",0))</f>
        <v>8.4375662497350012E-2</v>
      </c>
      <c r="BG42" s="33">
        <f>IF(VLOOKUP($A42,$A:G,COLUMN(G41),FALSE)&lt;&gt;0,VLOOKUP($A42,$A:AE,COLUMN(AE41),FALSE)/VLOOKUP($A42,$A:G,COLUMN(G41),FALSE),IF(VLOOKUP($A42,$A:AE,COLUMN(AE41),FALSE)&lt;&gt;0,"Strange",0))</f>
        <v>2.058773278660516E-2</v>
      </c>
      <c r="BH42" s="33">
        <f>IF(VLOOKUP($A42,$A:H,COLUMN(H41),FALSE)&lt;&gt;0,VLOOKUP($A42,$A:AF,COLUMN(AF41),FALSE)/VLOOKUP($A42,$A:H,COLUMN(H41),FALSE),IF(VLOOKUP($A42,$A:AF,COLUMN(AF41),FALSE)&lt;&gt;0,"Strange",0))</f>
        <v>9.8452883263009851E-3</v>
      </c>
      <c r="BI42" s="33">
        <f>IF(VLOOKUP($A42,$A:I,COLUMN(I41),FALSE)&lt;&gt;0,VLOOKUP($A42,$A:AG,COLUMN(AG41),FALSE)/VLOOKUP($A42,$A:I,COLUMN(I41),FALSE),IF(VLOOKUP($A42,$A:AG,COLUMN(AG41),FALSE)&lt;&gt;0,"Strange",0))</f>
        <v>3.4055118110236218E-2</v>
      </c>
      <c r="BJ42" s="33">
        <f>IF(VLOOKUP($A42,$A:J,COLUMN(J41),FALSE)&lt;&gt;0,VLOOKUP($A42,$A:AH,COLUMN(AH41),FALSE)/VLOOKUP($A42,$A:J,COLUMN(J41),FALSE),IF(VLOOKUP($A42,$A:AH,COLUMN(AH41),FALSE)&lt;&gt;0,"Strange",0))</f>
        <v>2.2967386311437757E-2</v>
      </c>
      <c r="BK42" s="33">
        <f>IF(VLOOKUP($A42,$A:K,COLUMN(K41),FALSE)&lt;&gt;0,VLOOKUP($A42,$A:AI,COLUMN(AI41),FALSE)/VLOOKUP($A42,$A:K,COLUMN(K41),FALSE),IF(VLOOKUP($A42,$A:AI,COLUMN(AI41),FALSE)&lt;&gt;0,"Strange",0))</f>
        <v>2.3763942067587814E-2</v>
      </c>
      <c r="BL42" s="33">
        <f>IF(VLOOKUP($A42,$A:L,COLUMN(L41),FALSE)&lt;&gt;0,VLOOKUP($A42,$A:AJ,COLUMN(AJ41),FALSE)/VLOOKUP($A42,$A:L,COLUMN(L41),FALSE),IF(VLOOKUP($A42,$A:AJ,COLUMN(AJ41),FALSE)&lt;&gt;0,"Strange",0))</f>
        <v>4.8987854251012146E-2</v>
      </c>
      <c r="BM42" s="33">
        <f>IF(VLOOKUP($A42,$A:M,COLUMN(M41),FALSE)&lt;&gt;0,VLOOKUP($A42,$A:AK,COLUMN(AK41),FALSE)/VLOOKUP($A42,$A:M,COLUMN(M41),FALSE),IF(VLOOKUP($A42,$A:AK,COLUMN(AK41),FALSE)&lt;&gt;0,"Strange",0))</f>
        <v>3.5935563816604711E-2</v>
      </c>
      <c r="BN42" s="33">
        <f>IF(VLOOKUP($A42,$A:N,COLUMN(N41),FALSE)&lt;&gt;0,VLOOKUP($A42,$A:AL,COLUMN(AL41),FALSE)/VLOOKUP($A42,$A:N,COLUMN(N41),FALSE),IF(VLOOKUP($A42,$A:AL,COLUMN(AL41),FALSE)&lt;&gt;0,"Strange",0))</f>
        <v>0</v>
      </c>
      <c r="BO42" s="33">
        <f>IF(VLOOKUP($A42,$A:Q,COLUMN(Q41),FALSE)&lt;&gt;0,VLOOKUP($A42,$A:AM,COLUMN(AM41),FALSE)/VLOOKUP($A42,$A:Q,COLUMN(Q41),FALSE),IF(VLOOKUP($A42,$A:AM,COLUMN(AM41),FALSE)&lt;&gt;0,"Strange",0))</f>
        <v>4.9261083743842365E-3</v>
      </c>
      <c r="BP42" s="33">
        <f>IF(VLOOKUP($A42,$A:R,COLUMN(R41),FALSE)&lt;&gt;0,VLOOKUP($A42,$A:AN,COLUMN(AN41),FALSE)/VLOOKUP($A42,$A:R,COLUMN(R41),FALSE),IF(VLOOKUP($A42,$A:AN,COLUMN(AN41),FALSE)&lt;&gt;0,"Strange",0))</f>
        <v>8.9285714285714288E-2</v>
      </c>
      <c r="BQ42" s="33">
        <f>IF(VLOOKUP($A42,$A:S,COLUMN(S41),FALSE)&lt;&gt;0,VLOOKUP($A42,$A:AO,COLUMN(AO41),FALSE)/VLOOKUP($A42,$A:S,COLUMN(S41),FALSE),IF(VLOOKUP($A42,$A:AO,COLUMN(AO41),FALSE)&lt;&gt;0,"Strange",0))</f>
        <v>7.462686567164179E-3</v>
      </c>
      <c r="BR42" s="33">
        <f>IF(VLOOKUP($A42,$A:T,COLUMN(T41),FALSE)&lt;&gt;0,VLOOKUP($A42,$A:AP,COLUMN(AP41),FALSE)/VLOOKUP($A42,$A:T,COLUMN(T41),FALSE),IF(VLOOKUP($A42,$A:AP,COLUMN(AP41),FALSE)&lt;&gt;0,"Strange",0))</f>
        <v>0</v>
      </c>
      <c r="BT42" s="33">
        <f>IF(VLOOKUP($A42,$A:AE,COLUMN(F41),FALSE)&lt;&gt;0,VLOOKUP($A42,$A:AS,COLUMN(AR41),FALSE)/VLOOKUP($A42,$A:AE,COLUMN(F41),FALSE),IF(VLOOKUP($A42,$A:AS,COLUMN(AR41),FALSE)&lt;&gt;0,"Strange",0))</f>
        <v>5.9359762560949755E-2</v>
      </c>
      <c r="BU42" s="33">
        <f>IF(VLOOKUP($A42,$A:AF,COLUMN(G41),FALSE)&lt;&gt;0,VLOOKUP($A42,$A:AT,COLUMN(AS41),FALSE)/VLOOKUP($A42,$A:AF,COLUMN(G41),FALSE),IF(VLOOKUP($A42,$A:AT,COLUMN(AS41),FALSE)&lt;&gt;0,"Strange",0))</f>
        <v>1.3326499231163505E-2</v>
      </c>
      <c r="BV42" s="33">
        <f>IF(VLOOKUP($A42,$A:AG,COLUMN(H41),FALSE)&lt;&gt;0,VLOOKUP($A42,$A:AU,COLUMN(AT41),FALSE)/VLOOKUP($A42,$A:AG,COLUMN(H41),FALSE),IF(VLOOKUP($A42,$A:AU,COLUMN(AT41),FALSE)&lt;&gt;0,"Strange",0))</f>
        <v>9.8452883263009851E-3</v>
      </c>
      <c r="BW42" s="33">
        <f>IF(VLOOKUP($A42,$A:AH,COLUMN(I41),FALSE)&lt;&gt;0,VLOOKUP($A42,$A:AV,COLUMN(AU41),FALSE)/VLOOKUP($A42,$A:AH,COLUMN(I41),FALSE),IF(VLOOKUP($A42,$A:AV,COLUMN(AU41),FALSE)&lt;&gt;0,"Strange",0))</f>
        <v>2.2834645669291338E-2</v>
      </c>
      <c r="BX42" s="33">
        <f>IF(VLOOKUP($A42,$A:AJ,COLUMN(J41),FALSE)&lt;&gt;0,VLOOKUP($A42,$A:AX,COLUMN(AV41),FALSE)/VLOOKUP($A42,$A:AJ,COLUMN(J41),FALSE),IF(VLOOKUP($A42,$A:AX,COLUMN(AV41),FALSE)&lt;&gt;0,"Strange",0))</f>
        <v>1.8373909049150206E-2</v>
      </c>
      <c r="BY42" s="33">
        <f>IF(VLOOKUP($A42,$A:AK,COLUMN(K41),FALSE)&lt;&gt;0,VLOOKUP($A42,$A:AY,COLUMN(AW41),FALSE)/VLOOKUP($A42,$A:AK,COLUMN(K41),FALSE),IF(VLOOKUP($A42,$A:AY,COLUMN(AW41),FALSE)&lt;&gt;0,"Strange",0))</f>
        <v>1.6605626768769768E-2</v>
      </c>
      <c r="BZ42" s="33">
        <f>IF(VLOOKUP($A42,$A:AK,COLUMN(L41),FALSE)&lt;&gt;0,VLOOKUP($A42,$A:AY,COLUMN(AX41),FALSE)/VLOOKUP($A42,$A:AK,COLUMN(L41),FALSE),IF(VLOOKUP($A42,$A:AY,COLUMN(AX41),FALSE)&lt;&gt;0,"Strange",0))</f>
        <v>3.9271255060728746E-2</v>
      </c>
      <c r="CA42" s="33">
        <f>IF(VLOOKUP($A42,$A:AL,COLUMN(M41),FALSE)&lt;&gt;0,VLOOKUP($A42,$A:AZ,COLUMN(AY41),FALSE)/VLOOKUP($A42,$A:AL,COLUMN(M41),FALSE),IF(VLOOKUP($A42,$A:AZ,COLUMN(AY41),FALSE)&lt;&gt;0,"Strange",0))</f>
        <v>3.3457249070631967E-2</v>
      </c>
      <c r="CB42" s="33">
        <f>IF(VLOOKUP($A42,$A:AL,COLUMN(N41),FALSE)&lt;&gt;0,VLOOKUP($A42,$A:AZ,COLUMN(AZ41),FALSE)/VLOOKUP($A42,$A:AL,COLUMN(N41),FALSE),IF(VLOOKUP($A42,$A:AZ,COLUMN(AZ41),FALSE)&lt;&gt;0,"Strange",0))</f>
        <v>0</v>
      </c>
      <c r="CC42" s="33">
        <f>IF(VLOOKUP($A42,$A:AM,COLUMN(Q41),FALSE)&lt;&gt;0,VLOOKUP($A42,$A:BA,COLUMN(BA41),FALSE)/VLOOKUP($A42,$A:AM,COLUMN(Q41),FALSE),IF(VLOOKUP($A42,$A:BA,COLUMN(BA41),FALSE)&lt;&gt;0,"Strange",0))</f>
        <v>4.9261083743842365E-3</v>
      </c>
      <c r="CD42" s="33">
        <f>IF(VLOOKUP($A42,$A:AN,COLUMN(R41),FALSE)&lt;&gt;0,VLOOKUP($A42,$A:BB,COLUMN(BB41),FALSE)/VLOOKUP($A42,$A:AN,COLUMN(R41),FALSE),IF(VLOOKUP($A42,$A:BB,COLUMN(BB41),FALSE)&lt;&gt;0,"Strange",0))</f>
        <v>4.4642857142857144E-2</v>
      </c>
      <c r="CE42" s="33">
        <f>IF(VLOOKUP($A42,$A:AO,COLUMN(S41),FALSE)&lt;&gt;0,VLOOKUP($A42,$A:BC,COLUMN(BC41),FALSE)/VLOOKUP($A42,$A:AO,COLUMN(S41),FALSE),IF(VLOOKUP($A42,$A:BC,COLUMN(BC41),FALSE)&lt;&gt;0,"Strange",0))</f>
        <v>0</v>
      </c>
      <c r="CF42" s="33">
        <f>IF(VLOOKUP($A42,$A:AP,COLUMN(T41),FALSE)&lt;&gt;0,VLOOKUP($A42,$A:BD,COLUMN(BD41),FALSE)/VLOOKUP($A42,$A:AP,COLUMN(T41),FALSE),IF(VLOOKUP($A42,$A:BD,COLUMN(BD41),FALSE)&lt;&gt;0,"Strange",0))</f>
        <v>0</v>
      </c>
      <c r="CH42" s="801">
        <f>SUMIFS(CH2:CH39,$C$2:$C$39,1)</f>
        <v>398</v>
      </c>
      <c r="CI42" s="801">
        <f t="shared" ref="CI42:CJ42" si="21">SUMIFS(CI2:CI39,$C$2:$C$39,1)</f>
        <v>121</v>
      </c>
      <c r="CJ42" s="801">
        <f t="shared" si="21"/>
        <v>29</v>
      </c>
      <c r="CL42" s="801">
        <f t="shared" ref="CL42:CN42" si="22">SUMIFS(CL2:CL39,$C$2:$C$39,1)</f>
        <v>0</v>
      </c>
      <c r="CM42" s="801">
        <f t="shared" si="22"/>
        <v>0</v>
      </c>
      <c r="CN42" s="801">
        <f t="shared" si="22"/>
        <v>0</v>
      </c>
      <c r="CP42" s="801">
        <f t="shared" ref="CP42:CR42" si="23">SUMIFS(CP2:CP39,$C$2:$C$39,1)</f>
        <v>0</v>
      </c>
      <c r="CQ42" s="801">
        <f t="shared" si="23"/>
        <v>0</v>
      </c>
      <c r="CR42" s="801">
        <f t="shared" si="23"/>
        <v>0</v>
      </c>
      <c r="CT42" s="33">
        <f>IF(VLOOKUP($A42,$A:CS,COLUMN(F41),FALSE)&lt;&gt;0,VLOOKUP($A42,$A:CS,COLUMN(CH41),FALSE)/VLOOKUP($A42,$A:AU,COLUMN(F41),FALSE),IF(VLOOKUP($A42,$A:CS,COLUMN(CH41),FALSE)&lt;&gt;0,"Strange",0))</f>
        <v>8.4375662497350012E-2</v>
      </c>
      <c r="CU42" s="33">
        <f>IF(VLOOKUP($A42,$A:CS,COLUMN(L41),FALSE)&lt;&gt;0,VLOOKUP($A42,$A:CS,COLUMN(CI41),FALSE)/VLOOKUP($A42,$A:AU,COLUMN(L41),FALSE),IF(VLOOKUP($A42,$A:CS,COLUMN(CI41),FALSE)&lt;&gt;0,"Strange",0))</f>
        <v>4.8987854251012146E-2</v>
      </c>
      <c r="CV42" s="33">
        <f>IF(VLOOKUP($A42,$A:CT,COLUMN(M41),FALSE)&lt;&gt;0,VLOOKUP($A42,$A:CT,COLUMN(CJ41),FALSE)/VLOOKUP($A42,$A:AV,COLUMN(M41),FALSE),IF(VLOOKUP($A42,$A:CT,COLUMN(CJ41),FALSE)&lt;&gt;0,"Strange",0))</f>
        <v>3.5935563816604711E-2</v>
      </c>
      <c r="CX42" s="33">
        <f>IF(VLOOKUP($A42,$A:CS,COLUMN(F41),FALSE)&lt;&gt;0,VLOOKUP($A42,$A:CS,COLUMN(CL41),FALSE)/VLOOKUP($A42,$A:AU,COLUMN(F41),FALSE),IF(VLOOKUP($A42,$A:CS,COLUMN(CL41),FALSE)&lt;&gt;0,"Strange",0))</f>
        <v>0</v>
      </c>
      <c r="CY42" s="33">
        <f>IF(VLOOKUP($A42,$A:CS,COLUMN(L41),FALSE)&lt;&gt;0,VLOOKUP($A42,$A:CS,COLUMN(CM41),FALSE)/VLOOKUP($A42,$A:AU,COLUMN(L41),FALSE),IF(VLOOKUP($A42,$A:CS,COLUMN(CM41),FALSE)&lt;&gt;0,"Strange",0))</f>
        <v>0</v>
      </c>
      <c r="CZ42" s="33">
        <f>IF(VLOOKUP($A42,$A:CT,COLUMN(M41),FALSE)&lt;&gt;0,VLOOKUP($A42,$A:CT,COLUMN(CN41),FALSE)/VLOOKUP($A42,$A:AV,COLUMN(M41),FALSE),IF(VLOOKUP($A42,$A:CT,COLUMN(CN41),FALSE)&lt;&gt;0,"Strange",0))</f>
        <v>0</v>
      </c>
      <c r="DB42" s="33">
        <f>IF(VLOOKUP($A42,$A:CS,COLUMN(F41),FALSE)&lt;&gt;0,VLOOKUP($A42,$A:CS,COLUMN(CP41),FALSE)/VLOOKUP($A42,$A:AU,COLUMN(F41),FALSE),IF(VLOOKUP($A42,$A:CS,COLUMN(CP41),FALSE)&lt;&gt;0,"Strange",0))</f>
        <v>0</v>
      </c>
      <c r="DC42" s="33">
        <f>IF(VLOOKUP($A42,$A:CS,COLUMN(L41),FALSE)&lt;&gt;0,VLOOKUP($A42,$A:CS,COLUMN(CQ41),FALSE)/VLOOKUP($A42,$A:AU,COLUMN(L41),FALSE),IF(VLOOKUP($A42,$A:CS,COLUMN(CQ41),FALSE)&lt;&gt;0,"Strange",0))</f>
        <v>0</v>
      </c>
      <c r="DD42" s="33">
        <f>IF(VLOOKUP($A42,$A:CT,COLUMN(M41),FALSE)&lt;&gt;0,VLOOKUP($A42,$A:CT,COLUMN(CR41),FALSE)/VLOOKUP($A42,$A:AV,COLUMN(M41),FALSE),IF(VLOOKUP($A42,$A:CT,COLUMN(CR41),FALSE)&lt;&gt;0,"Strange",0))</f>
        <v>0</v>
      </c>
    </row>
  </sheetData>
  <autoFilter ref="A1:P1" xr:uid="{00000000-0009-0000-0000-000023000000}"/>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B11D9-8E43-4B64-84B9-B97580EA4C74}">
  <sheetPr>
    <tabColor theme="5" tint="0.59999389629810485"/>
  </sheetPr>
  <dimension ref="A1:F15"/>
  <sheetViews>
    <sheetView workbookViewId="0"/>
  </sheetViews>
  <sheetFormatPr defaultColWidth="8.5" defaultRowHeight="15.6"/>
  <cols>
    <col min="1" max="1" width="8.5" style="33"/>
    <col min="2" max="2" width="21" style="33" customWidth="1"/>
    <col min="3" max="4" width="29.5" style="33" customWidth="1"/>
    <col min="5" max="5" width="23" style="33" customWidth="1"/>
    <col min="6" max="6" width="27.5" style="33" customWidth="1"/>
    <col min="7" max="16384" width="8.5" style="33"/>
  </cols>
  <sheetData>
    <row r="1" spans="1:6">
      <c r="B1" s="33" t="s">
        <v>4193</v>
      </c>
      <c r="C1" s="33" t="s">
        <v>4194</v>
      </c>
      <c r="D1" s="33" t="s">
        <v>4195</v>
      </c>
      <c r="E1" s="33" t="s">
        <v>4196</v>
      </c>
      <c r="F1" s="33" t="s">
        <v>4197</v>
      </c>
    </row>
    <row r="2" spans="1:6">
      <c r="A2" s="774" t="s">
        <v>3167</v>
      </c>
      <c r="B2" s="196">
        <f>SUMIFS('Bilateral assistance, MAIN DATA'!$N:$N,'Bilateral assistance, MAIN DATA'!$AO:$AO,A2)-SUM(D2:E2)</f>
        <v>1</v>
      </c>
      <c r="C2" s="196">
        <f>SUMIFS('Bilateral assistance, MAIN DATA'!$M:$M,'Bilateral assistance, MAIN DATA'!$AO:$AO,A2)-(SUMIFS('Bilateral assistance, MAIN DATA'!$M:$M,'Bilateral assistance, MAIN DATA'!$AO:$AO,A2,'Bilateral assistance, MAIN DATA'!AA:AA,1,'Bilateral assistance, MAIN DATA'!AH:AH,10)+SUMIFS('Bilateral assistance, MAIN DATA'!$M:$M,'Bilateral assistance, MAIN DATA'!$AO:$AO,A2,'Bilateral assistance, MAIN DATA'!AA:AA,1,'Bilateral assistance, MAIN DATA'!AH:AH,11))-B2-D2</f>
        <v>0</v>
      </c>
      <c r="D2" s="196">
        <f>SUMIFS('Bilateral assistance, MAIN DATA'!$N:$N,'Bilateral assistance, MAIN DATA'!$AO:$AO,A2,'Bilateral assistance, MAIN DATA'!AA:AA,1)-(SUMIFS('Bilateral assistance, MAIN DATA'!$N:$N,'Bilateral assistance, MAIN DATA'!$AO:$AO,A2,'Bilateral assistance, MAIN DATA'!AA:AA,1,'Bilateral assistance, MAIN DATA'!AH:AH,10)+SUMIFS('Bilateral assistance, MAIN DATA'!$N:$N,'Bilateral assistance, MAIN DATA'!$AO:$AO,A2,'Bilateral assistance, MAIN DATA'!AA:AA,1,'Bilateral assistance, MAIN DATA'!AH:AH,11))</f>
        <v>0</v>
      </c>
      <c r="E2" s="645">
        <f>SUMIFS('Bilateral assistance, MAIN DATA'!$N:$N,'Bilateral assistance, MAIN DATA'!$AO:$AO,A2,'Bilateral assistance, MAIN DATA'!AA:AA,1,'Bilateral assistance, MAIN DATA'!AH:AH,10)+SUMIFS('Bilateral assistance, MAIN DATA'!$N:$N,'Bilateral assistance, MAIN DATA'!$AO:$AO,A2,'Bilateral assistance, MAIN DATA'!AA:AA,1,'Bilateral assistance, MAIN DATA'!AH:AH,11)</f>
        <v>0</v>
      </c>
      <c r="F2" s="645">
        <f>SUM('Share, heavy weapons to Ukraine'!DF2:DF39)-E2-D2-C2</f>
        <v>0</v>
      </c>
    </row>
    <row r="3" spans="1:6">
      <c r="A3" s="774" t="s">
        <v>3168</v>
      </c>
      <c r="B3" s="196">
        <f>SUMIFS('Bilateral assistance, MAIN DATA'!$N:$N,'Bilateral assistance, MAIN DATA'!$AO:$AO,A3)-SUM(D3:E3)</f>
        <v>0</v>
      </c>
      <c r="C3" s="196">
        <f>SUMIFS('Bilateral assistance, MAIN DATA'!$M:$M,'Bilateral assistance, MAIN DATA'!$AO:$AO,A3)-(SUMIFS('Bilateral assistance, MAIN DATA'!$M:$M,'Bilateral assistance, MAIN DATA'!$AO:$AO,A3,'Bilateral assistance, MAIN DATA'!AA:AA,1,'Bilateral assistance, MAIN DATA'!AH:AH,10)+SUMIFS('Bilateral assistance, MAIN DATA'!$M:$M,'Bilateral assistance, MAIN DATA'!$AO:$AO,A3,'Bilateral assistance, MAIN DATA'!AA:AA,1,'Bilateral assistance, MAIN DATA'!AH:AH,11))-B3-D3</f>
        <v>3</v>
      </c>
      <c r="D3" s="196">
        <f>SUMIFS('Bilateral assistance, MAIN DATA'!$N:$N,'Bilateral assistance, MAIN DATA'!$AO:$AO,A3,'Bilateral assistance, MAIN DATA'!AA:AA,1)-(SUMIFS('Bilateral assistance, MAIN DATA'!$N:$N,'Bilateral assistance, MAIN DATA'!$AO:$AO,A3,'Bilateral assistance, MAIN DATA'!AA:AA,1,'Bilateral assistance, MAIN DATA'!AH:AH,10)+SUMIFS('Bilateral assistance, MAIN DATA'!$N:$N,'Bilateral assistance, MAIN DATA'!$AO:$AO,A3,'Bilateral assistance, MAIN DATA'!AA:AA,1,'Bilateral assistance, MAIN DATA'!AH:AH,11))</f>
        <v>1</v>
      </c>
      <c r="E3" s="645">
        <f>SUMIFS('Bilateral assistance, MAIN DATA'!$N:$N,'Bilateral assistance, MAIN DATA'!$AO:$AO,A3,'Bilateral assistance, MAIN DATA'!AA:AA,1,'Bilateral assistance, MAIN DATA'!AH:AH,10)+SUMIFS('Bilateral assistance, MAIN DATA'!$N:$N,'Bilateral assistance, MAIN DATA'!$AO:$AO,A3,'Bilateral assistance, MAIN DATA'!AA:AA,1,'Bilateral assistance, MAIN DATA'!AH:AH,11)</f>
        <v>4</v>
      </c>
      <c r="F3" s="645">
        <f>SUM('Share, heavy weapons to Ukraine'!DG2:DG39)-E3-D3-C3</f>
        <v>2</v>
      </c>
    </row>
    <row r="4" spans="1:6">
      <c r="A4" s="774" t="s">
        <v>3169</v>
      </c>
      <c r="B4" s="196">
        <f>SUMIFS('Bilateral assistance, MAIN DATA'!$N:$N,'Bilateral assistance, MAIN DATA'!$AO:$AO,A4)-SUM(D4:E4)</f>
        <v>0</v>
      </c>
      <c r="C4" s="196">
        <f>SUMIFS('Bilateral assistance, MAIN DATA'!$M:$M,'Bilateral assistance, MAIN DATA'!$AO:$AO,A4)-(SUMIFS('Bilateral assistance, MAIN DATA'!$M:$M,'Bilateral assistance, MAIN DATA'!$AO:$AO,A4,'Bilateral assistance, MAIN DATA'!AA:AA,1,'Bilateral assistance, MAIN DATA'!AH:AH,10)+SUMIFS('Bilateral assistance, MAIN DATA'!$M:$M,'Bilateral assistance, MAIN DATA'!$AO:$AO,A4,'Bilateral assistance, MAIN DATA'!AA:AA,1,'Bilateral assistance, MAIN DATA'!AH:AH,11))-B4-D4</f>
        <v>0</v>
      </c>
      <c r="D4" s="196">
        <f>SUMIFS('Bilateral assistance, MAIN DATA'!$N:$N,'Bilateral assistance, MAIN DATA'!$AO:$AO,A4,'Bilateral assistance, MAIN DATA'!AA:AA,1)-(SUMIFS('Bilateral assistance, MAIN DATA'!$N:$N,'Bilateral assistance, MAIN DATA'!$AO:$AO,A4,'Bilateral assistance, MAIN DATA'!AA:AA,1,'Bilateral assistance, MAIN DATA'!AH:AH,10)+SUMIFS('Bilateral assistance, MAIN DATA'!$N:$N,'Bilateral assistance, MAIN DATA'!$AO:$AO,A4,'Bilateral assistance, MAIN DATA'!AA:AA,1,'Bilateral assistance, MAIN DATA'!AH:AH,11))</f>
        <v>8</v>
      </c>
      <c r="E4" s="645">
        <f>SUMIFS('Bilateral assistance, MAIN DATA'!$N:$N,'Bilateral assistance, MAIN DATA'!$AO:$AO,A4,'Bilateral assistance, MAIN DATA'!AA:AA,1,'Bilateral assistance, MAIN DATA'!AH:AH,10)+SUMIFS('Bilateral assistance, MAIN DATA'!$N:$N,'Bilateral assistance, MAIN DATA'!$AO:$AO,A4,'Bilateral assistance, MAIN DATA'!AA:AA,1,'Bilateral assistance, MAIN DATA'!AH:AH,11)</f>
        <v>0</v>
      </c>
      <c r="F4" s="645">
        <f>SUM('Share, heavy weapons to Ukraine'!DH2:DH39)-E4-D4-C4</f>
        <v>2</v>
      </c>
    </row>
    <row r="5" spans="1:6">
      <c r="A5" s="774" t="s">
        <v>3170</v>
      </c>
      <c r="B5" s="196">
        <f>SUMIFS('Bilateral assistance, MAIN DATA'!$N:$N,'Bilateral assistance, MAIN DATA'!$AO:$AO,A5)-SUM(D5:E5)</f>
        <v>6</v>
      </c>
      <c r="C5" s="196">
        <f>SUMIFS('Bilateral assistance, MAIN DATA'!$M:$M,'Bilateral assistance, MAIN DATA'!$AO:$AO,A5)-(SUMIFS('Bilateral assistance, MAIN DATA'!$M:$M,'Bilateral assistance, MAIN DATA'!$AO:$AO,A5,'Bilateral assistance, MAIN DATA'!AA:AA,1,'Bilateral assistance, MAIN DATA'!AH:AH,10)+SUMIFS('Bilateral assistance, MAIN DATA'!$M:$M,'Bilateral assistance, MAIN DATA'!$AO:$AO,A5,'Bilateral assistance, MAIN DATA'!AA:AA,1,'Bilateral assistance, MAIN DATA'!AH:AH,11))-B5-D5</f>
        <v>0</v>
      </c>
      <c r="D5" s="196">
        <f>SUMIFS('Bilateral assistance, MAIN DATA'!$N:$N,'Bilateral assistance, MAIN DATA'!$AO:$AO,A5,'Bilateral assistance, MAIN DATA'!AA:AA,1)-(SUMIFS('Bilateral assistance, MAIN DATA'!$N:$N,'Bilateral assistance, MAIN DATA'!$AO:$AO,A5,'Bilateral assistance, MAIN DATA'!AA:AA,1,'Bilateral assistance, MAIN DATA'!AH:AH,10)+SUMIFS('Bilateral assistance, MAIN DATA'!$N:$N,'Bilateral assistance, MAIN DATA'!$AO:$AO,A5,'Bilateral assistance, MAIN DATA'!AA:AA,1,'Bilateral assistance, MAIN DATA'!AH:AH,11))</f>
        <v>0</v>
      </c>
      <c r="E5" s="645">
        <f>SUMIFS('Bilateral assistance, MAIN DATA'!$N:$N,'Bilateral assistance, MAIN DATA'!$AO:$AO,A5,'Bilateral assistance, MAIN DATA'!AA:AA,1,'Bilateral assistance, MAIN DATA'!AH:AH,10)+SUMIFS('Bilateral assistance, MAIN DATA'!$N:$N,'Bilateral assistance, MAIN DATA'!$AO:$AO,A5,'Bilateral assistance, MAIN DATA'!AA:AA,1,'Bilateral assistance, MAIN DATA'!AH:AH,11)</f>
        <v>0</v>
      </c>
      <c r="F5" s="645">
        <f>SUM('Share, heavy weapons to Ukraine'!DI2:DI39)-E5-D5-C5</f>
        <v>4</v>
      </c>
    </row>
    <row r="7" spans="1:6">
      <c r="A7" s="774" t="s">
        <v>3026</v>
      </c>
      <c r="B7" s="196">
        <f>SUM(B2:B5)</f>
        <v>7</v>
      </c>
      <c r="C7" s="196">
        <f t="shared" ref="C7:F7" si="0">SUM(C2:C5)</f>
        <v>3</v>
      </c>
      <c r="D7" s="196">
        <f t="shared" si="0"/>
        <v>9</v>
      </c>
      <c r="E7" s="196">
        <f t="shared" si="0"/>
        <v>4</v>
      </c>
      <c r="F7" s="196">
        <f t="shared" si="0"/>
        <v>8</v>
      </c>
    </row>
    <row r="9" spans="1:6">
      <c r="B9" s="33" t="s">
        <v>4193</v>
      </c>
      <c r="C9" s="33" t="s">
        <v>4194</v>
      </c>
      <c r="D9" s="33" t="s">
        <v>4195</v>
      </c>
      <c r="E9" s="33" t="s">
        <v>4196</v>
      </c>
      <c r="F9" s="33" t="s">
        <v>4197</v>
      </c>
    </row>
    <row r="10" spans="1:6">
      <c r="A10" s="774" t="s">
        <v>3167</v>
      </c>
      <c r="B10" s="775">
        <f>SUMIFS('Bilateral assistance, MAIN DATA'!$Q:$Q,'Bilateral assistance, MAIN DATA'!$AO:$AO,A10)-SUM(D10:E10)</f>
        <v>208817599.13</v>
      </c>
      <c r="C10" s="775">
        <f>SUMIFS('Bilateral assistance, MAIN DATA'!$P:$P,'Bilateral assistance, MAIN DATA'!$AO:$AO,A10)-(SUMIFS('Bilateral assistance, MAIN DATA'!$P:$P,'Bilateral assistance, MAIN DATA'!$AO:$AO,A10,'Bilateral assistance, MAIN DATA'!AA:AA,1,'Bilateral assistance, MAIN DATA'!AH:AH,10)+SUMIFS('Bilateral assistance, MAIN DATA'!$P:$P,'Bilateral assistance, MAIN DATA'!$AO:$AO,A10,'Bilateral assistance, MAIN DATA'!AA:AA,1,'Bilateral assistance, MAIN DATA'!AH:AH,11))-B10-D10</f>
        <v>0</v>
      </c>
      <c r="D10" s="775">
        <f>SUMIFS('Bilateral assistance, MAIN DATA'!$Q:$Q,'Bilateral assistance, MAIN DATA'!$AO:$AO,A10,'Bilateral assistance, MAIN DATA'!AA:AA,1)-(SUMIFS('Bilateral assistance, MAIN DATA'!$Q:$Q,'Bilateral assistance, MAIN DATA'!$AO:$AO,A10,'Bilateral assistance, MAIN DATA'!AA:AA,1,'Bilateral assistance, MAIN DATA'!AH:AH,10)+SUMIFS('Bilateral assistance, MAIN DATA'!$Q:$Q,'Bilateral assistance, MAIN DATA'!$AO:$AO,A10,'Bilateral assistance, MAIN DATA'!AA:AA,1,'Bilateral assistance, MAIN DATA'!AH:AH,11))</f>
        <v>0</v>
      </c>
      <c r="E10" s="775">
        <f>SUMIFS('Bilateral assistance, MAIN DATA'!$Q:$Q,'Bilateral assistance, MAIN DATA'!$AO:$AO,A10,'Bilateral assistance, MAIN DATA'!AA:AA,1,'Bilateral assistance, MAIN DATA'!AH:AH,10)+SUMIFS('Bilateral assistance, MAIN DATA'!$Q:$Q,'Bilateral assistance, MAIN DATA'!$AO:$AO,A10,'Bilateral assistance, MAIN DATA'!AA:AA,1,'Bilateral assistance, MAIN DATA'!AH:AH,11)</f>
        <v>0</v>
      </c>
      <c r="F10" s="775">
        <f>SUMIFS('Bilateral assistance, MAIN DATA'!$P:$P,'Bilateral assistance, MAIN DATA'!$AO:$AO,A10,'Bilateral assistance, MAIN DATA'!AA:AA,1)-E10-D10-C10</f>
        <v>0</v>
      </c>
    </row>
    <row r="11" spans="1:6">
      <c r="A11" s="774" t="s">
        <v>3168</v>
      </c>
      <c r="B11" s="775">
        <f>SUMIFS('Bilateral assistance, MAIN DATA'!$Q:$Q,'Bilateral assistance, MAIN DATA'!$AO:$AO,A11)-SUM(D11:E11)</f>
        <v>0</v>
      </c>
      <c r="C11" s="775">
        <f>SUMIFS('Bilateral assistance, MAIN DATA'!$P:$P,'Bilateral assistance, MAIN DATA'!$AO:$AO,A11)-(SUMIFS('Bilateral assistance, MAIN DATA'!$P:$P,'Bilateral assistance, MAIN DATA'!$AO:$AO,A11,'Bilateral assistance, MAIN DATA'!AA:AA,1,'Bilateral assistance, MAIN DATA'!AH:AH,10)+SUMIFS('Bilateral assistance, MAIN DATA'!$P:$P,'Bilateral assistance, MAIN DATA'!$AO:$AO,A11,'Bilateral assistance, MAIN DATA'!AA:AA,1,'Bilateral assistance, MAIN DATA'!AH:AH,11))-B11-D11</f>
        <v>421470000</v>
      </c>
      <c r="D11" s="775">
        <f>SUMIFS('Bilateral assistance, MAIN DATA'!$Q:$Q,'Bilateral assistance, MAIN DATA'!$AO:$AO,A11,'Bilateral assistance, MAIN DATA'!AA:AA,1)-(SUMIFS('Bilateral assistance, MAIN DATA'!$Q:$Q,'Bilateral assistance, MAIN DATA'!$AO:$AO,A11,'Bilateral assistance, MAIN DATA'!AA:AA,1,'Bilateral assistance, MAIN DATA'!AH:AH,10)+SUMIFS('Bilateral assistance, MAIN DATA'!$Q:$Q,'Bilateral assistance, MAIN DATA'!$AO:$AO,A11,'Bilateral assistance, MAIN DATA'!AA:AA,1,'Bilateral assistance, MAIN DATA'!AH:AH,11))</f>
        <v>140490000</v>
      </c>
      <c r="E11" s="775">
        <f>SUMIFS('Bilateral assistance, MAIN DATA'!$Q:$Q,'Bilateral assistance, MAIN DATA'!$AO:$AO,A11,'Bilateral assistance, MAIN DATA'!AA:AA,1,'Bilateral assistance, MAIN DATA'!AH:AH,10)+SUMIFS('Bilateral assistance, MAIN DATA'!$Q:$Q,'Bilateral assistance, MAIN DATA'!$AO:$AO,A11,'Bilateral assistance, MAIN DATA'!AA:AA,1,'Bilateral assistance, MAIN DATA'!AH:AH,11)</f>
        <v>1302417.1317348103</v>
      </c>
      <c r="F11" s="775">
        <f>SUMIFS('Bilateral assistance, MAIN DATA'!$P:$P,'Bilateral assistance, MAIN DATA'!$AO:$AO,A11,'Bilateral assistance, MAIN DATA'!AA:AA,1)-E11-D11-C11</f>
        <v>651208.56586742401</v>
      </c>
    </row>
    <row r="12" spans="1:6">
      <c r="A12" s="774" t="s">
        <v>3169</v>
      </c>
      <c r="B12" s="775">
        <f>SUMIFS('Bilateral assistance, MAIN DATA'!$Q:$Q,'Bilateral assistance, MAIN DATA'!$AO:$AO,A12)-SUM(D12:E12)</f>
        <v>0</v>
      </c>
      <c r="C12" s="775">
        <f>SUMIFS('Bilateral assistance, MAIN DATA'!$P:$P,'Bilateral assistance, MAIN DATA'!$AO:$AO,A12)-(SUMIFS('Bilateral assistance, MAIN DATA'!$P:$P,'Bilateral assistance, MAIN DATA'!$AO:$AO,A12,'Bilateral assistance, MAIN DATA'!AA:AA,1,'Bilateral assistance, MAIN DATA'!AH:AH,10)+SUMIFS('Bilateral assistance, MAIN DATA'!$P:$P,'Bilateral assistance, MAIN DATA'!$AO:$AO,A12,'Bilateral assistance, MAIN DATA'!AA:AA,1,'Bilateral assistance, MAIN DATA'!AH:AH,11))-B12-D12</f>
        <v>0</v>
      </c>
      <c r="D12" s="775">
        <f>SUMIFS('Bilateral assistance, MAIN DATA'!$Q:$Q,'Bilateral assistance, MAIN DATA'!$AO:$AO,A12,'Bilateral assistance, MAIN DATA'!AA:AA,1)-(SUMIFS('Bilateral assistance, MAIN DATA'!$Q:$Q,'Bilateral assistance, MAIN DATA'!$AO:$AO,A12,'Bilateral assistance, MAIN DATA'!AA:AA,1,'Bilateral assistance, MAIN DATA'!AH:AH,10)+SUMIFS('Bilateral assistance, MAIN DATA'!$Q:$Q,'Bilateral assistance, MAIN DATA'!$AO:$AO,A12,'Bilateral assistance, MAIN DATA'!AA:AA,1,'Bilateral assistance, MAIN DATA'!AH:AH,11))</f>
        <v>400000000</v>
      </c>
      <c r="E12" s="775">
        <f>SUMIFS('Bilateral assistance, MAIN DATA'!$Q:$Q,'Bilateral assistance, MAIN DATA'!$AO:$AO,A12,'Bilateral assistance, MAIN DATA'!AA:AA,1,'Bilateral assistance, MAIN DATA'!AH:AH,10)+SUMIFS('Bilateral assistance, MAIN DATA'!$Q:$Q,'Bilateral assistance, MAIN DATA'!$AO:$AO,A12,'Bilateral assistance, MAIN DATA'!AA:AA,1,'Bilateral assistance, MAIN DATA'!AH:AH,11)</f>
        <v>0</v>
      </c>
      <c r="F12" s="775">
        <f>SUMIFS('Bilateral assistance, MAIN DATA'!$P:$P,'Bilateral assistance, MAIN DATA'!$AO:$AO,A12,'Bilateral assistance, MAIN DATA'!AA:AA,1)-E12-D12-C12</f>
        <v>20671285.139999986</v>
      </c>
    </row>
    <row r="13" spans="1:6">
      <c r="A13" s="774" t="s">
        <v>3170</v>
      </c>
      <c r="B13" s="775">
        <f>SUMIFS('Bilateral assistance, MAIN DATA'!$Q:$Q,'Bilateral assistance, MAIN DATA'!$AO:$AO,A13)-SUM(D13:E13)</f>
        <v>96000</v>
      </c>
      <c r="C13" s="775">
        <f>SUMIFS('Bilateral assistance, MAIN DATA'!$P:$P,'Bilateral assistance, MAIN DATA'!$AO:$AO,A13)-(SUMIFS('Bilateral assistance, MAIN DATA'!$P:$P,'Bilateral assistance, MAIN DATA'!$AO:$AO,A13,'Bilateral assistance, MAIN DATA'!AA:AA,1,'Bilateral assistance, MAIN DATA'!AH:AH,10)+SUMIFS('Bilateral assistance, MAIN DATA'!$P:$P,'Bilateral assistance, MAIN DATA'!$AO:$AO,A13,'Bilateral assistance, MAIN DATA'!AA:AA,1,'Bilateral assistance, MAIN DATA'!AH:AH,11))-B13-D13</f>
        <v>0</v>
      </c>
      <c r="D13" s="775">
        <f>SUMIFS('Bilateral assistance, MAIN DATA'!$Q:$Q,'Bilateral assistance, MAIN DATA'!$AO:$AO,A13,'Bilateral assistance, MAIN DATA'!AA:AA,1)-(SUMIFS('Bilateral assistance, MAIN DATA'!$Q:$Q,'Bilateral assistance, MAIN DATA'!$AO:$AO,A13,'Bilateral assistance, MAIN DATA'!AA:AA,1,'Bilateral assistance, MAIN DATA'!AH:AH,10)+SUMIFS('Bilateral assistance, MAIN DATA'!$Q:$Q,'Bilateral assistance, MAIN DATA'!$AO:$AO,A13,'Bilateral assistance, MAIN DATA'!AA:AA,1,'Bilateral assistance, MAIN DATA'!AH:AH,11))</f>
        <v>0</v>
      </c>
      <c r="E13" s="775">
        <f>SUMIFS('Bilateral assistance, MAIN DATA'!$Q:$Q,'Bilateral assistance, MAIN DATA'!$AO:$AO,A13,'Bilateral assistance, MAIN DATA'!AA:AA,1,'Bilateral assistance, MAIN DATA'!AH:AH,10)+SUMIFS('Bilateral assistance, MAIN DATA'!$Q:$Q,'Bilateral assistance, MAIN DATA'!$AO:$AO,A13,'Bilateral assistance, MAIN DATA'!AA:AA,1,'Bilateral assistance, MAIN DATA'!AH:AH,11)</f>
        <v>0</v>
      </c>
      <c r="F13" s="775">
        <f>SUMIFS('Bilateral assistance, MAIN DATA'!$P:$P,'Bilateral assistance, MAIN DATA'!$AO:$AO,A13,'Bilateral assistance, MAIN DATA'!AA:AA,1)-E13-D13-C13</f>
        <v>7464740.8871715842</v>
      </c>
    </row>
    <row r="15" spans="1:6">
      <c r="A15" s="774" t="s">
        <v>3026</v>
      </c>
      <c r="B15" s="776">
        <f>SUM(B10:B13)</f>
        <v>208913599.13</v>
      </c>
      <c r="C15" s="776">
        <f t="shared" ref="C15:F15" si="1">SUM(C10:C13)</f>
        <v>421470000</v>
      </c>
      <c r="D15" s="776">
        <f t="shared" si="1"/>
        <v>540490000</v>
      </c>
      <c r="E15" s="776">
        <f>SUM(E10:E13)</f>
        <v>1302417.1317348103</v>
      </c>
      <c r="F15" s="776">
        <f t="shared" si="1"/>
        <v>28787234.593038995</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59999389629810485"/>
  </sheetPr>
  <dimension ref="A1:PP40"/>
  <sheetViews>
    <sheetView zoomScaleNormal="100" workbookViewId="0"/>
  </sheetViews>
  <sheetFormatPr defaultColWidth="8.5" defaultRowHeight="15.75" customHeight="1"/>
  <cols>
    <col min="1" max="1" width="8.5" style="803"/>
    <col min="2" max="5" width="0" style="803" hidden="1" customWidth="1"/>
    <col min="6" max="6" width="8.5" style="804"/>
    <col min="7" max="7" width="8.5" style="807"/>
    <col min="8" max="8" width="8.5" style="808"/>
    <col min="9" max="48" width="8.5" style="803" customWidth="1"/>
    <col min="49" max="49" width="8.5" style="803"/>
    <col min="50" max="120" width="8.5" style="803" customWidth="1"/>
    <col min="121" max="121" width="8.5" style="803"/>
    <col min="122" max="134" width="8.5" style="803" customWidth="1"/>
    <col min="135" max="135" width="8.5" style="803"/>
    <col min="136" max="162" width="8.5" style="803" customWidth="1"/>
    <col min="163" max="210" width="8.5" style="803"/>
    <col min="211" max="211" width="12" style="803" customWidth="1"/>
    <col min="212" max="290" width="8.5" style="803"/>
    <col min="291" max="294" width="8" style="803" customWidth="1"/>
    <col min="295" max="296" width="8.5" style="803"/>
    <col min="297" max="309" width="8" style="803" customWidth="1"/>
    <col min="310" max="332" width="8.5" style="803"/>
    <col min="333" max="369" width="8.5" style="33"/>
    <col min="370" max="375" width="8" style="33" customWidth="1"/>
    <col min="376" max="382" width="8.5" style="33"/>
    <col min="383" max="393" width="8" style="33" customWidth="1"/>
    <col min="394" max="396" width="8.5" style="33"/>
    <col min="397" max="404" width="8" style="33" customWidth="1"/>
    <col min="405" max="405" width="8.5" style="33"/>
    <col min="406" max="423" width="8.5" style="803"/>
    <col min="424" max="424" width="8.5" style="33"/>
    <col min="425" max="16384" width="8.5" style="803"/>
  </cols>
  <sheetData>
    <row r="1" spans="1:432" ht="15.6">
      <c r="B1" s="803" t="s">
        <v>4198</v>
      </c>
      <c r="C1" s="803" t="s">
        <v>4199</v>
      </c>
      <c r="D1" s="803" t="s">
        <v>4200</v>
      </c>
      <c r="E1" s="803" t="s">
        <v>4201</v>
      </c>
      <c r="F1" s="804" t="s">
        <v>4168</v>
      </c>
      <c r="G1" s="805" t="s">
        <v>3257</v>
      </c>
      <c r="H1" s="806" t="s">
        <v>4202</v>
      </c>
      <c r="I1" s="803" t="s">
        <v>4153</v>
      </c>
      <c r="J1" s="803" t="s">
        <v>4203</v>
      </c>
      <c r="K1" s="803" t="s">
        <v>4204</v>
      </c>
      <c r="L1" s="803" t="s">
        <v>4205</v>
      </c>
      <c r="M1" s="803" t="s">
        <v>4206</v>
      </c>
      <c r="N1" s="803" t="s">
        <v>4207</v>
      </c>
      <c r="O1" s="803" t="s">
        <v>4208</v>
      </c>
      <c r="P1" s="803" t="s">
        <v>4209</v>
      </c>
      <c r="Q1" s="803" t="s">
        <v>4210</v>
      </c>
      <c r="R1" s="803" t="s">
        <v>4211</v>
      </c>
      <c r="S1" s="803" t="s">
        <v>4212</v>
      </c>
      <c r="T1" s="803" t="s">
        <v>4213</v>
      </c>
      <c r="U1" s="803" t="s">
        <v>4214</v>
      </c>
      <c r="V1" s="803" t="s">
        <v>4215</v>
      </c>
      <c r="W1" s="803" t="s">
        <v>4216</v>
      </c>
      <c r="X1" s="803" t="s">
        <v>4217</v>
      </c>
      <c r="Y1" s="803" t="s">
        <v>4218</v>
      </c>
      <c r="Z1" s="803" t="s">
        <v>4219</v>
      </c>
      <c r="AA1" s="803" t="s">
        <v>4220</v>
      </c>
      <c r="AB1" s="803" t="s">
        <v>4221</v>
      </c>
      <c r="AC1" s="803" t="s">
        <v>4222</v>
      </c>
      <c r="AD1" s="803" t="s">
        <v>4223</v>
      </c>
      <c r="AE1" s="803" t="s">
        <v>4224</v>
      </c>
      <c r="AF1" s="803" t="s">
        <v>4225</v>
      </c>
      <c r="AG1" s="803" t="s">
        <v>4226</v>
      </c>
      <c r="AH1" s="803" t="s">
        <v>4227</v>
      </c>
      <c r="AI1" s="803" t="s">
        <v>4228</v>
      </c>
      <c r="AJ1" s="803" t="s">
        <v>4229</v>
      </c>
      <c r="AK1" s="803" t="s">
        <v>4230</v>
      </c>
      <c r="AL1" s="803" t="s">
        <v>4231</v>
      </c>
      <c r="AM1" s="803" t="s">
        <v>4232</v>
      </c>
      <c r="AN1" s="803" t="s">
        <v>4233</v>
      </c>
      <c r="AO1" s="803" t="s">
        <v>4234</v>
      </c>
      <c r="AP1" s="803" t="s">
        <v>4235</v>
      </c>
      <c r="AQ1" s="803" t="s">
        <v>4236</v>
      </c>
      <c r="AR1" s="803" t="s">
        <v>4237</v>
      </c>
      <c r="AS1" s="803" t="s">
        <v>4238</v>
      </c>
      <c r="AT1" s="803" t="s">
        <v>4239</v>
      </c>
      <c r="AU1" s="803" t="s">
        <v>4240</v>
      </c>
      <c r="AV1" s="803" t="s">
        <v>4241</v>
      </c>
      <c r="AW1" s="803" t="s">
        <v>3346</v>
      </c>
      <c r="AX1" s="803" t="s">
        <v>4242</v>
      </c>
      <c r="AY1" s="803" t="s">
        <v>4243</v>
      </c>
      <c r="AZ1" s="803" t="s">
        <v>4244</v>
      </c>
      <c r="BA1" s="803" t="s">
        <v>4245</v>
      </c>
      <c r="BB1" s="803" t="s">
        <v>4246</v>
      </c>
      <c r="BC1" s="803" t="s">
        <v>4247</v>
      </c>
      <c r="BD1" s="803" t="s">
        <v>4248</v>
      </c>
      <c r="BE1" s="803" t="s">
        <v>4249</v>
      </c>
      <c r="BF1" s="803" t="s">
        <v>4250</v>
      </c>
      <c r="BG1" s="803" t="s">
        <v>4251</v>
      </c>
      <c r="BH1" s="803" t="s">
        <v>4252</v>
      </c>
      <c r="BI1" s="803" t="s">
        <v>4253</v>
      </c>
      <c r="BJ1" s="803" t="s">
        <v>4254</v>
      </c>
      <c r="BK1" s="803" t="s">
        <v>4255</v>
      </c>
      <c r="BL1" s="803" t="s">
        <v>4256</v>
      </c>
      <c r="BM1" s="803" t="s">
        <v>4257</v>
      </c>
      <c r="BN1" s="803" t="s">
        <v>4258</v>
      </c>
      <c r="BO1" s="803" t="s">
        <v>4259</v>
      </c>
      <c r="BP1" s="803" t="s">
        <v>4260</v>
      </c>
      <c r="BQ1" s="803" t="s">
        <v>4261</v>
      </c>
      <c r="BR1" s="803" t="s">
        <v>4262</v>
      </c>
      <c r="BS1" s="803" t="s">
        <v>4263</v>
      </c>
      <c r="BT1" s="803" t="s">
        <v>4264</v>
      </c>
      <c r="BU1" s="803" t="s">
        <v>4265</v>
      </c>
      <c r="BV1" s="803" t="s">
        <v>4266</v>
      </c>
      <c r="BW1" s="803" t="s">
        <v>4267</v>
      </c>
      <c r="BX1" s="803" t="s">
        <v>4268</v>
      </c>
      <c r="BY1" s="803" t="s">
        <v>4269</v>
      </c>
      <c r="BZ1" s="803" t="s">
        <v>4270</v>
      </c>
      <c r="CA1" s="803" t="s">
        <v>4271</v>
      </c>
      <c r="CB1" s="803" t="s">
        <v>4272</v>
      </c>
      <c r="CC1" s="803" t="s">
        <v>4273</v>
      </c>
      <c r="CD1" s="803" t="s">
        <v>4274</v>
      </c>
      <c r="CE1" s="803" t="s">
        <v>4275</v>
      </c>
      <c r="CF1" s="803" t="s">
        <v>4276</v>
      </c>
      <c r="CG1" s="803" t="s">
        <v>4277</v>
      </c>
      <c r="CH1" s="803" t="s">
        <v>4278</v>
      </c>
      <c r="CI1" s="803" t="s">
        <v>4279</v>
      </c>
      <c r="CJ1" s="803" t="s">
        <v>4280</v>
      </c>
      <c r="CK1" s="803" t="s">
        <v>4281</v>
      </c>
      <c r="CL1" s="803" t="s">
        <v>4282</v>
      </c>
      <c r="CM1" s="803" t="s">
        <v>4283</v>
      </c>
      <c r="CN1" s="803" t="s">
        <v>4284</v>
      </c>
      <c r="CO1" s="803" t="s">
        <v>4285</v>
      </c>
      <c r="CP1" s="803" t="s">
        <v>4286</v>
      </c>
      <c r="CQ1" s="803" t="s">
        <v>4287</v>
      </c>
      <c r="CR1" s="803" t="s">
        <v>4288</v>
      </c>
      <c r="CS1" s="803" t="s">
        <v>4289</v>
      </c>
      <c r="CT1" s="803" t="s">
        <v>4290</v>
      </c>
      <c r="CU1" s="803" t="s">
        <v>4291</v>
      </c>
      <c r="CV1" s="803" t="s">
        <v>4292</v>
      </c>
      <c r="CW1" s="803" t="s">
        <v>4293</v>
      </c>
      <c r="CX1" s="803" t="s">
        <v>4294</v>
      </c>
      <c r="CY1" s="803" t="s">
        <v>4295</v>
      </c>
      <c r="CZ1" s="803" t="s">
        <v>4296</v>
      </c>
      <c r="DA1" s="803" t="s">
        <v>4297</v>
      </c>
      <c r="DB1" s="803" t="s">
        <v>4298</v>
      </c>
      <c r="DC1" s="803" t="s">
        <v>4299</v>
      </c>
      <c r="DD1" s="803" t="s">
        <v>4300</v>
      </c>
      <c r="DE1" s="803" t="s">
        <v>4301</v>
      </c>
      <c r="DF1" s="803" t="s">
        <v>4302</v>
      </c>
      <c r="DG1" s="803" t="s">
        <v>4303</v>
      </c>
      <c r="DH1" s="803" t="s">
        <v>4304</v>
      </c>
      <c r="DI1" s="803" t="s">
        <v>4305</v>
      </c>
      <c r="DJ1" s="803" t="s">
        <v>4306</v>
      </c>
      <c r="DK1" s="803" t="s">
        <v>4307</v>
      </c>
      <c r="DL1" s="803" t="s">
        <v>4308</v>
      </c>
      <c r="DM1" s="803" t="s">
        <v>4309</v>
      </c>
      <c r="DN1" s="803" t="s">
        <v>4310</v>
      </c>
      <c r="DO1" s="803" t="s">
        <v>4311</v>
      </c>
      <c r="DP1" s="803" t="s">
        <v>4312</v>
      </c>
      <c r="DQ1" s="803" t="s">
        <v>3252</v>
      </c>
      <c r="DR1" s="803" t="s">
        <v>4313</v>
      </c>
      <c r="DS1" s="803" t="s">
        <v>4314</v>
      </c>
      <c r="DT1" s="803" t="s">
        <v>4315</v>
      </c>
      <c r="DU1" s="803" t="s">
        <v>4316</v>
      </c>
      <c r="DV1" s="803" t="s">
        <v>4317</v>
      </c>
      <c r="DW1" s="803" t="s">
        <v>4318</v>
      </c>
      <c r="DX1" s="803" t="s">
        <v>4319</v>
      </c>
      <c r="DY1" s="803" t="s">
        <v>4320</v>
      </c>
      <c r="DZ1" s="803" t="s">
        <v>4321</v>
      </c>
      <c r="EA1" s="803" t="s">
        <v>4322</v>
      </c>
      <c r="EB1" s="803" t="s">
        <v>4323</v>
      </c>
      <c r="EC1" s="803" t="s">
        <v>4324</v>
      </c>
      <c r="ED1" s="803" t="s">
        <v>4325</v>
      </c>
      <c r="EE1" s="803" t="s">
        <v>3340</v>
      </c>
      <c r="EF1" s="803" t="s">
        <v>4326</v>
      </c>
      <c r="EG1" s="803" t="s">
        <v>4327</v>
      </c>
      <c r="EH1" s="803" t="s">
        <v>4328</v>
      </c>
      <c r="EI1" s="803" t="s">
        <v>4329</v>
      </c>
      <c r="EJ1" s="803" t="s">
        <v>4330</v>
      </c>
      <c r="EK1" s="803" t="s">
        <v>2463</v>
      </c>
      <c r="EL1" s="803" t="s">
        <v>4331</v>
      </c>
      <c r="EM1" s="803" t="s">
        <v>4332</v>
      </c>
      <c r="EN1" s="803" t="s">
        <v>4333</v>
      </c>
      <c r="EO1" s="803" t="s">
        <v>4334</v>
      </c>
      <c r="EP1" s="803" t="s">
        <v>4335</v>
      </c>
      <c r="EQ1" s="803" t="s">
        <v>4336</v>
      </c>
      <c r="ER1" s="803" t="s">
        <v>4337</v>
      </c>
      <c r="ES1" s="803" t="s">
        <v>4338</v>
      </c>
      <c r="ET1" s="803" t="s">
        <v>4339</v>
      </c>
      <c r="EU1" s="803" t="s">
        <v>4340</v>
      </c>
      <c r="EV1" s="803" t="s">
        <v>4341</v>
      </c>
      <c r="EW1" s="803" t="s">
        <v>4342</v>
      </c>
      <c r="EX1" s="803" t="s">
        <v>4343</v>
      </c>
      <c r="EY1" s="803" t="s">
        <v>4344</v>
      </c>
      <c r="EZ1" s="803" t="s">
        <v>4345</v>
      </c>
      <c r="FA1" s="803" t="s">
        <v>4346</v>
      </c>
      <c r="FB1" s="803" t="s">
        <v>4347</v>
      </c>
      <c r="FC1" s="803" t="s">
        <v>4348</v>
      </c>
      <c r="FD1" s="803" t="s">
        <v>4349</v>
      </c>
      <c r="FE1" s="803" t="s">
        <v>4279</v>
      </c>
      <c r="FF1" s="803" t="s">
        <v>4350</v>
      </c>
      <c r="FG1" s="803" t="s">
        <v>3343</v>
      </c>
      <c r="FH1" s="803" t="s">
        <v>1330</v>
      </c>
      <c r="FI1" s="803" t="s">
        <v>4351</v>
      </c>
      <c r="FJ1" s="803" t="s">
        <v>4352</v>
      </c>
      <c r="FK1" s="803" t="s">
        <v>4353</v>
      </c>
      <c r="FL1" s="803" t="s">
        <v>4354</v>
      </c>
      <c r="FM1" s="803" t="s">
        <v>4355</v>
      </c>
      <c r="FN1" s="803" t="s">
        <v>4356</v>
      </c>
      <c r="FO1" s="803" t="s">
        <v>4357</v>
      </c>
      <c r="FP1" s="803" t="s">
        <v>4358</v>
      </c>
      <c r="FQ1" s="803" t="s">
        <v>4359</v>
      </c>
      <c r="FR1" s="803" t="s">
        <v>4360</v>
      </c>
      <c r="FS1" s="803" t="s">
        <v>4361</v>
      </c>
      <c r="FT1" s="803" t="s">
        <v>4362</v>
      </c>
      <c r="FU1" s="803" t="s">
        <v>4363</v>
      </c>
      <c r="FV1" s="803" t="s">
        <v>4364</v>
      </c>
      <c r="FW1" s="803" t="s">
        <v>4365</v>
      </c>
      <c r="FX1" s="803" t="s">
        <v>4366</v>
      </c>
      <c r="FY1" s="803" t="s">
        <v>4367</v>
      </c>
      <c r="FZ1" s="803" t="s">
        <v>4368</v>
      </c>
      <c r="GA1" s="803" t="s">
        <v>4369</v>
      </c>
      <c r="GB1" s="803" t="s">
        <v>4370</v>
      </c>
      <c r="GC1" s="803" t="s">
        <v>4371</v>
      </c>
      <c r="GD1" s="803" t="s">
        <v>4372</v>
      </c>
      <c r="GE1" s="803" t="s">
        <v>4373</v>
      </c>
      <c r="GF1" s="803" t="s">
        <v>4374</v>
      </c>
      <c r="GG1" s="803" t="s">
        <v>4375</v>
      </c>
      <c r="GH1" s="803" t="s">
        <v>4376</v>
      </c>
      <c r="GI1" s="803" t="s">
        <v>4377</v>
      </c>
      <c r="GJ1" s="803" t="s">
        <v>4378</v>
      </c>
      <c r="GK1" s="803" t="s">
        <v>4379</v>
      </c>
      <c r="GL1" s="803" t="s">
        <v>4380</v>
      </c>
      <c r="GM1" s="803" t="s">
        <v>4381</v>
      </c>
      <c r="GN1" s="803" t="s">
        <v>4382</v>
      </c>
      <c r="GO1" s="803" t="s">
        <v>4383</v>
      </c>
      <c r="GP1" s="803" t="s">
        <v>4384</v>
      </c>
      <c r="GQ1" s="803" t="s">
        <v>4385</v>
      </c>
      <c r="GR1" s="803" t="s">
        <v>4386</v>
      </c>
      <c r="GS1" s="803" t="s">
        <v>4387</v>
      </c>
      <c r="GT1" s="803" t="s">
        <v>4388</v>
      </c>
      <c r="GU1" s="803" t="s">
        <v>4389</v>
      </c>
      <c r="GV1" s="803" t="s">
        <v>4390</v>
      </c>
      <c r="GW1" s="803" t="s">
        <v>4391</v>
      </c>
      <c r="GX1" s="803" t="s">
        <v>4392</v>
      </c>
      <c r="GY1" s="803" t="s">
        <v>4393</v>
      </c>
      <c r="GZ1" s="803" t="s">
        <v>4394</v>
      </c>
      <c r="HA1" s="803" t="s">
        <v>4395</v>
      </c>
      <c r="HB1" s="803" t="s">
        <v>4396</v>
      </c>
      <c r="HC1" s="803" t="s">
        <v>3281</v>
      </c>
      <c r="HD1" s="803" t="s">
        <v>4397</v>
      </c>
      <c r="HE1" s="803" t="s">
        <v>4398</v>
      </c>
      <c r="HF1" s="803" t="s">
        <v>4399</v>
      </c>
      <c r="HG1" s="803" t="s">
        <v>4400</v>
      </c>
      <c r="HH1" s="803" t="s">
        <v>4401</v>
      </c>
      <c r="HI1" s="803" t="s">
        <v>4402</v>
      </c>
      <c r="HJ1" s="803" t="s">
        <v>4403</v>
      </c>
      <c r="HK1" s="803" t="s">
        <v>4404</v>
      </c>
      <c r="HL1" s="803" t="s">
        <v>4405</v>
      </c>
      <c r="HM1" s="803" t="s">
        <v>4406</v>
      </c>
      <c r="HN1" s="803" t="s">
        <v>4407</v>
      </c>
      <c r="HO1" s="803" t="s">
        <v>4408</v>
      </c>
      <c r="HP1" s="803" t="s">
        <v>4409</v>
      </c>
      <c r="HQ1" s="803" t="s">
        <v>4410</v>
      </c>
      <c r="HR1" s="803" t="s">
        <v>4411</v>
      </c>
      <c r="HS1" s="803" t="s">
        <v>4412</v>
      </c>
      <c r="HT1" s="803" t="s">
        <v>4413</v>
      </c>
      <c r="HU1" s="803" t="s">
        <v>4414</v>
      </c>
      <c r="HV1" s="803" t="s">
        <v>4415</v>
      </c>
      <c r="HW1" s="803" t="s">
        <v>4416</v>
      </c>
      <c r="HX1" s="803" t="s">
        <v>4417</v>
      </c>
      <c r="HY1" s="803" t="s">
        <v>4418</v>
      </c>
      <c r="HZ1" s="803" t="s">
        <v>4419</v>
      </c>
      <c r="IA1" s="803" t="s">
        <v>4420</v>
      </c>
      <c r="IB1" s="803" t="s">
        <v>4421</v>
      </c>
      <c r="IC1" s="803" t="s">
        <v>4422</v>
      </c>
      <c r="ID1" s="803" t="s">
        <v>4423</v>
      </c>
      <c r="IE1" s="803" t="s">
        <v>4424</v>
      </c>
      <c r="IF1" s="803" t="s">
        <v>4425</v>
      </c>
      <c r="IG1" s="803" t="s">
        <v>4426</v>
      </c>
      <c r="IH1" s="803" t="s">
        <v>4427</v>
      </c>
      <c r="II1" s="803" t="s">
        <v>3549</v>
      </c>
      <c r="IJ1" s="803" t="s">
        <v>4428</v>
      </c>
      <c r="IK1" s="803" t="s">
        <v>4429</v>
      </c>
      <c r="IL1" s="803" t="s">
        <v>4430</v>
      </c>
      <c r="IM1" s="803" t="s">
        <v>4431</v>
      </c>
      <c r="IN1" s="803" t="s">
        <v>3166</v>
      </c>
      <c r="IO1" s="803" t="s">
        <v>4432</v>
      </c>
      <c r="IP1" s="803" t="s">
        <v>4433</v>
      </c>
      <c r="IQ1" s="803" t="s">
        <v>4434</v>
      </c>
      <c r="IR1" s="803" t="s">
        <v>4435</v>
      </c>
      <c r="IS1" s="803" t="s">
        <v>4436</v>
      </c>
      <c r="IT1" s="803" t="s">
        <v>4437</v>
      </c>
      <c r="IU1" s="803" t="s">
        <v>4438</v>
      </c>
      <c r="IV1" s="803" t="s">
        <v>4439</v>
      </c>
      <c r="IW1" s="803" t="s">
        <v>4440</v>
      </c>
      <c r="IX1" s="803" t="s">
        <v>4441</v>
      </c>
      <c r="IY1" s="803" t="s">
        <v>4442</v>
      </c>
      <c r="IZ1" s="803" t="s">
        <v>4443</v>
      </c>
      <c r="JA1" s="803" t="s">
        <v>4444</v>
      </c>
      <c r="JB1" s="803" t="s">
        <v>4445</v>
      </c>
      <c r="JC1" s="803" t="s">
        <v>4446</v>
      </c>
      <c r="JD1" s="803" t="s">
        <v>4447</v>
      </c>
      <c r="JE1" s="803" t="s">
        <v>4448</v>
      </c>
      <c r="JF1" s="803" t="s">
        <v>4449</v>
      </c>
      <c r="JG1" s="803" t="s">
        <v>4450</v>
      </c>
      <c r="JH1" s="803" t="s">
        <v>4451</v>
      </c>
      <c r="JI1" s="803" t="s">
        <v>4452</v>
      </c>
      <c r="JJ1" s="803" t="s">
        <v>4453</v>
      </c>
      <c r="JK1" s="803" t="s">
        <v>4454</v>
      </c>
      <c r="JL1" s="803" t="s">
        <v>4455</v>
      </c>
      <c r="JM1" s="803" t="s">
        <v>4456</v>
      </c>
      <c r="JN1" s="803" t="s">
        <v>4457</v>
      </c>
      <c r="JO1" s="803" t="s">
        <v>4458</v>
      </c>
      <c r="JP1" s="803" t="s">
        <v>4459</v>
      </c>
      <c r="JQ1" s="803" t="s">
        <v>4460</v>
      </c>
      <c r="JR1" s="803" t="s">
        <v>4461</v>
      </c>
      <c r="JS1" s="803" t="s">
        <v>4462</v>
      </c>
      <c r="JT1" s="803" t="s">
        <v>4463</v>
      </c>
      <c r="JU1" s="803" t="s">
        <v>4464</v>
      </c>
      <c r="JV1" s="803" t="s">
        <v>4465</v>
      </c>
      <c r="JW1" s="803" t="s">
        <v>4466</v>
      </c>
      <c r="JX1" s="803" t="s">
        <v>4467</v>
      </c>
      <c r="JY1" s="803" t="s">
        <v>4468</v>
      </c>
      <c r="JZ1" s="803" t="s">
        <v>4469</v>
      </c>
      <c r="KA1" s="803" t="s">
        <v>4470</v>
      </c>
      <c r="KB1" s="803" t="s">
        <v>4471</v>
      </c>
      <c r="KC1" s="803" t="s">
        <v>4472</v>
      </c>
      <c r="KD1" s="803" t="s">
        <v>4473</v>
      </c>
      <c r="KE1" s="803" t="s">
        <v>4474</v>
      </c>
      <c r="KF1" s="803" t="s">
        <v>4475</v>
      </c>
      <c r="KG1" s="803" t="s">
        <v>4476</v>
      </c>
      <c r="KH1" s="803" t="s">
        <v>4477</v>
      </c>
      <c r="KI1" s="803" t="s">
        <v>4478</v>
      </c>
      <c r="KJ1" s="803" t="s">
        <v>4479</v>
      </c>
      <c r="KK1" s="803" t="s">
        <v>4480</v>
      </c>
      <c r="KL1" s="803" t="s">
        <v>4481</v>
      </c>
      <c r="KM1" s="803" t="s">
        <v>4482</v>
      </c>
      <c r="KN1" s="803" t="s">
        <v>4483</v>
      </c>
      <c r="KO1" s="803" t="s">
        <v>4484</v>
      </c>
      <c r="KP1" s="803" t="s">
        <v>4485</v>
      </c>
      <c r="KQ1" s="803" t="s">
        <v>4486</v>
      </c>
      <c r="KR1" s="803" t="s">
        <v>4487</v>
      </c>
      <c r="KS1" s="803" t="s">
        <v>4488</v>
      </c>
      <c r="KT1" s="803" t="s">
        <v>4489</v>
      </c>
      <c r="KU1" s="803" t="s">
        <v>4490</v>
      </c>
      <c r="KV1" s="803" t="s">
        <v>4491</v>
      </c>
      <c r="KW1" s="803" t="s">
        <v>4492</v>
      </c>
      <c r="KX1" s="803" t="s">
        <v>4493</v>
      </c>
      <c r="KY1" s="803" t="s">
        <v>4494</v>
      </c>
      <c r="KZ1" s="803" t="s">
        <v>4495</v>
      </c>
      <c r="LA1" s="803" t="s">
        <v>4496</v>
      </c>
      <c r="LB1" s="803" t="s">
        <v>4497</v>
      </c>
      <c r="LC1" s="803" t="s">
        <v>4498</v>
      </c>
      <c r="LD1" s="803" t="s">
        <v>4499</v>
      </c>
      <c r="LE1" s="803" t="s">
        <v>4500</v>
      </c>
      <c r="LF1" s="803" t="s">
        <v>4501</v>
      </c>
      <c r="LG1" s="803" t="s">
        <v>4502</v>
      </c>
      <c r="LH1" s="803" t="s">
        <v>4503</v>
      </c>
      <c r="LI1" s="803" t="s">
        <v>4504</v>
      </c>
      <c r="LJ1" s="803" t="s">
        <v>4505</v>
      </c>
      <c r="LK1" s="803" t="s">
        <v>4506</v>
      </c>
      <c r="LL1" s="803" t="s">
        <v>4507</v>
      </c>
      <c r="LM1" s="803" t="s">
        <v>4508</v>
      </c>
      <c r="LN1" s="803" t="s">
        <v>4509</v>
      </c>
      <c r="LO1" s="803" t="s">
        <v>4510</v>
      </c>
      <c r="LP1" s="803" t="s">
        <v>4511</v>
      </c>
      <c r="LQ1" s="803" t="s">
        <v>4512</v>
      </c>
      <c r="LR1" s="803" t="s">
        <v>4513</v>
      </c>
      <c r="LS1" s="803" t="s">
        <v>4514</v>
      </c>
      <c r="LT1" s="803" t="s">
        <v>4515</v>
      </c>
      <c r="LU1" s="33" t="s">
        <v>4516</v>
      </c>
      <c r="LV1" s="33" t="s">
        <v>4517</v>
      </c>
      <c r="LW1" s="33" t="s">
        <v>4518</v>
      </c>
      <c r="LX1" s="33" t="s">
        <v>4519</v>
      </c>
      <c r="LY1" s="33" t="s">
        <v>4520</v>
      </c>
      <c r="LZ1" s="33" t="s">
        <v>4521</v>
      </c>
      <c r="MA1" s="33" t="s">
        <v>4522</v>
      </c>
      <c r="MB1" s="33" t="s">
        <v>4523</v>
      </c>
      <c r="MC1" s="33" t="s">
        <v>4524</v>
      </c>
      <c r="MD1" s="33" t="s">
        <v>4525</v>
      </c>
      <c r="ME1" s="33" t="s">
        <v>4526</v>
      </c>
      <c r="MF1" s="33" t="s">
        <v>4527</v>
      </c>
      <c r="MG1" s="33" t="s">
        <v>4528</v>
      </c>
      <c r="MH1" s="33" t="s">
        <v>4529</v>
      </c>
      <c r="MI1" s="33" t="s">
        <v>4175</v>
      </c>
      <c r="MJ1" s="33" t="s">
        <v>4530</v>
      </c>
      <c r="MK1" s="33" t="s">
        <v>4531</v>
      </c>
      <c r="ML1" s="33" t="s">
        <v>4532</v>
      </c>
      <c r="MM1" s="33" t="s">
        <v>4533</v>
      </c>
      <c r="MN1" s="33" t="s">
        <v>4534</v>
      </c>
      <c r="MO1" s="33" t="s">
        <v>4535</v>
      </c>
      <c r="MP1" s="33" t="s">
        <v>4536</v>
      </c>
      <c r="MQ1" s="33" t="s">
        <v>4537</v>
      </c>
      <c r="MR1" s="33" t="s">
        <v>4538</v>
      </c>
      <c r="MS1" s="33" t="s">
        <v>4539</v>
      </c>
      <c r="MT1" s="33" t="s">
        <v>4540</v>
      </c>
      <c r="MU1" s="33" t="s">
        <v>4541</v>
      </c>
      <c r="MV1" s="33" t="s">
        <v>4542</v>
      </c>
      <c r="MW1" s="33" t="s">
        <v>4543</v>
      </c>
      <c r="MX1" s="33" t="s">
        <v>4544</v>
      </c>
      <c r="MY1" s="33" t="s">
        <v>4545</v>
      </c>
      <c r="MZ1" s="33" t="s">
        <v>4546</v>
      </c>
      <c r="NA1" s="33" t="s">
        <v>4547</v>
      </c>
      <c r="NB1" s="33" t="s">
        <v>4548</v>
      </c>
      <c r="NC1" s="33" t="s">
        <v>4549</v>
      </c>
      <c r="ND1" s="33" t="s">
        <v>4550</v>
      </c>
      <c r="NE1" s="33" t="s">
        <v>4551</v>
      </c>
      <c r="NF1" s="33" t="s">
        <v>4552</v>
      </c>
      <c r="NG1" s="33" t="s">
        <v>4553</v>
      </c>
      <c r="NH1" s="33" t="s">
        <v>4554</v>
      </c>
      <c r="NI1" s="33" t="s">
        <v>4555</v>
      </c>
      <c r="NJ1" s="33" t="s">
        <v>4556</v>
      </c>
      <c r="NK1" s="33" t="s">
        <v>4557</v>
      </c>
      <c r="NL1" s="33" t="s">
        <v>4558</v>
      </c>
      <c r="NM1" s="33" t="s">
        <v>4559</v>
      </c>
      <c r="NN1" s="33" t="s">
        <v>4560</v>
      </c>
      <c r="NO1" s="33" t="s">
        <v>4561</v>
      </c>
      <c r="NP1" s="33" t="s">
        <v>4562</v>
      </c>
      <c r="NQ1" s="33" t="s">
        <v>4563</v>
      </c>
      <c r="NR1" s="33" t="s">
        <v>4564</v>
      </c>
      <c r="NS1" s="33" t="s">
        <v>4565</v>
      </c>
      <c r="NT1" s="33" t="s">
        <v>4566</v>
      </c>
      <c r="NU1" s="33" t="s">
        <v>4567</v>
      </c>
      <c r="NV1" s="33" t="s">
        <v>4568</v>
      </c>
      <c r="NW1" s="33" t="s">
        <v>4569</v>
      </c>
      <c r="NX1" s="33" t="s">
        <v>4570</v>
      </c>
      <c r="NY1" s="33" t="s">
        <v>4571</v>
      </c>
      <c r="NZ1" s="33" t="s">
        <v>4572</v>
      </c>
      <c r="OA1" s="33" t="s">
        <v>4573</v>
      </c>
      <c r="OB1" s="33" t="s">
        <v>4574</v>
      </c>
      <c r="OC1" s="33" t="s">
        <v>4575</v>
      </c>
      <c r="OD1" s="33" t="s">
        <v>4576</v>
      </c>
      <c r="OE1" s="33" t="s">
        <v>4577</v>
      </c>
      <c r="OF1" s="33" t="s">
        <v>4578</v>
      </c>
      <c r="OG1" s="33" t="s">
        <v>4579</v>
      </c>
      <c r="OH1" s="33" t="s">
        <v>4580</v>
      </c>
      <c r="OI1" s="33" t="s">
        <v>4581</v>
      </c>
      <c r="OJ1" s="33" t="s">
        <v>4582</v>
      </c>
      <c r="OK1" s="33" t="s">
        <v>4583</v>
      </c>
      <c r="OL1" s="33" t="s">
        <v>4584</v>
      </c>
      <c r="OM1" s="33" t="s">
        <v>4585</v>
      </c>
      <c r="ON1" s="33" t="s">
        <v>4586</v>
      </c>
      <c r="OO1" s="33" t="s">
        <v>4587</v>
      </c>
      <c r="OP1" s="33" t="s">
        <v>4588</v>
      </c>
      <c r="OQ1" s="33" t="s">
        <v>4589</v>
      </c>
      <c r="OR1" s="33" t="s">
        <v>4590</v>
      </c>
      <c r="OS1" s="33" t="s">
        <v>4591</v>
      </c>
      <c r="OT1" s="33" t="s">
        <v>4592</v>
      </c>
      <c r="OU1" s="33" t="s">
        <v>4593</v>
      </c>
      <c r="OV1" s="33" t="s">
        <v>4594</v>
      </c>
      <c r="OW1" s="33" t="s">
        <v>4595</v>
      </c>
      <c r="OX1" s="33" t="s">
        <v>4596</v>
      </c>
      <c r="OY1" s="33" t="s">
        <v>4597</v>
      </c>
      <c r="OZ1" s="33" t="s">
        <v>4598</v>
      </c>
      <c r="PA1" s="33" t="s">
        <v>4599</v>
      </c>
      <c r="PB1" s="33" t="s">
        <v>4600</v>
      </c>
      <c r="PC1" s="33" t="s">
        <v>4601</v>
      </c>
      <c r="PD1" s="33" t="s">
        <v>4602</v>
      </c>
      <c r="PE1" s="33" t="s">
        <v>4603</v>
      </c>
      <c r="PF1" s="33" t="s">
        <v>4604</v>
      </c>
      <c r="PG1" s="33" t="s">
        <v>4605</v>
      </c>
      <c r="PH1" s="33" t="s">
        <v>4606</v>
      </c>
      <c r="PI1" s="33" t="s">
        <v>4607</v>
      </c>
      <c r="PJ1" s="33" t="s">
        <v>4608</v>
      </c>
      <c r="PK1" s="33" t="s">
        <v>4609</v>
      </c>
      <c r="PL1" s="33" t="s">
        <v>4610</v>
      </c>
      <c r="PM1" s="803" t="s">
        <v>4611</v>
      </c>
      <c r="PN1" s="33" t="s">
        <v>4612</v>
      </c>
      <c r="PO1" s="803" t="s">
        <v>4613</v>
      </c>
      <c r="PP1" s="803" t="s">
        <v>4614</v>
      </c>
    </row>
    <row r="2" spans="1:432" ht="15.6">
      <c r="A2" s="803" t="s">
        <v>2548</v>
      </c>
      <c r="F2" s="804">
        <v>754</v>
      </c>
      <c r="G2" s="807">
        <f>SUM(I2:AV2)</f>
        <v>6095</v>
      </c>
      <c r="H2" s="808">
        <f>SUM(I2:K2)</f>
        <v>0</v>
      </c>
      <c r="AP2" s="803">
        <v>650</v>
      </c>
      <c r="AQ2" s="803">
        <v>1605</v>
      </c>
      <c r="AR2" s="803">
        <v>390</v>
      </c>
      <c r="AS2" s="803">
        <v>3450</v>
      </c>
      <c r="AW2" s="803">
        <f>SUM(AX2:DP2)</f>
        <v>15908</v>
      </c>
      <c r="BC2" s="803">
        <v>12</v>
      </c>
      <c r="BU2" s="803">
        <f>5000+8000</f>
        <v>13000</v>
      </c>
      <c r="DE2" s="803">
        <v>60</v>
      </c>
      <c r="DF2" s="803">
        <f>1467+16</f>
        <v>1483</v>
      </c>
      <c r="DG2" s="803">
        <v>296</v>
      </c>
      <c r="DH2" s="803">
        <v>167</v>
      </c>
      <c r="DI2" s="803">
        <v>258</v>
      </c>
      <c r="DJ2" s="803">
        <v>21</v>
      </c>
      <c r="DK2" s="803">
        <v>46</v>
      </c>
      <c r="DL2" s="803">
        <v>52</v>
      </c>
      <c r="DM2" s="803">
        <v>306</v>
      </c>
      <c r="DN2" s="803">
        <v>207</v>
      </c>
      <c r="DQ2" s="803">
        <f>SUM(DR2:ED2)</f>
        <v>2934</v>
      </c>
      <c r="DR2" s="803">
        <f>2633+301</f>
        <v>2934</v>
      </c>
      <c r="EE2" s="803">
        <f>SUM(EF2:FF2)</f>
        <v>26285</v>
      </c>
      <c r="EQ2" s="803">
        <v>2900</v>
      </c>
      <c r="ES2" s="803">
        <f>5651+704+640</f>
        <v>6995</v>
      </c>
      <c r="EZ2" s="803">
        <v>1725</v>
      </c>
      <c r="FE2" s="803">
        <f>10500+3700</f>
        <v>14200</v>
      </c>
      <c r="FF2" s="803">
        <v>465</v>
      </c>
      <c r="FG2" s="803">
        <f>SUM(FH2:HB2)</f>
        <v>5419</v>
      </c>
      <c r="GW2" s="803">
        <f>14+488</f>
        <v>502</v>
      </c>
      <c r="GX2" s="803">
        <v>2500</v>
      </c>
      <c r="GY2" s="803">
        <v>334</v>
      </c>
      <c r="GZ2" s="803">
        <v>83</v>
      </c>
      <c r="HA2" s="803">
        <v>2000</v>
      </c>
      <c r="HC2" s="803">
        <f>SUM(HD2:IH2)</f>
        <v>2538</v>
      </c>
      <c r="HE2" s="803">
        <f>514+175+850</f>
        <v>1539</v>
      </c>
      <c r="IG2" s="803">
        <f>518+481</f>
        <v>999</v>
      </c>
      <c r="II2" s="803">
        <f>SUM(IJ2:IM2)</f>
        <v>0</v>
      </c>
      <c r="IN2" s="803">
        <f>SUM(IO2:JG2)</f>
        <v>635</v>
      </c>
      <c r="IO2" s="803">
        <v>225</v>
      </c>
      <c r="IU2" s="803">
        <f>363+47</f>
        <v>410</v>
      </c>
      <c r="JH2" s="803">
        <f>SUM(JI2:KD2)</f>
        <v>418</v>
      </c>
      <c r="JZ2" s="803">
        <f>86+123</f>
        <v>209</v>
      </c>
      <c r="KA2" s="803">
        <f>10+14</f>
        <v>24</v>
      </c>
      <c r="KB2" s="803">
        <f>165+20</f>
        <v>185</v>
      </c>
      <c r="KE2" s="803">
        <f>SUM(KF2:LT2)</f>
        <v>2502</v>
      </c>
      <c r="KI2" s="803">
        <v>10</v>
      </c>
      <c r="KJ2" s="803">
        <v>4</v>
      </c>
      <c r="KK2" s="803">
        <f>285+20</f>
        <v>305</v>
      </c>
      <c r="KL2" s="803">
        <v>112</v>
      </c>
      <c r="KM2" s="803">
        <f>35+15</f>
        <v>50</v>
      </c>
      <c r="KV2" s="803">
        <v>10</v>
      </c>
      <c r="KW2" s="803">
        <v>5</v>
      </c>
      <c r="KX2" s="803">
        <f>16+70+1</f>
        <v>87</v>
      </c>
      <c r="KY2" s="803">
        <f>4+50</f>
        <v>54</v>
      </c>
      <c r="KZ2" s="803">
        <v>279</v>
      </c>
      <c r="LA2" s="803">
        <v>319</v>
      </c>
      <c r="LM2" s="803">
        <v>95</v>
      </c>
      <c r="LN2" s="803">
        <v>13</v>
      </c>
      <c r="LO2" s="803">
        <v>218</v>
      </c>
      <c r="LP2" s="803">
        <v>2</v>
      </c>
      <c r="LQ2" s="803">
        <f>439+289+52</f>
        <v>780</v>
      </c>
      <c r="LR2" s="803">
        <f>111+46+2</f>
        <v>159</v>
      </c>
      <c r="LV2" s="33">
        <f>SUM(LW2:ME2)</f>
        <v>480</v>
      </c>
      <c r="LZ2" s="33">
        <v>480</v>
      </c>
      <c r="MF2" s="33">
        <f>SUM(MG2:ML2)</f>
        <v>0</v>
      </c>
      <c r="MM2" s="33">
        <f>SUM(MN2:ND2)</f>
        <v>81</v>
      </c>
      <c r="MS2" s="33" t="s">
        <v>4615</v>
      </c>
      <c r="MU2" s="33">
        <f>SUM(MS3:MV39)</f>
        <v>81</v>
      </c>
      <c r="NC2" s="33" t="s">
        <v>4615</v>
      </c>
      <c r="NE2" s="33">
        <f>SUM(NF2:NQ2)</f>
        <v>0</v>
      </c>
      <c r="NN2" s="33" t="s">
        <v>4615</v>
      </c>
      <c r="NR2" s="33">
        <f>SUM(NS2,OG2)</f>
        <v>457</v>
      </c>
      <c r="NS2" s="33">
        <f>SUM(NT2:OF2)</f>
        <v>457</v>
      </c>
      <c r="OD2" s="33">
        <v>4</v>
      </c>
      <c r="OE2" s="33">
        <v>453</v>
      </c>
      <c r="OG2" s="33">
        <f>SUM(OH2:ON2)</f>
        <v>0</v>
      </c>
      <c r="OP2" s="803" t="s">
        <v>4616</v>
      </c>
      <c r="OR2" s="803" t="s">
        <v>4616</v>
      </c>
      <c r="OS2" s="803" t="s">
        <v>4616</v>
      </c>
      <c r="OU2" s="803" t="s">
        <v>4616</v>
      </c>
      <c r="OV2" s="803" t="s">
        <v>4616</v>
      </c>
      <c r="OW2" s="803" t="s">
        <v>4616</v>
      </c>
      <c r="OX2" s="803" t="s">
        <v>4616</v>
      </c>
      <c r="OY2" s="803" t="s">
        <v>4616</v>
      </c>
      <c r="OZ2" s="803" t="s">
        <v>4616</v>
      </c>
      <c r="PA2" s="803" t="s">
        <v>4616</v>
      </c>
      <c r="PB2" s="803" t="s">
        <v>4616</v>
      </c>
      <c r="PC2" s="803" t="s">
        <v>4616</v>
      </c>
      <c r="PD2" s="803" t="s">
        <v>4616</v>
      </c>
      <c r="PE2" s="803" t="s">
        <v>4615</v>
      </c>
      <c r="PH2" s="33">
        <f>SUM(PI2:PP2)</f>
        <v>0</v>
      </c>
      <c r="PI2" s="803" t="s">
        <v>4616</v>
      </c>
      <c r="PJ2" s="803" t="s">
        <v>4616</v>
      </c>
      <c r="PK2" s="803" t="s">
        <v>4616</v>
      </c>
      <c r="PN2" s="803" t="s">
        <v>4616</v>
      </c>
    </row>
    <row r="3" spans="1:432" ht="15.6">
      <c r="A3" s="803" t="s">
        <v>2392</v>
      </c>
      <c r="F3" s="804">
        <v>71.599999999999994</v>
      </c>
      <c r="G3" s="807">
        <f t="shared" ref="G3:G39" si="0">SUM(I3:AV3)</f>
        <v>227</v>
      </c>
      <c r="H3" s="808">
        <f t="shared" ref="H3:H39" si="1">SUM(I3:K3)</f>
        <v>0</v>
      </c>
      <c r="AM3" s="803">
        <v>227</v>
      </c>
      <c r="AW3" s="803">
        <f t="shared" ref="AW3:AW39" si="2">SUM(AX3:DP3)</f>
        <v>409</v>
      </c>
      <c r="DC3" s="803">
        <v>409</v>
      </c>
      <c r="DQ3" s="803">
        <f t="shared" ref="DQ3:DQ39" si="3">SUM(DR3:ED3)</f>
        <v>396</v>
      </c>
      <c r="EA3" s="803">
        <v>396</v>
      </c>
      <c r="EE3" s="803">
        <f t="shared" ref="EE3:EE39" si="4">SUM(EF3:FF3)</f>
        <v>1262</v>
      </c>
      <c r="EJ3" s="803">
        <v>399</v>
      </c>
      <c r="EK3" s="803">
        <v>252</v>
      </c>
      <c r="EL3" s="803">
        <v>23</v>
      </c>
      <c r="EM3" s="803">
        <v>396</v>
      </c>
      <c r="EN3" s="803">
        <v>168</v>
      </c>
      <c r="EO3" s="803">
        <v>24</v>
      </c>
      <c r="FG3" s="803">
        <f t="shared" ref="FG3:FG39" si="5">SUM(FH3:HB3)</f>
        <v>388</v>
      </c>
      <c r="GM3" s="803">
        <v>388</v>
      </c>
      <c r="GN3" s="803" t="s">
        <v>4615</v>
      </c>
      <c r="GO3" s="803" t="s">
        <v>4615</v>
      </c>
      <c r="GP3" s="803" t="s">
        <v>4615</v>
      </c>
      <c r="HC3" s="803">
        <f t="shared" ref="HC3:HC39" si="6">SUM(HD3:IH3)</f>
        <v>109</v>
      </c>
      <c r="HE3" s="803">
        <v>20</v>
      </c>
      <c r="IF3" s="803">
        <v>89</v>
      </c>
      <c r="II3" s="803">
        <f t="shared" ref="II3:II39" si="7">SUM(IJ3:IM3)</f>
        <v>0</v>
      </c>
      <c r="IN3" s="803">
        <f t="shared" ref="IN3:IN39" si="8">SUM(IO3:JG3)</f>
        <v>35</v>
      </c>
      <c r="IP3" s="803">
        <v>35</v>
      </c>
      <c r="JH3" s="803">
        <f t="shared" ref="JH3:JH39" si="9">SUM(JI3:KD3)</f>
        <v>0</v>
      </c>
      <c r="KE3" s="803">
        <f t="shared" ref="KE3:KE39" si="10">SUM(KF3:LT3)</f>
        <v>167</v>
      </c>
      <c r="KL3" s="803">
        <v>23</v>
      </c>
      <c r="KN3" s="803">
        <v>138</v>
      </c>
      <c r="KO3" s="803">
        <v>6</v>
      </c>
      <c r="LV3" s="33">
        <f t="shared" ref="LV3:LV39" si="11">SUM(LW3:ME3)</f>
        <v>0</v>
      </c>
      <c r="MF3" s="33">
        <f t="shared" ref="MF3:MF39" si="12">SUM(MG3:ML3)</f>
        <v>0</v>
      </c>
      <c r="MM3" s="33">
        <f t="shared" ref="MM3:MM39" si="13">SUM(MN3:ND3)</f>
        <v>0</v>
      </c>
      <c r="NB3" s="33" t="s">
        <v>4615</v>
      </c>
      <c r="NE3" s="33">
        <f t="shared" ref="NE3:NE39" si="14">SUM(NF3:NQ3)</f>
        <v>0</v>
      </c>
      <c r="NR3" s="33">
        <f t="shared" ref="NR3:NR39" si="15">SUM(NS3,OG3)</f>
        <v>74</v>
      </c>
      <c r="NS3" s="33">
        <f t="shared" ref="NS3:NS39" si="16">SUM(NT3:OF3)</f>
        <v>60</v>
      </c>
      <c r="OB3" s="33">
        <v>60</v>
      </c>
      <c r="OG3" s="33">
        <f t="shared" ref="OG3:OG39" si="17">SUM(OH3:ON3)</f>
        <v>14</v>
      </c>
      <c r="OK3" s="33">
        <v>14</v>
      </c>
      <c r="OL3" s="33" t="s">
        <v>4615</v>
      </c>
      <c r="OP3" s="803" t="s">
        <v>4616</v>
      </c>
      <c r="OR3" s="803" t="s">
        <v>4616</v>
      </c>
      <c r="OS3" s="803" t="s">
        <v>4616</v>
      </c>
      <c r="OU3" s="803" t="s">
        <v>4616</v>
      </c>
      <c r="OV3" s="803" t="s">
        <v>4616</v>
      </c>
      <c r="OW3" s="803" t="s">
        <v>4616</v>
      </c>
      <c r="OX3" s="803" t="s">
        <v>4616</v>
      </c>
      <c r="OY3" s="803" t="s">
        <v>4616</v>
      </c>
      <c r="OZ3" s="803" t="s">
        <v>4616</v>
      </c>
      <c r="PA3" s="803" t="s">
        <v>4616</v>
      </c>
      <c r="PB3" s="803" t="s">
        <v>4616</v>
      </c>
      <c r="PC3" s="803" t="s">
        <v>4616</v>
      </c>
      <c r="PD3" s="803" t="s">
        <v>4616</v>
      </c>
      <c r="PE3" s="803" t="s">
        <v>4616</v>
      </c>
      <c r="PH3" s="33">
        <f t="shared" ref="PH3:PH39" si="18">SUM(PI3:PP3)</f>
        <v>0</v>
      </c>
      <c r="PI3" s="803" t="s">
        <v>4616</v>
      </c>
      <c r="PJ3" s="803" t="s">
        <v>4616</v>
      </c>
      <c r="PK3" s="803" t="s">
        <v>4616</v>
      </c>
      <c r="PN3" s="803" t="s">
        <v>4616</v>
      </c>
    </row>
    <row r="4" spans="1:432" ht="15.6">
      <c r="A4" s="803" t="s">
        <v>1012</v>
      </c>
      <c r="F4" s="804">
        <v>59.3</v>
      </c>
      <c r="G4" s="807">
        <f t="shared" si="0"/>
        <v>467</v>
      </c>
      <c r="H4" s="808">
        <f t="shared" si="1"/>
        <v>0</v>
      </c>
      <c r="AE4" s="803">
        <v>222</v>
      </c>
      <c r="AN4" s="803">
        <v>245</v>
      </c>
      <c r="AW4" s="803">
        <f t="shared" si="2"/>
        <v>2596</v>
      </c>
      <c r="AX4" s="803">
        <v>49</v>
      </c>
      <c r="AZ4" s="803">
        <v>339</v>
      </c>
      <c r="BA4" s="803">
        <v>2151</v>
      </c>
      <c r="BB4" s="803">
        <v>57</v>
      </c>
      <c r="DQ4" s="803">
        <f t="shared" si="3"/>
        <v>20</v>
      </c>
      <c r="EC4" s="803">
        <v>20</v>
      </c>
      <c r="EE4" s="803">
        <f t="shared" si="4"/>
        <v>0</v>
      </c>
      <c r="FG4" s="803">
        <f t="shared" si="5"/>
        <v>706</v>
      </c>
      <c r="FW4" s="803">
        <v>599</v>
      </c>
      <c r="FX4" s="803">
        <v>107</v>
      </c>
      <c r="HC4" s="803">
        <f t="shared" si="6"/>
        <v>120</v>
      </c>
      <c r="HL4" s="803">
        <v>12</v>
      </c>
      <c r="HN4" s="803">
        <v>76</v>
      </c>
      <c r="HP4" s="803">
        <v>32</v>
      </c>
      <c r="II4" s="803">
        <f t="shared" si="7"/>
        <v>0</v>
      </c>
      <c r="IN4" s="803">
        <f t="shared" si="8"/>
        <v>13</v>
      </c>
      <c r="IO4" s="803">
        <v>13</v>
      </c>
      <c r="JH4" s="803">
        <f t="shared" si="9"/>
        <v>47</v>
      </c>
      <c r="JW4" s="803">
        <v>12</v>
      </c>
      <c r="JX4" s="803">
        <v>28</v>
      </c>
      <c r="JY4" s="803">
        <v>7</v>
      </c>
      <c r="KE4" s="803">
        <f t="shared" si="10"/>
        <v>203</v>
      </c>
      <c r="LB4" s="803">
        <v>42</v>
      </c>
      <c r="LC4" s="803">
        <v>53</v>
      </c>
      <c r="LD4" s="803">
        <v>43</v>
      </c>
      <c r="LE4" s="803">
        <v>65</v>
      </c>
      <c r="LV4" s="33">
        <f t="shared" si="11"/>
        <v>40</v>
      </c>
      <c r="LX4" s="33">
        <v>40</v>
      </c>
      <c r="MF4" s="33">
        <f t="shared" si="12"/>
        <v>0</v>
      </c>
      <c r="MM4" s="33">
        <f t="shared" si="13"/>
        <v>24</v>
      </c>
      <c r="MR4" s="33">
        <v>24</v>
      </c>
      <c r="NE4" s="33">
        <f t="shared" si="14"/>
        <v>0</v>
      </c>
      <c r="NR4" s="33">
        <f t="shared" si="15"/>
        <v>0</v>
      </c>
      <c r="NS4" s="33">
        <f t="shared" si="16"/>
        <v>0</v>
      </c>
      <c r="OG4" s="33">
        <f t="shared" si="17"/>
        <v>0</v>
      </c>
      <c r="OM4" s="33" t="s">
        <v>4615</v>
      </c>
      <c r="OP4" s="803" t="s">
        <v>4616</v>
      </c>
      <c r="OR4" s="803" t="s">
        <v>4616</v>
      </c>
      <c r="OS4" s="803" t="s">
        <v>4616</v>
      </c>
      <c r="OU4" s="803" t="s">
        <v>4616</v>
      </c>
      <c r="OV4" s="803" t="s">
        <v>4616</v>
      </c>
      <c r="OW4" s="803" t="s">
        <v>4616</v>
      </c>
      <c r="OX4" s="803" t="s">
        <v>4616</v>
      </c>
      <c r="OY4" s="803" t="s">
        <v>4616</v>
      </c>
      <c r="OZ4" s="803" t="s">
        <v>4616</v>
      </c>
      <c r="PA4" s="803" t="s">
        <v>4616</v>
      </c>
      <c r="PB4" s="803" t="s">
        <v>4616</v>
      </c>
      <c r="PC4" s="803" t="s">
        <v>4616</v>
      </c>
      <c r="PD4" s="803" t="s">
        <v>4616</v>
      </c>
      <c r="PE4" s="803" t="s">
        <v>4616</v>
      </c>
      <c r="PH4" s="33">
        <f t="shared" si="18"/>
        <v>0</v>
      </c>
      <c r="PI4" s="803" t="s">
        <v>4616</v>
      </c>
      <c r="PJ4" s="803" t="s">
        <v>4616</v>
      </c>
      <c r="PK4" s="803" t="s">
        <v>4616</v>
      </c>
      <c r="PN4" s="803" t="s">
        <v>4616</v>
      </c>
    </row>
    <row r="5" spans="1:432" ht="15.6">
      <c r="A5" s="803" t="s">
        <v>1136</v>
      </c>
      <c r="F5" s="804">
        <v>56.1</v>
      </c>
      <c r="G5" s="807">
        <f t="shared" si="0"/>
        <v>339</v>
      </c>
      <c r="H5" s="808">
        <f t="shared" si="1"/>
        <v>280</v>
      </c>
      <c r="I5" s="803">
        <v>55</v>
      </c>
      <c r="K5" s="803">
        <v>225</v>
      </c>
      <c r="N5" s="803">
        <v>59</v>
      </c>
      <c r="AW5" s="803">
        <f t="shared" si="2"/>
        <v>728</v>
      </c>
      <c r="AY5" s="803">
        <v>75</v>
      </c>
      <c r="BU5" s="803">
        <v>37</v>
      </c>
      <c r="CD5" s="803">
        <v>257</v>
      </c>
      <c r="CE5" s="803">
        <v>359</v>
      </c>
      <c r="DQ5" s="803">
        <f t="shared" si="3"/>
        <v>0</v>
      </c>
      <c r="EE5" s="803">
        <f t="shared" si="4"/>
        <v>683</v>
      </c>
      <c r="EP5" s="803">
        <v>247</v>
      </c>
      <c r="EW5" s="803">
        <v>363</v>
      </c>
      <c r="EY5" s="803">
        <v>73</v>
      </c>
      <c r="FG5" s="803">
        <f t="shared" si="5"/>
        <v>674</v>
      </c>
      <c r="FY5" s="803">
        <v>253</v>
      </c>
      <c r="FZ5" s="803">
        <v>71</v>
      </c>
      <c r="GA5" s="803">
        <v>350</v>
      </c>
      <c r="HC5" s="803">
        <f t="shared" si="6"/>
        <v>126</v>
      </c>
      <c r="HH5" s="803">
        <v>121</v>
      </c>
      <c r="HV5" s="803">
        <v>5</v>
      </c>
      <c r="II5" s="803">
        <f t="shared" si="7"/>
        <v>0</v>
      </c>
      <c r="IN5" s="803">
        <f t="shared" si="8"/>
        <v>41</v>
      </c>
      <c r="IO5" s="803">
        <v>41</v>
      </c>
      <c r="JH5" s="803">
        <f t="shared" si="9"/>
        <v>138</v>
      </c>
      <c r="JI5" s="803">
        <v>138</v>
      </c>
      <c r="KE5" s="803">
        <f t="shared" si="10"/>
        <v>0</v>
      </c>
      <c r="LV5" s="33">
        <f t="shared" si="11"/>
        <v>30</v>
      </c>
      <c r="LZ5" s="33">
        <v>30</v>
      </c>
      <c r="MF5" s="33">
        <f t="shared" si="12"/>
        <v>0</v>
      </c>
      <c r="MM5" s="33">
        <f t="shared" si="13"/>
        <v>0</v>
      </c>
      <c r="NE5" s="33">
        <f t="shared" si="14"/>
        <v>0</v>
      </c>
      <c r="NR5" s="33">
        <f t="shared" si="15"/>
        <v>20</v>
      </c>
      <c r="NS5" s="33">
        <f t="shared" si="16"/>
        <v>0</v>
      </c>
      <c r="OG5" s="33">
        <f t="shared" si="17"/>
        <v>20</v>
      </c>
      <c r="OH5" s="33">
        <v>20</v>
      </c>
      <c r="OP5" s="803" t="s">
        <v>4616</v>
      </c>
      <c r="OR5" s="803" t="s">
        <v>4616</v>
      </c>
      <c r="OS5" s="803" t="s">
        <v>4616</v>
      </c>
      <c r="OU5" s="803" t="s">
        <v>4616</v>
      </c>
      <c r="OV5" s="803" t="s">
        <v>4616</v>
      </c>
      <c r="OW5" s="803" t="s">
        <v>4616</v>
      </c>
      <c r="OX5" s="803" t="s">
        <v>4616</v>
      </c>
      <c r="OY5" s="803" t="s">
        <v>4616</v>
      </c>
      <c r="OZ5" s="803">
        <v>12</v>
      </c>
      <c r="PA5" s="803" t="s">
        <v>4616</v>
      </c>
      <c r="PB5" s="803" t="s">
        <v>4616</v>
      </c>
      <c r="PC5" s="803" t="s">
        <v>4616</v>
      </c>
      <c r="PD5" s="803" t="s">
        <v>4616</v>
      </c>
      <c r="PE5" s="803" t="s">
        <v>4616</v>
      </c>
      <c r="PH5" s="33">
        <f t="shared" si="18"/>
        <v>0</v>
      </c>
      <c r="PI5" s="803" t="s">
        <v>4616</v>
      </c>
      <c r="PJ5" s="803" t="s">
        <v>4616</v>
      </c>
      <c r="PK5" s="803" t="s">
        <v>4616</v>
      </c>
      <c r="PN5" s="803" t="s">
        <v>4616</v>
      </c>
    </row>
    <row r="6" spans="1:432" ht="15.6">
      <c r="A6" s="803" t="s">
        <v>2002</v>
      </c>
      <c r="F6" s="804">
        <v>46.7</v>
      </c>
      <c r="G6" s="807">
        <f t="shared" si="0"/>
        <v>2174</v>
      </c>
      <c r="H6" s="808">
        <f t="shared" si="1"/>
        <v>0</v>
      </c>
      <c r="V6" s="803">
        <v>400</v>
      </c>
      <c r="W6" s="803">
        <v>50</v>
      </c>
      <c r="AB6" s="803">
        <v>40</v>
      </c>
      <c r="AT6" s="803">
        <v>1000</v>
      </c>
      <c r="AU6" s="803">
        <f>484+50</f>
        <v>534</v>
      </c>
      <c r="AV6" s="803">
        <v>150</v>
      </c>
      <c r="AW6" s="803">
        <f t="shared" si="2"/>
        <v>2480</v>
      </c>
      <c r="BM6" s="803">
        <v>20</v>
      </c>
      <c r="BU6" s="803">
        <v>420</v>
      </c>
      <c r="CF6" s="803">
        <v>140</v>
      </c>
      <c r="DO6" s="803">
        <v>1700</v>
      </c>
      <c r="DP6" s="803">
        <v>200</v>
      </c>
      <c r="DQ6" s="803">
        <f t="shared" si="3"/>
        <v>10</v>
      </c>
      <c r="DR6" s="803">
        <v>10</v>
      </c>
      <c r="EE6" s="803">
        <f t="shared" si="4"/>
        <v>0</v>
      </c>
      <c r="FG6" s="803">
        <f t="shared" si="5"/>
        <v>540</v>
      </c>
      <c r="FL6" s="803">
        <v>40</v>
      </c>
      <c r="HB6" s="803">
        <v>500</v>
      </c>
      <c r="HC6" s="803">
        <f t="shared" si="6"/>
        <v>4200</v>
      </c>
      <c r="HE6" s="803">
        <v>1040</v>
      </c>
      <c r="HF6" s="803">
        <v>1800</v>
      </c>
      <c r="HR6" s="803">
        <v>1240</v>
      </c>
      <c r="IH6" s="803">
        <v>120</v>
      </c>
      <c r="II6" s="803">
        <f t="shared" si="7"/>
        <v>0</v>
      </c>
      <c r="IN6" s="803">
        <f t="shared" si="8"/>
        <v>316</v>
      </c>
      <c r="IO6" s="803">
        <v>58</v>
      </c>
      <c r="JF6" s="803">
        <v>40</v>
      </c>
      <c r="JG6" s="803">
        <f>200+18</f>
        <v>218</v>
      </c>
      <c r="JH6" s="803">
        <f t="shared" si="9"/>
        <v>174</v>
      </c>
      <c r="KC6" s="803">
        <v>142</v>
      </c>
      <c r="KD6" s="803">
        <v>32</v>
      </c>
      <c r="KE6" s="803">
        <f t="shared" si="10"/>
        <v>347</v>
      </c>
      <c r="KG6" s="803">
        <v>30</v>
      </c>
      <c r="KK6" s="803">
        <v>36</v>
      </c>
      <c r="LQ6" s="803">
        <v>118</v>
      </c>
      <c r="LR6" s="803">
        <v>44</v>
      </c>
      <c r="LS6" s="803">
        <v>59</v>
      </c>
      <c r="LT6" s="803">
        <v>60</v>
      </c>
      <c r="LV6" s="33">
        <f t="shared" si="11"/>
        <v>48</v>
      </c>
      <c r="LZ6" s="33">
        <v>48</v>
      </c>
      <c r="MF6" s="33">
        <f t="shared" si="12"/>
        <v>72</v>
      </c>
      <c r="ML6" s="33">
        <v>72</v>
      </c>
      <c r="MM6" s="33">
        <f t="shared" si="13"/>
        <v>0</v>
      </c>
      <c r="NE6" s="33">
        <f t="shared" si="14"/>
        <v>0</v>
      </c>
      <c r="NG6" s="33" t="s">
        <v>4615</v>
      </c>
      <c r="NN6" s="33" t="s">
        <v>4615</v>
      </c>
      <c r="NQ6" s="33" t="s">
        <v>4615</v>
      </c>
      <c r="NR6" s="33">
        <f t="shared" si="15"/>
        <v>0</v>
      </c>
      <c r="NS6" s="33">
        <f t="shared" si="16"/>
        <v>0</v>
      </c>
      <c r="OF6" s="33" t="s">
        <v>4615</v>
      </c>
      <c r="OG6" s="33">
        <f t="shared" si="17"/>
        <v>0</v>
      </c>
      <c r="OM6" s="33" t="s">
        <v>4615</v>
      </c>
      <c r="OP6" s="803" t="s">
        <v>4616</v>
      </c>
      <c r="OR6" s="803">
        <v>40</v>
      </c>
      <c r="OS6" s="803">
        <v>40</v>
      </c>
      <c r="OU6" s="803" t="s">
        <v>4616</v>
      </c>
      <c r="OV6" s="803" t="s">
        <v>4616</v>
      </c>
      <c r="OW6" s="803" t="s">
        <v>4616</v>
      </c>
      <c r="OX6" s="803" t="s">
        <v>4616</v>
      </c>
      <c r="OY6" s="803" t="s">
        <v>4616</v>
      </c>
      <c r="OZ6" s="803" t="s">
        <v>4616</v>
      </c>
      <c r="PA6" s="803" t="s">
        <v>4616</v>
      </c>
      <c r="PB6" s="803" t="s">
        <v>4616</v>
      </c>
      <c r="PC6" s="803" t="s">
        <v>4616</v>
      </c>
      <c r="PD6" s="803">
        <v>20</v>
      </c>
      <c r="PE6" s="803" t="s">
        <v>4616</v>
      </c>
      <c r="PF6" s="803">
        <v>60</v>
      </c>
      <c r="PH6" s="33">
        <f t="shared" si="18"/>
        <v>317</v>
      </c>
      <c r="PI6" s="803" t="s">
        <v>4616</v>
      </c>
      <c r="PJ6" s="803" t="s">
        <v>4616</v>
      </c>
      <c r="PK6" s="803" t="s">
        <v>4616</v>
      </c>
      <c r="PL6" s="803">
        <v>150</v>
      </c>
      <c r="PM6" s="803">
        <v>167</v>
      </c>
      <c r="PN6" s="803" t="s">
        <v>4616</v>
      </c>
    </row>
    <row r="7" spans="1:432" ht="15.6">
      <c r="A7" s="803" t="s">
        <v>227</v>
      </c>
      <c r="F7" s="804">
        <v>34.299999999999997</v>
      </c>
      <c r="G7" s="807">
        <f t="shared" si="0"/>
        <v>59</v>
      </c>
      <c r="H7" s="808">
        <f t="shared" si="1"/>
        <v>0</v>
      </c>
      <c r="AO7" s="803">
        <v>59</v>
      </c>
      <c r="AW7" s="803">
        <f t="shared" si="2"/>
        <v>431</v>
      </c>
      <c r="BU7" s="803">
        <v>431</v>
      </c>
      <c r="DQ7" s="803">
        <f t="shared" si="3"/>
        <v>0</v>
      </c>
      <c r="EE7" s="803">
        <f t="shared" si="4"/>
        <v>1120</v>
      </c>
      <c r="EO7" s="803">
        <v>1020</v>
      </c>
      <c r="FC7" s="803">
        <v>100</v>
      </c>
      <c r="FG7" s="803">
        <f t="shared" si="5"/>
        <v>253</v>
      </c>
      <c r="GU7" s="803">
        <v>253</v>
      </c>
      <c r="HC7" s="803">
        <f t="shared" si="6"/>
        <v>54</v>
      </c>
      <c r="IG7" s="803">
        <v>54</v>
      </c>
      <c r="II7" s="803">
        <f t="shared" si="7"/>
        <v>0</v>
      </c>
      <c r="IN7" s="803">
        <f t="shared" si="8"/>
        <v>0</v>
      </c>
      <c r="JH7" s="803">
        <f t="shared" si="9"/>
        <v>0</v>
      </c>
      <c r="KE7" s="803">
        <f t="shared" si="10"/>
        <v>68</v>
      </c>
      <c r="KK7" s="803">
        <v>44</v>
      </c>
      <c r="KZ7" s="803">
        <v>24</v>
      </c>
      <c r="LV7" s="33">
        <f t="shared" si="11"/>
        <v>0</v>
      </c>
      <c r="MF7" s="33">
        <f t="shared" si="12"/>
        <v>0</v>
      </c>
      <c r="MM7" s="33">
        <f t="shared" si="13"/>
        <v>0</v>
      </c>
      <c r="NE7" s="33">
        <f t="shared" si="14"/>
        <v>0</v>
      </c>
      <c r="NM7" s="33" t="s">
        <v>4615</v>
      </c>
      <c r="NR7" s="33">
        <f t="shared" si="15"/>
        <v>0</v>
      </c>
      <c r="NS7" s="33">
        <f t="shared" si="16"/>
        <v>0</v>
      </c>
      <c r="OG7" s="33">
        <f t="shared" si="17"/>
        <v>0</v>
      </c>
      <c r="OP7" s="803" t="s">
        <v>4616</v>
      </c>
      <c r="OR7" s="803" t="s">
        <v>4616</v>
      </c>
      <c r="OS7" s="803" t="s">
        <v>4616</v>
      </c>
      <c r="OU7" s="803" t="s">
        <v>4616</v>
      </c>
      <c r="OV7" s="803" t="s">
        <v>4616</v>
      </c>
      <c r="OW7" s="803" t="s">
        <v>4616</v>
      </c>
      <c r="OX7" s="803" t="s">
        <v>4616</v>
      </c>
      <c r="OY7" s="803" t="s">
        <v>4616</v>
      </c>
      <c r="OZ7" s="803" t="s">
        <v>4616</v>
      </c>
      <c r="PA7" s="803" t="s">
        <v>4616</v>
      </c>
      <c r="PB7" s="803" t="s">
        <v>4616</v>
      </c>
      <c r="PC7" s="803" t="s">
        <v>4616</v>
      </c>
      <c r="PD7" s="803" t="s">
        <v>4616</v>
      </c>
      <c r="PE7" s="803" t="s">
        <v>4616</v>
      </c>
      <c r="PH7" s="33">
        <f t="shared" si="18"/>
        <v>0</v>
      </c>
      <c r="PI7" s="803" t="s">
        <v>4616</v>
      </c>
      <c r="PJ7" s="803" t="s">
        <v>4616</v>
      </c>
      <c r="PK7" s="803" t="s">
        <v>4616</v>
      </c>
      <c r="PN7" s="803" t="s">
        <v>4616</v>
      </c>
    </row>
    <row r="8" spans="1:432" ht="15.6">
      <c r="A8" s="803" t="s">
        <v>1412</v>
      </c>
      <c r="F8" s="804">
        <v>33.799999999999997</v>
      </c>
      <c r="G8" s="807">
        <f t="shared" si="0"/>
        <v>150</v>
      </c>
      <c r="H8" s="808">
        <f t="shared" si="1"/>
        <v>0</v>
      </c>
      <c r="Y8" s="803">
        <v>150</v>
      </c>
      <c r="AW8" s="803">
        <f t="shared" si="2"/>
        <v>346</v>
      </c>
      <c r="AY8" s="803">
        <v>148</v>
      </c>
      <c r="CH8" s="803">
        <v>198</v>
      </c>
      <c r="DQ8" s="803">
        <f t="shared" si="3"/>
        <v>33</v>
      </c>
      <c r="ED8" s="803">
        <v>33</v>
      </c>
      <c r="EE8" s="803">
        <f t="shared" si="4"/>
        <v>1884</v>
      </c>
      <c r="EF8" s="803">
        <f>1798+70</f>
        <v>1868</v>
      </c>
      <c r="EG8" s="803">
        <v>16</v>
      </c>
      <c r="FG8" s="803">
        <f t="shared" si="5"/>
        <v>681</v>
      </c>
      <c r="FO8" s="803">
        <v>255</v>
      </c>
      <c r="FP8" s="803">
        <v>165</v>
      </c>
      <c r="FQ8" s="803">
        <v>261</v>
      </c>
      <c r="HC8" s="803">
        <f t="shared" si="6"/>
        <v>233</v>
      </c>
      <c r="HH8" s="803">
        <v>70</v>
      </c>
      <c r="HQ8" s="803">
        <v>163</v>
      </c>
      <c r="II8" s="803">
        <f t="shared" si="7"/>
        <v>0</v>
      </c>
      <c r="IN8" s="803">
        <f t="shared" si="8"/>
        <v>22</v>
      </c>
      <c r="IS8" s="803">
        <v>22</v>
      </c>
      <c r="JH8" s="803">
        <f t="shared" si="9"/>
        <v>94</v>
      </c>
      <c r="JI8" s="803">
        <v>94</v>
      </c>
      <c r="KE8" s="803">
        <f t="shared" si="10"/>
        <v>54</v>
      </c>
      <c r="KK8" s="803">
        <v>14</v>
      </c>
      <c r="KL8" s="803">
        <v>1</v>
      </c>
      <c r="LF8" s="803">
        <v>31</v>
      </c>
      <c r="LG8" s="803">
        <v>8</v>
      </c>
      <c r="LV8" s="33">
        <f t="shared" si="11"/>
        <v>20</v>
      </c>
      <c r="LX8" s="33">
        <v>20</v>
      </c>
      <c r="MF8" s="33">
        <f t="shared" si="12"/>
        <v>0</v>
      </c>
      <c r="MM8" s="33">
        <f t="shared" si="13"/>
        <v>32</v>
      </c>
      <c r="MP8" s="33">
        <v>32</v>
      </c>
      <c r="ND8" s="33" t="s">
        <v>4615</v>
      </c>
      <c r="NE8" s="33">
        <f t="shared" si="14"/>
        <v>0</v>
      </c>
      <c r="NN8" s="33" t="s">
        <v>4615</v>
      </c>
      <c r="NR8" s="33">
        <f t="shared" si="15"/>
        <v>0</v>
      </c>
      <c r="NS8" s="33">
        <f t="shared" si="16"/>
        <v>0</v>
      </c>
      <c r="OG8" s="33">
        <f t="shared" si="17"/>
        <v>0</v>
      </c>
      <c r="OP8" s="803" t="s">
        <v>4616</v>
      </c>
      <c r="OR8" s="803" t="s">
        <v>4616</v>
      </c>
      <c r="OS8" s="803" t="s">
        <v>4616</v>
      </c>
      <c r="OU8" s="803" t="s">
        <v>4616</v>
      </c>
      <c r="OV8" s="803" t="s">
        <v>4616</v>
      </c>
      <c r="OW8" s="803" t="s">
        <v>4616</v>
      </c>
      <c r="OX8" s="803" t="s">
        <v>4616</v>
      </c>
      <c r="OY8" s="803" t="s">
        <v>4616</v>
      </c>
      <c r="OZ8" s="803" t="s">
        <v>4616</v>
      </c>
      <c r="PA8" s="803" t="s">
        <v>4616</v>
      </c>
      <c r="PB8" s="803" t="s">
        <v>4616</v>
      </c>
      <c r="PC8" s="803" t="s">
        <v>4616</v>
      </c>
      <c r="PD8" s="803" t="s">
        <v>4616</v>
      </c>
      <c r="PE8" s="803" t="s">
        <v>4616</v>
      </c>
      <c r="PH8" s="33">
        <f t="shared" si="18"/>
        <v>0</v>
      </c>
      <c r="PI8" s="803" t="s">
        <v>4616</v>
      </c>
      <c r="PJ8" s="803" t="s">
        <v>4616</v>
      </c>
      <c r="PK8" s="803" t="s">
        <v>4616</v>
      </c>
      <c r="PN8" s="803" t="s">
        <v>4616</v>
      </c>
    </row>
    <row r="9" spans="1:432" ht="15.6">
      <c r="A9" s="803" t="s">
        <v>452</v>
      </c>
      <c r="F9" s="804">
        <v>23.2</v>
      </c>
      <c r="G9" s="807">
        <f t="shared" si="0"/>
        <v>134</v>
      </c>
      <c r="H9" s="808">
        <f t="shared" si="1"/>
        <v>62</v>
      </c>
      <c r="I9" s="803">
        <v>42</v>
      </c>
      <c r="J9" s="803">
        <v>20</v>
      </c>
      <c r="M9" s="803">
        <v>20</v>
      </c>
      <c r="R9" s="803">
        <v>52</v>
      </c>
      <c r="AW9" s="803">
        <f t="shared" si="2"/>
        <v>443</v>
      </c>
      <c r="BU9" s="803">
        <v>235</v>
      </c>
      <c r="CF9" s="803">
        <v>33</v>
      </c>
      <c r="DD9" s="803">
        <v>175</v>
      </c>
      <c r="DQ9" s="803">
        <f t="shared" si="3"/>
        <v>0</v>
      </c>
      <c r="EE9" s="803">
        <f t="shared" si="4"/>
        <v>507</v>
      </c>
      <c r="EZ9" s="803">
        <v>7</v>
      </c>
      <c r="FD9" s="803">
        <v>500</v>
      </c>
      <c r="FG9" s="803">
        <f t="shared" si="5"/>
        <v>550</v>
      </c>
      <c r="GV9" s="803">
        <v>550</v>
      </c>
      <c r="HC9" s="803">
        <f t="shared" si="6"/>
        <v>37</v>
      </c>
      <c r="IG9" s="803">
        <v>37</v>
      </c>
      <c r="II9" s="803">
        <f t="shared" si="7"/>
        <v>0</v>
      </c>
      <c r="IN9" s="803">
        <f t="shared" si="8"/>
        <v>0</v>
      </c>
      <c r="JH9" s="803">
        <f t="shared" si="9"/>
        <v>0</v>
      </c>
      <c r="KE9" s="803">
        <f t="shared" si="10"/>
        <v>96</v>
      </c>
      <c r="KV9" s="803">
        <v>71</v>
      </c>
      <c r="KW9" s="803">
        <v>25</v>
      </c>
      <c r="LV9" s="33">
        <f t="shared" si="11"/>
        <v>0</v>
      </c>
      <c r="MF9" s="33">
        <f t="shared" si="12"/>
        <v>0</v>
      </c>
      <c r="MM9" s="33">
        <f t="shared" si="13"/>
        <v>0</v>
      </c>
      <c r="NE9" s="33">
        <f t="shared" si="14"/>
        <v>0</v>
      </c>
      <c r="NR9" s="33">
        <f t="shared" si="15"/>
        <v>0</v>
      </c>
      <c r="NS9" s="33">
        <f t="shared" si="16"/>
        <v>0</v>
      </c>
      <c r="OG9" s="33">
        <f t="shared" si="17"/>
        <v>0</v>
      </c>
      <c r="OP9" s="803" t="s">
        <v>4616</v>
      </c>
      <c r="OR9" s="803" t="s">
        <v>4616</v>
      </c>
      <c r="OS9" s="803" t="s">
        <v>4616</v>
      </c>
      <c r="OU9" s="803" t="s">
        <v>4616</v>
      </c>
      <c r="OV9" s="803" t="s">
        <v>4616</v>
      </c>
      <c r="OW9" s="803" t="s">
        <v>4616</v>
      </c>
      <c r="OX9" s="803" t="s">
        <v>4616</v>
      </c>
      <c r="OY9" s="803" t="s">
        <v>4616</v>
      </c>
      <c r="OZ9" s="803" t="s">
        <v>4616</v>
      </c>
      <c r="PA9" s="803" t="s">
        <v>4616</v>
      </c>
      <c r="PB9" s="803" t="s">
        <v>4616</v>
      </c>
      <c r="PC9" s="803" t="s">
        <v>4616</v>
      </c>
      <c r="PD9" s="803" t="s">
        <v>4616</v>
      </c>
      <c r="PE9" s="803" t="s">
        <v>4616</v>
      </c>
      <c r="PH9" s="33">
        <f t="shared" si="18"/>
        <v>0</v>
      </c>
      <c r="PI9" s="803" t="s">
        <v>4616</v>
      </c>
      <c r="PJ9" s="803" t="s">
        <v>4616</v>
      </c>
      <c r="PK9" s="803" t="s">
        <v>4616</v>
      </c>
      <c r="PN9" s="803" t="s">
        <v>4616</v>
      </c>
    </row>
    <row r="10" spans="1:432" ht="15.6">
      <c r="A10" s="803" t="s">
        <v>1687</v>
      </c>
      <c r="F10" s="804">
        <v>14.8</v>
      </c>
      <c r="G10" s="807">
        <f t="shared" si="0"/>
        <v>0</v>
      </c>
      <c r="H10" s="808">
        <f t="shared" si="1"/>
        <v>0</v>
      </c>
      <c r="AW10" s="803">
        <f t="shared" si="2"/>
        <v>265</v>
      </c>
      <c r="CD10" s="803">
        <v>200</v>
      </c>
      <c r="CJ10" s="803">
        <v>65</v>
      </c>
      <c r="DQ10" s="803">
        <f t="shared" si="3"/>
        <v>0</v>
      </c>
      <c r="EE10" s="803">
        <f t="shared" si="4"/>
        <v>248</v>
      </c>
      <c r="EO10" s="803">
        <v>98</v>
      </c>
      <c r="FA10" s="803">
        <v>150</v>
      </c>
      <c r="FG10" s="803">
        <f t="shared" si="5"/>
        <v>149</v>
      </c>
      <c r="FU10" s="803">
        <f>117+32</f>
        <v>149</v>
      </c>
      <c r="HC10" s="803">
        <f t="shared" si="6"/>
        <v>56</v>
      </c>
      <c r="HH10" s="803">
        <f>18+38</f>
        <v>56</v>
      </c>
      <c r="II10" s="803">
        <f t="shared" si="7"/>
        <v>0</v>
      </c>
      <c r="IN10" s="803">
        <f t="shared" si="8"/>
        <v>0</v>
      </c>
      <c r="JH10" s="803">
        <f t="shared" si="9"/>
        <v>61</v>
      </c>
      <c r="JL10" s="803">
        <v>61</v>
      </c>
      <c r="KE10" s="803">
        <f t="shared" si="10"/>
        <v>0</v>
      </c>
      <c r="LV10" s="33">
        <f t="shared" si="11"/>
        <v>18</v>
      </c>
      <c r="LZ10" s="33">
        <v>18</v>
      </c>
      <c r="MF10" s="33">
        <f t="shared" si="12"/>
        <v>0</v>
      </c>
      <c r="MM10" s="33">
        <f t="shared" si="13"/>
        <v>6</v>
      </c>
      <c r="MV10" s="33">
        <v>6</v>
      </c>
      <c r="NE10" s="33">
        <f t="shared" si="14"/>
        <v>0</v>
      </c>
      <c r="NN10" s="33" t="s">
        <v>4615</v>
      </c>
      <c r="NR10" s="33">
        <f t="shared" si="15"/>
        <v>18</v>
      </c>
      <c r="NS10" s="33">
        <f t="shared" si="16"/>
        <v>18</v>
      </c>
      <c r="OC10" s="33">
        <v>18</v>
      </c>
      <c r="OG10" s="33">
        <f t="shared" si="17"/>
        <v>0</v>
      </c>
      <c r="OP10" s="803" t="s">
        <v>4616</v>
      </c>
      <c r="OR10" s="803" t="s">
        <v>4616</v>
      </c>
      <c r="OS10" s="803" t="s">
        <v>4616</v>
      </c>
      <c r="OU10" s="803" t="s">
        <v>4616</v>
      </c>
      <c r="OV10" s="803" t="s">
        <v>4616</v>
      </c>
      <c r="OW10" s="803" t="s">
        <v>4616</v>
      </c>
      <c r="OX10" s="803" t="s">
        <v>4616</v>
      </c>
      <c r="OY10" s="803" t="s">
        <v>4616</v>
      </c>
      <c r="OZ10" s="803" t="s">
        <v>4616</v>
      </c>
      <c r="PA10" s="803" t="s">
        <v>4616</v>
      </c>
      <c r="PB10" s="803" t="s">
        <v>4616</v>
      </c>
      <c r="PC10" s="803" t="s">
        <v>4616</v>
      </c>
      <c r="PD10" s="803" t="s">
        <v>4616</v>
      </c>
      <c r="PE10" s="803" t="s">
        <v>4616</v>
      </c>
      <c r="PH10" s="33">
        <f t="shared" si="18"/>
        <v>0</v>
      </c>
      <c r="PI10" s="803" t="s">
        <v>4616</v>
      </c>
      <c r="PJ10" s="803" t="s">
        <v>4616</v>
      </c>
      <c r="PK10" s="803" t="s">
        <v>4616</v>
      </c>
      <c r="PN10" s="803" t="s">
        <v>4616</v>
      </c>
    </row>
    <row r="11" spans="1:432" ht="15.6">
      <c r="A11" s="803" t="s">
        <v>2162</v>
      </c>
      <c r="F11" s="804">
        <v>13.8</v>
      </c>
      <c r="G11" s="807">
        <f t="shared" si="0"/>
        <v>327</v>
      </c>
      <c r="H11" s="808">
        <f t="shared" si="1"/>
        <v>108</v>
      </c>
      <c r="I11" s="803">
        <v>108</v>
      </c>
      <c r="T11" s="803">
        <v>219</v>
      </c>
      <c r="AW11" s="803">
        <f t="shared" si="2"/>
        <v>793</v>
      </c>
      <c r="AY11" s="803">
        <v>20</v>
      </c>
      <c r="BU11" s="803">
        <v>453</v>
      </c>
      <c r="CY11" s="803">
        <v>320</v>
      </c>
      <c r="DQ11" s="803">
        <f t="shared" si="3"/>
        <v>110</v>
      </c>
      <c r="DV11" s="803">
        <v>110</v>
      </c>
      <c r="EE11" s="803">
        <f t="shared" si="4"/>
        <v>260</v>
      </c>
      <c r="EF11" s="803">
        <v>260</v>
      </c>
      <c r="FG11" s="803">
        <f t="shared" si="5"/>
        <v>309</v>
      </c>
      <c r="FO11" s="803">
        <v>84</v>
      </c>
      <c r="GI11" s="803">
        <v>204</v>
      </c>
      <c r="GJ11" s="803">
        <v>21</v>
      </c>
      <c r="HC11" s="803">
        <f t="shared" si="6"/>
        <v>159</v>
      </c>
      <c r="HE11" s="803">
        <v>95</v>
      </c>
      <c r="HX11" s="803">
        <v>64</v>
      </c>
      <c r="II11" s="803">
        <f t="shared" si="7"/>
        <v>0</v>
      </c>
      <c r="IN11" s="803">
        <f t="shared" si="8"/>
        <v>0</v>
      </c>
      <c r="JH11" s="803">
        <f t="shared" si="9"/>
        <v>88</v>
      </c>
      <c r="JI11" s="803">
        <v>69</v>
      </c>
      <c r="JT11" s="803">
        <v>19</v>
      </c>
      <c r="KE11" s="803">
        <f t="shared" si="10"/>
        <v>84</v>
      </c>
      <c r="KV11" s="803">
        <v>20</v>
      </c>
      <c r="LK11" s="803">
        <v>52</v>
      </c>
      <c r="LL11" s="803">
        <v>12</v>
      </c>
      <c r="LV11" s="33">
        <f t="shared" si="11"/>
        <v>18</v>
      </c>
      <c r="MA11" s="33">
        <v>18</v>
      </c>
      <c r="MF11" s="33">
        <f t="shared" si="12"/>
        <v>38</v>
      </c>
      <c r="MH11" s="33">
        <v>38</v>
      </c>
      <c r="MM11" s="33">
        <f t="shared" si="13"/>
        <v>21</v>
      </c>
      <c r="MS11" s="33">
        <v>8</v>
      </c>
      <c r="MX11" s="33">
        <v>13</v>
      </c>
      <c r="NE11" s="33">
        <f t="shared" si="14"/>
        <v>0</v>
      </c>
      <c r="NR11" s="33">
        <f t="shared" si="15"/>
        <v>0</v>
      </c>
      <c r="NS11" s="33">
        <f t="shared" si="16"/>
        <v>0</v>
      </c>
      <c r="OG11" s="33">
        <f t="shared" si="17"/>
        <v>0</v>
      </c>
      <c r="OM11" s="33" t="s">
        <v>4615</v>
      </c>
      <c r="OP11" s="803">
        <v>19</v>
      </c>
      <c r="OQ11" s="803">
        <v>48</v>
      </c>
      <c r="OR11" s="803" t="s">
        <v>4616</v>
      </c>
      <c r="OS11" s="803" t="s">
        <v>4616</v>
      </c>
      <c r="OU11" s="803" t="s">
        <v>4616</v>
      </c>
      <c r="OV11" s="803" t="s">
        <v>4616</v>
      </c>
      <c r="OW11" s="803" t="s">
        <v>4616</v>
      </c>
      <c r="OX11" s="803" t="s">
        <v>4616</v>
      </c>
      <c r="OY11" s="803" t="s">
        <v>4616</v>
      </c>
      <c r="OZ11" s="803" t="s">
        <v>4616</v>
      </c>
      <c r="PA11" s="803" t="s">
        <v>4616</v>
      </c>
      <c r="PB11" s="803" t="s">
        <v>4616</v>
      </c>
      <c r="PC11" s="803" t="s">
        <v>4616</v>
      </c>
      <c r="PD11" s="803" t="s">
        <v>4616</v>
      </c>
      <c r="PE11" s="803" t="s">
        <v>4616</v>
      </c>
      <c r="PH11" s="33">
        <f t="shared" si="18"/>
        <v>0</v>
      </c>
      <c r="PI11" s="803" t="s">
        <v>4616</v>
      </c>
      <c r="PJ11" s="803" t="s">
        <v>4616</v>
      </c>
      <c r="PK11" s="803" t="s">
        <v>4616</v>
      </c>
      <c r="PN11" s="803" t="s">
        <v>4616</v>
      </c>
    </row>
    <row r="12" spans="1:432" ht="15.6">
      <c r="A12" s="803" t="s">
        <v>1894</v>
      </c>
      <c r="F12" s="804">
        <v>13.4</v>
      </c>
      <c r="G12" s="807">
        <f t="shared" si="0"/>
        <v>797</v>
      </c>
      <c r="H12" s="808">
        <f t="shared" si="1"/>
        <v>231</v>
      </c>
      <c r="I12" s="803">
        <v>126</v>
      </c>
      <c r="K12" s="803">
        <v>105</v>
      </c>
      <c r="S12" s="803">
        <v>16</v>
      </c>
      <c r="U12" s="803">
        <v>232</v>
      </c>
      <c r="Z12" s="803">
        <v>318</v>
      </c>
      <c r="AW12" s="803">
        <f t="shared" si="2"/>
        <v>342</v>
      </c>
      <c r="CK12" s="803">
        <v>6</v>
      </c>
      <c r="CL12" s="803">
        <v>300</v>
      </c>
      <c r="CM12" s="803">
        <v>36</v>
      </c>
      <c r="DQ12" s="803">
        <f t="shared" si="3"/>
        <v>30</v>
      </c>
      <c r="DR12" s="803">
        <v>30</v>
      </c>
      <c r="EE12" s="803">
        <f t="shared" si="4"/>
        <v>85</v>
      </c>
      <c r="ES12" s="803">
        <v>45</v>
      </c>
      <c r="EZ12" s="803">
        <v>40</v>
      </c>
      <c r="FG12" s="803">
        <f t="shared" si="5"/>
        <v>1611</v>
      </c>
      <c r="FH12" s="803">
        <v>1252</v>
      </c>
      <c r="GC12" s="803">
        <v>359</v>
      </c>
      <c r="HC12" s="803">
        <f t="shared" si="6"/>
        <v>183</v>
      </c>
      <c r="HM12" s="803">
        <v>111</v>
      </c>
      <c r="HS12" s="803">
        <v>72</v>
      </c>
      <c r="II12" s="803">
        <f t="shared" si="7"/>
        <v>0</v>
      </c>
      <c r="IN12" s="803">
        <f t="shared" si="8"/>
        <v>179</v>
      </c>
      <c r="IQ12" s="803">
        <v>29</v>
      </c>
      <c r="IT12" s="803">
        <v>75</v>
      </c>
      <c r="JD12" s="803">
        <v>75</v>
      </c>
      <c r="JH12" s="803">
        <f t="shared" si="9"/>
        <v>0</v>
      </c>
      <c r="KE12" s="803">
        <f t="shared" si="10"/>
        <v>66</v>
      </c>
      <c r="KH12" s="803">
        <f>12+36</f>
        <v>48</v>
      </c>
      <c r="LH12" s="803">
        <v>12</v>
      </c>
      <c r="LI12" s="803">
        <v>6</v>
      </c>
      <c r="LV12" s="33">
        <f t="shared" si="11"/>
        <v>1</v>
      </c>
      <c r="LW12" s="33">
        <v>1</v>
      </c>
      <c r="MF12" s="33">
        <f t="shared" si="12"/>
        <v>0</v>
      </c>
      <c r="MM12" s="33">
        <f t="shared" si="13"/>
        <v>37</v>
      </c>
      <c r="MN12" s="33">
        <v>20</v>
      </c>
      <c r="MO12" s="33">
        <v>17</v>
      </c>
      <c r="NE12" s="33">
        <f t="shared" si="14"/>
        <v>0</v>
      </c>
      <c r="NO12" s="33" t="s">
        <v>4615</v>
      </c>
      <c r="NP12" s="33" t="s">
        <v>4615</v>
      </c>
      <c r="NR12" s="33">
        <f t="shared" si="15"/>
        <v>228</v>
      </c>
      <c r="NS12" s="33">
        <f t="shared" si="16"/>
        <v>147</v>
      </c>
      <c r="NT12" s="33">
        <v>64</v>
      </c>
      <c r="NU12" s="33">
        <v>20</v>
      </c>
      <c r="NV12" s="33">
        <v>63</v>
      </c>
      <c r="OG12" s="33">
        <f t="shared" si="17"/>
        <v>81</v>
      </c>
      <c r="OI12" s="33">
        <v>75</v>
      </c>
      <c r="OJ12" s="33">
        <v>6</v>
      </c>
      <c r="OP12" s="803" t="s">
        <v>4616</v>
      </c>
      <c r="OR12" s="803" t="s">
        <v>4616</v>
      </c>
      <c r="OS12" s="803" t="s">
        <v>4616</v>
      </c>
      <c r="OU12" s="803">
        <v>268</v>
      </c>
      <c r="OV12" s="803" t="s">
        <v>4616</v>
      </c>
      <c r="OW12" s="803" t="s">
        <v>4616</v>
      </c>
      <c r="OX12" s="803" t="s">
        <v>4616</v>
      </c>
      <c r="OY12" s="803" t="s">
        <v>4616</v>
      </c>
      <c r="OZ12" s="803" t="s">
        <v>4616</v>
      </c>
      <c r="PA12" s="803" t="s">
        <v>4616</v>
      </c>
      <c r="PB12" s="803" t="s">
        <v>4616</v>
      </c>
      <c r="PC12" s="803" t="s">
        <v>4616</v>
      </c>
      <c r="PD12" s="803" t="s">
        <v>4616</v>
      </c>
      <c r="PE12" s="803" t="s">
        <v>4616</v>
      </c>
      <c r="PH12" s="33">
        <f t="shared" si="18"/>
        <v>2</v>
      </c>
      <c r="PI12" s="803" t="s">
        <v>4616</v>
      </c>
      <c r="PJ12" s="803" t="s">
        <v>4616</v>
      </c>
      <c r="PK12" s="803" t="s">
        <v>4616</v>
      </c>
      <c r="PN12" s="803">
        <v>2</v>
      </c>
    </row>
    <row r="13" spans="1:432" ht="15.6">
      <c r="A13" s="803" t="s">
        <v>2348</v>
      </c>
      <c r="F13" s="804">
        <v>10.199999999999999</v>
      </c>
      <c r="G13" s="807">
        <f t="shared" si="0"/>
        <v>5023</v>
      </c>
      <c r="H13" s="808">
        <f t="shared" si="1"/>
        <v>316</v>
      </c>
      <c r="I13" s="803">
        <v>316</v>
      </c>
      <c r="P13" s="803">
        <v>170</v>
      </c>
      <c r="Q13" s="803">
        <v>227</v>
      </c>
      <c r="V13" s="803">
        <f>750+2000</f>
        <v>2750</v>
      </c>
      <c r="X13" s="803">
        <v>650</v>
      </c>
      <c r="AJ13" s="803">
        <v>100</v>
      </c>
      <c r="AK13" s="803">
        <v>165</v>
      </c>
      <c r="AL13" s="803">
        <v>645</v>
      </c>
      <c r="AW13" s="803">
        <f t="shared" si="2"/>
        <v>3636</v>
      </c>
      <c r="BU13" s="803">
        <v>2813</v>
      </c>
      <c r="DB13" s="803">
        <v>823</v>
      </c>
      <c r="DQ13" s="803">
        <f t="shared" si="3"/>
        <v>1630</v>
      </c>
      <c r="DW13" s="803">
        <v>360</v>
      </c>
      <c r="DX13" s="803">
        <v>650</v>
      </c>
      <c r="DY13" s="803">
        <v>320</v>
      </c>
      <c r="DZ13" s="803">
        <v>300</v>
      </c>
      <c r="EE13" s="803">
        <f t="shared" si="4"/>
        <v>1200</v>
      </c>
      <c r="EH13" s="803">
        <v>800</v>
      </c>
      <c r="EI13" s="803">
        <v>400</v>
      </c>
      <c r="FG13" s="803">
        <f t="shared" si="5"/>
        <v>0</v>
      </c>
      <c r="HC13" s="803">
        <f t="shared" si="6"/>
        <v>1385</v>
      </c>
      <c r="HZ13" s="803">
        <v>150</v>
      </c>
      <c r="IA13" s="803">
        <v>365</v>
      </c>
      <c r="IB13" s="803">
        <v>310</v>
      </c>
      <c r="IC13" s="803">
        <v>3</v>
      </c>
      <c r="ID13" s="803">
        <v>517</v>
      </c>
      <c r="IE13" s="803">
        <v>40</v>
      </c>
      <c r="II13" s="803">
        <f t="shared" si="7"/>
        <v>0</v>
      </c>
      <c r="IN13" s="803">
        <f t="shared" si="8"/>
        <v>146</v>
      </c>
      <c r="IO13" s="803">
        <v>12</v>
      </c>
      <c r="IS13" s="803">
        <v>48</v>
      </c>
      <c r="JA13" s="803">
        <v>50</v>
      </c>
      <c r="JB13" s="803">
        <v>36</v>
      </c>
      <c r="JH13" s="803">
        <f t="shared" si="9"/>
        <v>27</v>
      </c>
      <c r="JU13" s="803">
        <v>17</v>
      </c>
      <c r="JV13" s="803">
        <v>10</v>
      </c>
      <c r="KE13" s="803">
        <f t="shared" si="10"/>
        <v>279</v>
      </c>
      <c r="KG13" s="803">
        <v>19</v>
      </c>
      <c r="KH13" s="803">
        <f>27+162+14+8+33+16</f>
        <v>260</v>
      </c>
      <c r="LV13" s="33">
        <f t="shared" si="11"/>
        <v>32</v>
      </c>
      <c r="MC13" s="33" t="s">
        <v>4615</v>
      </c>
      <c r="MD13" s="33">
        <v>32</v>
      </c>
      <c r="MF13" s="33">
        <f t="shared" si="12"/>
        <v>0</v>
      </c>
      <c r="MM13" s="33">
        <f t="shared" si="13"/>
        <v>0</v>
      </c>
      <c r="MZ13" s="33" t="s">
        <v>4615</v>
      </c>
      <c r="NA13" s="33" t="s">
        <v>4615</v>
      </c>
      <c r="NE13" s="33">
        <f t="shared" si="14"/>
        <v>0</v>
      </c>
      <c r="NN13" s="33" t="s">
        <v>4615</v>
      </c>
      <c r="NR13" s="33">
        <f t="shared" si="15"/>
        <v>148</v>
      </c>
      <c r="NS13" s="33">
        <f t="shared" si="16"/>
        <v>148</v>
      </c>
      <c r="NZ13" s="33">
        <v>70</v>
      </c>
      <c r="OA13" s="33">
        <v>78</v>
      </c>
      <c r="OG13" s="33">
        <f t="shared" si="17"/>
        <v>0</v>
      </c>
      <c r="OK13" s="33" t="s">
        <v>4615</v>
      </c>
      <c r="OP13" s="803" t="s">
        <v>4616</v>
      </c>
      <c r="OT13" s="803">
        <v>803</v>
      </c>
      <c r="OU13" s="803" t="s">
        <v>4616</v>
      </c>
      <c r="OV13" s="803" t="s">
        <v>4616</v>
      </c>
      <c r="OW13" s="803" t="s">
        <v>4616</v>
      </c>
      <c r="OX13" s="803" t="s">
        <v>4616</v>
      </c>
      <c r="OY13" s="803" t="s">
        <v>4616</v>
      </c>
      <c r="OZ13" s="803" t="s">
        <v>4616</v>
      </c>
      <c r="PA13" s="803" t="s">
        <v>4616</v>
      </c>
      <c r="PB13" s="803" t="s">
        <v>4616</v>
      </c>
      <c r="PC13" s="803" t="s">
        <v>4616</v>
      </c>
      <c r="PD13" s="803">
        <v>120</v>
      </c>
      <c r="PE13" s="803" t="s">
        <v>4616</v>
      </c>
      <c r="PG13" s="803">
        <v>439</v>
      </c>
      <c r="PH13" s="33">
        <f t="shared" si="18"/>
        <v>40</v>
      </c>
      <c r="PI13" s="803" t="s">
        <v>4616</v>
      </c>
      <c r="PJ13" s="803" t="s">
        <v>4616</v>
      </c>
      <c r="PK13" s="803" t="s">
        <v>4616</v>
      </c>
      <c r="PN13" s="803" t="s">
        <v>4616</v>
      </c>
      <c r="PO13" s="803">
        <v>40</v>
      </c>
    </row>
    <row r="14" spans="1:432" ht="15.6">
      <c r="A14" s="803" t="s">
        <v>2258</v>
      </c>
      <c r="F14" s="804">
        <v>8.36</v>
      </c>
      <c r="G14" s="807">
        <f t="shared" si="0"/>
        <v>120</v>
      </c>
      <c r="H14" s="808">
        <f t="shared" si="1"/>
        <v>120</v>
      </c>
      <c r="K14" s="803">
        <v>120</v>
      </c>
      <c r="AW14" s="803">
        <f t="shared" si="2"/>
        <v>704</v>
      </c>
      <c r="AX14" s="803">
        <v>150</v>
      </c>
      <c r="BR14" s="803">
        <v>113</v>
      </c>
      <c r="BV14" s="803">
        <v>34</v>
      </c>
      <c r="BY14" s="803">
        <v>20</v>
      </c>
      <c r="BZ14" s="803">
        <v>148</v>
      </c>
      <c r="CZ14" s="803">
        <v>239</v>
      </c>
      <c r="DA14" s="803" t="s">
        <v>4617</v>
      </c>
      <c r="DQ14" s="803">
        <f t="shared" si="3"/>
        <v>360</v>
      </c>
      <c r="DS14" s="803">
        <v>360</v>
      </c>
      <c r="EE14" s="803">
        <f t="shared" si="4"/>
        <v>0</v>
      </c>
      <c r="FG14" s="803">
        <f t="shared" si="5"/>
        <v>411</v>
      </c>
      <c r="GK14" s="803">
        <v>369</v>
      </c>
      <c r="GL14" s="803">
        <v>42</v>
      </c>
      <c r="HC14" s="803">
        <f t="shared" si="6"/>
        <v>35</v>
      </c>
      <c r="HY14" s="803">
        <v>35</v>
      </c>
      <c r="II14" s="803">
        <f t="shared" si="7"/>
        <v>0</v>
      </c>
      <c r="IN14" s="803">
        <f t="shared" si="8"/>
        <v>0</v>
      </c>
      <c r="JH14" s="803">
        <f t="shared" si="9"/>
        <v>0</v>
      </c>
      <c r="KE14" s="803">
        <f t="shared" si="10"/>
        <v>96</v>
      </c>
      <c r="KF14" s="803">
        <v>96</v>
      </c>
      <c r="LV14" s="33">
        <f t="shared" si="11"/>
        <v>3</v>
      </c>
      <c r="MB14" s="33">
        <v>3</v>
      </c>
      <c r="MF14" s="33">
        <f t="shared" si="12"/>
        <v>8</v>
      </c>
      <c r="MH14" s="33" t="s">
        <v>4615</v>
      </c>
      <c r="MI14" s="33">
        <v>8</v>
      </c>
      <c r="MM14" s="33">
        <f t="shared" si="13"/>
        <v>0</v>
      </c>
      <c r="MY14" s="33" t="s">
        <v>4615</v>
      </c>
      <c r="NE14" s="33">
        <f t="shared" si="14"/>
        <v>0</v>
      </c>
      <c r="NM14" s="33" t="s">
        <v>4615</v>
      </c>
      <c r="NR14" s="33">
        <f t="shared" si="15"/>
        <v>0</v>
      </c>
      <c r="NS14" s="33">
        <f t="shared" si="16"/>
        <v>0</v>
      </c>
      <c r="OG14" s="33">
        <f t="shared" si="17"/>
        <v>0</v>
      </c>
      <c r="OP14" s="803" t="s">
        <v>4616</v>
      </c>
      <c r="OR14" s="803" t="s">
        <v>4616</v>
      </c>
      <c r="OS14" s="803" t="s">
        <v>4616</v>
      </c>
      <c r="OU14" s="803" t="s">
        <v>4616</v>
      </c>
      <c r="OV14" s="803" t="s">
        <v>4616</v>
      </c>
      <c r="OW14" s="803" t="s">
        <v>4616</v>
      </c>
      <c r="OX14" s="803" t="s">
        <v>4616</v>
      </c>
      <c r="OY14" s="803" t="s">
        <v>4616</v>
      </c>
      <c r="OZ14" s="803" t="s">
        <v>4616</v>
      </c>
      <c r="PA14" s="803" t="s">
        <v>4616</v>
      </c>
      <c r="PB14" s="803" t="s">
        <v>4616</v>
      </c>
      <c r="PC14" s="803" t="s">
        <v>4616</v>
      </c>
      <c r="PD14" s="803" t="s">
        <v>4616</v>
      </c>
      <c r="PE14" s="803" t="s">
        <v>4616</v>
      </c>
      <c r="PH14" s="33">
        <f t="shared" si="18"/>
        <v>30</v>
      </c>
      <c r="PI14" s="803" t="s">
        <v>4616</v>
      </c>
      <c r="PJ14" s="803" t="s">
        <v>4616</v>
      </c>
      <c r="PK14" s="803" t="s">
        <v>4616</v>
      </c>
      <c r="PN14" s="803" t="s">
        <v>4616</v>
      </c>
      <c r="PP14" s="803">
        <v>30</v>
      </c>
    </row>
    <row r="15" spans="1:432" ht="15.6">
      <c r="A15" s="803" t="s">
        <v>1294</v>
      </c>
      <c r="F15" s="804">
        <v>7.73</v>
      </c>
      <c r="G15" s="807">
        <f t="shared" si="0"/>
        <v>1228</v>
      </c>
      <c r="H15" s="808">
        <f t="shared" si="1"/>
        <v>183</v>
      </c>
      <c r="I15" s="803">
        <v>183</v>
      </c>
      <c r="L15" s="803">
        <v>170</v>
      </c>
      <c r="O15" s="803">
        <v>500</v>
      </c>
      <c r="V15" s="803">
        <v>375</v>
      </c>
      <c r="AW15" s="803">
        <f t="shared" si="2"/>
        <v>2130</v>
      </c>
      <c r="BU15" s="803">
        <v>1852</v>
      </c>
      <c r="CF15" s="803">
        <v>187</v>
      </c>
      <c r="CG15" s="803">
        <v>91</v>
      </c>
      <c r="DQ15" s="803">
        <f t="shared" si="3"/>
        <v>0</v>
      </c>
      <c r="EE15" s="803">
        <f t="shared" si="4"/>
        <v>0</v>
      </c>
      <c r="FG15" s="803">
        <f t="shared" si="5"/>
        <v>169</v>
      </c>
      <c r="FH15" s="803">
        <v>169</v>
      </c>
      <c r="HC15" s="803">
        <f t="shared" si="6"/>
        <v>672</v>
      </c>
      <c r="HE15" s="803">
        <v>418</v>
      </c>
      <c r="HF15" s="803">
        <v>230</v>
      </c>
      <c r="HH15" s="803">
        <v>24</v>
      </c>
      <c r="II15" s="803">
        <f t="shared" si="7"/>
        <v>0</v>
      </c>
      <c r="IN15" s="803">
        <f t="shared" si="8"/>
        <v>145</v>
      </c>
      <c r="IO15" s="803">
        <v>36</v>
      </c>
      <c r="IQ15" s="803">
        <v>109</v>
      </c>
      <c r="JH15" s="803">
        <f t="shared" si="9"/>
        <v>0</v>
      </c>
      <c r="KE15" s="803">
        <f t="shared" si="10"/>
        <v>0</v>
      </c>
      <c r="LV15" s="33">
        <f t="shared" si="11"/>
        <v>48</v>
      </c>
      <c r="LY15" s="33">
        <v>12</v>
      </c>
      <c r="MA15" s="33">
        <v>36</v>
      </c>
      <c r="MF15" s="33">
        <f t="shared" si="12"/>
        <v>42</v>
      </c>
      <c r="MH15" s="33">
        <v>42</v>
      </c>
      <c r="MM15" s="33">
        <f t="shared" si="13"/>
        <v>34</v>
      </c>
      <c r="MQ15" s="33">
        <f>21+4</f>
        <v>25</v>
      </c>
      <c r="MR15" s="33">
        <v>9</v>
      </c>
      <c r="NE15" s="33">
        <f t="shared" si="14"/>
        <v>0</v>
      </c>
      <c r="NN15" s="33" t="s">
        <v>4615</v>
      </c>
      <c r="NR15" s="33">
        <f t="shared" si="15"/>
        <v>112</v>
      </c>
      <c r="NS15" s="33">
        <f t="shared" si="16"/>
        <v>38</v>
      </c>
      <c r="NT15" s="33">
        <v>38</v>
      </c>
      <c r="OG15" s="33">
        <f t="shared" si="17"/>
        <v>74</v>
      </c>
      <c r="OH15" s="33">
        <v>54</v>
      </c>
      <c r="ON15" s="33">
        <v>20</v>
      </c>
      <c r="OP15" s="803">
        <v>24</v>
      </c>
      <c r="OR15" s="803" t="s">
        <v>4616</v>
      </c>
      <c r="OS15" s="803" t="s">
        <v>4616</v>
      </c>
      <c r="OU15" s="803">
        <v>523</v>
      </c>
      <c r="OV15" s="803" t="s">
        <v>4616</v>
      </c>
      <c r="OW15" s="803" t="s">
        <v>4616</v>
      </c>
      <c r="OX15" s="803" t="s">
        <v>4616</v>
      </c>
      <c r="OY15" s="803" t="s">
        <v>4616</v>
      </c>
      <c r="OZ15" s="803" t="s">
        <v>4616</v>
      </c>
      <c r="PA15" s="803">
        <v>204</v>
      </c>
      <c r="PB15" s="803">
        <v>35</v>
      </c>
      <c r="PC15" s="803" t="s">
        <v>4616</v>
      </c>
      <c r="PD15" s="803" t="s">
        <v>4616</v>
      </c>
      <c r="PE15" s="803" t="s">
        <v>4616</v>
      </c>
      <c r="PH15" s="33">
        <f t="shared" si="18"/>
        <v>0</v>
      </c>
      <c r="PI15" s="803" t="s">
        <v>4616</v>
      </c>
      <c r="PJ15" s="803" t="s">
        <v>4616</v>
      </c>
      <c r="PK15" s="803" t="s">
        <v>4616</v>
      </c>
      <c r="PN15" s="803" t="s">
        <v>4616</v>
      </c>
    </row>
    <row r="16" spans="1:432" ht="15.6">
      <c r="A16" s="803" t="s">
        <v>1804</v>
      </c>
      <c r="F16" s="804">
        <v>7.46</v>
      </c>
      <c r="G16" s="807">
        <f t="shared" si="0"/>
        <v>52</v>
      </c>
      <c r="H16" s="808">
        <f t="shared" si="1"/>
        <v>52</v>
      </c>
      <c r="I16" s="803">
        <f>36+16</f>
        <v>52</v>
      </c>
      <c r="AW16" s="803">
        <f t="shared" si="2"/>
        <v>390</v>
      </c>
      <c r="BU16" s="803">
        <v>315</v>
      </c>
      <c r="BW16" s="803">
        <v>75</v>
      </c>
      <c r="DQ16" s="803">
        <f t="shared" si="3"/>
        <v>0</v>
      </c>
      <c r="EE16" s="803">
        <f t="shared" si="4"/>
        <v>190</v>
      </c>
      <c r="EF16" s="803">
        <v>170</v>
      </c>
      <c r="EP16" s="803">
        <v>20</v>
      </c>
      <c r="FG16" s="803">
        <f t="shared" si="5"/>
        <v>91</v>
      </c>
      <c r="FV16" s="803">
        <f>76+15</f>
        <v>91</v>
      </c>
      <c r="HC16" s="803">
        <f t="shared" si="6"/>
        <v>53</v>
      </c>
      <c r="HE16" s="803">
        <v>24</v>
      </c>
      <c r="HR16" s="803">
        <v>24</v>
      </c>
      <c r="HV16" s="803">
        <v>5</v>
      </c>
      <c r="II16" s="803">
        <f t="shared" si="7"/>
        <v>0</v>
      </c>
      <c r="IN16" s="803">
        <f t="shared" si="8"/>
        <v>0</v>
      </c>
      <c r="JH16" s="803">
        <f t="shared" si="9"/>
        <v>35</v>
      </c>
      <c r="JJ16" s="803">
        <v>30</v>
      </c>
      <c r="JK16" s="803">
        <v>5</v>
      </c>
      <c r="KE16" s="803">
        <f t="shared" si="10"/>
        <v>31</v>
      </c>
      <c r="KK16" s="803">
        <v>31</v>
      </c>
      <c r="LV16" s="33">
        <f t="shared" si="11"/>
        <v>0</v>
      </c>
      <c r="MF16" s="33">
        <f t="shared" si="12"/>
        <v>0</v>
      </c>
      <c r="MM16" s="33">
        <f t="shared" si="13"/>
        <v>39</v>
      </c>
      <c r="MU16" s="33">
        <f>12+4+2+2+2+10+4+3</f>
        <v>39</v>
      </c>
      <c r="NE16" s="33">
        <f t="shared" si="14"/>
        <v>0</v>
      </c>
      <c r="NR16" s="33">
        <f t="shared" si="15"/>
        <v>0</v>
      </c>
      <c r="NS16" s="33">
        <f t="shared" si="16"/>
        <v>0</v>
      </c>
      <c r="OG16" s="33">
        <f t="shared" si="17"/>
        <v>0</v>
      </c>
      <c r="OP16" s="803" t="s">
        <v>4616</v>
      </c>
      <c r="OR16" s="803" t="s">
        <v>4616</v>
      </c>
      <c r="OS16" s="803" t="s">
        <v>4616</v>
      </c>
      <c r="OU16" s="803" t="s">
        <v>4616</v>
      </c>
      <c r="OV16" s="803" t="s">
        <v>4616</v>
      </c>
      <c r="OW16" s="803" t="s">
        <v>4616</v>
      </c>
      <c r="OX16" s="803" t="s">
        <v>4616</v>
      </c>
      <c r="OY16" s="803" t="s">
        <v>4616</v>
      </c>
      <c r="OZ16" s="803" t="s">
        <v>4616</v>
      </c>
      <c r="PA16" s="803" t="s">
        <v>4616</v>
      </c>
      <c r="PB16" s="803" t="s">
        <v>4616</v>
      </c>
      <c r="PC16" s="803" t="s">
        <v>4616</v>
      </c>
      <c r="PD16" s="803" t="s">
        <v>4616</v>
      </c>
      <c r="PE16" s="803" t="s">
        <v>4616</v>
      </c>
      <c r="PH16" s="33">
        <f t="shared" si="18"/>
        <v>0</v>
      </c>
      <c r="PI16" s="803" t="s">
        <v>4616</v>
      </c>
      <c r="PJ16" s="803" t="s">
        <v>4616</v>
      </c>
      <c r="PK16" s="803" t="s">
        <v>4616</v>
      </c>
      <c r="PN16" s="803" t="s">
        <v>4616</v>
      </c>
    </row>
    <row r="17" spans="1:430" ht="15.6">
      <c r="A17" s="803" t="s">
        <v>3175</v>
      </c>
      <c r="F17" s="804">
        <v>6.4</v>
      </c>
      <c r="G17" s="807">
        <f t="shared" si="0"/>
        <v>0</v>
      </c>
      <c r="H17" s="808">
        <f t="shared" si="1"/>
        <v>0</v>
      </c>
      <c r="AW17" s="803">
        <f t="shared" si="2"/>
        <v>88</v>
      </c>
      <c r="BC17" s="803">
        <v>4</v>
      </c>
      <c r="BH17" s="803">
        <f>64+6</f>
        <v>70</v>
      </c>
      <c r="BI17" s="803">
        <v>14</v>
      </c>
      <c r="DQ17" s="803">
        <f t="shared" si="3"/>
        <v>0</v>
      </c>
      <c r="EE17" s="803">
        <f t="shared" si="4"/>
        <v>665</v>
      </c>
      <c r="EF17" s="803">
        <v>436</v>
      </c>
      <c r="EP17" s="803">
        <f>219+10</f>
        <v>229</v>
      </c>
      <c r="FG17" s="803">
        <f t="shared" si="5"/>
        <v>37</v>
      </c>
      <c r="GR17" s="803">
        <v>18</v>
      </c>
      <c r="GS17" s="803">
        <v>19</v>
      </c>
      <c r="HC17" s="803">
        <f t="shared" si="6"/>
        <v>0</v>
      </c>
      <c r="II17" s="803">
        <f t="shared" si="7"/>
        <v>0</v>
      </c>
      <c r="IN17" s="803">
        <f t="shared" si="8"/>
        <v>0</v>
      </c>
      <c r="JH17" s="803">
        <f t="shared" si="9"/>
        <v>53</v>
      </c>
      <c r="JJ17" s="803">
        <v>44</v>
      </c>
      <c r="JK17" s="803">
        <v>9</v>
      </c>
      <c r="KE17" s="803">
        <f t="shared" si="10"/>
        <v>0</v>
      </c>
      <c r="LV17" s="33">
        <f t="shared" si="11"/>
        <v>0</v>
      </c>
      <c r="MF17" s="33">
        <f t="shared" si="12"/>
        <v>0</v>
      </c>
      <c r="MM17" s="33">
        <f t="shared" si="13"/>
        <v>0</v>
      </c>
      <c r="NE17" s="33">
        <f t="shared" si="14"/>
        <v>0</v>
      </c>
      <c r="NR17" s="33">
        <f t="shared" si="15"/>
        <v>0</v>
      </c>
      <c r="NS17" s="33">
        <f t="shared" si="16"/>
        <v>0</v>
      </c>
      <c r="OG17" s="33">
        <f t="shared" si="17"/>
        <v>0</v>
      </c>
      <c r="OP17" s="803" t="s">
        <v>4616</v>
      </c>
      <c r="OR17" s="803" t="s">
        <v>4616</v>
      </c>
      <c r="OS17" s="803" t="s">
        <v>4616</v>
      </c>
      <c r="OU17" s="803" t="s">
        <v>4616</v>
      </c>
      <c r="OV17" s="803" t="s">
        <v>4616</v>
      </c>
      <c r="OW17" s="803" t="s">
        <v>4616</v>
      </c>
      <c r="OX17" s="803" t="s">
        <v>4616</v>
      </c>
      <c r="OY17" s="803" t="s">
        <v>4616</v>
      </c>
      <c r="OZ17" s="803" t="s">
        <v>4616</v>
      </c>
      <c r="PA17" s="803" t="s">
        <v>4616</v>
      </c>
      <c r="PB17" s="803" t="s">
        <v>4616</v>
      </c>
      <c r="PC17" s="803" t="s">
        <v>4616</v>
      </c>
      <c r="PD17" s="803" t="s">
        <v>4616</v>
      </c>
      <c r="PE17" s="803" t="s">
        <v>4616</v>
      </c>
      <c r="PH17" s="33">
        <f t="shared" si="18"/>
        <v>0</v>
      </c>
      <c r="PI17" s="803" t="s">
        <v>4616</v>
      </c>
      <c r="PJ17" s="803" t="s">
        <v>4616</v>
      </c>
      <c r="PK17" s="803" t="s">
        <v>4616</v>
      </c>
      <c r="PN17" s="803" t="s">
        <v>4616</v>
      </c>
    </row>
    <row r="18" spans="1:430" ht="15.6">
      <c r="A18" s="803" t="s">
        <v>917</v>
      </c>
      <c r="F18" s="804">
        <v>5.96</v>
      </c>
      <c r="G18" s="807">
        <f t="shared" si="0"/>
        <v>200</v>
      </c>
      <c r="H18" s="808">
        <f t="shared" si="1"/>
        <v>100</v>
      </c>
      <c r="I18" s="803">
        <v>100</v>
      </c>
      <c r="L18" s="803">
        <v>100</v>
      </c>
      <c r="AW18" s="803">
        <f t="shared" si="2"/>
        <v>613</v>
      </c>
      <c r="BV18" s="803">
        <v>260</v>
      </c>
      <c r="BY18" s="803">
        <v>101</v>
      </c>
      <c r="BZ18" s="803">
        <v>48</v>
      </c>
      <c r="CA18" s="803">
        <v>62</v>
      </c>
      <c r="CB18" s="803">
        <v>40</v>
      </c>
      <c r="CC18" s="803">
        <v>102</v>
      </c>
      <c r="DQ18" s="803">
        <f t="shared" si="3"/>
        <v>0</v>
      </c>
      <c r="EE18" s="803">
        <f t="shared" si="4"/>
        <v>0</v>
      </c>
      <c r="FG18" s="803">
        <f t="shared" si="5"/>
        <v>212</v>
      </c>
      <c r="FM18" s="803">
        <v>110</v>
      </c>
      <c r="FT18" s="803">
        <v>102</v>
      </c>
      <c r="HC18" s="803">
        <f t="shared" si="6"/>
        <v>67</v>
      </c>
      <c r="HO18" s="803">
        <v>54</v>
      </c>
      <c r="HR18" s="803">
        <v>13</v>
      </c>
      <c r="II18" s="803">
        <f t="shared" si="7"/>
        <v>0</v>
      </c>
      <c r="IN18" s="803">
        <f t="shared" si="8"/>
        <v>56</v>
      </c>
      <c r="IO18" s="803">
        <v>22</v>
      </c>
      <c r="IQ18" s="803">
        <v>34</v>
      </c>
      <c r="JH18" s="803">
        <f t="shared" si="9"/>
        <v>0</v>
      </c>
      <c r="KE18" s="803">
        <f t="shared" si="10"/>
        <v>62</v>
      </c>
      <c r="KX18" s="803">
        <v>55</v>
      </c>
      <c r="KY18" s="803">
        <v>7</v>
      </c>
      <c r="LV18" s="33">
        <f t="shared" si="11"/>
        <v>0</v>
      </c>
      <c r="MF18" s="33">
        <f t="shared" si="12"/>
        <v>0</v>
      </c>
      <c r="MM18" s="33">
        <f t="shared" si="13"/>
        <v>44</v>
      </c>
      <c r="MR18" s="33">
        <v>20</v>
      </c>
      <c r="MT18" s="33">
        <v>24</v>
      </c>
      <c r="NE18" s="33">
        <f t="shared" si="14"/>
        <v>0</v>
      </c>
      <c r="NM18" s="33" t="s">
        <v>4615</v>
      </c>
      <c r="NN18" s="33" t="s">
        <v>4615</v>
      </c>
      <c r="NR18" s="33">
        <f t="shared" si="15"/>
        <v>16</v>
      </c>
      <c r="NS18" s="33">
        <f t="shared" si="16"/>
        <v>0</v>
      </c>
      <c r="OG18" s="33">
        <f t="shared" si="17"/>
        <v>16</v>
      </c>
      <c r="OH18" s="33">
        <v>16</v>
      </c>
      <c r="OP18" s="803" t="s">
        <v>4615</v>
      </c>
      <c r="OR18" s="803" t="s">
        <v>4616</v>
      </c>
      <c r="OS18" s="803" t="s">
        <v>4616</v>
      </c>
      <c r="OU18" s="803" t="s">
        <v>4615</v>
      </c>
      <c r="OV18" s="803" t="s">
        <v>4616</v>
      </c>
      <c r="OW18" s="803" t="s">
        <v>4616</v>
      </c>
      <c r="OX18" s="803" t="s">
        <v>4616</v>
      </c>
      <c r="OY18" s="803" t="s">
        <v>4616</v>
      </c>
      <c r="OZ18" s="803" t="s">
        <v>4616</v>
      </c>
      <c r="PA18" s="803" t="s">
        <v>4616</v>
      </c>
      <c r="PB18" s="803" t="s">
        <v>4616</v>
      </c>
      <c r="PC18" s="803" t="s">
        <v>4616</v>
      </c>
      <c r="PD18" s="803" t="s">
        <v>4616</v>
      </c>
      <c r="PE18" s="803" t="s">
        <v>4616</v>
      </c>
      <c r="PH18" s="33">
        <f t="shared" si="18"/>
        <v>7</v>
      </c>
      <c r="PI18" s="803">
        <v>7</v>
      </c>
      <c r="PJ18" s="803" t="s">
        <v>4616</v>
      </c>
      <c r="PK18" s="803" t="s">
        <v>4616</v>
      </c>
      <c r="PN18" s="803" t="s">
        <v>4616</v>
      </c>
    </row>
    <row r="19" spans="1:430" ht="15.6">
      <c r="A19" s="803" t="s">
        <v>2034</v>
      </c>
      <c r="F19" s="804">
        <v>5.61</v>
      </c>
      <c r="G19" s="807">
        <f t="shared" si="0"/>
        <v>377</v>
      </c>
      <c r="H19" s="808">
        <f t="shared" si="1"/>
        <v>0</v>
      </c>
      <c r="AA19" s="803">
        <v>220</v>
      </c>
      <c r="AF19" s="803">
        <v>103</v>
      </c>
      <c r="AG19" s="803">
        <v>54</v>
      </c>
      <c r="AW19" s="803">
        <f t="shared" si="2"/>
        <v>689</v>
      </c>
      <c r="BH19" s="803">
        <v>37</v>
      </c>
      <c r="CQ19" s="803">
        <v>76</v>
      </c>
      <c r="CR19" s="803">
        <v>69</v>
      </c>
      <c r="CS19" s="803">
        <v>354</v>
      </c>
      <c r="CT19" s="803">
        <v>153</v>
      </c>
      <c r="DQ19" s="803">
        <f t="shared" si="3"/>
        <v>60</v>
      </c>
      <c r="DR19" s="803">
        <v>60</v>
      </c>
      <c r="EE19" s="803">
        <f t="shared" si="4"/>
        <v>480</v>
      </c>
      <c r="FB19" s="803">
        <v>480</v>
      </c>
      <c r="FG19" s="803">
        <f t="shared" si="5"/>
        <v>191</v>
      </c>
      <c r="GD19" s="803">
        <v>41</v>
      </c>
      <c r="GE19" s="803">
        <v>101</v>
      </c>
      <c r="GF19" s="803">
        <v>49</v>
      </c>
      <c r="HC19" s="803">
        <f t="shared" si="6"/>
        <v>0</v>
      </c>
      <c r="II19" s="803">
        <f t="shared" si="7"/>
        <v>351</v>
      </c>
      <c r="IK19" s="803">
        <v>247</v>
      </c>
      <c r="IL19" s="803">
        <v>104</v>
      </c>
      <c r="IN19" s="803">
        <f t="shared" si="8"/>
        <v>188</v>
      </c>
      <c r="IU19" s="803">
        <v>18</v>
      </c>
      <c r="IV19" s="803">
        <v>134</v>
      </c>
      <c r="IW19" s="803">
        <v>36</v>
      </c>
      <c r="JH19" s="803">
        <f t="shared" si="9"/>
        <v>16</v>
      </c>
      <c r="JJ19" s="803">
        <v>13</v>
      </c>
      <c r="JK19" s="803">
        <v>3</v>
      </c>
      <c r="KE19" s="803">
        <f t="shared" si="10"/>
        <v>23</v>
      </c>
      <c r="KR19" s="803">
        <v>6</v>
      </c>
      <c r="KS19" s="803">
        <v>17</v>
      </c>
      <c r="LV19" s="33">
        <f t="shared" si="11"/>
        <v>4</v>
      </c>
      <c r="ME19" s="33">
        <v>4</v>
      </c>
      <c r="MF19" s="33">
        <f t="shared" si="12"/>
        <v>13</v>
      </c>
      <c r="MJ19" s="33">
        <v>5</v>
      </c>
      <c r="MK19" s="33">
        <v>8</v>
      </c>
      <c r="MM19" s="33">
        <f t="shared" si="13"/>
        <v>32</v>
      </c>
      <c r="MN19" s="33">
        <v>32</v>
      </c>
      <c r="NE19" s="33">
        <f t="shared" si="14"/>
        <v>0</v>
      </c>
      <c r="NR19" s="33">
        <f t="shared" si="15"/>
        <v>64</v>
      </c>
      <c r="NS19" s="33">
        <f t="shared" si="16"/>
        <v>64</v>
      </c>
      <c r="NT19" s="33">
        <v>16</v>
      </c>
      <c r="NY19" s="33">
        <v>48</v>
      </c>
      <c r="OG19" s="33">
        <f t="shared" si="17"/>
        <v>0</v>
      </c>
      <c r="OP19" s="803" t="s">
        <v>4616</v>
      </c>
      <c r="OR19" s="803" t="s">
        <v>4616</v>
      </c>
      <c r="OS19" s="803" t="s">
        <v>4616</v>
      </c>
      <c r="OU19" s="803" t="s">
        <v>4616</v>
      </c>
      <c r="OV19" s="803" t="s">
        <v>4616</v>
      </c>
      <c r="OW19" s="803" t="s">
        <v>4616</v>
      </c>
      <c r="OX19" s="803" t="s">
        <v>4616</v>
      </c>
      <c r="OY19" s="803" t="s">
        <v>4616</v>
      </c>
      <c r="OZ19" s="803" t="s">
        <v>4616</v>
      </c>
      <c r="PA19" s="803" t="s">
        <v>4616</v>
      </c>
      <c r="PB19" s="803" t="s">
        <v>4616</v>
      </c>
      <c r="PC19" s="803" t="s">
        <v>4615</v>
      </c>
      <c r="PD19" s="803">
        <v>24</v>
      </c>
      <c r="PE19" s="803" t="s">
        <v>4616</v>
      </c>
      <c r="PH19" s="33">
        <f t="shared" si="18"/>
        <v>41</v>
      </c>
      <c r="PI19" s="803" t="s">
        <v>4616</v>
      </c>
      <c r="PJ19" s="803">
        <v>41</v>
      </c>
      <c r="PK19" s="803" t="s">
        <v>4616</v>
      </c>
      <c r="PN19" s="803" t="s">
        <v>4616</v>
      </c>
    </row>
    <row r="20" spans="1:430" ht="15.6">
      <c r="A20" s="803" t="s">
        <v>767</v>
      </c>
      <c r="F20" s="804">
        <v>5.42</v>
      </c>
      <c r="G20" s="807">
        <f t="shared" si="0"/>
        <v>44</v>
      </c>
      <c r="H20" s="808">
        <f t="shared" si="1"/>
        <v>18</v>
      </c>
      <c r="K20" s="803">
        <v>18</v>
      </c>
      <c r="N20" s="803">
        <v>26</v>
      </c>
      <c r="AW20" s="803">
        <f t="shared" si="2"/>
        <v>287</v>
      </c>
      <c r="BH20" s="803">
        <v>83</v>
      </c>
      <c r="BJ20" s="803">
        <v>174</v>
      </c>
      <c r="BU20" s="803">
        <v>30</v>
      </c>
      <c r="DQ20" s="803">
        <f t="shared" si="3"/>
        <v>0</v>
      </c>
      <c r="EE20" s="803">
        <f t="shared" si="4"/>
        <v>140</v>
      </c>
      <c r="EU20" s="803">
        <v>84</v>
      </c>
      <c r="EV20" s="803">
        <v>56</v>
      </c>
      <c r="FG20" s="803">
        <f t="shared" si="5"/>
        <v>44</v>
      </c>
      <c r="FR20" s="803">
        <v>44</v>
      </c>
      <c r="HC20" s="803">
        <f t="shared" si="6"/>
        <v>20</v>
      </c>
      <c r="HN20" s="803">
        <v>15</v>
      </c>
      <c r="HV20" s="803">
        <v>5</v>
      </c>
      <c r="II20" s="803">
        <f t="shared" si="7"/>
        <v>0</v>
      </c>
      <c r="IN20" s="803">
        <f t="shared" si="8"/>
        <v>0</v>
      </c>
      <c r="JH20" s="803">
        <f t="shared" si="9"/>
        <v>44</v>
      </c>
      <c r="JJ20" s="803">
        <v>34</v>
      </c>
      <c r="JK20" s="803">
        <f>10</f>
        <v>10</v>
      </c>
      <c r="KE20" s="803">
        <f t="shared" si="10"/>
        <v>4</v>
      </c>
      <c r="KK20" s="803">
        <v>4</v>
      </c>
      <c r="LV20" s="33">
        <f t="shared" si="11"/>
        <v>0</v>
      </c>
      <c r="MF20" s="33">
        <f t="shared" si="12"/>
        <v>0</v>
      </c>
      <c r="MM20" s="33">
        <f t="shared" si="13"/>
        <v>0</v>
      </c>
      <c r="NE20" s="33">
        <f t="shared" si="14"/>
        <v>0</v>
      </c>
      <c r="NN20" s="33" t="s">
        <v>4615</v>
      </c>
      <c r="NR20" s="33">
        <f t="shared" si="15"/>
        <v>0</v>
      </c>
      <c r="NS20" s="33">
        <f t="shared" si="16"/>
        <v>0</v>
      </c>
      <c r="OG20" s="33">
        <f t="shared" si="17"/>
        <v>0</v>
      </c>
      <c r="OP20" s="803" t="s">
        <v>4616</v>
      </c>
      <c r="OR20" s="803" t="s">
        <v>4616</v>
      </c>
      <c r="OS20" s="803" t="s">
        <v>4616</v>
      </c>
      <c r="OU20" s="803" t="s">
        <v>4616</v>
      </c>
      <c r="OV20" s="803" t="s">
        <v>4616</v>
      </c>
      <c r="OW20" s="803" t="s">
        <v>4616</v>
      </c>
      <c r="OX20" s="803" t="s">
        <v>4616</v>
      </c>
      <c r="OY20" s="803" t="s">
        <v>4616</v>
      </c>
      <c r="OZ20" s="803" t="s">
        <v>4616</v>
      </c>
      <c r="PA20" s="803" t="s">
        <v>4616</v>
      </c>
      <c r="PB20" s="803" t="s">
        <v>4616</v>
      </c>
      <c r="PC20" s="803" t="s">
        <v>4616</v>
      </c>
      <c r="PD20" s="803" t="s">
        <v>4616</v>
      </c>
      <c r="PE20" s="803" t="s">
        <v>4616</v>
      </c>
      <c r="PH20" s="33">
        <f t="shared" si="18"/>
        <v>0</v>
      </c>
      <c r="PI20" s="803" t="s">
        <v>4616</v>
      </c>
      <c r="PJ20" s="803" t="s">
        <v>4616</v>
      </c>
      <c r="PK20" s="803" t="s">
        <v>4616</v>
      </c>
      <c r="PN20" s="803" t="s">
        <v>4616</v>
      </c>
    </row>
    <row r="21" spans="1:430" ht="16.5" customHeight="1">
      <c r="A21" s="803" t="s">
        <v>632</v>
      </c>
      <c r="F21" s="804">
        <v>3.97</v>
      </c>
      <c r="G21" s="807">
        <f t="shared" si="0"/>
        <v>119</v>
      </c>
      <c r="H21" s="808">
        <f t="shared" si="1"/>
        <v>0</v>
      </c>
      <c r="Z21" s="803">
        <v>89</v>
      </c>
      <c r="AD21" s="803">
        <v>30</v>
      </c>
      <c r="AW21" s="803">
        <f t="shared" si="2"/>
        <v>0</v>
      </c>
      <c r="DQ21" s="803">
        <f t="shared" si="3"/>
        <v>1</v>
      </c>
      <c r="EB21" s="803">
        <v>1</v>
      </c>
      <c r="EE21" s="803">
        <f t="shared" si="4"/>
        <v>141</v>
      </c>
      <c r="EF21" s="803">
        <v>120</v>
      </c>
      <c r="EP21" s="803">
        <v>21</v>
      </c>
      <c r="FG21" s="803">
        <f t="shared" si="5"/>
        <v>390</v>
      </c>
      <c r="FH21" s="803">
        <v>98</v>
      </c>
      <c r="FM21" s="803">
        <f>120+65</f>
        <v>185</v>
      </c>
      <c r="FN21" s="803">
        <v>107</v>
      </c>
      <c r="HC21" s="803">
        <f t="shared" si="6"/>
        <v>86</v>
      </c>
      <c r="HM21" s="803">
        <f>48+38</f>
        <v>86</v>
      </c>
      <c r="II21" s="803">
        <f t="shared" si="7"/>
        <v>0</v>
      </c>
      <c r="IN21" s="803">
        <f t="shared" si="8"/>
        <v>0</v>
      </c>
      <c r="JH21" s="803">
        <f t="shared" si="9"/>
        <v>0</v>
      </c>
      <c r="KE21" s="803">
        <f t="shared" si="10"/>
        <v>14</v>
      </c>
      <c r="KT21" s="803">
        <v>12</v>
      </c>
      <c r="KU21" s="803">
        <v>2</v>
      </c>
      <c r="LV21" s="33">
        <f t="shared" si="11"/>
        <v>0</v>
      </c>
      <c r="MF21" s="33">
        <f t="shared" si="12"/>
        <v>0</v>
      </c>
      <c r="MM21" s="33">
        <f t="shared" si="13"/>
        <v>0</v>
      </c>
      <c r="NE21" s="33">
        <f t="shared" si="14"/>
        <v>0</v>
      </c>
      <c r="NH21" s="33" t="s">
        <v>4615</v>
      </c>
      <c r="NK21" s="33" t="s">
        <v>4615</v>
      </c>
      <c r="NM21" s="33" t="s">
        <v>4615</v>
      </c>
      <c r="NR21" s="33">
        <f t="shared" si="15"/>
        <v>0</v>
      </c>
      <c r="NS21" s="33">
        <f t="shared" si="16"/>
        <v>0</v>
      </c>
      <c r="OG21" s="33">
        <f t="shared" si="17"/>
        <v>0</v>
      </c>
      <c r="OP21" s="803" t="s">
        <v>4616</v>
      </c>
      <c r="OR21" s="803" t="s">
        <v>4616</v>
      </c>
      <c r="OS21" s="803" t="s">
        <v>4616</v>
      </c>
      <c r="OU21" s="803" t="s">
        <v>4616</v>
      </c>
      <c r="OV21" s="803" t="s">
        <v>4616</v>
      </c>
      <c r="OW21" s="803" t="s">
        <v>4616</v>
      </c>
      <c r="OX21" s="803" t="s">
        <v>4616</v>
      </c>
      <c r="OY21" s="803" t="s">
        <v>4616</v>
      </c>
      <c r="OZ21" s="803" t="s">
        <v>4616</v>
      </c>
      <c r="PA21" s="803" t="s">
        <v>4616</v>
      </c>
      <c r="PB21" s="803" t="s">
        <v>4616</v>
      </c>
      <c r="PC21" s="803" t="s">
        <v>4616</v>
      </c>
      <c r="PD21" s="803" t="s">
        <v>4616</v>
      </c>
      <c r="PE21" s="803" t="s">
        <v>4616</v>
      </c>
      <c r="PH21" s="33">
        <f t="shared" si="18"/>
        <v>0</v>
      </c>
      <c r="PI21" s="803" t="s">
        <v>4616</v>
      </c>
      <c r="PJ21" s="803" t="s">
        <v>4616</v>
      </c>
      <c r="PK21" s="803" t="s">
        <v>4616</v>
      </c>
      <c r="PN21" s="803" t="s">
        <v>4616</v>
      </c>
    </row>
    <row r="22" spans="1:430" ht="16.5" customHeight="1">
      <c r="A22" s="803" t="s">
        <v>312</v>
      </c>
      <c r="F22" s="804">
        <v>3.68</v>
      </c>
      <c r="G22" s="807">
        <f t="shared" si="0"/>
        <v>56</v>
      </c>
      <c r="H22" s="808">
        <f t="shared" si="1"/>
        <v>56</v>
      </c>
      <c r="I22" s="803">
        <v>56</v>
      </c>
      <c r="AW22" s="803">
        <f t="shared" si="2"/>
        <v>144</v>
      </c>
      <c r="AX22" s="803">
        <v>32</v>
      </c>
      <c r="BC22" s="803">
        <v>78</v>
      </c>
      <c r="BD22" s="803">
        <v>34</v>
      </c>
      <c r="DQ22" s="803">
        <f t="shared" si="3"/>
        <v>0</v>
      </c>
      <c r="EE22" s="803">
        <f t="shared" si="4"/>
        <v>216</v>
      </c>
      <c r="EF22" s="803">
        <v>150</v>
      </c>
      <c r="EP22" s="803">
        <v>66</v>
      </c>
      <c r="FG22" s="803">
        <f t="shared" si="5"/>
        <v>112</v>
      </c>
      <c r="GQ22" s="803">
        <v>112</v>
      </c>
      <c r="HC22" s="803">
        <f t="shared" si="6"/>
        <v>48</v>
      </c>
      <c r="HD22" s="803">
        <v>48</v>
      </c>
      <c r="II22" s="803">
        <f t="shared" si="7"/>
        <v>0</v>
      </c>
      <c r="IN22" s="803">
        <f t="shared" si="8"/>
        <v>0</v>
      </c>
      <c r="JH22" s="803">
        <f t="shared" si="9"/>
        <v>15</v>
      </c>
      <c r="JI22" s="803">
        <v>15</v>
      </c>
      <c r="KE22" s="803">
        <f t="shared" si="10"/>
        <v>0</v>
      </c>
      <c r="LV22" s="33">
        <f t="shared" si="11"/>
        <v>0</v>
      </c>
      <c r="MF22" s="33">
        <f t="shared" si="12"/>
        <v>0</v>
      </c>
      <c r="MM22" s="33">
        <f t="shared" si="13"/>
        <v>0</v>
      </c>
      <c r="NE22" s="33">
        <f t="shared" si="14"/>
        <v>0</v>
      </c>
      <c r="NR22" s="33">
        <f t="shared" si="15"/>
        <v>0</v>
      </c>
      <c r="NS22" s="33">
        <f t="shared" si="16"/>
        <v>0</v>
      </c>
      <c r="OG22" s="33">
        <f t="shared" si="17"/>
        <v>0</v>
      </c>
      <c r="OM22" s="33" t="s">
        <v>4615</v>
      </c>
      <c r="OP22" s="803">
        <v>30</v>
      </c>
      <c r="OR22" s="803" t="s">
        <v>4616</v>
      </c>
      <c r="OS22" s="803" t="s">
        <v>4616</v>
      </c>
      <c r="OU22" s="803" t="s">
        <v>4616</v>
      </c>
      <c r="OV22" s="803" t="s">
        <v>4616</v>
      </c>
      <c r="OW22" s="803" t="s">
        <v>4616</v>
      </c>
      <c r="OX22" s="803" t="s">
        <v>4616</v>
      </c>
      <c r="OY22" s="803" t="s">
        <v>4616</v>
      </c>
      <c r="OZ22" s="803" t="s">
        <v>4616</v>
      </c>
      <c r="PA22" s="803" t="s">
        <v>4616</v>
      </c>
      <c r="PB22" s="803" t="s">
        <v>4616</v>
      </c>
      <c r="PC22" s="803" t="s">
        <v>4616</v>
      </c>
      <c r="PD22" s="803" t="s">
        <v>4616</v>
      </c>
      <c r="PE22" s="803" t="s">
        <v>4616</v>
      </c>
      <c r="PH22" s="33">
        <f t="shared" si="18"/>
        <v>0</v>
      </c>
      <c r="PI22" s="803" t="s">
        <v>4616</v>
      </c>
      <c r="PJ22" s="803" t="s">
        <v>4616</v>
      </c>
      <c r="PK22" s="803" t="s">
        <v>4616</v>
      </c>
      <c r="PN22" s="803" t="s">
        <v>4616</v>
      </c>
    </row>
    <row r="23" spans="1:430" ht="15.6">
      <c r="A23" s="803" t="s">
        <v>1766</v>
      </c>
      <c r="F23" s="804">
        <v>3.27</v>
      </c>
      <c r="G23" s="807">
        <f t="shared" si="0"/>
        <v>0</v>
      </c>
      <c r="H23" s="808">
        <f t="shared" si="1"/>
        <v>0</v>
      </c>
      <c r="AW23" s="803">
        <f t="shared" si="2"/>
        <v>0</v>
      </c>
      <c r="DQ23" s="803">
        <f t="shared" si="3"/>
        <v>0</v>
      </c>
      <c r="EE23" s="803">
        <f t="shared" si="4"/>
        <v>0</v>
      </c>
      <c r="FG23" s="803">
        <f t="shared" si="5"/>
        <v>93</v>
      </c>
      <c r="GW23" s="803">
        <v>93</v>
      </c>
      <c r="HC23" s="803">
        <f t="shared" si="6"/>
        <v>0</v>
      </c>
      <c r="II23" s="803">
        <f t="shared" si="7"/>
        <v>0</v>
      </c>
      <c r="IN23" s="803">
        <f t="shared" si="8"/>
        <v>0</v>
      </c>
      <c r="JH23" s="803">
        <f t="shared" si="9"/>
        <v>0</v>
      </c>
      <c r="KE23" s="803">
        <f t="shared" si="10"/>
        <v>0</v>
      </c>
      <c r="LV23" s="33">
        <f t="shared" si="11"/>
        <v>0</v>
      </c>
      <c r="MF23" s="33">
        <f t="shared" si="12"/>
        <v>0</v>
      </c>
      <c r="MM23" s="33">
        <f t="shared" si="13"/>
        <v>0</v>
      </c>
      <c r="NE23" s="33">
        <f t="shared" si="14"/>
        <v>0</v>
      </c>
      <c r="NR23" s="33">
        <f t="shared" si="15"/>
        <v>0</v>
      </c>
      <c r="NS23" s="33">
        <f t="shared" si="16"/>
        <v>0</v>
      </c>
      <c r="OG23" s="33">
        <f t="shared" si="17"/>
        <v>0</v>
      </c>
      <c r="OP23" s="803" t="s">
        <v>4616</v>
      </c>
      <c r="OR23" s="803" t="s">
        <v>4616</v>
      </c>
      <c r="OS23" s="803" t="s">
        <v>4616</v>
      </c>
      <c r="OU23" s="803" t="s">
        <v>4616</v>
      </c>
      <c r="OV23" s="803" t="s">
        <v>4616</v>
      </c>
      <c r="OW23" s="803" t="s">
        <v>4616</v>
      </c>
      <c r="OX23" s="803" t="s">
        <v>4616</v>
      </c>
      <c r="OY23" s="803" t="s">
        <v>4616</v>
      </c>
      <c r="OZ23" s="803" t="s">
        <v>4616</v>
      </c>
      <c r="PA23" s="803" t="s">
        <v>4616</v>
      </c>
      <c r="PB23" s="803" t="s">
        <v>4616</v>
      </c>
      <c r="PC23" s="803" t="s">
        <v>4616</v>
      </c>
      <c r="PD23" s="803" t="s">
        <v>4616</v>
      </c>
      <c r="PE23" s="803" t="s">
        <v>4616</v>
      </c>
      <c r="PH23" s="33">
        <f t="shared" si="18"/>
        <v>0</v>
      </c>
      <c r="PI23" s="803" t="s">
        <v>4616</v>
      </c>
      <c r="PJ23" s="803" t="s">
        <v>4616</v>
      </c>
      <c r="PK23" s="803" t="s">
        <v>4616</v>
      </c>
      <c r="PN23" s="803" t="s">
        <v>4616</v>
      </c>
    </row>
    <row r="24" spans="1:430" ht="15.6">
      <c r="A24" s="803" t="s">
        <v>1957</v>
      </c>
      <c r="F24" s="804">
        <v>2.96</v>
      </c>
      <c r="G24" s="807">
        <f t="shared" si="0"/>
        <v>37</v>
      </c>
      <c r="H24" s="808">
        <f t="shared" si="1"/>
        <v>0</v>
      </c>
      <c r="L24" s="803">
        <v>37</v>
      </c>
      <c r="AW24" s="803">
        <f t="shared" si="2"/>
        <v>406</v>
      </c>
      <c r="BU24" s="803">
        <f>176+14</f>
        <v>190</v>
      </c>
      <c r="CF24" s="803">
        <v>49</v>
      </c>
      <c r="CN24" s="803">
        <v>9</v>
      </c>
      <c r="CO24" s="803">
        <v>12</v>
      </c>
      <c r="CP24" s="803">
        <v>146</v>
      </c>
      <c r="DQ24" s="803">
        <f t="shared" si="3"/>
        <v>0</v>
      </c>
      <c r="EE24" s="803">
        <f t="shared" si="4"/>
        <v>0</v>
      </c>
      <c r="FG24" s="803">
        <f t="shared" si="5"/>
        <v>30</v>
      </c>
      <c r="FN24" s="803">
        <v>30</v>
      </c>
      <c r="HC24" s="803">
        <f t="shared" si="6"/>
        <v>48</v>
      </c>
      <c r="HE24" s="803">
        <v>24</v>
      </c>
      <c r="HF24" s="803">
        <v>24</v>
      </c>
      <c r="II24" s="803">
        <f t="shared" si="7"/>
        <v>0</v>
      </c>
      <c r="IN24" s="803">
        <f t="shared" si="8"/>
        <v>0</v>
      </c>
      <c r="JH24" s="803">
        <f t="shared" si="9"/>
        <v>30</v>
      </c>
      <c r="JJ24" s="803">
        <v>26</v>
      </c>
      <c r="JK24" s="803">
        <v>4</v>
      </c>
      <c r="KE24" s="803">
        <f t="shared" si="10"/>
        <v>0</v>
      </c>
      <c r="LV24" s="33">
        <f t="shared" si="11"/>
        <v>0</v>
      </c>
      <c r="MF24" s="33">
        <f t="shared" si="12"/>
        <v>0</v>
      </c>
      <c r="MM24" s="33">
        <f t="shared" si="13"/>
        <v>0</v>
      </c>
      <c r="NE24" s="33">
        <f t="shared" si="14"/>
        <v>0</v>
      </c>
      <c r="NN24" s="33" t="s">
        <v>4615</v>
      </c>
      <c r="NR24" s="33">
        <f t="shared" si="15"/>
        <v>20</v>
      </c>
      <c r="NS24" s="33">
        <f t="shared" si="16"/>
        <v>20</v>
      </c>
      <c r="NW24" s="33">
        <v>1</v>
      </c>
      <c r="NX24" s="33">
        <v>19</v>
      </c>
      <c r="OG24" s="33">
        <f t="shared" si="17"/>
        <v>0</v>
      </c>
      <c r="OP24" s="803" t="s">
        <v>4616</v>
      </c>
      <c r="OR24" s="803" t="s">
        <v>4616</v>
      </c>
      <c r="OS24" s="803" t="s">
        <v>4616</v>
      </c>
      <c r="OU24" s="803" t="s">
        <v>4616</v>
      </c>
      <c r="OV24" s="803" t="s">
        <v>4616</v>
      </c>
      <c r="OW24" s="803" t="s">
        <v>4616</v>
      </c>
      <c r="OX24" s="803" t="s">
        <v>4616</v>
      </c>
      <c r="OY24" s="803" t="s">
        <v>4616</v>
      </c>
      <c r="OZ24" s="803" t="s">
        <v>4616</v>
      </c>
      <c r="PA24" s="803">
        <v>20</v>
      </c>
      <c r="PB24" s="803" t="s">
        <v>4616</v>
      </c>
      <c r="PC24" s="803" t="s">
        <v>4616</v>
      </c>
      <c r="PD24" s="803" t="s">
        <v>4616</v>
      </c>
      <c r="PE24" s="803" t="s">
        <v>4616</v>
      </c>
      <c r="PH24" s="33">
        <f t="shared" si="18"/>
        <v>0</v>
      </c>
      <c r="PI24" s="803" t="s">
        <v>4616</v>
      </c>
      <c r="PJ24" s="803" t="s">
        <v>4616</v>
      </c>
      <c r="PK24" s="803" t="s">
        <v>4616</v>
      </c>
      <c r="PN24" s="803" t="s">
        <v>4616</v>
      </c>
    </row>
    <row r="25" spans="1:430" ht="15.6">
      <c r="A25" s="803" t="s">
        <v>1335</v>
      </c>
      <c r="F25" s="804">
        <v>2.63</v>
      </c>
      <c r="G25" s="807">
        <f t="shared" si="0"/>
        <v>48</v>
      </c>
      <c r="H25" s="808">
        <f t="shared" si="1"/>
        <v>4</v>
      </c>
      <c r="I25" s="803">
        <v>4</v>
      </c>
      <c r="Z25" s="803">
        <v>44</v>
      </c>
      <c r="AW25" s="803">
        <f t="shared" si="2"/>
        <v>260</v>
      </c>
      <c r="BM25" s="803">
        <v>260</v>
      </c>
      <c r="DQ25" s="803">
        <f t="shared" si="3"/>
        <v>49</v>
      </c>
      <c r="DR25" s="803">
        <v>12</v>
      </c>
      <c r="DS25" s="803">
        <v>27</v>
      </c>
      <c r="DW25" s="803">
        <v>10</v>
      </c>
      <c r="EE25" s="803">
        <f t="shared" si="4"/>
        <v>0</v>
      </c>
      <c r="FG25" s="803">
        <f t="shared" si="5"/>
        <v>120</v>
      </c>
      <c r="GB25" s="803">
        <v>120</v>
      </c>
      <c r="HC25" s="803">
        <f t="shared" si="6"/>
        <v>0</v>
      </c>
      <c r="II25" s="803">
        <f t="shared" si="7"/>
        <v>31</v>
      </c>
      <c r="IJ25" s="803">
        <v>31</v>
      </c>
      <c r="IN25" s="803">
        <f t="shared" si="8"/>
        <v>0</v>
      </c>
      <c r="JH25" s="803">
        <f t="shared" si="9"/>
        <v>0</v>
      </c>
      <c r="KE25" s="803">
        <f t="shared" si="10"/>
        <v>14</v>
      </c>
      <c r="KT25" s="803">
        <v>12</v>
      </c>
      <c r="KU25" s="803">
        <v>2</v>
      </c>
      <c r="LV25" s="33">
        <f t="shared" si="11"/>
        <v>0</v>
      </c>
      <c r="MF25" s="33">
        <f t="shared" si="12"/>
        <v>0</v>
      </c>
      <c r="MM25" s="33">
        <f t="shared" si="13"/>
        <v>16</v>
      </c>
      <c r="MN25" s="33">
        <v>16</v>
      </c>
      <c r="NE25" s="33">
        <f t="shared" si="14"/>
        <v>0</v>
      </c>
      <c r="NR25" s="33">
        <f t="shared" si="15"/>
        <v>0</v>
      </c>
      <c r="NS25" s="33">
        <f t="shared" si="16"/>
        <v>0</v>
      </c>
      <c r="OG25" s="33">
        <f t="shared" si="17"/>
        <v>0</v>
      </c>
      <c r="OM25" s="33" t="s">
        <v>4615</v>
      </c>
      <c r="OP25" s="803" t="s">
        <v>4616</v>
      </c>
      <c r="OR25" s="803" t="s">
        <v>4616</v>
      </c>
      <c r="OS25" s="803" t="s">
        <v>4616</v>
      </c>
      <c r="OU25" s="803" t="s">
        <v>4616</v>
      </c>
      <c r="OV25" s="803" t="s">
        <v>4616</v>
      </c>
      <c r="OW25" s="803" t="s">
        <v>4616</v>
      </c>
      <c r="OX25" s="803" t="s">
        <v>4616</v>
      </c>
      <c r="OY25" s="803" t="s">
        <v>4616</v>
      </c>
      <c r="OZ25" s="803" t="s">
        <v>4616</v>
      </c>
      <c r="PA25" s="803" t="s">
        <v>4616</v>
      </c>
      <c r="PB25" s="803" t="s">
        <v>4616</v>
      </c>
      <c r="PC25" s="803" t="s">
        <v>4616</v>
      </c>
      <c r="PD25" s="803" t="s">
        <v>4616</v>
      </c>
      <c r="PE25" s="803" t="s">
        <v>4616</v>
      </c>
      <c r="PH25" s="33">
        <f t="shared" si="18"/>
        <v>0</v>
      </c>
      <c r="PI25" s="803" t="s">
        <v>4616</v>
      </c>
      <c r="PJ25" s="803" t="s">
        <v>4616</v>
      </c>
      <c r="PK25" s="803" t="s">
        <v>4616</v>
      </c>
      <c r="PN25" s="803" t="s">
        <v>4616</v>
      </c>
    </row>
    <row r="26" spans="1:430" ht="15.6">
      <c r="A26" s="803" t="s">
        <v>2063</v>
      </c>
      <c r="F26" s="804">
        <v>2.0099999999999998</v>
      </c>
      <c r="G26" s="807">
        <f t="shared" si="0"/>
        <v>30</v>
      </c>
      <c r="H26" s="808">
        <f t="shared" si="1"/>
        <v>0</v>
      </c>
      <c r="Z26" s="803">
        <v>30</v>
      </c>
      <c r="AW26" s="803">
        <f t="shared" si="2"/>
        <v>94</v>
      </c>
      <c r="CV26" s="803">
        <v>72</v>
      </c>
      <c r="CW26" s="803">
        <v>7</v>
      </c>
      <c r="CX26" s="803">
        <v>15</v>
      </c>
      <c r="DQ26" s="803">
        <f t="shared" si="3"/>
        <v>7</v>
      </c>
      <c r="DS26" s="803">
        <v>7</v>
      </c>
      <c r="EE26" s="803">
        <f t="shared" si="4"/>
        <v>0</v>
      </c>
      <c r="EF26" s="803" t="s">
        <v>4615</v>
      </c>
      <c r="FG26" s="803">
        <f t="shared" si="5"/>
        <v>256</v>
      </c>
      <c r="FH26" s="803">
        <v>148</v>
      </c>
      <c r="FM26" s="803">
        <v>91</v>
      </c>
      <c r="GH26" s="803">
        <v>17</v>
      </c>
      <c r="HC26" s="803">
        <f t="shared" si="6"/>
        <v>24</v>
      </c>
      <c r="HU26" s="803">
        <v>16</v>
      </c>
      <c r="HV26" s="803">
        <v>8</v>
      </c>
      <c r="II26" s="803">
        <f t="shared" si="7"/>
        <v>3</v>
      </c>
      <c r="IM26" s="803">
        <v>3</v>
      </c>
      <c r="IN26" s="803">
        <f t="shared" si="8"/>
        <v>30</v>
      </c>
      <c r="IQ26" s="803">
        <v>4</v>
      </c>
      <c r="IR26" s="803">
        <v>26</v>
      </c>
      <c r="JH26" s="803">
        <f t="shared" si="9"/>
        <v>11</v>
      </c>
      <c r="JP26" s="803">
        <v>9</v>
      </c>
      <c r="JQ26" s="803">
        <v>2</v>
      </c>
      <c r="KE26" s="803">
        <f t="shared" si="10"/>
        <v>0</v>
      </c>
      <c r="LV26" s="33">
        <f t="shared" si="11"/>
        <v>0</v>
      </c>
      <c r="LY26" s="33" t="s">
        <v>4618</v>
      </c>
      <c r="MF26" s="33">
        <f t="shared" si="12"/>
        <v>0</v>
      </c>
      <c r="MM26" s="33">
        <f t="shared" si="13"/>
        <v>0</v>
      </c>
      <c r="MN26" s="33" t="s">
        <v>4615</v>
      </c>
      <c r="NE26" s="33">
        <f t="shared" si="14"/>
        <v>0</v>
      </c>
      <c r="NG26" s="33" t="s">
        <v>4615</v>
      </c>
      <c r="NR26" s="33">
        <f t="shared" si="15"/>
        <v>0</v>
      </c>
      <c r="NS26" s="33">
        <f t="shared" si="16"/>
        <v>0</v>
      </c>
      <c r="OG26" s="33">
        <f t="shared" si="17"/>
        <v>0</v>
      </c>
      <c r="OP26" s="803" t="s">
        <v>4616</v>
      </c>
      <c r="OR26" s="803" t="s">
        <v>4616</v>
      </c>
      <c r="OS26" s="803" t="s">
        <v>4616</v>
      </c>
      <c r="OU26" s="803" t="s">
        <v>4616</v>
      </c>
      <c r="OV26" s="803" t="s">
        <v>4616</v>
      </c>
      <c r="OW26" s="803" t="s">
        <v>4616</v>
      </c>
      <c r="OX26" s="803" t="s">
        <v>4616</v>
      </c>
      <c r="OY26" s="803" t="s">
        <v>4616</v>
      </c>
      <c r="OZ26" s="803" t="s">
        <v>4616</v>
      </c>
      <c r="PA26" s="803" t="s">
        <v>4616</v>
      </c>
      <c r="PB26" s="803" t="s">
        <v>4616</v>
      </c>
      <c r="PC26" s="803" t="s">
        <v>4616</v>
      </c>
      <c r="PD26" s="803" t="s">
        <v>4616</v>
      </c>
      <c r="PE26" s="803" t="s">
        <v>4616</v>
      </c>
      <c r="PH26" s="33">
        <f t="shared" si="18"/>
        <v>0</v>
      </c>
      <c r="PI26" s="803" t="s">
        <v>4616</v>
      </c>
      <c r="PJ26" s="803" t="s">
        <v>4616</v>
      </c>
      <c r="PK26" s="803" t="s">
        <v>4616</v>
      </c>
      <c r="PN26" s="803" t="s">
        <v>4616</v>
      </c>
    </row>
    <row r="27" spans="1:430" ht="15.6">
      <c r="A27" s="803" t="s">
        <v>428</v>
      </c>
      <c r="F27" s="804">
        <v>1.28</v>
      </c>
      <c r="G27" s="807">
        <f t="shared" si="0"/>
        <v>90</v>
      </c>
      <c r="H27" s="808">
        <f t="shared" si="1"/>
        <v>0</v>
      </c>
      <c r="Z27" s="803">
        <v>90</v>
      </c>
      <c r="AW27" s="803">
        <f t="shared" si="2"/>
        <v>120</v>
      </c>
      <c r="BL27" s="803">
        <v>100</v>
      </c>
      <c r="BN27" s="803">
        <v>20</v>
      </c>
      <c r="DQ27" s="803">
        <f t="shared" si="3"/>
        <v>0</v>
      </c>
      <c r="EE27" s="803">
        <f t="shared" si="4"/>
        <v>44</v>
      </c>
      <c r="EQ27" s="803">
        <v>17</v>
      </c>
      <c r="ER27" s="803">
        <v>27</v>
      </c>
      <c r="FG27" s="803">
        <f t="shared" si="5"/>
        <v>160</v>
      </c>
      <c r="FH27" s="803">
        <v>90</v>
      </c>
      <c r="FI27" s="803">
        <v>70</v>
      </c>
      <c r="HC27" s="803">
        <f t="shared" si="6"/>
        <v>24</v>
      </c>
      <c r="HG27" s="803">
        <v>24</v>
      </c>
      <c r="II27" s="803">
        <f t="shared" si="7"/>
        <v>0</v>
      </c>
      <c r="IN27" s="803">
        <f t="shared" si="8"/>
        <v>24</v>
      </c>
      <c r="JD27" s="803">
        <v>24</v>
      </c>
      <c r="JH27" s="803">
        <f t="shared" si="9"/>
        <v>14</v>
      </c>
      <c r="JM27" s="803">
        <v>11</v>
      </c>
      <c r="JN27" s="803">
        <v>3</v>
      </c>
      <c r="KE27" s="803">
        <f t="shared" si="10"/>
        <v>0</v>
      </c>
      <c r="KP27" s="803" t="s">
        <v>4619</v>
      </c>
      <c r="KQ27" s="803" t="s">
        <v>4619</v>
      </c>
      <c r="LV27" s="33">
        <f t="shared" si="11"/>
        <v>20</v>
      </c>
      <c r="LW27" s="33">
        <v>12</v>
      </c>
      <c r="LY27" s="33">
        <v>8</v>
      </c>
      <c r="MF27" s="33">
        <f t="shared" si="12"/>
        <v>0</v>
      </c>
      <c r="MM27" s="33">
        <f t="shared" si="13"/>
        <v>0</v>
      </c>
      <c r="MN27" s="33" t="s">
        <v>4615</v>
      </c>
      <c r="MO27" s="33" t="s">
        <v>4615</v>
      </c>
      <c r="NE27" s="33">
        <f t="shared" si="14"/>
        <v>0</v>
      </c>
      <c r="NK27" s="33" t="s">
        <v>4615</v>
      </c>
      <c r="NR27" s="33">
        <f t="shared" si="15"/>
        <v>24</v>
      </c>
      <c r="NS27" s="33">
        <f t="shared" si="16"/>
        <v>24</v>
      </c>
      <c r="NT27" s="33">
        <v>24</v>
      </c>
      <c r="OG27" s="33">
        <f t="shared" si="17"/>
        <v>0</v>
      </c>
      <c r="OP27" s="803" t="s">
        <v>4616</v>
      </c>
      <c r="OR27" s="803" t="s">
        <v>4616</v>
      </c>
      <c r="OS27" s="803" t="s">
        <v>4616</v>
      </c>
      <c r="OU27" s="803" t="s">
        <v>4615</v>
      </c>
      <c r="OV27" s="803" t="s">
        <v>4615</v>
      </c>
      <c r="OW27" s="803" t="s">
        <v>4616</v>
      </c>
      <c r="OX27" s="803" t="s">
        <v>4616</v>
      </c>
      <c r="OY27" s="803" t="s">
        <v>4616</v>
      </c>
      <c r="OZ27" s="803" t="s">
        <v>4616</v>
      </c>
      <c r="PA27" s="803" t="s">
        <v>4616</v>
      </c>
      <c r="PB27" s="803" t="s">
        <v>4616</v>
      </c>
      <c r="PC27" s="803" t="s">
        <v>4616</v>
      </c>
      <c r="PD27" s="803" t="s">
        <v>4616</v>
      </c>
      <c r="PE27" s="803" t="s">
        <v>4616</v>
      </c>
      <c r="PH27" s="33">
        <f t="shared" si="18"/>
        <v>0</v>
      </c>
      <c r="PI27" s="803" t="s">
        <v>4616</v>
      </c>
      <c r="PJ27" s="803" t="s">
        <v>4616</v>
      </c>
      <c r="PK27" s="803" t="s">
        <v>4616</v>
      </c>
      <c r="PN27" s="803" t="s">
        <v>4615</v>
      </c>
    </row>
    <row r="28" spans="1:430" ht="15.6">
      <c r="A28" s="803" t="s">
        <v>1383</v>
      </c>
      <c r="F28" s="804">
        <v>1.28</v>
      </c>
      <c r="G28" s="807">
        <f t="shared" si="0"/>
        <v>0</v>
      </c>
      <c r="H28" s="808">
        <f t="shared" si="1"/>
        <v>0</v>
      </c>
      <c r="AW28" s="803">
        <f t="shared" si="2"/>
        <v>74</v>
      </c>
      <c r="BF28" s="803">
        <v>56</v>
      </c>
      <c r="BG28" s="803">
        <v>18</v>
      </c>
      <c r="DQ28" s="803">
        <f t="shared" si="3"/>
        <v>0</v>
      </c>
      <c r="EE28" s="803">
        <f t="shared" si="4"/>
        <v>0</v>
      </c>
      <c r="FG28" s="803">
        <f t="shared" si="5"/>
        <v>0</v>
      </c>
      <c r="HC28" s="803">
        <f t="shared" si="6"/>
        <v>0</v>
      </c>
      <c r="II28" s="803">
        <f t="shared" si="7"/>
        <v>0</v>
      </c>
      <c r="IN28" s="803">
        <f t="shared" si="8"/>
        <v>0</v>
      </c>
      <c r="JH28" s="803">
        <f t="shared" si="9"/>
        <v>0</v>
      </c>
      <c r="KE28" s="803">
        <f t="shared" si="10"/>
        <v>0</v>
      </c>
      <c r="LV28" s="33">
        <f t="shared" si="11"/>
        <v>0</v>
      </c>
      <c r="MF28" s="33">
        <f t="shared" si="12"/>
        <v>0</v>
      </c>
      <c r="MM28" s="33">
        <f t="shared" si="13"/>
        <v>0</v>
      </c>
      <c r="NE28" s="33">
        <f t="shared" si="14"/>
        <v>0</v>
      </c>
      <c r="NM28" s="33" t="s">
        <v>4615</v>
      </c>
      <c r="NR28" s="33">
        <f t="shared" si="15"/>
        <v>0</v>
      </c>
      <c r="NS28" s="33">
        <f t="shared" si="16"/>
        <v>0</v>
      </c>
      <c r="OG28" s="33">
        <f t="shared" si="17"/>
        <v>0</v>
      </c>
      <c r="OP28" s="803" t="s">
        <v>4616</v>
      </c>
      <c r="OR28" s="803" t="s">
        <v>4616</v>
      </c>
      <c r="OS28" s="803" t="s">
        <v>4616</v>
      </c>
      <c r="OU28" s="803" t="s">
        <v>4616</v>
      </c>
      <c r="OV28" s="803" t="s">
        <v>4616</v>
      </c>
      <c r="OW28" s="803" t="s">
        <v>4616</v>
      </c>
      <c r="OX28" s="803" t="s">
        <v>4616</v>
      </c>
      <c r="OY28" s="803" t="s">
        <v>4616</v>
      </c>
      <c r="OZ28" s="803" t="s">
        <v>4616</v>
      </c>
      <c r="PA28" s="803" t="s">
        <v>4616</v>
      </c>
      <c r="PB28" s="803" t="s">
        <v>4616</v>
      </c>
      <c r="PC28" s="803" t="s">
        <v>4616</v>
      </c>
      <c r="PD28" s="803" t="s">
        <v>4616</v>
      </c>
      <c r="PE28" s="803" t="s">
        <v>4616</v>
      </c>
      <c r="PH28" s="33">
        <f t="shared" si="18"/>
        <v>0</v>
      </c>
      <c r="PI28" s="803" t="s">
        <v>4616</v>
      </c>
      <c r="PJ28" s="803" t="s">
        <v>4616</v>
      </c>
      <c r="PK28" s="803" t="s">
        <v>4616</v>
      </c>
      <c r="PN28" s="803" t="s">
        <v>4616</v>
      </c>
    </row>
    <row r="29" spans="1:430" ht="15.6">
      <c r="A29" s="803" t="s">
        <v>1562</v>
      </c>
      <c r="F29" s="804">
        <v>1.25</v>
      </c>
      <c r="G29" s="807">
        <f t="shared" si="0"/>
        <v>0</v>
      </c>
      <c r="H29" s="808">
        <f t="shared" si="1"/>
        <v>0</v>
      </c>
      <c r="AW29" s="803">
        <f t="shared" si="2"/>
        <v>306</v>
      </c>
      <c r="BU29" s="803">
        <v>234</v>
      </c>
      <c r="CF29" s="803">
        <v>22</v>
      </c>
      <c r="CI29" s="803">
        <v>50</v>
      </c>
      <c r="DQ29" s="803">
        <f t="shared" si="3"/>
        <v>0</v>
      </c>
      <c r="EE29" s="803">
        <f t="shared" si="4"/>
        <v>0</v>
      </c>
      <c r="FG29" s="803">
        <f t="shared" si="5"/>
        <v>30</v>
      </c>
      <c r="GT29" s="803">
        <v>30</v>
      </c>
      <c r="HC29" s="803">
        <f t="shared" si="6"/>
        <v>16</v>
      </c>
      <c r="HH29" s="803">
        <v>16</v>
      </c>
      <c r="II29" s="803">
        <f t="shared" si="7"/>
        <v>0</v>
      </c>
      <c r="IN29" s="803">
        <f t="shared" si="8"/>
        <v>0</v>
      </c>
      <c r="JH29" s="803">
        <f t="shared" si="9"/>
        <v>0</v>
      </c>
      <c r="KE29" s="803">
        <f t="shared" si="10"/>
        <v>0</v>
      </c>
      <c r="LV29" s="33">
        <f t="shared" si="11"/>
        <v>0</v>
      </c>
      <c r="MF29" s="33">
        <f t="shared" si="12"/>
        <v>0</v>
      </c>
      <c r="MM29" s="33">
        <f t="shared" si="13"/>
        <v>4</v>
      </c>
      <c r="MU29" s="33">
        <v>4</v>
      </c>
      <c r="NE29" s="33">
        <f t="shared" si="14"/>
        <v>0</v>
      </c>
      <c r="NM29" s="33" t="s">
        <v>4615</v>
      </c>
      <c r="NN29" s="33" t="s">
        <v>4615</v>
      </c>
      <c r="NO29" s="33" t="s">
        <v>4615</v>
      </c>
      <c r="NR29" s="33">
        <f t="shared" si="15"/>
        <v>0</v>
      </c>
      <c r="NS29" s="33">
        <f t="shared" si="16"/>
        <v>0</v>
      </c>
      <c r="OG29" s="33">
        <f t="shared" si="17"/>
        <v>0</v>
      </c>
      <c r="OP29" s="803" t="s">
        <v>4616</v>
      </c>
      <c r="OR29" s="803" t="s">
        <v>4616</v>
      </c>
      <c r="OS29" s="803" t="s">
        <v>4616</v>
      </c>
      <c r="OU29" s="803" t="s">
        <v>4616</v>
      </c>
      <c r="OV29" s="803" t="s">
        <v>4616</v>
      </c>
      <c r="OW29" s="803" t="s">
        <v>4616</v>
      </c>
      <c r="OX29" s="803" t="s">
        <v>4616</v>
      </c>
      <c r="OY29" s="803" t="s">
        <v>4616</v>
      </c>
      <c r="OZ29" s="803" t="s">
        <v>4616</v>
      </c>
      <c r="PA29" s="803" t="s">
        <v>4616</v>
      </c>
      <c r="PB29" s="803" t="s">
        <v>4616</v>
      </c>
      <c r="PC29" s="803" t="s">
        <v>4616</v>
      </c>
      <c r="PD29" s="803" t="s">
        <v>4616</v>
      </c>
      <c r="PE29" s="803" t="s">
        <v>4616</v>
      </c>
      <c r="PH29" s="33">
        <f t="shared" si="18"/>
        <v>0</v>
      </c>
      <c r="PI29" s="803" t="s">
        <v>4616</v>
      </c>
      <c r="PJ29" s="803" t="s">
        <v>4616</v>
      </c>
      <c r="PK29" s="803" t="s">
        <v>4616</v>
      </c>
      <c r="PN29" s="803" t="s">
        <v>4616</v>
      </c>
    </row>
    <row r="30" spans="1:430" ht="15.6">
      <c r="A30" s="803" t="s">
        <v>591</v>
      </c>
      <c r="F30" s="804">
        <v>1.07</v>
      </c>
      <c r="G30" s="807">
        <f t="shared" si="0"/>
        <v>75</v>
      </c>
      <c r="H30" s="808">
        <f t="shared" si="1"/>
        <v>0</v>
      </c>
      <c r="AH30" s="803">
        <v>75</v>
      </c>
      <c r="AW30" s="803">
        <f t="shared" si="2"/>
        <v>147</v>
      </c>
      <c r="BO30" s="803">
        <v>11</v>
      </c>
      <c r="BP30" s="803">
        <v>4</v>
      </c>
      <c r="BQ30" s="803">
        <v>6</v>
      </c>
      <c r="BR30" s="803">
        <v>126</v>
      </c>
      <c r="DQ30" s="803">
        <f t="shared" si="3"/>
        <v>41</v>
      </c>
      <c r="DR30" s="803">
        <v>21</v>
      </c>
      <c r="DT30" s="803">
        <v>20</v>
      </c>
      <c r="EE30" s="803">
        <f t="shared" si="4"/>
        <v>172</v>
      </c>
      <c r="EF30" s="803">
        <v>10</v>
      </c>
      <c r="ES30" s="803">
        <v>162</v>
      </c>
      <c r="FG30" s="803">
        <f t="shared" si="5"/>
        <v>100</v>
      </c>
      <c r="FJ30" s="803">
        <v>100</v>
      </c>
      <c r="HC30" s="803">
        <f t="shared" si="6"/>
        <v>13</v>
      </c>
      <c r="HH30" s="803">
        <v>13</v>
      </c>
      <c r="II30" s="803">
        <f t="shared" si="7"/>
        <v>0</v>
      </c>
      <c r="IN30" s="803">
        <f t="shared" si="8"/>
        <v>27</v>
      </c>
      <c r="JC30" s="803">
        <v>6</v>
      </c>
      <c r="JD30" s="803">
        <v>21</v>
      </c>
      <c r="JH30" s="803">
        <f t="shared" si="9"/>
        <v>8</v>
      </c>
      <c r="JR30" s="803">
        <v>4</v>
      </c>
      <c r="JS30" s="803">
        <v>4</v>
      </c>
      <c r="KE30" s="803">
        <f t="shared" si="10"/>
        <v>0</v>
      </c>
      <c r="LV30" s="33">
        <f t="shared" si="11"/>
        <v>0</v>
      </c>
      <c r="MF30" s="33">
        <f t="shared" si="12"/>
        <v>0</v>
      </c>
      <c r="MM30" s="33">
        <f t="shared" si="13"/>
        <v>0</v>
      </c>
      <c r="NE30" s="33">
        <f t="shared" si="14"/>
        <v>9</v>
      </c>
      <c r="NG30" s="33" t="s">
        <v>4615</v>
      </c>
      <c r="NH30" s="33">
        <v>9</v>
      </c>
      <c r="NR30" s="33">
        <f t="shared" si="15"/>
        <v>0</v>
      </c>
      <c r="NS30" s="33">
        <f t="shared" si="16"/>
        <v>0</v>
      </c>
      <c r="OG30" s="33">
        <f t="shared" si="17"/>
        <v>0</v>
      </c>
      <c r="OP30" s="803" t="s">
        <v>4616</v>
      </c>
      <c r="OR30" s="803" t="s">
        <v>4616</v>
      </c>
      <c r="OS30" s="803" t="s">
        <v>4616</v>
      </c>
      <c r="OU30" s="803" t="s">
        <v>4616</v>
      </c>
      <c r="OV30" s="803" t="s">
        <v>4616</v>
      </c>
      <c r="OW30" s="803">
        <v>10</v>
      </c>
      <c r="OX30" s="803" t="s">
        <v>4616</v>
      </c>
      <c r="OY30" s="803" t="s">
        <v>4616</v>
      </c>
      <c r="OZ30" s="803" t="s">
        <v>4616</v>
      </c>
      <c r="PA30" s="803" t="s">
        <v>4616</v>
      </c>
      <c r="PB30" s="803" t="s">
        <v>4616</v>
      </c>
      <c r="PC30" s="803" t="s">
        <v>4616</v>
      </c>
      <c r="PD30" s="803" t="s">
        <v>4616</v>
      </c>
      <c r="PE30" s="803" t="s">
        <v>4616</v>
      </c>
      <c r="PH30" s="33">
        <f t="shared" si="18"/>
        <v>0</v>
      </c>
      <c r="PI30" s="803" t="s">
        <v>4616</v>
      </c>
      <c r="PJ30" s="803" t="s">
        <v>4616</v>
      </c>
      <c r="PK30" s="803" t="s">
        <v>4616</v>
      </c>
      <c r="PN30" s="803" t="s">
        <v>4616</v>
      </c>
    </row>
    <row r="31" spans="1:430" ht="15.6">
      <c r="A31" s="803" t="s">
        <v>4189</v>
      </c>
      <c r="F31" s="804">
        <v>1.04</v>
      </c>
      <c r="G31" s="807">
        <f t="shared" si="0"/>
        <v>229</v>
      </c>
      <c r="H31" s="808">
        <f t="shared" si="1"/>
        <v>0</v>
      </c>
      <c r="AH31" s="803">
        <v>199</v>
      </c>
      <c r="AI31" s="803">
        <v>30</v>
      </c>
      <c r="AW31" s="803">
        <f t="shared" si="2"/>
        <v>95</v>
      </c>
      <c r="BL31" s="803">
        <v>32</v>
      </c>
      <c r="BO31" s="803">
        <v>12</v>
      </c>
      <c r="BQ31" s="803">
        <v>39</v>
      </c>
      <c r="CU31" s="803">
        <v>12</v>
      </c>
      <c r="DQ31" s="803">
        <f t="shared" si="3"/>
        <v>0</v>
      </c>
      <c r="EE31" s="803">
        <f t="shared" si="4"/>
        <v>0</v>
      </c>
      <c r="FG31" s="803">
        <f t="shared" si="5"/>
        <v>335</v>
      </c>
      <c r="FJ31" s="803">
        <v>320</v>
      </c>
      <c r="FK31" s="803">
        <v>3</v>
      </c>
      <c r="GG31" s="803">
        <v>12</v>
      </c>
      <c r="HC31" s="803">
        <f t="shared" si="6"/>
        <v>42</v>
      </c>
      <c r="HI31" s="803">
        <v>6</v>
      </c>
      <c r="HT31" s="803">
        <v>36</v>
      </c>
      <c r="II31" s="803">
        <f t="shared" si="7"/>
        <v>0</v>
      </c>
      <c r="IN31" s="803">
        <f t="shared" si="8"/>
        <v>81</v>
      </c>
      <c r="IX31" s="803">
        <v>18</v>
      </c>
      <c r="IY31" s="803">
        <v>60</v>
      </c>
      <c r="IZ31" s="803">
        <v>3</v>
      </c>
      <c r="JH31" s="803">
        <f t="shared" si="9"/>
        <v>14</v>
      </c>
      <c r="JM31" s="803">
        <v>3</v>
      </c>
      <c r="JN31" s="803">
        <v>3</v>
      </c>
      <c r="JO31" s="803">
        <v>8</v>
      </c>
      <c r="KE31" s="803">
        <f t="shared" si="10"/>
        <v>17</v>
      </c>
      <c r="LJ31" s="803">
        <v>17</v>
      </c>
      <c r="LV31" s="33">
        <f t="shared" si="11"/>
        <v>0</v>
      </c>
      <c r="MF31" s="33">
        <f t="shared" si="12"/>
        <v>0</v>
      </c>
      <c r="MM31" s="33">
        <f t="shared" si="13"/>
        <v>98</v>
      </c>
      <c r="MN31" s="33">
        <f>77+9</f>
        <v>86</v>
      </c>
      <c r="MO31" s="33">
        <v>6</v>
      </c>
      <c r="MW31" s="33">
        <v>6</v>
      </c>
      <c r="NE31" s="33">
        <f t="shared" si="14"/>
        <v>17</v>
      </c>
      <c r="NI31" s="33">
        <v>12</v>
      </c>
      <c r="NJ31" s="33">
        <v>5</v>
      </c>
      <c r="NR31" s="33">
        <f t="shared" si="15"/>
        <v>0</v>
      </c>
      <c r="NS31" s="33">
        <f t="shared" si="16"/>
        <v>0</v>
      </c>
      <c r="OG31" s="33">
        <f t="shared" si="17"/>
        <v>0</v>
      </c>
      <c r="OP31" s="803" t="s">
        <v>4616</v>
      </c>
      <c r="OR31" s="803" t="s">
        <v>4616</v>
      </c>
      <c r="OS31" s="803">
        <v>36</v>
      </c>
      <c r="OU31" s="803" t="s">
        <v>4616</v>
      </c>
      <c r="OV31" s="803" t="s">
        <v>4616</v>
      </c>
      <c r="OW31" s="803" t="s">
        <v>4616</v>
      </c>
      <c r="OX31" s="803" t="s">
        <v>4616</v>
      </c>
      <c r="OY31" s="803" t="s">
        <v>4616</v>
      </c>
      <c r="OZ31" s="803" t="s">
        <v>4616</v>
      </c>
      <c r="PA31" s="803" t="s">
        <v>4616</v>
      </c>
      <c r="PB31" s="803" t="s">
        <v>4616</v>
      </c>
      <c r="PC31" s="803" t="s">
        <v>4616</v>
      </c>
      <c r="PD31" s="803" t="s">
        <v>4616</v>
      </c>
      <c r="PE31" s="803" t="s">
        <v>4616</v>
      </c>
      <c r="PH31" s="33">
        <f t="shared" si="18"/>
        <v>8</v>
      </c>
      <c r="PI31" s="803" t="s">
        <v>4616</v>
      </c>
      <c r="PJ31" s="803" t="s">
        <v>4616</v>
      </c>
      <c r="PK31" s="803">
        <v>8</v>
      </c>
      <c r="PN31" s="803" t="s">
        <v>4616</v>
      </c>
    </row>
    <row r="32" spans="1:430" ht="15.6">
      <c r="A32" s="803" t="s">
        <v>1516</v>
      </c>
      <c r="F32" s="804">
        <v>0.83499999999999996</v>
      </c>
      <c r="G32" s="807">
        <f t="shared" si="0"/>
        <v>3</v>
      </c>
      <c r="H32" s="808">
        <f t="shared" si="1"/>
        <v>0</v>
      </c>
      <c r="AA32" s="803">
        <v>3</v>
      </c>
      <c r="AW32" s="803">
        <f t="shared" si="2"/>
        <v>4</v>
      </c>
      <c r="BS32" s="803">
        <v>4</v>
      </c>
      <c r="DQ32" s="803">
        <f t="shared" si="3"/>
        <v>0</v>
      </c>
      <c r="EE32" s="803">
        <f t="shared" si="4"/>
        <v>0</v>
      </c>
      <c r="FG32" s="803">
        <f t="shared" si="5"/>
        <v>0</v>
      </c>
      <c r="HC32" s="803">
        <f t="shared" si="6"/>
        <v>47</v>
      </c>
      <c r="HD32" s="803">
        <v>47</v>
      </c>
      <c r="II32" s="803">
        <f t="shared" si="7"/>
        <v>0</v>
      </c>
      <c r="IN32" s="803">
        <f t="shared" si="8"/>
        <v>0</v>
      </c>
      <c r="JH32" s="803">
        <f t="shared" si="9"/>
        <v>0</v>
      </c>
      <c r="KE32" s="803">
        <f t="shared" si="10"/>
        <v>0</v>
      </c>
      <c r="LV32" s="33">
        <f t="shared" si="11"/>
        <v>0</v>
      </c>
      <c r="MF32" s="33">
        <f t="shared" si="12"/>
        <v>0</v>
      </c>
      <c r="MM32" s="33">
        <f t="shared" si="13"/>
        <v>0</v>
      </c>
      <c r="NE32" s="33">
        <f t="shared" si="14"/>
        <v>0</v>
      </c>
      <c r="NM32" s="33" t="s">
        <v>4615</v>
      </c>
      <c r="NN32" s="33" t="s">
        <v>4615</v>
      </c>
      <c r="NR32" s="33">
        <f t="shared" si="15"/>
        <v>0</v>
      </c>
      <c r="NS32" s="33">
        <f t="shared" si="16"/>
        <v>0</v>
      </c>
      <c r="OG32" s="33">
        <f t="shared" si="17"/>
        <v>0</v>
      </c>
      <c r="OP32" s="803" t="s">
        <v>4616</v>
      </c>
      <c r="OR32" s="803" t="s">
        <v>4616</v>
      </c>
      <c r="OS32" s="803">
        <v>24</v>
      </c>
      <c r="OU32" s="803" t="s">
        <v>4616</v>
      </c>
      <c r="OV32" s="803" t="s">
        <v>4616</v>
      </c>
      <c r="OW32" s="803" t="s">
        <v>4616</v>
      </c>
      <c r="OX32" s="803" t="s">
        <v>4616</v>
      </c>
      <c r="OY32" s="803" t="s">
        <v>4616</v>
      </c>
      <c r="OZ32" s="803" t="s">
        <v>4616</v>
      </c>
      <c r="PA32" s="803" t="s">
        <v>4616</v>
      </c>
      <c r="PB32" s="803" t="s">
        <v>4616</v>
      </c>
      <c r="PC32" s="803" t="s">
        <v>4616</v>
      </c>
      <c r="PD32" s="803" t="s">
        <v>4616</v>
      </c>
      <c r="PE32" s="803" t="s">
        <v>4616</v>
      </c>
      <c r="PH32" s="33">
        <f t="shared" si="18"/>
        <v>0</v>
      </c>
      <c r="PI32" s="803" t="s">
        <v>4616</v>
      </c>
      <c r="PJ32" s="803" t="s">
        <v>4616</v>
      </c>
      <c r="PK32" s="803" t="s">
        <v>4616</v>
      </c>
      <c r="PN32" s="803" t="s">
        <v>4616</v>
      </c>
    </row>
    <row r="33" spans="1:430" ht="15.6">
      <c r="A33" s="803" t="s">
        <v>840</v>
      </c>
      <c r="F33" s="804">
        <v>0.78600000000000003</v>
      </c>
      <c r="G33" s="807">
        <f t="shared" si="0"/>
        <v>0</v>
      </c>
      <c r="H33" s="808">
        <f t="shared" si="1"/>
        <v>0</v>
      </c>
      <c r="AW33" s="803">
        <f t="shared" si="2"/>
        <v>136</v>
      </c>
      <c r="BV33" s="803">
        <v>56</v>
      </c>
      <c r="BX33" s="803">
        <v>80</v>
      </c>
      <c r="DQ33" s="803">
        <f t="shared" si="3"/>
        <v>0</v>
      </c>
      <c r="EE33" s="803">
        <f t="shared" si="4"/>
        <v>6</v>
      </c>
      <c r="EX33" s="803">
        <v>6</v>
      </c>
      <c r="FG33" s="803">
        <f t="shared" si="5"/>
        <v>44</v>
      </c>
      <c r="FS33" s="803">
        <v>44</v>
      </c>
      <c r="HC33" s="803">
        <f t="shared" si="6"/>
        <v>30</v>
      </c>
      <c r="HQ33" s="803">
        <v>24</v>
      </c>
      <c r="HR33" s="803">
        <v>6</v>
      </c>
      <c r="II33" s="803">
        <f t="shared" si="7"/>
        <v>0</v>
      </c>
      <c r="IN33" s="803">
        <f t="shared" si="8"/>
        <v>0</v>
      </c>
      <c r="JH33" s="803">
        <f t="shared" si="9"/>
        <v>0</v>
      </c>
      <c r="KE33" s="803">
        <f t="shared" si="10"/>
        <v>0</v>
      </c>
      <c r="LV33" s="33">
        <f t="shared" si="11"/>
        <v>0</v>
      </c>
      <c r="MF33" s="33">
        <f t="shared" si="12"/>
        <v>0</v>
      </c>
      <c r="MM33" s="33">
        <f t="shared" si="13"/>
        <v>0</v>
      </c>
      <c r="NE33" s="33">
        <f t="shared" si="14"/>
        <v>0</v>
      </c>
      <c r="NR33" s="33">
        <f t="shared" si="15"/>
        <v>0</v>
      </c>
      <c r="NS33" s="33">
        <f t="shared" si="16"/>
        <v>0</v>
      </c>
      <c r="OG33" s="33">
        <f t="shared" si="17"/>
        <v>0</v>
      </c>
      <c r="OM33" s="33" t="s">
        <v>4615</v>
      </c>
      <c r="OP33" s="803" t="s">
        <v>4616</v>
      </c>
      <c r="OR33" s="803" t="s">
        <v>4616</v>
      </c>
      <c r="OS33" s="803" t="s">
        <v>4616</v>
      </c>
      <c r="OU33" s="803" t="s">
        <v>4615</v>
      </c>
      <c r="OV33" s="803" t="s">
        <v>4616</v>
      </c>
      <c r="OW33" s="803" t="s">
        <v>4616</v>
      </c>
      <c r="OX33" s="803" t="s">
        <v>4616</v>
      </c>
      <c r="OY33" s="803" t="s">
        <v>4616</v>
      </c>
      <c r="OZ33" s="803" t="s">
        <v>4616</v>
      </c>
      <c r="PA33" s="803" t="s">
        <v>4616</v>
      </c>
      <c r="PB33" s="803" t="s">
        <v>4616</v>
      </c>
      <c r="PC33" s="803" t="s">
        <v>4616</v>
      </c>
      <c r="PD33" s="803" t="s">
        <v>4616</v>
      </c>
      <c r="PE33" s="803" t="s">
        <v>4616</v>
      </c>
      <c r="PH33" s="33">
        <f>SUM(PI33:PP33)</f>
        <v>0</v>
      </c>
      <c r="PI33" s="803" t="s">
        <v>4616</v>
      </c>
      <c r="PJ33" s="803" t="s">
        <v>4616</v>
      </c>
      <c r="PK33" s="803" t="s">
        <v>4616</v>
      </c>
      <c r="PN33" s="803" t="s">
        <v>4616</v>
      </c>
    </row>
    <row r="34" spans="1:430" ht="15.6">
      <c r="A34" s="803" t="s">
        <v>2106</v>
      </c>
      <c r="F34" s="804">
        <v>0.67</v>
      </c>
      <c r="G34" s="807">
        <f t="shared" si="0"/>
        <v>76</v>
      </c>
      <c r="H34" s="808">
        <f t="shared" si="1"/>
        <v>0</v>
      </c>
      <c r="AA34" s="803">
        <v>30</v>
      </c>
      <c r="AH34" s="803">
        <f>14+32</f>
        <v>46</v>
      </c>
      <c r="AW34" s="803">
        <f t="shared" si="2"/>
        <v>139</v>
      </c>
      <c r="BE34" s="803">
        <v>85</v>
      </c>
      <c r="BT34" s="803">
        <v>30</v>
      </c>
      <c r="CI34" s="803">
        <v>24</v>
      </c>
      <c r="DQ34" s="803">
        <f t="shared" si="3"/>
        <v>0</v>
      </c>
      <c r="DU34" s="803" t="s">
        <v>4615</v>
      </c>
      <c r="EE34" s="803">
        <f t="shared" si="4"/>
        <v>0</v>
      </c>
      <c r="FG34" s="803">
        <f t="shared" si="5"/>
        <v>0</v>
      </c>
      <c r="HC34" s="803">
        <f t="shared" si="6"/>
        <v>18</v>
      </c>
      <c r="HW34" s="803">
        <v>18</v>
      </c>
      <c r="II34" s="803">
        <f t="shared" si="7"/>
        <v>0</v>
      </c>
      <c r="IN34" s="803">
        <f t="shared" si="8"/>
        <v>0</v>
      </c>
      <c r="JH34" s="803">
        <f t="shared" si="9"/>
        <v>0</v>
      </c>
      <c r="KE34" s="803">
        <f t="shared" si="10"/>
        <v>0</v>
      </c>
      <c r="LV34" s="33">
        <f t="shared" si="11"/>
        <v>0</v>
      </c>
      <c r="MF34" s="33">
        <f t="shared" si="12"/>
        <v>0</v>
      </c>
      <c r="MM34" s="33">
        <f t="shared" si="13"/>
        <v>0</v>
      </c>
      <c r="NE34" s="33">
        <f t="shared" si="14"/>
        <v>0</v>
      </c>
      <c r="NL34" s="33" t="s">
        <v>4615</v>
      </c>
      <c r="NR34" s="33">
        <f t="shared" si="15"/>
        <v>0</v>
      </c>
      <c r="NS34" s="33">
        <f t="shared" si="16"/>
        <v>0</v>
      </c>
      <c r="OG34" s="33">
        <f t="shared" si="17"/>
        <v>0</v>
      </c>
      <c r="OP34" s="803" t="s">
        <v>4616</v>
      </c>
      <c r="OR34" s="803" t="s">
        <v>4616</v>
      </c>
      <c r="OS34" s="803" t="s">
        <v>4616</v>
      </c>
      <c r="OU34" s="803" t="s">
        <v>4616</v>
      </c>
      <c r="OV34" s="803" t="s">
        <v>4616</v>
      </c>
      <c r="OW34" s="803" t="s">
        <v>4616</v>
      </c>
      <c r="OX34" s="803" t="s">
        <v>4616</v>
      </c>
      <c r="OY34" s="803" t="s">
        <v>4616</v>
      </c>
      <c r="OZ34" s="803" t="s">
        <v>4616</v>
      </c>
      <c r="PA34" s="803" t="s">
        <v>4616</v>
      </c>
      <c r="PB34" s="803" t="s">
        <v>4616</v>
      </c>
      <c r="PC34" s="803" t="s">
        <v>4616</v>
      </c>
      <c r="PD34" s="803" t="s">
        <v>4616</v>
      </c>
      <c r="PE34" s="803" t="s">
        <v>4616</v>
      </c>
      <c r="PH34" s="33">
        <f t="shared" si="18"/>
        <v>0</v>
      </c>
      <c r="PI34" s="803" t="s">
        <v>4616</v>
      </c>
      <c r="PJ34" s="803" t="s">
        <v>4616</v>
      </c>
      <c r="PK34" s="803" t="s">
        <v>4616</v>
      </c>
      <c r="PN34" s="803" t="s">
        <v>4616</v>
      </c>
    </row>
    <row r="35" spans="1:430" ht="15.6">
      <c r="A35" s="803" t="s">
        <v>618</v>
      </c>
      <c r="F35" s="804">
        <v>0.52300000000000002</v>
      </c>
      <c r="G35" s="807">
        <f t="shared" si="0"/>
        <v>134</v>
      </c>
      <c r="H35" s="808">
        <f t="shared" si="1"/>
        <v>0</v>
      </c>
      <c r="AB35" s="803">
        <v>82</v>
      </c>
      <c r="AC35" s="803">
        <v>52</v>
      </c>
      <c r="AW35" s="803">
        <f t="shared" si="2"/>
        <v>295</v>
      </c>
      <c r="BA35" s="803">
        <v>127</v>
      </c>
      <c r="CG35" s="803">
        <v>168</v>
      </c>
      <c r="DQ35" s="803">
        <f t="shared" si="3"/>
        <v>0</v>
      </c>
      <c r="EE35" s="803">
        <f t="shared" si="4"/>
        <v>8</v>
      </c>
      <c r="ET35" s="803">
        <v>8</v>
      </c>
      <c r="FG35" s="803">
        <f t="shared" si="5"/>
        <v>43</v>
      </c>
      <c r="FL35" s="803">
        <v>43</v>
      </c>
      <c r="HC35" s="803">
        <f t="shared" si="6"/>
        <v>60</v>
      </c>
      <c r="HI35" s="803">
        <v>24</v>
      </c>
      <c r="HJ35" s="803">
        <v>12</v>
      </c>
      <c r="HK35" s="803">
        <v>12</v>
      </c>
      <c r="HL35" s="803">
        <v>12</v>
      </c>
      <c r="II35" s="803">
        <f t="shared" si="7"/>
        <v>0</v>
      </c>
      <c r="IN35" s="803">
        <f t="shared" si="8"/>
        <v>22</v>
      </c>
      <c r="IX35" s="803">
        <v>18</v>
      </c>
      <c r="JD35" s="803">
        <v>4</v>
      </c>
      <c r="JH35" s="803">
        <f t="shared" si="9"/>
        <v>0</v>
      </c>
      <c r="KE35" s="803">
        <f t="shared" si="10"/>
        <v>0</v>
      </c>
      <c r="LV35" s="33">
        <f t="shared" si="11"/>
        <v>0</v>
      </c>
      <c r="MF35" s="33">
        <f t="shared" si="12"/>
        <v>4</v>
      </c>
      <c r="MG35" s="33">
        <v>4</v>
      </c>
      <c r="MM35" s="33">
        <f t="shared" si="13"/>
        <v>18</v>
      </c>
      <c r="MP35" s="33">
        <v>12</v>
      </c>
      <c r="MQ35" s="33">
        <v>6</v>
      </c>
      <c r="NE35" s="33">
        <f t="shared" si="14"/>
        <v>0</v>
      </c>
      <c r="NR35" s="33">
        <f t="shared" si="15"/>
        <v>0</v>
      </c>
      <c r="NS35" s="33">
        <f t="shared" si="16"/>
        <v>0</v>
      </c>
      <c r="OG35" s="33">
        <f t="shared" si="17"/>
        <v>0</v>
      </c>
      <c r="OP35" s="803" t="s">
        <v>4616</v>
      </c>
      <c r="OR35" s="803" t="s">
        <v>4616</v>
      </c>
      <c r="OS35" s="803" t="s">
        <v>4616</v>
      </c>
      <c r="OU35" s="803" t="s">
        <v>4616</v>
      </c>
      <c r="OV35" s="803" t="s">
        <v>4616</v>
      </c>
      <c r="OW35" s="803" t="s">
        <v>4616</v>
      </c>
      <c r="OX35" s="803">
        <v>36</v>
      </c>
      <c r="OY35" s="803">
        <v>24</v>
      </c>
      <c r="OZ35" s="803" t="s">
        <v>4616</v>
      </c>
      <c r="PA35" s="803" t="s">
        <v>4616</v>
      </c>
      <c r="PB35" s="803" t="s">
        <v>4616</v>
      </c>
      <c r="PC35" s="803" t="s">
        <v>4616</v>
      </c>
      <c r="PD35" s="803" t="s">
        <v>4616</v>
      </c>
      <c r="PE35" s="803" t="s">
        <v>4616</v>
      </c>
      <c r="PH35" s="33">
        <f t="shared" si="18"/>
        <v>0</v>
      </c>
      <c r="PI35" s="803" t="s">
        <v>4616</v>
      </c>
      <c r="PJ35" s="803" t="s">
        <v>4616</v>
      </c>
      <c r="PK35" s="803" t="s">
        <v>4616</v>
      </c>
      <c r="PN35" s="803" t="s">
        <v>4616</v>
      </c>
    </row>
    <row r="36" spans="1:430" ht="15.6">
      <c r="A36" s="803" t="s">
        <v>1653</v>
      </c>
      <c r="F36" s="804">
        <v>0.41599999999999998</v>
      </c>
      <c r="G36" s="807">
        <f t="shared" si="0"/>
        <v>0</v>
      </c>
      <c r="H36" s="808">
        <f t="shared" si="1"/>
        <v>0</v>
      </c>
      <c r="AW36" s="803">
        <f t="shared" si="2"/>
        <v>0</v>
      </c>
      <c r="DQ36" s="803">
        <f t="shared" si="3"/>
        <v>0</v>
      </c>
      <c r="EE36" s="803">
        <f t="shared" si="4"/>
        <v>48</v>
      </c>
      <c r="EP36" s="803">
        <v>48</v>
      </c>
      <c r="FG36" s="803">
        <f t="shared" si="5"/>
        <v>0</v>
      </c>
      <c r="HC36" s="803">
        <f t="shared" si="6"/>
        <v>0</v>
      </c>
      <c r="II36" s="803">
        <f t="shared" si="7"/>
        <v>0</v>
      </c>
      <c r="IN36" s="803">
        <f t="shared" si="8"/>
        <v>0</v>
      </c>
      <c r="JH36" s="803">
        <f t="shared" si="9"/>
        <v>0</v>
      </c>
      <c r="KE36" s="803">
        <f t="shared" si="10"/>
        <v>0</v>
      </c>
      <c r="LV36" s="33">
        <f t="shared" si="11"/>
        <v>0</v>
      </c>
      <c r="MF36" s="33">
        <f t="shared" si="12"/>
        <v>0</v>
      </c>
      <c r="MM36" s="33">
        <f t="shared" si="13"/>
        <v>0</v>
      </c>
      <c r="NE36" s="33">
        <f t="shared" si="14"/>
        <v>0</v>
      </c>
      <c r="NR36" s="33">
        <f t="shared" si="15"/>
        <v>0</v>
      </c>
      <c r="NS36" s="33">
        <f t="shared" si="16"/>
        <v>0</v>
      </c>
      <c r="OG36" s="33">
        <f t="shared" si="17"/>
        <v>0</v>
      </c>
      <c r="OP36" s="803" t="s">
        <v>4616</v>
      </c>
      <c r="OR36" s="803" t="s">
        <v>4616</v>
      </c>
      <c r="OS36" s="803" t="s">
        <v>4616</v>
      </c>
      <c r="OU36" s="803" t="s">
        <v>4616</v>
      </c>
      <c r="OV36" s="803" t="s">
        <v>4616</v>
      </c>
      <c r="OW36" s="803" t="s">
        <v>4616</v>
      </c>
      <c r="OX36" s="803" t="s">
        <v>4616</v>
      </c>
      <c r="OY36" s="803" t="s">
        <v>4616</v>
      </c>
      <c r="OZ36" s="803" t="s">
        <v>4616</v>
      </c>
      <c r="PA36" s="803" t="s">
        <v>4616</v>
      </c>
      <c r="PB36" s="803" t="s">
        <v>4616</v>
      </c>
      <c r="PC36" s="803" t="s">
        <v>4616</v>
      </c>
      <c r="PD36" s="803" t="s">
        <v>4616</v>
      </c>
      <c r="PE36" s="803" t="s">
        <v>4616</v>
      </c>
      <c r="PH36" s="33">
        <f t="shared" si="18"/>
        <v>0</v>
      </c>
      <c r="PI36" s="803" t="s">
        <v>4616</v>
      </c>
      <c r="PJ36" s="803" t="s">
        <v>4616</v>
      </c>
      <c r="PK36" s="803" t="s">
        <v>4616</v>
      </c>
      <c r="PN36" s="803" t="s">
        <v>4616</v>
      </c>
    </row>
    <row r="37" spans="1:430" ht="15.6">
      <c r="A37" s="803" t="s">
        <v>4190</v>
      </c>
      <c r="F37" s="804">
        <v>0.246</v>
      </c>
      <c r="G37" s="807">
        <f t="shared" si="0"/>
        <v>0</v>
      </c>
      <c r="H37" s="808">
        <f t="shared" si="1"/>
        <v>0</v>
      </c>
      <c r="AW37" s="803">
        <f t="shared" si="2"/>
        <v>0</v>
      </c>
      <c r="DQ37" s="803">
        <f t="shared" si="3"/>
        <v>40</v>
      </c>
      <c r="DR37" s="803">
        <v>40</v>
      </c>
      <c r="EE37" s="803">
        <f t="shared" si="4"/>
        <v>8</v>
      </c>
      <c r="EF37" s="803">
        <v>8</v>
      </c>
      <c r="FG37" s="803">
        <f t="shared" si="5"/>
        <v>0</v>
      </c>
      <c r="HC37" s="803">
        <f t="shared" si="6"/>
        <v>0</v>
      </c>
      <c r="II37" s="803">
        <f t="shared" si="7"/>
        <v>0</v>
      </c>
      <c r="IN37" s="803">
        <f t="shared" si="8"/>
        <v>0</v>
      </c>
      <c r="JH37" s="803">
        <f t="shared" si="9"/>
        <v>0</v>
      </c>
      <c r="KE37" s="803">
        <f t="shared" si="10"/>
        <v>0</v>
      </c>
      <c r="LV37" s="33">
        <f t="shared" si="11"/>
        <v>0</v>
      </c>
      <c r="MF37" s="33">
        <f t="shared" si="12"/>
        <v>0</v>
      </c>
      <c r="MM37" s="33">
        <f t="shared" si="13"/>
        <v>0</v>
      </c>
      <c r="NE37" s="33">
        <f t="shared" si="14"/>
        <v>0</v>
      </c>
      <c r="NR37" s="33">
        <f t="shared" si="15"/>
        <v>0</v>
      </c>
      <c r="NS37" s="33">
        <f t="shared" si="16"/>
        <v>0</v>
      </c>
      <c r="OG37" s="33">
        <f t="shared" si="17"/>
        <v>0</v>
      </c>
      <c r="OM37" s="33" t="s">
        <v>4615</v>
      </c>
      <c r="OP37" s="803" t="s">
        <v>4616</v>
      </c>
      <c r="OR37" s="803" t="s">
        <v>4616</v>
      </c>
      <c r="OS37" s="803" t="s">
        <v>4616</v>
      </c>
      <c r="OU37" s="803" t="s">
        <v>4616</v>
      </c>
      <c r="OV37" s="803" t="s">
        <v>4616</v>
      </c>
      <c r="OW37" s="803" t="s">
        <v>4616</v>
      </c>
      <c r="OZ37" s="803" t="s">
        <v>4616</v>
      </c>
      <c r="PA37" s="803" t="s">
        <v>4616</v>
      </c>
      <c r="PB37" s="803" t="s">
        <v>4616</v>
      </c>
      <c r="PC37" s="803" t="s">
        <v>4616</v>
      </c>
      <c r="PD37" s="803" t="s">
        <v>4616</v>
      </c>
      <c r="PE37" s="803" t="s">
        <v>4616</v>
      </c>
      <c r="PH37" s="33">
        <f>SUM(PI37:PP37)</f>
        <v>0</v>
      </c>
      <c r="PI37" s="803" t="s">
        <v>4616</v>
      </c>
      <c r="PJ37" s="803" t="s">
        <v>4616</v>
      </c>
      <c r="PK37" s="803" t="s">
        <v>4616</v>
      </c>
      <c r="PN37" s="803" t="s">
        <v>4616</v>
      </c>
    </row>
    <row r="38" spans="1:430" ht="15.6">
      <c r="A38" s="803" t="s">
        <v>4191</v>
      </c>
      <c r="F38" s="804">
        <v>0.20899999999999999</v>
      </c>
      <c r="G38" s="807">
        <f t="shared" si="0"/>
        <v>0</v>
      </c>
      <c r="H38" s="808">
        <f t="shared" si="1"/>
        <v>0</v>
      </c>
      <c r="AW38" s="803">
        <f t="shared" si="2"/>
        <v>0</v>
      </c>
      <c r="DQ38" s="803">
        <f t="shared" si="3"/>
        <v>0</v>
      </c>
      <c r="EE38" s="803">
        <f t="shared" si="4"/>
        <v>0</v>
      </c>
      <c r="FG38" s="803">
        <f t="shared" si="5"/>
        <v>0</v>
      </c>
      <c r="HC38" s="803">
        <f t="shared" si="6"/>
        <v>0</v>
      </c>
      <c r="II38" s="803">
        <f t="shared" si="7"/>
        <v>0</v>
      </c>
      <c r="IN38" s="803">
        <f t="shared" si="8"/>
        <v>0</v>
      </c>
      <c r="JH38" s="803">
        <f t="shared" si="9"/>
        <v>0</v>
      </c>
      <c r="KE38" s="803">
        <f t="shared" si="10"/>
        <v>0</v>
      </c>
      <c r="LV38" s="33">
        <f t="shared" si="11"/>
        <v>0</v>
      </c>
      <c r="MF38" s="33">
        <f t="shared" si="12"/>
        <v>0</v>
      </c>
      <c r="MM38" s="33">
        <f t="shared" si="13"/>
        <v>0</v>
      </c>
      <c r="NE38" s="33">
        <f t="shared" si="14"/>
        <v>0</v>
      </c>
      <c r="NR38" s="33">
        <f t="shared" si="15"/>
        <v>0</v>
      </c>
      <c r="NS38" s="33">
        <f t="shared" si="16"/>
        <v>0</v>
      </c>
      <c r="OG38" s="33">
        <f t="shared" si="17"/>
        <v>0</v>
      </c>
      <c r="OP38" s="803" t="s">
        <v>4616</v>
      </c>
      <c r="OR38" s="803" t="s">
        <v>4616</v>
      </c>
      <c r="OS38" s="803" t="s">
        <v>4616</v>
      </c>
      <c r="OU38" s="803" t="s">
        <v>4616</v>
      </c>
      <c r="OV38" s="803" t="s">
        <v>4616</v>
      </c>
      <c r="OW38" s="803" t="s">
        <v>4616</v>
      </c>
      <c r="OX38" s="803" t="s">
        <v>4616</v>
      </c>
      <c r="OY38" s="803" t="s">
        <v>4616</v>
      </c>
      <c r="OZ38" s="803" t="s">
        <v>4616</v>
      </c>
      <c r="PA38" s="803" t="s">
        <v>4616</v>
      </c>
      <c r="PB38" s="803" t="s">
        <v>4616</v>
      </c>
      <c r="PC38" s="803" t="s">
        <v>4616</v>
      </c>
      <c r="PD38" s="803" t="s">
        <v>4616</v>
      </c>
      <c r="PE38" s="803" t="s">
        <v>4616</v>
      </c>
      <c r="PH38" s="33">
        <f t="shared" si="18"/>
        <v>0</v>
      </c>
      <c r="PI38" s="803" t="s">
        <v>4616</v>
      </c>
      <c r="PJ38" s="803" t="s">
        <v>4616</v>
      </c>
      <c r="PK38" s="803" t="s">
        <v>4616</v>
      </c>
      <c r="PN38" s="803" t="s">
        <v>4616</v>
      </c>
    </row>
    <row r="39" spans="1:430" ht="15.6">
      <c r="A39" s="803" t="s">
        <v>4192</v>
      </c>
      <c r="F39" s="804">
        <v>0.19400000000000001</v>
      </c>
      <c r="G39" s="807">
        <f t="shared" si="0"/>
        <v>45</v>
      </c>
      <c r="H39" s="808">
        <f t="shared" si="1"/>
        <v>0</v>
      </c>
      <c r="X39" s="803">
        <v>45</v>
      </c>
      <c r="AW39" s="803">
        <f t="shared" si="2"/>
        <v>20</v>
      </c>
      <c r="BK39" s="803">
        <v>20</v>
      </c>
      <c r="DQ39" s="803">
        <f t="shared" si="3"/>
        <v>0</v>
      </c>
      <c r="EE39" s="803">
        <f t="shared" si="4"/>
        <v>0</v>
      </c>
      <c r="FG39" s="803">
        <f t="shared" si="5"/>
        <v>0</v>
      </c>
      <c r="HC39" s="803">
        <f t="shared" si="6"/>
        <v>0</v>
      </c>
      <c r="II39" s="803">
        <f t="shared" si="7"/>
        <v>0</v>
      </c>
      <c r="IN39" s="803">
        <f t="shared" si="8"/>
        <v>24</v>
      </c>
      <c r="JE39" s="803">
        <v>24</v>
      </c>
      <c r="JH39" s="803">
        <f t="shared" si="9"/>
        <v>0</v>
      </c>
      <c r="KE39" s="803">
        <f t="shared" si="10"/>
        <v>0</v>
      </c>
      <c r="LV39" s="33">
        <f t="shared" si="11"/>
        <v>0</v>
      </c>
      <c r="MF39" s="33">
        <f t="shared" si="12"/>
        <v>0</v>
      </c>
      <c r="MM39" s="33">
        <f t="shared" si="13"/>
        <v>20</v>
      </c>
      <c r="MN39" s="33">
        <v>20</v>
      </c>
      <c r="NE39" s="33">
        <f t="shared" si="14"/>
        <v>0</v>
      </c>
      <c r="NF39" s="33" t="s">
        <v>4615</v>
      </c>
      <c r="NG39" s="33" t="s">
        <v>4615</v>
      </c>
      <c r="NR39" s="33">
        <f t="shared" si="15"/>
        <v>0</v>
      </c>
      <c r="NS39" s="33">
        <f t="shared" si="16"/>
        <v>0</v>
      </c>
      <c r="OG39" s="33">
        <f t="shared" si="17"/>
        <v>0</v>
      </c>
      <c r="OP39" s="803" t="s">
        <v>4616</v>
      </c>
      <c r="OR39" s="803">
        <v>31</v>
      </c>
      <c r="OS39" s="803">
        <v>16</v>
      </c>
      <c r="OU39" s="803" t="s">
        <v>4616</v>
      </c>
      <c r="OV39" s="803" t="s">
        <v>4616</v>
      </c>
      <c r="OW39" s="803" t="s">
        <v>4616</v>
      </c>
      <c r="OX39" s="803" t="s">
        <v>4616</v>
      </c>
      <c r="OY39" s="803" t="s">
        <v>4616</v>
      </c>
      <c r="OZ39" s="803" t="s">
        <v>4616</v>
      </c>
      <c r="PA39" s="803" t="s">
        <v>4616</v>
      </c>
      <c r="PB39" s="803" t="s">
        <v>4616</v>
      </c>
      <c r="PC39" s="803" t="s">
        <v>4616</v>
      </c>
      <c r="PD39" s="803" t="s">
        <v>4616</v>
      </c>
      <c r="PE39" s="803" t="s">
        <v>4616</v>
      </c>
      <c r="PH39" s="33">
        <f t="shared" si="18"/>
        <v>0</v>
      </c>
      <c r="PI39" s="803" t="s">
        <v>4616</v>
      </c>
      <c r="PJ39" s="803" t="s">
        <v>4616</v>
      </c>
      <c r="PK39" s="803" t="s">
        <v>4616</v>
      </c>
      <c r="PN39" s="803" t="s">
        <v>4616</v>
      </c>
    </row>
    <row r="40" spans="1:430" ht="15.6"/>
  </sheetData>
  <autoFilter ref="A1:OH1" xr:uid="{00000000-0009-0000-0000-000024000000}">
    <sortState xmlns:xlrd2="http://schemas.microsoft.com/office/spreadsheetml/2017/richdata2" ref="A2:OH39">
      <sortCondition descending="1" ref="F1"/>
    </sortState>
  </autoFilter>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Z29"/>
  <sheetViews>
    <sheetView zoomScaleNormal="100" workbookViewId="0">
      <pane xSplit="1" ySplit="1" topLeftCell="B2" activePane="bottomRight" state="frozen"/>
      <selection pane="bottomRight"/>
      <selection pane="bottomLeft" activeCell="D11" sqref="D11"/>
      <selection pane="topRight" activeCell="D11" sqref="D11"/>
    </sheetView>
  </sheetViews>
  <sheetFormatPr defaultColWidth="8.5" defaultRowHeight="15" customHeight="1"/>
  <cols>
    <col min="1" max="1" width="7" style="628" bestFit="1" customWidth="1"/>
    <col min="2" max="2" width="64" style="628" customWidth="1"/>
    <col min="3" max="3" width="19" style="633" customWidth="1"/>
    <col min="4" max="4" width="19" style="634" customWidth="1"/>
    <col min="5" max="5" width="21.5" style="628" bestFit="1" customWidth="1"/>
    <col min="6" max="6" width="22" style="628" bestFit="1" customWidth="1"/>
    <col min="7" max="7" width="59" style="628" customWidth="1"/>
    <col min="8" max="8" width="43" style="632" customWidth="1"/>
    <col min="9" max="9" width="15" style="632" customWidth="1"/>
    <col min="10" max="10" width="19" style="628" bestFit="1" customWidth="1"/>
    <col min="11" max="11" width="19.5" style="628" bestFit="1" customWidth="1"/>
    <col min="12" max="12" width="13" style="628" bestFit="1" customWidth="1"/>
    <col min="13" max="13" width="18.5" style="628" bestFit="1" customWidth="1"/>
    <col min="14" max="14" width="21.5" style="628" bestFit="1" customWidth="1"/>
    <col min="15" max="15" width="21" style="628" bestFit="1" customWidth="1"/>
    <col min="16" max="16" width="34.5" style="628" bestFit="1" customWidth="1"/>
    <col min="17" max="17" width="12.5" style="632" bestFit="1" customWidth="1"/>
    <col min="18" max="18" width="25.5" style="628" bestFit="1" customWidth="1"/>
    <col min="19" max="19" width="15.5" style="628" bestFit="1" customWidth="1"/>
    <col min="20" max="22" width="16.5" style="628" bestFit="1" customWidth="1"/>
    <col min="23" max="25" width="8.5" style="628"/>
    <col min="26" max="26" width="13.5" style="628" bestFit="1" customWidth="1"/>
    <col min="27" max="16384" width="8.5" style="628"/>
  </cols>
  <sheetData>
    <row r="1" spans="1:26" s="620" customFormat="1" ht="15" customHeight="1">
      <c r="A1" s="618" t="s">
        <v>180</v>
      </c>
      <c r="B1" s="619" t="s">
        <v>2893</v>
      </c>
      <c r="C1" s="619" t="s">
        <v>182</v>
      </c>
      <c r="D1" s="619" t="s">
        <v>183</v>
      </c>
      <c r="E1" s="619" t="s">
        <v>184</v>
      </c>
      <c r="F1" s="619" t="s">
        <v>185</v>
      </c>
      <c r="G1" s="619" t="s">
        <v>2894</v>
      </c>
      <c r="H1" s="619" t="s">
        <v>2895</v>
      </c>
      <c r="I1" s="619" t="s">
        <v>2896</v>
      </c>
      <c r="J1" s="619" t="s">
        <v>187</v>
      </c>
      <c r="K1" s="619" t="s">
        <v>186</v>
      </c>
      <c r="L1" s="619" t="s">
        <v>2897</v>
      </c>
      <c r="M1" s="619" t="s">
        <v>192</v>
      </c>
      <c r="N1" s="619" t="s">
        <v>194</v>
      </c>
      <c r="O1" s="619" t="s">
        <v>2898</v>
      </c>
      <c r="P1" s="619" t="s">
        <v>2899</v>
      </c>
      <c r="Q1" s="619" t="s">
        <v>2900</v>
      </c>
      <c r="R1" s="619" t="s">
        <v>197</v>
      </c>
      <c r="S1" s="619" t="s">
        <v>198</v>
      </c>
      <c r="T1" s="619" t="s">
        <v>2901</v>
      </c>
      <c r="U1" s="619" t="s">
        <v>201</v>
      </c>
      <c r="V1" s="619" t="s">
        <v>202</v>
      </c>
      <c r="W1" s="619" t="s">
        <v>203</v>
      </c>
    </row>
    <row r="2" spans="1:26" s="51" customFormat="1" ht="15" customHeight="1">
      <c r="A2" s="544" t="s">
        <v>2902</v>
      </c>
      <c r="B2" s="545" t="s">
        <v>2903</v>
      </c>
      <c r="C2" s="822">
        <v>44629</v>
      </c>
      <c r="D2" s="545" t="s">
        <v>366</v>
      </c>
      <c r="E2" s="545" t="s">
        <v>2904</v>
      </c>
      <c r="F2" s="545" t="s">
        <v>2905</v>
      </c>
      <c r="G2" s="545" t="s">
        <v>232</v>
      </c>
      <c r="H2" s="545" t="s">
        <v>232</v>
      </c>
      <c r="I2" s="545" t="s">
        <v>232</v>
      </c>
      <c r="J2" s="821">
        <v>2000000000</v>
      </c>
      <c r="K2" s="545" t="s">
        <v>314</v>
      </c>
      <c r="L2" s="545" t="s">
        <v>232</v>
      </c>
      <c r="M2" s="545" t="s">
        <v>232</v>
      </c>
      <c r="N2" s="545" t="s">
        <v>232</v>
      </c>
      <c r="O2" s="545" t="s">
        <v>232</v>
      </c>
      <c r="P2" s="545" t="s">
        <v>232</v>
      </c>
      <c r="Q2" s="545" t="s">
        <v>232</v>
      </c>
      <c r="R2" s="821">
        <f>J2</f>
        <v>2000000000</v>
      </c>
      <c r="S2" s="821">
        <f>R2/VLOOKUP(K2,'Exchange rates'!$B$2:$C$16,2,0)</f>
        <v>1993024414.5490782</v>
      </c>
      <c r="T2" s="545" t="s">
        <v>233</v>
      </c>
      <c r="U2" s="50" t="s">
        <v>2906</v>
      </c>
      <c r="V2" s="50" t="s">
        <v>2907</v>
      </c>
      <c r="W2" s="50" t="s">
        <v>2908</v>
      </c>
    </row>
    <row r="3" spans="1:26" s="51" customFormat="1" ht="15" customHeight="1">
      <c r="A3" s="544" t="s">
        <v>2909</v>
      </c>
      <c r="B3" s="545" t="s">
        <v>2903</v>
      </c>
      <c r="C3" s="822">
        <v>44858</v>
      </c>
      <c r="D3" s="545" t="s">
        <v>366</v>
      </c>
      <c r="E3" s="545" t="s">
        <v>738</v>
      </c>
      <c r="F3" s="545" t="s">
        <v>2910</v>
      </c>
      <c r="G3" s="545" t="s">
        <v>232</v>
      </c>
      <c r="H3" s="545" t="s">
        <v>232</v>
      </c>
      <c r="I3" s="545" t="s">
        <v>314</v>
      </c>
      <c r="J3" s="821">
        <v>3000000000</v>
      </c>
      <c r="K3" s="545" t="s">
        <v>314</v>
      </c>
      <c r="L3" s="545" t="s">
        <v>232</v>
      </c>
      <c r="M3" s="545" t="s">
        <v>232</v>
      </c>
      <c r="N3" s="545" t="s">
        <v>232</v>
      </c>
      <c r="O3" s="545" t="s">
        <v>232</v>
      </c>
      <c r="P3" s="545" t="s">
        <v>232</v>
      </c>
      <c r="Q3" s="545" t="s">
        <v>232</v>
      </c>
      <c r="R3" s="821">
        <v>3000000000</v>
      </c>
      <c r="S3" s="821">
        <f>R3/VLOOKUP(K3,'Exchange rates'!$B$2:$C$16,2,0)</f>
        <v>2989536621.823617</v>
      </c>
      <c r="T3" s="545" t="s">
        <v>233</v>
      </c>
      <c r="U3" s="546" t="s">
        <v>2911</v>
      </c>
      <c r="V3" s="50" t="s">
        <v>232</v>
      </c>
      <c r="W3" s="50" t="s">
        <v>232</v>
      </c>
    </row>
    <row r="4" spans="1:26" s="51" customFormat="1" ht="15" customHeight="1">
      <c r="A4" s="547" t="s">
        <v>2912</v>
      </c>
      <c r="B4" s="545" t="s">
        <v>2913</v>
      </c>
      <c r="C4" s="822">
        <v>44629</v>
      </c>
      <c r="D4" s="545" t="s">
        <v>366</v>
      </c>
      <c r="E4" s="545" t="s">
        <v>738</v>
      </c>
      <c r="F4" s="545" t="s">
        <v>2914</v>
      </c>
      <c r="G4" s="545" t="s">
        <v>232</v>
      </c>
      <c r="H4" s="545" t="s">
        <v>232</v>
      </c>
      <c r="I4" s="545" t="s">
        <v>232</v>
      </c>
      <c r="J4" s="821">
        <v>1400000000</v>
      </c>
      <c r="K4" s="545" t="s">
        <v>314</v>
      </c>
      <c r="L4" s="545" t="s">
        <v>232</v>
      </c>
      <c r="M4" s="545" t="s">
        <v>232</v>
      </c>
      <c r="N4" s="545" t="s">
        <v>232</v>
      </c>
      <c r="O4" s="545" t="s">
        <v>232</v>
      </c>
      <c r="P4" s="545" t="s">
        <v>232</v>
      </c>
      <c r="Q4" s="545" t="s">
        <v>232</v>
      </c>
      <c r="R4" s="821">
        <f>J4</f>
        <v>1400000000</v>
      </c>
      <c r="S4" s="821">
        <f>R4/VLOOKUP(K4,'Exchange rates'!$B$2:$C$16,2,0)</f>
        <v>1395117090.1843548</v>
      </c>
      <c r="T4" s="545" t="s">
        <v>233</v>
      </c>
      <c r="U4" s="50" t="s">
        <v>2915</v>
      </c>
      <c r="V4" s="50" t="s">
        <v>2916</v>
      </c>
      <c r="W4" s="545" t="s">
        <v>232</v>
      </c>
      <c r="Z4" s="621"/>
    </row>
    <row r="5" spans="1:26" s="51" customFormat="1" ht="15" customHeight="1">
      <c r="A5" s="547" t="s">
        <v>2917</v>
      </c>
      <c r="B5" s="545" t="s">
        <v>2913</v>
      </c>
      <c r="C5" s="822">
        <v>44659</v>
      </c>
      <c r="D5" s="545" t="s">
        <v>366</v>
      </c>
      <c r="E5" s="545" t="s">
        <v>2918</v>
      </c>
      <c r="F5" s="545" t="s">
        <v>2919</v>
      </c>
      <c r="G5" s="545" t="s">
        <v>452</v>
      </c>
      <c r="H5" s="821">
        <v>1000000000</v>
      </c>
      <c r="I5" s="548" t="s">
        <v>455</v>
      </c>
      <c r="J5" s="821">
        <v>1000000000</v>
      </c>
      <c r="K5" s="545" t="s">
        <v>455</v>
      </c>
      <c r="L5" s="545" t="s">
        <v>232</v>
      </c>
      <c r="M5" s="545" t="s">
        <v>232</v>
      </c>
      <c r="N5" s="545" t="s">
        <v>232</v>
      </c>
      <c r="O5" s="545" t="s">
        <v>232</v>
      </c>
      <c r="P5" s="545" t="s">
        <v>232</v>
      </c>
      <c r="Q5" s="545" t="s">
        <v>232</v>
      </c>
      <c r="R5" s="821">
        <f>J5</f>
        <v>1000000000</v>
      </c>
      <c r="S5" s="821">
        <f>R5/VLOOKUP(K5,'Exchange rates'!$B$2:$C$16,2,0)</f>
        <v>736648250.46040523</v>
      </c>
      <c r="T5" s="545" t="s">
        <v>233</v>
      </c>
      <c r="U5" s="50" t="s">
        <v>2920</v>
      </c>
      <c r="V5" s="50" t="s">
        <v>2921</v>
      </c>
      <c r="W5" s="50" t="s">
        <v>2922</v>
      </c>
    </row>
    <row r="6" spans="1:26" s="51" customFormat="1" ht="15" customHeight="1">
      <c r="A6" s="547" t="s">
        <v>2923</v>
      </c>
      <c r="B6" s="545" t="s">
        <v>2913</v>
      </c>
      <c r="C6" s="822">
        <v>44841</v>
      </c>
      <c r="D6" s="545" t="s">
        <v>366</v>
      </c>
      <c r="E6" s="545" t="s">
        <v>738</v>
      </c>
      <c r="F6" s="545" t="s">
        <v>2924</v>
      </c>
      <c r="G6" s="545" t="s">
        <v>232</v>
      </c>
      <c r="H6" s="821">
        <v>1300000000</v>
      </c>
      <c r="I6" s="548" t="s">
        <v>314</v>
      </c>
      <c r="J6" s="821">
        <v>1300000000</v>
      </c>
      <c r="K6" s="545" t="s">
        <v>314</v>
      </c>
      <c r="L6" s="545" t="s">
        <v>232</v>
      </c>
      <c r="M6" s="545" t="s">
        <v>232</v>
      </c>
      <c r="N6" s="545" t="s">
        <v>232</v>
      </c>
      <c r="O6" s="545" t="s">
        <v>232</v>
      </c>
      <c r="P6" s="545" t="s">
        <v>232</v>
      </c>
      <c r="Q6" s="545" t="s">
        <v>232</v>
      </c>
      <c r="R6" s="821">
        <f>J6</f>
        <v>1300000000</v>
      </c>
      <c r="S6" s="821">
        <f>R6/VLOOKUP(K6,'Exchange rates'!$B$2:$C$16,2,0)</f>
        <v>1295465869.4569008</v>
      </c>
      <c r="T6" s="545" t="s">
        <v>233</v>
      </c>
      <c r="U6" s="549" t="s">
        <v>2925</v>
      </c>
      <c r="V6" s="52" t="s">
        <v>232</v>
      </c>
      <c r="W6" s="52" t="s">
        <v>232</v>
      </c>
    </row>
    <row r="7" spans="1:26" s="51" customFormat="1" ht="15" customHeight="1">
      <c r="A7" s="547" t="s">
        <v>2926</v>
      </c>
      <c r="B7" s="545" t="s">
        <v>2927</v>
      </c>
      <c r="C7" s="822" t="s">
        <v>2928</v>
      </c>
      <c r="D7" s="545" t="s">
        <v>228</v>
      </c>
      <c r="E7" s="545" t="s">
        <v>2929</v>
      </c>
      <c r="F7" s="545" t="s">
        <v>2930</v>
      </c>
      <c r="G7" s="545" t="s">
        <v>232</v>
      </c>
      <c r="H7" s="545" t="s">
        <v>232</v>
      </c>
      <c r="I7" s="545" t="s">
        <v>232</v>
      </c>
      <c r="J7" s="545" t="s">
        <v>232</v>
      </c>
      <c r="K7" s="545" t="s">
        <v>232</v>
      </c>
      <c r="L7" s="545" t="s">
        <v>232</v>
      </c>
      <c r="M7" s="545" t="s">
        <v>232</v>
      </c>
      <c r="N7" s="545" t="s">
        <v>232</v>
      </c>
      <c r="O7" s="545" t="s">
        <v>232</v>
      </c>
      <c r="P7" s="545" t="s">
        <v>232</v>
      </c>
      <c r="Q7" s="545" t="s">
        <v>232</v>
      </c>
      <c r="R7" s="545" t="s">
        <v>232</v>
      </c>
      <c r="S7" s="545" t="s">
        <v>301</v>
      </c>
      <c r="T7" s="545" t="s">
        <v>233</v>
      </c>
      <c r="U7" s="52" t="s">
        <v>2931</v>
      </c>
      <c r="V7" s="622" t="s">
        <v>232</v>
      </c>
      <c r="W7" s="622" t="s">
        <v>232</v>
      </c>
    </row>
    <row r="8" spans="1:26" s="51" customFormat="1" ht="15" customHeight="1">
      <c r="A8" s="623" t="s">
        <v>2932</v>
      </c>
      <c r="B8" s="545" t="s">
        <v>2933</v>
      </c>
      <c r="C8" s="822">
        <v>44616</v>
      </c>
      <c r="D8" s="545" t="s">
        <v>366</v>
      </c>
      <c r="E8" s="545" t="s">
        <v>2934</v>
      </c>
      <c r="F8" s="545" t="s">
        <v>2935</v>
      </c>
      <c r="G8" s="545" t="s">
        <v>232</v>
      </c>
      <c r="H8" s="545" t="s">
        <v>232</v>
      </c>
      <c r="I8" s="545" t="s">
        <v>232</v>
      </c>
      <c r="J8" s="821">
        <v>20000000</v>
      </c>
      <c r="K8" s="545" t="s">
        <v>314</v>
      </c>
      <c r="L8" s="545" t="s">
        <v>232</v>
      </c>
      <c r="M8" s="545" t="s">
        <v>232</v>
      </c>
      <c r="N8" s="545" t="s">
        <v>232</v>
      </c>
      <c r="O8" s="545" t="s">
        <v>232</v>
      </c>
      <c r="P8" s="545" t="s">
        <v>232</v>
      </c>
      <c r="Q8" s="545" t="s">
        <v>232</v>
      </c>
      <c r="R8" s="821">
        <f>J8</f>
        <v>20000000</v>
      </c>
      <c r="S8" s="821">
        <f>R8/VLOOKUP(K8,'Exchange rates'!$B$2:$C$16,2,0)</f>
        <v>19930244.14549078</v>
      </c>
      <c r="T8" s="622" t="s">
        <v>233</v>
      </c>
      <c r="U8" s="53" t="s">
        <v>2936</v>
      </c>
      <c r="V8" s="622" t="s">
        <v>232</v>
      </c>
      <c r="W8" s="622" t="s">
        <v>232</v>
      </c>
    </row>
    <row r="9" spans="1:26" s="51" customFormat="1" ht="15" customHeight="1">
      <c r="A9" s="544" t="s">
        <v>2937</v>
      </c>
      <c r="B9" s="545" t="s">
        <v>2933</v>
      </c>
      <c r="C9" s="822">
        <v>44621</v>
      </c>
      <c r="D9" s="545" t="s">
        <v>366</v>
      </c>
      <c r="E9" s="545" t="s">
        <v>330</v>
      </c>
      <c r="F9" s="545" t="s">
        <v>2938</v>
      </c>
      <c r="G9" s="545" t="s">
        <v>232</v>
      </c>
      <c r="H9" s="545" t="s">
        <v>232</v>
      </c>
      <c r="I9" s="545" t="s">
        <v>232</v>
      </c>
      <c r="J9" s="821">
        <v>20000000</v>
      </c>
      <c r="K9" s="545" t="s">
        <v>314</v>
      </c>
      <c r="L9" s="545" t="s">
        <v>232</v>
      </c>
      <c r="M9" s="545" t="s">
        <v>232</v>
      </c>
      <c r="N9" s="545" t="s">
        <v>232</v>
      </c>
      <c r="O9" s="545" t="s">
        <v>232</v>
      </c>
      <c r="P9" s="545" t="s">
        <v>232</v>
      </c>
      <c r="Q9" s="545" t="s">
        <v>232</v>
      </c>
      <c r="R9" s="821">
        <f>J9</f>
        <v>20000000</v>
      </c>
      <c r="S9" s="821">
        <f>R9/VLOOKUP(K9,'Exchange rates'!$B$2:$C$16,2,0)</f>
        <v>19930244.14549078</v>
      </c>
      <c r="T9" s="624" t="s">
        <v>233</v>
      </c>
      <c r="U9" s="53" t="s">
        <v>2936</v>
      </c>
      <c r="V9" s="622" t="s">
        <v>232</v>
      </c>
      <c r="W9" s="545" t="s">
        <v>232</v>
      </c>
    </row>
    <row r="10" spans="1:26" s="51" customFormat="1" ht="15" customHeight="1">
      <c r="A10" s="816" t="s">
        <v>2939</v>
      </c>
      <c r="B10" s="816" t="s">
        <v>2933</v>
      </c>
      <c r="C10" s="822">
        <v>44621</v>
      </c>
      <c r="D10" s="816" t="s">
        <v>366</v>
      </c>
      <c r="E10" s="816" t="s">
        <v>2934</v>
      </c>
      <c r="F10" s="816" t="s">
        <v>2940</v>
      </c>
      <c r="G10" s="545" t="s">
        <v>232</v>
      </c>
      <c r="H10" s="545" t="s">
        <v>232</v>
      </c>
      <c r="I10" s="545" t="s">
        <v>232</v>
      </c>
      <c r="J10" s="817">
        <v>18000000</v>
      </c>
      <c r="K10" s="816" t="s">
        <v>314</v>
      </c>
      <c r="L10" s="816" t="s">
        <v>232</v>
      </c>
      <c r="M10" s="816" t="s">
        <v>232</v>
      </c>
      <c r="N10" s="816" t="s">
        <v>232</v>
      </c>
      <c r="O10" s="816" t="s">
        <v>232</v>
      </c>
      <c r="P10" s="816" t="s">
        <v>232</v>
      </c>
      <c r="Q10" s="816" t="s">
        <v>232</v>
      </c>
      <c r="R10" s="821">
        <f>J10</f>
        <v>18000000</v>
      </c>
      <c r="S10" s="821">
        <f>R10/VLOOKUP(K10,'Exchange rates'!$B$2:$C$16,2,0)</f>
        <v>17937219.730941702</v>
      </c>
      <c r="T10" s="625" t="s">
        <v>233</v>
      </c>
      <c r="U10" s="53" t="s">
        <v>2936</v>
      </c>
      <c r="V10" s="53" t="s">
        <v>2941</v>
      </c>
      <c r="W10" s="816" t="s">
        <v>232</v>
      </c>
    </row>
    <row r="11" spans="1:26" s="51" customFormat="1" ht="15" customHeight="1">
      <c r="A11" s="856" t="s">
        <v>2942</v>
      </c>
      <c r="B11" s="856" t="s">
        <v>2943</v>
      </c>
      <c r="C11" s="868">
        <v>44627</v>
      </c>
      <c r="D11" s="856" t="s">
        <v>366</v>
      </c>
      <c r="E11" s="856" t="s">
        <v>2944</v>
      </c>
      <c r="F11" s="856" t="s">
        <v>2945</v>
      </c>
      <c r="G11" s="816" t="s">
        <v>2946</v>
      </c>
      <c r="H11" s="817">
        <v>350000000</v>
      </c>
      <c r="I11" s="817" t="s">
        <v>314</v>
      </c>
      <c r="J11" s="872">
        <v>489000000</v>
      </c>
      <c r="K11" s="856" t="s">
        <v>314</v>
      </c>
      <c r="L11" s="816" t="s">
        <v>232</v>
      </c>
      <c r="M11" s="816" t="s">
        <v>232</v>
      </c>
      <c r="N11" s="816" t="s">
        <v>232</v>
      </c>
      <c r="O11" s="816" t="s">
        <v>232</v>
      </c>
      <c r="P11" s="816" t="s">
        <v>232</v>
      </c>
      <c r="Q11" s="816" t="s">
        <v>232</v>
      </c>
      <c r="R11" s="870">
        <f t="shared" ref="R11" si="0">J11</f>
        <v>489000000</v>
      </c>
      <c r="S11" s="863">
        <f>R11/VLOOKUP(K11,'Exchange rates'!$B$2:$C$16,2,0)</f>
        <v>487294469.35724962</v>
      </c>
      <c r="T11" s="866" t="s">
        <v>233</v>
      </c>
      <c r="U11" s="861" t="s">
        <v>833</v>
      </c>
      <c r="V11" s="861" t="s">
        <v>2915</v>
      </c>
      <c r="W11" s="874" t="s">
        <v>232</v>
      </c>
    </row>
    <row r="12" spans="1:26" s="51" customFormat="1" ht="15" customHeight="1">
      <c r="A12" s="856"/>
      <c r="B12" s="856"/>
      <c r="C12" s="868"/>
      <c r="D12" s="856"/>
      <c r="E12" s="856"/>
      <c r="F12" s="856"/>
      <c r="G12" s="816" t="s">
        <v>1687</v>
      </c>
      <c r="H12" s="817">
        <v>89000000</v>
      </c>
      <c r="I12" s="817" t="s">
        <v>314</v>
      </c>
      <c r="J12" s="872"/>
      <c r="K12" s="856"/>
      <c r="L12" s="816" t="s">
        <v>232</v>
      </c>
      <c r="M12" s="816" t="s">
        <v>232</v>
      </c>
      <c r="N12" s="816" t="s">
        <v>232</v>
      </c>
      <c r="O12" s="816" t="s">
        <v>232</v>
      </c>
      <c r="P12" s="816" t="s">
        <v>232</v>
      </c>
      <c r="Q12" s="816" t="s">
        <v>232</v>
      </c>
      <c r="R12" s="870"/>
      <c r="S12" s="864"/>
      <c r="T12" s="866"/>
      <c r="U12" s="861"/>
      <c r="V12" s="861"/>
      <c r="W12" s="874"/>
    </row>
    <row r="13" spans="1:26" s="51" customFormat="1" ht="15" customHeight="1">
      <c r="A13" s="857"/>
      <c r="B13" s="857"/>
      <c r="C13" s="869"/>
      <c r="D13" s="857"/>
      <c r="E13" s="857"/>
      <c r="F13" s="857"/>
      <c r="G13" s="816" t="s">
        <v>2258</v>
      </c>
      <c r="H13" s="817">
        <v>50000000</v>
      </c>
      <c r="I13" s="817" t="s">
        <v>314</v>
      </c>
      <c r="J13" s="873"/>
      <c r="K13" s="857"/>
      <c r="L13" s="816" t="s">
        <v>232</v>
      </c>
      <c r="M13" s="816" t="s">
        <v>232</v>
      </c>
      <c r="N13" s="816" t="s">
        <v>232</v>
      </c>
      <c r="O13" s="816" t="s">
        <v>232</v>
      </c>
      <c r="P13" s="816" t="s">
        <v>232</v>
      </c>
      <c r="Q13" s="816" t="s">
        <v>232</v>
      </c>
      <c r="R13" s="871"/>
      <c r="S13" s="865"/>
      <c r="T13" s="867"/>
      <c r="U13" s="862"/>
      <c r="V13" s="862"/>
      <c r="W13" s="874"/>
    </row>
    <row r="14" spans="1:26" s="51" customFormat="1" ht="15" customHeight="1">
      <c r="A14" s="856" t="s">
        <v>2947</v>
      </c>
      <c r="B14" s="856" t="s">
        <v>2943</v>
      </c>
      <c r="C14" s="858">
        <v>44627</v>
      </c>
      <c r="D14" s="875" t="s">
        <v>366</v>
      </c>
      <c r="E14" s="875" t="s">
        <v>2948</v>
      </c>
      <c r="F14" s="856" t="s">
        <v>2949</v>
      </c>
      <c r="G14" s="816" t="s">
        <v>2392</v>
      </c>
      <c r="H14" s="817">
        <v>100000000</v>
      </c>
      <c r="I14" s="626" t="s">
        <v>314</v>
      </c>
      <c r="J14" s="875">
        <v>134000000</v>
      </c>
      <c r="K14" s="875" t="s">
        <v>314</v>
      </c>
      <c r="L14" s="863" t="s">
        <v>232</v>
      </c>
      <c r="M14" s="863" t="s">
        <v>232</v>
      </c>
      <c r="N14" s="863" t="s">
        <v>232</v>
      </c>
      <c r="O14" s="863" t="s">
        <v>232</v>
      </c>
      <c r="P14" s="863" t="s">
        <v>232</v>
      </c>
      <c r="Q14" s="863" t="s">
        <v>232</v>
      </c>
      <c r="R14" s="863">
        <f>J14</f>
        <v>134000000</v>
      </c>
      <c r="S14" s="863">
        <f>R14/VLOOKUP(K14,'Exchange rates'!$B$2:$C$16,2,0)</f>
        <v>133532635.77478823</v>
      </c>
      <c r="T14" s="866" t="s">
        <v>233</v>
      </c>
      <c r="U14" s="861" t="s">
        <v>833</v>
      </c>
      <c r="V14" s="861" t="s">
        <v>368</v>
      </c>
      <c r="W14" s="856" t="s">
        <v>232</v>
      </c>
    </row>
    <row r="15" spans="1:26" ht="15" customHeight="1">
      <c r="A15" s="856"/>
      <c r="B15" s="856"/>
      <c r="C15" s="859"/>
      <c r="D15" s="876"/>
      <c r="E15" s="876"/>
      <c r="F15" s="856"/>
      <c r="G15" s="816" t="s">
        <v>767</v>
      </c>
      <c r="H15" s="817">
        <v>22000000</v>
      </c>
      <c r="I15" s="627" t="s">
        <v>314</v>
      </c>
      <c r="J15" s="876"/>
      <c r="K15" s="876"/>
      <c r="L15" s="864"/>
      <c r="M15" s="864"/>
      <c r="N15" s="864"/>
      <c r="O15" s="864"/>
      <c r="P15" s="864"/>
      <c r="Q15" s="864"/>
      <c r="R15" s="864"/>
      <c r="S15" s="864"/>
      <c r="T15" s="866"/>
      <c r="U15" s="861"/>
      <c r="V15" s="861"/>
      <c r="W15" s="856"/>
    </row>
    <row r="16" spans="1:26" ht="15" customHeight="1">
      <c r="A16" s="856"/>
      <c r="B16" s="856"/>
      <c r="C16" s="859"/>
      <c r="D16" s="876"/>
      <c r="E16" s="876"/>
      <c r="F16" s="856"/>
      <c r="G16" s="816" t="s">
        <v>2950</v>
      </c>
      <c r="H16" s="817">
        <v>12000000</v>
      </c>
      <c r="I16" s="627" t="s">
        <v>314</v>
      </c>
      <c r="J16" s="876"/>
      <c r="K16" s="876"/>
      <c r="L16" s="865"/>
      <c r="M16" s="865"/>
      <c r="N16" s="865"/>
      <c r="O16" s="865"/>
      <c r="P16" s="865"/>
      <c r="Q16" s="865"/>
      <c r="R16" s="865"/>
      <c r="S16" s="865"/>
      <c r="T16" s="867"/>
      <c r="U16" s="861"/>
      <c r="V16" s="861"/>
      <c r="W16" s="856"/>
    </row>
    <row r="17" spans="1:26" s="51" customFormat="1" ht="15" customHeight="1">
      <c r="A17" s="856"/>
      <c r="B17" s="856"/>
      <c r="C17" s="859"/>
      <c r="D17" s="876"/>
      <c r="E17" s="876"/>
      <c r="F17" s="856"/>
      <c r="G17" s="816" t="s">
        <v>1562</v>
      </c>
      <c r="H17" s="817">
        <v>4000000</v>
      </c>
      <c r="I17" s="627"/>
      <c r="J17" s="876"/>
      <c r="K17" s="876"/>
      <c r="L17" s="863"/>
      <c r="M17" s="863"/>
      <c r="N17" s="863"/>
      <c r="O17" s="863"/>
      <c r="P17" s="863"/>
      <c r="Q17" s="863"/>
      <c r="R17" s="817">
        <v>18000000</v>
      </c>
      <c r="S17" s="819">
        <v>16360662</v>
      </c>
      <c r="T17" s="866"/>
      <c r="U17" s="861"/>
      <c r="V17" s="856"/>
      <c r="W17" s="856"/>
    </row>
    <row r="18" spans="1:26" s="51" customFormat="1" ht="15" customHeight="1">
      <c r="A18" s="856"/>
      <c r="B18" s="856"/>
      <c r="C18" s="859"/>
      <c r="D18" s="876"/>
      <c r="E18" s="876"/>
      <c r="F18" s="856"/>
      <c r="G18" s="816" t="s">
        <v>2951</v>
      </c>
      <c r="H18" s="817">
        <v>4000000</v>
      </c>
      <c r="I18" s="627"/>
      <c r="J18" s="876"/>
      <c r="K18" s="876"/>
      <c r="L18" s="864"/>
      <c r="M18" s="864"/>
      <c r="N18" s="864"/>
      <c r="O18" s="864"/>
      <c r="P18" s="864"/>
      <c r="Q18" s="864"/>
      <c r="R18" s="817">
        <v>18000000</v>
      </c>
      <c r="S18" s="819">
        <v>16360662</v>
      </c>
      <c r="T18" s="866"/>
      <c r="U18" s="861"/>
      <c r="V18" s="856"/>
      <c r="W18" s="856"/>
    </row>
    <row r="19" spans="1:26" ht="15" customHeight="1">
      <c r="A19" s="857"/>
      <c r="B19" s="857"/>
      <c r="C19" s="860"/>
      <c r="D19" s="877"/>
      <c r="E19" s="877"/>
      <c r="F19" s="857"/>
      <c r="G19" s="629" t="s">
        <v>312</v>
      </c>
      <c r="H19" s="630">
        <v>11000000</v>
      </c>
      <c r="I19" s="631"/>
      <c r="J19" s="877"/>
      <c r="K19" s="877"/>
      <c r="L19" s="865"/>
      <c r="M19" s="865"/>
      <c r="N19" s="865"/>
      <c r="O19" s="865"/>
      <c r="P19" s="865"/>
      <c r="Q19" s="865"/>
      <c r="R19" s="817">
        <v>18000000</v>
      </c>
      <c r="S19" s="819">
        <v>16360662</v>
      </c>
      <c r="T19" s="867"/>
      <c r="U19" s="862"/>
      <c r="V19" s="857"/>
      <c r="W19" s="857"/>
    </row>
    <row r="20" spans="1:26" ht="15" customHeight="1">
      <c r="A20" s="547" t="s">
        <v>2952</v>
      </c>
      <c r="B20" s="545" t="s">
        <v>2943</v>
      </c>
      <c r="C20" s="822">
        <v>44627</v>
      </c>
      <c r="D20" s="545" t="s">
        <v>366</v>
      </c>
      <c r="E20" s="545" t="s">
        <v>2953</v>
      </c>
      <c r="F20" s="545" t="s">
        <v>2954</v>
      </c>
      <c r="G20" s="545" t="s">
        <v>1471</v>
      </c>
      <c r="H20" s="821">
        <v>100000000</v>
      </c>
      <c r="I20" s="821" t="s">
        <v>314</v>
      </c>
      <c r="J20" s="821">
        <v>100000000</v>
      </c>
      <c r="K20" s="545" t="s">
        <v>314</v>
      </c>
      <c r="L20" s="545" t="s">
        <v>232</v>
      </c>
      <c r="M20" s="545" t="s">
        <v>232</v>
      </c>
      <c r="N20" s="545" t="s">
        <v>232</v>
      </c>
      <c r="O20" s="545" t="s">
        <v>232</v>
      </c>
      <c r="P20" s="545" t="s">
        <v>232</v>
      </c>
      <c r="Q20" s="545" t="s">
        <v>232</v>
      </c>
      <c r="R20" s="821">
        <f>J20</f>
        <v>100000000</v>
      </c>
      <c r="S20" s="821">
        <f>R20/VLOOKUP(K20,'Exchange rates'!$B$2:$C$16,2,0)</f>
        <v>99651220.727453902</v>
      </c>
      <c r="T20" s="545" t="s">
        <v>233</v>
      </c>
      <c r="U20" s="50" t="s">
        <v>833</v>
      </c>
      <c r="V20" s="545" t="s">
        <v>232</v>
      </c>
      <c r="W20" s="545" t="s">
        <v>232</v>
      </c>
    </row>
    <row r="21" spans="1:26" ht="15" customHeight="1">
      <c r="A21" s="816" t="s">
        <v>2955</v>
      </c>
      <c r="B21" s="816" t="s">
        <v>2943</v>
      </c>
      <c r="C21" s="818">
        <v>44634</v>
      </c>
      <c r="D21" s="816" t="s">
        <v>366</v>
      </c>
      <c r="E21" s="816" t="s">
        <v>2956</v>
      </c>
      <c r="F21" s="816" t="s">
        <v>2957</v>
      </c>
      <c r="G21" s="545" t="s">
        <v>232</v>
      </c>
      <c r="H21" s="545" t="s">
        <v>232</v>
      </c>
      <c r="I21" s="545" t="s">
        <v>232</v>
      </c>
      <c r="J21" s="817">
        <v>200000000</v>
      </c>
      <c r="K21" s="816" t="s">
        <v>314</v>
      </c>
      <c r="L21" s="816" t="s">
        <v>232</v>
      </c>
      <c r="M21" s="816" t="s">
        <v>232</v>
      </c>
      <c r="N21" s="816" t="s">
        <v>232</v>
      </c>
      <c r="O21" s="816" t="s">
        <v>232</v>
      </c>
      <c r="P21" s="816" t="s">
        <v>232</v>
      </c>
      <c r="Q21" s="816" t="s">
        <v>232</v>
      </c>
      <c r="R21" s="821">
        <f>J21</f>
        <v>200000000</v>
      </c>
      <c r="S21" s="821">
        <f>R21/VLOOKUP(K21,'Exchange rates'!$B$2:$C$16,2,0)</f>
        <v>199302441.4549078</v>
      </c>
      <c r="T21" s="816" t="s">
        <v>233</v>
      </c>
      <c r="U21" s="54" t="s">
        <v>368</v>
      </c>
      <c r="V21" s="816" t="s">
        <v>232</v>
      </c>
      <c r="W21" s="816" t="s">
        <v>232</v>
      </c>
      <c r="Z21" s="632"/>
    </row>
    <row r="22" spans="1:26" ht="15" customHeight="1">
      <c r="A22" s="816" t="s">
        <v>2958</v>
      </c>
      <c r="B22" s="816" t="s">
        <v>2943</v>
      </c>
      <c r="C22" s="818">
        <v>44663</v>
      </c>
      <c r="D22" s="816" t="s">
        <v>366</v>
      </c>
      <c r="E22" s="816" t="s">
        <v>2904</v>
      </c>
      <c r="F22" s="816" t="s">
        <v>2959</v>
      </c>
      <c r="G22" s="545" t="s">
        <v>232</v>
      </c>
      <c r="H22" s="545" t="s">
        <v>232</v>
      </c>
      <c r="I22" s="545" t="s">
        <v>232</v>
      </c>
      <c r="J22" s="817">
        <v>1490000000</v>
      </c>
      <c r="K22" s="816" t="s">
        <v>314</v>
      </c>
      <c r="L22" s="816" t="s">
        <v>232</v>
      </c>
      <c r="M22" s="816" t="s">
        <v>232</v>
      </c>
      <c r="N22" s="816" t="s">
        <v>232</v>
      </c>
      <c r="O22" s="816" t="s">
        <v>232</v>
      </c>
      <c r="P22" s="816" t="s">
        <v>232</v>
      </c>
      <c r="Q22" s="816" t="s">
        <v>232</v>
      </c>
      <c r="R22" s="821">
        <f>J22</f>
        <v>1490000000</v>
      </c>
      <c r="S22" s="821">
        <f>R22/VLOOKUP(K22,'Exchange rates'!$B$2:$C$16,2,0)</f>
        <v>1484803188.8390632</v>
      </c>
      <c r="T22" s="816" t="s">
        <v>233</v>
      </c>
      <c r="U22" s="820" t="s">
        <v>2960</v>
      </c>
      <c r="V22" s="820" t="s">
        <v>2961</v>
      </c>
      <c r="W22" s="820" t="s">
        <v>2962</v>
      </c>
    </row>
    <row r="23" spans="1:26" ht="15" customHeight="1">
      <c r="A23" s="816" t="s">
        <v>2963</v>
      </c>
      <c r="B23" s="816" t="s">
        <v>2943</v>
      </c>
      <c r="C23" s="818">
        <v>44781</v>
      </c>
      <c r="D23" s="816" t="s">
        <v>366</v>
      </c>
      <c r="E23" s="816" t="s">
        <v>2904</v>
      </c>
      <c r="F23" s="816" t="s">
        <v>2964</v>
      </c>
      <c r="G23" s="816" t="s">
        <v>2548</v>
      </c>
      <c r="H23" s="817">
        <v>4500000000</v>
      </c>
      <c r="I23" s="816" t="s">
        <v>314</v>
      </c>
      <c r="J23" s="817">
        <v>4500000000</v>
      </c>
      <c r="K23" s="816" t="s">
        <v>314</v>
      </c>
      <c r="L23" s="816" t="s">
        <v>232</v>
      </c>
      <c r="M23" s="816" t="s">
        <v>232</v>
      </c>
      <c r="N23" s="816" t="s">
        <v>232</v>
      </c>
      <c r="O23" s="816" t="s">
        <v>232</v>
      </c>
      <c r="P23" s="816" t="s">
        <v>232</v>
      </c>
      <c r="Q23" s="816" t="s">
        <v>232</v>
      </c>
      <c r="R23" s="817">
        <f>J23</f>
        <v>4500000000</v>
      </c>
      <c r="S23" s="821">
        <f>R23/VLOOKUP(K23,'Exchange rates'!$B$2:$C$16,2,0)</f>
        <v>4484304932.7354259</v>
      </c>
      <c r="T23" s="816" t="s">
        <v>233</v>
      </c>
      <c r="U23" s="820" t="s">
        <v>2965</v>
      </c>
      <c r="V23" s="820"/>
      <c r="W23" s="820"/>
    </row>
    <row r="24" spans="1:26" ht="15" customHeight="1">
      <c r="A24" s="856" t="s">
        <v>2966</v>
      </c>
      <c r="B24" s="856" t="s">
        <v>2943</v>
      </c>
      <c r="C24" s="868">
        <v>44834</v>
      </c>
      <c r="D24" s="856" t="s">
        <v>366</v>
      </c>
      <c r="E24" s="856" t="s">
        <v>2944</v>
      </c>
      <c r="F24" s="856" t="s">
        <v>2967</v>
      </c>
      <c r="G24" s="816" t="s">
        <v>2392</v>
      </c>
      <c r="H24" s="817">
        <v>500000000</v>
      </c>
      <c r="I24" s="816" t="s">
        <v>314</v>
      </c>
      <c r="J24" s="872">
        <v>530000000</v>
      </c>
      <c r="K24" s="856" t="s">
        <v>314</v>
      </c>
      <c r="L24" s="856" t="s">
        <v>232</v>
      </c>
      <c r="M24" s="856" t="s">
        <v>232</v>
      </c>
      <c r="N24" s="856" t="s">
        <v>232</v>
      </c>
      <c r="O24" s="856" t="s">
        <v>232</v>
      </c>
      <c r="P24" s="856" t="s">
        <v>232</v>
      </c>
      <c r="Q24" s="856" t="s">
        <v>232</v>
      </c>
      <c r="R24" s="880">
        <f>J24</f>
        <v>530000000</v>
      </c>
      <c r="S24" s="878">
        <f>R24/VLOOKUP(K22,'Exchange rates'!$B$2:$C$16,2,0)</f>
        <v>528151469.8555057</v>
      </c>
      <c r="T24" s="881" t="s">
        <v>233</v>
      </c>
      <c r="U24" s="879" t="s">
        <v>837</v>
      </c>
      <c r="V24" s="856"/>
      <c r="W24" s="856"/>
    </row>
    <row r="25" spans="1:26" ht="15" customHeight="1">
      <c r="A25" s="856"/>
      <c r="B25" s="856"/>
      <c r="C25" s="868"/>
      <c r="D25" s="856"/>
      <c r="E25" s="856"/>
      <c r="F25" s="856"/>
      <c r="G25" s="816" t="s">
        <v>767</v>
      </c>
      <c r="H25" s="817">
        <v>30000000</v>
      </c>
      <c r="I25" s="816" t="s">
        <v>314</v>
      </c>
      <c r="J25" s="856"/>
      <c r="K25" s="856"/>
      <c r="L25" s="856"/>
      <c r="M25" s="856"/>
      <c r="N25" s="856"/>
      <c r="O25" s="856"/>
      <c r="P25" s="856"/>
      <c r="Q25" s="856"/>
      <c r="R25" s="872"/>
      <c r="S25" s="856"/>
      <c r="T25" s="881"/>
      <c r="U25" s="879"/>
      <c r="V25" s="856"/>
      <c r="W25" s="856"/>
    </row>
    <row r="26" spans="1:26" ht="15" customHeight="1">
      <c r="A26" s="816"/>
      <c r="B26" s="816"/>
      <c r="C26" s="818"/>
      <c r="D26" s="816"/>
      <c r="E26" s="816"/>
      <c r="F26" s="816"/>
      <c r="G26" s="816"/>
      <c r="H26" s="817"/>
      <c r="I26" s="816"/>
      <c r="J26" s="816"/>
      <c r="K26" s="816"/>
      <c r="L26" s="816"/>
      <c r="M26" s="816"/>
      <c r="N26" s="816"/>
      <c r="O26" s="816"/>
      <c r="P26" s="816"/>
      <c r="Q26" s="816"/>
      <c r="R26" s="816"/>
      <c r="S26" s="816"/>
      <c r="T26" s="816"/>
      <c r="U26" s="816"/>
      <c r="V26" s="816"/>
      <c r="W26" s="816"/>
    </row>
    <row r="27" spans="1:26" ht="15" customHeight="1">
      <c r="A27" s="816"/>
      <c r="B27" s="816"/>
      <c r="C27" s="818"/>
      <c r="D27" s="816"/>
      <c r="E27" s="816"/>
      <c r="F27" s="816"/>
      <c r="G27" s="816"/>
      <c r="H27" s="817"/>
      <c r="I27" s="816"/>
      <c r="J27" s="816"/>
      <c r="K27" s="816"/>
      <c r="L27" s="816"/>
      <c r="M27" s="816"/>
      <c r="N27" s="816"/>
      <c r="O27" s="816"/>
      <c r="P27" s="816"/>
      <c r="Q27" s="816"/>
      <c r="R27" s="816"/>
      <c r="S27" s="816"/>
      <c r="T27" s="816"/>
      <c r="U27" s="816"/>
      <c r="V27" s="816"/>
      <c r="W27" s="816"/>
    </row>
    <row r="28" spans="1:26" ht="15" customHeight="1">
      <c r="A28" s="816"/>
      <c r="B28" s="816"/>
      <c r="C28" s="818"/>
      <c r="D28" s="816"/>
      <c r="E28" s="816"/>
      <c r="F28" s="816"/>
      <c r="G28" s="816"/>
      <c r="H28" s="817"/>
      <c r="I28" s="816"/>
      <c r="J28" s="816"/>
      <c r="K28" s="816"/>
      <c r="L28" s="816"/>
      <c r="M28" s="816"/>
      <c r="N28" s="816"/>
      <c r="O28" s="816"/>
      <c r="P28" s="816"/>
      <c r="Q28" s="816"/>
      <c r="R28" s="816"/>
      <c r="S28" s="816"/>
      <c r="T28" s="816"/>
      <c r="U28" s="816"/>
      <c r="V28" s="816"/>
      <c r="W28" s="816"/>
    </row>
    <row r="29" spans="1:26" ht="15" customHeight="1">
      <c r="A29" s="816"/>
      <c r="B29" s="816"/>
      <c r="C29" s="818"/>
      <c r="D29" s="816"/>
      <c r="E29" s="816"/>
      <c r="F29" s="816"/>
      <c r="G29" s="816"/>
      <c r="H29" s="817"/>
      <c r="I29" s="816"/>
      <c r="J29" s="816"/>
      <c r="K29" s="816"/>
      <c r="L29" s="816"/>
      <c r="M29" s="816"/>
      <c r="N29" s="816"/>
      <c r="O29" s="816"/>
      <c r="P29" s="816"/>
      <c r="Q29" s="816"/>
      <c r="R29" s="816"/>
      <c r="S29" s="816"/>
      <c r="T29" s="816"/>
      <c r="U29" s="816"/>
      <c r="V29" s="816"/>
      <c r="W29" s="816"/>
    </row>
  </sheetData>
  <mergeCells count="61">
    <mergeCell ref="S24:S25"/>
    <mergeCell ref="U24:U25"/>
    <mergeCell ref="V24:V25"/>
    <mergeCell ref="W24:W25"/>
    <mergeCell ref="N24:N25"/>
    <mergeCell ref="O24:O25"/>
    <mergeCell ref="P24:P25"/>
    <mergeCell ref="Q24:Q25"/>
    <mergeCell ref="R24:R25"/>
    <mergeCell ref="T24:T25"/>
    <mergeCell ref="F24:F25"/>
    <mergeCell ref="J24:J25"/>
    <mergeCell ref="K24:K25"/>
    <mergeCell ref="L24:L25"/>
    <mergeCell ref="M24:M25"/>
    <mergeCell ref="A24:A25"/>
    <mergeCell ref="B24:B25"/>
    <mergeCell ref="C24:C25"/>
    <mergeCell ref="D24:D25"/>
    <mergeCell ref="E24:E25"/>
    <mergeCell ref="L17:L19"/>
    <mergeCell ref="J14:J19"/>
    <mergeCell ref="K14:K19"/>
    <mergeCell ref="D14:D19"/>
    <mergeCell ref="E14:E19"/>
    <mergeCell ref="W11:W13"/>
    <mergeCell ref="R14:R16"/>
    <mergeCell ref="S14:S16"/>
    <mergeCell ref="Q14:Q16"/>
    <mergeCell ref="Q17:Q19"/>
    <mergeCell ref="U11:U13"/>
    <mergeCell ref="V11:V13"/>
    <mergeCell ref="T14:T16"/>
    <mergeCell ref="T17:T19"/>
    <mergeCell ref="A11:A13"/>
    <mergeCell ref="T11:T13"/>
    <mergeCell ref="B11:B13"/>
    <mergeCell ref="C11:C13"/>
    <mergeCell ref="D11:D13"/>
    <mergeCell ref="E11:E13"/>
    <mergeCell ref="F11:F13"/>
    <mergeCell ref="R11:R13"/>
    <mergeCell ref="S11:S13"/>
    <mergeCell ref="J11:J13"/>
    <mergeCell ref="K11:K13"/>
    <mergeCell ref="A14:A19"/>
    <mergeCell ref="B14:B19"/>
    <mergeCell ref="C14:C19"/>
    <mergeCell ref="W14:W19"/>
    <mergeCell ref="U14:U19"/>
    <mergeCell ref="V14:V19"/>
    <mergeCell ref="F14:F19"/>
    <mergeCell ref="P14:P16"/>
    <mergeCell ref="P17:P19"/>
    <mergeCell ref="O14:O16"/>
    <mergeCell ref="O17:O19"/>
    <mergeCell ref="N14:N16"/>
    <mergeCell ref="N17:N19"/>
    <mergeCell ref="M14:M16"/>
    <mergeCell ref="M17:M19"/>
    <mergeCell ref="L14:L16"/>
  </mergeCells>
  <hyperlinks>
    <hyperlink ref="U2" r:id="rId1" xr:uid="{00000000-0004-0000-0400-000000000000}"/>
    <hyperlink ref="V2" r:id="rId2" xr:uid="{00000000-0004-0000-0400-000001000000}"/>
    <hyperlink ref="U4" r:id="rId3" xr:uid="{00000000-0004-0000-0400-000002000000}"/>
    <hyperlink ref="V4" r:id="rId4" location="Q1%20What%20resources%20is%20the%20IMF%20making%20available%20to%20help%20Ukraine?" xr:uid="{00000000-0004-0000-0400-000003000000}"/>
    <hyperlink ref="U7" r:id="rId5" xr:uid="{00000000-0004-0000-0400-000004000000}"/>
    <hyperlink ref="U8" r:id="rId6" xr:uid="{00000000-0004-0000-0400-000005000000}"/>
    <hyperlink ref="U9" r:id="rId7" xr:uid="{00000000-0004-0000-0400-000006000000}"/>
    <hyperlink ref="U10" r:id="rId8" xr:uid="{00000000-0004-0000-0400-000007000000}"/>
    <hyperlink ref="V10" r:id="rId9" xr:uid="{00000000-0004-0000-0400-000008000000}"/>
    <hyperlink ref="U11" r:id="rId10" xr:uid="{00000000-0004-0000-0400-000009000000}"/>
    <hyperlink ref="V11" r:id="rId11" xr:uid="{00000000-0004-0000-0400-00000A000000}"/>
    <hyperlink ref="U14" r:id="rId12" xr:uid="{00000000-0004-0000-0400-00000B000000}"/>
    <hyperlink ref="U20" r:id="rId13" xr:uid="{00000000-0004-0000-0400-00000C000000}"/>
    <hyperlink ref="U21" r:id="rId14" xr:uid="{00000000-0004-0000-0400-00000D000000}"/>
    <hyperlink ref="V22" r:id="rId15" xr:uid="{00000000-0004-0000-0400-00000E000000}"/>
    <hyperlink ref="V14:V16" r:id="rId16" display="https://www.worldbank.org/en/news/press-release/2022/03/14/world-bank-announces-additional-200-million-in-financing-for-ukraine" xr:uid="{00000000-0004-0000-0400-00000F000000}"/>
    <hyperlink ref="U22" r:id="rId17" xr:uid="{00000000-0004-0000-0400-000010000000}"/>
    <hyperlink ref="U5" r:id="rId18" xr:uid="{00000000-0004-0000-0400-000011000000}"/>
    <hyperlink ref="W2" r:id="rId19" xr:uid="{00000000-0004-0000-0400-000012000000}"/>
    <hyperlink ref="W22" r:id="rId20" xr:uid="{00000000-0004-0000-0400-000013000000}"/>
    <hyperlink ref="V5" r:id="rId21" xr:uid="{00000000-0004-0000-0400-000014000000}"/>
    <hyperlink ref="W5" r:id="rId22" xr:uid="{00000000-0004-0000-0400-000015000000}"/>
    <hyperlink ref="U24:U25" r:id="rId23" display="https://www.worldbank.org/en/news/press-release/2022/09/30/world-bank-mobilizes-additional-530-million-in-support-to-ukraine" xr:uid="{00000000-0004-0000-0400-000016000000}"/>
    <hyperlink ref="U23" r:id="rId24" xr:uid="{00000000-0004-0000-0400-000017000000}"/>
    <hyperlink ref="U6" r:id="rId25" xr:uid="{86BC4626-975A-41C2-87A5-2B0AAD5EDDC1}"/>
    <hyperlink ref="U3" r:id="rId26" location=":~:text=The%20European%20Bank%20for%20Reconstruction,businesses%20and%20economy%20keep%20functioning" xr:uid="{892B0CE8-AFF0-4FF4-A875-99B4F248F4F2}"/>
  </hyperlinks>
  <pageMargins left="0.7" right="0.7" top="0.75" bottom="0.75" header="0.3" footer="0.3"/>
  <pageSetup paperSize="9" orientation="portrait" r:id="rId27"/>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CF4AB-DE25-4508-AF78-9EBC34267DB9}">
  <sheetPr>
    <tabColor theme="5" tint="0.59999389629810485"/>
  </sheetPr>
  <dimension ref="B2:N53"/>
  <sheetViews>
    <sheetView showGridLines="0" zoomScaleNormal="100" workbookViewId="0">
      <selection activeCell="B2" sqref="B2"/>
    </sheetView>
  </sheetViews>
  <sheetFormatPr defaultColWidth="8.5" defaultRowHeight="15.6"/>
  <cols>
    <col min="1" max="1" width="8.5" style="104"/>
    <col min="2" max="2" width="31.875" style="104" customWidth="1"/>
    <col min="3" max="3" width="34.375" style="500" bestFit="1" customWidth="1"/>
    <col min="4" max="4" width="40.875" style="638" customWidth="1"/>
    <col min="5" max="5" width="48.5" style="499" customWidth="1"/>
    <col min="6" max="6" width="44" style="336" customWidth="1"/>
    <col min="7" max="7" width="41" style="499" customWidth="1"/>
    <col min="8" max="8" width="24.375" style="501" bestFit="1" customWidth="1"/>
    <col min="9" max="10" width="19" style="501" customWidth="1"/>
    <col min="11" max="16384" width="8.5" style="104"/>
  </cols>
  <sheetData>
    <row r="2" spans="2:14">
      <c r="B2" s="116" t="s">
        <v>4620</v>
      </c>
    </row>
    <row r="4" spans="2:14" s="749" customFormat="1" ht="15.95" customHeight="1">
      <c r="B4" s="785" t="s">
        <v>3006</v>
      </c>
      <c r="C4" s="750" t="s">
        <v>4621</v>
      </c>
      <c r="D4" s="750" t="s">
        <v>4622</v>
      </c>
      <c r="E4" s="751" t="s">
        <v>4623</v>
      </c>
      <c r="F4" s="750" t="s">
        <v>4624</v>
      </c>
      <c r="G4" s="751" t="s">
        <v>4625</v>
      </c>
      <c r="H4" s="752" t="s">
        <v>3053</v>
      </c>
      <c r="N4" s="464" t="s">
        <v>4626</v>
      </c>
    </row>
    <row r="5" spans="2:14" s="749" customFormat="1" ht="15.95" customHeight="1">
      <c r="B5" s="786"/>
      <c r="C5" s="753" t="s">
        <v>4627</v>
      </c>
      <c r="D5" s="753" t="s">
        <v>4628</v>
      </c>
      <c r="E5" s="754" t="s">
        <v>4629</v>
      </c>
      <c r="F5" s="753" t="s">
        <v>4630</v>
      </c>
      <c r="G5" s="754" t="s">
        <v>4631</v>
      </c>
      <c r="H5" s="755"/>
    </row>
    <row r="6" spans="2:14" s="749" customFormat="1" ht="15" customHeight="1">
      <c r="B6" s="786"/>
      <c r="C6" s="753"/>
      <c r="D6" s="753"/>
      <c r="E6" s="754"/>
      <c r="F6" s="753"/>
      <c r="G6" s="754"/>
      <c r="H6" s="755"/>
    </row>
    <row r="7" spans="2:14" s="748" customFormat="1" ht="45" customHeight="1">
      <c r="B7" s="787"/>
      <c r="C7" s="756" t="s">
        <v>4632</v>
      </c>
      <c r="D7" s="756" t="s">
        <v>4633</v>
      </c>
      <c r="E7" s="796" t="s">
        <v>4634</v>
      </c>
      <c r="F7" s="795" t="s">
        <v>4635</v>
      </c>
      <c r="G7" s="794" t="s">
        <v>4636</v>
      </c>
      <c r="H7" s="772" t="s">
        <v>4637</v>
      </c>
    </row>
    <row r="8" spans="2:14">
      <c r="B8" s="2" t="s">
        <v>2329</v>
      </c>
      <c r="C8" s="760">
        <v>1</v>
      </c>
      <c r="D8" s="761">
        <v>1</v>
      </c>
      <c r="E8" s="757">
        <f>(COUNTIFS('Bilateral assistance, MAIN DATA'!AE:AE,"Value is given by the source",'Bilateral assistance, MAIN DATA'!B:B,'Data transparency indices'!$B8)/COUNTIFS('Bilateral assistance, MAIN DATA'!B:B,'Data transparency indices'!$B8))</f>
        <v>1</v>
      </c>
      <c r="F8" s="559">
        <f>(SUMIFS('Bilateral assistance, MAIN DATA'!AS:AS,'Bilateral assistance, MAIN DATA'!B:B,'Data transparency indices'!$B8)/COUNTIFS('Bilateral assistance, MAIN DATA'!B:B,'Data transparency indices'!$B8))</f>
        <v>1</v>
      </c>
      <c r="G8" s="757">
        <v>1</v>
      </c>
      <c r="H8" s="758">
        <f t="shared" ref="H8:H48" si="0">SUM(C8:G8)</f>
        <v>5</v>
      </c>
      <c r="I8" s="503"/>
      <c r="J8" s="503"/>
    </row>
    <row r="9" spans="2:14">
      <c r="B9" s="104" t="s">
        <v>2258</v>
      </c>
      <c r="C9" s="762">
        <v>1</v>
      </c>
      <c r="D9" s="761">
        <v>1</v>
      </c>
      <c r="E9" s="757">
        <f>(COUNTIFS('Bilateral assistance, MAIN DATA'!AE:AE,"Value is given by the source",'Bilateral assistance, MAIN DATA'!B:B,'Data transparency indices'!$B9)/COUNTIFS('Bilateral assistance, MAIN DATA'!B:B,'Data transparency indices'!$B9))</f>
        <v>0.875</v>
      </c>
      <c r="F9" s="559">
        <f>(SUMIFS('Bilateral assistance, MAIN DATA'!AS:AS,'Bilateral assistance, MAIN DATA'!B:B,'Data transparency indices'!$B9)/COUNTIFS('Bilateral assistance, MAIN DATA'!B:B,'Data transparency indices'!$B9))</f>
        <v>1</v>
      </c>
      <c r="G9" s="757">
        <f>1-(COUNTIFS('Bilateral assistance, MAIN DATA'!M:M,"undisclosed",'Bilateral assistance, MAIN DATA'!B:B,'Data transparency indices'!$B9,'Bilateral assistance, MAIN DATA'!AT:AT,1,'Bilateral assistance, MAIN DATA'!B:B,'Data transparency indices'!$B9)/COUNTIFS('Bilateral assistance, MAIN DATA'!B:B,'Data transparency indices'!$B9,'Bilateral assistance, MAIN DATA'!AT:AT,1))</f>
        <v>0.8</v>
      </c>
      <c r="H9" s="758">
        <f t="shared" si="0"/>
        <v>4.6749999999999998</v>
      </c>
      <c r="I9" s="503"/>
      <c r="J9" s="503"/>
      <c r="K9" s="784"/>
      <c r="L9" s="784"/>
      <c r="M9" s="784"/>
      <c r="N9" s="784"/>
    </row>
    <row r="10" spans="2:14">
      <c r="B10" s="2" t="s">
        <v>227</v>
      </c>
      <c r="C10" s="760">
        <v>1</v>
      </c>
      <c r="D10" s="761">
        <v>1</v>
      </c>
      <c r="E10" s="757">
        <f>(COUNTIFS('Bilateral assistance, MAIN DATA'!AE:AE,"Value is given by the source",'Bilateral assistance, MAIN DATA'!B:B,'Data transparency indices'!$B10)/COUNTIFS('Bilateral assistance, MAIN DATA'!B:B,'Data transparency indices'!$B10))</f>
        <v>0.95652173913043481</v>
      </c>
      <c r="F10" s="559">
        <f>(SUMIFS('Bilateral assistance, MAIN DATA'!AS:AS,'Bilateral assistance, MAIN DATA'!B:B,'Data transparency indices'!$B10)/COUNTIFS('Bilateral assistance, MAIN DATA'!B:B,'Data transparency indices'!$B10))</f>
        <v>1</v>
      </c>
      <c r="G10" s="757">
        <f>1-(COUNTIFS('Bilateral assistance, MAIN DATA'!M:M,"undisclosed",'Bilateral assistance, MAIN DATA'!B:B,'Data transparency indices'!$B10,'Bilateral assistance, MAIN DATA'!AT:AT,1,'Bilateral assistance, MAIN DATA'!B:B,'Data transparency indices'!$B10)/COUNTIFS('Bilateral assistance, MAIN DATA'!B:B,'Data transparency indices'!$B10,'Bilateral assistance, MAIN DATA'!AT:AT,1))</f>
        <v>0.63157894736842102</v>
      </c>
      <c r="H10" s="758">
        <f t="shared" si="0"/>
        <v>4.5881006864988558</v>
      </c>
      <c r="I10" s="503"/>
      <c r="J10" s="503"/>
    </row>
    <row r="11" spans="2:14" ht="15.75" customHeight="1">
      <c r="B11" s="104" t="s">
        <v>767</v>
      </c>
      <c r="C11" s="762">
        <v>1</v>
      </c>
      <c r="D11" s="761">
        <v>1</v>
      </c>
      <c r="E11" s="757">
        <f>(COUNTIFS('Bilateral assistance, MAIN DATA'!AE:AE,"Value is given by the source",'Bilateral assistance, MAIN DATA'!B:B,'Data transparency indices'!$B11)/COUNTIFS('Bilateral assistance, MAIN DATA'!B:B,'Data transparency indices'!$B11))</f>
        <v>1</v>
      </c>
      <c r="F11" s="559">
        <f>(SUMIFS('Bilateral assistance, MAIN DATA'!AS:AS,'Bilateral assistance, MAIN DATA'!B:B,'Data transparency indices'!$B11)/COUNTIFS('Bilateral assistance, MAIN DATA'!B:B,'Data transparency indices'!$B11))</f>
        <v>1</v>
      </c>
      <c r="G11" s="757">
        <f>1-(COUNTIFS('Bilateral assistance, MAIN DATA'!M:M,"undisclosed",'Bilateral assistance, MAIN DATA'!B:B,'Data transparency indices'!$B11,'Bilateral assistance, MAIN DATA'!AT:AT,1,'Bilateral assistance, MAIN DATA'!B:B,'Data transparency indices'!$B11)/COUNTIFS('Bilateral assistance, MAIN DATA'!B:B,'Data transparency indices'!$B11,'Bilateral assistance, MAIN DATA'!AT:AT,1))</f>
        <v>0.58333333333333326</v>
      </c>
      <c r="H11" s="758">
        <f t="shared" si="0"/>
        <v>4.583333333333333</v>
      </c>
      <c r="I11" s="503"/>
      <c r="J11" s="503"/>
      <c r="K11" s="784"/>
      <c r="L11" s="784"/>
      <c r="M11" s="784"/>
      <c r="N11" s="784"/>
    </row>
    <row r="12" spans="2:14">
      <c r="B12" s="104" t="s">
        <v>917</v>
      </c>
      <c r="C12" s="762">
        <v>1</v>
      </c>
      <c r="D12" s="761">
        <v>1</v>
      </c>
      <c r="E12" s="757">
        <f>(COUNTIFS('Bilateral assistance, MAIN DATA'!AE:AE,"Value is given by the source",'Bilateral assistance, MAIN DATA'!B:B,'Data transparency indices'!$B12)/COUNTIFS('Bilateral assistance, MAIN DATA'!B:B,'Data transparency indices'!$B12))</f>
        <v>0.48571428571428571</v>
      </c>
      <c r="F12" s="559">
        <f>(SUMIFS('Bilateral assistance, MAIN DATA'!AS:AS,'Bilateral assistance, MAIN DATA'!B:B,'Data transparency indices'!$B12)/COUNTIFS('Bilateral assistance, MAIN DATA'!B:B,'Data transparency indices'!$B12))</f>
        <v>0.94285714285714284</v>
      </c>
      <c r="G12" s="757">
        <f>1-(COUNTIFS('Bilateral assistance, MAIN DATA'!M:M,"undisclosed",'Bilateral assistance, MAIN DATA'!B:B,'Data transparency indices'!$B12,'Bilateral assistance, MAIN DATA'!AT:AT,1,'Bilateral assistance, MAIN DATA'!B:B,'Data transparency indices'!$B12)/COUNTIFS('Bilateral assistance, MAIN DATA'!B:B,'Data transparency indices'!$B12,'Bilateral assistance, MAIN DATA'!AT:AT,1))</f>
        <v>1</v>
      </c>
      <c r="H12" s="758">
        <f t="shared" si="0"/>
        <v>4.4285714285714288</v>
      </c>
      <c r="I12" s="503"/>
      <c r="J12" s="503"/>
      <c r="K12" s="784"/>
      <c r="L12" s="784"/>
      <c r="M12" s="784"/>
      <c r="N12" s="784"/>
    </row>
    <row r="13" spans="2:14">
      <c r="B13" s="104" t="s">
        <v>452</v>
      </c>
      <c r="C13" s="760">
        <v>1</v>
      </c>
      <c r="D13" s="761">
        <v>1</v>
      </c>
      <c r="E13" s="757">
        <f>(COUNTIFS('Bilateral assistance, MAIN DATA'!AE:AE,"Value is given by the source",'Bilateral assistance, MAIN DATA'!B:B,'Data transparency indices'!$B13)/COUNTIFS('Bilateral assistance, MAIN DATA'!B:B,'Data transparency indices'!$B13))</f>
        <v>0.78260869565217395</v>
      </c>
      <c r="F13" s="559">
        <f>(SUMIFS('Bilateral assistance, MAIN DATA'!AS:AS,'Bilateral assistance, MAIN DATA'!B:B,'Data transparency indices'!$B13)/COUNTIFS('Bilateral assistance, MAIN DATA'!B:B,'Data transparency indices'!$B13))</f>
        <v>0.93478260869565222</v>
      </c>
      <c r="G13" s="757">
        <f>1-(COUNTIFS('Bilateral assistance, MAIN DATA'!M:M,"undisclosed",'Bilateral assistance, MAIN DATA'!B:B,'Data transparency indices'!$B13,'Bilateral assistance, MAIN DATA'!AT:AT,1,'Bilateral assistance, MAIN DATA'!B:B,'Data transparency indices'!$B13)/COUNTIFS('Bilateral assistance, MAIN DATA'!B:B,'Data transparency indices'!$B13,'Bilateral assistance, MAIN DATA'!AT:AT,1))</f>
        <v>0.7</v>
      </c>
      <c r="H13" s="758">
        <f t="shared" si="0"/>
        <v>4.4173913043478263</v>
      </c>
      <c r="I13" s="503"/>
      <c r="J13" s="503"/>
      <c r="K13" s="784"/>
      <c r="L13" s="784"/>
      <c r="M13" s="784"/>
      <c r="N13" s="784"/>
    </row>
    <row r="14" spans="2:14" ht="15.75" customHeight="1">
      <c r="B14" s="104" t="s">
        <v>1687</v>
      </c>
      <c r="C14" s="762">
        <v>1</v>
      </c>
      <c r="D14" s="761">
        <v>1</v>
      </c>
      <c r="E14" s="757">
        <f>(COUNTIFS('Bilateral assistance, MAIN DATA'!AE:AE,"Value is given by the source",'Bilateral assistance, MAIN DATA'!B:B,'Data transparency indices'!$B14)/COUNTIFS('Bilateral assistance, MAIN DATA'!B:B,'Data transparency indices'!$B14))</f>
        <v>0.75757575757575757</v>
      </c>
      <c r="F14" s="559">
        <f>(SUMIFS('Bilateral assistance, MAIN DATA'!AS:AS,'Bilateral assistance, MAIN DATA'!B:B,'Data transparency indices'!$B14)/COUNTIFS('Bilateral assistance, MAIN DATA'!B:B,'Data transparency indices'!$B14))</f>
        <v>0.84848484848484851</v>
      </c>
      <c r="G14" s="757">
        <f>1-(COUNTIFS('Bilateral assistance, MAIN DATA'!M:M,"undisclosed",'Bilateral assistance, MAIN DATA'!B:B,'Data transparency indices'!$B14,'Bilateral assistance, MAIN DATA'!AT:AT,1,'Bilateral assistance, MAIN DATA'!B:B,'Data transparency indices'!$B14)/COUNTIFS('Bilateral assistance, MAIN DATA'!B:B,'Data transparency indices'!$B14,'Bilateral assistance, MAIN DATA'!AT:AT,1))</f>
        <v>0.80952380952380953</v>
      </c>
      <c r="H14" s="758">
        <f t="shared" si="0"/>
        <v>4.4155844155844157</v>
      </c>
      <c r="I14" s="503"/>
      <c r="J14" s="503"/>
    </row>
    <row r="15" spans="2:14">
      <c r="B15" s="2" t="s">
        <v>1766</v>
      </c>
      <c r="C15" s="760">
        <v>1</v>
      </c>
      <c r="D15" s="761">
        <v>1</v>
      </c>
      <c r="E15" s="757">
        <f>(COUNTIFS('Bilateral assistance, MAIN DATA'!AE:AE,"Value is given by the source",'Bilateral assistance, MAIN DATA'!B:B,'Data transparency indices'!$B15)/COUNTIFS('Bilateral assistance, MAIN DATA'!B:B,'Data transparency indices'!$B15))</f>
        <v>0.53846153846153844</v>
      </c>
      <c r="F15" s="559">
        <f>(SUMIFS('Bilateral assistance, MAIN DATA'!AS:AS,'Bilateral assistance, MAIN DATA'!B:B,'Data transparency indices'!$B15)/COUNTIFS('Bilateral assistance, MAIN DATA'!B:B,'Data transparency indices'!$B15))</f>
        <v>0.92307692307692313</v>
      </c>
      <c r="G15" s="757">
        <f>1-(COUNTIFS('Bilateral assistance, MAIN DATA'!M:M,"undisclosed",'Bilateral assistance, MAIN DATA'!B:B,'Data transparency indices'!$B15,'Bilateral assistance, MAIN DATA'!AT:AT,1,'Bilateral assistance, MAIN DATA'!B:B,'Data transparency indices'!$B15)/COUNTIFS('Bilateral assistance, MAIN DATA'!B:B,'Data transparency indices'!$B15,'Bilateral assistance, MAIN DATA'!AT:AT,1))</f>
        <v>0.83333333333333337</v>
      </c>
      <c r="H15" s="758">
        <f t="shared" si="0"/>
        <v>4.2948717948717947</v>
      </c>
      <c r="I15" s="503"/>
      <c r="J15" s="503"/>
    </row>
    <row r="16" spans="2:14">
      <c r="B16" s="104" t="s">
        <v>1383</v>
      </c>
      <c r="C16" s="763">
        <v>1</v>
      </c>
      <c r="D16" s="761">
        <v>1</v>
      </c>
      <c r="E16" s="757">
        <f>(COUNTIFS('Bilateral assistance, MAIN DATA'!AE:AE,"Value is given by the source",'Bilateral assistance, MAIN DATA'!B:B,'Data transparency indices'!$B16)/COUNTIFS('Bilateral assistance, MAIN DATA'!B:B,'Data transparency indices'!$B16))</f>
        <v>0.36363636363636365</v>
      </c>
      <c r="F16" s="559">
        <f>(SUMIFS('Bilateral assistance, MAIN DATA'!AS:AS,'Bilateral assistance, MAIN DATA'!B:B,'Data transparency indices'!$B16)/COUNTIFS('Bilateral assistance, MAIN DATA'!B:B,'Data transparency indices'!$B16))</f>
        <v>0.72727272727272729</v>
      </c>
      <c r="G16" s="757">
        <v>1</v>
      </c>
      <c r="H16" s="758">
        <f t="shared" si="0"/>
        <v>4.0909090909090908</v>
      </c>
      <c r="I16" s="503"/>
      <c r="J16" s="503"/>
    </row>
    <row r="17" spans="2:10">
      <c r="B17" s="2" t="s">
        <v>1804</v>
      </c>
      <c r="C17" s="760">
        <v>1</v>
      </c>
      <c r="D17" s="761">
        <v>1</v>
      </c>
      <c r="E17" s="757">
        <f>(COUNTIFS('Bilateral assistance, MAIN DATA'!AE:AE,"Value is given by the source",'Bilateral assistance, MAIN DATA'!B:B,'Data transparency indices'!$B17)/COUNTIFS('Bilateral assistance, MAIN DATA'!B:B,'Data transparency indices'!$B17))</f>
        <v>0.25714285714285712</v>
      </c>
      <c r="F17" s="559">
        <f>(SUMIFS('Bilateral assistance, MAIN DATA'!AS:AS,'Bilateral assistance, MAIN DATA'!B:B,'Data transparency indices'!$B17)/COUNTIFS('Bilateral assistance, MAIN DATA'!B:B,'Data transparency indices'!$B17))</f>
        <v>0.97142857142857142</v>
      </c>
      <c r="G17" s="757">
        <f>1-(COUNTIFS('Bilateral assistance, MAIN DATA'!M:M,"undisclosed",'Bilateral assistance, MAIN DATA'!B:B,'Data transparency indices'!$B17,'Bilateral assistance, MAIN DATA'!AT:AT,1,'Bilateral assistance, MAIN DATA'!B:B,'Data transparency indices'!$B17)/COUNTIFS('Bilateral assistance, MAIN DATA'!B:B,'Data transparency indices'!$B17,'Bilateral assistance, MAIN DATA'!AT:AT,1))</f>
        <v>0.78260869565217395</v>
      </c>
      <c r="H17" s="758">
        <f t="shared" si="0"/>
        <v>4.0111801242236025</v>
      </c>
      <c r="I17" s="503"/>
      <c r="J17" s="503"/>
    </row>
    <row r="18" spans="2:10">
      <c r="B18" s="104" t="s">
        <v>1682</v>
      </c>
      <c r="C18" s="762">
        <v>1</v>
      </c>
      <c r="D18" s="761">
        <v>0</v>
      </c>
      <c r="E18" s="757">
        <f>(COUNTIFS('Bilateral assistance, MAIN DATA'!AE:AE,"Value is given by the source",'Bilateral assistance, MAIN DATA'!B:B,'Data transparency indices'!$B18)/COUNTIFS('Bilateral assistance, MAIN DATA'!B:B,'Data transparency indices'!$B18))</f>
        <v>1</v>
      </c>
      <c r="F18" s="559">
        <f>(SUMIFS('Bilateral assistance, MAIN DATA'!AS:AS,'Bilateral assistance, MAIN DATA'!B:B,'Data transparency indices'!$B18)/COUNTIFS('Bilateral assistance, MAIN DATA'!B:B,'Data transparency indices'!$B18))</f>
        <v>1</v>
      </c>
      <c r="G18" s="757">
        <v>1</v>
      </c>
      <c r="H18" s="758">
        <f t="shared" si="0"/>
        <v>4</v>
      </c>
      <c r="I18" s="503"/>
      <c r="J18" s="503"/>
    </row>
    <row r="19" spans="2:10">
      <c r="B19" s="104" t="s">
        <v>2548</v>
      </c>
      <c r="C19" s="762">
        <v>1</v>
      </c>
      <c r="D19" s="761">
        <v>1</v>
      </c>
      <c r="E19" s="757">
        <f>(COUNTIFS('Bilateral assistance, MAIN DATA'!AE:AE,"Value is given by the source",'Bilateral assistance, MAIN DATA'!B:B,'Data transparency indices'!$B19)/COUNTIFS('Bilateral assistance, MAIN DATA'!B:B,'Data transparency indices'!$B19))</f>
        <v>0.31818181818181818</v>
      </c>
      <c r="F19" s="559">
        <f>(SUMIFS('Bilateral assistance, MAIN DATA'!AS:AS,'Bilateral assistance, MAIN DATA'!B:B,'Data transparency indices'!$B19)/COUNTIFS('Bilateral assistance, MAIN DATA'!B:B,'Data transparency indices'!$B19))</f>
        <v>0.98863636363636365</v>
      </c>
      <c r="G19" s="757">
        <f>1-(COUNTIFS('Bilateral assistance, MAIN DATA'!M:M,"undisclosed",'Bilateral assistance, MAIN DATA'!B:B,'Data transparency indices'!$B19,'Bilateral assistance, MAIN DATA'!AT:AT,1,'Bilateral assistance, MAIN DATA'!B:B,'Data transparency indices'!$B19)/COUNTIFS('Bilateral assistance, MAIN DATA'!B:B,'Data transparency indices'!$B19,'Bilateral assistance, MAIN DATA'!AT:AT,1))</f>
        <v>0.68724279835390945</v>
      </c>
      <c r="H19" s="758">
        <f t="shared" si="0"/>
        <v>3.9940609801720917</v>
      </c>
      <c r="I19" s="503"/>
      <c r="J19" s="503"/>
    </row>
    <row r="20" spans="2:10">
      <c r="B20" s="104" t="s">
        <v>1136</v>
      </c>
      <c r="C20" s="762">
        <v>1</v>
      </c>
      <c r="D20" s="761">
        <v>0</v>
      </c>
      <c r="E20" s="757">
        <f>(COUNTIFS('Bilateral assistance, MAIN DATA'!AE:AE,"Value is given by the source",'Bilateral assistance, MAIN DATA'!B:B,'Data transparency indices'!$B20)/COUNTIFS('Bilateral assistance, MAIN DATA'!B:B,'Data transparency indices'!$B20))</f>
        <v>0.9910714285714286</v>
      </c>
      <c r="F20" s="559">
        <f>(SUMIFS('Bilateral assistance, MAIN DATA'!AS:AS,'Bilateral assistance, MAIN DATA'!B:B,'Data transparency indices'!$B20)/COUNTIFS('Bilateral assistance, MAIN DATA'!B:B,'Data transparency indices'!$B20))</f>
        <v>0.9732142857142857</v>
      </c>
      <c r="G20" s="757">
        <f>1-(COUNTIFS('Bilateral assistance, MAIN DATA'!M:M,"undisclosed",'Bilateral assistance, MAIN DATA'!B:B,'Data transparency indices'!$B20,'Bilateral assistance, MAIN DATA'!AT:AT,1,'Bilateral assistance, MAIN DATA'!B:B,'Data transparency indices'!$B20)/COUNTIFS('Bilateral assistance, MAIN DATA'!B:B,'Data transparency indices'!$B20,'Bilateral assistance, MAIN DATA'!AT:AT,1))</f>
        <v>0.86407766990291268</v>
      </c>
      <c r="H20" s="758">
        <f t="shared" si="0"/>
        <v>3.8283633841886271</v>
      </c>
      <c r="I20" s="503"/>
      <c r="J20" s="503"/>
    </row>
    <row r="21" spans="2:10">
      <c r="B21" s="35" t="s">
        <v>2825</v>
      </c>
      <c r="C21" s="760">
        <v>1</v>
      </c>
      <c r="D21" s="761">
        <v>0</v>
      </c>
      <c r="E21" s="757">
        <f>(COUNTIFS('Bilateral assistance, MAIN DATA'!AE:AE,"Value is given by the source",'Bilateral assistance, MAIN DATA'!B:B,'Data transparency indices'!$B21)/COUNTIFS('Bilateral assistance, MAIN DATA'!B:B,'Data transparency indices'!$B21))</f>
        <v>0.9</v>
      </c>
      <c r="F21" s="559">
        <f>(SUMIFS('Bilateral assistance, MAIN DATA'!AS:AS,'Bilateral assistance, MAIN DATA'!B:B,'Data transparency indices'!$B21)/COUNTIFS('Bilateral assistance, MAIN DATA'!B:B,'Data transparency indices'!$B21))</f>
        <v>0.9</v>
      </c>
      <c r="G21" s="757">
        <v>1</v>
      </c>
      <c r="H21" s="758">
        <f t="shared" si="0"/>
        <v>3.8</v>
      </c>
      <c r="I21" s="503"/>
      <c r="J21" s="503"/>
    </row>
    <row r="22" spans="2:10" ht="15.95" customHeight="1">
      <c r="B22" s="104" t="s">
        <v>840</v>
      </c>
      <c r="C22" s="762">
        <v>1</v>
      </c>
      <c r="D22" s="761">
        <v>1</v>
      </c>
      <c r="E22" s="757">
        <f>(COUNTIFS('Bilateral assistance, MAIN DATA'!AE:AE,"Value is given by the source",'Bilateral assistance, MAIN DATA'!B:B,'Data transparency indices'!$B22)/COUNTIFS('Bilateral assistance, MAIN DATA'!B:B,'Data transparency indices'!$B22))</f>
        <v>0.72222222222222221</v>
      </c>
      <c r="F22" s="559">
        <f>(SUMIFS('Bilateral assistance, MAIN DATA'!AS:AS,'Bilateral assistance, MAIN DATA'!B:B,'Data transparency indices'!$B22)/COUNTIFS('Bilateral assistance, MAIN DATA'!B:B,'Data transparency indices'!$B22))</f>
        <v>0.80555555555555558</v>
      </c>
      <c r="G22" s="757">
        <f>1-(COUNTIFS('Bilateral assistance, MAIN DATA'!M:M,"undisclosed",'Bilateral assistance, MAIN DATA'!B:B,'Data transparency indices'!$B22,'Bilateral assistance, MAIN DATA'!AT:AT,1,'Bilateral assistance, MAIN DATA'!B:B,'Data transparency indices'!$B22)/COUNTIFS('Bilateral assistance, MAIN DATA'!B:B,'Data transparency indices'!$B22,'Bilateral assistance, MAIN DATA'!AT:AT,1))</f>
        <v>0.16666666666666663</v>
      </c>
      <c r="H22" s="758">
        <f t="shared" si="0"/>
        <v>3.6944444444444442</v>
      </c>
      <c r="I22" s="503"/>
      <c r="J22" s="503"/>
    </row>
    <row r="23" spans="2:10">
      <c r="B23" s="104" t="s">
        <v>1562</v>
      </c>
      <c r="C23" s="762">
        <v>1</v>
      </c>
      <c r="D23" s="761">
        <v>1</v>
      </c>
      <c r="E23" s="757">
        <f>(COUNTIFS('Bilateral assistance, MAIN DATA'!AE:AE,"Value is given by the source",'Bilateral assistance, MAIN DATA'!B:B,'Data transparency indices'!$B23)/COUNTIFS('Bilateral assistance, MAIN DATA'!B:B,'Data transparency indices'!$B23))</f>
        <v>0.53125</v>
      </c>
      <c r="F23" s="559">
        <f>(SUMIFS('Bilateral assistance, MAIN DATA'!AS:AS,'Bilateral assistance, MAIN DATA'!B:B,'Data transparency indices'!$B23)/COUNTIFS('Bilateral assistance, MAIN DATA'!B:B,'Data transparency indices'!$B23))</f>
        <v>0.625</v>
      </c>
      <c r="G23" s="757">
        <f>1-(COUNTIFS('Bilateral assistance, MAIN DATA'!M:M,"undisclosed",'Bilateral assistance, MAIN DATA'!B:B,'Data transparency indices'!$B23,'Bilateral assistance, MAIN DATA'!AT:AT,1,'Bilateral assistance, MAIN DATA'!B:B,'Data transparency indices'!$B23)/COUNTIFS('Bilateral assistance, MAIN DATA'!B:B,'Data transparency indices'!$B23,'Bilateral assistance, MAIN DATA'!AT:AT,1))</f>
        <v>0.39130434782608692</v>
      </c>
      <c r="H23" s="758">
        <f t="shared" si="0"/>
        <v>3.5475543478260869</v>
      </c>
      <c r="I23" s="503"/>
      <c r="J23" s="503"/>
    </row>
    <row r="24" spans="2:10">
      <c r="B24" s="104" t="s">
        <v>312</v>
      </c>
      <c r="C24" s="760">
        <v>1</v>
      </c>
      <c r="D24" s="761">
        <v>0</v>
      </c>
      <c r="E24" s="757">
        <f>(COUNTIFS('Bilateral assistance, MAIN DATA'!AE:AE,"Value is given by the source",'Bilateral assistance, MAIN DATA'!B:B,'Data transparency indices'!$B24)/COUNTIFS('Bilateral assistance, MAIN DATA'!B:B,'Data transparency indices'!$B24))</f>
        <v>0.30434782608695654</v>
      </c>
      <c r="F24" s="559">
        <f>(SUMIFS('Bilateral assistance, MAIN DATA'!AS:AS,'Bilateral assistance, MAIN DATA'!B:B,'Data transparency indices'!$B24)/COUNTIFS('Bilateral assistance, MAIN DATA'!B:B,'Data transparency indices'!$B24))</f>
        <v>1</v>
      </c>
      <c r="G24" s="757">
        <f>1-(COUNTIFS('Bilateral assistance, MAIN DATA'!M:M,"undisclosed",'Bilateral assistance, MAIN DATA'!B:B,'Data transparency indices'!$B24,'Bilateral assistance, MAIN DATA'!AT:AT,1,'Bilateral assistance, MAIN DATA'!B:B,'Data transparency indices'!$B24)/COUNTIFS('Bilateral assistance, MAIN DATA'!B:B,'Data transparency indices'!$B24,'Bilateral assistance, MAIN DATA'!AT:AT,1))</f>
        <v>1</v>
      </c>
      <c r="H24" s="758">
        <f t="shared" si="0"/>
        <v>3.3043478260869565</v>
      </c>
      <c r="I24" s="503"/>
      <c r="J24" s="503"/>
    </row>
    <row r="25" spans="2:10">
      <c r="B25" s="104" t="s">
        <v>1471</v>
      </c>
      <c r="C25" s="762">
        <v>1</v>
      </c>
      <c r="D25" s="761">
        <v>1</v>
      </c>
      <c r="E25" s="757">
        <f>(COUNTIFS('Bilateral assistance, MAIN DATA'!AE:AE,"Value is given by the source",'Bilateral assistance, MAIN DATA'!B:B,'Data transparency indices'!$B25)/COUNTIFS('Bilateral assistance, MAIN DATA'!B:B,'Data transparency indices'!$B25))</f>
        <v>0.31578947368421051</v>
      </c>
      <c r="F25" s="559">
        <f>(SUMIFS('Bilateral assistance, MAIN DATA'!AS:AS,'Bilateral assistance, MAIN DATA'!B:B,'Data transparency indices'!$B25)/COUNTIFS('Bilateral assistance, MAIN DATA'!B:B,'Data transparency indices'!$B25))</f>
        <v>0.73684210526315785</v>
      </c>
      <c r="G25" s="757">
        <f>1-(COUNTIFS('Bilateral assistance, MAIN DATA'!M:M,"undisclosed",'Bilateral assistance, MAIN DATA'!B:B,'Data transparency indices'!$B25,'Bilateral assistance, MAIN DATA'!AT:AT,1,'Bilateral assistance, MAIN DATA'!B:B,'Data transparency indices'!$B25)/COUNTIFS('Bilateral assistance, MAIN DATA'!B:B,'Data transparency indices'!$B25,'Bilateral assistance, MAIN DATA'!AT:AT,1))</f>
        <v>0.25</v>
      </c>
      <c r="H25" s="758">
        <f t="shared" si="0"/>
        <v>3.3026315789473686</v>
      </c>
      <c r="I25" s="503"/>
      <c r="J25" s="503"/>
    </row>
    <row r="26" spans="2:10">
      <c r="B26" s="104" t="s">
        <v>2392</v>
      </c>
      <c r="C26" s="762">
        <v>1</v>
      </c>
      <c r="D26" s="761">
        <v>0</v>
      </c>
      <c r="E26" s="757">
        <f>(COUNTIFS('Bilateral assistance, MAIN DATA'!AE:AE,"Value is given by the source",'Bilateral assistance, MAIN DATA'!B:B,'Data transparency indices'!$B26)/COUNTIFS('Bilateral assistance, MAIN DATA'!B:B,'Data transparency indices'!$B26))</f>
        <v>0.70491803278688525</v>
      </c>
      <c r="F26" s="559">
        <f>(SUMIFS('Bilateral assistance, MAIN DATA'!AS:AS,'Bilateral assistance, MAIN DATA'!B:B,'Data transparency indices'!$B26)/COUNTIFS('Bilateral assistance, MAIN DATA'!B:B,'Data transparency indices'!$B26))</f>
        <v>0.78688524590163933</v>
      </c>
      <c r="G26" s="757">
        <f>1-(COUNTIFS('Bilateral assistance, MAIN DATA'!M:M,"undisclosed",'Bilateral assistance, MAIN DATA'!B:B,'Data transparency indices'!$B26,'Bilateral assistance, MAIN DATA'!AT:AT,1,'Bilateral assistance, MAIN DATA'!B:B,'Data transparency indices'!$B26)/COUNTIFS('Bilateral assistance, MAIN DATA'!B:B,'Data transparency indices'!$B26,'Bilateral assistance, MAIN DATA'!AT:AT,1))</f>
        <v>0.68888888888888888</v>
      </c>
      <c r="H26" s="758">
        <f t="shared" si="0"/>
        <v>3.1806921675774138</v>
      </c>
      <c r="I26" s="503"/>
      <c r="J26" s="503"/>
    </row>
    <row r="27" spans="2:10">
      <c r="B27" s="104" t="s">
        <v>618</v>
      </c>
      <c r="C27" s="762">
        <v>0</v>
      </c>
      <c r="D27" s="761">
        <v>0</v>
      </c>
      <c r="E27" s="757">
        <f>(COUNTIFS('Bilateral assistance, MAIN DATA'!AE:AE,"Value is given by the source",'Bilateral assistance, MAIN DATA'!B:B,'Data transparency indices'!$B27)/COUNTIFS('Bilateral assistance, MAIN DATA'!B:B,'Data transparency indices'!$B27))</f>
        <v>1</v>
      </c>
      <c r="F27" s="559">
        <f>(SUMIFS('Bilateral assistance, MAIN DATA'!AS:AS,'Bilateral assistance, MAIN DATA'!B:B,'Data transparency indices'!$B27)/COUNTIFS('Bilateral assistance, MAIN DATA'!B:B,'Data transparency indices'!$B27))</f>
        <v>0.83333333333333337</v>
      </c>
      <c r="G27" s="757">
        <v>1</v>
      </c>
      <c r="H27" s="758">
        <f t="shared" si="0"/>
        <v>2.8333333333333335</v>
      </c>
      <c r="I27" s="503"/>
      <c r="J27" s="503"/>
    </row>
    <row r="28" spans="2:10">
      <c r="B28" s="104" t="s">
        <v>370</v>
      </c>
      <c r="C28" s="760">
        <v>0</v>
      </c>
      <c r="D28" s="761">
        <v>0</v>
      </c>
      <c r="E28" s="757">
        <f>(COUNTIFS('Bilateral assistance, MAIN DATA'!AE:AE,"Value is given by the source",'Bilateral assistance, MAIN DATA'!B:B,'Data transparency indices'!$B28)/COUNTIFS('Bilateral assistance, MAIN DATA'!B:B,'Data transparency indices'!$B28))</f>
        <v>1</v>
      </c>
      <c r="F28" s="559">
        <f>(SUMIFS('Bilateral assistance, MAIN DATA'!AS:AS,'Bilateral assistance, MAIN DATA'!B:B,'Data transparency indices'!$B28)/COUNTIFS('Bilateral assistance, MAIN DATA'!B:B,'Data transparency indices'!$B28))</f>
        <v>0.8</v>
      </c>
      <c r="G28" s="757">
        <f>1-(COUNTIFS('Bilateral assistance, MAIN DATA'!M:M,"undisclosed",'Bilateral assistance, MAIN DATA'!B:B,'Data transparency indices'!$B28,'Bilateral assistance, MAIN DATA'!AT:AT,1,'Bilateral assistance, MAIN DATA'!B:B,'Data transparency indices'!$B28)/COUNTIFS('Bilateral assistance, MAIN DATA'!B:B,'Data transparency indices'!$B28,'Bilateral assistance, MAIN DATA'!AT:AT,1))</f>
        <v>1</v>
      </c>
      <c r="H28" s="758">
        <f t="shared" si="0"/>
        <v>2.8</v>
      </c>
      <c r="I28" s="503"/>
      <c r="J28" s="503"/>
    </row>
    <row r="29" spans="2:10">
      <c r="B29" s="104" t="s">
        <v>591</v>
      </c>
      <c r="C29" s="762">
        <v>0</v>
      </c>
      <c r="D29" s="761">
        <v>0</v>
      </c>
      <c r="E29" s="757">
        <f>(COUNTIFS('Bilateral assistance, MAIN DATA'!AE:AE,"Value is given by the source",'Bilateral assistance, MAIN DATA'!B:B,'Data transparency indices'!$B29)/COUNTIFS('Bilateral assistance, MAIN DATA'!B:B,'Data transparency indices'!$B29))</f>
        <v>1</v>
      </c>
      <c r="F29" s="559">
        <f>(SUMIFS('Bilateral assistance, MAIN DATA'!AS:AS,'Bilateral assistance, MAIN DATA'!B:B,'Data transparency indices'!$B29)/COUNTIFS('Bilateral assistance, MAIN DATA'!B:B,'Data transparency indices'!$B29))</f>
        <v>0.8</v>
      </c>
      <c r="G29" s="757">
        <f>1-(COUNTIFS('Bilateral assistance, MAIN DATA'!M:M,"undisclosed",'Bilateral assistance, MAIN DATA'!B:B,'Data transparency indices'!$B29,'Bilateral assistance, MAIN DATA'!AT:AT,1,'Bilateral assistance, MAIN DATA'!B:B,'Data transparency indices'!$B29)/COUNTIFS('Bilateral assistance, MAIN DATA'!B:B,'Data transparency indices'!$B29,'Bilateral assistance, MAIN DATA'!AT:AT,1))</f>
        <v>1</v>
      </c>
      <c r="H29" s="758">
        <f t="shared" si="0"/>
        <v>2.8</v>
      </c>
      <c r="I29" s="503"/>
      <c r="J29" s="503"/>
    </row>
    <row r="30" spans="2:10">
      <c r="B30" s="2" t="s">
        <v>2002</v>
      </c>
      <c r="C30" s="760">
        <v>1</v>
      </c>
      <c r="D30" s="761">
        <v>0</v>
      </c>
      <c r="E30" s="757">
        <f>(COUNTIFS('Bilateral assistance, MAIN DATA'!AE:AE,"Value is given by the source",'Bilateral assistance, MAIN DATA'!B:B,'Data transparency indices'!$B30)/COUNTIFS('Bilateral assistance, MAIN DATA'!B:B,'Data transparency indices'!$B30))</f>
        <v>1</v>
      </c>
      <c r="F30" s="559">
        <f>(SUMIFS('Bilateral assistance, MAIN DATA'!AS:AS,'Bilateral assistance, MAIN DATA'!B:B,'Data transparency indices'!$B30)/COUNTIFS('Bilateral assistance, MAIN DATA'!B:B,'Data transparency indices'!$B30))</f>
        <v>0.3</v>
      </c>
      <c r="G30" s="757">
        <f>1-(COUNTIFS('Bilateral assistance, MAIN DATA'!M:M,"undisclosed",'Bilateral assistance, MAIN DATA'!B:B,'Data transparency indices'!$B30,'Bilateral assistance, MAIN DATA'!AT:AT,1,'Bilateral assistance, MAIN DATA'!B:B,'Data transparency indices'!$B30)/COUNTIFS('Bilateral assistance, MAIN DATA'!B:B,'Data transparency indices'!$B30,'Bilateral assistance, MAIN DATA'!AT:AT,1))</f>
        <v>0.5</v>
      </c>
      <c r="H30" s="758">
        <f t="shared" si="0"/>
        <v>2.8</v>
      </c>
      <c r="I30" s="503"/>
      <c r="J30" s="503"/>
    </row>
    <row r="31" spans="2:10">
      <c r="B31" s="104" t="s">
        <v>1412</v>
      </c>
      <c r="C31" s="762">
        <v>1</v>
      </c>
      <c r="D31" s="761">
        <v>0</v>
      </c>
      <c r="E31" s="757">
        <f>(COUNTIFS('Bilateral assistance, MAIN DATA'!AE:AE,"Value is given by the source",'Bilateral assistance, MAIN DATA'!B:B,'Data transparency indices'!$B31)/COUNTIFS('Bilateral assistance, MAIN DATA'!B:B,'Data transparency indices'!$B31))</f>
        <v>0.21739130434782608</v>
      </c>
      <c r="F31" s="559">
        <f>(SUMIFS('Bilateral assistance, MAIN DATA'!AS:AS,'Bilateral assistance, MAIN DATA'!B:B,'Data transparency indices'!$B31)/COUNTIFS('Bilateral assistance, MAIN DATA'!B:B,'Data transparency indices'!$B31))</f>
        <v>0.78260869565217395</v>
      </c>
      <c r="G31" s="757">
        <f>1-(COUNTIFS('Bilateral assistance, MAIN DATA'!M:M,"undisclosed",'Bilateral assistance, MAIN DATA'!B:B,'Data transparency indices'!$B31,'Bilateral assistance, MAIN DATA'!AT:AT,1,'Bilateral assistance, MAIN DATA'!B:B,'Data transparency indices'!$B31)/COUNTIFS('Bilateral assistance, MAIN DATA'!B:B,'Data transparency indices'!$B31,'Bilateral assistance, MAIN DATA'!AT:AT,1))</f>
        <v>0.66666666666666674</v>
      </c>
      <c r="H31" s="758">
        <f t="shared" si="0"/>
        <v>2.666666666666667</v>
      </c>
      <c r="I31" s="503"/>
      <c r="J31" s="503"/>
    </row>
    <row r="32" spans="2:10">
      <c r="B32" s="104" t="s">
        <v>2063</v>
      </c>
      <c r="C32" s="762">
        <v>0</v>
      </c>
      <c r="D32" s="761">
        <v>0</v>
      </c>
      <c r="E32" s="757">
        <f>(COUNTIFS('Bilateral assistance, MAIN DATA'!AE:AE,"Value is given by the source",'Bilateral assistance, MAIN DATA'!B:B,'Data transparency indices'!$B32)/COUNTIFS('Bilateral assistance, MAIN DATA'!B:B,'Data transparency indices'!$B32))</f>
        <v>0.58333333333333337</v>
      </c>
      <c r="F32" s="559">
        <f>(SUMIFS('Bilateral assistance, MAIN DATA'!AS:AS,'Bilateral assistance, MAIN DATA'!B:B,'Data transparency indices'!$B32)/COUNTIFS('Bilateral assistance, MAIN DATA'!B:B,'Data transparency indices'!$B32))</f>
        <v>0.66666666666666663</v>
      </c>
      <c r="G32" s="757">
        <f>1-(COUNTIFS('Bilateral assistance, MAIN DATA'!M:M,"undisclosed",'Bilateral assistance, MAIN DATA'!B:B,'Data transparency indices'!$B32,'Bilateral assistance, MAIN DATA'!AT:AT,1,'Bilateral assistance, MAIN DATA'!B:B,'Data transparency indices'!$B32)/COUNTIFS('Bilateral assistance, MAIN DATA'!B:B,'Data transparency indices'!$B32,'Bilateral assistance, MAIN DATA'!AT:AT,1))</f>
        <v>1</v>
      </c>
      <c r="H32" s="758">
        <f t="shared" si="0"/>
        <v>2.25</v>
      </c>
      <c r="I32" s="503"/>
      <c r="J32" s="503"/>
    </row>
    <row r="33" spans="2:10">
      <c r="B33" s="104" t="s">
        <v>1516</v>
      </c>
      <c r="C33" s="762">
        <v>0</v>
      </c>
      <c r="D33" s="761">
        <v>0</v>
      </c>
      <c r="E33" s="757">
        <f>(COUNTIFS('Bilateral assistance, MAIN DATA'!AE:AE,"Value is given by the source",'Bilateral assistance, MAIN DATA'!B:B,'Data transparency indices'!$B33)/COUNTIFS('Bilateral assistance, MAIN DATA'!B:B,'Data transparency indices'!$B33))</f>
        <v>0.8</v>
      </c>
      <c r="F33" s="559">
        <f>(SUMIFS('Bilateral assistance, MAIN DATA'!AS:AS,'Bilateral assistance, MAIN DATA'!B:B,'Data transparency indices'!$B33)/COUNTIFS('Bilateral assistance, MAIN DATA'!B:B,'Data transparency indices'!$B33))</f>
        <v>0.93333333333333335</v>
      </c>
      <c r="G33" s="757">
        <f>1-(COUNTIFS('Bilateral assistance, MAIN DATA'!M:M,"undisclosed",'Bilateral assistance, MAIN DATA'!B:B,'Data transparency indices'!$B33,'Bilateral assistance, MAIN DATA'!AT:AT,1,'Bilateral assistance, MAIN DATA'!B:B,'Data transparency indices'!$B33)/COUNTIFS('Bilateral assistance, MAIN DATA'!B:B,'Data transparency indices'!$B33,'Bilateral assistance, MAIN DATA'!AT:AT,1))</f>
        <v>0.5</v>
      </c>
      <c r="H33" s="758">
        <f t="shared" si="0"/>
        <v>2.2333333333333334</v>
      </c>
      <c r="I33" s="503"/>
      <c r="J33" s="503"/>
    </row>
    <row r="34" spans="2:10">
      <c r="B34" s="104" t="s">
        <v>632</v>
      </c>
      <c r="C34" s="762">
        <v>0</v>
      </c>
      <c r="D34" s="761">
        <v>0</v>
      </c>
      <c r="E34" s="757">
        <f>(COUNTIFS('Bilateral assistance, MAIN DATA'!AE:AE,"Value is given by the source",'Bilateral assistance, MAIN DATA'!B:B,'Data transparency indices'!$B34)/COUNTIFS('Bilateral assistance, MAIN DATA'!B:B,'Data transparency indices'!$B34))</f>
        <v>0.8</v>
      </c>
      <c r="F34" s="559">
        <f>(SUMIFS('Bilateral assistance, MAIN DATA'!AS:AS,'Bilateral assistance, MAIN DATA'!B:B,'Data transparency indices'!$B34)/COUNTIFS('Bilateral assistance, MAIN DATA'!B:B,'Data transparency indices'!$B34))</f>
        <v>0.42</v>
      </c>
      <c r="G34" s="757">
        <f>1-(COUNTIFS('Bilateral assistance, MAIN DATA'!M:M,"undisclosed",'Bilateral assistance, MAIN DATA'!B:B,'Data transparency indices'!$B34,'Bilateral assistance, MAIN DATA'!AT:AT,1,'Bilateral assistance, MAIN DATA'!B:B,'Data transparency indices'!$B34)/COUNTIFS('Bilateral assistance, MAIN DATA'!B:B,'Data transparency indices'!$B34,'Bilateral assistance, MAIN DATA'!AT:AT,1))</f>
        <v>1</v>
      </c>
      <c r="H34" s="758">
        <f t="shared" si="0"/>
        <v>2.2199999999999998</v>
      </c>
      <c r="I34" s="503"/>
      <c r="J34" s="503"/>
    </row>
    <row r="35" spans="2:10">
      <c r="B35" s="104" t="s">
        <v>2034</v>
      </c>
      <c r="C35" s="762">
        <v>0</v>
      </c>
      <c r="D35" s="761">
        <v>0</v>
      </c>
      <c r="E35" s="757">
        <f>(COUNTIFS('Bilateral assistance, MAIN DATA'!AE:AE,"Value is given by the source",'Bilateral assistance, MAIN DATA'!B:B,'Data transparency indices'!$B35)/COUNTIFS('Bilateral assistance, MAIN DATA'!B:B,'Data transparency indices'!$B35))</f>
        <v>0.33333333333333331</v>
      </c>
      <c r="F35" s="559">
        <f>(SUMIFS('Bilateral assistance, MAIN DATA'!AS:AS,'Bilateral assistance, MAIN DATA'!B:B,'Data transparency indices'!$B35)/COUNTIFS('Bilateral assistance, MAIN DATA'!B:B,'Data transparency indices'!$B35))</f>
        <v>0.77777777777777779</v>
      </c>
      <c r="G35" s="757">
        <f>1-(COUNTIFS('Bilateral assistance, MAIN DATA'!M:M,"undisclosed",'Bilateral assistance, MAIN DATA'!B:B,'Data transparency indices'!$B35,'Bilateral assistance, MAIN DATA'!AT:AT,1,'Bilateral assistance, MAIN DATA'!B:B,'Data transparency indices'!$B35)/COUNTIFS('Bilateral assistance, MAIN DATA'!B:B,'Data transparency indices'!$B35,'Bilateral assistance, MAIN DATA'!AT:AT,1))</f>
        <v>1</v>
      </c>
      <c r="H35" s="758">
        <f t="shared" si="0"/>
        <v>2.1111111111111112</v>
      </c>
      <c r="I35" s="503"/>
      <c r="J35" s="503"/>
    </row>
    <row r="36" spans="2:10">
      <c r="B36" s="104" t="s">
        <v>2368</v>
      </c>
      <c r="C36" s="762">
        <v>0</v>
      </c>
      <c r="D36" s="761">
        <v>0</v>
      </c>
      <c r="E36" s="757">
        <f>(COUNTIFS('Bilateral assistance, MAIN DATA'!AE:AE,"Value is given by the source",'Bilateral assistance, MAIN DATA'!B:B,'Data transparency indices'!$B36)/COUNTIFS('Bilateral assistance, MAIN DATA'!B:B,'Data transparency indices'!$B36))</f>
        <v>1</v>
      </c>
      <c r="F36" s="559">
        <f>(SUMIFS('Bilateral assistance, MAIN DATA'!AS:AS,'Bilateral assistance, MAIN DATA'!B:B,'Data transparency indices'!$B36)/COUNTIFS('Bilateral assistance, MAIN DATA'!B:B,'Data transparency indices'!$B36))</f>
        <v>0.1111111111111111</v>
      </c>
      <c r="G36" s="757">
        <v>1</v>
      </c>
      <c r="H36" s="758">
        <f t="shared" si="0"/>
        <v>2.1111111111111112</v>
      </c>
      <c r="I36" s="503"/>
      <c r="J36" s="503"/>
    </row>
    <row r="37" spans="2:10">
      <c r="B37" s="104" t="s">
        <v>1653</v>
      </c>
      <c r="C37" s="762">
        <v>0</v>
      </c>
      <c r="D37" s="761">
        <v>0</v>
      </c>
      <c r="E37" s="757">
        <f>(COUNTIFS('Bilateral assistance, MAIN DATA'!AE:AE,"Value is given by the source",'Bilateral assistance, MAIN DATA'!B:B,'Data transparency indices'!$B37)/COUNTIFS('Bilateral assistance, MAIN DATA'!B:B,'Data transparency indices'!$B37))</f>
        <v>0.8</v>
      </c>
      <c r="F37" s="559">
        <f>(SUMIFS('Bilateral assistance, MAIN DATA'!AS:AS,'Bilateral assistance, MAIN DATA'!B:B,'Data transparency indices'!$B37)/COUNTIFS('Bilateral assistance, MAIN DATA'!B:B,'Data transparency indices'!$B37))</f>
        <v>0.7</v>
      </c>
      <c r="G37" s="757">
        <f>1-(COUNTIFS('Bilateral assistance, MAIN DATA'!M:M,"undisclosed",'Bilateral assistance, MAIN DATA'!B:B,'Data transparency indices'!$B37,'Bilateral assistance, MAIN DATA'!AT:AT,1,'Bilateral assistance, MAIN DATA'!B:B,'Data transparency indices'!$B37)/COUNTIFS('Bilateral assistance, MAIN DATA'!B:B,'Data transparency indices'!$B37,'Bilateral assistance, MAIN DATA'!AT:AT,1))</f>
        <v>0.5714285714285714</v>
      </c>
      <c r="H37" s="758">
        <f t="shared" si="0"/>
        <v>2.0714285714285712</v>
      </c>
      <c r="I37" s="503"/>
      <c r="J37" s="503"/>
    </row>
    <row r="38" spans="2:10" ht="15.95" customHeight="1">
      <c r="B38" s="104" t="s">
        <v>1012</v>
      </c>
      <c r="C38" s="762">
        <v>0</v>
      </c>
      <c r="D38" s="761">
        <v>0</v>
      </c>
      <c r="E38" s="757">
        <f>(COUNTIFS('Bilateral assistance, MAIN DATA'!AE:AE,"Value is given by the source",'Bilateral assistance, MAIN DATA'!B:B,'Data transparency indices'!$B38)/COUNTIFS('Bilateral assistance, MAIN DATA'!B:B,'Data transparency indices'!$B38))</f>
        <v>0.39655172413793105</v>
      </c>
      <c r="F38" s="559">
        <f>(SUMIFS('Bilateral assistance, MAIN DATA'!AS:AS,'Bilateral assistance, MAIN DATA'!B:B,'Data transparency indices'!$B38)/COUNTIFS('Bilateral assistance, MAIN DATA'!B:B,'Data transparency indices'!$B38))</f>
        <v>0.82758620689655171</v>
      </c>
      <c r="G38" s="757">
        <f>1-(COUNTIFS('Bilateral assistance, MAIN DATA'!M:M,"undisclosed",'Bilateral assistance, MAIN DATA'!B:B,'Data transparency indices'!$B38,'Bilateral assistance, MAIN DATA'!AT:AT,1,'Bilateral assistance, MAIN DATA'!B:B,'Data transparency indices'!$B38)/COUNTIFS('Bilateral assistance, MAIN DATA'!B:B,'Data transparency indices'!$B38,'Bilateral assistance, MAIN DATA'!AT:AT,1))</f>
        <v>0.83333333333333337</v>
      </c>
      <c r="H38" s="758">
        <f t="shared" si="0"/>
        <v>2.0574712643678161</v>
      </c>
      <c r="I38" s="503"/>
      <c r="J38" s="503"/>
    </row>
    <row r="39" spans="2:10">
      <c r="B39" s="104" t="s">
        <v>583</v>
      </c>
      <c r="C39" s="762">
        <v>0</v>
      </c>
      <c r="D39" s="761">
        <v>0</v>
      </c>
      <c r="E39" s="757">
        <f>(COUNTIFS('Bilateral assistance, MAIN DATA'!AE:AE,"Value is given by the source",'Bilateral assistance, MAIN DATA'!B:B,'Data transparency indices'!$B39)/COUNTIFS('Bilateral assistance, MAIN DATA'!B:B,'Data transparency indices'!$B39))</f>
        <v>1</v>
      </c>
      <c r="F39" s="559">
        <f>(SUMIFS('Bilateral assistance, MAIN DATA'!AS:AS,'Bilateral assistance, MAIN DATA'!B:B,'Data transparency indices'!$B39)/COUNTIFS('Bilateral assistance, MAIN DATA'!B:B,'Data transparency indices'!$B39))</f>
        <v>0</v>
      </c>
      <c r="G39" s="757">
        <v>1</v>
      </c>
      <c r="H39" s="758">
        <f t="shared" si="0"/>
        <v>2</v>
      </c>
      <c r="I39" s="503"/>
      <c r="J39" s="503"/>
    </row>
    <row r="40" spans="2:10">
      <c r="B40" s="104" t="s">
        <v>1335</v>
      </c>
      <c r="C40" s="762">
        <v>0</v>
      </c>
      <c r="D40" s="761">
        <v>0</v>
      </c>
      <c r="E40" s="757">
        <f>(COUNTIFS('Bilateral assistance, MAIN DATA'!AE:AE,"Value is given by the source",'Bilateral assistance, MAIN DATA'!B:B,'Data transparency indices'!$B40)/COUNTIFS('Bilateral assistance, MAIN DATA'!B:B,'Data transparency indices'!$B40))</f>
        <v>0.35714285714285715</v>
      </c>
      <c r="F40" s="559">
        <f>(SUMIFS('Bilateral assistance, MAIN DATA'!AS:AS,'Bilateral assistance, MAIN DATA'!B:B,'Data transparency indices'!$B40)/COUNTIFS('Bilateral assistance, MAIN DATA'!B:B,'Data transparency indices'!$B40))</f>
        <v>0.6428571428571429</v>
      </c>
      <c r="G40" s="757">
        <v>1</v>
      </c>
      <c r="H40" s="758">
        <f t="shared" si="0"/>
        <v>2</v>
      </c>
      <c r="I40" s="503"/>
      <c r="J40" s="503"/>
    </row>
    <row r="41" spans="2:10">
      <c r="B41" s="104" t="s">
        <v>1369</v>
      </c>
      <c r="C41" s="762">
        <v>0</v>
      </c>
      <c r="D41" s="761">
        <v>0</v>
      </c>
      <c r="E41" s="757">
        <f>(COUNTIFS('Bilateral assistance, MAIN DATA'!AE:AE,"Value is given by the source",'Bilateral assistance, MAIN DATA'!B:B,'Data transparency indices'!$B41)/COUNTIFS('Bilateral assistance, MAIN DATA'!B:B,'Data transparency indices'!$B41))</f>
        <v>0</v>
      </c>
      <c r="F41" s="559">
        <f>(SUMIFS('Bilateral assistance, MAIN DATA'!AS:AS,'Bilateral assistance, MAIN DATA'!B:B,'Data transparency indices'!$B41)/COUNTIFS('Bilateral assistance, MAIN DATA'!B:B,'Data transparency indices'!$B41))</f>
        <v>1</v>
      </c>
      <c r="G41" s="757">
        <v>1</v>
      </c>
      <c r="H41" s="758">
        <f t="shared" si="0"/>
        <v>2</v>
      </c>
      <c r="I41" s="503"/>
      <c r="J41" s="503"/>
    </row>
    <row r="42" spans="2:10">
      <c r="B42" s="2" t="s">
        <v>2348</v>
      </c>
      <c r="C42" s="760">
        <v>0</v>
      </c>
      <c r="D42" s="761">
        <v>0</v>
      </c>
      <c r="E42" s="757">
        <f>(COUNTIFS('Bilateral assistance, MAIN DATA'!AE:AE,"Value is given by the source",'Bilateral assistance, MAIN DATA'!B:B,'Data transparency indices'!$B42)/COUNTIFS('Bilateral assistance, MAIN DATA'!B:B,'Data transparency indices'!$B42))</f>
        <v>0</v>
      </c>
      <c r="F42" s="559">
        <f>(SUMIFS('Bilateral assistance, MAIN DATA'!AS:AS,'Bilateral assistance, MAIN DATA'!B:B,'Data transparency indices'!$B42)/COUNTIFS('Bilateral assistance, MAIN DATA'!B:B,'Data transparency indices'!$B42))</f>
        <v>0.77777777777777779</v>
      </c>
      <c r="G42" s="757">
        <f>1-(COUNTIFS('Bilateral assistance, MAIN DATA'!M:M,"undisclosed",'Bilateral assistance, MAIN DATA'!B:B,'Data transparency indices'!$B42,'Bilateral assistance, MAIN DATA'!AT:AT,1,'Bilateral assistance, MAIN DATA'!B:B,'Data transparency indices'!$B42)/COUNTIFS('Bilateral assistance, MAIN DATA'!B:B,'Data transparency indices'!$B42,'Bilateral assistance, MAIN DATA'!AT:AT,1))</f>
        <v>1</v>
      </c>
      <c r="H42" s="758">
        <f t="shared" si="0"/>
        <v>1.7777777777777777</v>
      </c>
      <c r="I42" s="503"/>
      <c r="J42" s="503"/>
    </row>
    <row r="43" spans="2:10">
      <c r="B43" s="104" t="s">
        <v>2106</v>
      </c>
      <c r="C43" s="763">
        <v>0</v>
      </c>
      <c r="D43" s="761">
        <v>0</v>
      </c>
      <c r="E43" s="757">
        <f>(COUNTIFS('Bilateral assistance, MAIN DATA'!AE:AE,"Value is given by the source",'Bilateral assistance, MAIN DATA'!B:B,'Data transparency indices'!$B43)/COUNTIFS('Bilateral assistance, MAIN DATA'!B:B,'Data transparency indices'!$B43))</f>
        <v>0.8</v>
      </c>
      <c r="F43" s="559">
        <f>(SUMIFS('Bilateral assistance, MAIN DATA'!AS:AS,'Bilateral assistance, MAIN DATA'!B:B,'Data transparency indices'!$B43)/COUNTIFS('Bilateral assistance, MAIN DATA'!B:B,'Data transparency indices'!$B43))</f>
        <v>0.5</v>
      </c>
      <c r="G43" s="757">
        <f>1-(COUNTIFS('Bilateral assistance, MAIN DATA'!M:M,"undisclosed",'Bilateral assistance, MAIN DATA'!B:B,'Data transparency indices'!$B43,'Bilateral assistance, MAIN DATA'!AT:AT,1,'Bilateral assistance, MAIN DATA'!B:B,'Data transparency indices'!$B43)/COUNTIFS('Bilateral assistance, MAIN DATA'!B:B,'Data transparency indices'!$B43,'Bilateral assistance, MAIN DATA'!AT:AT,1))</f>
        <v>0.4</v>
      </c>
      <c r="H43" s="758">
        <f t="shared" si="0"/>
        <v>1.7000000000000002</v>
      </c>
      <c r="I43" s="503"/>
      <c r="J43" s="503"/>
    </row>
    <row r="44" spans="2:10">
      <c r="B44" s="104" t="s">
        <v>1894</v>
      </c>
      <c r="C44" s="762">
        <v>0</v>
      </c>
      <c r="D44" s="761">
        <v>0</v>
      </c>
      <c r="E44" s="757">
        <f>(COUNTIFS('Bilateral assistance, MAIN DATA'!AE:AE,"Value is given by the source",'Bilateral assistance, MAIN DATA'!B:B,'Data transparency indices'!$B44)/COUNTIFS('Bilateral assistance, MAIN DATA'!B:B,'Data transparency indices'!$B44))</f>
        <v>0.68181818181818177</v>
      </c>
      <c r="F44" s="559">
        <f>(SUMIFS('Bilateral assistance, MAIN DATA'!AS:AS,'Bilateral assistance, MAIN DATA'!B:B,'Data transparency indices'!$B44)/COUNTIFS('Bilateral assistance, MAIN DATA'!B:B,'Data transparency indices'!$B44))</f>
        <v>0.40909090909090912</v>
      </c>
      <c r="G44" s="757">
        <f>1-(COUNTIFS('Bilateral assistance, MAIN DATA'!M:M,"undisclosed",'Bilateral assistance, MAIN DATA'!B:B,'Data transparency indices'!$B44,'Bilateral assistance, MAIN DATA'!AT:AT,1,'Bilateral assistance, MAIN DATA'!B:B,'Data transparency indices'!$B44)/COUNTIFS('Bilateral assistance, MAIN DATA'!B:B,'Data transparency indices'!$B44,'Bilateral assistance, MAIN DATA'!AT:AT,1))</f>
        <v>0.6</v>
      </c>
      <c r="H44" s="758">
        <f t="shared" si="0"/>
        <v>1.6909090909090909</v>
      </c>
      <c r="I44" s="503"/>
      <c r="J44" s="503"/>
    </row>
    <row r="45" spans="2:10">
      <c r="B45" s="104" t="s">
        <v>1294</v>
      </c>
      <c r="C45" s="762">
        <v>0</v>
      </c>
      <c r="D45" s="761">
        <v>0</v>
      </c>
      <c r="E45" s="757">
        <f>(COUNTIFS('Bilateral assistance, MAIN DATA'!AE:AE,"Value is given by the source",'Bilateral assistance, MAIN DATA'!B:B,'Data transparency indices'!$B45)/COUNTIFS('Bilateral assistance, MAIN DATA'!B:B,'Data transparency indices'!$B45))</f>
        <v>0</v>
      </c>
      <c r="F45" s="559">
        <f>(SUMIFS('Bilateral assistance, MAIN DATA'!AS:AS,'Bilateral assistance, MAIN DATA'!B:B,'Data transparency indices'!$B45)/COUNTIFS('Bilateral assistance, MAIN DATA'!B:B,'Data transparency indices'!$B45))</f>
        <v>0.53333333333333333</v>
      </c>
      <c r="G45" s="757">
        <f>1-(COUNTIFS('Bilateral assistance, MAIN DATA'!M:M,"undisclosed",'Bilateral assistance, MAIN DATA'!B:B,'Data transparency indices'!$B45,'Bilateral assistance, MAIN DATA'!AT:AT,1,'Bilateral assistance, MAIN DATA'!B:B,'Data transparency indices'!$B45)/COUNTIFS('Bilateral assistance, MAIN DATA'!B:B,'Data transparency indices'!$B45,'Bilateral assistance, MAIN DATA'!AT:AT,1))</f>
        <v>1</v>
      </c>
      <c r="H45" s="758">
        <f t="shared" si="0"/>
        <v>1.5333333333333332</v>
      </c>
      <c r="I45" s="503"/>
      <c r="J45" s="503"/>
    </row>
    <row r="46" spans="2:10">
      <c r="B46" s="104" t="s">
        <v>2162</v>
      </c>
      <c r="C46" s="762">
        <v>0</v>
      </c>
      <c r="D46" s="761">
        <v>0</v>
      </c>
      <c r="E46" s="757">
        <f>(COUNTIFS('Bilateral assistance, MAIN DATA'!AE:AE,"Value is given by the source",'Bilateral assistance, MAIN DATA'!B:B,'Data transparency indices'!$B46)/COUNTIFS('Bilateral assistance, MAIN DATA'!B:B,'Data transparency indices'!$B46))</f>
        <v>0.17142857142857143</v>
      </c>
      <c r="F46" s="559">
        <f>(SUMIFS('Bilateral assistance, MAIN DATA'!AS:AS,'Bilateral assistance, MAIN DATA'!B:B,'Data transparency indices'!$B46)/COUNTIFS('Bilateral assistance, MAIN DATA'!B:B,'Data transparency indices'!$B46))</f>
        <v>0.51428571428571423</v>
      </c>
      <c r="G46" s="757">
        <f>1-(COUNTIFS('Bilateral assistance, MAIN DATA'!M:M,"undisclosed",'Bilateral assistance, MAIN DATA'!B:B,'Data transparency indices'!$B46,'Bilateral assistance, MAIN DATA'!AT:AT,1,'Bilateral assistance, MAIN DATA'!B:B,'Data transparency indices'!$B46)/COUNTIFS('Bilateral assistance, MAIN DATA'!B:B,'Data transparency indices'!$B46,'Bilateral assistance, MAIN DATA'!AT:AT,1))</f>
        <v>0.69230769230769229</v>
      </c>
      <c r="H46" s="758">
        <f t="shared" si="0"/>
        <v>1.378021978021978</v>
      </c>
      <c r="I46" s="503"/>
      <c r="J46" s="503"/>
    </row>
    <row r="47" spans="2:10">
      <c r="B47" s="104" t="s">
        <v>428</v>
      </c>
      <c r="C47" s="762">
        <v>0</v>
      </c>
      <c r="D47" s="761">
        <v>0</v>
      </c>
      <c r="E47" s="757">
        <f>(COUNTIFS('Bilateral assistance, MAIN DATA'!AE:AE,"Value is given by the source",'Bilateral assistance, MAIN DATA'!B:B,'Data transparency indices'!$B47)/COUNTIFS('Bilateral assistance, MAIN DATA'!B:B,'Data transparency indices'!$B47))</f>
        <v>0.16666666666666666</v>
      </c>
      <c r="F47" s="559">
        <f>(SUMIFS('Bilateral assistance, MAIN DATA'!AS:AS,'Bilateral assistance, MAIN DATA'!B:B,'Data transparency indices'!$B47)/COUNTIFS('Bilateral assistance, MAIN DATA'!B:B,'Data transparency indices'!$B47))</f>
        <v>0.16666666666666666</v>
      </c>
      <c r="G47" s="757">
        <f>1-(COUNTIFS('Bilateral assistance, MAIN DATA'!M:M,"undisclosed",'Bilateral assistance, MAIN DATA'!B:B,'Data transparency indices'!$B47,'Bilateral assistance, MAIN DATA'!AT:AT,1,'Bilateral assistance, MAIN DATA'!B:B,'Data transparency indices'!$B47)/COUNTIFS('Bilateral assistance, MAIN DATA'!B:B,'Data transparency indices'!$B47,'Bilateral assistance, MAIN DATA'!AT:AT,1))</f>
        <v>1</v>
      </c>
      <c r="H47" s="758">
        <f t="shared" si="0"/>
        <v>1.3333333333333333</v>
      </c>
      <c r="I47" s="503"/>
      <c r="J47" s="503"/>
    </row>
    <row r="48" spans="2:10">
      <c r="B48" s="788" t="s">
        <v>1957</v>
      </c>
      <c r="C48" s="789">
        <v>0</v>
      </c>
      <c r="D48" s="790">
        <v>0</v>
      </c>
      <c r="E48" s="791">
        <f>(COUNTIFS('Bilateral assistance, MAIN DATA'!AE:AE,"Value is given by the source",'Bilateral assistance, MAIN DATA'!B:B,'Data transparency indices'!$B48)/COUNTIFS('Bilateral assistance, MAIN DATA'!B:B,'Data transparency indices'!$B48))</f>
        <v>0.1875</v>
      </c>
      <c r="F48" s="792">
        <f>(SUMIFS('Bilateral assistance, MAIN DATA'!AS:AS,'Bilateral assistance, MAIN DATA'!B:B,'Data transparency indices'!$B48)/COUNTIFS('Bilateral assistance, MAIN DATA'!B:B,'Data transparency indices'!$B48))</f>
        <v>0.625</v>
      </c>
      <c r="G48" s="791">
        <f>1-(COUNTIFS('Bilateral assistance, MAIN DATA'!M:M,"undisclosed",'Bilateral assistance, MAIN DATA'!B:B,'Data transparency indices'!$B48,'Bilateral assistance, MAIN DATA'!AT:AT,1,'Bilateral assistance, MAIN DATA'!B:B,'Data transparency indices'!$B48)/COUNTIFS('Bilateral assistance, MAIN DATA'!B:B,'Data transparency indices'!$B48,'Bilateral assistance, MAIN DATA'!AT:AT,1))</f>
        <v>0.46153846153846156</v>
      </c>
      <c r="H48" s="793">
        <f t="shared" si="0"/>
        <v>1.2740384615384617</v>
      </c>
      <c r="I48" s="503"/>
      <c r="J48" s="503"/>
    </row>
    <row r="49" spans="2:10">
      <c r="C49" s="336"/>
    </row>
    <row r="51" spans="2:10" ht="14.25" customHeight="1">
      <c r="B51" s="509" t="s">
        <v>3054</v>
      </c>
      <c r="C51" s="764">
        <f>SUM(C8:C48)/40</f>
        <v>0.52500000000000002</v>
      </c>
      <c r="D51" s="764">
        <f>SUM(D8:D48)/40</f>
        <v>0.35</v>
      </c>
      <c r="E51" s="764">
        <f>SUM(E8:E48)/41</f>
        <v>0.61218556124525947</v>
      </c>
      <c r="F51" s="764">
        <f>SUM(F8:F48)/41</f>
        <v>0.73866987918705773</v>
      </c>
      <c r="G51" s="764">
        <f>SUM(G8:G48)/41</f>
        <v>0.79058129795425047</v>
      </c>
      <c r="H51" s="764">
        <f>SUM(H8:H48)/41</f>
        <v>2.9950952749719328</v>
      </c>
      <c r="I51" s="504"/>
      <c r="J51" s="504"/>
    </row>
    <row r="52" spans="2:10" s="506" customFormat="1" ht="14.1">
      <c r="B52" s="765" t="s">
        <v>4638</v>
      </c>
      <c r="C52" s="766">
        <f>COUNTIF(C8:C48,0)</f>
        <v>20</v>
      </c>
      <c r="D52" s="766">
        <f>COUNTIF(D8:D48,0)</f>
        <v>27</v>
      </c>
      <c r="E52" s="766">
        <f>COUNTIF(E8:E48,1)</f>
        <v>9</v>
      </c>
      <c r="F52" s="766">
        <f>COUNTIF(F8:F48,1)</f>
        <v>7</v>
      </c>
      <c r="G52" s="766">
        <f>COUNTIF(G8:G48,1)</f>
        <v>19</v>
      </c>
      <c r="H52" s="766">
        <f>COUNTIF(H8:H48,5)</f>
        <v>1</v>
      </c>
      <c r="I52" s="505"/>
      <c r="J52" s="505"/>
    </row>
    <row r="53" spans="2:10" ht="14.1">
      <c r="B53" s="759" t="s">
        <v>4639</v>
      </c>
      <c r="C53" s="767">
        <f>C52/40</f>
        <v>0.5</v>
      </c>
      <c r="D53" s="767">
        <f>D52/40</f>
        <v>0.67500000000000004</v>
      </c>
      <c r="E53" s="767">
        <f>E52/41</f>
        <v>0.21951219512195122</v>
      </c>
      <c r="F53" s="767">
        <f>F52/41</f>
        <v>0.17073170731707318</v>
      </c>
      <c r="G53" s="767">
        <f>G52/41</f>
        <v>0.46341463414634149</v>
      </c>
      <c r="H53" s="767">
        <f>H52/41</f>
        <v>2.4390243902439025E-2</v>
      </c>
      <c r="I53" s="336"/>
      <c r="J53" s="336"/>
    </row>
  </sheetData>
  <sortState xmlns:xlrd2="http://schemas.microsoft.com/office/spreadsheetml/2017/richdata2" ref="B8:H48">
    <sortCondition descending="1" ref="H8:H48"/>
  </sortState>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AA7"/>
  <sheetViews>
    <sheetView zoomScaleNormal="100" workbookViewId="0">
      <pane xSplit="1" ySplit="1" topLeftCell="B2" activePane="bottomRight" state="frozen"/>
      <selection pane="bottomRight"/>
      <selection pane="bottomLeft" activeCell="D11" sqref="D11"/>
      <selection pane="topRight" activeCell="D11" sqref="D11"/>
    </sheetView>
  </sheetViews>
  <sheetFormatPr defaultColWidth="10.5" defaultRowHeight="15" customHeight="1"/>
  <cols>
    <col min="1" max="1" width="8" style="77" customWidth="1"/>
    <col min="2" max="2" width="22" style="77" bestFit="1" customWidth="1"/>
    <col min="3" max="3" width="32.5" style="44" customWidth="1"/>
    <col min="4" max="4" width="22.5" style="77" customWidth="1"/>
    <col min="5" max="5" width="55.5" style="44" customWidth="1"/>
    <col min="6" max="6" width="55" style="51" customWidth="1"/>
    <col min="7" max="7" width="49" style="79" customWidth="1"/>
    <col min="8" max="8" width="15.5" style="80" bestFit="1" customWidth="1"/>
    <col min="9" max="9" width="62.5" style="44" customWidth="1"/>
    <col min="10" max="10" width="7.5" style="93" customWidth="1"/>
    <col min="11" max="11" width="7.5" style="88" customWidth="1"/>
    <col min="12" max="12" width="16.5" style="49" customWidth="1"/>
    <col min="13" max="13" width="30.5" style="43" customWidth="1"/>
    <col min="14" max="14" width="18" style="94" customWidth="1"/>
    <col min="15" max="15" width="31.5" style="38" customWidth="1"/>
    <col min="16" max="16" width="31.5" style="81" customWidth="1"/>
    <col min="17" max="17" width="24.5" style="95" customWidth="1"/>
    <col min="18" max="18" width="23.5" style="43" customWidth="1"/>
    <col min="19" max="19" width="39.5" style="84" customWidth="1"/>
    <col min="20" max="20" width="17" style="80" customWidth="1"/>
    <col min="21" max="21" width="37.5" style="86" customWidth="1"/>
    <col min="22" max="22" width="32.5" style="86" customWidth="1"/>
    <col min="23" max="24" width="36" style="87" customWidth="1"/>
    <col min="25" max="25" width="39.5" style="88" customWidth="1"/>
    <col min="26" max="26" width="27" style="80" customWidth="1"/>
    <col min="27" max="27" width="24.5" style="96" customWidth="1"/>
    <col min="28" max="31" width="10.5" style="44" customWidth="1"/>
    <col min="32" max="16384" width="10.5" style="44"/>
  </cols>
  <sheetData>
    <row r="1" spans="1:27" s="56" customFormat="1" ht="15" customHeight="1">
      <c r="A1" s="55" t="s">
        <v>180</v>
      </c>
      <c r="B1" s="56" t="s">
        <v>181</v>
      </c>
      <c r="C1" s="56" t="s">
        <v>182</v>
      </c>
      <c r="D1" s="57" t="s">
        <v>183</v>
      </c>
      <c r="E1" s="56" t="s">
        <v>184</v>
      </c>
      <c r="F1" s="58" t="s">
        <v>185</v>
      </c>
      <c r="G1" s="59" t="s">
        <v>187</v>
      </c>
      <c r="H1" s="60" t="s">
        <v>186</v>
      </c>
      <c r="I1" s="56" t="s">
        <v>2968</v>
      </c>
      <c r="J1" s="61" t="s">
        <v>189</v>
      </c>
      <c r="K1" s="62" t="s">
        <v>191</v>
      </c>
      <c r="L1" s="63" t="s">
        <v>192</v>
      </c>
      <c r="M1" s="59" t="s">
        <v>193</v>
      </c>
      <c r="N1" s="64" t="s">
        <v>194</v>
      </c>
      <c r="O1" s="37" t="s">
        <v>195</v>
      </c>
      <c r="P1" s="65" t="s">
        <v>196</v>
      </c>
      <c r="Q1" s="66" t="s">
        <v>197</v>
      </c>
      <c r="R1" s="67" t="s">
        <v>198</v>
      </c>
      <c r="S1" s="67" t="s">
        <v>199</v>
      </c>
      <c r="T1" s="56" t="s">
        <v>2901</v>
      </c>
      <c r="U1" s="60" t="s">
        <v>201</v>
      </c>
      <c r="V1" s="60" t="s">
        <v>202</v>
      </c>
      <c r="W1" s="60" t="s">
        <v>203</v>
      </c>
      <c r="X1" s="60" t="s">
        <v>204</v>
      </c>
      <c r="Y1" s="68" t="s">
        <v>205</v>
      </c>
      <c r="Z1" s="56" t="s">
        <v>206</v>
      </c>
      <c r="AA1" s="60" t="s">
        <v>207</v>
      </c>
    </row>
    <row r="2" spans="1:27" ht="15" customHeight="1">
      <c r="A2" s="18" t="s">
        <v>2969</v>
      </c>
      <c r="B2" s="18" t="s">
        <v>632</v>
      </c>
      <c r="C2" s="41" t="s">
        <v>2970</v>
      </c>
      <c r="D2" s="18" t="s">
        <v>252</v>
      </c>
      <c r="E2" s="18" t="s">
        <v>307</v>
      </c>
      <c r="F2" s="69" t="s">
        <v>2971</v>
      </c>
      <c r="G2" s="41">
        <v>14000000</v>
      </c>
      <c r="H2" s="39" t="s">
        <v>332</v>
      </c>
      <c r="I2" s="18" t="s">
        <v>2972</v>
      </c>
      <c r="J2" s="70" t="str">
        <f>VLOOKUP($I2,'Price List, Weapons &amp; Items'!A:B,2,0)</f>
        <v>Aviation and drones</v>
      </c>
      <c r="K2" s="71" t="str">
        <f>VLOOKUP(I2,'Price List, Weapons &amp; Items'!A:D,3,0)</f>
        <v>Reconnaissance drone</v>
      </c>
      <c r="L2" s="41">
        <v>3</v>
      </c>
      <c r="M2" s="41" t="s">
        <v>232</v>
      </c>
      <c r="N2" s="72" t="s">
        <v>232</v>
      </c>
      <c r="O2" s="18" t="s">
        <v>232</v>
      </c>
      <c r="P2" s="41" t="s">
        <v>232</v>
      </c>
      <c r="Q2" s="73">
        <f>G2</f>
        <v>14000000</v>
      </c>
      <c r="R2" s="18">
        <f>Q2/VLOOKUP(H2,'Exchange rates'!$B$2:$C$16,2,0)</f>
        <v>14000000</v>
      </c>
      <c r="S2" s="39"/>
      <c r="T2" s="39"/>
      <c r="U2" s="74" t="s">
        <v>2973</v>
      </c>
      <c r="V2" s="74" t="s">
        <v>2974</v>
      </c>
      <c r="W2" s="75" t="s">
        <v>232</v>
      </c>
      <c r="X2" s="75" t="s">
        <v>232</v>
      </c>
      <c r="Y2" s="76">
        <v>0</v>
      </c>
      <c r="Z2" s="76">
        <v>0</v>
      </c>
      <c r="AA2" s="75"/>
    </row>
    <row r="3" spans="1:27" ht="15" customHeight="1">
      <c r="A3" s="77" t="s">
        <v>2975</v>
      </c>
      <c r="B3" s="77" t="s">
        <v>1136</v>
      </c>
      <c r="C3" s="78">
        <v>44769</v>
      </c>
      <c r="D3" s="77" t="s">
        <v>252</v>
      </c>
      <c r="E3" s="44" t="s">
        <v>307</v>
      </c>
      <c r="F3" s="51" t="s">
        <v>2976</v>
      </c>
      <c r="G3" s="79">
        <v>1700000000</v>
      </c>
      <c r="H3" s="80" t="s">
        <v>332</v>
      </c>
      <c r="I3" s="44" t="s">
        <v>1240</v>
      </c>
      <c r="J3" s="70" t="str">
        <f>VLOOKUP($I3,'Price List, Weapons &amp; Items'!A:B,2,0)</f>
        <v>Heavy weapon</v>
      </c>
      <c r="K3" s="71" t="str">
        <f>VLOOKUP(I3,'Price List, Weapons &amp; Items'!A:D,3,0)</f>
        <v>155mm howitzer</v>
      </c>
      <c r="L3" s="49">
        <v>100</v>
      </c>
      <c r="M3" s="43" t="s">
        <v>232</v>
      </c>
      <c r="N3" s="70">
        <f>VLOOKUP($I3,'Price List, Weapons &amp; Items'!A:F,4,0)</f>
        <v>0</v>
      </c>
      <c r="O3" s="38" t="s">
        <v>232</v>
      </c>
      <c r="P3" s="81" t="s">
        <v>232</v>
      </c>
      <c r="Q3" s="82">
        <f>G3</f>
        <v>1700000000</v>
      </c>
      <c r="R3" s="83">
        <f>Q3/VLOOKUP(H3,'Exchange rates'!$B$2:$C$16,2,0)</f>
        <v>1700000000</v>
      </c>
      <c r="S3" s="84" t="s">
        <v>232</v>
      </c>
      <c r="T3" s="80" t="s">
        <v>372</v>
      </c>
      <c r="U3" s="85" t="s">
        <v>2977</v>
      </c>
      <c r="V3" s="86" t="s">
        <v>232</v>
      </c>
      <c r="W3" s="87" t="s">
        <v>232</v>
      </c>
      <c r="X3" s="87" t="s">
        <v>232</v>
      </c>
      <c r="Y3" s="88">
        <v>0</v>
      </c>
      <c r="Z3" s="80">
        <v>1</v>
      </c>
      <c r="AA3" s="84" t="s">
        <v>232</v>
      </c>
    </row>
    <row r="4" spans="1:27" ht="15" customHeight="1">
      <c r="A4" s="77" t="s">
        <v>2978</v>
      </c>
      <c r="B4" s="77" t="s">
        <v>1894</v>
      </c>
      <c r="C4" s="78">
        <v>44719</v>
      </c>
      <c r="D4" s="77" t="s">
        <v>252</v>
      </c>
      <c r="E4" s="44" t="s">
        <v>307</v>
      </c>
      <c r="F4" s="51" t="s">
        <v>2979</v>
      </c>
      <c r="G4" s="79">
        <v>700000000</v>
      </c>
      <c r="H4" s="80" t="s">
        <v>314</v>
      </c>
      <c r="I4" s="44" t="s">
        <v>1933</v>
      </c>
      <c r="J4" s="70" t="str">
        <f>VLOOKUP($I4,'Price List, Weapons &amp; Items'!A:B,2,0)</f>
        <v>Heavy weapon</v>
      </c>
      <c r="K4" s="71" t="str">
        <f>VLOOKUP(I4,'Price List, Weapons &amp; Items'!A:D,3,0)</f>
        <v>155mm howitzer</v>
      </c>
      <c r="L4" s="49">
        <v>60</v>
      </c>
      <c r="M4" s="43" t="s">
        <v>232</v>
      </c>
      <c r="N4" s="70">
        <f>VLOOKUP($I4,'Price List, Weapons &amp; Items'!A:F,4,0)</f>
        <v>0</v>
      </c>
      <c r="O4" s="38" t="s">
        <v>232</v>
      </c>
      <c r="P4" s="81" t="s">
        <v>232</v>
      </c>
      <c r="Q4" s="82">
        <f>G4</f>
        <v>700000000</v>
      </c>
      <c r="R4" s="18">
        <f>Q4/VLOOKUP(H4,'Exchange rates'!$B$2:$C$16,2,0)</f>
        <v>697558545.09217739</v>
      </c>
      <c r="S4" s="84" t="s">
        <v>232</v>
      </c>
      <c r="T4" s="80" t="s">
        <v>372</v>
      </c>
      <c r="U4" s="85" t="s">
        <v>2980</v>
      </c>
      <c r="V4" s="86" t="s">
        <v>232</v>
      </c>
      <c r="W4" s="87" t="s">
        <v>232</v>
      </c>
      <c r="X4" s="87" t="s">
        <v>232</v>
      </c>
      <c r="Y4" s="76">
        <v>0</v>
      </c>
      <c r="Z4" s="76">
        <v>0</v>
      </c>
      <c r="AA4" s="89" t="s">
        <v>232</v>
      </c>
    </row>
    <row r="5" spans="1:27" ht="15" customHeight="1">
      <c r="A5" s="18" t="s">
        <v>2981</v>
      </c>
      <c r="B5" s="18" t="s">
        <v>2063</v>
      </c>
      <c r="C5" s="40">
        <v>44714</v>
      </c>
      <c r="D5" s="18" t="s">
        <v>252</v>
      </c>
      <c r="E5" s="18" t="s">
        <v>307</v>
      </c>
      <c r="F5" s="18" t="s">
        <v>2982</v>
      </c>
      <c r="G5" s="18" t="s">
        <v>2983</v>
      </c>
      <c r="H5" s="39" t="s">
        <v>314</v>
      </c>
      <c r="I5" s="18" t="s">
        <v>824</v>
      </c>
      <c r="J5" s="70" t="str">
        <f>VLOOKUP($I5,'Price List, Weapons &amp; Items'!A:B,2,0)</f>
        <v>Heavy weapon</v>
      </c>
      <c r="K5" s="71" t="str">
        <f>VLOOKUP(I5,'Price List, Weapons &amp; Items'!A:D,3,0)</f>
        <v>155mm howitzer</v>
      </c>
      <c r="L5" s="41">
        <v>8</v>
      </c>
      <c r="M5" s="18" t="s">
        <v>232</v>
      </c>
      <c r="N5" s="70">
        <f>VLOOKUP($I5,'Price List, Weapons &amp; Items'!A:F,4,0)</f>
        <v>1</v>
      </c>
      <c r="O5" s="41">
        <f>L5*N5</f>
        <v>8</v>
      </c>
      <c r="P5" s="18" t="s">
        <v>232</v>
      </c>
      <c r="Q5" s="73">
        <f>O5</f>
        <v>8</v>
      </c>
      <c r="R5" s="18">
        <f>Q5/VLOOKUP(H5,'Exchange rates'!$B$2:$C$16,2,0)</f>
        <v>7.9720976581963123</v>
      </c>
      <c r="S5" s="39" t="s">
        <v>232</v>
      </c>
      <c r="T5" s="39" t="s">
        <v>372</v>
      </c>
      <c r="U5" s="74" t="s">
        <v>2984</v>
      </c>
      <c r="V5" s="90" t="s">
        <v>232</v>
      </c>
      <c r="W5" s="90" t="s">
        <v>232</v>
      </c>
      <c r="X5" s="90" t="s">
        <v>232</v>
      </c>
      <c r="Y5" s="91">
        <v>0</v>
      </c>
      <c r="Z5" s="91">
        <v>0</v>
      </c>
      <c r="AA5" s="84" t="s">
        <v>232</v>
      </c>
    </row>
    <row r="6" spans="1:27" ht="15" customHeight="1">
      <c r="A6" s="77" t="s">
        <v>2985</v>
      </c>
      <c r="B6" s="77" t="s">
        <v>2348</v>
      </c>
      <c r="C6" s="78">
        <v>44741</v>
      </c>
      <c r="D6" s="77" t="s">
        <v>252</v>
      </c>
      <c r="E6" s="44" t="s">
        <v>307</v>
      </c>
      <c r="F6" s="51" t="s">
        <v>2986</v>
      </c>
      <c r="G6" s="79" t="s">
        <v>2983</v>
      </c>
      <c r="H6" s="80" t="s">
        <v>314</v>
      </c>
      <c r="I6" s="44" t="s">
        <v>2987</v>
      </c>
      <c r="J6" s="70" t="str">
        <f>VLOOKUP($I6,'Price List, Weapons &amp; Items'!A:B,2,0)</f>
        <v>Aviation and drones</v>
      </c>
      <c r="K6" s="71" t="str">
        <f>VLOOKUP(I6,'Price List, Weapons &amp; Items'!A:D,3,0)</f>
        <v>Combat drones</v>
      </c>
      <c r="L6" s="49">
        <v>3</v>
      </c>
      <c r="M6" s="43" t="s">
        <v>232</v>
      </c>
      <c r="N6" s="70">
        <f>VLOOKUP($I6,'Price List, Weapons &amp; Items'!A:F,4,0)</f>
        <v>0</v>
      </c>
      <c r="O6" s="38">
        <f>L6*N6</f>
        <v>0</v>
      </c>
      <c r="P6" s="81" t="s">
        <v>232</v>
      </c>
      <c r="Q6" s="82">
        <f>O6</f>
        <v>0</v>
      </c>
      <c r="R6" s="83">
        <f>Q6/VLOOKUP(H6,'Exchange rates'!$B$2:$C$16,2,0)</f>
        <v>0</v>
      </c>
      <c r="S6" s="84" t="s">
        <v>232</v>
      </c>
      <c r="T6" s="80" t="s">
        <v>372</v>
      </c>
      <c r="U6" s="85" t="s">
        <v>2988</v>
      </c>
      <c r="V6" s="86" t="s">
        <v>232</v>
      </c>
      <c r="W6" s="87" t="s">
        <v>232</v>
      </c>
      <c r="X6" s="87" t="s">
        <v>232</v>
      </c>
      <c r="Y6" s="92">
        <v>0</v>
      </c>
      <c r="Z6" s="92">
        <v>0</v>
      </c>
      <c r="AA6" s="84" t="s">
        <v>232</v>
      </c>
    </row>
    <row r="7" spans="1:27" ht="15" customHeight="1">
      <c r="A7" s="77" t="s">
        <v>2989</v>
      </c>
      <c r="B7" s="77" t="s">
        <v>2348</v>
      </c>
      <c r="C7" s="78">
        <v>44740</v>
      </c>
      <c r="D7" s="77" t="s">
        <v>252</v>
      </c>
      <c r="E7" s="44" t="s">
        <v>307</v>
      </c>
      <c r="F7" s="51" t="s">
        <v>2990</v>
      </c>
      <c r="G7" s="79" t="s">
        <v>2983</v>
      </c>
      <c r="H7" s="80" t="s">
        <v>314</v>
      </c>
      <c r="I7" s="44" t="s">
        <v>2987</v>
      </c>
      <c r="J7" s="70" t="str">
        <f>VLOOKUP($I7,'Price List, Weapons &amp; Items'!A:B,2,0)</f>
        <v>Aviation and drones</v>
      </c>
      <c r="K7" s="71" t="str">
        <f>VLOOKUP(I7,'Price List, Weapons &amp; Items'!A:D,3,0)</f>
        <v>Combat drones</v>
      </c>
      <c r="L7" s="49">
        <v>50</v>
      </c>
      <c r="M7" s="43" t="s">
        <v>232</v>
      </c>
      <c r="N7" s="70">
        <f>VLOOKUP($I7,'Price List, Weapons &amp; Items'!A:F,4,0)</f>
        <v>0</v>
      </c>
      <c r="O7" s="38">
        <f>L7*N7</f>
        <v>0</v>
      </c>
      <c r="P7" s="81" t="s">
        <v>232</v>
      </c>
      <c r="Q7" s="82">
        <f>O7</f>
        <v>0</v>
      </c>
      <c r="R7" s="83">
        <f>Q7/VLOOKUP(H7,'Exchange rates'!$B$2:$C$16,2,0)</f>
        <v>0</v>
      </c>
      <c r="S7" s="84" t="s">
        <v>232</v>
      </c>
      <c r="T7" s="80" t="s">
        <v>372</v>
      </c>
      <c r="U7" s="85" t="s">
        <v>2991</v>
      </c>
      <c r="V7" s="86" t="s">
        <v>232</v>
      </c>
      <c r="W7" s="87" t="s">
        <v>232</v>
      </c>
      <c r="X7" s="87" t="s">
        <v>232</v>
      </c>
      <c r="Y7" s="88">
        <v>0</v>
      </c>
      <c r="Z7" s="80">
        <v>0</v>
      </c>
      <c r="AA7" s="84" t="s">
        <v>232</v>
      </c>
    </row>
  </sheetData>
  <phoneticPr fontId="13" type="noConversion"/>
  <hyperlinks>
    <hyperlink ref="U5" r:id="rId1" location=":~:text=Ukraine%20and%20the%20Slovak%20Republic,on%20Twitter%20on%20June%202." xr:uid="{00000000-0004-0000-0300-000000000000}"/>
    <hyperlink ref="U6" r:id="rId2" xr:uid="{00000000-0004-0000-0300-000001000000}"/>
    <hyperlink ref="U7" r:id="rId3" xr:uid="{00000000-0004-0000-0300-000002000000}"/>
    <hyperlink ref="U2" r:id="rId4" xr:uid="{00000000-0004-0000-0300-000003000000}"/>
    <hyperlink ref="V2" r:id="rId5" xr:uid="{00000000-0004-0000-0300-000004000000}"/>
    <hyperlink ref="U3" r:id="rId6" xr:uid="{00000000-0004-0000-0300-000005000000}"/>
    <hyperlink ref="U4" r:id="rId7" xr:uid="{00000000-0004-0000-0300-000006000000}"/>
  </hyperlinks>
  <pageMargins left="0.7" right="0.7" top="0.75" bottom="0.75" header="0.3" footer="0.3"/>
  <pageSetup paperSize="8" fitToWidth="0" fitToHeight="0" orientation="portrait" horizontalDpi="429496729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B2:AI167"/>
  <sheetViews>
    <sheetView showGridLines="0" zoomScaleNormal="100" workbookViewId="0">
      <pane ySplit="5" topLeftCell="A6" activePane="bottomLeft" state="frozen"/>
      <selection pane="bottomLeft" activeCell="B2" sqref="B2"/>
      <selection activeCell="D11" sqref="D11"/>
    </sheetView>
  </sheetViews>
  <sheetFormatPr defaultColWidth="8.5" defaultRowHeight="14.1"/>
  <cols>
    <col min="1" max="1" width="8.5" style="104"/>
    <col min="2" max="2" width="25.5" style="104" customWidth="1"/>
    <col min="3" max="3" width="10.5" style="330" bestFit="1" customWidth="1"/>
    <col min="4" max="4" width="20" style="104" bestFit="1" customWidth="1"/>
    <col min="5" max="5" width="24" style="104" bestFit="1" customWidth="1"/>
    <col min="6" max="6" width="19" style="109" bestFit="1" customWidth="1"/>
    <col min="7" max="7" width="24" style="180" bestFit="1" customWidth="1"/>
    <col min="8" max="8" width="21" style="111" customWidth="1"/>
    <col min="9" max="9" width="15.5" style="102" customWidth="1"/>
    <col min="10" max="10" width="24" style="103" bestFit="1" customWidth="1"/>
    <col min="11" max="11" width="23" style="104" customWidth="1"/>
    <col min="12" max="12" width="23" style="104" bestFit="1" customWidth="1"/>
    <col min="13" max="13" width="22.5" style="104" bestFit="1" customWidth="1"/>
    <col min="14" max="14" width="26.5" style="104" bestFit="1" customWidth="1"/>
    <col min="15" max="15" width="26.5" style="375" bestFit="1" customWidth="1"/>
    <col min="16" max="16" width="28" style="35" bestFit="1" customWidth="1"/>
    <col min="17" max="17" width="28" style="105" bestFit="1" customWidth="1"/>
    <col min="18" max="18" width="27.5" style="104" bestFit="1" customWidth="1"/>
    <col min="19" max="19" width="38.5" style="104" bestFit="1" customWidth="1"/>
    <col min="20" max="20" width="20.5" style="109" bestFit="1" customWidth="1"/>
    <col min="21" max="21" width="8" style="109" bestFit="1" customWidth="1"/>
    <col min="22" max="22" width="9" style="109" bestFit="1" customWidth="1"/>
    <col min="23" max="23" width="14" style="109" bestFit="1" customWidth="1"/>
    <col min="24" max="25" width="14.875" style="109" bestFit="1" customWidth="1"/>
    <col min="26" max="26" width="14" style="109" bestFit="1" customWidth="1"/>
    <col min="27" max="27" width="13" style="109" bestFit="1" customWidth="1"/>
    <col min="28" max="28" width="14.875" style="109" bestFit="1" customWidth="1"/>
    <col min="29" max="29" width="12" style="453" bestFit="1" customWidth="1"/>
    <col min="30" max="30" width="9" style="109" bestFit="1" customWidth="1"/>
    <col min="31" max="31" width="8.5" style="109" bestFit="1" customWidth="1"/>
    <col min="32" max="32" width="30.5" style="104" bestFit="1" customWidth="1"/>
    <col min="33" max="33" width="32.5" style="104" bestFit="1" customWidth="1"/>
    <col min="34" max="16384" width="8.5" style="104"/>
  </cols>
  <sheetData>
    <row r="2" spans="2:35">
      <c r="B2" s="98" t="s">
        <v>2992</v>
      </c>
      <c r="T2" s="454" t="s">
        <v>2993</v>
      </c>
    </row>
    <row r="3" spans="2:35" s="330" customFormat="1">
      <c r="F3" s="494"/>
      <c r="G3" s="559"/>
      <c r="H3" s="483"/>
      <c r="I3" s="484"/>
      <c r="J3" s="485"/>
      <c r="O3" s="486"/>
      <c r="P3" s="487"/>
      <c r="Q3" s="488"/>
      <c r="T3" s="474" t="s">
        <v>2994</v>
      </c>
      <c r="U3" s="474" t="s">
        <v>2995</v>
      </c>
      <c r="V3" s="474" t="s">
        <v>2996</v>
      </c>
      <c r="W3" s="474" t="s">
        <v>2997</v>
      </c>
      <c r="X3" s="474" t="s">
        <v>2998</v>
      </c>
      <c r="Y3" s="474" t="s">
        <v>2999</v>
      </c>
      <c r="Z3" s="474" t="s">
        <v>3000</v>
      </c>
      <c r="AA3" s="474" t="s">
        <v>3001</v>
      </c>
      <c r="AB3" s="474" t="s">
        <v>3002</v>
      </c>
      <c r="AC3" s="474" t="s">
        <v>3003</v>
      </c>
      <c r="AD3" s="474" t="s">
        <v>3004</v>
      </c>
      <c r="AE3" s="474" t="s">
        <v>3005</v>
      </c>
    </row>
    <row r="4" spans="2:35" s="475" customFormat="1">
      <c r="B4" s="882" t="s">
        <v>3006</v>
      </c>
      <c r="C4" s="884" t="s">
        <v>3007</v>
      </c>
      <c r="D4" s="475" t="s">
        <v>3008</v>
      </c>
      <c r="E4" s="475" t="s">
        <v>3009</v>
      </c>
      <c r="F4" s="495" t="s">
        <v>3010</v>
      </c>
      <c r="G4" s="560" t="s">
        <v>3011</v>
      </c>
      <c r="H4" s="476" t="s">
        <v>3012</v>
      </c>
      <c r="I4" s="477" t="s">
        <v>3013</v>
      </c>
      <c r="J4" s="478" t="s">
        <v>3011</v>
      </c>
      <c r="K4" s="475" t="s">
        <v>3014</v>
      </c>
      <c r="L4" s="475" t="s">
        <v>3015</v>
      </c>
      <c r="M4" s="475" t="s">
        <v>3016</v>
      </c>
      <c r="N4" s="475" t="s">
        <v>3017</v>
      </c>
      <c r="O4" s="481" t="s">
        <v>3017</v>
      </c>
      <c r="P4" s="475" t="s">
        <v>3018</v>
      </c>
      <c r="Q4" s="475" t="s">
        <v>3018</v>
      </c>
      <c r="R4" s="479" t="s">
        <v>3019</v>
      </c>
      <c r="S4" s="823" t="s">
        <v>3020</v>
      </c>
      <c r="T4" s="884">
        <v>1</v>
      </c>
      <c r="U4" s="886">
        <v>2</v>
      </c>
      <c r="V4" s="884">
        <v>3</v>
      </c>
      <c r="W4" s="886">
        <v>4</v>
      </c>
      <c r="X4" s="884">
        <v>5</v>
      </c>
      <c r="Y4" s="886">
        <v>6</v>
      </c>
      <c r="Z4" s="884">
        <v>7</v>
      </c>
      <c r="AA4" s="886">
        <v>8</v>
      </c>
      <c r="AB4" s="884">
        <v>9</v>
      </c>
      <c r="AC4" s="886">
        <v>10</v>
      </c>
      <c r="AD4" s="884">
        <v>11</v>
      </c>
      <c r="AE4" s="886">
        <v>12</v>
      </c>
      <c r="AF4" s="475" t="s">
        <v>3021</v>
      </c>
      <c r="AG4" s="475" t="s">
        <v>3022</v>
      </c>
    </row>
    <row r="5" spans="2:35" s="489" customFormat="1">
      <c r="B5" s="883"/>
      <c r="C5" s="885"/>
      <c r="D5" s="489" t="s">
        <v>3023</v>
      </c>
      <c r="E5" s="489" t="s">
        <v>3023</v>
      </c>
      <c r="F5" s="496" t="s">
        <v>3023</v>
      </c>
      <c r="G5" s="561" t="s">
        <v>3023</v>
      </c>
      <c r="H5" s="490" t="s">
        <v>3024</v>
      </c>
      <c r="I5" s="491" t="s">
        <v>3023</v>
      </c>
      <c r="J5" s="480" t="s">
        <v>3025</v>
      </c>
      <c r="K5" s="489" t="s">
        <v>3023</v>
      </c>
      <c r="L5" s="489" t="s">
        <v>3023</v>
      </c>
      <c r="M5" s="489" t="s">
        <v>3023</v>
      </c>
      <c r="N5" s="489" t="s">
        <v>3023</v>
      </c>
      <c r="O5" s="492" t="s">
        <v>3025</v>
      </c>
      <c r="P5" s="489" t="s">
        <v>3023</v>
      </c>
      <c r="Q5" s="482" t="s">
        <v>3025</v>
      </c>
      <c r="R5" s="493" t="s">
        <v>3023</v>
      </c>
      <c r="S5" s="824" t="s">
        <v>3023</v>
      </c>
      <c r="T5" s="885"/>
      <c r="U5" s="887"/>
      <c r="V5" s="885"/>
      <c r="W5" s="887"/>
      <c r="X5" s="885"/>
      <c r="Y5" s="887"/>
      <c r="Z5" s="885"/>
      <c r="AA5" s="887"/>
      <c r="AB5" s="885"/>
      <c r="AC5" s="887"/>
      <c r="AD5" s="885"/>
      <c r="AE5" s="887"/>
    </row>
    <row r="6" spans="2:35">
      <c r="B6" s="2" t="s">
        <v>227</v>
      </c>
      <c r="C6" s="330">
        <v>0</v>
      </c>
      <c r="D6" s="179">
        <f>SUMIFS('Bilateral assistance, MAIN DATA'!S:S,'Bilateral assistance, MAIN DATA'!D:D,"Financial",'Bilateral assistance, MAIN DATA'!B:B,'Country summary'!B6)/1000000000</f>
        <v>0</v>
      </c>
      <c r="E6" s="179">
        <f>SUMIFS('Bilateral assistance, MAIN DATA'!S:S,'Bilateral assistance, MAIN DATA'!D:D,"Humanitarian",'Bilateral assistance, MAIN DATA'!B:B,'Country summary'!B6)/1000000000</f>
        <v>5.1384674972564721E-2</v>
      </c>
      <c r="F6" s="455">
        <f>SUMIFS('Bilateral assistance, MAIN DATA'!S:S,'Bilateral assistance, MAIN DATA'!D:D,"Military",'Bilateral assistance, MAIN DATA'!B:B,'Country summary'!B6)/1000000000</f>
        <v>0.26905945387644442</v>
      </c>
      <c r="G6" s="327">
        <f>SUM(D6:F6)</f>
        <v>0.32044412884900914</v>
      </c>
      <c r="H6" s="101">
        <f>1327836171068.51/1000000000</f>
        <v>1327.8361710685101</v>
      </c>
      <c r="I6" s="102">
        <f>H6/VLOOKUP("USD",'Exchange rates'!B:C,2,0)</f>
        <v>1323.2049537304536</v>
      </c>
      <c r="J6" s="338">
        <f>(G6/I6)*100</f>
        <v>2.4217270948509912E-2</v>
      </c>
      <c r="K6" s="104">
        <f>VLOOKUP(B6,'EU aid shares'!B:E,4,0)</f>
        <v>0</v>
      </c>
      <c r="L6" s="180">
        <f>VLOOKUP(B6,'EPF aid shares'!B:G,6,0)</f>
        <v>0</v>
      </c>
      <c r="M6" s="336">
        <f>VLOOKUP(B6,'EIB aid shares'!B:E,4,0)</f>
        <v>0</v>
      </c>
      <c r="N6" s="180">
        <f t="shared" ref="N6:N46" si="0">SUM(K6:M6)</f>
        <v>0</v>
      </c>
      <c r="O6" s="375">
        <f t="shared" ref="O6:O46" si="1">N6/(VLOOKUP(B6,B:I,8,0))*100</f>
        <v>0</v>
      </c>
      <c r="P6" s="339">
        <f t="shared" ref="P6:P46" si="2">N6+G6</f>
        <v>0.32044412884900914</v>
      </c>
      <c r="Q6" s="341">
        <f>(P6/I6)*100</f>
        <v>2.4217270948509912E-2</v>
      </c>
      <c r="R6" s="180">
        <f>VLOOKUP(B6,'Military aid by type'!B:F,5,0)</f>
        <v>0.26344328965205605</v>
      </c>
      <c r="S6" s="179">
        <f>VLOOKUP(B6,'Military aid by type'!B:G,6,0)</f>
        <v>5.6161642243883758E-3</v>
      </c>
      <c r="T6" s="455">
        <f>SUMIFS('Bilateral assistance, MAIN DATA'!S:S,'Bilateral assistance, MAIN DATA'!B:B,'Country summary'!B6,'Bilateral assistance, MAIN DATA'!AG:AG,1,'Bilateral assistance, MAIN DATA'!AH:AH,'Country summary'!$T$4)/1000000000</f>
        <v>0</v>
      </c>
      <c r="U6" s="455">
        <f>SUMIFS('Bilateral assistance, MAIN DATA'!S:S,'Bilateral assistance, MAIN DATA'!B:B,'Country summary'!B6,'Bilateral assistance, MAIN DATA'!AG:AG,1,'Bilateral assistance, MAIN DATA'!AH:AH,'Country summary'!$U$4)/1000000000</f>
        <v>0</v>
      </c>
      <c r="V6" s="455">
        <f>SUMIFS('Bilateral assistance, MAIN DATA'!S:S,'Bilateral assistance, MAIN DATA'!B:B,'Country summary'!B6,'Bilateral assistance, MAIN DATA'!AG:AG,1,'Bilateral assistance, MAIN DATA'!AH:AH,'Country summary'!$V$4)/1000000000</f>
        <v>0.12626686463107611</v>
      </c>
      <c r="W6" s="455">
        <f>SUMIFS('Bilateral assistance, MAIN DATA'!S:S,'Bilateral assistance, MAIN DATA'!B:B,'Country summary'!B6,'Bilateral assistance, MAIN DATA'!AG:AG,1,'Bilateral assistance, MAIN DATA'!AH:AH,'Country summary'!$W$4)/1000000000</f>
        <v>6.597379123361953E-2</v>
      </c>
      <c r="X6" s="455">
        <f>SUMIFS('Bilateral assistance, MAIN DATA'!S:S,'Bilateral assistance, MAIN DATA'!B:B,'Country summary'!B6,'Bilateral assistance, MAIN DATA'!AG:AG,1,'Bilateral assistance, MAIN DATA'!AH:AH,'Country summary'!$X$4)/1000000000</f>
        <v>3.9313149570718485E-2</v>
      </c>
      <c r="Y6" s="455">
        <f>SUMIFS('Bilateral assistance, MAIN DATA'!S:S,'Bilateral assistance, MAIN DATA'!B:B,'Country summary'!B6,'Bilateral assistance, MAIN DATA'!AG:AG,1,'Bilateral assistance, MAIN DATA'!AH:AH,'Country summary'!$Y$4)/1000000000</f>
        <v>0</v>
      </c>
      <c r="Z6" s="455">
        <f>SUMIFS('Bilateral assistance, MAIN DATA'!S:S,'Bilateral assistance, MAIN DATA'!B:B,'Country summary'!B6,'Bilateral assistance, MAIN DATA'!AG:AG,1,'Bilateral assistance, MAIN DATA'!AH:AH,'Country summary'!$Z$4)/1000000000</f>
        <v>5.6936285585178492E-2</v>
      </c>
      <c r="AA6" s="455">
        <f>SUMIFS('Bilateral assistance, MAIN DATA'!S:S,'Bilateral assistance, MAIN DATA'!B:B,'Country summary'!B6,'Bilateral assistance, MAIN DATA'!AG:AG,1,'Bilateral assistance, MAIN DATA'!AH:AH,'Country summary'!$AA$4)/1000000000</f>
        <v>0</v>
      </c>
      <c r="AB6" s="109">
        <f>SUMIFS('Bilateral assistance, MAIN DATA'!S:S,'Bilateral assistance, MAIN DATA'!B:B,'Country summary'!B6,'Bilateral assistance, MAIN DATA'!AG:AG,1,'Bilateral assistance, MAIN DATA'!AH:AH,'Country summary'!$AB$4)/1000000000</f>
        <v>0</v>
      </c>
      <c r="AC6" s="453">
        <f>SUMIFS('Bilateral assistance, MAIN DATA'!S:S,'Bilateral assistance, MAIN DATA'!B:B,'Country summary'!B6,'Bilateral assistance, MAIN DATA'!AG:AG,1,'Bilateral assistance, MAIN DATA'!AH:AH,'Country summary'!$AC$4)/1000000000</f>
        <v>3.19540378284165E-2</v>
      </c>
      <c r="AD6" s="109">
        <f>SUMIFS('Bilateral assistance, MAIN DATA'!S:S,'Bilateral assistance, MAIN DATA'!B:B,'Country summary'!B6,'Bilateral assistance, MAIN DATA'!AG:AG,1,'Bilateral assistance, MAIN DATA'!AH:AH,'Country summary'!$AD$4)/1000000000</f>
        <v>0</v>
      </c>
      <c r="AE6" s="109">
        <f>SUMIFS('Bilateral assistance, MAIN DATA'!S:S,'Bilateral assistance, MAIN DATA'!B:B,'Country summary'!B6,'Bilateral assistance, MAIN DATA'!AG:AG,1,'Bilateral assistance, MAIN DATA'!AH:AH,'Country summary'!$AE$4)/1000000000</f>
        <v>0</v>
      </c>
      <c r="AF6" s="109">
        <f>SUM(T6:AE6)</f>
        <v>0.32044412884900914</v>
      </c>
      <c r="AG6" s="104">
        <f>SUMIFS('Bilateral assistance, MAIN DATA'!S:S,'Bilateral assistance, MAIN DATA'!B:B,'Country summary'!B6,'Bilateral assistance, MAIN DATA'!AG:AG,0)/1000000000</f>
        <v>0</v>
      </c>
    </row>
    <row r="7" spans="2:35">
      <c r="B7" s="104" t="s">
        <v>312</v>
      </c>
      <c r="C7" s="330">
        <v>1</v>
      </c>
      <c r="D7" s="179">
        <f>SUMIFS('Bilateral assistance, MAIN DATA'!S:S,'Bilateral assistance, MAIN DATA'!D:D,"Financial",'Bilateral assistance, MAIN DATA'!B:B,'Country summary'!B7)/1000000000</f>
        <v>0.01</v>
      </c>
      <c r="E7" s="179">
        <f>SUMIFS('Bilateral assistance, MAIN DATA'!S:S,'Bilateral assistance, MAIN DATA'!D:D,"Humanitarian",'Bilateral assistance, MAIN DATA'!B:B,'Country summary'!B7)/1000000000</f>
        <v>0.56652379546586951</v>
      </c>
      <c r="F7" s="455">
        <f>SUMIFS('Bilateral assistance, MAIN DATA'!S:S,'Bilateral assistance, MAIN DATA'!D:D,"Military",'Bilateral assistance, MAIN DATA'!B:B,'Country summary'!B7)/1000000000</f>
        <v>3.5748620328849025E-3</v>
      </c>
      <c r="G7" s="327">
        <f t="shared" ref="G7:G46" si="3">SUM(D7:F7)</f>
        <v>0.58009865749875444</v>
      </c>
      <c r="H7" s="101">
        <f>(433258.47*1000000)/1000000000</f>
        <v>433.25846999999999</v>
      </c>
      <c r="I7" s="102">
        <f>H7/VLOOKUP("USD",'Exchange rates'!B:C,2,0)</f>
        <v>431.74735426008965</v>
      </c>
      <c r="J7" s="338">
        <f>(G7/I7)*100</f>
        <v>0.13436067454145792</v>
      </c>
      <c r="K7" s="104">
        <f>VLOOKUP(B7,'EU aid shares'!B:E,4,0)</f>
        <v>0.87582524584278776</v>
      </c>
      <c r="L7" s="180">
        <f>VLOOKUP(B7,'EPF aid shares'!B:G,6,0)</f>
        <v>8.717872395967606E-2</v>
      </c>
      <c r="M7" s="336">
        <f>VLOOKUP(B7,'EIB aid shares'!B:E,4,0)</f>
        <v>5.1745532886851645E-2</v>
      </c>
      <c r="N7" s="180">
        <f t="shared" si="0"/>
        <v>1.0147495026893154</v>
      </c>
      <c r="O7" s="375">
        <f>N7/(VLOOKUP(B7,B:I,8,0))*100</f>
        <v>0.23503317221905162</v>
      </c>
      <c r="P7" s="339">
        <f t="shared" si="2"/>
        <v>1.5948481601880697</v>
      </c>
      <c r="Q7" s="341">
        <f t="shared" ref="Q7:Q46" si="4">(P7/I7)*100</f>
        <v>0.36939384676050951</v>
      </c>
      <c r="R7" s="180">
        <f>VLOOKUP(B7,'Military aid by type'!B:F,5,0)</f>
        <v>3.5748620328849025E-3</v>
      </c>
      <c r="S7" s="179">
        <f>VLOOKUP(B7,'Military aid by type'!B:G,6,0)</f>
        <v>0</v>
      </c>
      <c r="T7" s="455">
        <f>SUMIFS('Bilateral assistance, MAIN DATA'!S:S,'Bilateral assistance, MAIN DATA'!B:B,'Country summary'!B7,'Bilateral assistance, MAIN DATA'!AG:AG,1,'Bilateral assistance, MAIN DATA'!AH:AH,'Country summary'!$T$4)/1000000000</f>
        <v>0</v>
      </c>
      <c r="U7" s="455">
        <f>SUMIFS('Bilateral assistance, MAIN DATA'!S:S,'Bilateral assistance, MAIN DATA'!B:B,'Country summary'!B7,'Bilateral assistance, MAIN DATA'!AG:AG,1,'Bilateral assistance, MAIN DATA'!AH:AH,'Country summary'!$U$4)/1000000000</f>
        <v>1.0773791728948677E-3</v>
      </c>
      <c r="V7" s="455">
        <f>SUMIFS('Bilateral assistance, MAIN DATA'!S:S,'Bilateral assistance, MAIN DATA'!B:B,'Country summary'!B7,'Bilateral assistance, MAIN DATA'!AG:AG,1,'Bilateral assistance, MAIN DATA'!AH:AH,'Country summary'!$V$4)/1000000000</f>
        <v>1.3574862032884903E-2</v>
      </c>
      <c r="W7" s="455">
        <f>SUMIFS('Bilateral assistance, MAIN DATA'!S:S,'Bilateral assistance, MAIN DATA'!B:B,'Country summary'!B7,'Bilateral assistance, MAIN DATA'!AG:AG,1,'Bilateral assistance, MAIN DATA'!AH:AH,'Country summary'!$W$4)/1000000000</f>
        <v>0</v>
      </c>
      <c r="X7" s="455">
        <f>SUMIFS('Bilateral assistance, MAIN DATA'!S:S,'Bilateral assistance, MAIN DATA'!B:B,'Country summary'!B7,'Bilateral assistance, MAIN DATA'!AG:AG,1,'Bilateral assistance, MAIN DATA'!AH:AH,'Country summary'!$X$4)/1000000000</f>
        <v>3.6900000000000002E-2</v>
      </c>
      <c r="Y7" s="455">
        <f>SUMIFS('Bilateral assistance, MAIN DATA'!S:S,'Bilateral assistance, MAIN DATA'!B:B,'Country summary'!B7,'Bilateral assistance, MAIN DATA'!AG:AG,1,'Bilateral assistance, MAIN DATA'!AH:AH,'Country summary'!$Y$4)/1000000000</f>
        <v>1.139013452914798E-2</v>
      </c>
      <c r="Z7" s="455">
        <f>SUMIFS('Bilateral assistance, MAIN DATA'!S:S,'Bilateral assistance, MAIN DATA'!B:B,'Country summary'!B7,'Bilateral assistance, MAIN DATA'!AG:AG,1,'Bilateral assistance, MAIN DATA'!AH:AH,'Country summary'!$Z$4)/1000000000</f>
        <v>0</v>
      </c>
      <c r="AA7" s="455">
        <f>SUMIFS('Bilateral assistance, MAIN DATA'!S:S,'Bilateral assistance, MAIN DATA'!B:B,'Country summary'!B7,'Bilateral assistance, MAIN DATA'!AG:AG,1,'Bilateral assistance, MAIN DATA'!AH:AH,'Country summary'!$AA$4)/1000000000</f>
        <v>0</v>
      </c>
      <c r="AB7" s="109">
        <f>SUMIFS('Bilateral assistance, MAIN DATA'!S:S,'Bilateral assistance, MAIN DATA'!B:B,'Country summary'!B7,'Bilateral assistance, MAIN DATA'!AG:AG,1,'Bilateral assistance, MAIN DATA'!AH:AH,'Country summary'!$AB$4)/1000000000</f>
        <v>0.50181116093672151</v>
      </c>
      <c r="AC7" s="453">
        <f>SUMIFS('Bilateral assistance, MAIN DATA'!S:S,'Bilateral assistance, MAIN DATA'!B:B,'Country summary'!B7,'Bilateral assistance, MAIN DATA'!AG:AG,1,'Bilateral assistance, MAIN DATA'!AH:AH,'Country summary'!$AC$4)/1000000000</f>
        <v>0</v>
      </c>
      <c r="AD7" s="109">
        <f>SUMIFS('Bilateral assistance, MAIN DATA'!S:S,'Bilateral assistance, MAIN DATA'!B:B,'Country summary'!B7,'Bilateral assistance, MAIN DATA'!AG:AG,1,'Bilateral assistance, MAIN DATA'!AH:AH,'Country summary'!$AD$4)/1000000000</f>
        <v>1.5345120827105131E-2</v>
      </c>
      <c r="AE7" s="109">
        <f>SUMIFS('Bilateral assistance, MAIN DATA'!S:S,'Bilateral assistance, MAIN DATA'!B:B,'Country summary'!B7,'Bilateral assistance, MAIN DATA'!AG:AG,1,'Bilateral assistance, MAIN DATA'!AH:AH,'Country summary'!$AE$4)/1000000000</f>
        <v>0</v>
      </c>
      <c r="AF7" s="109">
        <f>SUM(T7:AE7)</f>
        <v>0.58009865749875444</v>
      </c>
      <c r="AG7" s="104">
        <f>SUMIFS('Bilateral assistance, MAIN DATA'!S:S,'Bilateral assistance, MAIN DATA'!B:B,'Country summary'!B7,'Bilateral assistance, MAIN DATA'!AG:AG,0)/1000000000</f>
        <v>0</v>
      </c>
    </row>
    <row r="8" spans="2:35">
      <c r="B8" s="104" t="s">
        <v>370</v>
      </c>
      <c r="C8" s="330">
        <v>1</v>
      </c>
      <c r="D8" s="179">
        <f>SUMIFS('Bilateral assistance, MAIN DATA'!S:S,'Bilateral assistance, MAIN DATA'!D:D,"Financial",'Bilateral assistance, MAIN DATA'!B:B,'Country summary'!B8)/1000000000</f>
        <v>4.96E-3</v>
      </c>
      <c r="E8" s="179">
        <f>SUMIFS('Bilateral assistance, MAIN DATA'!S:S,'Bilateral assistance, MAIN DATA'!D:D,"Humanitarian",'Bilateral assistance, MAIN DATA'!B:B,'Country summary'!B8)/1000000000</f>
        <v>0.1172</v>
      </c>
      <c r="F8" s="455">
        <f>SUMIFS('Bilateral assistance, MAIN DATA'!S:S,'Bilateral assistance, MAIN DATA'!D:D,"Military",'Bilateral assistance, MAIN DATA'!B:B,'Country summary'!B8)/1000000000</f>
        <v>9.6000000000000002E-2</v>
      </c>
      <c r="G8" s="327">
        <f t="shared" si="3"/>
        <v>0.21816000000000002</v>
      </c>
      <c r="H8" s="101">
        <f>(521861.29*1000000)/1000000000</f>
        <v>521.86129000000005</v>
      </c>
      <c r="I8" s="102">
        <f>H8/VLOOKUP("USD",'Exchange rates'!B:C,2,0)</f>
        <v>520.04114598903834</v>
      </c>
      <c r="J8" s="338">
        <f t="shared" ref="J8:J46" si="5">(G8/I8)*100</f>
        <v>4.1950526738628195E-2</v>
      </c>
      <c r="K8" s="104">
        <f>VLOOKUP(B8,'EU aid shares'!B:E,4,0)</f>
        <v>1.0433208925071138</v>
      </c>
      <c r="L8" s="180">
        <f>VLOOKUP(B8,'EPF aid shares'!B:G,6,0)</f>
        <v>0.1069108223956404</v>
      </c>
      <c r="M8" s="336">
        <f>VLOOKUP(B8,'EIB aid shares'!B:E,4,0)</f>
        <v>0.10424062413548618</v>
      </c>
      <c r="N8" s="180">
        <f t="shared" si="0"/>
        <v>1.2544723390382404</v>
      </c>
      <c r="O8" s="375">
        <f t="shared" si="1"/>
        <v>0.24122559315040867</v>
      </c>
      <c r="P8" s="339">
        <f t="shared" si="2"/>
        <v>1.4726323390382405</v>
      </c>
      <c r="Q8" s="341">
        <f t="shared" si="4"/>
        <v>0.2831761198890369</v>
      </c>
      <c r="R8" s="180">
        <f>VLOOKUP(B8,'Military aid by type'!B:F,5,0)</f>
        <v>9.6000000000000002E-2</v>
      </c>
      <c r="S8" s="179">
        <f>VLOOKUP(B8,'Military aid by type'!B:G,6,0)</f>
        <v>0</v>
      </c>
      <c r="T8" s="455">
        <f>SUMIFS('Bilateral assistance, MAIN DATA'!S:S,'Bilateral assistance, MAIN DATA'!B:B,'Country summary'!B8,'Bilateral assistance, MAIN DATA'!AG:AG,1,'Bilateral assistance, MAIN DATA'!AH:AH,'Country summary'!$T$4)/1000000000</f>
        <v>0</v>
      </c>
      <c r="U8" s="455">
        <f>SUMIFS('Bilateral assistance, MAIN DATA'!S:S,'Bilateral assistance, MAIN DATA'!B:B,'Country summary'!B8,'Bilateral assistance, MAIN DATA'!AG:AG,1,'Bilateral assistance, MAIN DATA'!AH:AH,'Country summary'!$U$4)/1000000000</f>
        <v>7.5999999999999998E-2</v>
      </c>
      <c r="V8" s="455">
        <f>SUMIFS('Bilateral assistance, MAIN DATA'!S:S,'Bilateral assistance, MAIN DATA'!B:B,'Country summary'!B8,'Bilateral assistance, MAIN DATA'!AG:AG,1,'Bilateral assistance, MAIN DATA'!AH:AH,'Country summary'!$V$4)/1000000000</f>
        <v>3.63E-3</v>
      </c>
      <c r="W8" s="455">
        <f>SUMIFS('Bilateral assistance, MAIN DATA'!S:S,'Bilateral assistance, MAIN DATA'!B:B,'Country summary'!B8,'Bilateral assistance, MAIN DATA'!AG:AG,1,'Bilateral assistance, MAIN DATA'!AH:AH,'Country summary'!$W$4)/1000000000</f>
        <v>8.3000000000000004E-2</v>
      </c>
      <c r="X8" s="455">
        <f>SUMIFS('Bilateral assistance, MAIN DATA'!S:S,'Bilateral assistance, MAIN DATA'!B:B,'Country summary'!B8,'Bilateral assistance, MAIN DATA'!AG:AG,1,'Bilateral assistance, MAIN DATA'!AH:AH,'Country summary'!$X$4)/1000000000</f>
        <v>2.9770000000000001E-2</v>
      </c>
      <c r="Y8" s="455">
        <f>SUMIFS('Bilateral assistance, MAIN DATA'!S:S,'Bilateral assistance, MAIN DATA'!B:B,'Country summary'!B8,'Bilateral assistance, MAIN DATA'!AG:AG,1,'Bilateral assistance, MAIN DATA'!AH:AH,'Country summary'!$Y$4)/1000000000</f>
        <v>0</v>
      </c>
      <c r="Z8" s="455">
        <f>SUMIFS('Bilateral assistance, MAIN DATA'!S:S,'Bilateral assistance, MAIN DATA'!B:B,'Country summary'!B8,'Bilateral assistance, MAIN DATA'!AG:AG,1,'Bilateral assistance, MAIN DATA'!AH:AH,'Country summary'!$Z$4)/1000000000</f>
        <v>8.0000000000000004E-4</v>
      </c>
      <c r="AA8" s="455">
        <f>SUMIFS('Bilateral assistance, MAIN DATA'!S:S,'Bilateral assistance, MAIN DATA'!B:B,'Country summary'!B8,'Bilateral assistance, MAIN DATA'!AG:AG,1,'Bilateral assistance, MAIN DATA'!AH:AH,'Country summary'!$AA$4)/1000000000</f>
        <v>8.0000000000000002E-3</v>
      </c>
      <c r="AB8" s="109">
        <f>SUMIFS('Bilateral assistance, MAIN DATA'!S:S,'Bilateral assistance, MAIN DATA'!B:B,'Country summary'!B8,'Bilateral assistance, MAIN DATA'!AG:AG,1,'Bilateral assistance, MAIN DATA'!AH:AH,'Country summary'!$AB$4)/1000000000</f>
        <v>1.2E-2</v>
      </c>
      <c r="AC8" s="453">
        <f>SUMIFS('Bilateral assistance, MAIN DATA'!S:S,'Bilateral assistance, MAIN DATA'!B:B,'Country summary'!B8,'Bilateral assistance, MAIN DATA'!AG:AG,1,'Bilateral assistance, MAIN DATA'!AH:AH,'Country summary'!$AC$4)/1000000000</f>
        <v>0</v>
      </c>
      <c r="AD8" s="109">
        <f>SUMIFS('Bilateral assistance, MAIN DATA'!S:S,'Bilateral assistance, MAIN DATA'!B:B,'Country summary'!B8,'Bilateral assistance, MAIN DATA'!AG:AG,1,'Bilateral assistance, MAIN DATA'!AH:AH,'Country summary'!$AD$4)/1000000000</f>
        <v>4.96E-3</v>
      </c>
      <c r="AE8" s="109">
        <f>SUMIFS('Bilateral assistance, MAIN DATA'!S:S,'Bilateral assistance, MAIN DATA'!B:B,'Country summary'!B8,'Bilateral assistance, MAIN DATA'!AG:AG,1,'Bilateral assistance, MAIN DATA'!AH:AH,'Country summary'!$AE$4)/1000000000</f>
        <v>0</v>
      </c>
      <c r="AF8" s="109">
        <f t="shared" ref="AF8:AF11" si="6">SUM(T8:AE8)</f>
        <v>0.21815999999999999</v>
      </c>
      <c r="AG8" s="104">
        <f>SUMIFS('Bilateral assistance, MAIN DATA'!S:S,'Bilateral assistance, MAIN DATA'!B:B,'Country summary'!B8,'Bilateral assistance, MAIN DATA'!AG:AG,0)/1000000000</f>
        <v>0</v>
      </c>
      <c r="AH8" s="461"/>
      <c r="AI8" s="461"/>
    </row>
    <row r="9" spans="2:35" ht="15.75" customHeight="1">
      <c r="B9" s="104" t="s">
        <v>428</v>
      </c>
      <c r="C9" s="330">
        <v>1</v>
      </c>
      <c r="D9" s="179">
        <f>SUMIFS('Bilateral assistance, MAIN DATA'!S:S,'Bilateral assistance, MAIN DATA'!D:D,"Financial",'Bilateral assistance, MAIN DATA'!B:B,'Country summary'!B9)/1000000000</f>
        <v>0</v>
      </c>
      <c r="E9" s="179">
        <f>SUMIFS('Bilateral assistance, MAIN DATA'!S:S,'Bilateral assistance, MAIN DATA'!D:D,"Humanitarian",'Bilateral assistance, MAIN DATA'!B:B,'Country summary'!B9)/1000000000</f>
        <v>7.0600000000000003E-4</v>
      </c>
      <c r="F9" s="455">
        <f>SUMIFS('Bilateral assistance, MAIN DATA'!S:S,'Bilateral assistance, MAIN DATA'!D:D,"Military",'Bilateral assistance, MAIN DATA'!B:B,'Country summary'!B9)/1000000000</f>
        <v>3.7867463876432484E-3</v>
      </c>
      <c r="G9" s="327">
        <f t="shared" si="3"/>
        <v>4.4927463876432479E-3</v>
      </c>
      <c r="H9" s="102">
        <f>(69889347433.4324)/1000000000</f>
        <v>69.889347433432405</v>
      </c>
      <c r="I9" s="102">
        <f>H9/VLOOKUP("USD",'Exchange rates'!B:C,2,0)</f>
        <v>69.645587875866866</v>
      </c>
      <c r="J9" s="338">
        <f t="shared" si="5"/>
        <v>6.4508700761502875E-3</v>
      </c>
      <c r="K9" s="104">
        <f>VLOOKUP(B9,'EU aid shares'!B:E,4,0)</f>
        <v>0.18754553392455264</v>
      </c>
      <c r="L9" s="180">
        <f>VLOOKUP(B9,'EPF aid shares'!B:G,6,0)</f>
        <v>1.3504396458026915E-2</v>
      </c>
      <c r="M9" s="336">
        <f>VLOOKUP(B9,'EIB aid shares'!B:E,4,0)</f>
        <v>4.105207281778973E-3</v>
      </c>
      <c r="N9" s="180">
        <f t="shared" si="0"/>
        <v>0.20515513766435853</v>
      </c>
      <c r="O9" s="375">
        <f t="shared" si="1"/>
        <v>0.29457018588172124</v>
      </c>
      <c r="P9" s="339">
        <f t="shared" si="2"/>
        <v>0.20964788405200177</v>
      </c>
      <c r="Q9" s="341">
        <f t="shared" si="4"/>
        <v>0.30102105595787149</v>
      </c>
      <c r="R9" s="180">
        <f>VLOOKUP(B9,'Military aid by type'!B:F,5,0)</f>
        <v>3.7867463876432484E-3</v>
      </c>
      <c r="S9" s="179">
        <f>VLOOKUP(B9,'Military aid by type'!B:G,6,0)</f>
        <v>0</v>
      </c>
      <c r="T9" s="455">
        <f>SUMIFS('Bilateral assistance, MAIN DATA'!S:S,'Bilateral assistance, MAIN DATA'!B:B,'Country summary'!B9,'Bilateral assistance, MAIN DATA'!AG:AG,1,'Bilateral assistance, MAIN DATA'!AH:AH,'Country summary'!$T$4)/1000000000</f>
        <v>0</v>
      </c>
      <c r="U9" s="455">
        <f>SUMIFS('Bilateral assistance, MAIN DATA'!S:S,'Bilateral assistance, MAIN DATA'!B:B,'Country summary'!B9,'Bilateral assistance, MAIN DATA'!AG:AG,1,'Bilateral assistance, MAIN DATA'!AH:AH,'Country summary'!$U$4)/1000000000</f>
        <v>0</v>
      </c>
      <c r="V9" s="455">
        <f>SUMIFS('Bilateral assistance, MAIN DATA'!S:S,'Bilateral assistance, MAIN DATA'!B:B,'Country summary'!B9,'Bilateral assistance, MAIN DATA'!AG:AG,1,'Bilateral assistance, MAIN DATA'!AH:AH,'Country summary'!$V$4)/1000000000</f>
        <v>0</v>
      </c>
      <c r="W9" s="455">
        <f>SUMIFS('Bilateral assistance, MAIN DATA'!S:S,'Bilateral assistance, MAIN DATA'!B:B,'Country summary'!B9,'Bilateral assistance, MAIN DATA'!AG:AG,1,'Bilateral assistance, MAIN DATA'!AH:AH,'Country summary'!$W$4)/1000000000</f>
        <v>4.4927463876432479E-3</v>
      </c>
      <c r="X9" s="455">
        <f>SUMIFS('Bilateral assistance, MAIN DATA'!S:S,'Bilateral assistance, MAIN DATA'!B:B,'Country summary'!B9,'Bilateral assistance, MAIN DATA'!AG:AG,1,'Bilateral assistance, MAIN DATA'!AH:AH,'Country summary'!$X$4)/1000000000</f>
        <v>0</v>
      </c>
      <c r="Y9" s="455">
        <f>SUMIFS('Bilateral assistance, MAIN DATA'!S:S,'Bilateral assistance, MAIN DATA'!B:B,'Country summary'!B9,'Bilateral assistance, MAIN DATA'!AG:AG,1,'Bilateral assistance, MAIN DATA'!AH:AH,'Country summary'!$Y$4)/1000000000</f>
        <v>0</v>
      </c>
      <c r="Z9" s="455">
        <f>SUMIFS('Bilateral assistance, MAIN DATA'!S:S,'Bilateral assistance, MAIN DATA'!B:B,'Country summary'!B9,'Bilateral assistance, MAIN DATA'!AG:AG,1,'Bilateral assistance, MAIN DATA'!AH:AH,'Country summary'!$Z$4)/1000000000</f>
        <v>0</v>
      </c>
      <c r="AA9" s="455">
        <f>SUMIFS('Bilateral assistance, MAIN DATA'!S:S,'Bilateral assistance, MAIN DATA'!B:B,'Country summary'!B9,'Bilateral assistance, MAIN DATA'!AG:AG,1,'Bilateral assistance, MAIN DATA'!AH:AH,'Country summary'!$AA$4)/1000000000</f>
        <v>0</v>
      </c>
      <c r="AB9" s="109">
        <f>SUMIFS('Bilateral assistance, MAIN DATA'!S:S,'Bilateral assistance, MAIN DATA'!B:B,'Country summary'!B9,'Bilateral assistance, MAIN DATA'!AG:AG,1,'Bilateral assistance, MAIN DATA'!AH:AH,'Country summary'!$AB$4)/1000000000</f>
        <v>0</v>
      </c>
      <c r="AC9" s="453">
        <f>SUMIFS('Bilateral assistance, MAIN DATA'!S:S,'Bilateral assistance, MAIN DATA'!B:B,'Country summary'!B9,'Bilateral assistance, MAIN DATA'!AG:AG,1,'Bilateral assistance, MAIN DATA'!AH:AH,'Country summary'!$AC$4)/1000000000</f>
        <v>0</v>
      </c>
      <c r="AD9" s="109">
        <f>SUMIFS('Bilateral assistance, MAIN DATA'!S:S,'Bilateral assistance, MAIN DATA'!B:B,'Country summary'!B9,'Bilateral assistance, MAIN DATA'!AG:AG,1,'Bilateral assistance, MAIN DATA'!AH:AH,'Country summary'!$AD$4)/1000000000</f>
        <v>0</v>
      </c>
      <c r="AE9" s="109">
        <f>SUMIFS('Bilateral assistance, MAIN DATA'!S:S,'Bilateral assistance, MAIN DATA'!B:B,'Country summary'!B9,'Bilateral assistance, MAIN DATA'!AG:AG,1,'Bilateral assistance, MAIN DATA'!AH:AH,'Country summary'!$AE$4)/1000000000</f>
        <v>0</v>
      </c>
      <c r="AF9" s="109">
        <f t="shared" si="6"/>
        <v>4.4927463876432479E-3</v>
      </c>
      <c r="AG9" s="104">
        <f>SUMIFS('Bilateral assistance, MAIN DATA'!S:S,'Bilateral assistance, MAIN DATA'!B:B,'Country summary'!B9,'Bilateral assistance, MAIN DATA'!AG:AG,0)/1000000000</f>
        <v>0</v>
      </c>
      <c r="AH9" s="461"/>
      <c r="AI9" s="461"/>
    </row>
    <row r="10" spans="2:35">
      <c r="B10" s="104" t="s">
        <v>452</v>
      </c>
      <c r="C10" s="330">
        <v>0</v>
      </c>
      <c r="D10" s="179">
        <f>SUMIFS('Bilateral assistance, MAIN DATA'!S:S,'Bilateral assistance, MAIN DATA'!D:D,"Financial",'Bilateral assistance, MAIN DATA'!B:B,'Country summary'!B10)/1000000000</f>
        <v>2.1391160220994476</v>
      </c>
      <c r="E10" s="179">
        <f>SUMIFS('Bilateral assistance, MAIN DATA'!S:S,'Bilateral assistance, MAIN DATA'!D:D,"Humanitarian",'Bilateral assistance, MAIN DATA'!B:B,'Country summary'!B10)/1000000000</f>
        <v>0.28780847145488037</v>
      </c>
      <c r="F10" s="455">
        <f>SUMIFS('Bilateral assistance, MAIN DATA'!S:S,'Bilateral assistance, MAIN DATA'!D:D,"Military",'Bilateral assistance, MAIN DATA'!B:B,'Country summary'!B10)/1000000000</f>
        <v>1.3567179918845094</v>
      </c>
      <c r="G10" s="327">
        <f t="shared" si="3"/>
        <v>3.7836424854388375</v>
      </c>
      <c r="H10" s="101">
        <f>(1645423.41*1000000)/1000000000</f>
        <v>1645.4234100000001</v>
      </c>
      <c r="I10" s="102">
        <f>H10/VLOOKUP("USD",'Exchange rates'!B:C,2,0)</f>
        <v>1639.684514200299</v>
      </c>
      <c r="J10" s="338">
        <f t="shared" si="5"/>
        <v>0.23075429771221459</v>
      </c>
      <c r="K10" s="104">
        <f>VLOOKUP(B10,'EU aid shares'!B:E,4,0)</f>
        <v>0</v>
      </c>
      <c r="L10" s="180">
        <f>VLOOKUP(B10,'EPF aid shares'!B:G,6,0)</f>
        <v>0</v>
      </c>
      <c r="M10" s="336">
        <f>VLOOKUP(B10,'EIB aid shares'!B:E,4,0)</f>
        <v>0</v>
      </c>
      <c r="N10" s="180">
        <f t="shared" si="0"/>
        <v>0</v>
      </c>
      <c r="O10" s="375">
        <f t="shared" si="1"/>
        <v>0</v>
      </c>
      <c r="P10" s="339">
        <f t="shared" si="2"/>
        <v>3.7836424854388375</v>
      </c>
      <c r="Q10" s="341">
        <f t="shared" si="4"/>
        <v>0.23075429771221459</v>
      </c>
      <c r="R10" s="180">
        <f>VLOOKUP(B10,'Military aid by type'!B:F,5,0)</f>
        <v>0.98839386665430684</v>
      </c>
      <c r="S10" s="179">
        <f>VLOOKUP(B10,'Military aid by type'!B:G,6,0)</f>
        <v>0.36832412523020253</v>
      </c>
      <c r="T10" s="455">
        <f>SUMIFS('Bilateral assistance, MAIN DATA'!S:S,'Bilateral assistance, MAIN DATA'!B:B,'Country summary'!B10,'Bilateral assistance, MAIN DATA'!AG:AG,1,'Bilateral assistance, MAIN DATA'!AH:AH,'Country summary'!$T$4)/1000000000</f>
        <v>0.28729281767955805</v>
      </c>
      <c r="U10" s="455">
        <f>SUMIFS('Bilateral assistance, MAIN DATA'!S:S,'Bilateral assistance, MAIN DATA'!B:B,'Country summary'!B10,'Bilateral assistance, MAIN DATA'!AG:AG,1,'Bilateral assistance, MAIN DATA'!AH:AH,'Country summary'!$U$4)/1000000000</f>
        <v>0.40810399747883519</v>
      </c>
      <c r="V10" s="455">
        <f>SUMIFS('Bilateral assistance, MAIN DATA'!S:S,'Bilateral assistance, MAIN DATA'!B:B,'Country summary'!B10,'Bilateral assistance, MAIN DATA'!AG:AG,1,'Bilateral assistance, MAIN DATA'!AH:AH,'Country summary'!$V$4)/1000000000</f>
        <v>8.1352145942240828E-2</v>
      </c>
      <c r="W10" s="455">
        <f>SUMIFS('Bilateral assistance, MAIN DATA'!S:S,'Bilateral assistance, MAIN DATA'!B:B,'Country summary'!B10,'Bilateral assistance, MAIN DATA'!AG:AG,1,'Bilateral assistance, MAIN DATA'!AH:AH,'Country summary'!$W$4)/1000000000</f>
        <v>1.1992450731830859</v>
      </c>
      <c r="X10" s="455">
        <f>SUMIFS('Bilateral assistance, MAIN DATA'!S:S,'Bilateral assistance, MAIN DATA'!B:B,'Country summary'!B10,'Bilateral assistance, MAIN DATA'!AG:AG,1,'Bilateral assistance, MAIN DATA'!AH:AH,'Country summary'!$X$4)/1000000000</f>
        <v>0.22246777163904238</v>
      </c>
      <c r="Y10" s="455">
        <f>SUMIFS('Bilateral assistance, MAIN DATA'!S:S,'Bilateral assistance, MAIN DATA'!B:B,'Country summary'!B10,'Bilateral assistance, MAIN DATA'!AG:AG,1,'Bilateral assistance, MAIN DATA'!AH:AH,'Country summary'!$Y$4)/1000000000</f>
        <v>0.41696705152344143</v>
      </c>
      <c r="Z10" s="455">
        <f>SUMIFS('Bilateral assistance, MAIN DATA'!S:S,'Bilateral assistance, MAIN DATA'!B:B,'Country summary'!B10,'Bilateral assistance, MAIN DATA'!AG:AG,1,'Bilateral assistance, MAIN DATA'!AH:AH,'Country summary'!$Z$4)/1000000000</f>
        <v>0.33149171270718236</v>
      </c>
      <c r="AA10" s="455">
        <f>SUMIFS('Bilateral assistance, MAIN DATA'!S:S,'Bilateral assistance, MAIN DATA'!B:B,'Country summary'!B10,'Bilateral assistance, MAIN DATA'!AG:AG,1,'Bilateral assistance, MAIN DATA'!AH:AH,'Country summary'!$AA$4)/1000000000</f>
        <v>2.83609576427256E-3</v>
      </c>
      <c r="AB10" s="109">
        <f>SUMIFS('Bilateral assistance, MAIN DATA'!S:S,'Bilateral assistance, MAIN DATA'!B:B,'Country summary'!B10,'Bilateral assistance, MAIN DATA'!AG:AG,1,'Bilateral assistance, MAIN DATA'!AH:AH,'Country summary'!$AB$4)/1000000000</f>
        <v>3.8305709023941072E-2</v>
      </c>
      <c r="AC10" s="453">
        <f>SUMIFS('Bilateral assistance, MAIN DATA'!S:S,'Bilateral assistance, MAIN DATA'!B:B,'Country summary'!B10,'Bilateral assistance, MAIN DATA'!AG:AG,1,'Bilateral assistance, MAIN DATA'!AH:AH,'Country summary'!$AC$4)/1000000000</f>
        <v>0.40294659300184166</v>
      </c>
      <c r="AD10" s="109">
        <f>SUMIFS('Bilateral assistance, MAIN DATA'!S:S,'Bilateral assistance, MAIN DATA'!B:B,'Country summary'!B10,'Bilateral assistance, MAIN DATA'!AG:AG,1,'Bilateral assistance, MAIN DATA'!AH:AH,'Country summary'!$AD$4)/1000000000</f>
        <v>0.39263351749539604</v>
      </c>
      <c r="AE10" s="109">
        <f>SUMIFS('Bilateral assistance, MAIN DATA'!S:S,'Bilateral assistance, MAIN DATA'!B:B,'Country summary'!B10,'Bilateral assistance, MAIN DATA'!AG:AG,1,'Bilateral assistance, MAIN DATA'!AH:AH,'Country summary'!$AE$4)/1000000000</f>
        <v>0</v>
      </c>
      <c r="AF10" s="109">
        <f t="shared" si="6"/>
        <v>3.7836424854388371</v>
      </c>
      <c r="AG10" s="104">
        <f>SUMIFS('Bilateral assistance, MAIN DATA'!S:S,'Bilateral assistance, MAIN DATA'!B:B,'Country summary'!B10,'Bilateral assistance, MAIN DATA'!AG:AG,0)/1000000000</f>
        <v>0</v>
      </c>
      <c r="AH10" s="461"/>
      <c r="AI10" s="461"/>
    </row>
    <row r="11" spans="2:35">
      <c r="B11" s="104" t="s">
        <v>591</v>
      </c>
      <c r="C11" s="330">
        <v>1</v>
      </c>
      <c r="D11" s="179">
        <f>SUMIFS('Bilateral assistance, MAIN DATA'!S:S,'Bilateral assistance, MAIN DATA'!D:D,"Financial",'Bilateral assistance, MAIN DATA'!B:B,'Country summary'!B11)/1000000000</f>
        <v>0</v>
      </c>
      <c r="E11" s="179">
        <f>SUMIFS('Bilateral assistance, MAIN DATA'!S:S,'Bilateral assistance, MAIN DATA'!D:D,"Humanitarian",'Bilateral assistance, MAIN DATA'!B:B,'Country summary'!B11)/1000000000</f>
        <v>6.4415119932073866E-3</v>
      </c>
      <c r="F11" s="455">
        <f>SUMIFS('Bilateral assistance, MAIN DATA'!S:S,'Bilateral assistance, MAIN DATA'!D:D,"Military",'Bilateral assistance, MAIN DATA'!B:B,'Country summary'!B11)/1000000000</f>
        <v>1.6450859690087031E-2</v>
      </c>
      <c r="G11" s="327">
        <f t="shared" si="3"/>
        <v>2.2892371683294416E-2</v>
      </c>
      <c r="H11" s="102">
        <f>(57203.78*1000000)/1000000000</f>
        <v>57.203780000000002</v>
      </c>
      <c r="I11" s="102">
        <f>H11/VLOOKUP("USD",'Exchange rates'!B:C,2,0)</f>
        <v>57.004265072247136</v>
      </c>
      <c r="J11" s="338">
        <f t="shared" si="5"/>
        <v>4.0159050650474405E-2</v>
      </c>
      <c r="K11" s="104">
        <f>VLOOKUP(B11,'EU aid shares'!B:E,4,0)</f>
        <v>0.12521560721791991</v>
      </c>
      <c r="L11" s="180">
        <f>VLOOKUP(B11,'EPF aid shares'!B:G,6,0)</f>
        <v>1.1888630175959362E-2</v>
      </c>
      <c r="M11" s="336">
        <f>VLOOKUP(B11,'EIB aid shares'!B:E,4,0)</f>
        <v>8.5503152247076754E-3</v>
      </c>
      <c r="N11" s="180">
        <f t="shared" si="0"/>
        <v>0.14565455261858695</v>
      </c>
      <c r="O11" s="375">
        <f t="shared" si="1"/>
        <v>0.25551518370420978</v>
      </c>
      <c r="P11" s="339">
        <f t="shared" si="2"/>
        <v>0.16854692430188137</v>
      </c>
      <c r="Q11" s="341">
        <f t="shared" si="4"/>
        <v>0.29567423435468415</v>
      </c>
      <c r="R11" s="180">
        <f>VLOOKUP(B11,'Military aid by type'!B:F,5,0)</f>
        <v>1.6450859690087031E-2</v>
      </c>
      <c r="S11" s="179">
        <f>VLOOKUP(B11,'Military aid by type'!B:G,6,0)</f>
        <v>0</v>
      </c>
      <c r="T11" s="455">
        <f>SUMIFS('Bilateral assistance, MAIN DATA'!S:S,'Bilateral assistance, MAIN DATA'!B:B,'Country summary'!B11,'Bilateral assistance, MAIN DATA'!AG:AG,1,'Bilateral assistance, MAIN DATA'!AH:AH,'Country summary'!$T$4)/1000000000</f>
        <v>0</v>
      </c>
      <c r="U11" s="455">
        <f>SUMIFS('Bilateral assistance, MAIN DATA'!S:S,'Bilateral assistance, MAIN DATA'!B:B,'Country summary'!B11,'Bilateral assistance, MAIN DATA'!AG:AG,1,'Bilateral assistance, MAIN DATA'!AH:AH,'Country summary'!$U$4)/1000000000</f>
        <v>1.7658140522182127E-2</v>
      </c>
      <c r="V11" s="455">
        <f>SUMIFS('Bilateral assistance, MAIN DATA'!S:S,'Bilateral assistance, MAIN DATA'!B:B,'Country summary'!B11,'Bilateral assistance, MAIN DATA'!AG:AG,1,'Bilateral assistance, MAIN DATA'!AH:AH,'Country summary'!$V$4)/1000000000</f>
        <v>0</v>
      </c>
      <c r="W11" s="455">
        <f>SUMIFS('Bilateral assistance, MAIN DATA'!S:S,'Bilateral assistance, MAIN DATA'!B:B,'Country summary'!B11,'Bilateral assistance, MAIN DATA'!AG:AG,1,'Bilateral assistance, MAIN DATA'!AH:AH,'Country summary'!$W$4)/1000000000</f>
        <v>2.0123116111229038E-4</v>
      </c>
      <c r="X11" s="455">
        <f>SUMIFS('Bilateral assistance, MAIN DATA'!S:S,'Bilateral assistance, MAIN DATA'!B:B,'Country summary'!B11,'Bilateral assistance, MAIN DATA'!AG:AG,1,'Bilateral assistance, MAIN DATA'!AH:AH,'Country summary'!$X$4)/1000000000</f>
        <v>5.0000000000000001E-3</v>
      </c>
      <c r="Y11" s="455">
        <f>SUMIFS('Bilateral assistance, MAIN DATA'!S:S,'Bilateral assistance, MAIN DATA'!B:B,'Country summary'!B11,'Bilateral assistance, MAIN DATA'!AG:AG,1,'Bilateral assistance, MAIN DATA'!AH:AH,'Country summary'!$Y$4)/1000000000</f>
        <v>3.3000000000000003E-5</v>
      </c>
      <c r="Z11" s="455">
        <f>SUMIFS('Bilateral assistance, MAIN DATA'!S:S,'Bilateral assistance, MAIN DATA'!B:B,'Country summary'!B11,'Bilateral assistance, MAIN DATA'!AG:AG,1,'Bilateral assistance, MAIN DATA'!AH:AH,'Country summary'!$Z$4)/1000000000</f>
        <v>0</v>
      </c>
      <c r="AA11" s="455">
        <f>SUMIFS('Bilateral assistance, MAIN DATA'!S:S,'Bilateral assistance, MAIN DATA'!B:B,'Country summary'!B11,'Bilateral assistance, MAIN DATA'!AG:AG,1,'Bilateral assistance, MAIN DATA'!AH:AH,'Country summary'!$AA$4)/1000000000</f>
        <v>0</v>
      </c>
      <c r="AB11" s="109">
        <f>SUMIFS('Bilateral assistance, MAIN DATA'!S:S,'Bilateral assistance, MAIN DATA'!B:B,'Country summary'!B11,'Bilateral assistance, MAIN DATA'!AG:AG,1,'Bilateral assistance, MAIN DATA'!AH:AH,'Country summary'!$AB$4)/1000000000</f>
        <v>0</v>
      </c>
      <c r="AC11" s="453">
        <f>SUMIFS('Bilateral assistance, MAIN DATA'!S:S,'Bilateral assistance, MAIN DATA'!B:B,'Country summary'!B11,'Bilateral assistance, MAIN DATA'!AG:AG,1,'Bilateral assistance, MAIN DATA'!AH:AH,'Country summary'!$AC$4)/1000000000</f>
        <v>0</v>
      </c>
      <c r="AD11" s="109">
        <f>SUMIFS('Bilateral assistance, MAIN DATA'!S:S,'Bilateral assistance, MAIN DATA'!B:B,'Country summary'!B11,'Bilateral assistance, MAIN DATA'!AG:AG,1,'Bilateral assistance, MAIN DATA'!AH:AH,'Country summary'!$AD$4)/1000000000</f>
        <v>0</v>
      </c>
      <c r="AE11" s="109">
        <f>SUMIFS('Bilateral assistance, MAIN DATA'!S:S,'Bilateral assistance, MAIN DATA'!B:B,'Country summary'!B11,'Bilateral assistance, MAIN DATA'!AG:AG,1,'Bilateral assistance, MAIN DATA'!AH:AH,'Country summary'!$AE$4)/1000000000</f>
        <v>0</v>
      </c>
      <c r="AF11" s="109">
        <f t="shared" si="6"/>
        <v>2.2892371683294416E-2</v>
      </c>
      <c r="AG11" s="104">
        <f>SUMIFS('Bilateral assistance, MAIN DATA'!S:S,'Bilateral assistance, MAIN DATA'!B:B,'Country summary'!B11,'Bilateral assistance, MAIN DATA'!AG:AG,0)/1000000000</f>
        <v>0</v>
      </c>
      <c r="AH11" s="461"/>
      <c r="AI11" s="461"/>
    </row>
    <row r="12" spans="2:35" ht="15.75" customHeight="1">
      <c r="B12" s="104" t="s">
        <v>618</v>
      </c>
      <c r="C12" s="330">
        <v>1</v>
      </c>
      <c r="D12" s="179">
        <f>SUMIFS('Bilateral assistance, MAIN DATA'!S:S,'Bilateral assistance, MAIN DATA'!D:D,"Financial",'Bilateral assistance, MAIN DATA'!B:B,'Country summary'!B12)/1000000000</f>
        <v>0</v>
      </c>
      <c r="E12" s="179">
        <f>SUMIFS('Bilateral assistance, MAIN DATA'!S:S,'Bilateral assistance, MAIN DATA'!D:D,"Humanitarian",'Bilateral assistance, MAIN DATA'!B:B,'Country summary'!B12)/1000000000</f>
        <v>2.5000000000000001E-3</v>
      </c>
      <c r="F12" s="455">
        <f>SUMIFS('Bilateral assistance, MAIN DATA'!S:S,'Bilateral assistance, MAIN DATA'!D:D,"Military",'Bilateral assistance, MAIN DATA'!B:B,'Country summary'!B12)/1000000000</f>
        <v>0</v>
      </c>
      <c r="G12" s="327">
        <f t="shared" si="3"/>
        <v>2.5000000000000001E-3</v>
      </c>
      <c r="H12" s="102">
        <f>(24612.65*1000000)/1000000000</f>
        <v>24.612649999999999</v>
      </c>
      <c r="I12" s="102">
        <f>H12/VLOOKUP("USD",'Exchange rates'!B:C,2,0)</f>
        <v>24.526806178375683</v>
      </c>
      <c r="J12" s="338">
        <f t="shared" si="5"/>
        <v>1.0192929245733395E-2</v>
      </c>
      <c r="K12" s="104">
        <f>VLOOKUP(B12,'EU aid shares'!B:E,4,0)</f>
        <v>4.6875695907971734E-2</v>
      </c>
      <c r="L12" s="180">
        <f>VLOOKUP(B12,'EPF aid shares'!B:G,6,0)</f>
        <v>4.7796308957409085E-3</v>
      </c>
      <c r="M12" s="336">
        <f>VLOOKUP(B12,'EIB aid shares'!B:E,4,0)</f>
        <v>2.5877458211528699E-3</v>
      </c>
      <c r="N12" s="180">
        <f t="shared" si="0"/>
        <v>5.424307262486551E-2</v>
      </c>
      <c r="O12" s="375">
        <f t="shared" si="1"/>
        <v>0.22115832053457282</v>
      </c>
      <c r="P12" s="339">
        <f t="shared" si="2"/>
        <v>5.6743072624865512E-2</v>
      </c>
      <c r="Q12" s="341">
        <f t="shared" si="4"/>
        <v>0.23135124978030625</v>
      </c>
      <c r="R12" s="180">
        <f>VLOOKUP(B12,'Military aid by type'!B:F,5,0)</f>
        <v>0</v>
      </c>
      <c r="S12" s="179">
        <f>VLOOKUP(B12,'Military aid by type'!B:G,6,0)</f>
        <v>0</v>
      </c>
      <c r="T12" s="455">
        <f>SUMIFS('Bilateral assistance, MAIN DATA'!S:S,'Bilateral assistance, MAIN DATA'!B:B,'Country summary'!B12,'Bilateral assistance, MAIN DATA'!AG:AG,1,'Bilateral assistance, MAIN DATA'!AH:AH,'Country summary'!$T$4)/1000000000</f>
        <v>0</v>
      </c>
      <c r="U12" s="455">
        <f>SUMIFS('Bilateral assistance, MAIN DATA'!S:S,'Bilateral assistance, MAIN DATA'!B:B,'Country summary'!B12,'Bilateral assistance, MAIN DATA'!AG:AG,1,'Bilateral assistance, MAIN DATA'!AH:AH,'Country summary'!$U$4)/1000000000</f>
        <v>0</v>
      </c>
      <c r="V12" s="455">
        <f>SUMIFS('Bilateral assistance, MAIN DATA'!S:S,'Bilateral assistance, MAIN DATA'!B:B,'Country summary'!B12,'Bilateral assistance, MAIN DATA'!AG:AG,1,'Bilateral assistance, MAIN DATA'!AH:AH,'Country summary'!$V$4)/1000000000</f>
        <v>2E-3</v>
      </c>
      <c r="W12" s="455">
        <f>SUMIFS('Bilateral assistance, MAIN DATA'!S:S,'Bilateral assistance, MAIN DATA'!B:B,'Country summary'!B12,'Bilateral assistance, MAIN DATA'!AG:AG,1,'Bilateral assistance, MAIN DATA'!AH:AH,'Country summary'!$W$4)/1000000000</f>
        <v>0</v>
      </c>
      <c r="X12" s="455">
        <f>SUMIFS('Bilateral assistance, MAIN DATA'!S:S,'Bilateral assistance, MAIN DATA'!B:B,'Country summary'!B12,'Bilateral assistance, MAIN DATA'!AG:AG,1,'Bilateral assistance, MAIN DATA'!AH:AH,'Country summary'!$X$4)/1000000000</f>
        <v>0</v>
      </c>
      <c r="Y12" s="455">
        <f>SUMIFS('Bilateral assistance, MAIN DATA'!S:S,'Bilateral assistance, MAIN DATA'!B:B,'Country summary'!B12,'Bilateral assistance, MAIN DATA'!AG:AG,1,'Bilateral assistance, MAIN DATA'!AH:AH,'Country summary'!$Y$4)/1000000000</f>
        <v>5.0000000000000001E-4</v>
      </c>
      <c r="Z12" s="455">
        <f>SUMIFS('Bilateral assistance, MAIN DATA'!S:S,'Bilateral assistance, MAIN DATA'!B:B,'Country summary'!B12,'Bilateral assistance, MAIN DATA'!AG:AG,1,'Bilateral assistance, MAIN DATA'!AH:AH,'Country summary'!$Z$4)/1000000000</f>
        <v>0</v>
      </c>
      <c r="AA12" s="455">
        <f>SUMIFS('Bilateral assistance, MAIN DATA'!S:S,'Bilateral assistance, MAIN DATA'!B:B,'Country summary'!B12,'Bilateral assistance, MAIN DATA'!AG:AG,1,'Bilateral assistance, MAIN DATA'!AH:AH,'Country summary'!$AA$4)/1000000000</f>
        <v>0</v>
      </c>
      <c r="AB12" s="109">
        <f>SUMIFS('Bilateral assistance, MAIN DATA'!S:S,'Bilateral assistance, MAIN DATA'!B:B,'Country summary'!B12,'Bilateral assistance, MAIN DATA'!AG:AG,1,'Bilateral assistance, MAIN DATA'!AH:AH,'Country summary'!$AB$4)/1000000000</f>
        <v>0</v>
      </c>
      <c r="AC12" s="453">
        <f>SUMIFS('Bilateral assistance, MAIN DATA'!S:S,'Bilateral assistance, MAIN DATA'!B:B,'Country summary'!B12,'Bilateral assistance, MAIN DATA'!AG:AG,1,'Bilateral assistance, MAIN DATA'!AH:AH,'Country summary'!$AC$4)/1000000000</f>
        <v>0</v>
      </c>
      <c r="AD12" s="109">
        <f>SUMIFS('Bilateral assistance, MAIN DATA'!S:S,'Bilateral assistance, MAIN DATA'!B:B,'Country summary'!B12,'Bilateral assistance, MAIN DATA'!AG:AG,1,'Bilateral assistance, MAIN DATA'!AH:AH,'Country summary'!$AD$4)/1000000000</f>
        <v>0</v>
      </c>
      <c r="AE12" s="109">
        <f>SUMIFS('Bilateral assistance, MAIN DATA'!S:S,'Bilateral assistance, MAIN DATA'!B:B,'Country summary'!B12,'Bilateral assistance, MAIN DATA'!AG:AG,1,'Bilateral assistance, MAIN DATA'!AH:AH,'Country summary'!$AE$4)/1000000000</f>
        <v>0</v>
      </c>
      <c r="AF12" s="109">
        <f t="shared" ref="AF12:AF46" si="7">SUM(T12:AE12)</f>
        <v>2.5000000000000001E-3</v>
      </c>
      <c r="AG12" s="104">
        <f>SUMIFS('Bilateral assistance, MAIN DATA'!S:S,'Bilateral assistance, MAIN DATA'!B:B,'Country summary'!B12,'Bilateral assistance, MAIN DATA'!AG:AG,0)/1000000000</f>
        <v>0</v>
      </c>
    </row>
    <row r="13" spans="2:35">
      <c r="B13" s="104" t="s">
        <v>632</v>
      </c>
      <c r="C13" s="330">
        <v>1</v>
      </c>
      <c r="D13" s="179">
        <f>SUMIFS('Bilateral assistance, MAIN DATA'!S:S,'Bilateral assistance, MAIN DATA'!D:D,"Financial",'Bilateral assistance, MAIN DATA'!B:B,'Country summary'!B13)/1000000000</f>
        <v>0</v>
      </c>
      <c r="E13" s="179">
        <f>SUMIFS('Bilateral assistance, MAIN DATA'!S:S,'Bilateral assistance, MAIN DATA'!D:D,"Humanitarian",'Bilateral assistance, MAIN DATA'!B:B,'Country summary'!B13)/1000000000</f>
        <v>0.1082203296569451</v>
      </c>
      <c r="F13" s="455">
        <f>SUMIFS('Bilateral assistance, MAIN DATA'!S:S,'Bilateral assistance, MAIN DATA'!D:D,"Military",'Bilateral assistance, MAIN DATA'!B:B,'Country summary'!B13)/1000000000</f>
        <v>0.47848954751909611</v>
      </c>
      <c r="G13" s="327">
        <f t="shared" si="3"/>
        <v>0.58670987717604117</v>
      </c>
      <c r="H13" s="102">
        <f>245339320000/1000000000</f>
        <v>245.33931999999999</v>
      </c>
      <c r="I13" s="102">
        <f>H13/VLOOKUP("USD",'Exchange rates'!B:C,2,0)</f>
        <v>244.48362730443446</v>
      </c>
      <c r="J13" s="338">
        <f t="shared" si="5"/>
        <v>0.23997920991472438</v>
      </c>
      <c r="K13" s="104">
        <f>VLOOKUP(B13,'EU aid shares'!B:E,4,0)</f>
        <v>0.43868212818937707</v>
      </c>
      <c r="L13" s="180">
        <f>VLOOKUP(B13,'EPF aid shares'!B:G,6,0)</f>
        <v>4.7744564108810575E-2</v>
      </c>
      <c r="M13" s="336">
        <f>VLOOKUP(B13,'EIB aid shares'!B:E,4,0)</f>
        <v>1.7763022495545105E-2</v>
      </c>
      <c r="N13" s="180">
        <f t="shared" si="0"/>
        <v>0.50418971479373276</v>
      </c>
      <c r="O13" s="375">
        <f t="shared" si="1"/>
        <v>0.2062263720285484</v>
      </c>
      <c r="P13" s="339">
        <f t="shared" si="2"/>
        <v>1.0908995919697739</v>
      </c>
      <c r="Q13" s="341">
        <f t="shared" si="4"/>
        <v>0.44620558194327276</v>
      </c>
      <c r="R13" s="180">
        <f>VLOOKUP(B13,'Military aid by type'!B:F,5,0)</f>
        <v>0.43703463969647527</v>
      </c>
      <c r="S13" s="179">
        <f>VLOOKUP(B13,'Military aid by type'!B:G,6,0)</f>
        <v>4.1454907822620846E-2</v>
      </c>
      <c r="T13" s="455">
        <f>SUMIFS('Bilateral assistance, MAIN DATA'!S:S,'Bilateral assistance, MAIN DATA'!B:B,'Country summary'!B13,'Bilateral assistance, MAIN DATA'!AG:AG,1,'Bilateral assistance, MAIN DATA'!AH:AH,'Country summary'!$T$4)/1000000000</f>
        <v>0</v>
      </c>
      <c r="U13" s="455">
        <f>SUMIFS('Bilateral assistance, MAIN DATA'!S:S,'Bilateral assistance, MAIN DATA'!B:B,'Country summary'!B13,'Bilateral assistance, MAIN DATA'!AG:AG,1,'Bilateral assistance, MAIN DATA'!AH:AH,'Country summary'!$U$4)/1000000000</f>
        <v>3.7863670051592829E-2</v>
      </c>
      <c r="V13" s="455">
        <f>SUMIFS('Bilateral assistance, MAIN DATA'!S:S,'Bilateral assistance, MAIN DATA'!B:B,'Country summary'!B13,'Bilateral assistance, MAIN DATA'!AG:AG,1,'Bilateral assistance, MAIN DATA'!AH:AH,'Country summary'!$V$4)/1000000000</f>
        <v>3.7946710773206063E-2</v>
      </c>
      <c r="W13" s="455">
        <f>SUMIFS('Bilateral assistance, MAIN DATA'!S:S,'Bilateral assistance, MAIN DATA'!B:B,'Country summary'!B13,'Bilateral assistance, MAIN DATA'!AG:AG,1,'Bilateral assistance, MAIN DATA'!AH:AH,'Country summary'!$W$4)/1000000000</f>
        <v>0.13521828181736764</v>
      </c>
      <c r="X13" s="455">
        <f>SUMIFS('Bilateral assistance, MAIN DATA'!S:S,'Bilateral assistance, MAIN DATA'!B:B,'Country summary'!B13,'Bilateral assistance, MAIN DATA'!AG:AG,1,'Bilateral assistance, MAIN DATA'!AH:AH,'Country summary'!$X$4)/1000000000</f>
        <v>0.1313323072791214</v>
      </c>
      <c r="Y13" s="455">
        <f>SUMIFS('Bilateral assistance, MAIN DATA'!S:S,'Bilateral assistance, MAIN DATA'!B:B,'Country summary'!B13,'Bilateral assistance, MAIN DATA'!AG:AG,1,'Bilateral assistance, MAIN DATA'!AH:AH,'Country summary'!$Y$4)/1000000000</f>
        <v>7.1777777859385522E-2</v>
      </c>
      <c r="Z13" s="455">
        <f>SUMIFS('Bilateral assistance, MAIN DATA'!S:S,'Bilateral assistance, MAIN DATA'!B:B,'Country summary'!B13,'Bilateral assistance, MAIN DATA'!AG:AG,1,'Bilateral assistance, MAIN DATA'!AH:AH,'Country summary'!$Z$4)/1000000000</f>
        <v>0</v>
      </c>
      <c r="AA13" s="455">
        <f>SUMIFS('Bilateral assistance, MAIN DATA'!S:S,'Bilateral assistance, MAIN DATA'!B:B,'Country summary'!B13,'Bilateral assistance, MAIN DATA'!AG:AG,1,'Bilateral assistance, MAIN DATA'!AH:AH,'Country summary'!$AA$4)/1000000000</f>
        <v>0</v>
      </c>
      <c r="AB13" s="109">
        <f>SUMIFS('Bilateral assistance, MAIN DATA'!S:S,'Bilateral assistance, MAIN DATA'!B:B,'Country summary'!B13,'Bilateral assistance, MAIN DATA'!AG:AG,1,'Bilateral assistance, MAIN DATA'!AH:AH,'Country summary'!$AB$4)/1000000000</f>
        <v>0</v>
      </c>
      <c r="AC13" s="453">
        <f>SUMIFS('Bilateral assistance, MAIN DATA'!S:S,'Bilateral assistance, MAIN DATA'!B:B,'Country summary'!B13,'Bilateral assistance, MAIN DATA'!AG:AG,1,'Bilateral assistance, MAIN DATA'!AH:AH,'Country summary'!$AC$4)/1000000000</f>
        <v>8.1656023772704145E-2</v>
      </c>
      <c r="AD13" s="109">
        <f>SUMIFS('Bilateral assistance, MAIN DATA'!S:S,'Bilateral assistance, MAIN DATA'!B:B,'Country summary'!B13,'Bilateral assistance, MAIN DATA'!AG:AG,1,'Bilateral assistance, MAIN DATA'!AH:AH,'Country summary'!$AD$4)/1000000000</f>
        <v>8.6297957149975096E-2</v>
      </c>
      <c r="AE13" s="109">
        <f>SUMIFS('Bilateral assistance, MAIN DATA'!S:S,'Bilateral assistance, MAIN DATA'!B:B,'Country summary'!B13,'Bilateral assistance, MAIN DATA'!AG:AG,1,'Bilateral assistance, MAIN DATA'!AH:AH,'Country summary'!$AE$4)/1000000000</f>
        <v>0</v>
      </c>
      <c r="AF13" s="109">
        <f t="shared" si="7"/>
        <v>0.58209272870335271</v>
      </c>
      <c r="AG13" s="104">
        <f>SUMIFS('Bilateral assistance, MAIN DATA'!S:S,'Bilateral assistance, MAIN DATA'!B:B,'Country summary'!B13,'Bilateral assistance, MAIN DATA'!AG:AG,0)/1000000000</f>
        <v>4.617148472688559E-3</v>
      </c>
    </row>
    <row r="14" spans="2:35">
      <c r="B14" s="104" t="s">
        <v>767</v>
      </c>
      <c r="C14" s="330">
        <v>1</v>
      </c>
      <c r="D14" s="179">
        <f>SUMIFS('Bilateral assistance, MAIN DATA'!S:S,'Bilateral assistance, MAIN DATA'!D:D,"Financial",'Bilateral assistance, MAIN DATA'!B:B,'Country summary'!B14)/1000000000</f>
        <v>5.7500000000000002E-2</v>
      </c>
      <c r="E14" s="179">
        <f>SUMIFS('Bilateral assistance, MAIN DATA'!S:S,'Bilateral assistance, MAIN DATA'!D:D,"Humanitarian",'Bilateral assistance, MAIN DATA'!B:B,'Country summary'!B14)/1000000000</f>
        <v>7.3583308466739258E-2</v>
      </c>
      <c r="F14" s="455">
        <f>SUMIFS('Bilateral assistance, MAIN DATA'!S:S,'Bilateral assistance, MAIN DATA'!D:D,"Military",'Bilateral assistance, MAIN DATA'!B:B,'Country summary'!B14)/1000000000</f>
        <v>0.50996679973654857</v>
      </c>
      <c r="G14" s="327">
        <f t="shared" si="3"/>
        <v>0.64105010820328778</v>
      </c>
      <c r="H14" s="102">
        <f>356084870000/1000000000</f>
        <v>356.08487000000002</v>
      </c>
      <c r="I14" s="102">
        <f>H14/VLOOKUP("USD",'Exchange rates'!B:C,2,0)</f>
        <v>354.84291978076732</v>
      </c>
      <c r="J14" s="338">
        <f t="shared" si="5"/>
        <v>0.18065743247726287</v>
      </c>
      <c r="K14" s="104">
        <f>VLOOKUP(B14,'EU aid shares'!B:E,4,0)</f>
        <v>0.75883906996302064</v>
      </c>
      <c r="L14" s="180">
        <f>VLOOKUP(B14,'EPF aid shares'!B:G,6,0)</f>
        <v>7.4286452013286722E-2</v>
      </c>
      <c r="M14" s="336">
        <f>VLOOKUP(B14,'EIB aid shares'!B:E,4,0)</f>
        <v>5.2780020044418716E-2</v>
      </c>
      <c r="N14" s="180">
        <f t="shared" si="0"/>
        <v>0.88590554202072613</v>
      </c>
      <c r="O14" s="375">
        <f t="shared" si="1"/>
        <v>0.24966132692405568</v>
      </c>
      <c r="P14" s="339">
        <f t="shared" si="2"/>
        <v>1.5269556502240138</v>
      </c>
      <c r="Q14" s="341">
        <f t="shared" si="4"/>
        <v>0.43031875940131847</v>
      </c>
      <c r="R14" s="180">
        <f>VLOOKUP(B14,'Military aid by type'!B:F,5,0)</f>
        <v>0.26882804414156486</v>
      </c>
      <c r="S14" s="179">
        <f>VLOOKUP(B14,'Military aid by type'!B:G,6,0)</f>
        <v>0.24113875559498371</v>
      </c>
      <c r="T14" s="455">
        <f>SUMIFS('Bilateral assistance, MAIN DATA'!S:S,'Bilateral assistance, MAIN DATA'!B:B,'Country summary'!B14,'Bilateral assistance, MAIN DATA'!AG:AG,1,'Bilateral assistance, MAIN DATA'!AH:AH,'Country summary'!$T$4)/1000000000</f>
        <v>0</v>
      </c>
      <c r="U14" s="455">
        <f>SUMIFS('Bilateral assistance, MAIN DATA'!S:S,'Bilateral assistance, MAIN DATA'!B:B,'Country summary'!B14,'Bilateral assistance, MAIN DATA'!AG:AG,1,'Bilateral assistance, MAIN DATA'!AH:AH,'Country summary'!$U$4)/1000000000</f>
        <v>0</v>
      </c>
      <c r="V14" s="455">
        <f>SUMIFS('Bilateral assistance, MAIN DATA'!S:S,'Bilateral assistance, MAIN DATA'!B:B,'Country summary'!B14,'Bilateral assistance, MAIN DATA'!AG:AG,1,'Bilateral assistance, MAIN DATA'!AH:AH,'Country summary'!$V$4)/1000000000</f>
        <v>3.8549135045767978E-2</v>
      </c>
      <c r="W14" s="455">
        <f>SUMIFS('Bilateral assistance, MAIN DATA'!S:S,'Bilateral assistance, MAIN DATA'!B:B,'Country summary'!B14,'Bilateral assistance, MAIN DATA'!AG:AG,1,'Bilateral assistance, MAIN DATA'!AH:AH,'Country summary'!$W$4)/1000000000</f>
        <v>0.13441402207078243</v>
      </c>
      <c r="X14" s="455">
        <f>SUMIFS('Bilateral assistance, MAIN DATA'!S:S,'Bilateral assistance, MAIN DATA'!B:B,'Country summary'!B14,'Bilateral assistance, MAIN DATA'!AG:AG,1,'Bilateral assistance, MAIN DATA'!AH:AH,'Country summary'!$X$4)/1000000000</f>
        <v>0.1552481954917537</v>
      </c>
      <c r="Y14" s="455">
        <f>SUMIFS('Bilateral assistance, MAIN DATA'!S:S,'Bilateral assistance, MAIN DATA'!B:B,'Country summary'!B14,'Bilateral assistance, MAIN DATA'!AG:AG,1,'Bilateral assistance, MAIN DATA'!AH:AH,'Country summary'!$Y$4)/1000000000</f>
        <v>0</v>
      </c>
      <c r="Z14" s="455">
        <f>SUMIFS('Bilateral assistance, MAIN DATA'!S:S,'Bilateral assistance, MAIN DATA'!B:B,'Country summary'!B14,'Bilateral assistance, MAIN DATA'!AG:AG,1,'Bilateral assistance, MAIN DATA'!AH:AH,'Country summary'!$Z$4)/1000000000</f>
        <v>0</v>
      </c>
      <c r="AA14" s="455">
        <f>SUMIFS('Bilateral assistance, MAIN DATA'!S:S,'Bilateral assistance, MAIN DATA'!B:B,'Country summary'!B14,'Bilateral assistance, MAIN DATA'!AG:AG,1,'Bilateral assistance, MAIN DATA'!AH:AH,'Country summary'!$AA$4)/1000000000</f>
        <v>0.12621949809804159</v>
      </c>
      <c r="AB14" s="109">
        <f>SUMIFS('Bilateral assistance, MAIN DATA'!S:S,'Bilateral assistance, MAIN DATA'!B:B,'Country summary'!B14,'Bilateral assistance, MAIN DATA'!AG:AG,1,'Bilateral assistance, MAIN DATA'!AH:AH,'Country summary'!$AB$4)/1000000000</f>
        <v>3.7499999999999999E-2</v>
      </c>
      <c r="AC14" s="453">
        <f>SUMIFS('Bilateral assistance, MAIN DATA'!S:S,'Bilateral assistance, MAIN DATA'!B:B,'Country summary'!B14,'Bilateral assistance, MAIN DATA'!AG:AG,1,'Bilateral assistance, MAIN DATA'!AH:AH,'Country summary'!$AC$4)/1000000000</f>
        <v>0.14911925749694208</v>
      </c>
      <c r="AD14" s="109">
        <f>SUMIFS('Bilateral assistance, MAIN DATA'!S:S,'Bilateral assistance, MAIN DATA'!B:B,'Country summary'!B14,'Bilateral assistance, MAIN DATA'!AG:AG,1,'Bilateral assistance, MAIN DATA'!AH:AH,'Country summary'!$AD$4)/1000000000</f>
        <v>0</v>
      </c>
      <c r="AE14" s="109">
        <f>SUMIFS('Bilateral assistance, MAIN DATA'!S:S,'Bilateral assistance, MAIN DATA'!B:B,'Country summary'!B14,'Bilateral assistance, MAIN DATA'!AG:AG,1,'Bilateral assistance, MAIN DATA'!AH:AH,'Country summary'!$AE$4)/1000000000</f>
        <v>0</v>
      </c>
      <c r="AF14" s="109">
        <f t="shared" si="7"/>
        <v>0.64105010820328778</v>
      </c>
      <c r="AG14" s="104">
        <f>SUMIFS('Bilateral assistance, MAIN DATA'!S:S,'Bilateral assistance, MAIN DATA'!B:B,'Country summary'!B14,'Bilateral assistance, MAIN DATA'!AG:AG,0)/1000000000</f>
        <v>0</v>
      </c>
    </row>
    <row r="15" spans="2:35">
      <c r="B15" s="104" t="s">
        <v>840</v>
      </c>
      <c r="C15" s="330">
        <v>1</v>
      </c>
      <c r="D15" s="179">
        <f>SUMIFS('Bilateral assistance, MAIN DATA'!S:S,'Bilateral assistance, MAIN DATA'!D:D,"Financial",'Bilateral assistance, MAIN DATA'!B:B,'Country summary'!B15)/1000000000</f>
        <v>0</v>
      </c>
      <c r="E15" s="179">
        <f>SUMIFS('Bilateral assistance, MAIN DATA'!S:S,'Bilateral assistance, MAIN DATA'!D:D,"Humanitarian",'Bilateral assistance, MAIN DATA'!B:B,'Country summary'!B15)/1000000000</f>
        <v>4.9702280000000001E-3</v>
      </c>
      <c r="F15" s="455">
        <f>SUMIFS('Bilateral assistance, MAIN DATA'!S:S,'Bilateral assistance, MAIN DATA'!D:D,"Military",'Bilateral assistance, MAIN DATA'!B:B,'Country summary'!B15)/1000000000</f>
        <v>0.33</v>
      </c>
      <c r="G15" s="327">
        <f t="shared" si="3"/>
        <v>0.33497022800000004</v>
      </c>
      <c r="H15" s="102">
        <f>30650290000/1000000000</f>
        <v>30.650289999999998</v>
      </c>
      <c r="I15" s="102">
        <f>H15/VLOOKUP("USD",'Exchange rates'!B:C,2,0)</f>
        <v>30.543388141504728</v>
      </c>
      <c r="J15" s="338">
        <f t="shared" si="5"/>
        <v>1.0967029147130423</v>
      </c>
      <c r="K15" s="104">
        <f>VLOOKUP(B15,'EU aid shares'!B:E,4,0)</f>
        <v>5.9487032244361762E-2</v>
      </c>
      <c r="L15" s="180">
        <f>VLOOKUP(B15,'EPF aid shares'!B:G,6,0)</f>
        <v>6.2434464030015095E-3</v>
      </c>
      <c r="M15" s="336">
        <f>VLOOKUP(B15,'EIB aid shares'!B:E,4,0)</f>
        <v>1.6600457933228115E-3</v>
      </c>
      <c r="N15" s="180">
        <f t="shared" si="0"/>
        <v>6.7390524440686078E-2</v>
      </c>
      <c r="O15" s="375">
        <f t="shared" si="1"/>
        <v>0.22063866696278725</v>
      </c>
      <c r="P15" s="339">
        <f t="shared" si="2"/>
        <v>0.40236075244068614</v>
      </c>
      <c r="Q15" s="341">
        <f t="shared" si="4"/>
        <v>1.3173415816758296</v>
      </c>
      <c r="R15" s="180">
        <f>VLOOKUP(B15,'Military aid by type'!B:F,5,0)</f>
        <v>0.33</v>
      </c>
      <c r="S15" s="179">
        <f>VLOOKUP(B15,'Military aid by type'!B:G,6,0)</f>
        <v>0</v>
      </c>
      <c r="T15" s="455">
        <f>SUMIFS('Bilateral assistance, MAIN DATA'!S:S,'Bilateral assistance, MAIN DATA'!B:B,'Country summary'!B15,'Bilateral assistance, MAIN DATA'!AG:AG,1,'Bilateral assistance, MAIN DATA'!AH:AH,'Country summary'!$T$4)/1000000000</f>
        <v>0</v>
      </c>
      <c r="U15" s="455">
        <f>SUMIFS('Bilateral assistance, MAIN DATA'!S:S,'Bilateral assistance, MAIN DATA'!B:B,'Country summary'!B15,'Bilateral assistance, MAIN DATA'!AG:AG,1,'Bilateral assistance, MAIN DATA'!AH:AH,'Country summary'!$U$4)/1000000000</f>
        <v>5.3E-3</v>
      </c>
      <c r="V15" s="455">
        <f>SUMIFS('Bilateral assistance, MAIN DATA'!S:S,'Bilateral assistance, MAIN DATA'!B:B,'Country summary'!B15,'Bilateral assistance, MAIN DATA'!AG:AG,1,'Bilateral assistance, MAIN DATA'!AH:AH,'Country summary'!$V$4)/1000000000</f>
        <v>0</v>
      </c>
      <c r="W15" s="455">
        <f>SUMIFS('Bilateral assistance, MAIN DATA'!S:S,'Bilateral assistance, MAIN DATA'!B:B,'Country summary'!B15,'Bilateral assistance, MAIN DATA'!AG:AG,1,'Bilateral assistance, MAIN DATA'!AH:AH,'Country summary'!$W$4)/1000000000</f>
        <v>5.0000000000000001E-3</v>
      </c>
      <c r="X15" s="455">
        <f>SUMIFS('Bilateral assistance, MAIN DATA'!S:S,'Bilateral assistance, MAIN DATA'!B:B,'Country summary'!B15,'Bilateral assistance, MAIN DATA'!AG:AG,1,'Bilateral assistance, MAIN DATA'!AH:AH,'Country summary'!$X$4)/1000000000</f>
        <v>0.2429</v>
      </c>
      <c r="Y15" s="455">
        <f>SUMIFS('Bilateral assistance, MAIN DATA'!S:S,'Bilateral assistance, MAIN DATA'!B:B,'Country summary'!B15,'Bilateral assistance, MAIN DATA'!AG:AG,1,'Bilateral assistance, MAIN DATA'!AH:AH,'Country summary'!$Y$4)/1000000000</f>
        <v>0</v>
      </c>
      <c r="Z15" s="455">
        <f>SUMIFS('Bilateral assistance, MAIN DATA'!S:S,'Bilateral assistance, MAIN DATA'!B:B,'Country summary'!B15,'Bilateral assistance, MAIN DATA'!AG:AG,1,'Bilateral assistance, MAIN DATA'!AH:AH,'Country summary'!$Z$4)/1000000000</f>
        <v>0</v>
      </c>
      <c r="AA15" s="455">
        <f>SUMIFS('Bilateral assistance, MAIN DATA'!S:S,'Bilateral assistance, MAIN DATA'!B:B,'Country summary'!B15,'Bilateral assistance, MAIN DATA'!AG:AG,1,'Bilateral assistance, MAIN DATA'!AH:AH,'Country summary'!$AA$4)/1000000000</f>
        <v>1.7819999999999999E-2</v>
      </c>
      <c r="AB15" s="109">
        <f>SUMIFS('Bilateral assistance, MAIN DATA'!S:S,'Bilateral assistance, MAIN DATA'!B:B,'Country summary'!B15,'Bilateral assistance, MAIN DATA'!AG:AG,1,'Bilateral assistance, MAIN DATA'!AH:AH,'Country summary'!$AB$4)/1000000000</f>
        <v>0</v>
      </c>
      <c r="AC15" s="453">
        <f>SUMIFS('Bilateral assistance, MAIN DATA'!S:S,'Bilateral assistance, MAIN DATA'!B:B,'Country summary'!B15,'Bilateral assistance, MAIN DATA'!AG:AG,1,'Bilateral assistance, MAIN DATA'!AH:AH,'Country summary'!$AC$4)/1000000000</f>
        <v>6.1879999999999998E-2</v>
      </c>
      <c r="AD15" s="109">
        <f>SUMIFS('Bilateral assistance, MAIN DATA'!S:S,'Bilateral assistance, MAIN DATA'!B:B,'Country summary'!B15,'Bilateral assistance, MAIN DATA'!AG:AG,1,'Bilateral assistance, MAIN DATA'!AH:AH,'Country summary'!$AD$4)/1000000000</f>
        <v>0</v>
      </c>
      <c r="AE15" s="109">
        <f>SUMIFS('Bilateral assistance, MAIN DATA'!S:S,'Bilateral assistance, MAIN DATA'!B:B,'Country summary'!B15,'Bilateral assistance, MAIN DATA'!AG:AG,1,'Bilateral assistance, MAIN DATA'!AH:AH,'Country summary'!$AE$4)/1000000000</f>
        <v>0</v>
      </c>
      <c r="AF15" s="109">
        <f t="shared" si="7"/>
        <v>0.33289999999999997</v>
      </c>
      <c r="AG15" s="104">
        <f>SUMIFS('Bilateral assistance, MAIN DATA'!S:S,'Bilateral assistance, MAIN DATA'!B:B,'Country summary'!B15,'Bilateral assistance, MAIN DATA'!AG:AG,0)/1000000000</f>
        <v>2.0702279999999999E-3</v>
      </c>
    </row>
    <row r="16" spans="2:35">
      <c r="B16" s="35" t="s">
        <v>2825</v>
      </c>
      <c r="C16" s="330">
        <v>0</v>
      </c>
      <c r="D16" s="179">
        <f>SUMIFS('Bilateral assistance, MAIN DATA'!S:S,'Bilateral assistance, MAIN DATA'!D:D,"Financial",'Bilateral assistance, MAIN DATA'!B:B,'Country summary'!B16)/1000000000</f>
        <v>28.32</v>
      </c>
      <c r="E16" s="179">
        <f>SUMIFS('Bilateral assistance, MAIN DATA'!S:S,'Bilateral assistance, MAIN DATA'!D:D,"Humanitarian",'Bilateral assistance, MAIN DATA'!B:B,'Country summary'!B16)/1000000000</f>
        <v>1.57</v>
      </c>
      <c r="F16" s="455">
        <f>SUMIFS('Bilateral assistance, MAIN DATA'!S:S,'Bilateral assistance, MAIN DATA'!D:D,"Military",'Bilateral assistance, MAIN DATA'!B:B,'Country summary'!B16)/1000000000</f>
        <v>0</v>
      </c>
      <c r="G16" s="327">
        <f t="shared" si="3"/>
        <v>29.89</v>
      </c>
      <c r="H16" s="101">
        <f>(15291934.75*1000000)/1000000000</f>
        <v>15291.93475</v>
      </c>
      <c r="I16" s="102">
        <f>H16/VLOOKUP("USD",'Exchange rates'!B:C,2,0)</f>
        <v>15238.599651220728</v>
      </c>
      <c r="J16" s="338">
        <f t="shared" si="5"/>
        <v>0.19614663213234021</v>
      </c>
      <c r="K16" s="104">
        <f>VLOOKUP(B16,'EU aid shares'!B:E,4,0)</f>
        <v>0</v>
      </c>
      <c r="L16" s="180">
        <f>VLOOKUP(B16,'EPF aid shares'!B:G,6,0)</f>
        <v>0</v>
      </c>
      <c r="M16" s="336">
        <f>VLOOKUP(B16,'EIB aid shares'!B:E,4,0)</f>
        <v>0</v>
      </c>
      <c r="N16" s="180">
        <f t="shared" si="0"/>
        <v>0</v>
      </c>
      <c r="O16" s="375">
        <f t="shared" si="1"/>
        <v>0</v>
      </c>
      <c r="P16" s="339">
        <f t="shared" si="2"/>
        <v>29.89</v>
      </c>
      <c r="Q16" s="341">
        <f t="shared" si="4"/>
        <v>0.19614663213234021</v>
      </c>
      <c r="R16" s="180">
        <f>VLOOKUP(B16,'Military aid by type'!B:F,5,0)</f>
        <v>0</v>
      </c>
      <c r="S16" s="179">
        <f>VLOOKUP(B16,'Military aid by type'!B:G,6,0)</f>
        <v>0</v>
      </c>
      <c r="T16" s="456">
        <f>SUMIFS('Bilateral assistance, MAIN DATA'!S:S,'Bilateral assistance, MAIN DATA'!B:B,'Country summary'!B16,'Bilateral assistance, MAIN DATA'!AG:AG,1,'Bilateral assistance, MAIN DATA'!AH:AH,'Country summary'!$T$4)/1000000000</f>
        <v>0</v>
      </c>
      <c r="U16" s="456">
        <f>SUMIFS('Bilateral assistance, MAIN DATA'!S:S,'Bilateral assistance, MAIN DATA'!B:B,'Country summary'!B16,'Bilateral assistance, MAIN DATA'!AG:AG,1,'Bilateral assistance, MAIN DATA'!AH:AH,'Country summary'!$U$4)/1000000000+0.5</f>
        <v>1.7</v>
      </c>
      <c r="V16" s="456">
        <f>SUMIFS('Bilateral assistance, MAIN DATA'!S:S,'Bilateral assistance, MAIN DATA'!B:B,'Country summary'!B16,'Bilateral assistance, MAIN DATA'!AG:AG,1,'Bilateral assistance, MAIN DATA'!AH:AH,'Country summary'!$V$4)/1000000000+2.5025</f>
        <v>2.9175</v>
      </c>
      <c r="W16" s="456">
        <f>SUMIFS('Bilateral assistance, MAIN DATA'!S:S,'Bilateral assistance, MAIN DATA'!B:B,'Country summary'!B16,'Bilateral assistance, MAIN DATA'!AG:AG,1,'Bilateral assistance, MAIN DATA'!AH:AH,'Country summary'!$W$4)/1000000000+0.5</f>
        <v>1.22</v>
      </c>
      <c r="X16" s="456">
        <f>SUMIFS('Bilateral assistance, MAIN DATA'!S:S,'Bilateral assistance, MAIN DATA'!B:B,'Country summary'!B16,'Bilateral assistance, MAIN DATA'!AG:AG,1,'Bilateral assistance, MAIN DATA'!AH:AH,'Country summary'!$X$4)/1000000000+0.5</f>
        <v>9.6999999999999993</v>
      </c>
      <c r="Y16" s="456">
        <f>SUMIFS('Bilateral assistance, MAIN DATA'!S:S,'Bilateral assistance, MAIN DATA'!B:B,'Country summary'!B16,'Bilateral assistance, MAIN DATA'!AG:AG,1,'Bilateral assistance, MAIN DATA'!AH:AH,'Country summary'!$Y$4)/1000000000</f>
        <v>0.20499999999999999</v>
      </c>
      <c r="Z16" s="456">
        <f>SUMIFS('Bilateral assistance, MAIN DATA'!S:S,'Bilateral assistance, MAIN DATA'!B:B,'Country summary'!B16,'Bilateral assistance, MAIN DATA'!AG:AG,1,'Bilateral assistance, MAIN DATA'!AH:AH,'Country summary'!$Z$4)/1000000000+0.5</f>
        <v>0.5</v>
      </c>
      <c r="AA16" s="456">
        <f>SUMIFS('Bilateral assistance, MAIN DATA'!S:S,'Bilateral assistance, MAIN DATA'!B:B,'Country summary'!B16,'Bilateral assistance, MAIN DATA'!AG:AG,1,'Bilateral assistance, MAIN DATA'!AH:AH,'Country summary'!$AA$4)/1000000000</f>
        <v>0</v>
      </c>
      <c r="AB16" s="457">
        <f>SUMIFS('Bilateral assistance, MAIN DATA'!S:S,'Bilateral assistance, MAIN DATA'!B:B,'Country summary'!B16,'Bilateral assistance, MAIN DATA'!AG:AG,1,'Bilateral assistance, MAIN DATA'!AH:AH,'Country summary'!$AB$4)/1000000000</f>
        <v>0</v>
      </c>
      <c r="AC16" s="456">
        <f>SUMIFS('Bilateral assistance, MAIN DATA'!S:S,'Bilateral assistance, MAIN DATA'!B:B,'Country summary'!B16,'Bilateral assistance, MAIN DATA'!AG:AG,1,'Bilateral assistance, MAIN DATA'!AH:AH,'Country summary'!$AC$4)/1000000000</f>
        <v>0.15</v>
      </c>
      <c r="AD16" s="457">
        <f>SUMIFS('Bilateral assistance, MAIN DATA'!S:S,'Bilateral assistance, MAIN DATA'!B:B,'Country summary'!B16,'Bilateral assistance, MAIN DATA'!AG:AG,1,'Bilateral assistance, MAIN DATA'!AH:AH,'Country summary'!$AD$4)/1000000000</f>
        <v>18</v>
      </c>
      <c r="AE16" s="457">
        <f>SUMIFS('Bilateral assistance, MAIN DATA'!S:S,'Bilateral assistance, MAIN DATA'!B:B,'Country summary'!B16,'Bilateral assistance, MAIN DATA'!AG:AG,1,'Bilateral assistance, MAIN DATA'!AH:AH,'Country summary'!$AE$4)/1000000000</f>
        <v>0</v>
      </c>
      <c r="AF16" s="457">
        <f t="shared" si="7"/>
        <v>34.392499999999998</v>
      </c>
      <c r="AG16" s="458">
        <f>SUMIFS('Bilateral assistance, MAIN DATA'!S:S,'Bilateral assistance, MAIN DATA'!B:B,'Country summary'!B16,'Bilateral assistance, MAIN DATA'!AG:AG,0)/1000000000</f>
        <v>0</v>
      </c>
    </row>
    <row r="17" spans="2:33">
      <c r="B17" s="104" t="s">
        <v>917</v>
      </c>
      <c r="C17" s="330">
        <v>1</v>
      </c>
      <c r="D17" s="179">
        <f>SUMIFS('Bilateral assistance, MAIN DATA'!S:S,'Bilateral assistance, MAIN DATA'!D:D,"Financial",'Bilateral assistance, MAIN DATA'!B:B,'Country summary'!B17)/1000000000</f>
        <v>8.1500000000000003E-2</v>
      </c>
      <c r="E17" s="179">
        <f>SUMIFS('Bilateral assistance, MAIN DATA'!S:S,'Bilateral assistance, MAIN DATA'!D:D,"Humanitarian",'Bilateral assistance, MAIN DATA'!B:B,'Country summary'!B17)/1000000000</f>
        <v>4.6199999999999998E-2</v>
      </c>
      <c r="F17" s="455">
        <f>SUMIFS('Bilateral assistance, MAIN DATA'!S:S,'Bilateral assistance, MAIN DATA'!D:D,"Military",'Bilateral assistance, MAIN DATA'!B:B,'Country summary'!B17)/1000000000</f>
        <v>0.1779</v>
      </c>
      <c r="G17" s="327">
        <f t="shared" si="3"/>
        <v>0.30559999999999998</v>
      </c>
      <c r="H17" s="102">
        <f>269594830000/1000000000</f>
        <v>269.59483</v>
      </c>
      <c r="I17" s="102">
        <f>H17/VLOOKUP("USD",'Exchange rates'!B:C,2,0)</f>
        <v>268.65453911310414</v>
      </c>
      <c r="J17" s="338">
        <f t="shared" si="5"/>
        <v>0.11375203300449048</v>
      </c>
      <c r="K17" s="104">
        <f>VLOOKUP(B17,'EU aid shares'!B:E,4,0)</f>
        <v>0.50877123301483951</v>
      </c>
      <c r="L17" s="180">
        <f>VLOOKUP(B17,'EPF aid shares'!B:G,6,0)</f>
        <v>5.5679572736467717E-2</v>
      </c>
      <c r="M17" s="336">
        <f>VLOOKUP(B17,'EIB aid shares'!B:E,4,0)</f>
        <v>2.9729782390341176E-2</v>
      </c>
      <c r="N17" s="180">
        <f t="shared" si="0"/>
        <v>0.59418058814164842</v>
      </c>
      <c r="O17" s="375">
        <f t="shared" si="1"/>
        <v>0.22116901136425507</v>
      </c>
      <c r="P17" s="339">
        <f t="shared" si="2"/>
        <v>0.89978058814164841</v>
      </c>
      <c r="Q17" s="341">
        <f t="shared" si="4"/>
        <v>0.33492104436874559</v>
      </c>
      <c r="R17" s="180">
        <f>VLOOKUP(B17,'Military aid by type'!B:F,5,0)</f>
        <v>0.1479</v>
      </c>
      <c r="S17" s="179">
        <f>VLOOKUP(B17,'Military aid by type'!B:G,6,0)</f>
        <v>0.03</v>
      </c>
      <c r="T17" s="455">
        <f>SUMIFS('Bilateral assistance, MAIN DATA'!S:S,'Bilateral assistance, MAIN DATA'!B:B,'Country summary'!B17,'Bilateral assistance, MAIN DATA'!AG:AG,1,'Bilateral assistance, MAIN DATA'!AH:AH,'Country summary'!$T$4)/1000000000</f>
        <v>0</v>
      </c>
      <c r="U17" s="455">
        <f>SUMIFS('Bilateral assistance, MAIN DATA'!S:S,'Bilateral assistance, MAIN DATA'!B:B,'Country summary'!B17,'Bilateral assistance, MAIN DATA'!AG:AG,1,'Bilateral assistance, MAIN DATA'!AH:AH,'Country summary'!$U$4)/1000000000</f>
        <v>3.1300000000000001E-2</v>
      </c>
      <c r="V17" s="455">
        <f>SUMIFS('Bilateral assistance, MAIN DATA'!S:S,'Bilateral assistance, MAIN DATA'!B:B,'Country summary'!B17,'Bilateral assistance, MAIN DATA'!AG:AG,1,'Bilateral assistance, MAIN DATA'!AH:AH,'Country summary'!$V$4)/1000000000</f>
        <v>6.5112389968443787E-3</v>
      </c>
      <c r="W17" s="455">
        <f>SUMIFS('Bilateral assistance, MAIN DATA'!S:S,'Bilateral assistance, MAIN DATA'!B:B,'Country summary'!B17,'Bilateral assistance, MAIN DATA'!AG:AG,1,'Bilateral assistance, MAIN DATA'!AH:AH,'Country summary'!$W$4)/1000000000</f>
        <v>4.7765570503238666E-2</v>
      </c>
      <c r="X17" s="455">
        <f>SUMIFS('Bilateral assistance, MAIN DATA'!S:S,'Bilateral assistance, MAIN DATA'!B:B,'Country summary'!B17,'Bilateral assistance, MAIN DATA'!AG:AG,1,'Bilateral assistance, MAIN DATA'!AH:AH,'Country summary'!$X$4)/1000000000</f>
        <v>0</v>
      </c>
      <c r="Y17" s="455">
        <f>SUMIFS('Bilateral assistance, MAIN DATA'!S:S,'Bilateral assistance, MAIN DATA'!B:B,'Country summary'!B17,'Bilateral assistance, MAIN DATA'!AG:AG,1,'Bilateral assistance, MAIN DATA'!AH:AH,'Country summary'!$Y$4)/1000000000</f>
        <v>5.475E-2</v>
      </c>
      <c r="Z17" s="455">
        <f>SUMIFS('Bilateral assistance, MAIN DATA'!S:S,'Bilateral assistance, MAIN DATA'!B:B,'Country summary'!B17,'Bilateral assistance, MAIN DATA'!AG:AG,1,'Bilateral assistance, MAIN DATA'!AH:AH,'Country summary'!$Z$4)/1000000000</f>
        <v>7.1159524995847848E-4</v>
      </c>
      <c r="AA17" s="455">
        <f>SUMIFS('Bilateral assistance, MAIN DATA'!S:S,'Bilateral assistance, MAIN DATA'!B:B,'Country summary'!B17,'Bilateral assistance, MAIN DATA'!AG:AG,1,'Bilateral assistance, MAIN DATA'!AH:AH,'Country summary'!$AA$4)/1000000000</f>
        <v>7.1159524995847848E-4</v>
      </c>
      <c r="AB17" s="109">
        <f>SUMIFS('Bilateral assistance, MAIN DATA'!S:S,'Bilateral assistance, MAIN DATA'!B:B,'Country summary'!B17,'Bilateral assistance, MAIN DATA'!AG:AG,1,'Bilateral assistance, MAIN DATA'!AH:AH,'Country summary'!$AB$4)/1000000000</f>
        <v>7.825E-2</v>
      </c>
      <c r="AC17" s="453">
        <f>SUMIFS('Bilateral assistance, MAIN DATA'!S:S,'Bilateral assistance, MAIN DATA'!B:B,'Country summary'!B17,'Bilateral assistance, MAIN DATA'!AG:AG,1,'Bilateral assistance, MAIN DATA'!AH:AH,'Country summary'!$AC$4)/1000000000</f>
        <v>0.03</v>
      </c>
      <c r="AD17" s="109">
        <f>SUMIFS('Bilateral assistance, MAIN DATA'!S:S,'Bilateral assistance, MAIN DATA'!B:B,'Country summary'!B17,'Bilateral assistance, MAIN DATA'!AG:AG,1,'Bilateral assistance, MAIN DATA'!AH:AH,'Country summary'!$AD$4)/1000000000</f>
        <v>5.5599999999999997E-2</v>
      </c>
      <c r="AE17" s="109">
        <f>SUMIFS('Bilateral assistance, MAIN DATA'!S:S,'Bilateral assistance, MAIN DATA'!B:B,'Country summary'!B17,'Bilateral assistance, MAIN DATA'!AG:AG,1,'Bilateral assistance, MAIN DATA'!AH:AH,'Country summary'!$AE$4)/1000000000</f>
        <v>0</v>
      </c>
      <c r="AF17" s="109">
        <f t="shared" si="7"/>
        <v>0.30559999999999998</v>
      </c>
      <c r="AG17" s="104">
        <f>SUMIFS('Bilateral assistance, MAIN DATA'!S:S,'Bilateral assistance, MAIN DATA'!B:B,'Country summary'!B17,'Bilateral assistance, MAIN DATA'!AG:AG,0)/1000000000</f>
        <v>0</v>
      </c>
    </row>
    <row r="18" spans="2:33">
      <c r="B18" s="104" t="s">
        <v>1012</v>
      </c>
      <c r="C18" s="330">
        <v>1</v>
      </c>
      <c r="D18" s="179">
        <f>SUMIFS('Bilateral assistance, MAIN DATA'!S:S,'Bilateral assistance, MAIN DATA'!D:D,"Financial",'Bilateral assistance, MAIN DATA'!B:B,'Country summary'!B18)/1000000000</f>
        <v>0.8</v>
      </c>
      <c r="E18" s="179">
        <f>SUMIFS('Bilateral assistance, MAIN DATA'!S:S,'Bilateral assistance, MAIN DATA'!D:D,"Humanitarian",'Bilateral assistance, MAIN DATA'!B:B,'Country summary'!B18)/1000000000</f>
        <v>0.14250096271449927</v>
      </c>
      <c r="F18" s="455">
        <f>SUMIFS('Bilateral assistance, MAIN DATA'!S:S,'Bilateral assistance, MAIN DATA'!D:D,"Military",'Bilateral assistance, MAIN DATA'!B:B,'Country summary'!B18)/1000000000</f>
        <v>0.47165789192610524</v>
      </c>
      <c r="G18" s="327">
        <f t="shared" si="3"/>
        <v>1.4141588546406045</v>
      </c>
      <c r="H18" s="102">
        <f>2630317730000/1000000000</f>
        <v>2630.3177300000002</v>
      </c>
      <c r="I18" s="102">
        <f>H18/VLOOKUP("USD",'Exchange rates'!B:C,2,0)</f>
        <v>2621.1437269556554</v>
      </c>
      <c r="J18" s="338">
        <f t="shared" si="5"/>
        <v>5.3951976768671459E-2</v>
      </c>
      <c r="K18" s="104">
        <f>VLOOKUP(B18,'EU aid shares'!B:E,4,0)</f>
        <v>5.0636439153775905</v>
      </c>
      <c r="L18" s="180">
        <f>VLOOKUP(B18,'EPF aid shares'!B:G,6,0)</f>
        <v>0.53806696032119949</v>
      </c>
      <c r="M18" s="336">
        <f>VLOOKUP(B18,'EIB aid shares'!B:E,4,0)</f>
        <v>0.37605786289314741</v>
      </c>
      <c r="N18" s="180">
        <f t="shared" si="0"/>
        <v>5.9777687385919371</v>
      </c>
      <c r="O18" s="375">
        <f t="shared" si="1"/>
        <v>0.22805955572435763</v>
      </c>
      <c r="P18" s="339">
        <f t="shared" si="2"/>
        <v>7.3919275932325412</v>
      </c>
      <c r="Q18" s="341">
        <f t="shared" si="4"/>
        <v>0.28201153249302907</v>
      </c>
      <c r="R18" s="180">
        <f>VLOOKUP(B18,'Military aid by type'!B:F,5,0)</f>
        <v>0.4716578919261053</v>
      </c>
      <c r="S18" s="179">
        <f>VLOOKUP(B18,'Military aid by type'!B:G,6,0)</f>
        <v>0</v>
      </c>
      <c r="T18" s="455">
        <f>SUMIFS('Bilateral assistance, MAIN DATA'!S:S,'Bilateral assistance, MAIN DATA'!B:B,'Country summary'!B18,'Bilateral assistance, MAIN DATA'!AG:AG,1,'Bilateral assistance, MAIN DATA'!AH:AH,'Country summary'!$T$4)/1000000000</f>
        <v>0</v>
      </c>
      <c r="U18" s="455">
        <f>SUMIFS('Bilateral assistance, MAIN DATA'!S:S,'Bilateral assistance, MAIN DATA'!B:B,'Country summary'!B18,'Bilateral assistance, MAIN DATA'!AG:AG,1,'Bilateral assistance, MAIN DATA'!AH:AH,'Country summary'!$U$4)/1000000000</f>
        <v>0.5</v>
      </c>
      <c r="V18" s="455">
        <f>SUMIFS('Bilateral assistance, MAIN DATA'!S:S,'Bilateral assistance, MAIN DATA'!B:B,'Country summary'!B18,'Bilateral assistance, MAIN DATA'!AG:AG,1,'Bilateral assistance, MAIN DATA'!AH:AH,'Country summary'!$V$4)/1000000000</f>
        <v>0.11949486796213254</v>
      </c>
      <c r="W18" s="455">
        <f>SUMIFS('Bilateral assistance, MAIN DATA'!S:S,'Bilateral assistance, MAIN DATA'!B:B,'Country summary'!B18,'Bilateral assistance, MAIN DATA'!AG:AG,1,'Bilateral assistance, MAIN DATA'!AH:AH,'Country summary'!$W$4)/1000000000</f>
        <v>0.18712309145494974</v>
      </c>
      <c r="X18" s="455">
        <f>SUMIFS('Bilateral assistance, MAIN DATA'!S:S,'Bilateral assistance, MAIN DATA'!B:B,'Country summary'!B18,'Bilateral assistance, MAIN DATA'!AG:AG,1,'Bilateral assistance, MAIN DATA'!AH:AH,'Country summary'!$X$4)/1000000000</f>
        <v>0.31060361624314897</v>
      </c>
      <c r="Y18" s="455">
        <f>SUMIFS('Bilateral assistance, MAIN DATA'!S:S,'Bilateral assistance, MAIN DATA'!B:B,'Country summary'!B18,'Bilateral assistance, MAIN DATA'!AG:AG,1,'Bilateral assistance, MAIN DATA'!AH:AH,'Country summary'!$Y$4)/1000000000</f>
        <v>0.11126053305582563</v>
      </c>
      <c r="Z18" s="455">
        <f>SUMIFS('Bilateral assistance, MAIN DATA'!S:S,'Bilateral assistance, MAIN DATA'!B:B,'Country summary'!B18,'Bilateral assistance, MAIN DATA'!AG:AG,1,'Bilateral assistance, MAIN DATA'!AH:AH,'Country summary'!$Z$4)/1000000000</f>
        <v>0</v>
      </c>
      <c r="AA18" s="455">
        <f>SUMIFS('Bilateral assistance, MAIN DATA'!S:S,'Bilateral assistance, MAIN DATA'!B:B,'Country summary'!B18,'Bilateral assistance, MAIN DATA'!AG:AG,1,'Bilateral assistance, MAIN DATA'!AH:AH,'Country summary'!$AA$4)/1000000000</f>
        <v>0</v>
      </c>
      <c r="AB18" s="109">
        <f>SUMIFS('Bilateral assistance, MAIN DATA'!S:S,'Bilateral assistance, MAIN DATA'!B:B,'Country summary'!B18,'Bilateral assistance, MAIN DATA'!AG:AG,1,'Bilateral assistance, MAIN DATA'!AH:AH,'Country summary'!$AB$4)/1000000000</f>
        <v>0</v>
      </c>
      <c r="AC18" s="453">
        <f>SUMIFS('Bilateral assistance, MAIN DATA'!S:S,'Bilateral assistance, MAIN DATA'!B:B,'Country summary'!B18,'Bilateral assistance, MAIN DATA'!AG:AG,1,'Bilateral assistance, MAIN DATA'!AH:AH,'Country summary'!$AC$4)/1000000000</f>
        <v>0.1</v>
      </c>
      <c r="AD18" s="109">
        <f>SUMIFS('Bilateral assistance, MAIN DATA'!S:S,'Bilateral assistance, MAIN DATA'!B:B,'Country summary'!B18,'Bilateral assistance, MAIN DATA'!AG:AG,1,'Bilateral assistance, MAIN DATA'!AH:AH,'Country summary'!$AD$4)/1000000000</f>
        <v>8.5676745924547673E-2</v>
      </c>
      <c r="AE18" s="109">
        <f>SUMIFS('Bilateral assistance, MAIN DATA'!S:S,'Bilateral assistance, MAIN DATA'!B:B,'Country summary'!B18,'Bilateral assistance, MAIN DATA'!AG:AG,1,'Bilateral assistance, MAIN DATA'!AH:AH,'Country summary'!$AE$4)/1000000000</f>
        <v>0</v>
      </c>
      <c r="AF18" s="109">
        <f t="shared" si="7"/>
        <v>1.4141588546406048</v>
      </c>
      <c r="AG18" s="104">
        <f>SUMIFS('Bilateral assistance, MAIN DATA'!S:S,'Bilateral assistance, MAIN DATA'!B:B,'Country summary'!B18,'Bilateral assistance, MAIN DATA'!AG:AG,0)/1000000000</f>
        <v>0</v>
      </c>
    </row>
    <row r="19" spans="2:33">
      <c r="B19" s="104" t="s">
        <v>1136</v>
      </c>
      <c r="C19" s="330">
        <v>1</v>
      </c>
      <c r="D19" s="179">
        <f>SUMIFS('Bilateral assistance, MAIN DATA'!S:S,'Bilateral assistance, MAIN DATA'!D:D,"Financial",'Bilateral assistance, MAIN DATA'!B:B,'Country summary'!B19)/1000000000</f>
        <v>1.1499999999999999</v>
      </c>
      <c r="E19" s="179">
        <f>SUMIFS('Bilateral assistance, MAIN DATA'!S:S,'Bilateral assistance, MAIN DATA'!D:D,"Humanitarian",'Bilateral assistance, MAIN DATA'!B:B,'Country summary'!B19)/1000000000</f>
        <v>1.95</v>
      </c>
      <c r="F19" s="455">
        <f>SUMIFS('Bilateral assistance, MAIN DATA'!S:S,'Bilateral assistance, MAIN DATA'!D:D,"Military",'Bilateral assistance, MAIN DATA'!B:B,'Country summary'!B19)/1000000000</f>
        <v>2.3448872384566926</v>
      </c>
      <c r="G19" s="327">
        <f t="shared" si="3"/>
        <v>5.4448872384566922</v>
      </c>
      <c r="H19" s="102">
        <f>3846413930000/1000000000</f>
        <v>3846.4139300000002</v>
      </c>
      <c r="I19" s="102">
        <f>H19/VLOOKUP("USD",'Exchange rates'!B:C,2,0)</f>
        <v>3832.9984354758344</v>
      </c>
      <c r="J19" s="338">
        <f t="shared" si="5"/>
        <v>0.14205294706259788</v>
      </c>
      <c r="K19" s="104">
        <f>VLOOKUP(B19,'EU aid shares'!B:E,4,0)</f>
        <v>5.9987851922940765</v>
      </c>
      <c r="L19" s="180">
        <f>VLOOKUP(B19,'EPF aid shares'!B:G,6,0)</f>
        <v>0.79903156010018161</v>
      </c>
      <c r="M19" s="336">
        <f>VLOOKUP(B19,'EIB aid shares'!B:E,4,0)</f>
        <v>0.37605786289314741</v>
      </c>
      <c r="N19" s="180">
        <f t="shared" si="0"/>
        <v>7.1738746152874056</v>
      </c>
      <c r="O19" s="375">
        <f t="shared" si="1"/>
        <v>0.18716090643008126</v>
      </c>
      <c r="P19" s="339">
        <f t="shared" si="2"/>
        <v>12.618761853744097</v>
      </c>
      <c r="Q19" s="341">
        <f t="shared" si="4"/>
        <v>0.32921385349267912</v>
      </c>
      <c r="R19" s="180">
        <f>VLOOKUP(B19,'Military aid by type'!B:F,5,0)</f>
        <v>2.3448872384566926</v>
      </c>
      <c r="S19" s="179">
        <f>VLOOKUP(B19,'Military aid by type'!B:G,6,0)</f>
        <v>0</v>
      </c>
      <c r="T19" s="455">
        <f>SUMIFS('Bilateral assistance, MAIN DATA'!S:S,'Bilateral assistance, MAIN DATA'!B:B,'Country summary'!B19,'Bilateral assistance, MAIN DATA'!AG:AG,1,'Bilateral assistance, MAIN DATA'!AH:AH,'Country summary'!$T$4)/1000000000</f>
        <v>0</v>
      </c>
      <c r="U19" s="455">
        <f>SUMIFS('Bilateral assistance, MAIN DATA'!S:S,'Bilateral assistance, MAIN DATA'!B:B,'Country summary'!B19,'Bilateral assistance, MAIN DATA'!AG:AG,1,'Bilateral assistance, MAIN DATA'!AH:AH,'Country summary'!$U$4)/1000000000</f>
        <v>0</v>
      </c>
      <c r="V19" s="455">
        <f>SUMIFS('Bilateral assistance, MAIN DATA'!S:S,'Bilateral assistance, MAIN DATA'!B:B,'Country summary'!B19,'Bilateral assistance, MAIN DATA'!AG:AG,1,'Bilateral assistance, MAIN DATA'!AH:AH,'Country summary'!$V$4)/1000000000</f>
        <v>0</v>
      </c>
      <c r="W19" s="455">
        <f>SUMIFS('Bilateral assistance, MAIN DATA'!S:S,'Bilateral assistance, MAIN DATA'!B:B,'Country summary'!B19,'Bilateral assistance, MAIN DATA'!AG:AG,1,'Bilateral assistance, MAIN DATA'!AH:AH,'Country summary'!$W$4)/1000000000</f>
        <v>2.7848872384566925</v>
      </c>
      <c r="X19" s="455">
        <f>SUMIFS('Bilateral assistance, MAIN DATA'!S:S,'Bilateral assistance, MAIN DATA'!B:B,'Country summary'!B19,'Bilateral assistance, MAIN DATA'!AG:AG,1,'Bilateral assistance, MAIN DATA'!AH:AH,'Country summary'!$X$4)/1000000000</f>
        <v>1.46</v>
      </c>
      <c r="Y19" s="455">
        <f>SUMIFS('Bilateral assistance, MAIN DATA'!S:S,'Bilateral assistance, MAIN DATA'!B:B,'Country summary'!B19,'Bilateral assistance, MAIN DATA'!AG:AG,1,'Bilateral assistance, MAIN DATA'!AH:AH,'Country summary'!$Y$4)/1000000000</f>
        <v>0</v>
      </c>
      <c r="Z19" s="455">
        <f>SUMIFS('Bilateral assistance, MAIN DATA'!S:S,'Bilateral assistance, MAIN DATA'!B:B,'Country summary'!B19,'Bilateral assistance, MAIN DATA'!AG:AG,1,'Bilateral assistance, MAIN DATA'!AH:AH,'Country summary'!$Z$4)/1000000000</f>
        <v>0</v>
      </c>
      <c r="AA19" s="455">
        <f>SUMIFS('Bilateral assistance, MAIN DATA'!S:S,'Bilateral assistance, MAIN DATA'!B:B,'Country summary'!B19,'Bilateral assistance, MAIN DATA'!AG:AG,1,'Bilateral assistance, MAIN DATA'!AH:AH,'Country summary'!$AA$4)/1000000000</f>
        <v>0</v>
      </c>
      <c r="AB19" s="109">
        <f>SUMIFS('Bilateral assistance, MAIN DATA'!S:S,'Bilateral assistance, MAIN DATA'!B:B,'Country summary'!B19,'Bilateral assistance, MAIN DATA'!AG:AG,1,'Bilateral assistance, MAIN DATA'!AH:AH,'Country summary'!$AB$4)/1000000000</f>
        <v>0.2</v>
      </c>
      <c r="AC19" s="453">
        <f>SUMIFS('Bilateral assistance, MAIN DATA'!S:S,'Bilateral assistance, MAIN DATA'!B:B,'Country summary'!B19,'Bilateral assistance, MAIN DATA'!AG:AG,1,'Bilateral assistance, MAIN DATA'!AH:AH,'Country summary'!$AC$4)/1000000000</f>
        <v>0</v>
      </c>
      <c r="AD19" s="109">
        <f>SUMIFS('Bilateral assistance, MAIN DATA'!S:S,'Bilateral assistance, MAIN DATA'!B:B,'Country summary'!B19,'Bilateral assistance, MAIN DATA'!AG:AG,1,'Bilateral assistance, MAIN DATA'!AH:AH,'Country summary'!$AD$4)/1000000000</f>
        <v>1</v>
      </c>
      <c r="AE19" s="109">
        <f>SUMIFS('Bilateral assistance, MAIN DATA'!S:S,'Bilateral assistance, MAIN DATA'!B:B,'Country summary'!B19,'Bilateral assistance, MAIN DATA'!AG:AG,1,'Bilateral assistance, MAIN DATA'!AH:AH,'Country summary'!$AE$4)/1000000000</f>
        <v>0</v>
      </c>
      <c r="AF19" s="109">
        <f t="shared" si="7"/>
        <v>5.4448872384566931</v>
      </c>
      <c r="AG19" s="104">
        <f>SUMIFS('Bilateral assistance, MAIN DATA'!S:S,'Bilateral assistance, MAIN DATA'!B:B,'Country summary'!B19,'Bilateral assistance, MAIN DATA'!AG:AG,0)/1000000000</f>
        <v>0</v>
      </c>
    </row>
    <row r="20" spans="2:33">
      <c r="B20" s="104" t="s">
        <v>1294</v>
      </c>
      <c r="C20" s="330">
        <v>1</v>
      </c>
      <c r="D20" s="179">
        <f>SUMIFS('Bilateral assistance, MAIN DATA'!S:S,'Bilateral assistance, MAIN DATA'!D:D,"Financial",'Bilateral assistance, MAIN DATA'!B:B,'Country summary'!B20)/1000000000</f>
        <v>0</v>
      </c>
      <c r="E20" s="179">
        <f>SUMIFS('Bilateral assistance, MAIN DATA'!S:S,'Bilateral assistance, MAIN DATA'!D:D,"Humanitarian",'Bilateral assistance, MAIN DATA'!B:B,'Country summary'!B20)/1000000000</f>
        <v>0</v>
      </c>
      <c r="F20" s="455">
        <f>SUMIFS('Bilateral assistance, MAIN DATA'!S:S,'Bilateral assistance, MAIN DATA'!D:D,"Military",'Bilateral assistance, MAIN DATA'!B:B,'Country summary'!B20)/1000000000</f>
        <v>0.19116831928251124</v>
      </c>
      <c r="G20" s="327">
        <f t="shared" si="3"/>
        <v>0.19116831928251124</v>
      </c>
      <c r="H20" s="102">
        <f>188835200000/1000000000</f>
        <v>188.83519999999999</v>
      </c>
      <c r="I20" s="102">
        <f>H20/VLOOKUP("USD",'Exchange rates'!B:C,2,0)</f>
        <v>188.17658196312902</v>
      </c>
      <c r="J20" s="338">
        <f t="shared" si="5"/>
        <v>0.10158985634034336</v>
      </c>
      <c r="K20" s="104">
        <f>VLOOKUP(B20,'EU aid shares'!B:E,4,0)</f>
        <v>0.42946944011991245</v>
      </c>
      <c r="L20" s="180">
        <f>VLOOKUP(B20,'EPF aid shares'!B:G,6,0)</f>
        <v>3.8841519947744901E-2</v>
      </c>
      <c r="M20" s="336">
        <f>VLOOKUP(B20,'EIB aid shares'!B:E,4,0)</f>
        <v>2.827504037741E-2</v>
      </c>
      <c r="N20" s="180">
        <f t="shared" si="0"/>
        <v>0.4965860004450674</v>
      </c>
      <c r="O20" s="375">
        <f t="shared" si="1"/>
        <v>0.26389362335339239</v>
      </c>
      <c r="P20" s="339">
        <f t="shared" si="2"/>
        <v>0.68775431972757861</v>
      </c>
      <c r="Q20" s="341">
        <f t="shared" si="4"/>
        <v>0.36548347969373574</v>
      </c>
      <c r="R20" s="180">
        <f>VLOOKUP(B20,'Military aid by type'!B:F,5,0)</f>
        <v>0.19116831928251124</v>
      </c>
      <c r="S20" s="179">
        <f>VLOOKUP(B20,'Military aid by type'!B:G,6,0)</f>
        <v>0</v>
      </c>
      <c r="T20" s="455">
        <f>SUMIFS('Bilateral assistance, MAIN DATA'!S:S,'Bilateral assistance, MAIN DATA'!B:B,'Country summary'!B20,'Bilateral assistance, MAIN DATA'!AG:AG,1,'Bilateral assistance, MAIN DATA'!AH:AH,'Country summary'!$T$4)/1000000000</f>
        <v>0</v>
      </c>
      <c r="U20" s="455">
        <f>SUMIFS('Bilateral assistance, MAIN DATA'!S:S,'Bilateral assistance, MAIN DATA'!B:B,'Country summary'!B20,'Bilateral assistance, MAIN DATA'!AG:AG,1,'Bilateral assistance, MAIN DATA'!AH:AH,'Country summary'!$U$4)/1000000000</f>
        <v>0</v>
      </c>
      <c r="V20" s="455">
        <f>SUMIFS('Bilateral assistance, MAIN DATA'!S:S,'Bilateral assistance, MAIN DATA'!B:B,'Country summary'!B20,'Bilateral assistance, MAIN DATA'!AG:AG,1,'Bilateral assistance, MAIN DATA'!AH:AH,'Country summary'!$V$4)/1000000000</f>
        <v>1.7230950871948179E-2</v>
      </c>
      <c r="W20" s="455">
        <f>SUMIFS('Bilateral assistance, MAIN DATA'!S:S,'Bilateral assistance, MAIN DATA'!B:B,'Country summary'!B20,'Bilateral assistance, MAIN DATA'!AG:AG,1,'Bilateral assistance, MAIN DATA'!AH:AH,'Country summary'!$W$4)/1000000000</f>
        <v>0</v>
      </c>
      <c r="X20" s="455">
        <f>SUMIFS('Bilateral assistance, MAIN DATA'!S:S,'Bilateral assistance, MAIN DATA'!B:B,'Country summary'!B20,'Bilateral assistance, MAIN DATA'!AG:AG,1,'Bilateral assistance, MAIN DATA'!AH:AH,'Country summary'!$X$4)/1000000000</f>
        <v>0.15155400896860988</v>
      </c>
      <c r="Y20" s="455">
        <f>SUMIFS('Bilateral assistance, MAIN DATA'!S:S,'Bilateral assistance, MAIN DATA'!B:B,'Country summary'!B20,'Bilateral assistance, MAIN DATA'!AG:AG,1,'Bilateral assistance, MAIN DATA'!AH:AH,'Country summary'!$Y$4)/1000000000</f>
        <v>0</v>
      </c>
      <c r="Z20" s="455">
        <f>SUMIFS('Bilateral assistance, MAIN DATA'!S:S,'Bilateral assistance, MAIN DATA'!B:B,'Country summary'!B20,'Bilateral assistance, MAIN DATA'!AG:AG,1,'Bilateral assistance, MAIN DATA'!AH:AH,'Country summary'!$Z$4)/1000000000</f>
        <v>0</v>
      </c>
      <c r="AA20" s="455">
        <f>SUMIFS('Bilateral assistance, MAIN DATA'!S:S,'Bilateral assistance, MAIN DATA'!B:B,'Country summary'!B20,'Bilateral assistance, MAIN DATA'!AG:AG,1,'Bilateral assistance, MAIN DATA'!AH:AH,'Country summary'!$AA$4)/1000000000</f>
        <v>0</v>
      </c>
      <c r="AB20" s="109">
        <f>SUMIFS('Bilateral assistance, MAIN DATA'!S:S,'Bilateral assistance, MAIN DATA'!B:B,'Country summary'!B20,'Bilateral assistance, MAIN DATA'!AG:AG,1,'Bilateral assistance, MAIN DATA'!AH:AH,'Country summary'!$AB$4)/1000000000</f>
        <v>2.2383359441953167E-2</v>
      </c>
      <c r="AC20" s="453">
        <f>SUMIFS('Bilateral assistance, MAIN DATA'!S:S,'Bilateral assistance, MAIN DATA'!B:B,'Country summary'!B20,'Bilateral assistance, MAIN DATA'!AG:AG,1,'Bilateral assistance, MAIN DATA'!AH:AH,'Country summary'!$AC$4)/1000000000</f>
        <v>0</v>
      </c>
      <c r="AD20" s="109">
        <f>SUMIFS('Bilateral assistance, MAIN DATA'!S:S,'Bilateral assistance, MAIN DATA'!B:B,'Country summary'!B20,'Bilateral assistance, MAIN DATA'!AG:AG,1,'Bilateral assistance, MAIN DATA'!AH:AH,'Country summary'!$AD$4)/1000000000</f>
        <v>0</v>
      </c>
      <c r="AE20" s="109">
        <f>SUMIFS('Bilateral assistance, MAIN DATA'!S:S,'Bilateral assistance, MAIN DATA'!B:B,'Country summary'!B20,'Bilateral assistance, MAIN DATA'!AG:AG,1,'Bilateral assistance, MAIN DATA'!AH:AH,'Country summary'!$AE$4)/1000000000</f>
        <v>0</v>
      </c>
      <c r="AF20" s="109">
        <f t="shared" si="7"/>
        <v>0.19116831928251121</v>
      </c>
      <c r="AG20" s="104">
        <f>SUMIFS('Bilateral assistance, MAIN DATA'!S:S,'Bilateral assistance, MAIN DATA'!B:B,'Country summary'!B20,'Bilateral assistance, MAIN DATA'!AG:AG,0)/1000000000</f>
        <v>0</v>
      </c>
    </row>
    <row r="21" spans="2:33">
      <c r="B21" s="104" t="s">
        <v>1335</v>
      </c>
      <c r="C21" s="330">
        <v>1</v>
      </c>
      <c r="D21" s="179">
        <f>SUMIFS('Bilateral assistance, MAIN DATA'!S:S,'Bilateral assistance, MAIN DATA'!D:D,"Financial",'Bilateral assistance, MAIN DATA'!B:B,'Country summary'!B21)/1000000000</f>
        <v>0</v>
      </c>
      <c r="E21" s="179">
        <f>SUMIFS('Bilateral assistance, MAIN DATA'!S:S,'Bilateral assistance, MAIN DATA'!D:D,"Humanitarian",'Bilateral assistance, MAIN DATA'!B:B,'Country summary'!B21)/1000000000</f>
        <v>4.6688822031581839E-2</v>
      </c>
      <c r="F21" s="455">
        <f>SUMIFS('Bilateral assistance, MAIN DATA'!S:S,'Bilateral assistance, MAIN DATA'!D:D,"Military",'Bilateral assistance, MAIN DATA'!B:B,'Country summary'!B21)/1000000000</f>
        <v>0</v>
      </c>
      <c r="G21" s="327">
        <f t="shared" si="3"/>
        <v>4.6688822031581839E-2</v>
      </c>
      <c r="H21" s="102">
        <f>155808440000/1000000000</f>
        <v>155.80843999999999</v>
      </c>
      <c r="I21" s="102">
        <f>H21/VLOOKUP("USD",'Exchange rates'!B:C,2,0)</f>
        <v>155.26501245640256</v>
      </c>
      <c r="J21" s="338">
        <f t="shared" si="5"/>
        <v>3.0070407552179063E-2</v>
      </c>
      <c r="K21" s="104">
        <f>VLOOKUP(B21,'EU aid shares'!B:E,4,0)</f>
        <v>0.35365179607724223</v>
      </c>
      <c r="L21" s="180">
        <f>VLOOKUP(B21,'EPF aid shares'!B:G,6,0)</f>
        <v>3.1324078512401654E-2</v>
      </c>
      <c r="M21" s="336">
        <f>VLOOKUP(B21,'EIB aid shares'!B:E,4,0)</f>
        <v>1.6804629572849533E-2</v>
      </c>
      <c r="N21" s="180">
        <f t="shared" si="0"/>
        <v>0.40178050416249345</v>
      </c>
      <c r="O21" s="375">
        <f t="shared" si="1"/>
        <v>0.25877079311432827</v>
      </c>
      <c r="P21" s="339">
        <f t="shared" si="2"/>
        <v>0.44846932619407531</v>
      </c>
      <c r="Q21" s="341">
        <f t="shared" si="4"/>
        <v>0.28884120066650731</v>
      </c>
      <c r="R21" s="180">
        <f>VLOOKUP(B21,'Military aid by type'!B:F,5,0)</f>
        <v>0</v>
      </c>
      <c r="S21" s="179">
        <f>VLOOKUP(B21,'Military aid by type'!B:G,6,0)</f>
        <v>0</v>
      </c>
      <c r="T21" s="455">
        <f>SUMIFS('Bilateral assistance, MAIN DATA'!S:S,'Bilateral assistance, MAIN DATA'!B:B,'Country summary'!B21,'Bilateral assistance, MAIN DATA'!AG:AG,1,'Bilateral assistance, MAIN DATA'!AH:AH,'Country summary'!$T$4)/1000000000</f>
        <v>0</v>
      </c>
      <c r="U21" s="455">
        <f>SUMIFS('Bilateral assistance, MAIN DATA'!S:S,'Bilateral assistance, MAIN DATA'!B:B,'Country summary'!B21,'Bilateral assistance, MAIN DATA'!AG:AG,1,'Bilateral assistance, MAIN DATA'!AH:AH,'Country summary'!$U$4)/1000000000</f>
        <v>1.9826606875934227E-4</v>
      </c>
      <c r="V21" s="455">
        <f>SUMIFS('Bilateral assistance, MAIN DATA'!S:S,'Bilateral assistance, MAIN DATA'!B:B,'Country summary'!B21,'Bilateral assistance, MAIN DATA'!AG:AG,1,'Bilateral assistance, MAIN DATA'!AH:AH,'Country summary'!$V$4)/1000000000</f>
        <v>6.6885960478985044E-3</v>
      </c>
      <c r="W21" s="455">
        <f>SUMIFS('Bilateral assistance, MAIN DATA'!S:S,'Bilateral assistance, MAIN DATA'!B:B,'Country summary'!B21,'Bilateral assistance, MAIN DATA'!AG:AG,1,'Bilateral assistance, MAIN DATA'!AH:AH,'Country summary'!$W$4)/1000000000</f>
        <v>0</v>
      </c>
      <c r="X21" s="455">
        <f>SUMIFS('Bilateral assistance, MAIN DATA'!S:S,'Bilateral assistance, MAIN DATA'!B:B,'Country summary'!B21,'Bilateral assistance, MAIN DATA'!AG:AG,1,'Bilateral assistance, MAIN DATA'!AH:AH,'Country summary'!$X$4)/1000000000</f>
        <v>3.7642850132495825E-2</v>
      </c>
      <c r="Y21" s="455">
        <f>SUMIFS('Bilateral assistance, MAIN DATA'!S:S,'Bilateral assistance, MAIN DATA'!B:B,'Country summary'!B21,'Bilateral assistance, MAIN DATA'!AG:AG,1,'Bilateral assistance, MAIN DATA'!AH:AH,'Country summary'!$Y$4)/1000000000</f>
        <v>0</v>
      </c>
      <c r="Z21" s="455">
        <f>SUMIFS('Bilateral assistance, MAIN DATA'!S:S,'Bilateral assistance, MAIN DATA'!B:B,'Country summary'!B21,'Bilateral assistance, MAIN DATA'!AG:AG,1,'Bilateral assistance, MAIN DATA'!AH:AH,'Country summary'!$Z$4)/1000000000</f>
        <v>0</v>
      </c>
      <c r="AA21" s="455">
        <f>SUMIFS('Bilateral assistance, MAIN DATA'!S:S,'Bilateral assistance, MAIN DATA'!B:B,'Country summary'!B21,'Bilateral assistance, MAIN DATA'!AG:AG,1,'Bilateral assistance, MAIN DATA'!AH:AH,'Country summary'!$AA$4)/1000000000</f>
        <v>0</v>
      </c>
      <c r="AB21" s="109">
        <f>SUMIFS('Bilateral assistance, MAIN DATA'!S:S,'Bilateral assistance, MAIN DATA'!B:B,'Country summary'!B21,'Bilateral assistance, MAIN DATA'!AG:AG,1,'Bilateral assistance, MAIN DATA'!AH:AH,'Country summary'!$AB$4)/1000000000</f>
        <v>0</v>
      </c>
      <c r="AC21" s="453">
        <f>SUMIFS('Bilateral assistance, MAIN DATA'!S:S,'Bilateral assistance, MAIN DATA'!B:B,'Country summary'!B21,'Bilateral assistance, MAIN DATA'!AG:AG,1,'Bilateral assistance, MAIN DATA'!AH:AH,'Country summary'!$AC$4)/1000000000</f>
        <v>0</v>
      </c>
      <c r="AD21" s="109">
        <f>SUMIFS('Bilateral assistance, MAIN DATA'!S:S,'Bilateral assistance, MAIN DATA'!B:B,'Country summary'!B21,'Bilateral assistance, MAIN DATA'!AG:AG,1,'Bilateral assistance, MAIN DATA'!AH:AH,'Country summary'!$AD$4)/1000000000</f>
        <v>0</v>
      </c>
      <c r="AE21" s="109">
        <f>SUMIFS('Bilateral assistance, MAIN DATA'!S:S,'Bilateral assistance, MAIN DATA'!B:B,'Country summary'!B21,'Bilateral assistance, MAIN DATA'!AG:AG,1,'Bilateral assistance, MAIN DATA'!AH:AH,'Country summary'!$AE$4)/1000000000</f>
        <v>0</v>
      </c>
      <c r="AF21" s="109">
        <f t="shared" si="7"/>
        <v>4.4529712249153669E-2</v>
      </c>
      <c r="AG21" s="104">
        <f>SUMIFS('Bilateral assistance, MAIN DATA'!S:S,'Bilateral assistance, MAIN DATA'!B:B,'Country summary'!B21,'Bilateral assistance, MAIN DATA'!AG:AG,0)/1000000000</f>
        <v>2.1591097824281676E-3</v>
      </c>
    </row>
    <row r="22" spans="2:33">
      <c r="B22" s="104" t="s">
        <v>1383</v>
      </c>
      <c r="C22" s="330">
        <v>1</v>
      </c>
      <c r="D22" s="179">
        <f>SUMIFS('Bilateral assistance, MAIN DATA'!S:S,'Bilateral assistance, MAIN DATA'!D:D,"Financial",'Bilateral assistance, MAIN DATA'!B:B,'Country summary'!B22)/1000000000</f>
        <v>0</v>
      </c>
      <c r="E22" s="179">
        <f>SUMIFS('Bilateral assistance, MAIN DATA'!S:S,'Bilateral assistance, MAIN DATA'!D:D,"Humanitarian",'Bilateral assistance, MAIN DATA'!B:B,'Country summary'!B22)/1000000000</f>
        <v>6.8687030891878428E-2</v>
      </c>
      <c r="F22" s="455">
        <f>SUMIFS('Bilateral assistance, MAIN DATA'!S:S,'Bilateral assistance, MAIN DATA'!D:D,"Military",'Bilateral assistance, MAIN DATA'!B:B,'Country summary'!B22)/1000000000</f>
        <v>0</v>
      </c>
      <c r="G22" s="327">
        <f t="shared" si="3"/>
        <v>6.8687030891878428E-2</v>
      </c>
      <c r="H22" s="108">
        <f>425889000000/1000000000</f>
        <v>425.88900000000001</v>
      </c>
      <c r="I22" s="102">
        <f>H22/VLOOKUP("USD",'Exchange rates'!B:C,2,0)</f>
        <v>424.40358744394615</v>
      </c>
      <c r="J22" s="338">
        <f t="shared" si="5"/>
        <v>1.6184366231576774E-2</v>
      </c>
      <c r="K22" s="104">
        <f>VLOOKUP(B22,'EU aid shares'!B:E,4,0)</f>
        <v>0.60267225085511311</v>
      </c>
      <c r="L22" s="180">
        <f>VLOOKUP(B22,'EPF aid shares'!B:G,6,0)</f>
        <v>6.6275611354437186E-2</v>
      </c>
      <c r="M22" s="336">
        <f>VLOOKUP(B22,'EIB aid shares'!B:E,4,0)</f>
        <v>1.3194994215684461E-2</v>
      </c>
      <c r="N22" s="180">
        <f t="shared" si="0"/>
        <v>0.68214285642523476</v>
      </c>
      <c r="O22" s="375">
        <f t="shared" si="1"/>
        <v>0.16072975738343165</v>
      </c>
      <c r="P22" s="339">
        <f t="shared" si="2"/>
        <v>0.7508298873171132</v>
      </c>
      <c r="Q22" s="341">
        <f t="shared" si="4"/>
        <v>0.17691412361500841</v>
      </c>
      <c r="R22" s="180">
        <f>VLOOKUP(B22,'Military aid by type'!B:F,5,0)</f>
        <v>0</v>
      </c>
      <c r="S22" s="179">
        <f>VLOOKUP(B22,'Military aid by type'!B:G,6,0)</f>
        <v>0</v>
      </c>
      <c r="T22" s="455">
        <f>SUMIFS('Bilateral assistance, MAIN DATA'!S:S,'Bilateral assistance, MAIN DATA'!B:B,'Country summary'!B22,'Bilateral assistance, MAIN DATA'!AG:AG,1,'Bilateral assistance, MAIN DATA'!AH:AH,'Country summary'!$T$4)/1000000000</f>
        <v>0</v>
      </c>
      <c r="U22" s="455">
        <f>SUMIFS('Bilateral assistance, MAIN DATA'!S:S,'Bilateral assistance, MAIN DATA'!B:B,'Country summary'!B22,'Bilateral assistance, MAIN DATA'!AG:AG,1,'Bilateral assistance, MAIN DATA'!AH:AH,'Country summary'!$U$4)/1000000000</f>
        <v>0.01</v>
      </c>
      <c r="V22" s="455">
        <f>SUMIFS('Bilateral assistance, MAIN DATA'!S:S,'Bilateral assistance, MAIN DATA'!B:B,'Country summary'!B22,'Bilateral assistance, MAIN DATA'!AG:AG,1,'Bilateral assistance, MAIN DATA'!AH:AH,'Country summary'!$V$4)/1000000000</f>
        <v>1.4249725959142998E-4</v>
      </c>
      <c r="W22" s="455">
        <f>SUMIFS('Bilateral assistance, MAIN DATA'!S:S,'Bilateral assistance, MAIN DATA'!B:B,'Country summary'!B22,'Bilateral assistance, MAIN DATA'!AG:AG,1,'Bilateral assistance, MAIN DATA'!AH:AH,'Country summary'!$W$4)/1000000000</f>
        <v>5.2999999999999999E-2</v>
      </c>
      <c r="X22" s="455">
        <f>SUMIFS('Bilateral assistance, MAIN DATA'!S:S,'Bilateral assistance, MAIN DATA'!B:B,'Country summary'!B22,'Bilateral assistance, MAIN DATA'!AG:AG,1,'Bilateral assistance, MAIN DATA'!AH:AH,'Country summary'!$X$4)/1000000000</f>
        <v>5.0000000000000001E-4</v>
      </c>
      <c r="Y22" s="455">
        <f>SUMIFS('Bilateral assistance, MAIN DATA'!S:S,'Bilateral assistance, MAIN DATA'!B:B,'Country summary'!B22,'Bilateral assistance, MAIN DATA'!AG:AG,1,'Bilateral assistance, MAIN DATA'!AH:AH,'Country summary'!$Y$4)/1000000000</f>
        <v>2.1970000000000002E-3</v>
      </c>
      <c r="Z22" s="455">
        <f>SUMIFS('Bilateral assistance, MAIN DATA'!S:S,'Bilateral assistance, MAIN DATA'!B:B,'Country summary'!B22,'Bilateral assistance, MAIN DATA'!AG:AG,1,'Bilateral assistance, MAIN DATA'!AH:AH,'Country summary'!$Z$4)/1000000000</f>
        <v>0</v>
      </c>
      <c r="AA22" s="455">
        <f>SUMIFS('Bilateral assistance, MAIN DATA'!S:S,'Bilateral assistance, MAIN DATA'!B:B,'Country summary'!B22,'Bilateral assistance, MAIN DATA'!AG:AG,1,'Bilateral assistance, MAIN DATA'!AH:AH,'Country summary'!$AA$4)/1000000000</f>
        <v>0</v>
      </c>
      <c r="AB22" s="109">
        <f>SUMIFS('Bilateral assistance, MAIN DATA'!S:S,'Bilateral assistance, MAIN DATA'!B:B,'Country summary'!B22,'Bilateral assistance, MAIN DATA'!AG:AG,1,'Bilateral assistance, MAIN DATA'!AH:AH,'Country summary'!$AB$4)/1000000000</f>
        <v>0</v>
      </c>
      <c r="AC22" s="453">
        <f>SUMIFS('Bilateral assistance, MAIN DATA'!S:S,'Bilateral assistance, MAIN DATA'!B:B,'Country summary'!B22,'Bilateral assistance, MAIN DATA'!AG:AG,1,'Bilateral assistance, MAIN DATA'!AH:AH,'Country summary'!$AC$4)/1000000000</f>
        <v>0</v>
      </c>
      <c r="AD22" s="109">
        <f>SUMIFS('Bilateral assistance, MAIN DATA'!S:S,'Bilateral assistance, MAIN DATA'!B:B,'Country summary'!B22,'Bilateral assistance, MAIN DATA'!AG:AG,1,'Bilateral assistance, MAIN DATA'!AH:AH,'Country summary'!$AD$4)/1000000000</f>
        <v>0</v>
      </c>
      <c r="AE22" s="109">
        <f>SUMIFS('Bilateral assistance, MAIN DATA'!S:S,'Bilateral assistance, MAIN DATA'!B:B,'Country summary'!B22,'Bilateral assistance, MAIN DATA'!AG:AG,1,'Bilateral assistance, MAIN DATA'!AH:AH,'Country summary'!$AE$4)/1000000000</f>
        <v>0</v>
      </c>
      <c r="AF22" s="109">
        <f t="shared" si="7"/>
        <v>6.5839497259591429E-2</v>
      </c>
      <c r="AG22" s="104">
        <f>SUMIFS('Bilateral assistance, MAIN DATA'!S:S,'Bilateral assistance, MAIN DATA'!B:B,'Country summary'!B22,'Bilateral assistance, MAIN DATA'!AG:AG,0)/1000000000</f>
        <v>2.8475336322869951E-3</v>
      </c>
    </row>
    <row r="23" spans="2:33">
      <c r="B23" s="104" t="s">
        <v>1412</v>
      </c>
      <c r="C23" s="330">
        <v>1</v>
      </c>
      <c r="D23" s="179">
        <f>SUMIFS('Bilateral assistance, MAIN DATA'!S:S,'Bilateral assistance, MAIN DATA'!D:D,"Financial",'Bilateral assistance, MAIN DATA'!B:B,'Country summary'!B23)/1000000000</f>
        <v>0.31</v>
      </c>
      <c r="E23" s="179">
        <f>SUMIFS('Bilateral assistance, MAIN DATA'!S:S,'Bilateral assistance, MAIN DATA'!D:D,"Humanitarian",'Bilateral assistance, MAIN DATA'!B:B,'Country summary'!B23)/1000000000</f>
        <v>4.3375171898355755E-2</v>
      </c>
      <c r="F23" s="455">
        <f>SUMIFS('Bilateral assistance, MAIN DATA'!S:S,'Bilateral assistance, MAIN DATA'!D:D,"Military",'Bilateral assistance, MAIN DATA'!B:B,'Country summary'!B23)/1000000000</f>
        <v>0.31914838062565365</v>
      </c>
      <c r="G23" s="327">
        <f t="shared" si="3"/>
        <v>0.67252355252400942</v>
      </c>
      <c r="H23" s="102">
        <f>1888709440000/1000000000</f>
        <v>1888.7094400000001</v>
      </c>
      <c r="I23" s="102">
        <f>H23/VLOOKUP("USD",'Exchange rates'!B:C,2,0)</f>
        <v>1882.1220129546587</v>
      </c>
      <c r="J23" s="338">
        <f t="shared" si="5"/>
        <v>3.5732197375888765E-2</v>
      </c>
      <c r="K23" s="104">
        <f>VLOOKUP(B23,'EU aid shares'!B:E,4,0)</f>
        <v>3.6498917369219361</v>
      </c>
      <c r="L23" s="180">
        <f>VLOOKUP(B23,'EPF aid shares'!B:G,6,0)</f>
        <v>0.38892045695335609</v>
      </c>
      <c r="M23" s="336">
        <f>VLOOKUP(B23,'EIB aid shares'!B:E,4,0)</f>
        <v>0.37605786289314741</v>
      </c>
      <c r="N23" s="180">
        <f t="shared" si="0"/>
        <v>4.4148700567684394</v>
      </c>
      <c r="O23" s="375">
        <f t="shared" si="1"/>
        <v>0.23456874880485212</v>
      </c>
      <c r="P23" s="339">
        <f t="shared" si="2"/>
        <v>5.087393609292449</v>
      </c>
      <c r="Q23" s="341">
        <f t="shared" si="4"/>
        <v>0.27030094618074091</v>
      </c>
      <c r="R23" s="180">
        <f>VLOOKUP(B23,'Military aid by type'!B:F,5,0)</f>
        <v>0.31914838062565365</v>
      </c>
      <c r="S23" s="179">
        <f>VLOOKUP(B23,'Military aid by type'!B:G,6,0)</f>
        <v>0</v>
      </c>
      <c r="T23" s="455">
        <f>SUMIFS('Bilateral assistance, MAIN DATA'!S:S,'Bilateral assistance, MAIN DATA'!B:B,'Country summary'!B23,'Bilateral assistance, MAIN DATA'!AG:AG,1,'Bilateral assistance, MAIN DATA'!AH:AH,'Country summary'!$T$4)/1000000000</f>
        <v>0</v>
      </c>
      <c r="U23" s="455">
        <f>SUMIFS('Bilateral assistance, MAIN DATA'!S:S,'Bilateral assistance, MAIN DATA'!B:B,'Country summary'!B23,'Bilateral assistance, MAIN DATA'!AG:AG,1,'Bilateral assistance, MAIN DATA'!AH:AH,'Country summary'!$U$4)/1000000000</f>
        <v>0.26100000000000001</v>
      </c>
      <c r="V23" s="455">
        <f>SUMIFS('Bilateral assistance, MAIN DATA'!S:S,'Bilateral assistance, MAIN DATA'!B:B,'Country summary'!B23,'Bilateral assistance, MAIN DATA'!AG:AG,1,'Bilateral assistance, MAIN DATA'!AH:AH,'Country summary'!$V$4)/1000000000</f>
        <v>8.4379521674140499E-3</v>
      </c>
      <c r="W23" s="455">
        <f>SUMIFS('Bilateral assistance, MAIN DATA'!S:S,'Bilateral assistance, MAIN DATA'!B:B,'Country summary'!B23,'Bilateral assistance, MAIN DATA'!AG:AG,1,'Bilateral assistance, MAIN DATA'!AH:AH,'Country summary'!$W$4)/1000000000</f>
        <v>3.3937219730941701E-2</v>
      </c>
      <c r="X23" s="455">
        <f>SUMIFS('Bilateral assistance, MAIN DATA'!S:S,'Bilateral assistance, MAIN DATA'!B:B,'Country summary'!B23,'Bilateral assistance, MAIN DATA'!AG:AG,1,'Bilateral assistance, MAIN DATA'!AH:AH,'Country summary'!$X$4)/1000000000</f>
        <v>0.16914838062565363</v>
      </c>
      <c r="Y23" s="455">
        <f>SUMIFS('Bilateral assistance, MAIN DATA'!S:S,'Bilateral assistance, MAIN DATA'!B:B,'Country summary'!B23,'Bilateral assistance, MAIN DATA'!AG:AG,1,'Bilateral assistance, MAIN DATA'!AH:AH,'Country summary'!$Y$4)/1000000000</f>
        <v>0</v>
      </c>
      <c r="Z23" s="455">
        <f>SUMIFS('Bilateral assistance, MAIN DATA'!S:S,'Bilateral assistance, MAIN DATA'!B:B,'Country summary'!B23,'Bilateral assistance, MAIN DATA'!AG:AG,1,'Bilateral assistance, MAIN DATA'!AH:AH,'Country summary'!$Z$4)/1000000000</f>
        <v>0</v>
      </c>
      <c r="AA23" s="455">
        <f>SUMIFS('Bilateral assistance, MAIN DATA'!S:S,'Bilateral assistance, MAIN DATA'!B:B,'Country summary'!B23,'Bilateral assistance, MAIN DATA'!AG:AG,1,'Bilateral assistance, MAIN DATA'!AH:AH,'Country summary'!$AA$4)/1000000000</f>
        <v>0.2</v>
      </c>
      <c r="AB23" s="109">
        <f>SUMIFS('Bilateral assistance, MAIN DATA'!S:S,'Bilateral assistance, MAIN DATA'!B:B,'Country summary'!B23,'Bilateral assistance, MAIN DATA'!AG:AG,1,'Bilateral assistance, MAIN DATA'!AH:AH,'Country summary'!$AB$4)/1000000000</f>
        <v>0</v>
      </c>
      <c r="AC23" s="453">
        <f>SUMIFS('Bilateral assistance, MAIN DATA'!S:S,'Bilateral assistance, MAIN DATA'!B:B,'Country summary'!B23,'Bilateral assistance, MAIN DATA'!AG:AG,1,'Bilateral assistance, MAIN DATA'!AH:AH,'Country summary'!$AC$4)/1000000000</f>
        <v>0</v>
      </c>
      <c r="AD23" s="109">
        <f>SUMIFS('Bilateral assistance, MAIN DATA'!S:S,'Bilateral assistance, MAIN DATA'!B:B,'Country summary'!B23,'Bilateral assistance, MAIN DATA'!AG:AG,1,'Bilateral assistance, MAIN DATA'!AH:AH,'Country summary'!$AD$4)/1000000000</f>
        <v>0</v>
      </c>
      <c r="AE23" s="109">
        <f>SUMIFS('Bilateral assistance, MAIN DATA'!S:S,'Bilateral assistance, MAIN DATA'!B:B,'Country summary'!B23,'Bilateral assistance, MAIN DATA'!AG:AG,1,'Bilateral assistance, MAIN DATA'!AH:AH,'Country summary'!$AE$4)/1000000000</f>
        <v>0</v>
      </c>
      <c r="AF23" s="109">
        <f t="shared" si="7"/>
        <v>0.67252355252400942</v>
      </c>
      <c r="AG23" s="104">
        <f>SUMIFS('Bilateral assistance, MAIN DATA'!S:S,'Bilateral assistance, MAIN DATA'!B:B,'Country summary'!B23,'Bilateral assistance, MAIN DATA'!AG:AG,0)/1000000000</f>
        <v>0</v>
      </c>
    </row>
    <row r="24" spans="2:33">
      <c r="B24" s="104" t="s">
        <v>1471</v>
      </c>
      <c r="C24" s="330">
        <v>0</v>
      </c>
      <c r="D24" s="179">
        <f>SUMIFS('Bilateral assistance, MAIN DATA'!S:S,'Bilateral assistance, MAIN DATA'!D:D,"Financial",'Bilateral assistance, MAIN DATA'!B:B,'Country summary'!B24)/1000000000</f>
        <v>0.59790732436472349</v>
      </c>
      <c r="E24" s="179">
        <f>SUMIFS('Bilateral assistance, MAIN DATA'!S:S,'Bilateral assistance, MAIN DATA'!D:D,"Humanitarian",'Bilateral assistance, MAIN DATA'!B:B,'Country summary'!B24)/1000000000</f>
        <v>5.6003986048829089E-3</v>
      </c>
      <c r="F24" s="455">
        <f>SUMIFS('Bilateral assistance, MAIN DATA'!S:S,'Bilateral assistance, MAIN DATA'!D:D,"Military",'Bilateral assistance, MAIN DATA'!B:B,'Country summary'!B24)/1000000000</f>
        <v>2.4434479322371699E-3</v>
      </c>
      <c r="G24" s="327">
        <f t="shared" si="3"/>
        <v>0.60595117090184358</v>
      </c>
      <c r="H24" s="102">
        <f>5057758960000/1000000000</f>
        <v>5057.7589600000001</v>
      </c>
      <c r="I24" s="102">
        <f>H24/VLOOKUP("USD",'Exchange rates'!B:C,2,0)</f>
        <v>5040.1185450921776</v>
      </c>
      <c r="J24" s="338">
        <f t="shared" si="5"/>
        <v>1.2022557911696131E-2</v>
      </c>
      <c r="K24" s="104">
        <f>VLOOKUP(B24,'EU aid shares'!B:E,4,0)</f>
        <v>0</v>
      </c>
      <c r="L24" s="180">
        <f>VLOOKUP(B24,'EPF aid shares'!B:G,6,0)</f>
        <v>0</v>
      </c>
      <c r="M24" s="336">
        <f>VLOOKUP(B24,'EIB aid shares'!B:E,4,0)</f>
        <v>0</v>
      </c>
      <c r="N24" s="180">
        <f t="shared" si="0"/>
        <v>0</v>
      </c>
      <c r="O24" s="375">
        <f t="shared" si="1"/>
        <v>0</v>
      </c>
      <c r="P24" s="339">
        <f t="shared" si="2"/>
        <v>0.60595117090184358</v>
      </c>
      <c r="Q24" s="341">
        <f t="shared" si="4"/>
        <v>1.2022557911696131E-2</v>
      </c>
      <c r="R24" s="180">
        <f>VLOOKUP(B24,'Military aid by type'!B:F,5,0)</f>
        <v>2.4434479322371699E-3</v>
      </c>
      <c r="S24" s="179">
        <f>VLOOKUP(B24,'Military aid by type'!B:G,6,0)</f>
        <v>0</v>
      </c>
      <c r="T24" s="455">
        <f>SUMIFS('Bilateral assistance, MAIN DATA'!S:S,'Bilateral assistance, MAIN DATA'!B:B,'Country summary'!B24,'Bilateral assistance, MAIN DATA'!AG:AG,1,'Bilateral assistance, MAIN DATA'!AH:AH,'Country summary'!$T$4)/1000000000</f>
        <v>0</v>
      </c>
      <c r="U24" s="455">
        <f>SUMIFS('Bilateral assistance, MAIN DATA'!S:S,'Bilateral assistance, MAIN DATA'!B:B,'Country summary'!B24,'Bilateral assistance, MAIN DATA'!AG:AG,1,'Bilateral assistance, MAIN DATA'!AH:AH,'Country summary'!$U$4)/1000000000</f>
        <v>0</v>
      </c>
      <c r="V24" s="455">
        <f>SUMIFS('Bilateral assistance, MAIN DATA'!S:S,'Bilateral assistance, MAIN DATA'!B:B,'Country summary'!B24,'Bilateral assistance, MAIN DATA'!AG:AG,1,'Bilateral assistance, MAIN DATA'!AH:AH,'Country summary'!$V$4)/1000000000</f>
        <v>0.10184354758345789</v>
      </c>
      <c r="W24" s="455">
        <f>SUMIFS('Bilateral assistance, MAIN DATA'!S:S,'Bilateral assistance, MAIN DATA'!B:B,'Country summary'!B24,'Bilateral assistance, MAIN DATA'!AG:AG,1,'Bilateral assistance, MAIN DATA'!AH:AH,'Country summary'!$W$4)/1000000000</f>
        <v>0.20177379172894866</v>
      </c>
      <c r="X24" s="455">
        <f>SUMIFS('Bilateral assistance, MAIN DATA'!S:S,'Bilateral assistance, MAIN DATA'!B:B,'Country summary'!B24,'Bilateral assistance, MAIN DATA'!AG:AG,1,'Bilateral assistance, MAIN DATA'!AH:AH,'Country summary'!$X$4)/1000000000</f>
        <v>0.3006078724464375</v>
      </c>
      <c r="Y24" s="455">
        <f>SUMIFS('Bilateral assistance, MAIN DATA'!S:S,'Bilateral assistance, MAIN DATA'!B:B,'Country summary'!B24,'Bilateral assistance, MAIN DATA'!AG:AG,1,'Bilateral assistance, MAIN DATA'!AH:AH,'Country summary'!$Y$4)/1000000000</f>
        <v>0</v>
      </c>
      <c r="Z24" s="455">
        <f>SUMIFS('Bilateral assistance, MAIN DATA'!S:S,'Bilateral assistance, MAIN DATA'!B:B,'Country summary'!B24,'Bilateral assistance, MAIN DATA'!AG:AG,1,'Bilateral assistance, MAIN DATA'!AH:AH,'Country summary'!$Z$4)/1000000000</f>
        <v>0</v>
      </c>
      <c r="AA24" s="455">
        <f>SUMIFS('Bilateral assistance, MAIN DATA'!S:S,'Bilateral assistance, MAIN DATA'!B:B,'Country summary'!B24,'Bilateral assistance, MAIN DATA'!AG:AG,1,'Bilateral assistance, MAIN DATA'!AH:AH,'Country summary'!$AA$4)/1000000000</f>
        <v>7.1748878923766807E-5</v>
      </c>
      <c r="AB24" s="109">
        <f>SUMIFS('Bilateral assistance, MAIN DATA'!S:S,'Bilateral assistance, MAIN DATA'!B:B,'Country summary'!B24,'Bilateral assistance, MAIN DATA'!AG:AG,1,'Bilateral assistance, MAIN DATA'!AH:AH,'Country summary'!$AB$4)/1000000000</f>
        <v>1.6542102640757349E-3</v>
      </c>
      <c r="AC24" s="453">
        <f>SUMIFS('Bilateral assistance, MAIN DATA'!S:S,'Bilateral assistance, MAIN DATA'!B:B,'Country summary'!B24,'Bilateral assistance, MAIN DATA'!AG:AG,1,'Bilateral assistance, MAIN DATA'!AH:AH,'Country summary'!$AC$4)/1000000000</f>
        <v>0</v>
      </c>
      <c r="AD24" s="109">
        <f>SUMIFS('Bilateral assistance, MAIN DATA'!S:S,'Bilateral assistance, MAIN DATA'!B:B,'Country summary'!B24,'Bilateral assistance, MAIN DATA'!AG:AG,1,'Bilateral assistance, MAIN DATA'!AH:AH,'Country summary'!$AD$4)/1000000000</f>
        <v>0</v>
      </c>
      <c r="AE24" s="109">
        <f>SUMIFS('Bilateral assistance, MAIN DATA'!S:S,'Bilateral assistance, MAIN DATA'!B:B,'Country summary'!B24,'Bilateral assistance, MAIN DATA'!AG:AG,1,'Bilateral assistance, MAIN DATA'!AH:AH,'Country summary'!$AE$4)/1000000000</f>
        <v>0</v>
      </c>
      <c r="AF24" s="109">
        <f t="shared" si="7"/>
        <v>0.60595117090184358</v>
      </c>
      <c r="AG24" s="104">
        <f>SUMIFS('Bilateral assistance, MAIN DATA'!S:S,'Bilateral assistance, MAIN DATA'!B:B,'Country summary'!B24,'Bilateral assistance, MAIN DATA'!AG:AG,0)/1000000000</f>
        <v>0</v>
      </c>
    </row>
    <row r="25" spans="2:33">
      <c r="B25" s="104" t="s">
        <v>1516</v>
      </c>
      <c r="C25" s="330">
        <v>1</v>
      </c>
      <c r="D25" s="179">
        <f>SUMIFS('Bilateral assistance, MAIN DATA'!S:S,'Bilateral assistance, MAIN DATA'!D:D,"Financial",'Bilateral assistance, MAIN DATA'!B:B,'Country summary'!B25)/1000000000</f>
        <v>1.4999999999999999E-2</v>
      </c>
      <c r="E25" s="179">
        <f>SUMIFS('Bilateral assistance, MAIN DATA'!S:S,'Bilateral assistance, MAIN DATA'!D:D,"Humanitarian",'Bilateral assistance, MAIN DATA'!B:B,'Country summary'!B25)/1000000000</f>
        <v>1.3674169999999999E-3</v>
      </c>
      <c r="F25" s="455">
        <f>SUMIFS('Bilateral assistance, MAIN DATA'!S:S,'Bilateral assistance, MAIN DATA'!D:D,"Military",'Bilateral assistance, MAIN DATA'!B:B,'Country summary'!B25)/1000000000</f>
        <v>0.29713953547322053</v>
      </c>
      <c r="G25" s="327">
        <f t="shared" si="3"/>
        <v>0.31350695247322052</v>
      </c>
      <c r="H25" s="102">
        <f>33707320000/1000000000</f>
        <v>33.707320000000003</v>
      </c>
      <c r="I25" s="102">
        <f>H25/VLOOKUP("USD",'Exchange rates'!B:C,2,0)</f>
        <v>33.589755854509221</v>
      </c>
      <c r="J25" s="338">
        <f t="shared" si="5"/>
        <v>0.93334096809499167</v>
      </c>
      <c r="K25" s="104">
        <f>VLOOKUP(B25,'EU aid shares'!B:E,4,0)</f>
        <v>6.094054219499654E-2</v>
      </c>
      <c r="L25" s="180">
        <f>VLOOKUP(B25,'EPF aid shares'!B:G,6,0)</f>
        <v>6.8758614560072377E-3</v>
      </c>
      <c r="M25" s="336">
        <f>VLOOKUP(B25,'EIB aid shares'!B:E,4,0)</f>
        <v>2.1496355379410164E-3</v>
      </c>
      <c r="N25" s="180">
        <f t="shared" si="0"/>
        <v>6.9966039188944798E-2</v>
      </c>
      <c r="O25" s="375">
        <f t="shared" si="1"/>
        <v>0.20829576580430037</v>
      </c>
      <c r="P25" s="339">
        <f t="shared" si="2"/>
        <v>0.38347299166216531</v>
      </c>
      <c r="Q25" s="341">
        <f t="shared" si="4"/>
        <v>1.1416367338992921</v>
      </c>
      <c r="R25" s="180">
        <f>VLOOKUP(B25,'Military aid by type'!B:F,5,0)</f>
        <v>0.29713953547322058</v>
      </c>
      <c r="S25" s="179">
        <f>VLOOKUP(B25,'Military aid by type'!B:G,6,0)</f>
        <v>0</v>
      </c>
      <c r="T25" s="455">
        <f>SUMIFS('Bilateral assistance, MAIN DATA'!S:S,'Bilateral assistance, MAIN DATA'!B:B,'Country summary'!B25,'Bilateral assistance, MAIN DATA'!AG:AG,1,'Bilateral assistance, MAIN DATA'!AH:AH,'Country summary'!$T$4)/1000000000</f>
        <v>0</v>
      </c>
      <c r="U25" s="455">
        <f>SUMIFS('Bilateral assistance, MAIN DATA'!S:S,'Bilateral assistance, MAIN DATA'!B:B,'Country summary'!B25,'Bilateral assistance, MAIN DATA'!AG:AG,1,'Bilateral assistance, MAIN DATA'!AH:AH,'Country summary'!$U$4)/1000000000</f>
        <v>0</v>
      </c>
      <c r="V25" s="455">
        <f>SUMIFS('Bilateral assistance, MAIN DATA'!S:S,'Bilateral assistance, MAIN DATA'!B:B,'Country summary'!B25,'Bilateral assistance, MAIN DATA'!AG:AG,1,'Bilateral assistance, MAIN DATA'!AH:AH,'Country summary'!$V$4)/1000000000</f>
        <v>6.3674170000000002E-3</v>
      </c>
      <c r="W25" s="455">
        <f>SUMIFS('Bilateral assistance, MAIN DATA'!S:S,'Bilateral assistance, MAIN DATA'!B:B,'Country summary'!B25,'Bilateral assistance, MAIN DATA'!AG:AG,1,'Bilateral assistance, MAIN DATA'!AH:AH,'Country summary'!$W$4)/1000000000</f>
        <v>0.21879999999999999</v>
      </c>
      <c r="X25" s="455">
        <f>SUMIFS('Bilateral assistance, MAIN DATA'!S:S,'Bilateral assistance, MAIN DATA'!B:B,'Country summary'!B25,'Bilateral assistance, MAIN DATA'!AG:AG,1,'Bilateral assistance, MAIN DATA'!AH:AH,'Country summary'!$X$4)/1000000000</f>
        <v>0.01</v>
      </c>
      <c r="Y25" s="455">
        <f>SUMIFS('Bilateral assistance, MAIN DATA'!S:S,'Bilateral assistance, MAIN DATA'!B:B,'Country summary'!B25,'Bilateral assistance, MAIN DATA'!AG:AG,1,'Bilateral assistance, MAIN DATA'!AH:AH,'Country summary'!$Y$4)/1000000000</f>
        <v>0</v>
      </c>
      <c r="Z25" s="455">
        <f>SUMIFS('Bilateral assistance, MAIN DATA'!S:S,'Bilateral assistance, MAIN DATA'!B:B,'Country summary'!B25,'Bilateral assistance, MAIN DATA'!AG:AG,1,'Bilateral assistance, MAIN DATA'!AH:AH,'Country summary'!$Z$4)/1000000000</f>
        <v>0.03</v>
      </c>
      <c r="AA25" s="455">
        <f>SUMIFS('Bilateral assistance, MAIN DATA'!S:S,'Bilateral assistance, MAIN DATA'!B:B,'Country summary'!B25,'Bilateral assistance, MAIN DATA'!AG:AG,1,'Bilateral assistance, MAIN DATA'!AH:AH,'Country summary'!$AA$4)/1000000000</f>
        <v>4.8339535473220563E-2</v>
      </c>
      <c r="AB25" s="109">
        <f>SUMIFS('Bilateral assistance, MAIN DATA'!S:S,'Bilateral assistance, MAIN DATA'!B:B,'Country summary'!B25,'Bilateral assistance, MAIN DATA'!AG:AG,1,'Bilateral assistance, MAIN DATA'!AH:AH,'Country summary'!$AB$4)/1000000000</f>
        <v>0</v>
      </c>
      <c r="AC25" s="453">
        <f>SUMIFS('Bilateral assistance, MAIN DATA'!S:S,'Bilateral assistance, MAIN DATA'!B:B,'Country summary'!B25,'Bilateral assistance, MAIN DATA'!AG:AG,1,'Bilateral assistance, MAIN DATA'!AH:AH,'Country summary'!$AC$4)/1000000000</f>
        <v>0</v>
      </c>
      <c r="AD25" s="109">
        <f>SUMIFS('Bilateral assistance, MAIN DATA'!S:S,'Bilateral assistance, MAIN DATA'!B:B,'Country summary'!B25,'Bilateral assistance, MAIN DATA'!AG:AG,1,'Bilateral assistance, MAIN DATA'!AH:AH,'Country summary'!$AD$4)/1000000000</f>
        <v>0</v>
      </c>
      <c r="AE25" s="109">
        <f>SUMIFS('Bilateral assistance, MAIN DATA'!S:S,'Bilateral assistance, MAIN DATA'!B:B,'Country summary'!B25,'Bilateral assistance, MAIN DATA'!AG:AG,1,'Bilateral assistance, MAIN DATA'!AH:AH,'Country summary'!$AE$4)/1000000000</f>
        <v>0</v>
      </c>
      <c r="AF25" s="109">
        <f t="shared" si="7"/>
        <v>0.31350695247322058</v>
      </c>
      <c r="AG25" s="104">
        <f>SUMIFS('Bilateral assistance, MAIN DATA'!S:S,'Bilateral assistance, MAIN DATA'!B:B,'Country summary'!B25,'Bilateral assistance, MAIN DATA'!AG:AG,0)/1000000000</f>
        <v>0</v>
      </c>
    </row>
    <row r="26" spans="2:33">
      <c r="B26" s="104" t="s">
        <v>1562</v>
      </c>
      <c r="C26" s="330">
        <v>1</v>
      </c>
      <c r="D26" s="179">
        <f>SUMIFS('Bilateral assistance, MAIN DATA'!S:S,'Bilateral assistance, MAIN DATA'!D:D,"Financial",'Bilateral assistance, MAIN DATA'!B:B,'Country summary'!B26)/1000000000</f>
        <v>5.0000000000000001E-3</v>
      </c>
      <c r="E26" s="179">
        <f>SUMIFS('Bilateral assistance, MAIN DATA'!S:S,'Bilateral assistance, MAIN DATA'!D:D,"Humanitarian",'Bilateral assistance, MAIN DATA'!B:B,'Country summary'!B26)/1000000000</f>
        <v>5.7000000000000002E-2</v>
      </c>
      <c r="F26" s="455">
        <f>SUMIFS('Bilateral assistance, MAIN DATA'!S:S,'Bilateral assistance, MAIN DATA'!D:D,"Military",'Bilateral assistance, MAIN DATA'!B:B,'Country summary'!B26)/1000000000</f>
        <v>0.19868747583457896</v>
      </c>
      <c r="G26" s="327">
        <f t="shared" si="3"/>
        <v>0.26068747583457896</v>
      </c>
      <c r="H26" s="102">
        <f>56546960000/1000000000</f>
        <v>56.546959999999999</v>
      </c>
      <c r="I26" s="102">
        <f>H26/VLOOKUP("USD",'Exchange rates'!B:C,2,0)</f>
        <v>56.349735924265069</v>
      </c>
      <c r="J26" s="338">
        <f t="shared" si="5"/>
        <v>0.46262413045723411</v>
      </c>
      <c r="K26" s="104">
        <f>VLOOKUP(B26,'EU aid shares'!B:E,4,0)</f>
        <v>9.7577543009526202E-2</v>
      </c>
      <c r="L26" s="180">
        <f>VLOOKUP(B26,'EPF aid shares'!B:G,6,0)</f>
        <v>1.1087003065446896E-2</v>
      </c>
      <c r="M26" s="336">
        <f>VLOOKUP(B26,'EIB aid shares'!B:E,4,0)</f>
        <v>3.5224114686203721E-3</v>
      </c>
      <c r="N26" s="180">
        <f t="shared" si="0"/>
        <v>0.11218695754359347</v>
      </c>
      <c r="O26" s="375">
        <f t="shared" si="1"/>
        <v>0.19909047611931049</v>
      </c>
      <c r="P26" s="339">
        <f t="shared" si="2"/>
        <v>0.37287443337817244</v>
      </c>
      <c r="Q26" s="341">
        <f t="shared" si="4"/>
        <v>0.66171460657654457</v>
      </c>
      <c r="R26" s="180">
        <f>VLOOKUP(B26,'Military aid by type'!B:F,5,0)</f>
        <v>0.19868747583457899</v>
      </c>
      <c r="S26" s="179">
        <f>VLOOKUP(B26,'Military aid by type'!B:G,6,0)</f>
        <v>0</v>
      </c>
      <c r="T26" s="455">
        <f>SUMIFS('Bilateral assistance, MAIN DATA'!S:S,'Bilateral assistance, MAIN DATA'!B:B,'Country summary'!B26,'Bilateral assistance, MAIN DATA'!AG:AG,1,'Bilateral assistance, MAIN DATA'!AH:AH,'Country summary'!$T$4)/1000000000</f>
        <v>0</v>
      </c>
      <c r="U26" s="455">
        <f>SUMIFS('Bilateral assistance, MAIN DATA'!S:S,'Bilateral assistance, MAIN DATA'!B:B,'Country summary'!B26,'Bilateral assistance, MAIN DATA'!AG:AG,1,'Bilateral assistance, MAIN DATA'!AH:AH,'Country summary'!$U$4)/1000000000</f>
        <v>5.7999999999999996E-3</v>
      </c>
      <c r="V26" s="455">
        <f>SUMIFS('Bilateral assistance, MAIN DATA'!S:S,'Bilateral assistance, MAIN DATA'!B:B,'Country summary'!B26,'Bilateral assistance, MAIN DATA'!AG:AG,1,'Bilateral assistance, MAIN DATA'!AH:AH,'Country summary'!$V$4)/1000000000</f>
        <v>4.3999999999999997E-2</v>
      </c>
      <c r="W26" s="455">
        <f>SUMIFS('Bilateral assistance, MAIN DATA'!S:S,'Bilateral assistance, MAIN DATA'!B:B,'Country summary'!B26,'Bilateral assistance, MAIN DATA'!AG:AG,1,'Bilateral assistance, MAIN DATA'!AH:AH,'Country summary'!$W$4)/1000000000</f>
        <v>9.5200000000000007E-2</v>
      </c>
      <c r="X26" s="455">
        <f>SUMIFS('Bilateral assistance, MAIN DATA'!S:S,'Bilateral assistance, MAIN DATA'!B:B,'Country summary'!B26,'Bilateral assistance, MAIN DATA'!AG:AG,1,'Bilateral assistance, MAIN DATA'!AH:AH,'Country summary'!$X$4)/1000000000</f>
        <v>1.7500000000000002E-2</v>
      </c>
      <c r="Y26" s="455">
        <f>SUMIFS('Bilateral assistance, MAIN DATA'!S:S,'Bilateral assistance, MAIN DATA'!B:B,'Country summary'!B26,'Bilateral assistance, MAIN DATA'!AG:AG,1,'Bilateral assistance, MAIN DATA'!AH:AH,'Country summary'!$Y$4)/1000000000</f>
        <v>0</v>
      </c>
      <c r="Z26" s="455">
        <f>SUMIFS('Bilateral assistance, MAIN DATA'!S:S,'Bilateral assistance, MAIN DATA'!B:B,'Country summary'!B26,'Bilateral assistance, MAIN DATA'!AG:AG,1,'Bilateral assistance, MAIN DATA'!AH:AH,'Country summary'!$Z$4)/1000000000</f>
        <v>4.0744768310911811E-2</v>
      </c>
      <c r="AA26" s="455">
        <f>SUMIFS('Bilateral assistance, MAIN DATA'!S:S,'Bilateral assistance, MAIN DATA'!B:B,'Country summary'!B26,'Bilateral assistance, MAIN DATA'!AG:AG,1,'Bilateral assistance, MAIN DATA'!AH:AH,'Country summary'!$AA$4)/1000000000</f>
        <v>0</v>
      </c>
      <c r="AB26" s="109">
        <f>SUMIFS('Bilateral assistance, MAIN DATA'!S:S,'Bilateral assistance, MAIN DATA'!B:B,'Country summary'!B26,'Bilateral assistance, MAIN DATA'!AG:AG,1,'Bilateral assistance, MAIN DATA'!AH:AH,'Country summary'!$AB$4)/1000000000</f>
        <v>4.0702914798206286E-2</v>
      </c>
      <c r="AC26" s="453">
        <f>SUMIFS('Bilateral assistance, MAIN DATA'!S:S,'Bilateral assistance, MAIN DATA'!B:B,'Country summary'!B26,'Bilateral assistance, MAIN DATA'!AG:AG,1,'Bilateral assistance, MAIN DATA'!AH:AH,'Country summary'!$AC$4)/1000000000</f>
        <v>1.1739792725460886E-2</v>
      </c>
      <c r="AD26" s="109">
        <f>SUMIFS('Bilateral assistance, MAIN DATA'!S:S,'Bilateral assistance, MAIN DATA'!B:B,'Country summary'!B26,'Bilateral assistance, MAIN DATA'!AG:AG,1,'Bilateral assistance, MAIN DATA'!AH:AH,'Country summary'!$AD$4)/1000000000</f>
        <v>5.0000000000000001E-3</v>
      </c>
      <c r="AE26" s="109">
        <f>SUMIFS('Bilateral assistance, MAIN DATA'!S:S,'Bilateral assistance, MAIN DATA'!B:B,'Country summary'!B26,'Bilateral assistance, MAIN DATA'!AG:AG,1,'Bilateral assistance, MAIN DATA'!AH:AH,'Country summary'!$AE$4)/1000000000</f>
        <v>0</v>
      </c>
      <c r="AF26" s="109">
        <f t="shared" si="7"/>
        <v>0.26068747583457902</v>
      </c>
      <c r="AG26" s="104">
        <f>SUMIFS('Bilateral assistance, MAIN DATA'!S:S,'Bilateral assistance, MAIN DATA'!B:B,'Country summary'!B26,'Bilateral assistance, MAIN DATA'!AG:AG,0)/1000000000</f>
        <v>0</v>
      </c>
    </row>
    <row r="27" spans="2:33">
      <c r="B27" s="104" t="s">
        <v>1653</v>
      </c>
      <c r="C27" s="330">
        <v>1</v>
      </c>
      <c r="D27" s="179">
        <f>SUMIFS('Bilateral assistance, MAIN DATA'!S:S,'Bilateral assistance, MAIN DATA'!D:D,"Financial",'Bilateral assistance, MAIN DATA'!B:B,'Country summary'!B27)/1000000000</f>
        <v>0</v>
      </c>
      <c r="E27" s="179">
        <f>SUMIFS('Bilateral assistance, MAIN DATA'!S:S,'Bilateral assistance, MAIN DATA'!D:D,"Humanitarian",'Bilateral assistance, MAIN DATA'!B:B,'Country summary'!B27)/1000000000</f>
        <v>4.0000000000000001E-3</v>
      </c>
      <c r="F27" s="455">
        <f>SUMIFS('Bilateral assistance, MAIN DATA'!S:S,'Bilateral assistance, MAIN DATA'!D:D,"Military",'Bilateral assistance, MAIN DATA'!B:B,'Country summary'!B27)/1000000000</f>
        <v>7.1999999999999995E-2</v>
      </c>
      <c r="G27" s="327">
        <f t="shared" si="3"/>
        <v>7.5999999999999998E-2</v>
      </c>
      <c r="H27" s="102">
        <f>73353130000/1000000000</f>
        <v>73.353129999999993</v>
      </c>
      <c r="I27" s="102">
        <f>H27/VLOOKUP("USD",'Exchange rates'!B:C,2,0)</f>
        <v>73.0972894867962</v>
      </c>
      <c r="J27" s="338">
        <f t="shared" si="5"/>
        <v>0.10397102345871267</v>
      </c>
      <c r="K27" s="104">
        <f>VLOOKUP(B27,'EU aid shares'!B:E,4,0)</f>
        <v>9.5653779839568395E-2</v>
      </c>
      <c r="L27" s="180">
        <f>VLOOKUP(B27,'EPF aid shares'!B:G,6,0)</f>
        <v>1.0338626904117239E-2</v>
      </c>
      <c r="M27" s="336">
        <f>VLOOKUP(B27,'EIB aid shares'!B:E,4,0)</f>
        <v>2.6390189924416279E-3</v>
      </c>
      <c r="N27" s="180">
        <f t="shared" si="0"/>
        <v>0.10863142573612726</v>
      </c>
      <c r="O27" s="375">
        <f t="shared" si="1"/>
        <v>0.14861211202058278</v>
      </c>
      <c r="P27" s="339">
        <f t="shared" si="2"/>
        <v>0.18463142573612726</v>
      </c>
      <c r="Q27" s="341">
        <f t="shared" si="4"/>
        <v>0.25258313547929545</v>
      </c>
      <c r="R27" s="180">
        <f>VLOOKUP(B27,'Military aid by type'!B:F,5,0)</f>
        <v>7.1999999999999995E-2</v>
      </c>
      <c r="S27" s="179">
        <f>VLOOKUP(B27,'Military aid by type'!B:G,6,0)</f>
        <v>0</v>
      </c>
      <c r="T27" s="455">
        <f>SUMIFS('Bilateral assistance, MAIN DATA'!S:S,'Bilateral assistance, MAIN DATA'!B:B,'Country summary'!B27,'Bilateral assistance, MAIN DATA'!AG:AG,1,'Bilateral assistance, MAIN DATA'!AH:AH,'Country summary'!$T$4)/1000000000</f>
        <v>0</v>
      </c>
      <c r="U27" s="455">
        <f>SUMIFS('Bilateral assistance, MAIN DATA'!S:S,'Bilateral assistance, MAIN DATA'!B:B,'Country summary'!B27,'Bilateral assistance, MAIN DATA'!AG:AG,1,'Bilateral assistance, MAIN DATA'!AH:AH,'Country summary'!$U$4)/1000000000</f>
        <v>0.05</v>
      </c>
      <c r="V27" s="455">
        <f>SUMIFS('Bilateral assistance, MAIN DATA'!S:S,'Bilateral assistance, MAIN DATA'!B:B,'Country summary'!B27,'Bilateral assistance, MAIN DATA'!AG:AG,1,'Bilateral assistance, MAIN DATA'!AH:AH,'Country summary'!$V$4)/1000000000</f>
        <v>1.9930244145490781E-4</v>
      </c>
      <c r="W27" s="455">
        <f>SUMIFS('Bilateral assistance, MAIN DATA'!S:S,'Bilateral assistance, MAIN DATA'!B:B,'Country summary'!B27,'Bilateral assistance, MAIN DATA'!AG:AG,1,'Bilateral assistance, MAIN DATA'!AH:AH,'Country summary'!$W$4)/1000000000</f>
        <v>0</v>
      </c>
      <c r="X27" s="455">
        <f>SUMIFS('Bilateral assistance, MAIN DATA'!S:S,'Bilateral assistance, MAIN DATA'!B:B,'Country summary'!B27,'Bilateral assistance, MAIN DATA'!AG:AG,1,'Bilateral assistance, MAIN DATA'!AH:AH,'Country summary'!$X$4)/1000000000</f>
        <v>1E-3</v>
      </c>
      <c r="Y27" s="455">
        <f>SUMIFS('Bilateral assistance, MAIN DATA'!S:S,'Bilateral assistance, MAIN DATA'!B:B,'Country summary'!B27,'Bilateral assistance, MAIN DATA'!AG:AG,1,'Bilateral assistance, MAIN DATA'!AH:AH,'Country summary'!$Y$4)/1000000000</f>
        <v>0</v>
      </c>
      <c r="Z27" s="455">
        <f>SUMIFS('Bilateral assistance, MAIN DATA'!S:S,'Bilateral assistance, MAIN DATA'!B:B,'Country summary'!B27,'Bilateral assistance, MAIN DATA'!AG:AG,1,'Bilateral assistance, MAIN DATA'!AH:AH,'Country summary'!$Z$4)/1000000000</f>
        <v>0</v>
      </c>
      <c r="AA27" s="455">
        <f>SUMIFS('Bilateral assistance, MAIN DATA'!S:S,'Bilateral assistance, MAIN DATA'!B:B,'Country summary'!B27,'Bilateral assistance, MAIN DATA'!AG:AG,1,'Bilateral assistance, MAIN DATA'!AH:AH,'Country summary'!$AA$4)/1000000000</f>
        <v>0</v>
      </c>
      <c r="AB27" s="109">
        <f>SUMIFS('Bilateral assistance, MAIN DATA'!S:S,'Bilateral assistance, MAIN DATA'!B:B,'Country summary'!B27,'Bilateral assistance, MAIN DATA'!AG:AG,1,'Bilateral assistance, MAIN DATA'!AH:AH,'Country summary'!$AB$4)/1000000000</f>
        <v>0</v>
      </c>
      <c r="AC27" s="453">
        <f>SUMIFS('Bilateral assistance, MAIN DATA'!S:S,'Bilateral assistance, MAIN DATA'!B:B,'Country summary'!B27,'Bilateral assistance, MAIN DATA'!AG:AG,1,'Bilateral assistance, MAIN DATA'!AH:AH,'Country summary'!$AC$4)/1000000000</f>
        <v>2.1800697558545096E-2</v>
      </c>
      <c r="AD27" s="109">
        <f>SUMIFS('Bilateral assistance, MAIN DATA'!S:S,'Bilateral assistance, MAIN DATA'!B:B,'Country summary'!B27,'Bilateral assistance, MAIN DATA'!AG:AG,1,'Bilateral assistance, MAIN DATA'!AH:AH,'Country summary'!$AD$4)/1000000000</f>
        <v>0</v>
      </c>
      <c r="AE27" s="109">
        <f>SUMIFS('Bilateral assistance, MAIN DATA'!S:S,'Bilateral assistance, MAIN DATA'!B:B,'Country summary'!B27,'Bilateral assistance, MAIN DATA'!AG:AG,1,'Bilateral assistance, MAIN DATA'!AH:AH,'Country summary'!$AE$4)/1000000000</f>
        <v>0</v>
      </c>
      <c r="AF27" s="109">
        <f t="shared" si="7"/>
        <v>7.3000000000000009E-2</v>
      </c>
      <c r="AG27" s="104">
        <f>SUMIFS('Bilateral assistance, MAIN DATA'!S:S,'Bilateral assistance, MAIN DATA'!B:B,'Country summary'!B27,'Bilateral assistance, MAIN DATA'!AG:AG,0)/1000000000</f>
        <v>3.0000000000000001E-3</v>
      </c>
    </row>
    <row r="28" spans="2:33">
      <c r="B28" s="104" t="s">
        <v>1682</v>
      </c>
      <c r="C28" s="330">
        <v>1</v>
      </c>
      <c r="D28" s="179">
        <f>SUMIFS('Bilateral assistance, MAIN DATA'!S:S,'Bilateral assistance, MAIN DATA'!D:D,"Financial",'Bilateral assistance, MAIN DATA'!B:B,'Country summary'!B28)/1000000000</f>
        <v>0</v>
      </c>
      <c r="E28" s="179">
        <f>SUMIFS('Bilateral assistance, MAIN DATA'!S:S,'Bilateral assistance, MAIN DATA'!D:D,"Humanitarian",'Bilateral assistance, MAIN DATA'!B:B,'Country summary'!B28)/1000000000</f>
        <v>1.15E-3</v>
      </c>
      <c r="F28" s="455">
        <f>SUMIFS('Bilateral assistance, MAIN DATA'!S:S,'Bilateral assistance, MAIN DATA'!D:D,"Military",'Bilateral assistance, MAIN DATA'!B:B,'Country summary'!B28)/1000000000</f>
        <v>0</v>
      </c>
      <c r="G28" s="327">
        <f t="shared" si="3"/>
        <v>1.15E-3</v>
      </c>
      <c r="H28" s="102">
        <f>14647380000/1000000000</f>
        <v>14.64738</v>
      </c>
      <c r="I28" s="102">
        <f>H28/VLOOKUP("USD",'Exchange rates'!B:C,2,0)</f>
        <v>14.596292974588938</v>
      </c>
      <c r="J28" s="338">
        <f t="shared" si="5"/>
        <v>7.8787127800330169E-3</v>
      </c>
      <c r="K28" s="104">
        <f>VLOOKUP(B28,'EU aid shares'!B:E,4,0)</f>
        <v>2.4902045477787078E-2</v>
      </c>
      <c r="L28" s="180">
        <f>VLOOKUP(B28,'EPF aid shares'!B:G,6,0)</f>
        <v>2.6943016004964907E-3</v>
      </c>
      <c r="M28" s="336">
        <f>VLOOKUP(B28,'EIB aid shares'!B:E,4,0)</f>
        <v>9.8502254614655517E-4</v>
      </c>
      <c r="N28" s="180">
        <f t="shared" si="0"/>
        <v>2.8581369624430121E-2</v>
      </c>
      <c r="O28" s="375">
        <f t="shared" si="1"/>
        <v>0.19581252359203918</v>
      </c>
      <c r="P28" s="339">
        <f t="shared" si="2"/>
        <v>2.9731369624430119E-2</v>
      </c>
      <c r="Q28" s="341">
        <f t="shared" si="4"/>
        <v>0.2036912363720722</v>
      </c>
      <c r="R28" s="180">
        <f>VLOOKUP(B28,'Military aid by type'!B:F,5,0)</f>
        <v>0</v>
      </c>
      <c r="S28" s="179">
        <f>VLOOKUP(B28,'Military aid by type'!B:G,6,0)</f>
        <v>0</v>
      </c>
      <c r="T28" s="455">
        <f>SUMIFS('Bilateral assistance, MAIN DATA'!S:S,'Bilateral assistance, MAIN DATA'!B:B,'Country summary'!B28,'Bilateral assistance, MAIN DATA'!AG:AG,1,'Bilateral assistance, MAIN DATA'!AH:AH,'Country summary'!$T$4)/1000000000</f>
        <v>0</v>
      </c>
      <c r="U28" s="455">
        <f>SUMIFS('Bilateral assistance, MAIN DATA'!S:S,'Bilateral assistance, MAIN DATA'!B:B,'Country summary'!B28,'Bilateral assistance, MAIN DATA'!AG:AG,1,'Bilateral assistance, MAIN DATA'!AH:AH,'Country summary'!$U$4)/1000000000</f>
        <v>0</v>
      </c>
      <c r="V28" s="455">
        <f>SUMIFS('Bilateral assistance, MAIN DATA'!S:S,'Bilateral assistance, MAIN DATA'!B:B,'Country summary'!B28,'Bilateral assistance, MAIN DATA'!AG:AG,1,'Bilateral assistance, MAIN DATA'!AH:AH,'Country summary'!$V$4)/1000000000</f>
        <v>1.15E-3</v>
      </c>
      <c r="W28" s="455">
        <f>SUMIFS('Bilateral assistance, MAIN DATA'!S:S,'Bilateral assistance, MAIN DATA'!B:B,'Country summary'!B28,'Bilateral assistance, MAIN DATA'!AG:AG,1,'Bilateral assistance, MAIN DATA'!AH:AH,'Country summary'!$W$4)/1000000000</f>
        <v>0</v>
      </c>
      <c r="X28" s="455">
        <f>SUMIFS('Bilateral assistance, MAIN DATA'!S:S,'Bilateral assistance, MAIN DATA'!B:B,'Country summary'!B28,'Bilateral assistance, MAIN DATA'!AG:AG,1,'Bilateral assistance, MAIN DATA'!AH:AH,'Country summary'!$X$4)/1000000000</f>
        <v>0</v>
      </c>
      <c r="Y28" s="455">
        <f>SUMIFS('Bilateral assistance, MAIN DATA'!S:S,'Bilateral assistance, MAIN DATA'!B:B,'Country summary'!B28,'Bilateral assistance, MAIN DATA'!AG:AG,1,'Bilateral assistance, MAIN DATA'!AH:AH,'Country summary'!$Y$4)/1000000000</f>
        <v>0</v>
      </c>
      <c r="Z28" s="455">
        <f>SUMIFS('Bilateral assistance, MAIN DATA'!S:S,'Bilateral assistance, MAIN DATA'!B:B,'Country summary'!B28,'Bilateral assistance, MAIN DATA'!AG:AG,1,'Bilateral assistance, MAIN DATA'!AH:AH,'Country summary'!$Z$4)/1000000000</f>
        <v>0</v>
      </c>
      <c r="AA28" s="455">
        <f>SUMIFS('Bilateral assistance, MAIN DATA'!S:S,'Bilateral assistance, MAIN DATA'!B:B,'Country summary'!B28,'Bilateral assistance, MAIN DATA'!AG:AG,1,'Bilateral assistance, MAIN DATA'!AH:AH,'Country summary'!$AA$4)/1000000000</f>
        <v>0</v>
      </c>
      <c r="AB28" s="109">
        <f>SUMIFS('Bilateral assistance, MAIN DATA'!S:S,'Bilateral assistance, MAIN DATA'!B:B,'Country summary'!B28,'Bilateral assistance, MAIN DATA'!AG:AG,1,'Bilateral assistance, MAIN DATA'!AH:AH,'Country summary'!$AB$4)/1000000000</f>
        <v>0</v>
      </c>
      <c r="AC28" s="453">
        <f>SUMIFS('Bilateral assistance, MAIN DATA'!S:S,'Bilateral assistance, MAIN DATA'!B:B,'Country summary'!B28,'Bilateral assistance, MAIN DATA'!AG:AG,1,'Bilateral assistance, MAIN DATA'!AH:AH,'Country summary'!$AC$4)/1000000000</f>
        <v>0</v>
      </c>
      <c r="AD28" s="109">
        <f>SUMIFS('Bilateral assistance, MAIN DATA'!S:S,'Bilateral assistance, MAIN DATA'!B:B,'Country summary'!B28,'Bilateral assistance, MAIN DATA'!AG:AG,1,'Bilateral assistance, MAIN DATA'!AH:AH,'Country summary'!$AD$4)/1000000000</f>
        <v>0</v>
      </c>
      <c r="AE28" s="109">
        <f>SUMIFS('Bilateral assistance, MAIN DATA'!S:S,'Bilateral assistance, MAIN DATA'!B:B,'Country summary'!B28,'Bilateral assistance, MAIN DATA'!AG:AG,1,'Bilateral assistance, MAIN DATA'!AH:AH,'Country summary'!$AE$4)/1000000000</f>
        <v>0</v>
      </c>
      <c r="AF28" s="109">
        <f t="shared" si="7"/>
        <v>1.15E-3</v>
      </c>
      <c r="AG28" s="104">
        <f>SUMIFS('Bilateral assistance, MAIN DATA'!S:S,'Bilateral assistance, MAIN DATA'!B:B,'Country summary'!B28,'Bilateral assistance, MAIN DATA'!AG:AG,0)/1000000000</f>
        <v>0</v>
      </c>
    </row>
    <row r="29" spans="2:33">
      <c r="B29" s="104" t="s">
        <v>1687</v>
      </c>
      <c r="C29" s="330">
        <v>1</v>
      </c>
      <c r="D29" s="179">
        <f>SUMIFS('Bilateral assistance, MAIN DATA'!S:S,'Bilateral assistance, MAIN DATA'!D:D,"Financial",'Bilateral assistance, MAIN DATA'!B:B,'Country summary'!B29)/1000000000</f>
        <v>0.34849999999999998</v>
      </c>
      <c r="E29" s="179">
        <f>SUMIFS('Bilateral assistance, MAIN DATA'!S:S,'Bilateral assistance, MAIN DATA'!D:D,"Humanitarian",'Bilateral assistance, MAIN DATA'!B:B,'Country summary'!B29)/1000000000</f>
        <v>0.20888495266567014</v>
      </c>
      <c r="F29" s="455">
        <f>SUMIFS('Bilateral assistance, MAIN DATA'!S:S,'Bilateral assistance, MAIN DATA'!D:D,"Military",'Bilateral assistance, MAIN DATA'!B:B,'Country summary'!B29)/1000000000</f>
        <v>0.28984679372995431</v>
      </c>
      <c r="G29" s="327">
        <f t="shared" si="3"/>
        <v>0.84723174639562449</v>
      </c>
      <c r="H29" s="102">
        <f>913865400000/1000000000</f>
        <v>913.86540000000002</v>
      </c>
      <c r="I29" s="102">
        <f>H29/VLOOKUP("USD",'Exchange rates'!B:C,2,0)</f>
        <v>910.6780269058296</v>
      </c>
      <c r="J29" s="338">
        <f t="shared" si="5"/>
        <v>9.3033072212604734E-2</v>
      </c>
      <c r="K29" s="104">
        <f>VLOOKUP(B29,'EU aid shares'!B:E,4,0)</f>
        <v>2.3598802805872334</v>
      </c>
      <c r="L29" s="180">
        <f>VLOOKUP(B29,'EPF aid shares'!B:G,6,0)</f>
        <v>0.18010130711931224</v>
      </c>
      <c r="M29" s="336">
        <f>VLOOKUP(B29,'EIB aid shares'!B:E,4,0)</f>
        <v>0.10424062413548618</v>
      </c>
      <c r="N29" s="180">
        <f t="shared" si="0"/>
        <v>2.644222211842032</v>
      </c>
      <c r="O29" s="375">
        <f t="shared" si="1"/>
        <v>0.29035752853576458</v>
      </c>
      <c r="P29" s="339">
        <f t="shared" si="2"/>
        <v>3.4914539582376563</v>
      </c>
      <c r="Q29" s="341">
        <f t="shared" si="4"/>
        <v>0.38339060074836934</v>
      </c>
      <c r="R29" s="180">
        <f>VLOOKUP(B29,'Military aid by type'!B:F,5,0)</f>
        <v>0.2798467937299543</v>
      </c>
      <c r="S29" s="179">
        <f>VLOOKUP(B29,'Military aid by type'!B:G,6,0)</f>
        <v>1.0000000000000009E-2</v>
      </c>
      <c r="T29" s="455">
        <f>SUMIFS('Bilateral assistance, MAIN DATA'!S:S,'Bilateral assistance, MAIN DATA'!B:B,'Country summary'!B29,'Bilateral assistance, MAIN DATA'!AG:AG,1,'Bilateral assistance, MAIN DATA'!AH:AH,'Country summary'!$T$4)/1000000000</f>
        <v>0</v>
      </c>
      <c r="U29" s="455">
        <f>SUMIFS('Bilateral assistance, MAIN DATA'!S:S,'Bilateral assistance, MAIN DATA'!B:B,'Country summary'!B29,'Bilateral assistance, MAIN DATA'!AG:AG,1,'Bilateral assistance, MAIN DATA'!AH:AH,'Country summary'!$U$4)/1000000000</f>
        <v>0.05</v>
      </c>
      <c r="V29" s="455">
        <f>SUMIFS('Bilateral assistance, MAIN DATA'!S:S,'Bilateral assistance, MAIN DATA'!B:B,'Country summary'!B29,'Bilateral assistance, MAIN DATA'!AG:AG,1,'Bilateral assistance, MAIN DATA'!AH:AH,'Country summary'!$V$4)/1000000000</f>
        <v>9.700627802690584E-2</v>
      </c>
      <c r="W29" s="455">
        <f>SUMIFS('Bilateral assistance, MAIN DATA'!S:S,'Bilateral assistance, MAIN DATA'!B:B,'Country summary'!B29,'Bilateral assistance, MAIN DATA'!AG:AG,1,'Bilateral assistance, MAIN DATA'!AH:AH,'Country summary'!$W$4)/1000000000</f>
        <v>6.8654246081221434E-2</v>
      </c>
      <c r="X29" s="455">
        <f>SUMIFS('Bilateral assistance, MAIN DATA'!S:S,'Bilateral assistance, MAIN DATA'!B:B,'Country summary'!B29,'Bilateral assistance, MAIN DATA'!AG:AG,1,'Bilateral assistance, MAIN DATA'!AH:AH,'Country summary'!$X$4)/1000000000</f>
        <v>0.21037867463876433</v>
      </c>
      <c r="Y29" s="455">
        <f>SUMIFS('Bilateral assistance, MAIN DATA'!S:S,'Bilateral assistance, MAIN DATA'!B:B,'Country summary'!B29,'Bilateral assistance, MAIN DATA'!AG:AG,1,'Bilateral assistance, MAIN DATA'!AH:AH,'Country summary'!$Y$4)/1000000000</f>
        <v>4.1192547648732855E-2</v>
      </c>
      <c r="Z29" s="455">
        <f>SUMIFS('Bilateral assistance, MAIN DATA'!S:S,'Bilateral assistance, MAIN DATA'!B:B,'Country summary'!B29,'Bilateral assistance, MAIN DATA'!AG:AG,1,'Bilateral assistance, MAIN DATA'!AH:AH,'Country summary'!$Z$4)/1000000000</f>
        <v>0</v>
      </c>
      <c r="AA29" s="455">
        <f>SUMIFS('Bilateral assistance, MAIN DATA'!S:S,'Bilateral assistance, MAIN DATA'!B:B,'Country summary'!B29,'Bilateral assistance, MAIN DATA'!AG:AG,1,'Bilateral assistance, MAIN DATA'!AH:AH,'Country summary'!$AA$4)/1000000000</f>
        <v>0.01</v>
      </c>
      <c r="AB29" s="109">
        <f>SUMIFS('Bilateral assistance, MAIN DATA'!S:S,'Bilateral assistance, MAIN DATA'!B:B,'Country summary'!B29,'Bilateral assistance, MAIN DATA'!AG:AG,1,'Bilateral assistance, MAIN DATA'!AH:AH,'Country summary'!$AB$4)/1000000000</f>
        <v>0</v>
      </c>
      <c r="AC29" s="453">
        <f>SUMIFS('Bilateral assistance, MAIN DATA'!S:S,'Bilateral assistance, MAIN DATA'!B:B,'Country summary'!B29,'Bilateral assistance, MAIN DATA'!AG:AG,1,'Bilateral assistance, MAIN DATA'!AH:AH,'Country summary'!$AC$4)/1000000000</f>
        <v>0.18</v>
      </c>
      <c r="AD29" s="109">
        <f>SUMIFS('Bilateral assistance, MAIN DATA'!S:S,'Bilateral assistance, MAIN DATA'!B:B,'Country summary'!B29,'Bilateral assistance, MAIN DATA'!AG:AG,1,'Bilateral assistance, MAIN DATA'!AH:AH,'Country summary'!$AD$4)/1000000000</f>
        <v>0.12</v>
      </c>
      <c r="AE29" s="109">
        <f>SUMIFS('Bilateral assistance, MAIN DATA'!S:S,'Bilateral assistance, MAIN DATA'!B:B,'Country summary'!B29,'Bilateral assistance, MAIN DATA'!AG:AG,1,'Bilateral assistance, MAIN DATA'!AH:AH,'Country summary'!$AE$4)/1000000000</f>
        <v>0</v>
      </c>
      <c r="AF29" s="109">
        <f t="shared" si="7"/>
        <v>0.77723174639562453</v>
      </c>
      <c r="AG29" s="104">
        <f>SUMIFS('Bilateral assistance, MAIN DATA'!S:S,'Bilateral assistance, MAIN DATA'!B:B,'Country summary'!B29,'Bilateral assistance, MAIN DATA'!AG:AG,0)/1000000000</f>
        <v>1.5E-3</v>
      </c>
    </row>
    <row r="30" spans="2:33">
      <c r="B30" s="2" t="s">
        <v>1766</v>
      </c>
      <c r="C30" s="330">
        <v>0</v>
      </c>
      <c r="D30" s="179">
        <f>SUMIFS('Bilateral assistance, MAIN DATA'!S:S,'Bilateral assistance, MAIN DATA'!D:D,"Financial",'Bilateral assistance, MAIN DATA'!B:B,'Country summary'!B30)/1000000000</f>
        <v>0</v>
      </c>
      <c r="E30" s="179">
        <f>SUMIFS('Bilateral assistance, MAIN DATA'!S:S,'Bilateral assistance, MAIN DATA'!D:D,"Humanitarian",'Bilateral assistance, MAIN DATA'!B:B,'Country summary'!B30)/1000000000</f>
        <v>2.3485204321277591E-3</v>
      </c>
      <c r="F30" s="455">
        <f>SUMIFS('Bilateral assistance, MAIN DATA'!S:S,'Bilateral assistance, MAIN DATA'!D:D,"Military",'Bilateral assistance, MAIN DATA'!B:B,'Country summary'!B30)/1000000000</f>
        <v>1.4694117792985236E-2</v>
      </c>
      <c r="G30" s="327">
        <f t="shared" si="3"/>
        <v>1.7042638225112997E-2</v>
      </c>
      <c r="H30" s="101">
        <f>210700848973.509/1000000000</f>
        <v>210.70084897350901</v>
      </c>
      <c r="I30" s="102">
        <f>H30/VLOOKUP("USD",'Exchange rates'!B:C,2,0)</f>
        <v>209.96596808521076</v>
      </c>
      <c r="J30" s="338">
        <f t="shared" si="5"/>
        <v>8.1168574033848011E-3</v>
      </c>
      <c r="K30" s="104">
        <f>VLOOKUP(B30,'EU aid shares'!B:E,4,0)</f>
        <v>0</v>
      </c>
      <c r="L30" s="180">
        <f>VLOOKUP(B30,'EPF aid shares'!B:G,6,0)</f>
        <v>0</v>
      </c>
      <c r="M30" s="336">
        <f>VLOOKUP(B30,'EIB aid shares'!B:E,4,0)</f>
        <v>0</v>
      </c>
      <c r="N30" s="180">
        <f t="shared" si="0"/>
        <v>0</v>
      </c>
      <c r="O30" s="375">
        <f t="shared" si="1"/>
        <v>0</v>
      </c>
      <c r="P30" s="339">
        <f t="shared" si="2"/>
        <v>1.7042638225112997E-2</v>
      </c>
      <c r="Q30" s="341">
        <f t="shared" si="4"/>
        <v>8.1168574033848011E-3</v>
      </c>
      <c r="R30" s="180">
        <f>VLOOKUP(B30,'Military aid by type'!B:F,5,0)</f>
        <v>3.6267152565831709E-3</v>
      </c>
      <c r="S30" s="179">
        <f>VLOOKUP(B30,'Military aid by type'!B:G,6,0)</f>
        <v>1.1067402536402066E-2</v>
      </c>
      <c r="T30" s="455">
        <f>SUMIFS('Bilateral assistance, MAIN DATA'!S:S,'Bilateral assistance, MAIN DATA'!B:B,'Country summary'!B30,'Bilateral assistance, MAIN DATA'!AG:AG,1,'Bilateral assistance, MAIN DATA'!AH:AH,'Country summary'!$T$4)/1000000000</f>
        <v>0</v>
      </c>
      <c r="U30" s="455">
        <f>SUMIFS('Bilateral assistance, MAIN DATA'!S:S,'Bilateral assistance, MAIN DATA'!B:B,'Country summary'!B30,'Bilateral assistance, MAIN DATA'!AG:AG,1,'Bilateral assistance, MAIN DATA'!AH:AH,'Country summary'!$U$4)/1000000000</f>
        <v>2.3485204321277591E-3</v>
      </c>
      <c r="V30" s="455">
        <f>SUMIFS('Bilateral assistance, MAIN DATA'!S:S,'Bilateral assistance, MAIN DATA'!B:B,'Country summary'!B30,'Bilateral assistance, MAIN DATA'!AG:AG,1,'Bilateral assistance, MAIN DATA'!AH:AH,'Country summary'!$V$4)/1000000000</f>
        <v>4.155132353811917E-3</v>
      </c>
      <c r="W30" s="455">
        <f>SUMIFS('Bilateral assistance, MAIN DATA'!S:S,'Bilateral assistance, MAIN DATA'!B:B,'Country summary'!B30,'Bilateral assistance, MAIN DATA'!AG:AG,1,'Bilateral assistance, MAIN DATA'!AH:AH,'Country summary'!$W$4)/1000000000</f>
        <v>6.8107092531705027E-3</v>
      </c>
      <c r="X30" s="455">
        <f>SUMIFS('Bilateral assistance, MAIN DATA'!S:S,'Bilateral assistance, MAIN DATA'!B:B,'Country summary'!B30,'Bilateral assistance, MAIN DATA'!AG:AG,1,'Bilateral assistance, MAIN DATA'!AH:AH,'Country summary'!$X$4)/1000000000</f>
        <v>0</v>
      </c>
      <c r="Y30" s="455">
        <f>SUMIFS('Bilateral assistance, MAIN DATA'!S:S,'Bilateral assistance, MAIN DATA'!B:B,'Country summary'!B30,'Bilateral assistance, MAIN DATA'!AG:AG,1,'Bilateral assistance, MAIN DATA'!AH:AH,'Country summary'!$Y$4)/1000000000</f>
        <v>2.6420854861437292E-3</v>
      </c>
      <c r="Z30" s="455">
        <f>SUMIFS('Bilateral assistance, MAIN DATA'!S:S,'Bilateral assistance, MAIN DATA'!B:B,'Country summary'!B30,'Bilateral assistance, MAIN DATA'!AG:AG,1,'Bilateral assistance, MAIN DATA'!AH:AH,'Country summary'!$Z$4)/1000000000</f>
        <v>0</v>
      </c>
      <c r="AA30" s="455">
        <f>SUMIFS('Bilateral assistance, MAIN DATA'!S:S,'Bilateral assistance, MAIN DATA'!B:B,'Country summary'!B30,'Bilateral assistance, MAIN DATA'!AG:AG,1,'Bilateral assistance, MAIN DATA'!AH:AH,'Country summary'!$AA$4)/1000000000</f>
        <v>0</v>
      </c>
      <c r="AB30" s="109">
        <f>SUMIFS('Bilateral assistance, MAIN DATA'!S:S,'Bilateral assistance, MAIN DATA'!B:B,'Country summary'!B30,'Bilateral assistance, MAIN DATA'!AG:AG,1,'Bilateral assistance, MAIN DATA'!AH:AH,'Country summary'!$AB$4)/1000000000</f>
        <v>0</v>
      </c>
      <c r="AC30" s="453">
        <f>SUMIFS('Bilateral assistance, MAIN DATA'!S:S,'Bilateral assistance, MAIN DATA'!B:B,'Country summary'!B30,'Bilateral assistance, MAIN DATA'!AG:AG,1,'Bilateral assistance, MAIN DATA'!AH:AH,'Country summary'!$AC$4)/1000000000</f>
        <v>0</v>
      </c>
      <c r="AD30" s="109">
        <f>SUMIFS('Bilateral assistance, MAIN DATA'!S:S,'Bilateral assistance, MAIN DATA'!B:B,'Country summary'!B30,'Bilateral assistance, MAIN DATA'!AG:AG,1,'Bilateral assistance, MAIN DATA'!AH:AH,'Country summary'!$AD$4)/1000000000</f>
        <v>1.0861906998590888E-3</v>
      </c>
      <c r="AE30" s="109">
        <f>SUMIFS('Bilateral assistance, MAIN DATA'!S:S,'Bilateral assistance, MAIN DATA'!B:B,'Country summary'!B30,'Bilateral assistance, MAIN DATA'!AG:AG,1,'Bilateral assistance, MAIN DATA'!AH:AH,'Country summary'!$AE$4)/1000000000</f>
        <v>0</v>
      </c>
      <c r="AF30" s="109">
        <f t="shared" si="7"/>
        <v>1.7042638225112997E-2</v>
      </c>
      <c r="AG30" s="104">
        <f>SUMIFS('Bilateral assistance, MAIN DATA'!S:S,'Bilateral assistance, MAIN DATA'!B:B,'Country summary'!B30,'Bilateral assistance, MAIN DATA'!AG:AG,0)/1000000000</f>
        <v>0</v>
      </c>
    </row>
    <row r="31" spans="2:33">
      <c r="B31" s="2" t="s">
        <v>1804</v>
      </c>
      <c r="C31" s="330">
        <v>0</v>
      </c>
      <c r="D31" s="179">
        <f>SUMIFS('Bilateral assistance, MAIN DATA'!S:S,'Bilateral assistance, MAIN DATA'!D:D,"Financial",'Bilateral assistance, MAIN DATA'!B:B,'Country summary'!B31)/1000000000</f>
        <v>0.32416322344038784</v>
      </c>
      <c r="E31" s="179">
        <f>SUMIFS('Bilateral assistance, MAIN DATA'!S:S,'Bilateral assistance, MAIN DATA'!D:D,"Humanitarian",'Bilateral assistance, MAIN DATA'!B:B,'Country summary'!B31)/1000000000</f>
        <v>0.32561470056027014</v>
      </c>
      <c r="F31" s="455">
        <f>SUMIFS('Bilateral assistance, MAIN DATA'!S:S,'Bilateral assistance, MAIN DATA'!D:D,"Military",'Bilateral assistance, MAIN DATA'!B:B,'Country summary'!B31)/1000000000</f>
        <v>0.56014572529324125</v>
      </c>
      <c r="G31" s="327">
        <f t="shared" si="3"/>
        <v>1.2099236492938994</v>
      </c>
      <c r="H31" s="101">
        <f>362198318435.26/1000000000</f>
        <v>362.19831843526003</v>
      </c>
      <c r="I31" s="102">
        <f>H31/VLOOKUP("USD",'Exchange rates'!B:C,2,0)</f>
        <v>360.93504577504734</v>
      </c>
      <c r="J31" s="338">
        <f t="shared" si="5"/>
        <v>0.33521922114706038</v>
      </c>
      <c r="K31" s="104">
        <f>VLOOKUP(B31,'EU aid shares'!B:E,4,0)</f>
        <v>0</v>
      </c>
      <c r="L31" s="180">
        <f>VLOOKUP(B31,'EPF aid shares'!B:G,6,0)</f>
        <v>0</v>
      </c>
      <c r="M31" s="336">
        <f>VLOOKUP(B31,'EIB aid shares'!B:E,4,0)</f>
        <v>0</v>
      </c>
      <c r="N31" s="180">
        <f t="shared" si="0"/>
        <v>0</v>
      </c>
      <c r="O31" s="375">
        <f t="shared" si="1"/>
        <v>0</v>
      </c>
      <c r="P31" s="339">
        <f t="shared" si="2"/>
        <v>1.2099236492938994</v>
      </c>
      <c r="Q31" s="341">
        <f t="shared" si="4"/>
        <v>0.33521922114706038</v>
      </c>
      <c r="R31" s="180">
        <f>VLOOKUP(B31,'Military aid by type'!B:F,5,0)</f>
        <v>0.20047757878657899</v>
      </c>
      <c r="S31" s="179">
        <f>VLOOKUP(B31,'Military aid by type'!B:G,6,0)</f>
        <v>0.35966814650666223</v>
      </c>
      <c r="T31" s="455">
        <f>SUMIFS('Bilateral assistance, MAIN DATA'!S:S,'Bilateral assistance, MAIN DATA'!B:B,'Country summary'!B31,'Bilateral assistance, MAIN DATA'!AG:AG,1,'Bilateral assistance, MAIN DATA'!AH:AH,'Country summary'!$T$4)/1000000000</f>
        <v>0</v>
      </c>
      <c r="U31" s="455">
        <f>SUMIFS('Bilateral assistance, MAIN DATA'!S:S,'Bilateral assistance, MAIN DATA'!B:B,'Country summary'!B31,'Bilateral assistance, MAIN DATA'!AG:AG,1,'Bilateral assistance, MAIN DATA'!AH:AH,'Country summary'!$U$4)/1000000000</f>
        <v>2.9397110114598901E-3</v>
      </c>
      <c r="V31" s="455">
        <f>SUMIFS('Bilateral assistance, MAIN DATA'!S:S,'Bilateral assistance, MAIN DATA'!B:B,'Country summary'!B31,'Bilateral assistance, MAIN DATA'!AG:AG,1,'Bilateral assistance, MAIN DATA'!AH:AH,'Country summary'!$V$4)/1000000000</f>
        <v>2.9397110114598901E-3</v>
      </c>
      <c r="W31" s="455">
        <f>SUMIFS('Bilateral assistance, MAIN DATA'!S:S,'Bilateral assistance, MAIN DATA'!B:B,'Country summary'!B31,'Bilateral assistance, MAIN DATA'!AG:AG,1,'Bilateral assistance, MAIN DATA'!AH:AH,'Country summary'!$W$4)/1000000000</f>
        <v>0.15176917484655206</v>
      </c>
      <c r="X31" s="455">
        <f>SUMIFS('Bilateral assistance, MAIN DATA'!S:S,'Bilateral assistance, MAIN DATA'!B:B,'Country summary'!B31,'Bilateral assistance, MAIN DATA'!AG:AG,1,'Bilateral assistance, MAIN DATA'!AH:AH,'Country summary'!$X$4)/1000000000</f>
        <v>3.3867799463921114E-2</v>
      </c>
      <c r="Y31" s="455">
        <f>SUMIFS('Bilateral assistance, MAIN DATA'!S:S,'Bilateral assistance, MAIN DATA'!B:B,'Country summary'!B31,'Bilateral assistance, MAIN DATA'!AG:AG,1,'Bilateral assistance, MAIN DATA'!AH:AH,'Country summary'!$Y$4)/1000000000</f>
        <v>0.37574219210174326</v>
      </c>
      <c r="Z31" s="455">
        <f>SUMIFS('Bilateral assistance, MAIN DATA'!S:S,'Bilateral assistance, MAIN DATA'!B:B,'Country summary'!B31,'Bilateral assistance, MAIN DATA'!AG:AG,1,'Bilateral assistance, MAIN DATA'!AH:AH,'Country summary'!$Z$4)/1000000000</f>
        <v>1.6565095485799698E-2</v>
      </c>
      <c r="AA31" s="455">
        <f>SUMIFS('Bilateral assistance, MAIN DATA'!S:S,'Bilateral assistance, MAIN DATA'!B:B,'Country summary'!B31,'Bilateral assistance, MAIN DATA'!AG:AG,1,'Bilateral assistance, MAIN DATA'!AH:AH,'Country summary'!$AA$4)/1000000000</f>
        <v>0</v>
      </c>
      <c r="AB31" s="109">
        <f>SUMIFS('Bilateral assistance, MAIN DATA'!S:S,'Bilateral assistance, MAIN DATA'!B:B,'Country summary'!B31,'Bilateral assistance, MAIN DATA'!AG:AG,1,'Bilateral assistance, MAIN DATA'!AH:AH,'Country summary'!$AB$4)/1000000000</f>
        <v>0.30513787539649662</v>
      </c>
      <c r="AC31" s="453">
        <f>SUMIFS('Bilateral assistance, MAIN DATA'!S:S,'Bilateral assistance, MAIN DATA'!B:B,'Country summary'!B31,'Bilateral assistance, MAIN DATA'!AG:AG,1,'Bilateral assistance, MAIN DATA'!AH:AH,'Country summary'!$AC$4)/1000000000</f>
        <v>0.32096208997646664</v>
      </c>
      <c r="AD31" s="109">
        <f>SUMIFS('Bilateral assistance, MAIN DATA'!S:S,'Bilateral assistance, MAIN DATA'!B:B,'Country summary'!B31,'Bilateral assistance, MAIN DATA'!AG:AG,1,'Bilateral assistance, MAIN DATA'!AH:AH,'Country summary'!$AD$4)/1000000000</f>
        <v>0</v>
      </c>
      <c r="AE31" s="109">
        <f>SUMIFS('Bilateral assistance, MAIN DATA'!S:S,'Bilateral assistance, MAIN DATA'!B:B,'Country summary'!B31,'Bilateral assistance, MAIN DATA'!AG:AG,1,'Bilateral assistance, MAIN DATA'!AH:AH,'Country summary'!$AE$4)/1000000000</f>
        <v>0</v>
      </c>
      <c r="AF31" s="109">
        <f t="shared" si="7"/>
        <v>1.2099236492938992</v>
      </c>
      <c r="AG31" s="104">
        <f>SUMIFS('Bilateral assistance, MAIN DATA'!S:S,'Bilateral assistance, MAIN DATA'!B:B,'Country summary'!B31,'Bilateral assistance, MAIN DATA'!AG:AG,0)/1000000000</f>
        <v>0</v>
      </c>
    </row>
    <row r="32" spans="2:33">
      <c r="B32" s="104" t="s">
        <v>1894</v>
      </c>
      <c r="C32" s="330">
        <v>1</v>
      </c>
      <c r="D32" s="179">
        <f>SUMIFS('Bilateral assistance, MAIN DATA'!S:S,'Bilateral assistance, MAIN DATA'!D:D,"Financial",'Bilateral assistance, MAIN DATA'!B:B,'Country summary'!B32)/1000000000</f>
        <v>1.0028667931673585</v>
      </c>
      <c r="E32" s="179">
        <f>SUMIFS('Bilateral assistance, MAIN DATA'!S:S,'Bilateral assistance, MAIN DATA'!D:D,"Humanitarian",'Bilateral assistance, MAIN DATA'!B:B,'Country summary'!B32)/1000000000</f>
        <v>0.1753413054309915</v>
      </c>
      <c r="F32" s="455">
        <f>SUMIFS('Bilateral assistance, MAIN DATA'!S:S,'Bilateral assistance, MAIN DATA'!D:D,"Military",'Bilateral assistance, MAIN DATA'!B:B,'Country summary'!B32)/1000000000</f>
        <v>1.8223833594419532</v>
      </c>
      <c r="G32" s="327">
        <f t="shared" si="3"/>
        <v>3.0005914580403035</v>
      </c>
      <c r="H32" s="102">
        <f>596624360000/1000000000</f>
        <v>596.62436000000002</v>
      </c>
      <c r="I32" s="102">
        <f>H32/VLOOKUP("USD",'Exchange rates'!B:C,2,0)</f>
        <v>594.54345789735919</v>
      </c>
      <c r="J32" s="338">
        <f t="shared" si="5"/>
        <v>0.5046883315564662</v>
      </c>
      <c r="K32" s="104">
        <f>VLOOKUP(B32,'EU aid shares'!B:E,4,0)</f>
        <v>1.2495483043265898</v>
      </c>
      <c r="L32" s="180">
        <f>VLOOKUP(B32,'EPF aid shares'!B:G,6,0)</f>
        <v>0.11695772192339397</v>
      </c>
      <c r="M32" s="336">
        <f>VLOOKUP(B32,'EIB aid shares'!B:E,4,0)</f>
        <v>9.1487854785372302E-2</v>
      </c>
      <c r="N32" s="180">
        <f t="shared" si="0"/>
        <v>1.4579938810353561</v>
      </c>
      <c r="O32" s="375">
        <f t="shared" si="1"/>
        <v>0.24522915216183597</v>
      </c>
      <c r="P32" s="339">
        <f t="shared" si="2"/>
        <v>4.4585853390756593</v>
      </c>
      <c r="Q32" s="341">
        <f t="shared" si="4"/>
        <v>0.74991748371830214</v>
      </c>
      <c r="R32" s="180">
        <f>VLOOKUP(B32,'Military aid by type'!B:F,5,0)</f>
        <v>1.8223833594419532</v>
      </c>
      <c r="S32" s="179">
        <f>VLOOKUP(B32,'Military aid by type'!B:G,6,0)</f>
        <v>0</v>
      </c>
      <c r="T32" s="455">
        <f>SUMIFS('Bilateral assistance, MAIN DATA'!S:S,'Bilateral assistance, MAIN DATA'!B:B,'Country summary'!B32,'Bilateral assistance, MAIN DATA'!AG:AG,1,'Bilateral assistance, MAIN DATA'!AH:AH,'Country summary'!$T$4)/1000000000</f>
        <v>0</v>
      </c>
      <c r="U32" s="455">
        <f>SUMIFS('Bilateral assistance, MAIN DATA'!S:S,'Bilateral assistance, MAIN DATA'!B:B,'Country summary'!B32,'Bilateral assistance, MAIN DATA'!AG:AG,1,'Bilateral assistance, MAIN DATA'!AH:AH,'Country summary'!$U$4)/1000000000</f>
        <v>0.99651220727453915</v>
      </c>
      <c r="V32" s="455">
        <f>SUMIFS('Bilateral assistance, MAIN DATA'!S:S,'Bilateral assistance, MAIN DATA'!B:B,'Country summary'!B32,'Bilateral assistance, MAIN DATA'!AG:AG,1,'Bilateral assistance, MAIN DATA'!AH:AH,'Country summary'!$V$4)/1000000000</f>
        <v>6.3545858928193179E-3</v>
      </c>
      <c r="W32" s="455">
        <f>SUMIFS('Bilateral assistance, MAIN DATA'!S:S,'Bilateral assistance, MAIN DATA'!B:B,'Country summary'!B32,'Bilateral assistance, MAIN DATA'!AG:AG,1,'Bilateral assistance, MAIN DATA'!AH:AH,'Country summary'!$W$4)/1000000000</f>
        <v>1.887904037070254</v>
      </c>
      <c r="X32" s="455">
        <f>SUMIFS('Bilateral assistance, MAIN DATA'!S:S,'Bilateral assistance, MAIN DATA'!B:B,'Country summary'!B32,'Bilateral assistance, MAIN DATA'!AG:AG,1,'Bilateral assistance, MAIN DATA'!AH:AH,'Country summary'!$X$4)/1000000000</f>
        <v>0.1</v>
      </c>
      <c r="Y32" s="455">
        <f>SUMIFS('Bilateral assistance, MAIN DATA'!S:S,'Bilateral assistance, MAIN DATA'!B:B,'Country summary'!B32,'Bilateral assistance, MAIN DATA'!AG:AG,1,'Bilateral assistance, MAIN DATA'!AH:AH,'Country summary'!$Y$4)/1000000000</f>
        <v>0</v>
      </c>
      <c r="Z32" s="455">
        <f>SUMIFS('Bilateral assistance, MAIN DATA'!S:S,'Bilateral assistance, MAIN DATA'!B:B,'Country summary'!B32,'Bilateral assistance, MAIN DATA'!AG:AG,1,'Bilateral assistance, MAIN DATA'!AH:AH,'Country summary'!$Z$4)/1000000000</f>
        <v>0</v>
      </c>
      <c r="AA32" s="455">
        <f>SUMIFS('Bilateral assistance, MAIN DATA'!S:S,'Bilateral assistance, MAIN DATA'!B:B,'Country summary'!B32,'Bilateral assistance, MAIN DATA'!AG:AG,1,'Bilateral assistance, MAIN DATA'!AH:AH,'Country summary'!$AA$4)/1000000000</f>
        <v>7.4738415545590429E-3</v>
      </c>
      <c r="AB32" s="109">
        <f>SUMIFS('Bilateral assistance, MAIN DATA'!S:S,'Bilateral assistance, MAIN DATA'!B:B,'Country summary'!B32,'Bilateral assistance, MAIN DATA'!AG:AG,1,'Bilateral assistance, MAIN DATA'!AH:AH,'Country summary'!$AB$4)/1000000000</f>
        <v>0</v>
      </c>
      <c r="AC32" s="453">
        <f>SUMIFS('Bilateral assistance, MAIN DATA'!S:S,'Bilateral assistance, MAIN DATA'!B:B,'Country summary'!B32,'Bilateral assistance, MAIN DATA'!AG:AG,1,'Bilateral assistance, MAIN DATA'!AH:AH,'Country summary'!$AC$4)/1000000000</f>
        <v>0</v>
      </c>
      <c r="AD32" s="109">
        <f>SUMIFS('Bilateral assistance, MAIN DATA'!S:S,'Bilateral assistance, MAIN DATA'!B:B,'Country summary'!B32,'Bilateral assistance, MAIN DATA'!AG:AG,1,'Bilateral assistance, MAIN DATA'!AH:AH,'Country summary'!$AD$4)/1000000000</f>
        <v>2.3467862481315396E-3</v>
      </c>
      <c r="AE32" s="109">
        <f>SUMIFS('Bilateral assistance, MAIN DATA'!S:S,'Bilateral assistance, MAIN DATA'!B:B,'Country summary'!B32,'Bilateral assistance, MAIN DATA'!AG:AG,1,'Bilateral assistance, MAIN DATA'!AH:AH,'Country summary'!$AE$4)/1000000000</f>
        <v>0</v>
      </c>
      <c r="AF32" s="109">
        <f t="shared" si="7"/>
        <v>3.0005914580403035</v>
      </c>
      <c r="AG32" s="104">
        <f>SUMIFS('Bilateral assistance, MAIN DATA'!S:S,'Bilateral assistance, MAIN DATA'!B:B,'Country summary'!B32,'Bilateral assistance, MAIN DATA'!AG:AG,0)/1000000000</f>
        <v>0</v>
      </c>
    </row>
    <row r="33" spans="2:33">
      <c r="B33" s="104" t="s">
        <v>1957</v>
      </c>
      <c r="C33" s="330">
        <v>1</v>
      </c>
      <c r="D33" s="179">
        <f>SUMIFS('Bilateral assistance, MAIN DATA'!S:S,'Bilateral assistance, MAIN DATA'!D:D,"Financial",'Bilateral assistance, MAIN DATA'!B:B,'Country summary'!B33)/1000000000</f>
        <v>0.25</v>
      </c>
      <c r="E33" s="179">
        <f>SUMIFS('Bilateral assistance, MAIN DATA'!S:S,'Bilateral assistance, MAIN DATA'!D:D,"Humanitarian",'Bilateral assistance, MAIN DATA'!B:B,'Country summary'!B33)/1000000000</f>
        <v>1.1999999999999999E-3</v>
      </c>
      <c r="F33" s="455">
        <f>SUMIFS('Bilateral assistance, MAIN DATA'!S:S,'Bilateral assistance, MAIN DATA'!D:D,"Military",'Bilateral assistance, MAIN DATA'!B:B,'Country summary'!B33)/1000000000</f>
        <v>8.3582285780958554E-2</v>
      </c>
      <c r="G33" s="327">
        <f t="shared" si="3"/>
        <v>0.33478228578095853</v>
      </c>
      <c r="H33" s="108">
        <f>228539000000/1000000000</f>
        <v>228.53899999999999</v>
      </c>
      <c r="I33" s="102">
        <f>H33/VLOOKUP("USD",'Exchange rates'!B:C,2,0)</f>
        <v>227.74190333831586</v>
      </c>
      <c r="J33" s="338">
        <f t="shared" si="5"/>
        <v>0.14700074113441991</v>
      </c>
      <c r="K33" s="104">
        <f>VLOOKUP(B33,'EU aid shares'!B:E,4,0)</f>
        <v>0.43265433692350924</v>
      </c>
      <c r="L33" s="180">
        <f>VLOOKUP(B33,'EPF aid shares'!B:G,6,0)</f>
        <v>4.5402125101813344E-2</v>
      </c>
      <c r="M33" s="336">
        <f>VLOOKUP(B33,'EIB aid shares'!B:E,4,0)</f>
        <v>1.8221655482288625E-2</v>
      </c>
      <c r="N33" s="180">
        <f t="shared" si="0"/>
        <v>0.49627811750761119</v>
      </c>
      <c r="O33" s="375">
        <f t="shared" si="1"/>
        <v>0.21791251861559205</v>
      </c>
      <c r="P33" s="339">
        <f t="shared" si="2"/>
        <v>0.83106040328856978</v>
      </c>
      <c r="Q33" s="341">
        <f t="shared" si="4"/>
        <v>0.36491325975001199</v>
      </c>
      <c r="R33" s="180">
        <f>VLOOKUP(B33,'Military aid by type'!B:F,5,0)</f>
        <v>8.3582285780958554E-2</v>
      </c>
      <c r="S33" s="179">
        <f>VLOOKUP(B33,'Military aid by type'!B:G,6,0)</f>
        <v>0</v>
      </c>
      <c r="T33" s="455">
        <f>SUMIFS('Bilateral assistance, MAIN DATA'!S:S,'Bilateral assistance, MAIN DATA'!B:B,'Country summary'!B33,'Bilateral assistance, MAIN DATA'!AG:AG,1,'Bilateral assistance, MAIN DATA'!AH:AH,'Country summary'!$T$4)/1000000000</f>
        <v>0</v>
      </c>
      <c r="U33" s="455">
        <f>SUMIFS('Bilateral assistance, MAIN DATA'!S:S,'Bilateral assistance, MAIN DATA'!B:B,'Country summary'!B33,'Bilateral assistance, MAIN DATA'!AG:AG,1,'Bilateral assistance, MAIN DATA'!AH:AH,'Country summary'!$U$4)/1000000000</f>
        <v>0</v>
      </c>
      <c r="V33" s="455">
        <f>SUMIFS('Bilateral assistance, MAIN DATA'!S:S,'Bilateral assistance, MAIN DATA'!B:B,'Country summary'!B33,'Bilateral assistance, MAIN DATA'!AG:AG,1,'Bilateral assistance, MAIN DATA'!AH:AH,'Country summary'!$V$4)/1000000000</f>
        <v>1E-4</v>
      </c>
      <c r="W33" s="455">
        <f>SUMIFS('Bilateral assistance, MAIN DATA'!S:S,'Bilateral assistance, MAIN DATA'!B:B,'Country summary'!B33,'Bilateral assistance, MAIN DATA'!AG:AG,1,'Bilateral assistance, MAIN DATA'!AH:AH,'Country summary'!$W$4)/1000000000</f>
        <v>3.7391928251121073E-2</v>
      </c>
      <c r="X33" s="455">
        <f>SUMIFS('Bilateral assistance, MAIN DATA'!S:S,'Bilateral assistance, MAIN DATA'!B:B,'Country summary'!B33,'Bilateral assistance, MAIN DATA'!AG:AG,1,'Bilateral assistance, MAIN DATA'!AH:AH,'Country summary'!$X$4)/1000000000</f>
        <v>0.25989842927871643</v>
      </c>
      <c r="Y33" s="455">
        <f>SUMIFS('Bilateral assistance, MAIN DATA'!S:S,'Bilateral assistance, MAIN DATA'!B:B,'Country summary'!B33,'Bilateral assistance, MAIN DATA'!AG:AG,1,'Bilateral assistance, MAIN DATA'!AH:AH,'Country summary'!$Y$4)/1000000000</f>
        <v>0</v>
      </c>
      <c r="Z33" s="455">
        <f>SUMIFS('Bilateral assistance, MAIN DATA'!S:S,'Bilateral assistance, MAIN DATA'!B:B,'Country summary'!B33,'Bilateral assistance, MAIN DATA'!AG:AG,1,'Bilateral assistance, MAIN DATA'!AH:AH,'Country summary'!$Z$4)/1000000000</f>
        <v>0</v>
      </c>
      <c r="AA33" s="455">
        <f>SUMIFS('Bilateral assistance, MAIN DATA'!S:S,'Bilateral assistance, MAIN DATA'!B:B,'Country summary'!B33,'Bilateral assistance, MAIN DATA'!AG:AG,1,'Bilateral assistance, MAIN DATA'!AH:AH,'Country summary'!$AA$4)/1000000000</f>
        <v>0</v>
      </c>
      <c r="AB33" s="109">
        <f>SUMIFS('Bilateral assistance, MAIN DATA'!S:S,'Bilateral assistance, MAIN DATA'!B:B,'Country summary'!B33,'Bilateral assistance, MAIN DATA'!AG:AG,1,'Bilateral assistance, MAIN DATA'!AH:AH,'Country summary'!$AB$4)/1000000000</f>
        <v>0</v>
      </c>
      <c r="AC33" s="453">
        <f>SUMIFS('Bilateral assistance, MAIN DATA'!S:S,'Bilateral assistance, MAIN DATA'!B:B,'Country summary'!B33,'Bilateral assistance, MAIN DATA'!AG:AG,1,'Bilateral assistance, MAIN DATA'!AH:AH,'Country summary'!$AC$4)/1000000000</f>
        <v>3.7391928251121073E-2</v>
      </c>
      <c r="AD33" s="109">
        <f>SUMIFS('Bilateral assistance, MAIN DATA'!S:S,'Bilateral assistance, MAIN DATA'!B:B,'Country summary'!B33,'Bilateral assistance, MAIN DATA'!AG:AG,1,'Bilateral assistance, MAIN DATA'!AH:AH,'Country summary'!$AD$4)/1000000000</f>
        <v>0</v>
      </c>
      <c r="AE33" s="109">
        <f>SUMIFS('Bilateral assistance, MAIN DATA'!S:S,'Bilateral assistance, MAIN DATA'!B:B,'Country summary'!B33,'Bilateral assistance, MAIN DATA'!AG:AG,1,'Bilateral assistance, MAIN DATA'!AH:AH,'Country summary'!$AE$4)/1000000000</f>
        <v>0</v>
      </c>
      <c r="AF33" s="109">
        <f t="shared" si="7"/>
        <v>0.33478228578095859</v>
      </c>
      <c r="AG33" s="104">
        <f>SUMIFS('Bilateral assistance, MAIN DATA'!S:S,'Bilateral assistance, MAIN DATA'!B:B,'Country summary'!B33,'Bilateral assistance, MAIN DATA'!AG:AG,0)/1000000000</f>
        <v>0</v>
      </c>
    </row>
    <row r="34" spans="2:33">
      <c r="B34" s="2" t="s">
        <v>2002</v>
      </c>
      <c r="C34" s="330">
        <v>0</v>
      </c>
      <c r="D34" s="179">
        <f>SUMIFS('Bilateral assistance, MAIN DATA'!S:S,'Bilateral assistance, MAIN DATA'!D:D,"Financial",'Bilateral assistance, MAIN DATA'!B:B,'Country summary'!B34)/1000000000</f>
        <v>0</v>
      </c>
      <c r="E34" s="179">
        <f>SUMIFS('Bilateral assistance, MAIN DATA'!S:S,'Bilateral assistance, MAIN DATA'!D:D,"Humanitarian",'Bilateral assistance, MAIN DATA'!B:B,'Country summary'!B34)/1000000000</f>
        <v>9.088191330343795E-2</v>
      </c>
      <c r="F34" s="455">
        <f>SUMIFS('Bilateral assistance, MAIN DATA'!S:S,'Bilateral assistance, MAIN DATA'!D:D,"Military",'Bilateral assistance, MAIN DATA'!B:B,'Country summary'!B34)/1000000000</f>
        <v>3.5675137020428497E-3</v>
      </c>
      <c r="G34" s="327">
        <f t="shared" si="3"/>
        <v>9.4449427005480799E-2</v>
      </c>
      <c r="H34" s="101">
        <f>1637895802792.9/1000000000</f>
        <v>1637.8958027929</v>
      </c>
      <c r="I34" s="102">
        <f>H34/VLOOKUP("USD",'Exchange rates'!B:C,2,0)</f>
        <v>1632.1831617268558</v>
      </c>
      <c r="J34" s="338">
        <f t="shared" si="5"/>
        <v>5.7866928920865075E-3</v>
      </c>
      <c r="K34" s="104">
        <f>VLOOKUP(B34,'EU aid shares'!B:E,4,0)</f>
        <v>0</v>
      </c>
      <c r="L34" s="180">
        <f>VLOOKUP(B34,'EPF aid shares'!B:G,6,0)</f>
        <v>0</v>
      </c>
      <c r="M34" s="336">
        <f>VLOOKUP(B34,'EIB aid shares'!B:E,4,0)</f>
        <v>0</v>
      </c>
      <c r="N34" s="180">
        <f t="shared" si="0"/>
        <v>0</v>
      </c>
      <c r="O34" s="375">
        <f t="shared" si="1"/>
        <v>0</v>
      </c>
      <c r="P34" s="339">
        <f t="shared" si="2"/>
        <v>9.4449427005480799E-2</v>
      </c>
      <c r="Q34" s="341">
        <f t="shared" si="4"/>
        <v>5.7866928920865075E-3</v>
      </c>
      <c r="R34" s="180">
        <f>VLOOKUP(B34,'Military aid by type'!B:F,5,0)</f>
        <v>3.5675137020428497E-3</v>
      </c>
      <c r="S34" s="179">
        <f>VLOOKUP(B34,'Military aid by type'!B:G,6,0)</f>
        <v>0</v>
      </c>
      <c r="T34" s="455">
        <f>SUMIFS('Bilateral assistance, MAIN DATA'!S:S,'Bilateral assistance, MAIN DATA'!B:B,'Country summary'!B34,'Bilateral assistance, MAIN DATA'!AG:AG,1,'Bilateral assistance, MAIN DATA'!AH:AH,'Country summary'!$T$4)/1000000000</f>
        <v>0</v>
      </c>
      <c r="U34" s="455">
        <f>SUMIFS('Bilateral assistance, MAIN DATA'!S:S,'Bilateral assistance, MAIN DATA'!B:B,'Country summary'!B34,'Bilateral assistance, MAIN DATA'!AG:AG,1,'Bilateral assistance, MAIN DATA'!AH:AH,'Country summary'!$U$4)/1000000000</f>
        <v>9.9651220727453894E-3</v>
      </c>
      <c r="V34" s="455">
        <f>SUMIFS('Bilateral assistance, MAIN DATA'!S:S,'Bilateral assistance, MAIN DATA'!B:B,'Country summary'!B34,'Bilateral assistance, MAIN DATA'!AG:AG,1,'Bilateral assistance, MAIN DATA'!AH:AH,'Country summary'!$V$4)/1000000000</f>
        <v>7.9720976581963124E-4</v>
      </c>
      <c r="W34" s="455">
        <f>SUMIFS('Bilateral assistance, MAIN DATA'!S:S,'Bilateral assistance, MAIN DATA'!B:B,'Country summary'!B34,'Bilateral assistance, MAIN DATA'!AG:AG,1,'Bilateral assistance, MAIN DATA'!AH:AH,'Country summary'!$W$4)/1000000000</f>
        <v>3.1489785749875432E-2</v>
      </c>
      <c r="X34" s="455">
        <f>SUMIFS('Bilateral assistance, MAIN DATA'!S:S,'Bilateral assistance, MAIN DATA'!B:B,'Country summary'!B34,'Bilateral assistance, MAIN DATA'!AG:AG,1,'Bilateral assistance, MAIN DATA'!AH:AH,'Country summary'!$X$4)/1000000000</f>
        <v>1.1758844045839561E-3</v>
      </c>
      <c r="Y34" s="455">
        <f>SUMIFS('Bilateral assistance, MAIN DATA'!S:S,'Bilateral assistance, MAIN DATA'!B:B,'Country summary'!B34,'Bilateral assistance, MAIN DATA'!AG:AG,1,'Bilateral assistance, MAIN DATA'!AH:AH,'Country summary'!$Y$4)/1000000000</f>
        <v>5.1021425012456392E-2</v>
      </c>
      <c r="Z34" s="455">
        <f>SUMIFS('Bilateral assistance, MAIN DATA'!S:S,'Bilateral assistance, MAIN DATA'!B:B,'Country summary'!B34,'Bilateral assistance, MAIN DATA'!AG:AG,1,'Bilateral assistance, MAIN DATA'!AH:AH,'Country summary'!$Z$4)/1000000000</f>
        <v>0</v>
      </c>
      <c r="AA34" s="455">
        <f>SUMIFS('Bilateral assistance, MAIN DATA'!S:S,'Bilateral assistance, MAIN DATA'!B:B,'Country summary'!B34,'Bilateral assistance, MAIN DATA'!AG:AG,1,'Bilateral assistance, MAIN DATA'!AH:AH,'Country summary'!$AA$4)/1000000000</f>
        <v>0</v>
      </c>
      <c r="AB34" s="109">
        <f>SUMIFS('Bilateral assistance, MAIN DATA'!S:S,'Bilateral assistance, MAIN DATA'!B:B,'Country summary'!B34,'Bilateral assistance, MAIN DATA'!AG:AG,1,'Bilateral assistance, MAIN DATA'!AH:AH,'Country summary'!$AB$4)/1000000000</f>
        <v>0</v>
      </c>
      <c r="AC34" s="453">
        <f>SUMIFS('Bilateral assistance, MAIN DATA'!S:S,'Bilateral assistance, MAIN DATA'!B:B,'Country summary'!B34,'Bilateral assistance, MAIN DATA'!AG:AG,1,'Bilateral assistance, MAIN DATA'!AH:AH,'Country summary'!$AC$4)/1000000000</f>
        <v>0</v>
      </c>
      <c r="AD34" s="109">
        <f>SUMIFS('Bilateral assistance, MAIN DATA'!S:S,'Bilateral assistance, MAIN DATA'!B:B,'Country summary'!B34,'Bilateral assistance, MAIN DATA'!AG:AG,1,'Bilateral assistance, MAIN DATA'!AH:AH,'Country summary'!$AD$4)/1000000000</f>
        <v>0</v>
      </c>
      <c r="AE34" s="109">
        <f>SUMIFS('Bilateral assistance, MAIN DATA'!S:S,'Bilateral assistance, MAIN DATA'!B:B,'Country summary'!B34,'Bilateral assistance, MAIN DATA'!AG:AG,1,'Bilateral assistance, MAIN DATA'!AH:AH,'Country summary'!$AE$4)/1000000000</f>
        <v>0</v>
      </c>
      <c r="AF34" s="109">
        <f t="shared" si="7"/>
        <v>9.4449427005480813E-2</v>
      </c>
      <c r="AG34" s="104">
        <f>SUMIFS('Bilateral assistance, MAIN DATA'!S:S,'Bilateral assistance, MAIN DATA'!B:B,'Country summary'!B34,'Bilateral assistance, MAIN DATA'!AG:AG,0)/1000000000</f>
        <v>0</v>
      </c>
    </row>
    <row r="35" spans="2:33">
      <c r="B35" s="104" t="s">
        <v>2034</v>
      </c>
      <c r="C35" s="330">
        <v>1</v>
      </c>
      <c r="D35" s="179">
        <f>SUMIFS('Bilateral assistance, MAIN DATA'!S:S,'Bilateral assistance, MAIN DATA'!D:D,"Financial",'Bilateral assistance, MAIN DATA'!B:B,'Country summary'!B35)/1000000000</f>
        <v>0</v>
      </c>
      <c r="E35" s="179">
        <f>SUMIFS('Bilateral assistance, MAIN DATA'!S:S,'Bilateral assistance, MAIN DATA'!D:D,"Humanitarian",'Bilateral assistance, MAIN DATA'!B:B,'Country summary'!B35)/1000000000</f>
        <v>7.8450784746080197E-3</v>
      </c>
      <c r="F35" s="455">
        <f>SUMIFS('Bilateral assistance, MAIN DATA'!S:S,'Bilateral assistance, MAIN DATA'!D:D,"Military",'Bilateral assistance, MAIN DATA'!B:B,'Country summary'!B35)/1000000000</f>
        <v>3.0000000000000001E-3</v>
      </c>
      <c r="G35" s="327">
        <f t="shared" si="3"/>
        <v>1.0845078474608021E-2</v>
      </c>
      <c r="H35" s="102">
        <f>248715550000/1000000000</f>
        <v>248.71555000000001</v>
      </c>
      <c r="I35" s="102">
        <f>H35/VLOOKUP("USD",'Exchange rates'!B:C,2,0)</f>
        <v>247.84808171400098</v>
      </c>
      <c r="J35" s="338">
        <f t="shared" si="5"/>
        <v>4.3756959503614265E-3</v>
      </c>
      <c r="K35" s="104">
        <f>VLOOKUP(B35,'EU aid shares'!B:E,4,0)</f>
        <v>0.49554001743479648</v>
      </c>
      <c r="L35" s="180">
        <f>VLOOKUP(B35,'EPF aid shares'!B:G,6,0)</f>
        <v>4.9071191009623816E-2</v>
      </c>
      <c r="M35" s="336">
        <f>VLOOKUP(B35,'EIB aid shares'!B:E,4,0)</f>
        <v>1.3194994215684461E-2</v>
      </c>
      <c r="N35" s="180">
        <f t="shared" si="0"/>
        <v>0.55780620266010483</v>
      </c>
      <c r="O35" s="375">
        <f t="shared" si="1"/>
        <v>0.22505972158532719</v>
      </c>
      <c r="P35" s="339">
        <f t="shared" si="2"/>
        <v>0.56865128113471286</v>
      </c>
      <c r="Q35" s="341">
        <f t="shared" si="4"/>
        <v>0.22943541753568863</v>
      </c>
      <c r="R35" s="180">
        <f>VLOOKUP(B35,'Military aid by type'!B:F,5,0)</f>
        <v>3.0000000000000001E-3</v>
      </c>
      <c r="S35" s="179">
        <f>VLOOKUP(B35,'Military aid by type'!B:G,6,0)</f>
        <v>0</v>
      </c>
      <c r="T35" s="455">
        <f>SUMIFS('Bilateral assistance, MAIN DATA'!S:S,'Bilateral assistance, MAIN DATA'!B:B,'Country summary'!B35,'Bilateral assistance, MAIN DATA'!AG:AG,1,'Bilateral assistance, MAIN DATA'!AH:AH,'Country summary'!$T$4)/1000000000</f>
        <v>0</v>
      </c>
      <c r="U35" s="455">
        <f>SUMIFS('Bilateral assistance, MAIN DATA'!S:S,'Bilateral assistance, MAIN DATA'!B:B,'Country summary'!B35,'Bilateral assistance, MAIN DATA'!AG:AG,1,'Bilateral assistance, MAIN DATA'!AH:AH,'Country summary'!$U$4)/1000000000</f>
        <v>3.1457240059790731E-3</v>
      </c>
      <c r="V35" s="455">
        <f>SUMIFS('Bilateral assistance, MAIN DATA'!S:S,'Bilateral assistance, MAIN DATA'!B:B,'Country summary'!B35,'Bilateral assistance, MAIN DATA'!AG:AG,1,'Bilateral assistance, MAIN DATA'!AH:AH,'Country summary'!$V$4)/1000000000</f>
        <v>1.0190355847226184E-3</v>
      </c>
      <c r="W35" s="455">
        <f>SUMIFS('Bilateral assistance, MAIN DATA'!S:S,'Bilateral assistance, MAIN DATA'!B:B,'Country summary'!B35,'Bilateral assistance, MAIN DATA'!AG:AG,1,'Bilateral assistance, MAIN DATA'!AH:AH,'Country summary'!$W$4)/1000000000</f>
        <v>3.4803188839063275E-3</v>
      </c>
      <c r="X35" s="455">
        <f>SUMIFS('Bilateral assistance, MAIN DATA'!S:S,'Bilateral assistance, MAIN DATA'!B:B,'Country summary'!B35,'Bilateral assistance, MAIN DATA'!AG:AG,1,'Bilateral assistance, MAIN DATA'!AH:AH,'Country summary'!$X$4)/1000000000</f>
        <v>3.2000000000000002E-3</v>
      </c>
      <c r="Y35" s="455">
        <f>SUMIFS('Bilateral assistance, MAIN DATA'!S:S,'Bilateral assistance, MAIN DATA'!B:B,'Country summary'!B35,'Bilateral assistance, MAIN DATA'!AG:AG,1,'Bilateral assistance, MAIN DATA'!AH:AH,'Country summary'!$Y$4)/1000000000</f>
        <v>0</v>
      </c>
      <c r="Z35" s="455">
        <f>SUMIFS('Bilateral assistance, MAIN DATA'!S:S,'Bilateral assistance, MAIN DATA'!B:B,'Country summary'!B35,'Bilateral assistance, MAIN DATA'!AG:AG,1,'Bilateral assistance, MAIN DATA'!AH:AH,'Country summary'!$Z$4)/1000000000</f>
        <v>0</v>
      </c>
      <c r="AA35" s="455">
        <f>SUMIFS('Bilateral assistance, MAIN DATA'!S:S,'Bilateral assistance, MAIN DATA'!B:B,'Country summary'!B35,'Bilateral assistance, MAIN DATA'!AG:AG,1,'Bilateral assistance, MAIN DATA'!AH:AH,'Country summary'!$AA$4)/1000000000</f>
        <v>0</v>
      </c>
      <c r="AB35" s="109">
        <f>SUMIFS('Bilateral assistance, MAIN DATA'!S:S,'Bilateral assistance, MAIN DATA'!B:B,'Country summary'!B35,'Bilateral assistance, MAIN DATA'!AG:AG,1,'Bilateral assistance, MAIN DATA'!AH:AH,'Country summary'!$AB$4)/1000000000</f>
        <v>0</v>
      </c>
      <c r="AC35" s="453">
        <f>SUMIFS('Bilateral assistance, MAIN DATA'!S:S,'Bilateral assistance, MAIN DATA'!B:B,'Country summary'!B35,'Bilateral assistance, MAIN DATA'!AG:AG,1,'Bilateral assistance, MAIN DATA'!AH:AH,'Country summary'!$AC$4)/1000000000</f>
        <v>0</v>
      </c>
      <c r="AD35" s="109">
        <f>SUMIFS('Bilateral assistance, MAIN DATA'!S:S,'Bilateral assistance, MAIN DATA'!B:B,'Country summary'!B35,'Bilateral assistance, MAIN DATA'!AG:AG,1,'Bilateral assistance, MAIN DATA'!AH:AH,'Country summary'!$AD$4)/1000000000</f>
        <v>0</v>
      </c>
      <c r="AE35" s="109">
        <f>SUMIFS('Bilateral assistance, MAIN DATA'!S:S,'Bilateral assistance, MAIN DATA'!B:B,'Country summary'!B35,'Bilateral assistance, MAIN DATA'!AG:AG,1,'Bilateral assistance, MAIN DATA'!AH:AH,'Country summary'!$AE$4)/1000000000</f>
        <v>0</v>
      </c>
      <c r="AF35" s="109">
        <f t="shared" si="7"/>
        <v>1.0845078474608019E-2</v>
      </c>
      <c r="AG35" s="104">
        <f>SUMIFS('Bilateral assistance, MAIN DATA'!S:S,'Bilateral assistance, MAIN DATA'!B:B,'Country summary'!B35,'Bilateral assistance, MAIN DATA'!AG:AG,0)/1000000000</f>
        <v>0</v>
      </c>
    </row>
    <row r="36" spans="2:33">
      <c r="B36" s="104" t="s">
        <v>2063</v>
      </c>
      <c r="C36" s="330">
        <v>1</v>
      </c>
      <c r="D36" s="179">
        <f>SUMIFS('Bilateral assistance, MAIN DATA'!S:S,'Bilateral assistance, MAIN DATA'!D:D,"Financial",'Bilateral assistance, MAIN DATA'!B:B,'Country summary'!B36)/1000000000</f>
        <v>0</v>
      </c>
      <c r="E36" s="179">
        <f>SUMIFS('Bilateral assistance, MAIN DATA'!S:S,'Bilateral assistance, MAIN DATA'!D:D,"Humanitarian",'Bilateral assistance, MAIN DATA'!B:B,'Country summary'!B36)/1000000000</f>
        <v>5.0000000000000001E-3</v>
      </c>
      <c r="F36" s="455">
        <f>SUMIFS('Bilateral assistance, MAIN DATA'!S:S,'Bilateral assistance, MAIN DATA'!D:D,"Military",'Bilateral assistance, MAIN DATA'!B:B,'Country summary'!B36)/1000000000</f>
        <v>0.21017157538614847</v>
      </c>
      <c r="G36" s="327">
        <f t="shared" si="3"/>
        <v>0.21517157538614848</v>
      </c>
      <c r="H36" s="102">
        <f>105172560000/1000000000</f>
        <v>105.17256</v>
      </c>
      <c r="I36" s="102">
        <f>H36/VLOOKUP("USD",'Exchange rates'!B:C,2,0)</f>
        <v>104.8057399103139</v>
      </c>
      <c r="J36" s="338">
        <f t="shared" si="5"/>
        <v>0.20530514413645537</v>
      </c>
      <c r="K36" s="104">
        <f>VLOOKUP(B36,'EU aid shares'!B:E,4,0)</f>
        <v>0.27755627513224479</v>
      </c>
      <c r="L36" s="180">
        <f>VLOOKUP(B36,'EPF aid shares'!B:G,6,0)</f>
        <v>2.088273451279668E-2</v>
      </c>
      <c r="M36" s="336">
        <f>VLOOKUP(B36,'EIB aid shares'!B:E,4,0)</f>
        <v>6.0465311555603042E-3</v>
      </c>
      <c r="N36" s="180">
        <f t="shared" si="0"/>
        <v>0.30448554080060175</v>
      </c>
      <c r="O36" s="375">
        <f t="shared" si="1"/>
        <v>0.29052372614435157</v>
      </c>
      <c r="P36" s="339">
        <f t="shared" si="2"/>
        <v>0.51965711618675026</v>
      </c>
      <c r="Q36" s="341">
        <f t="shared" si="4"/>
        <v>0.49582887028080697</v>
      </c>
      <c r="R36" s="180">
        <f>VLOOKUP(B36,'Military aid by type'!B:F,5,0)</f>
        <v>0.21017157538614847</v>
      </c>
      <c r="S36" s="179">
        <f>VLOOKUP(B36,'Military aid by type'!B:G,6,0)</f>
        <v>0</v>
      </c>
      <c r="T36" s="455">
        <f>SUMIFS('Bilateral assistance, MAIN DATA'!S:S,'Bilateral assistance, MAIN DATA'!B:B,'Country summary'!B36,'Bilateral assistance, MAIN DATA'!AG:AG,1,'Bilateral assistance, MAIN DATA'!AH:AH,'Country summary'!$T$4)/1000000000</f>
        <v>0</v>
      </c>
      <c r="U36" s="455">
        <f>SUMIFS('Bilateral assistance, MAIN DATA'!S:S,'Bilateral assistance, MAIN DATA'!B:B,'Country summary'!B36,'Bilateral assistance, MAIN DATA'!AG:AG,1,'Bilateral assistance, MAIN DATA'!AH:AH,'Country summary'!$U$4)/1000000000</f>
        <v>1.72E-2</v>
      </c>
      <c r="V36" s="455">
        <f>SUMIFS('Bilateral assistance, MAIN DATA'!S:S,'Bilateral assistance, MAIN DATA'!B:B,'Country summary'!B36,'Bilateral assistance, MAIN DATA'!AG:AG,1,'Bilateral assistance, MAIN DATA'!AH:AH,'Country summary'!$V$4)/1000000000</f>
        <v>3.2199999999999999E-2</v>
      </c>
      <c r="W36" s="455">
        <f>SUMIFS('Bilateral assistance, MAIN DATA'!S:S,'Bilateral assistance, MAIN DATA'!B:B,'Country summary'!B36,'Bilateral assistance, MAIN DATA'!AG:AG,1,'Bilateral assistance, MAIN DATA'!AH:AH,'Country summary'!$W$4)/1000000000</f>
        <v>7.2999999999999995E-2</v>
      </c>
      <c r="X36" s="455">
        <f>SUMIFS('Bilateral assistance, MAIN DATA'!S:S,'Bilateral assistance, MAIN DATA'!B:B,'Country summary'!B36,'Bilateral assistance, MAIN DATA'!AG:AG,1,'Bilateral assistance, MAIN DATA'!AH:AH,'Country summary'!$X$4)/1000000000</f>
        <v>0</v>
      </c>
      <c r="Y36" s="455">
        <f>SUMIFS('Bilateral assistance, MAIN DATA'!S:S,'Bilateral assistance, MAIN DATA'!B:B,'Country summary'!B36,'Bilateral assistance, MAIN DATA'!AG:AG,1,'Bilateral assistance, MAIN DATA'!AH:AH,'Country summary'!$Y$4)/1000000000</f>
        <v>7.5984055804683592E-2</v>
      </c>
      <c r="Z36" s="455">
        <f>SUMIFS('Bilateral assistance, MAIN DATA'!S:S,'Bilateral assistance, MAIN DATA'!B:B,'Country summary'!B36,'Bilateral assistance, MAIN DATA'!AG:AG,1,'Bilateral assistance, MAIN DATA'!AH:AH,'Country summary'!$Z$4)/1000000000</f>
        <v>0</v>
      </c>
      <c r="AA36" s="455">
        <f>SUMIFS('Bilateral assistance, MAIN DATA'!S:S,'Bilateral assistance, MAIN DATA'!B:B,'Country summary'!B36,'Bilateral assistance, MAIN DATA'!AG:AG,1,'Bilateral assistance, MAIN DATA'!AH:AH,'Country summary'!$AA$4)/1000000000</f>
        <v>1.6787519581464877E-2</v>
      </c>
      <c r="AB36" s="109">
        <f>SUMIFS('Bilateral assistance, MAIN DATA'!S:S,'Bilateral assistance, MAIN DATA'!B:B,'Country summary'!B36,'Bilateral assistance, MAIN DATA'!AG:AG,1,'Bilateral assistance, MAIN DATA'!AH:AH,'Country summary'!$AB$4)/1000000000</f>
        <v>0</v>
      </c>
      <c r="AC36" s="453">
        <f>SUMIFS('Bilateral assistance, MAIN DATA'!S:S,'Bilateral assistance, MAIN DATA'!B:B,'Country summary'!B36,'Bilateral assistance, MAIN DATA'!AG:AG,1,'Bilateral assistance, MAIN DATA'!AH:AH,'Country summary'!$AC$4)/1000000000</f>
        <v>0</v>
      </c>
      <c r="AD36" s="109">
        <f>SUMIFS('Bilateral assistance, MAIN DATA'!S:S,'Bilateral assistance, MAIN DATA'!B:B,'Country summary'!B36,'Bilateral assistance, MAIN DATA'!AG:AG,1,'Bilateral assistance, MAIN DATA'!AH:AH,'Country summary'!$AD$4)/1000000000</f>
        <v>0</v>
      </c>
      <c r="AE36" s="109">
        <f>SUMIFS('Bilateral assistance, MAIN DATA'!S:S,'Bilateral assistance, MAIN DATA'!B:B,'Country summary'!B36,'Bilateral assistance, MAIN DATA'!AG:AG,1,'Bilateral assistance, MAIN DATA'!AH:AH,'Country summary'!$AE$4)/1000000000</f>
        <v>0</v>
      </c>
      <c r="AF36" s="109">
        <f t="shared" si="7"/>
        <v>0.21517157538614848</v>
      </c>
      <c r="AG36" s="104">
        <f>SUMIFS('Bilateral assistance, MAIN DATA'!S:S,'Bilateral assistance, MAIN DATA'!B:B,'Country summary'!B36,'Bilateral assistance, MAIN DATA'!AG:AG,0)/1000000000</f>
        <v>0</v>
      </c>
    </row>
    <row r="37" spans="2:33">
      <c r="B37" s="104" t="s">
        <v>2106</v>
      </c>
      <c r="C37" s="330">
        <v>1</v>
      </c>
      <c r="D37" s="179">
        <f>SUMIFS('Bilateral assistance, MAIN DATA'!S:S,'Bilateral assistance, MAIN DATA'!D:D,"Financial",'Bilateral assistance, MAIN DATA'!B:B,'Country summary'!B37)/1000000000</f>
        <v>0</v>
      </c>
      <c r="E37" s="179">
        <f>SUMIFS('Bilateral assistance, MAIN DATA'!S:S,'Bilateral assistance, MAIN DATA'!D:D,"Humanitarian",'Bilateral assistance, MAIN DATA'!B:B,'Country summary'!B37)/1000000000</f>
        <v>2.0830000000000002E-3</v>
      </c>
      <c r="F37" s="455">
        <f>SUMIFS('Bilateral assistance, MAIN DATA'!S:S,'Bilateral assistance, MAIN DATA'!D:D,"Military",'Bilateral assistance, MAIN DATA'!B:B,'Country summary'!B37)/1000000000</f>
        <v>5.8821012667663181E-2</v>
      </c>
      <c r="G37" s="327">
        <f t="shared" si="3"/>
        <v>6.0904012667663182E-2</v>
      </c>
      <c r="H37" s="108">
        <f>53589609581/1000000000</f>
        <v>53.589609580999998</v>
      </c>
      <c r="I37" s="102">
        <f>H37/VLOOKUP("USD",'Exchange rates'!B:C,2,0)</f>
        <v>53.402700130543096</v>
      </c>
      <c r="J37" s="338">
        <f t="shared" si="5"/>
        <v>0.11404669149459316</v>
      </c>
      <c r="K37" s="104">
        <f>VLOOKUP(B37,'EU aid shares'!B:E,4,0)</f>
        <v>0.1075597363469739</v>
      </c>
      <c r="L37" s="180">
        <f>VLOOKUP(B37,'EPF aid shares'!B:G,6,0)</f>
        <v>1.0770203626181054E-2</v>
      </c>
      <c r="M37" s="336">
        <f>VLOOKUP(B37,'EIB aid shares'!B:E,4,0)</f>
        <v>5.6136594823116203E-3</v>
      </c>
      <c r="N37" s="180">
        <f t="shared" si="0"/>
        <v>0.12394359945546657</v>
      </c>
      <c r="O37" s="375">
        <f t="shared" si="1"/>
        <v>0.23209238325494025</v>
      </c>
      <c r="P37" s="339">
        <f t="shared" si="2"/>
        <v>0.18484761212312975</v>
      </c>
      <c r="Q37" s="341">
        <f t="shared" si="4"/>
        <v>0.34613907474953343</v>
      </c>
      <c r="R37" s="180">
        <f>VLOOKUP(B37,'Military aid by type'!B:F,5,0)</f>
        <v>5.8821012667663181E-2</v>
      </c>
      <c r="S37" s="179">
        <f>VLOOKUP(B37,'Military aid by type'!B:G,6,0)</f>
        <v>0</v>
      </c>
      <c r="T37" s="455">
        <f>SUMIFS('Bilateral assistance, MAIN DATA'!S:S,'Bilateral assistance, MAIN DATA'!B:B,'Country summary'!B37,'Bilateral assistance, MAIN DATA'!AG:AG,1,'Bilateral assistance, MAIN DATA'!AH:AH,'Country summary'!$T$4)/1000000000</f>
        <v>0</v>
      </c>
      <c r="U37" s="455">
        <f>SUMIFS('Bilateral assistance, MAIN DATA'!S:S,'Bilateral assistance, MAIN DATA'!B:B,'Country summary'!B37,'Bilateral assistance, MAIN DATA'!AG:AG,1,'Bilateral assistance, MAIN DATA'!AH:AH,'Country summary'!$U$4)/1000000000</f>
        <v>2.63E-4</v>
      </c>
      <c r="V37" s="455">
        <f>SUMIFS('Bilateral assistance, MAIN DATA'!S:S,'Bilateral assistance, MAIN DATA'!B:B,'Country summary'!B37,'Bilateral assistance, MAIN DATA'!AG:AG,1,'Bilateral assistance, MAIN DATA'!AH:AH,'Country summary'!$V$4)/1000000000</f>
        <v>0</v>
      </c>
      <c r="W37" s="455">
        <f>SUMIFS('Bilateral assistance, MAIN DATA'!S:S,'Bilateral assistance, MAIN DATA'!B:B,'Country summary'!B37,'Bilateral assistance, MAIN DATA'!AG:AG,1,'Bilateral assistance, MAIN DATA'!AH:AH,'Country summary'!$W$4)/1000000000</f>
        <v>1.82E-3</v>
      </c>
      <c r="X37" s="455">
        <f>SUMIFS('Bilateral assistance, MAIN DATA'!S:S,'Bilateral assistance, MAIN DATA'!B:B,'Country summary'!B37,'Bilateral assistance, MAIN DATA'!AG:AG,1,'Bilateral assistance, MAIN DATA'!AH:AH,'Country summary'!$X$4)/1000000000</f>
        <v>0</v>
      </c>
      <c r="Y37" s="455">
        <f>SUMIFS('Bilateral assistance, MAIN DATA'!S:S,'Bilateral assistance, MAIN DATA'!B:B,'Country summary'!B37,'Bilateral assistance, MAIN DATA'!AG:AG,1,'Bilateral assistance, MAIN DATA'!AH:AH,'Country summary'!$Y$4)/1000000000</f>
        <v>2.4729667216741406E-2</v>
      </c>
      <c r="Z37" s="455">
        <f>SUMIFS('Bilateral assistance, MAIN DATA'!S:S,'Bilateral assistance, MAIN DATA'!B:B,'Country summary'!B37,'Bilateral assistance, MAIN DATA'!AG:AG,1,'Bilateral assistance, MAIN DATA'!AH:AH,'Country summary'!$Z$4)/1000000000</f>
        <v>0</v>
      </c>
      <c r="AA37" s="455">
        <f>SUMIFS('Bilateral assistance, MAIN DATA'!S:S,'Bilateral assistance, MAIN DATA'!B:B,'Country summary'!B37,'Bilateral assistance, MAIN DATA'!AG:AG,1,'Bilateral assistance, MAIN DATA'!AH:AH,'Country summary'!$AA$4)/1000000000</f>
        <v>0</v>
      </c>
      <c r="AB37" s="109">
        <f>SUMIFS('Bilateral assistance, MAIN DATA'!S:S,'Bilateral assistance, MAIN DATA'!B:B,'Country summary'!B37,'Bilateral assistance, MAIN DATA'!AG:AG,1,'Bilateral assistance, MAIN DATA'!AH:AH,'Country summary'!$AB$4)/1000000000</f>
        <v>2.7115759999999999E-2</v>
      </c>
      <c r="AC37" s="453">
        <f>SUMIFS('Bilateral assistance, MAIN DATA'!S:S,'Bilateral assistance, MAIN DATA'!B:B,'Country summary'!B37,'Bilateral assistance, MAIN DATA'!AG:AG,1,'Bilateral assistance, MAIN DATA'!AH:AH,'Country summary'!$AC$4)/1000000000</f>
        <v>0</v>
      </c>
      <c r="AD37" s="109">
        <f>SUMIFS('Bilateral assistance, MAIN DATA'!S:S,'Bilateral assistance, MAIN DATA'!B:B,'Country summary'!B37,'Bilateral assistance, MAIN DATA'!AG:AG,1,'Bilateral assistance, MAIN DATA'!AH:AH,'Country summary'!$AD$4)/1000000000</f>
        <v>0</v>
      </c>
      <c r="AE37" s="109">
        <f>SUMIFS('Bilateral assistance, MAIN DATA'!S:S,'Bilateral assistance, MAIN DATA'!B:B,'Country summary'!B37,'Bilateral assistance, MAIN DATA'!AG:AG,1,'Bilateral assistance, MAIN DATA'!AH:AH,'Country summary'!$AE$4)/1000000000</f>
        <v>0</v>
      </c>
      <c r="AF37" s="109">
        <f t="shared" si="7"/>
        <v>5.3928427216741404E-2</v>
      </c>
      <c r="AG37" s="104">
        <f>SUMIFS('Bilateral assistance, MAIN DATA'!S:S,'Bilateral assistance, MAIN DATA'!B:B,'Country summary'!B37,'Bilateral assistance, MAIN DATA'!AG:AG,0)/1000000000</f>
        <v>6.9755854509217733E-3</v>
      </c>
    </row>
    <row r="38" spans="2:33">
      <c r="B38" s="104" t="s">
        <v>2162</v>
      </c>
      <c r="C38" s="330">
        <v>1</v>
      </c>
      <c r="D38" s="179">
        <f>SUMIFS('Bilateral assistance, MAIN DATA'!S:S,'Bilateral assistance, MAIN DATA'!D:D,"Financial",'Bilateral assistance, MAIN DATA'!B:B,'Country summary'!B38)/1000000000</f>
        <v>0.2</v>
      </c>
      <c r="E38" s="179">
        <f>SUMIFS('Bilateral assistance, MAIN DATA'!S:S,'Bilateral assistance, MAIN DATA'!D:D,"Humanitarian",'Bilateral assistance, MAIN DATA'!B:B,'Country summary'!B38)/1000000000</f>
        <v>0.10096943935924264</v>
      </c>
      <c r="F38" s="455">
        <f>SUMIFS('Bilateral assistance, MAIN DATA'!S:S,'Bilateral assistance, MAIN DATA'!D:D,"Military",'Bilateral assistance, MAIN DATA'!B:B,'Country summary'!B38)/1000000000</f>
        <v>8.1106233554433915E-2</v>
      </c>
      <c r="G38" s="327">
        <f t="shared" si="3"/>
        <v>0.38207567291367656</v>
      </c>
      <c r="H38" s="102">
        <f>1281484640000/1000000000</f>
        <v>1281.4846399999999</v>
      </c>
      <c r="I38" s="102">
        <f>H38/VLOOKUP("USD",'Exchange rates'!B:C,2,0)</f>
        <v>1277.0150871948179</v>
      </c>
      <c r="J38" s="338">
        <f t="shared" si="5"/>
        <v>2.9919432960887813E-2</v>
      </c>
      <c r="K38" s="104">
        <f>VLOOKUP(B38,'EU aid shares'!B:E,4,0)</f>
        <v>3.547761287743509</v>
      </c>
      <c r="L38" s="180">
        <f>VLOOKUP(B38,'EPF aid shares'!B:G,6,0)</f>
        <v>0.26199366354143822</v>
      </c>
      <c r="M38" s="336">
        <f>VLOOKUP(B38,'EIB aid shares'!B:E,4,0)</f>
        <v>0.22563472061413059</v>
      </c>
      <c r="N38" s="180">
        <f t="shared" si="0"/>
        <v>4.035389671899078</v>
      </c>
      <c r="O38" s="375">
        <f t="shared" si="1"/>
        <v>0.31600172248266084</v>
      </c>
      <c r="P38" s="339">
        <f t="shared" si="2"/>
        <v>4.4174653448127543</v>
      </c>
      <c r="Q38" s="341">
        <f t="shared" si="4"/>
        <v>0.34592115544354862</v>
      </c>
      <c r="R38" s="180">
        <f>VLOOKUP(B38,'Military aid by type'!B:F,5,0)</f>
        <v>8.1106233554433929E-2</v>
      </c>
      <c r="S38" s="179">
        <f>VLOOKUP(B38,'Military aid by type'!B:G,6,0)</f>
        <v>0</v>
      </c>
      <c r="T38" s="455">
        <f>SUMIFS('Bilateral assistance, MAIN DATA'!S:S,'Bilateral assistance, MAIN DATA'!B:B,'Country summary'!B38,'Bilateral assistance, MAIN DATA'!AG:AG,1,'Bilateral assistance, MAIN DATA'!AH:AH,'Country summary'!$T$4)/1000000000</f>
        <v>0</v>
      </c>
      <c r="U38" s="455">
        <f>SUMIFS('Bilateral assistance, MAIN DATA'!S:S,'Bilateral assistance, MAIN DATA'!B:B,'Country summary'!B38,'Bilateral assistance, MAIN DATA'!AG:AG,1,'Bilateral assistance, MAIN DATA'!AH:AH,'Country summary'!$U$4)/1000000000</f>
        <v>1.4999999999999999E-4</v>
      </c>
      <c r="V38" s="455">
        <f>SUMIFS('Bilateral assistance, MAIN DATA'!S:S,'Bilateral assistance, MAIN DATA'!B:B,'Country summary'!B38,'Bilateral assistance, MAIN DATA'!AG:AG,1,'Bilateral assistance, MAIN DATA'!AH:AH,'Country summary'!$V$4)/1000000000</f>
        <v>7.7698754359740899E-2</v>
      </c>
      <c r="W38" s="455">
        <f>SUMIFS('Bilateral assistance, MAIN DATA'!S:S,'Bilateral assistance, MAIN DATA'!B:B,'Country summary'!B38,'Bilateral assistance, MAIN DATA'!AG:AG,1,'Bilateral assistance, MAIN DATA'!AH:AH,'Country summary'!$W$4)/1000000000</f>
        <v>2.6641355256601891E-2</v>
      </c>
      <c r="X38" s="455">
        <f>SUMIFS('Bilateral assistance, MAIN DATA'!S:S,'Bilateral assistance, MAIN DATA'!B:B,'Country summary'!B38,'Bilateral assistance, MAIN DATA'!AG:AG,1,'Bilateral assistance, MAIN DATA'!AH:AH,'Country summary'!$X$4)/1000000000</f>
        <v>0</v>
      </c>
      <c r="Y38" s="455">
        <f>SUMIFS('Bilateral assistance, MAIN DATA'!S:S,'Bilateral assistance, MAIN DATA'!B:B,'Country summary'!B38,'Bilateral assistance, MAIN DATA'!AG:AG,1,'Bilateral assistance, MAIN DATA'!AH:AH,'Country summary'!$Y$4)/1000000000</f>
        <v>0.25</v>
      </c>
      <c r="Z38" s="455">
        <f>SUMIFS('Bilateral assistance, MAIN DATA'!S:S,'Bilateral assistance, MAIN DATA'!B:B,'Country summary'!B38,'Bilateral assistance, MAIN DATA'!AG:AG,1,'Bilateral assistance, MAIN DATA'!AH:AH,'Country summary'!$Z$4)/1000000000</f>
        <v>0</v>
      </c>
      <c r="AA38" s="455">
        <f>SUMIFS('Bilateral assistance, MAIN DATA'!S:S,'Bilateral assistance, MAIN DATA'!B:B,'Country summary'!B38,'Bilateral assistance, MAIN DATA'!AG:AG,1,'Bilateral assistance, MAIN DATA'!AH:AH,'Country summary'!$AA$4)/1000000000</f>
        <v>1.0814524681800048E-2</v>
      </c>
      <c r="AB38" s="109">
        <f>SUMIFS('Bilateral assistance, MAIN DATA'!S:S,'Bilateral assistance, MAIN DATA'!B:B,'Country summary'!B38,'Bilateral assistance, MAIN DATA'!AG:AG,1,'Bilateral assistance, MAIN DATA'!AH:AH,'Country summary'!$AB$4)/1000000000</f>
        <v>0</v>
      </c>
      <c r="AC38" s="453">
        <f>SUMIFS('Bilateral assistance, MAIN DATA'!S:S,'Bilateral assistance, MAIN DATA'!B:B,'Country summary'!B38,'Bilateral assistance, MAIN DATA'!AG:AG,1,'Bilateral assistance, MAIN DATA'!AH:AH,'Country summary'!$AC$4)/1000000000</f>
        <v>6.7086667979420122E-3</v>
      </c>
      <c r="AD38" s="109">
        <f>SUMIFS('Bilateral assistance, MAIN DATA'!S:S,'Bilateral assistance, MAIN DATA'!B:B,'Country summary'!B38,'Bilateral assistance, MAIN DATA'!AG:AG,1,'Bilateral assistance, MAIN DATA'!AH:AH,'Country summary'!$AD$4)/1000000000</f>
        <v>8.9008298175917103E-3</v>
      </c>
      <c r="AE38" s="109">
        <f>SUMIFS('Bilateral assistance, MAIN DATA'!S:S,'Bilateral assistance, MAIN DATA'!B:B,'Country summary'!B38,'Bilateral assistance, MAIN DATA'!AG:AG,1,'Bilateral assistance, MAIN DATA'!AH:AH,'Country summary'!$AE$4)/1000000000</f>
        <v>0</v>
      </c>
      <c r="AF38" s="109">
        <f t="shared" si="7"/>
        <v>0.38091413091367654</v>
      </c>
      <c r="AG38" s="104">
        <f>SUMIFS('Bilateral assistance, MAIN DATA'!S:S,'Bilateral assistance, MAIN DATA'!B:B,'Country summary'!B38,'Bilateral assistance, MAIN DATA'!AG:AG,0)/1000000000</f>
        <v>1.161542E-3</v>
      </c>
    </row>
    <row r="39" spans="2:33">
      <c r="B39" s="104" t="s">
        <v>2258</v>
      </c>
      <c r="C39" s="330">
        <v>1</v>
      </c>
      <c r="D39" s="179">
        <f>SUMIFS('Bilateral assistance, MAIN DATA'!S:S,'Bilateral assistance, MAIN DATA'!D:D,"Financial",'Bilateral assistance, MAIN DATA'!B:B,'Country summary'!B39)/1000000000</f>
        <v>0.15249814428378561</v>
      </c>
      <c r="E39" s="179">
        <f>SUMIFS('Bilateral assistance, MAIN DATA'!S:S,'Bilateral assistance, MAIN DATA'!D:D,"Humanitarian",'Bilateral assistance, MAIN DATA'!B:B,'Country summary'!B39)/1000000000</f>
        <v>0.10780913666852486</v>
      </c>
      <c r="F39" s="455">
        <f>SUMIFS('Bilateral assistance, MAIN DATA'!S:S,'Bilateral assistance, MAIN DATA'!D:D,"Military",'Bilateral assistance, MAIN DATA'!B:B,'Country summary'!B39)/1000000000</f>
        <v>0.54622043014465871</v>
      </c>
      <c r="G39" s="327">
        <f t="shared" si="3"/>
        <v>0.80652771109696919</v>
      </c>
      <c r="H39" s="102">
        <f>541220060000/1000000000</f>
        <v>541.22005999999999</v>
      </c>
      <c r="I39" s="102">
        <f>H39/VLOOKUP("USD",'Exchange rates'!B:C,2,0)</f>
        <v>539.33239661185848</v>
      </c>
      <c r="J39" s="338">
        <f t="shared" si="5"/>
        <v>0.14954186252553325</v>
      </c>
      <c r="K39" s="104">
        <f>VLOOKUP(B39,'EU aid shares'!B:E,4,0)</f>
        <v>0.99774908052544664</v>
      </c>
      <c r="L39" s="180">
        <f>VLOOKUP(B39,'EPF aid shares'!B:G,6,0)</f>
        <v>0.11314883380344129</v>
      </c>
      <c r="M39" s="336">
        <f>VLOOKUP(B39,'EIB aid shares'!B:E,4,0)</f>
        <v>6.9153322665024983E-2</v>
      </c>
      <c r="N39" s="180">
        <f t="shared" si="0"/>
        <v>1.1800512369939129</v>
      </c>
      <c r="O39" s="375">
        <f t="shared" si="1"/>
        <v>0.21879850800862621</v>
      </c>
      <c r="P39" s="339">
        <f t="shared" si="2"/>
        <v>1.986578948090882</v>
      </c>
      <c r="Q39" s="341">
        <f t="shared" si="4"/>
        <v>0.36834037053415947</v>
      </c>
      <c r="R39" s="180">
        <f>VLOOKUP(B39,'Military aid by type'!B:F,5,0)</f>
        <v>0.38893220132177642</v>
      </c>
      <c r="S39" s="179">
        <f>VLOOKUP(B39,'Military aid by type'!B:G,6,0)</f>
        <v>0.15728822882288229</v>
      </c>
      <c r="T39" s="455">
        <f>SUMIFS('Bilateral assistance, MAIN DATA'!S:S,'Bilateral assistance, MAIN DATA'!B:B,'Country summary'!B39,'Bilateral assistance, MAIN DATA'!AG:AG,1,'Bilateral assistance, MAIN DATA'!AH:AH,'Country summary'!$T$4)/1000000000</f>
        <v>0</v>
      </c>
      <c r="U39" s="455">
        <f>SUMIFS('Bilateral assistance, MAIN DATA'!S:S,'Bilateral assistance, MAIN DATA'!B:B,'Country summary'!B39,'Bilateral assistance, MAIN DATA'!AG:AG,1,'Bilateral assistance, MAIN DATA'!AH:AH,'Country summary'!$U$4)/1000000000</f>
        <v>8.2508250825082508E-2</v>
      </c>
      <c r="V39" s="455">
        <f>SUMIFS('Bilateral assistance, MAIN DATA'!S:S,'Bilateral assistance, MAIN DATA'!B:B,'Country summary'!B39,'Bilateral assistance, MAIN DATA'!AG:AG,1,'Bilateral assistance, MAIN DATA'!AH:AH,'Country summary'!$V$4)/1000000000</f>
        <v>5.7202989536621819E-2</v>
      </c>
      <c r="W39" s="455">
        <f>SUMIFS('Bilateral assistance, MAIN DATA'!S:S,'Bilateral assistance, MAIN DATA'!B:B,'Country summary'!B39,'Bilateral assistance, MAIN DATA'!AG:AG,1,'Bilateral assistance, MAIN DATA'!AH:AH,'Country summary'!$W$4)/1000000000</f>
        <v>4.3999999999999997E-2</v>
      </c>
      <c r="X39" s="455">
        <f>SUMIFS('Bilateral assistance, MAIN DATA'!S:S,'Bilateral assistance, MAIN DATA'!B:B,'Country summary'!B39,'Bilateral assistance, MAIN DATA'!AG:AG,1,'Bilateral assistance, MAIN DATA'!AH:AH,'Country summary'!$X$4)/1000000000</f>
        <v>7.3340667400073348E-2</v>
      </c>
      <c r="Y39" s="455">
        <f>SUMIFS('Bilateral assistance, MAIN DATA'!S:S,'Bilateral assistance, MAIN DATA'!B:B,'Country summary'!B39,'Bilateral assistance, MAIN DATA'!AG:AG,1,'Bilateral assistance, MAIN DATA'!AH:AH,'Country summary'!$Y$4)/1000000000</f>
        <v>9.1675834250091681E-2</v>
      </c>
      <c r="Z39" s="455">
        <f>SUMIFS('Bilateral assistance, MAIN DATA'!S:S,'Bilateral assistance, MAIN DATA'!B:B,'Country summary'!B39,'Bilateral assistance, MAIN DATA'!AG:AG,1,'Bilateral assistance, MAIN DATA'!AH:AH,'Country summary'!$Z$4)/1000000000</f>
        <v>5.2961129446277962E-2</v>
      </c>
      <c r="AA39" s="455">
        <f>SUMIFS('Bilateral assistance, MAIN DATA'!S:S,'Bilateral assistance, MAIN DATA'!B:B,'Country summary'!B39,'Bilateral assistance, MAIN DATA'!AG:AG,1,'Bilateral assistance, MAIN DATA'!AH:AH,'Country summary'!$AA$4)/1000000000</f>
        <v>9.1675834250091681E-2</v>
      </c>
      <c r="AB39" s="109">
        <f>SUMIFS('Bilateral assistance, MAIN DATA'!S:S,'Bilateral assistance, MAIN DATA'!B:B,'Country summary'!B39,'Bilateral assistance, MAIN DATA'!AG:AG,1,'Bilateral assistance, MAIN DATA'!AH:AH,'Country summary'!$AB$4)/1000000000</f>
        <v>9.7159940209267555E-3</v>
      </c>
      <c r="AC39" s="453">
        <f>SUMIFS('Bilateral assistance, MAIN DATA'!S:S,'Bilateral assistance, MAIN DATA'!B:B,'Country summary'!B39,'Bilateral assistance, MAIN DATA'!AG:AG,1,'Bilateral assistance, MAIN DATA'!AH:AH,'Country summary'!$AC$4)/1000000000</f>
        <v>0</v>
      </c>
      <c r="AD39" s="109">
        <f>SUMIFS('Bilateral assistance, MAIN DATA'!S:S,'Bilateral assistance, MAIN DATA'!B:B,'Country summary'!B39,'Bilateral assistance, MAIN DATA'!AG:AG,1,'Bilateral assistance, MAIN DATA'!AH:AH,'Country summary'!$AD$4)/1000000000</f>
        <v>0.30344701136780344</v>
      </c>
      <c r="AE39" s="109">
        <f>SUMIFS('Bilateral assistance, MAIN DATA'!S:S,'Bilateral assistance, MAIN DATA'!B:B,'Country summary'!B39,'Bilateral assistance, MAIN DATA'!AG:AG,1,'Bilateral assistance, MAIN DATA'!AH:AH,'Country summary'!$AE$4)/1000000000</f>
        <v>0</v>
      </c>
      <c r="AF39" s="109">
        <f t="shared" si="7"/>
        <v>0.80652771109696908</v>
      </c>
      <c r="AG39" s="104">
        <f>SUMIFS('Bilateral assistance, MAIN DATA'!S:S,'Bilateral assistance, MAIN DATA'!B:B,'Country summary'!B39,'Bilateral assistance, MAIN DATA'!AG:AG,0)/1000000000</f>
        <v>0</v>
      </c>
    </row>
    <row r="40" spans="2:33">
      <c r="B40" s="2" t="s">
        <v>2329</v>
      </c>
      <c r="C40" s="330">
        <v>0</v>
      </c>
      <c r="D40" s="179">
        <f>SUMIFS('Bilateral assistance, MAIN DATA'!S:S,'Bilateral assistance, MAIN DATA'!D:D,"Financial",'Bilateral assistance, MAIN DATA'!B:B,'Country summary'!B40)/1000000000</f>
        <v>0</v>
      </c>
      <c r="E40" s="179">
        <f>SUMIFS('Bilateral assistance, MAIN DATA'!S:S,'Bilateral assistance, MAIN DATA'!D:D,"Humanitarian",'Bilateral assistance, MAIN DATA'!B:B,'Country summary'!B40)/1000000000</f>
        <v>0.202757502027575</v>
      </c>
      <c r="F40" s="455">
        <f>SUMIFS('Bilateral assistance, MAIN DATA'!S:S,'Bilateral assistance, MAIN DATA'!D:D,"Military",'Bilateral assistance, MAIN DATA'!B:B,'Country summary'!B40)/1000000000</f>
        <v>0</v>
      </c>
      <c r="G40" s="327">
        <f t="shared" si="3"/>
        <v>0.202757502027575</v>
      </c>
      <c r="H40" s="101">
        <f>752248045730.11/1000000000</f>
        <v>752.24804573010999</v>
      </c>
      <c r="I40" s="102">
        <f>H40/VLOOKUP("USD",'Exchange rates'!B:C,2,0)</f>
        <v>749.62436046847029</v>
      </c>
      <c r="J40" s="338">
        <f t="shared" si="5"/>
        <v>2.7047880607943921E-2</v>
      </c>
      <c r="K40" s="104">
        <f>VLOOKUP(B40,'EU aid shares'!B:E,4,0)</f>
        <v>0</v>
      </c>
      <c r="L40" s="180">
        <f>VLOOKUP(B40,'EPF aid shares'!B:G,6,0)</f>
        <v>0</v>
      </c>
      <c r="M40" s="336">
        <f>VLOOKUP(B40,'EIB aid shares'!B:E,4,0)</f>
        <v>0</v>
      </c>
      <c r="N40" s="180">
        <f t="shared" si="0"/>
        <v>0</v>
      </c>
      <c r="O40" s="375">
        <f t="shared" si="1"/>
        <v>0</v>
      </c>
      <c r="P40" s="339">
        <f t="shared" si="2"/>
        <v>0.202757502027575</v>
      </c>
      <c r="Q40" s="341">
        <f t="shared" si="4"/>
        <v>2.7047880607943921E-2</v>
      </c>
      <c r="R40" s="180">
        <f>VLOOKUP(B40,'Military aid by type'!B:F,5,0)</f>
        <v>0</v>
      </c>
      <c r="S40" s="179">
        <f>VLOOKUP(B40,'Military aid by type'!B:G,6,0)</f>
        <v>0</v>
      </c>
      <c r="T40" s="455">
        <f>SUMIFS('Bilateral assistance, MAIN DATA'!S:S,'Bilateral assistance, MAIN DATA'!B:B,'Country summary'!B40,'Bilateral assistance, MAIN DATA'!AG:AG,1,'Bilateral assistance, MAIN DATA'!AH:AH,'Country summary'!$T$4)/1000000000</f>
        <v>0</v>
      </c>
      <c r="U40" s="455">
        <f>SUMIFS('Bilateral assistance, MAIN DATA'!S:S,'Bilateral assistance, MAIN DATA'!B:B,'Country summary'!B40,'Bilateral assistance, MAIN DATA'!AG:AG,1,'Bilateral assistance, MAIN DATA'!AH:AH,'Country summary'!$U$4)/1000000000</f>
        <v>0</v>
      </c>
      <c r="V40" s="455">
        <f>SUMIFS('Bilateral assistance, MAIN DATA'!S:S,'Bilateral assistance, MAIN DATA'!B:B,'Country summary'!B40,'Bilateral assistance, MAIN DATA'!AG:AG,1,'Bilateral assistance, MAIN DATA'!AH:AH,'Country summary'!$V$4)/1000000000</f>
        <v>6.0827250608272501E-2</v>
      </c>
      <c r="W40" s="455">
        <f>SUMIFS('Bilateral assistance, MAIN DATA'!S:S,'Bilateral assistance, MAIN DATA'!B:B,'Country summary'!B40,'Bilateral assistance, MAIN DATA'!AG:AG,1,'Bilateral assistance, MAIN DATA'!AH:AH,'Country summary'!$W$4)/1000000000</f>
        <v>0</v>
      </c>
      <c r="X40" s="455">
        <f>SUMIFS('Bilateral assistance, MAIN DATA'!S:S,'Bilateral assistance, MAIN DATA'!B:B,'Country summary'!B40,'Bilateral assistance, MAIN DATA'!AG:AG,1,'Bilateral assistance, MAIN DATA'!AH:AH,'Country summary'!$X$4)/1000000000</f>
        <v>0</v>
      </c>
      <c r="Y40" s="455">
        <f>SUMIFS('Bilateral assistance, MAIN DATA'!S:S,'Bilateral assistance, MAIN DATA'!B:B,'Country summary'!B40,'Bilateral assistance, MAIN DATA'!AG:AG,1,'Bilateral assistance, MAIN DATA'!AH:AH,'Country summary'!$Y$4)/1000000000</f>
        <v>0</v>
      </c>
      <c r="Z40" s="455">
        <f>SUMIFS('Bilateral assistance, MAIN DATA'!S:S,'Bilateral assistance, MAIN DATA'!B:B,'Country summary'!B40,'Bilateral assistance, MAIN DATA'!AG:AG,1,'Bilateral assistance, MAIN DATA'!AH:AH,'Country summary'!$Z$4)/1000000000</f>
        <v>0</v>
      </c>
      <c r="AA40" s="455">
        <f>SUMIFS('Bilateral assistance, MAIN DATA'!S:S,'Bilateral assistance, MAIN DATA'!B:B,'Country summary'!B40,'Bilateral assistance, MAIN DATA'!AG:AG,1,'Bilateral assistance, MAIN DATA'!AH:AH,'Country summary'!$AA$4)/1000000000</f>
        <v>4.0551500405515001E-2</v>
      </c>
      <c r="AB40" s="109">
        <f>SUMIFS('Bilateral assistance, MAIN DATA'!S:S,'Bilateral assistance, MAIN DATA'!B:B,'Country summary'!B40,'Bilateral assistance, MAIN DATA'!AG:AG,1,'Bilateral assistance, MAIN DATA'!AH:AH,'Country summary'!$AB$4)/1000000000</f>
        <v>0</v>
      </c>
      <c r="AC40" s="453">
        <f>SUMIFS('Bilateral assistance, MAIN DATA'!S:S,'Bilateral assistance, MAIN DATA'!B:B,'Country summary'!B40,'Bilateral assistance, MAIN DATA'!AG:AG,1,'Bilateral assistance, MAIN DATA'!AH:AH,'Country summary'!$AC$4)/1000000000</f>
        <v>0</v>
      </c>
      <c r="AD40" s="109">
        <f>SUMIFS('Bilateral assistance, MAIN DATA'!S:S,'Bilateral assistance, MAIN DATA'!B:B,'Country summary'!B40,'Bilateral assistance, MAIN DATA'!AG:AG,1,'Bilateral assistance, MAIN DATA'!AH:AH,'Country summary'!$AD$4)/1000000000</f>
        <v>0.1013787510137875</v>
      </c>
      <c r="AE40" s="109">
        <f>SUMIFS('Bilateral assistance, MAIN DATA'!S:S,'Bilateral assistance, MAIN DATA'!B:B,'Country summary'!B40,'Bilateral assistance, MAIN DATA'!AG:AG,1,'Bilateral assistance, MAIN DATA'!AH:AH,'Country summary'!$AE$4)/1000000000</f>
        <v>0</v>
      </c>
      <c r="AF40" s="109">
        <f t="shared" si="7"/>
        <v>0.202757502027575</v>
      </c>
      <c r="AG40" s="104">
        <f>SUMIFS('Bilateral assistance, MAIN DATA'!S:S,'Bilateral assistance, MAIN DATA'!B:B,'Country summary'!B40,'Bilateral assistance, MAIN DATA'!AG:AG,0)/1000000000</f>
        <v>0</v>
      </c>
    </row>
    <row r="41" spans="2:33">
      <c r="B41" s="2" t="s">
        <v>2348</v>
      </c>
      <c r="C41" s="330">
        <v>0</v>
      </c>
      <c r="D41" s="179">
        <f>SUMIFS('Bilateral assistance, MAIN DATA'!S:S,'Bilateral assistance, MAIN DATA'!D:D,"Financial",'Bilateral assistance, MAIN DATA'!B:B,'Country summary'!B41)/1000000000</f>
        <v>0</v>
      </c>
      <c r="E41" s="179">
        <f>SUMIFS('Bilateral assistance, MAIN DATA'!S:S,'Bilateral assistance, MAIN DATA'!D:D,"Humanitarian",'Bilateral assistance, MAIN DATA'!B:B,'Country summary'!B41)/1000000000</f>
        <v>2.4716691579471843E-4</v>
      </c>
      <c r="F41" s="455">
        <f>SUMIFS('Bilateral assistance, MAIN DATA'!S:S,'Bilateral assistance, MAIN DATA'!D:D,"Military",'Bilateral assistance, MAIN DATA'!B:B,'Country summary'!B41)/1000000000</f>
        <v>6.4198804185351274E-2</v>
      </c>
      <c r="G41" s="327">
        <f t="shared" si="3"/>
        <v>6.4445971101145999E-2</v>
      </c>
      <c r="H41" s="101">
        <f>719954821683.31/1000000000</f>
        <v>719.95482168331012</v>
      </c>
      <c r="I41" s="102">
        <f>H41/VLOOKUP("USD",'Exchange rates'!B:C,2,0)</f>
        <v>717.44376849358252</v>
      </c>
      <c r="J41" s="338">
        <f t="shared" si="5"/>
        <v>8.9827208669556458E-3</v>
      </c>
      <c r="K41" s="104">
        <f>VLOOKUP(B41,'EU aid shares'!B:E,4,0)</f>
        <v>0</v>
      </c>
      <c r="L41" s="180">
        <f>VLOOKUP(B41,'EPF aid shares'!B:G,6,0)</f>
        <v>0</v>
      </c>
      <c r="M41" s="336">
        <f>VLOOKUP(B41,'EIB aid shares'!B:E,4,0)</f>
        <v>0</v>
      </c>
      <c r="N41" s="180">
        <f t="shared" si="0"/>
        <v>0</v>
      </c>
      <c r="O41" s="375">
        <f t="shared" si="1"/>
        <v>0</v>
      </c>
      <c r="P41" s="339">
        <f t="shared" si="2"/>
        <v>6.4445971101145999E-2</v>
      </c>
      <c r="Q41" s="341">
        <f t="shared" si="4"/>
        <v>8.9827208669556458E-3</v>
      </c>
      <c r="R41" s="180">
        <f>VLOOKUP(B41,'Military aid by type'!B:F,5,0)</f>
        <v>6.4198804185351274E-2</v>
      </c>
      <c r="S41" s="179">
        <f>VLOOKUP(B41,'Military aid by type'!B:G,6,0)</f>
        <v>0</v>
      </c>
      <c r="T41" s="455">
        <f>SUMIFS('Bilateral assistance, MAIN DATA'!S:S,'Bilateral assistance, MAIN DATA'!B:B,'Country summary'!B41,'Bilateral assistance, MAIN DATA'!AG:AG,1,'Bilateral assistance, MAIN DATA'!AH:AH,'Country summary'!$T$4)/1000000000</f>
        <v>0</v>
      </c>
      <c r="U41" s="455">
        <f>SUMIFS('Bilateral assistance, MAIN DATA'!S:S,'Bilateral assistance, MAIN DATA'!B:B,'Country summary'!B41,'Bilateral assistance, MAIN DATA'!AG:AG,1,'Bilateral assistance, MAIN DATA'!AH:AH,'Country summary'!$U$4)/1000000000</f>
        <v>4.77309735924265E-2</v>
      </c>
      <c r="V41" s="455">
        <f>SUMIFS('Bilateral assistance, MAIN DATA'!S:S,'Bilateral assistance, MAIN DATA'!B:B,'Country summary'!B41,'Bilateral assistance, MAIN DATA'!AG:AG,1,'Bilateral assistance, MAIN DATA'!AH:AH,'Country summary'!$V$4)/1000000000</f>
        <v>0</v>
      </c>
      <c r="W41" s="455">
        <f>SUMIFS('Bilateral assistance, MAIN DATA'!S:S,'Bilateral assistance, MAIN DATA'!B:B,'Country summary'!B41,'Bilateral assistance, MAIN DATA'!AG:AG,1,'Bilateral assistance, MAIN DATA'!AH:AH,'Country summary'!$W$4)/1000000000</f>
        <v>0</v>
      </c>
      <c r="X41" s="455">
        <f>SUMIFS('Bilateral assistance, MAIN DATA'!S:S,'Bilateral assistance, MAIN DATA'!B:B,'Country summary'!B41,'Bilateral assistance, MAIN DATA'!AG:AG,1,'Bilateral assistance, MAIN DATA'!AH:AH,'Country summary'!$X$4)/1000000000</f>
        <v>0</v>
      </c>
      <c r="Y41" s="455">
        <f>SUMIFS('Bilateral assistance, MAIN DATA'!S:S,'Bilateral assistance, MAIN DATA'!B:B,'Country summary'!B41,'Bilateral assistance, MAIN DATA'!AG:AG,1,'Bilateral assistance, MAIN DATA'!AH:AH,'Country summary'!$Y$4)/1000000000</f>
        <v>0</v>
      </c>
      <c r="Z41" s="455">
        <f>SUMIFS('Bilateral assistance, MAIN DATA'!S:S,'Bilateral assistance, MAIN DATA'!B:B,'Country summary'!B41,'Bilateral assistance, MAIN DATA'!AG:AG,1,'Bilateral assistance, MAIN DATA'!AH:AH,'Country summary'!$Z$4)/1000000000</f>
        <v>0</v>
      </c>
      <c r="AA41" s="455">
        <f>SUMIFS('Bilateral assistance, MAIN DATA'!S:S,'Bilateral assistance, MAIN DATA'!B:B,'Country summary'!B41,'Bilateral assistance, MAIN DATA'!AG:AG,1,'Bilateral assistance, MAIN DATA'!AH:AH,'Country summary'!$AA$4)/1000000000</f>
        <v>1.6714997508719482E-2</v>
      </c>
      <c r="AB41" s="109">
        <f>SUMIFS('Bilateral assistance, MAIN DATA'!S:S,'Bilateral assistance, MAIN DATA'!B:B,'Country summary'!B41,'Bilateral assistance, MAIN DATA'!AG:AG,1,'Bilateral assistance, MAIN DATA'!AH:AH,'Country summary'!$AB$4)/1000000000</f>
        <v>0</v>
      </c>
      <c r="AC41" s="453">
        <f>SUMIFS('Bilateral assistance, MAIN DATA'!S:S,'Bilateral assistance, MAIN DATA'!B:B,'Country summary'!B41,'Bilateral assistance, MAIN DATA'!AG:AG,1,'Bilateral assistance, MAIN DATA'!AH:AH,'Country summary'!$AC$4)/1000000000</f>
        <v>0</v>
      </c>
      <c r="AD41" s="109">
        <f>SUMIFS('Bilateral assistance, MAIN DATA'!S:S,'Bilateral assistance, MAIN DATA'!B:B,'Country summary'!B41,'Bilateral assistance, MAIN DATA'!AG:AG,1,'Bilateral assistance, MAIN DATA'!AH:AH,'Country summary'!$AD$4)/1000000000</f>
        <v>0</v>
      </c>
      <c r="AE41" s="109">
        <f>SUMIFS('Bilateral assistance, MAIN DATA'!S:S,'Bilateral assistance, MAIN DATA'!B:B,'Country summary'!B41,'Bilateral assistance, MAIN DATA'!AG:AG,1,'Bilateral assistance, MAIN DATA'!AH:AH,'Country summary'!$AE$4)/1000000000</f>
        <v>0</v>
      </c>
      <c r="AF41" s="109">
        <f t="shared" si="7"/>
        <v>6.4445971101145985E-2</v>
      </c>
      <c r="AG41" s="104">
        <f>SUMIFS('Bilateral assistance, MAIN DATA'!S:S,'Bilateral assistance, MAIN DATA'!B:B,'Country summary'!B41,'Bilateral assistance, MAIN DATA'!AG:AG,0)/1000000000</f>
        <v>0</v>
      </c>
    </row>
    <row r="42" spans="2:33">
      <c r="B42" s="104" t="s">
        <v>2392</v>
      </c>
      <c r="C42" s="330">
        <v>0</v>
      </c>
      <c r="D42" s="179">
        <f>SUMIFS('Bilateral assistance, MAIN DATA'!S:S,'Bilateral assistance, MAIN DATA'!D:D,"Financial",'Bilateral assistance, MAIN DATA'!B:B,'Country summary'!B42)/1000000000</f>
        <v>2.5548820828345602</v>
      </c>
      <c r="E42" s="179">
        <f>SUMIFS('Bilateral assistance, MAIN DATA'!S:S,'Bilateral assistance, MAIN DATA'!D:D,"Humanitarian",'Bilateral assistance, MAIN DATA'!B:B,'Country summary'!B42)/1000000000</f>
        <v>0.39777831531548291</v>
      </c>
      <c r="F42" s="455">
        <f>SUMIFS('Bilateral assistance, MAIN DATA'!S:S,'Bilateral assistance, MAIN DATA'!D:D,"Military",'Bilateral assistance, MAIN DATA'!B:B,'Country summary'!B42)/1000000000</f>
        <v>4.1291557278298399</v>
      </c>
      <c r="G42" s="327">
        <f t="shared" si="3"/>
        <v>7.0818161259798824</v>
      </c>
      <c r="H42" s="102">
        <f>2759804060000/1000000000</f>
        <v>2759.8040599999999</v>
      </c>
      <c r="I42" s="102">
        <f>H42/VLOOKUP("USD",'Exchange rates'!B:C,2,0)</f>
        <v>2750.1784354758342</v>
      </c>
      <c r="J42" s="338">
        <f t="shared" si="5"/>
        <v>0.25750387809853476</v>
      </c>
      <c r="K42" s="104">
        <f>VLOOKUP(B42,'EU aid shares'!B:E,4,0)</f>
        <v>0</v>
      </c>
      <c r="L42" s="180">
        <f>VLOOKUP(B42,'EPF aid shares'!B:G,6,0)</f>
        <v>0</v>
      </c>
      <c r="M42" s="336">
        <f>VLOOKUP(B42,'EIB aid shares'!B:E,4,0)</f>
        <v>0</v>
      </c>
      <c r="N42" s="180">
        <f t="shared" si="0"/>
        <v>0</v>
      </c>
      <c r="O42" s="375">
        <f t="shared" si="1"/>
        <v>0</v>
      </c>
      <c r="P42" s="339">
        <f t="shared" si="2"/>
        <v>7.0818161259798824</v>
      </c>
      <c r="Q42" s="341">
        <f t="shared" si="4"/>
        <v>0.25750387809853476</v>
      </c>
      <c r="R42" s="180">
        <f>VLOOKUP(B42,'Military aid by type'!B:F,5,0)</f>
        <v>1.8979460118298399</v>
      </c>
      <c r="S42" s="179">
        <f>VLOOKUP(B42,'Military aid by type'!B:G,6,0)</f>
        <v>2.231209716</v>
      </c>
      <c r="T42" s="455">
        <f>SUMIFS('Bilateral assistance, MAIN DATA'!S:S,'Bilateral assistance, MAIN DATA'!B:B,'Country summary'!B42,'Bilateral assistance, MAIN DATA'!AG:AG,1,'Bilateral assistance, MAIN DATA'!AH:AH,'Country summary'!$T$4)/1000000000</f>
        <v>0</v>
      </c>
      <c r="U42" s="455">
        <f>SUMIFS('Bilateral assistance, MAIN DATA'!S:S,'Bilateral assistance, MAIN DATA'!B:B,'Country summary'!B42,'Bilateral assistance, MAIN DATA'!AG:AG,1,'Bilateral assistance, MAIN DATA'!AH:AH,'Country summary'!$U$4)/1000000000</f>
        <v>0.8035568456460479</v>
      </c>
      <c r="V42" s="455">
        <f>SUMIFS('Bilateral assistance, MAIN DATA'!S:S,'Bilateral assistance, MAIN DATA'!B:B,'Country summary'!B42,'Bilateral assistance, MAIN DATA'!AG:AG,1,'Bilateral assistance, MAIN DATA'!AH:AH,'Country summary'!$V$4)/1000000000</f>
        <v>1.1502127408840843</v>
      </c>
      <c r="W42" s="455">
        <f>SUMIFS('Bilateral assistance, MAIN DATA'!S:S,'Bilateral assistance, MAIN DATA'!B:B,'Country summary'!B42,'Bilateral assistance, MAIN DATA'!AG:AG,1,'Bilateral assistance, MAIN DATA'!AH:AH,'Country summary'!$W$4)/1000000000</f>
        <v>1.4003319175668278</v>
      </c>
      <c r="X42" s="455">
        <f>SUMIFS('Bilateral assistance, MAIN DATA'!S:S,'Bilateral assistance, MAIN DATA'!B:B,'Country summary'!B42,'Bilateral assistance, MAIN DATA'!AG:AG,1,'Bilateral assistance, MAIN DATA'!AH:AH,'Country summary'!$X$4)/1000000000</f>
        <v>1.5483076286937625</v>
      </c>
      <c r="Y42" s="455">
        <f>SUMIFS('Bilateral assistance, MAIN DATA'!S:S,'Bilateral assistance, MAIN DATA'!B:B,'Country summary'!B42,'Bilateral assistance, MAIN DATA'!AG:AG,1,'Bilateral assistance, MAIN DATA'!AH:AH,'Country summary'!$Y$4)/1000000000</f>
        <v>1.1526048870447212</v>
      </c>
      <c r="Z42" s="455">
        <f>SUMIFS('Bilateral assistance, MAIN DATA'!S:S,'Bilateral assistance, MAIN DATA'!B:B,'Country summary'!B42,'Bilateral assistance, MAIN DATA'!AG:AG,1,'Bilateral assistance, MAIN DATA'!AH:AH,'Country summary'!$Z$4)/1000000000</f>
        <v>5.7630244352236057E-3</v>
      </c>
      <c r="AA42" s="455">
        <f>SUMIFS('Bilateral assistance, MAIN DATA'!S:S,'Bilateral assistance, MAIN DATA'!B:B,'Country summary'!B42,'Bilateral assistance, MAIN DATA'!AG:AG,1,'Bilateral assistance, MAIN DATA'!AH:AH,'Country summary'!$AA$4)/1000000000</f>
        <v>0.17339312406576979</v>
      </c>
      <c r="AB42" s="109">
        <f>SUMIFS('Bilateral assistance, MAIN DATA'!S:S,'Bilateral assistance, MAIN DATA'!B:B,'Country summary'!B42,'Bilateral assistance, MAIN DATA'!AG:AG,1,'Bilateral assistance, MAIN DATA'!AH:AH,'Country summary'!$AB$4)/1000000000</f>
        <v>0.49825610363726958</v>
      </c>
      <c r="AC42" s="453">
        <f>SUMIFS('Bilateral assistance, MAIN DATA'!S:S,'Bilateral assistance, MAIN DATA'!B:B,'Country summary'!B42,'Bilateral assistance, MAIN DATA'!AG:AG,1,'Bilateral assistance, MAIN DATA'!AH:AH,'Country summary'!$AC$4)/1000000000</f>
        <v>0.28023356078349354</v>
      </c>
      <c r="AD42" s="109">
        <f>SUMIFS('Bilateral assistance, MAIN DATA'!S:S,'Bilateral assistance, MAIN DATA'!B:B,'Country summary'!B42,'Bilateral assistance, MAIN DATA'!AG:AG,1,'Bilateral assistance, MAIN DATA'!AH:AH,'Country summary'!$AD$4)/1000000000</f>
        <v>6.9156293222683254E-2</v>
      </c>
      <c r="AE42" s="109">
        <f>SUMIFS('Bilateral assistance, MAIN DATA'!S:S,'Bilateral assistance, MAIN DATA'!B:B,'Country summary'!B42,'Bilateral assistance, MAIN DATA'!AG:AG,1,'Bilateral assistance, MAIN DATA'!AH:AH,'Country summary'!$AE$4)/1000000000</f>
        <v>0</v>
      </c>
      <c r="AF42" s="109">
        <f t="shared" si="7"/>
        <v>7.0818161259798842</v>
      </c>
      <c r="AG42" s="104">
        <f>SUMIFS('Bilateral assistance, MAIN DATA'!S:S,'Bilateral assistance, MAIN DATA'!B:B,'Country summary'!B42,'Bilateral assistance, MAIN DATA'!AG:AG,0)/1000000000</f>
        <v>0</v>
      </c>
    </row>
    <row r="43" spans="2:33">
      <c r="B43" s="104" t="s">
        <v>2548</v>
      </c>
      <c r="C43" s="330">
        <v>0</v>
      </c>
      <c r="D43" s="179">
        <f>SUMIFS('Bilateral assistance, MAIN DATA'!S:S,'Bilateral assistance, MAIN DATA'!D:D,"Financial",'Bilateral assistance, MAIN DATA'!B:B,'Country summary'!B43)/1000000000</f>
        <v>15.053313403089188</v>
      </c>
      <c r="E43" s="179">
        <f>SUMIFS('Bilateral assistance, MAIN DATA'!S:S,'Bilateral assistance, MAIN DATA'!D:D,"Humanitarian",'Bilateral assistance, MAIN DATA'!B:B,'Country summary'!B43)/1000000000</f>
        <v>9.903936223218734</v>
      </c>
      <c r="F43" s="455">
        <f>SUMIFS('Bilateral assistance, MAIN DATA'!S:S,'Bilateral assistance, MAIN DATA'!D:D,"Military",'Bilateral assistance, MAIN DATA'!B:B,'Country summary'!B43)/1000000000</f>
        <v>22.861983059292474</v>
      </c>
      <c r="G43" s="327">
        <f t="shared" si="3"/>
        <v>47.819232685600397</v>
      </c>
      <c r="H43" s="102">
        <f>20953030000000/1000000000</f>
        <v>20953.03</v>
      </c>
      <c r="I43" s="102">
        <f>H43/VLOOKUP("USD",'Exchange rates'!B:C,2,0)</f>
        <v>20879.950174389633</v>
      </c>
      <c r="J43" s="338">
        <f t="shared" si="5"/>
        <v>0.22901986013478723</v>
      </c>
      <c r="K43" s="104">
        <f>VLOOKUP(B43,'EU aid shares'!B:E,4,0)</f>
        <v>0</v>
      </c>
      <c r="L43" s="180">
        <f>VLOOKUP(B43,'EPF aid shares'!B:G,6,0)</f>
        <v>0</v>
      </c>
      <c r="M43" s="336">
        <f>VLOOKUP(B43,'EIB aid shares'!B:E,4,0)</f>
        <v>0</v>
      </c>
      <c r="N43" s="180">
        <f t="shared" si="0"/>
        <v>0</v>
      </c>
      <c r="O43" s="375">
        <f t="shared" si="1"/>
        <v>0</v>
      </c>
      <c r="P43" s="339">
        <f t="shared" si="2"/>
        <v>47.819232685600397</v>
      </c>
      <c r="Q43" s="341">
        <f t="shared" si="4"/>
        <v>0.22901986013478723</v>
      </c>
      <c r="R43" s="180">
        <f>VLOOKUP(B43,'Military aid by type'!B:F,5,0)</f>
        <v>18.507245201088665</v>
      </c>
      <c r="S43" s="179">
        <f>VLOOKUP(B43,'Military aid by type'!B:G,6,0)</f>
        <v>4.3547378582038085</v>
      </c>
      <c r="T43" s="455">
        <f>SUMIFS('Bilateral assistance, MAIN DATA'!S:S,'Bilateral assistance, MAIN DATA'!B:B,'Country summary'!B43,'Bilateral assistance, MAIN DATA'!AG:AG,1,'Bilateral assistance, MAIN DATA'!AH:AH,'Country summary'!$T$4)/1000000000</f>
        <v>0</v>
      </c>
      <c r="U43" s="455">
        <f>SUMIFS('Bilateral assistance, MAIN DATA'!S:S,'Bilateral assistance, MAIN DATA'!B:B,'Country summary'!B43,'Bilateral assistance, MAIN DATA'!AG:AG,1,'Bilateral assistance, MAIN DATA'!AH:AH,'Country summary'!$U$4)/1000000000</f>
        <v>1.0503238664673642</v>
      </c>
      <c r="V43" s="455">
        <f>SUMIFS('Bilateral assistance, MAIN DATA'!S:S,'Bilateral assistance, MAIN DATA'!B:B,'Country summary'!B43,'Bilateral assistance, MAIN DATA'!AG:AG,1,'Bilateral assistance, MAIN DATA'!AH:AH,'Country summary'!$V$4)/1000000000</f>
        <v>8.3957149975087191</v>
      </c>
      <c r="W43" s="455">
        <f>SUMIFS('Bilateral assistance, MAIN DATA'!S:S,'Bilateral assistance, MAIN DATA'!B:B,'Country summary'!B43,'Bilateral assistance, MAIN DATA'!AG:AG,1,'Bilateral assistance, MAIN DATA'!AH:AH,'Country summary'!$W$4)/1000000000</f>
        <v>1.1180866965620329</v>
      </c>
      <c r="X43" s="455">
        <f>SUMIFS('Bilateral assistance, MAIN DATA'!S:S,'Bilateral assistance, MAIN DATA'!B:B,'Country summary'!B43,'Bilateral assistance, MAIN DATA'!AG:AG,1,'Bilateral assistance, MAIN DATA'!AH:AH,'Country summary'!$X$4)/1000000000</f>
        <v>25.638266068759343</v>
      </c>
      <c r="Y43" s="455">
        <f>SUMIFS('Bilateral assistance, MAIN DATA'!S:S,'Bilateral assistance, MAIN DATA'!B:B,'Country summary'!B43,'Bilateral assistance, MAIN DATA'!AG:AG,1,'Bilateral assistance, MAIN DATA'!AH:AH,'Country summary'!$Y$4)/1000000000</f>
        <v>0</v>
      </c>
      <c r="Z43" s="455">
        <f>SUMIFS('Bilateral assistance, MAIN DATA'!S:S,'Bilateral assistance, MAIN DATA'!B:B,'Country summary'!B43,'Bilateral assistance, MAIN DATA'!AG:AG,1,'Bilateral assistance, MAIN DATA'!AH:AH,'Country summary'!$Z$4)/1000000000</f>
        <v>0</v>
      </c>
      <c r="AA43" s="455">
        <f>SUMIFS('Bilateral assistance, MAIN DATA'!S:S,'Bilateral assistance, MAIN DATA'!B:B,'Country summary'!B43,'Bilateral assistance, MAIN DATA'!AG:AG,1,'Bilateral assistance, MAIN DATA'!AH:AH,'Country summary'!$AA$4)/1000000000</f>
        <v>0</v>
      </c>
      <c r="AB43" s="109">
        <f>SUMIFS('Bilateral assistance, MAIN DATA'!S:S,'Bilateral assistance, MAIN DATA'!B:B,'Country summary'!B43,'Bilateral assistance, MAIN DATA'!AG:AG,1,'Bilateral assistance, MAIN DATA'!AH:AH,'Country summary'!$AB$4)/1000000000</f>
        <v>11.616841056302938</v>
      </c>
      <c r="AC43" s="453">
        <f>SUMIFS('Bilateral assistance, MAIN DATA'!S:S,'Bilateral assistance, MAIN DATA'!B:B,'Country summary'!B43,'Bilateral assistance, MAIN DATA'!AG:AG,1,'Bilateral assistance, MAIN DATA'!AH:AH,'Country summary'!$AC$4)/1000000000</f>
        <v>0</v>
      </c>
      <c r="AD43" s="109">
        <f>SUMIFS('Bilateral assistance, MAIN DATA'!S:S,'Bilateral assistance, MAIN DATA'!B:B,'Country summary'!B43,'Bilateral assistance, MAIN DATA'!AG:AG,1,'Bilateral assistance, MAIN DATA'!AH:AH,'Country summary'!$AD$4)/1000000000</f>
        <v>0</v>
      </c>
      <c r="AE43" s="109">
        <f>SUMIFS('Bilateral assistance, MAIN DATA'!S:S,'Bilateral assistance, MAIN DATA'!B:B,'Country summary'!B43,'Bilateral assistance, MAIN DATA'!AG:AG,1,'Bilateral assistance, MAIN DATA'!AH:AH,'Country summary'!$AE$4)/1000000000</f>
        <v>0</v>
      </c>
      <c r="AF43" s="109">
        <f t="shared" si="7"/>
        <v>47.819232685600397</v>
      </c>
      <c r="AG43" s="104">
        <f>SUMIFS('Bilateral assistance, MAIN DATA'!S:S,'Bilateral assistance, MAIN DATA'!B:B,'Country summary'!B43,'Bilateral assistance, MAIN DATA'!AG:AG,0)/1000000000</f>
        <v>0</v>
      </c>
    </row>
    <row r="44" spans="2:33">
      <c r="B44" s="104" t="s">
        <v>583</v>
      </c>
      <c r="C44" s="330">
        <v>0</v>
      </c>
      <c r="D44" s="179">
        <f>SUMIFS('Bilateral assistance, MAIN DATA'!S:S,'Bilateral assistance, MAIN DATA'!D:D,"Financial",'Bilateral assistance, MAIN DATA'!B:B,'Country summary'!B44)/1000000000</f>
        <v>0</v>
      </c>
      <c r="E44" s="179">
        <f>SUMIFS('Bilateral assistance, MAIN DATA'!S:S,'Bilateral assistance, MAIN DATA'!D:D,"Humanitarian",'Bilateral assistance, MAIN DATA'!B:B,'Country summary'!B44)/1000000000</f>
        <v>2.0740003318400532E-3</v>
      </c>
      <c r="F44" s="455">
        <f>SUMIFS('Bilateral assistance, MAIN DATA'!S:S,'Bilateral assistance, MAIN DATA'!D:D,"Military",'Bilateral assistance, MAIN DATA'!B:B,'Country summary'!B44)/1000000000</f>
        <v>0</v>
      </c>
      <c r="G44" s="327">
        <f t="shared" si="3"/>
        <v>2.0740003318400532E-3</v>
      </c>
      <c r="H44" s="102">
        <f>14722730697890/1000000000</f>
        <v>14722.73069789</v>
      </c>
      <c r="I44" s="102">
        <f>H44/VLOOKUP("USD",'Exchange rates'!B:C,2,0)</f>
        <v>14671.380864862978</v>
      </c>
      <c r="J44" s="338">
        <f t="shared" si="5"/>
        <v>1.4136367605363934E-5</v>
      </c>
      <c r="K44" s="104">
        <f>VLOOKUP(B44,'EU aid shares'!B:E,4,0)</f>
        <v>0</v>
      </c>
      <c r="L44" s="180">
        <f>VLOOKUP(B44,'EPF aid shares'!B:G,6,0)</f>
        <v>0</v>
      </c>
      <c r="M44" s="336">
        <f>VLOOKUP(B44,'EIB aid shares'!B:E,4,0)</f>
        <v>0</v>
      </c>
      <c r="N44" s="180">
        <f t="shared" si="0"/>
        <v>0</v>
      </c>
      <c r="O44" s="375">
        <f t="shared" si="1"/>
        <v>0</v>
      </c>
      <c r="P44" s="339">
        <f t="shared" si="2"/>
        <v>2.0740003318400532E-3</v>
      </c>
      <c r="Q44" s="341">
        <f t="shared" si="4"/>
        <v>1.4136367605363934E-5</v>
      </c>
      <c r="R44" s="180">
        <f>VLOOKUP(B44,'Military aid by type'!B:F,5,0)</f>
        <v>0</v>
      </c>
      <c r="S44" s="179">
        <f>VLOOKUP(B44,'Military aid by type'!B:G,6,0)</f>
        <v>0</v>
      </c>
      <c r="T44" s="455">
        <f>SUMIFS('Bilateral assistance, MAIN DATA'!S:S,'Bilateral assistance, MAIN DATA'!B:B,'Country summary'!B44,'Bilateral assistance, MAIN DATA'!AG:AG,1,'Bilateral assistance, MAIN DATA'!AH:AH,'Country summary'!$T$4)/1000000000</f>
        <v>0</v>
      </c>
      <c r="U44" s="455">
        <f>SUMIFS('Bilateral assistance, MAIN DATA'!S:S,'Bilateral assistance, MAIN DATA'!B:B,'Country summary'!B44,'Bilateral assistance, MAIN DATA'!AG:AG,1,'Bilateral assistance, MAIN DATA'!AH:AH,'Country summary'!$U$4)/1000000000</f>
        <v>0</v>
      </c>
      <c r="V44" s="455">
        <f>SUMIFS('Bilateral assistance, MAIN DATA'!S:S,'Bilateral assistance, MAIN DATA'!B:B,'Country summary'!B44,'Bilateral assistance, MAIN DATA'!AG:AG,1,'Bilateral assistance, MAIN DATA'!AH:AH,'Country summary'!$V$4)/1000000000</f>
        <v>2.0740003318400532E-3</v>
      </c>
      <c r="W44" s="455">
        <f>SUMIFS('Bilateral assistance, MAIN DATA'!S:S,'Bilateral assistance, MAIN DATA'!B:B,'Country summary'!B44,'Bilateral assistance, MAIN DATA'!AG:AG,1,'Bilateral assistance, MAIN DATA'!AH:AH,'Country summary'!$W$4)/1000000000</f>
        <v>0</v>
      </c>
      <c r="X44" s="455">
        <f>SUMIFS('Bilateral assistance, MAIN DATA'!S:S,'Bilateral assistance, MAIN DATA'!B:B,'Country summary'!B44,'Bilateral assistance, MAIN DATA'!AG:AG,1,'Bilateral assistance, MAIN DATA'!AH:AH,'Country summary'!$X$4)/1000000000</f>
        <v>0</v>
      </c>
      <c r="Y44" s="455">
        <f>SUMIFS('Bilateral assistance, MAIN DATA'!S:S,'Bilateral assistance, MAIN DATA'!B:B,'Country summary'!B44,'Bilateral assistance, MAIN DATA'!AG:AG,1,'Bilateral assistance, MAIN DATA'!AH:AH,'Country summary'!$Y$4)/1000000000</f>
        <v>0</v>
      </c>
      <c r="Z44" s="455">
        <f>SUMIFS('Bilateral assistance, MAIN DATA'!S:S,'Bilateral assistance, MAIN DATA'!B:B,'Country summary'!B44,'Bilateral assistance, MAIN DATA'!AG:AG,1,'Bilateral assistance, MAIN DATA'!AH:AH,'Country summary'!$Z$4)/1000000000</f>
        <v>0</v>
      </c>
      <c r="AA44" s="455">
        <f>SUMIFS('Bilateral assistance, MAIN DATA'!S:S,'Bilateral assistance, MAIN DATA'!B:B,'Country summary'!B44,'Bilateral assistance, MAIN DATA'!AG:AG,1,'Bilateral assistance, MAIN DATA'!AH:AH,'Country summary'!$AA$4)/1000000000</f>
        <v>0</v>
      </c>
      <c r="AB44" s="109">
        <f>SUMIFS('Bilateral assistance, MAIN DATA'!S:S,'Bilateral assistance, MAIN DATA'!B:B,'Country summary'!B44,'Bilateral assistance, MAIN DATA'!AG:AG,1,'Bilateral assistance, MAIN DATA'!AH:AH,'Country summary'!$AB$4)/1000000000</f>
        <v>0</v>
      </c>
      <c r="AC44" s="453">
        <f>SUMIFS('Bilateral assistance, MAIN DATA'!S:S,'Bilateral assistance, MAIN DATA'!B:B,'Country summary'!B44,'Bilateral assistance, MAIN DATA'!AG:AG,1,'Bilateral assistance, MAIN DATA'!AH:AH,'Country summary'!$AC$4)/1000000000</f>
        <v>0</v>
      </c>
      <c r="AD44" s="109">
        <f>SUMIFS('Bilateral assistance, MAIN DATA'!S:S,'Bilateral assistance, MAIN DATA'!B:B,'Country summary'!B44,'Bilateral assistance, MAIN DATA'!AG:AG,1,'Bilateral assistance, MAIN DATA'!AH:AH,'Country summary'!$AD$4)/1000000000</f>
        <v>0</v>
      </c>
      <c r="AE44" s="109">
        <f>SUMIFS('Bilateral assistance, MAIN DATA'!S:S,'Bilateral assistance, MAIN DATA'!B:B,'Country summary'!B44,'Bilateral assistance, MAIN DATA'!AG:AG,1,'Bilateral assistance, MAIN DATA'!AH:AH,'Country summary'!$AE$4)/1000000000</f>
        <v>0</v>
      </c>
      <c r="AF44" s="109">
        <f t="shared" si="7"/>
        <v>2.0740003318400532E-3</v>
      </c>
      <c r="AG44" s="104">
        <f>SUMIFS('Bilateral assistance, MAIN DATA'!S:S,'Bilateral assistance, MAIN DATA'!B:B,'Country summary'!B44,'Bilateral assistance, MAIN DATA'!AG:AG,0)/1000000000</f>
        <v>0</v>
      </c>
    </row>
    <row r="45" spans="2:33">
      <c r="B45" s="104" t="s">
        <v>2368</v>
      </c>
      <c r="C45" s="330">
        <v>0</v>
      </c>
      <c r="D45" s="179">
        <f>SUMIFS('Bilateral assistance, MAIN DATA'!S:S,'Bilateral assistance, MAIN DATA'!D:D,"Financial",'Bilateral assistance, MAIN DATA'!B:B,'Country summary'!B45)/1000000000</f>
        <v>0</v>
      </c>
      <c r="E45" s="179">
        <f>SUMIFS('Bilateral assistance, MAIN DATA'!S:S,'Bilateral assistance, MAIN DATA'!D:D,"Humanitarian",'Bilateral assistance, MAIN DATA'!B:B,'Country summary'!B45)/1000000000</f>
        <v>6.8261086198305926E-2</v>
      </c>
      <c r="F45" s="455">
        <f>SUMIFS('Bilateral assistance, MAIN DATA'!S:S,'Bilateral assistance, MAIN DATA'!D:D,"Military",'Bilateral assistance, MAIN DATA'!B:B,'Country summary'!B45)/1000000000</f>
        <v>0</v>
      </c>
      <c r="G45" s="327">
        <f t="shared" si="3"/>
        <v>6.8261086198305926E-2</v>
      </c>
      <c r="H45" s="102">
        <f>612168000000/1000000000</f>
        <v>612.16800000000001</v>
      </c>
      <c r="I45" s="102">
        <f>H45/VLOOKUP("USD",'Exchange rates'!B:C,2,0)</f>
        <v>610.03288490284001</v>
      </c>
      <c r="J45" s="338">
        <f t="shared" si="5"/>
        <v>1.1189738764522157E-2</v>
      </c>
      <c r="K45" s="104">
        <f>VLOOKUP(B45,'EU aid shares'!B:E,4,0)</f>
        <v>0</v>
      </c>
      <c r="L45" s="180">
        <f>VLOOKUP(B45,'EPF aid shares'!B:G,6,0)</f>
        <v>0</v>
      </c>
      <c r="M45" s="336">
        <f>VLOOKUP(B45,'EIB aid shares'!B:E,4,0)</f>
        <v>0</v>
      </c>
      <c r="N45" s="180">
        <f t="shared" si="0"/>
        <v>0</v>
      </c>
      <c r="O45" s="375">
        <f t="shared" si="1"/>
        <v>0</v>
      </c>
      <c r="P45" s="339">
        <f t="shared" si="2"/>
        <v>6.8261086198305926E-2</v>
      </c>
      <c r="Q45" s="341">
        <f t="shared" si="4"/>
        <v>1.1189738764522157E-2</v>
      </c>
      <c r="R45" s="342">
        <f>VLOOKUP(B45,'Military aid by type'!B:F,5,0)</f>
        <v>0</v>
      </c>
      <c r="S45" s="179">
        <f>VLOOKUP(B45,'Military aid by type'!B:G,6,0)</f>
        <v>0</v>
      </c>
      <c r="T45" s="455">
        <f>SUMIFS('Bilateral assistance, MAIN DATA'!S:S,'Bilateral assistance, MAIN DATA'!B:B,'Country summary'!B45,'Bilateral assistance, MAIN DATA'!AG:AG,1,'Bilateral assistance, MAIN DATA'!AH:AH,'Country summary'!$T$4)/1000000000</f>
        <v>0</v>
      </c>
      <c r="U45" s="455">
        <f>SUMIFS('Bilateral assistance, MAIN DATA'!S:S,'Bilateral assistance, MAIN DATA'!B:B,'Country summary'!B45,'Bilateral assistance, MAIN DATA'!AG:AG,1,'Bilateral assistance, MAIN DATA'!AH:AH,'Country summary'!$U$4)/1000000000</f>
        <v>0</v>
      </c>
      <c r="V45" s="455">
        <f>SUMIFS('Bilateral assistance, MAIN DATA'!S:S,'Bilateral assistance, MAIN DATA'!B:B,'Country summary'!B45,'Bilateral assistance, MAIN DATA'!AG:AG,1,'Bilateral assistance, MAIN DATA'!AH:AH,'Country summary'!$V$4)/1000000000</f>
        <v>0</v>
      </c>
      <c r="W45" s="455">
        <f>SUMIFS('Bilateral assistance, MAIN DATA'!S:S,'Bilateral assistance, MAIN DATA'!B:B,'Country summary'!B45,'Bilateral assistance, MAIN DATA'!AG:AG,1,'Bilateral assistance, MAIN DATA'!AH:AH,'Country summary'!$W$4)/1000000000</f>
        <v>7.9720976581963126E-3</v>
      </c>
      <c r="X45" s="455">
        <f>SUMIFS('Bilateral assistance, MAIN DATA'!S:S,'Bilateral assistance, MAIN DATA'!B:B,'Country summary'!B45,'Bilateral assistance, MAIN DATA'!AG:AG,1,'Bilateral assistance, MAIN DATA'!AH:AH,'Country summary'!$X$4)/1000000000</f>
        <v>0</v>
      </c>
      <c r="Y45" s="455">
        <f>SUMIFS('Bilateral assistance, MAIN DATA'!S:S,'Bilateral assistance, MAIN DATA'!B:B,'Country summary'!B45,'Bilateral assistance, MAIN DATA'!AG:AG,1,'Bilateral assistance, MAIN DATA'!AH:AH,'Country summary'!$Y$4)/1000000000</f>
        <v>4.4843049327354259E-3</v>
      </c>
      <c r="Z45" s="455">
        <f>SUMIFS('Bilateral assistance, MAIN DATA'!S:S,'Bilateral assistance, MAIN DATA'!B:B,'Country summary'!B45,'Bilateral assistance, MAIN DATA'!AG:AG,1,'Bilateral assistance, MAIN DATA'!AH:AH,'Country summary'!$Z$4)/1000000000</f>
        <v>0</v>
      </c>
      <c r="AA45" s="455">
        <f>SUMIFS('Bilateral assistance, MAIN DATA'!S:S,'Bilateral assistance, MAIN DATA'!B:B,'Country summary'!B45,'Bilateral assistance, MAIN DATA'!AG:AG,1,'Bilateral assistance, MAIN DATA'!AH:AH,'Country summary'!$AA$4)/1000000000</f>
        <v>0</v>
      </c>
      <c r="AB45" s="109">
        <f>SUMIFS('Bilateral assistance, MAIN DATA'!S:S,'Bilateral assistance, MAIN DATA'!B:B,'Country summary'!B45,'Bilateral assistance, MAIN DATA'!AG:AG,1,'Bilateral assistance, MAIN DATA'!AH:AH,'Country summary'!$AB$4)/1000000000</f>
        <v>0</v>
      </c>
      <c r="AC45" s="453">
        <f>SUMIFS('Bilateral assistance, MAIN DATA'!S:S,'Bilateral assistance, MAIN DATA'!B:B,'Country summary'!B45,'Bilateral assistance, MAIN DATA'!AG:AG,1,'Bilateral assistance, MAIN DATA'!AH:AH,'Country summary'!$AC$4)/1000000000</f>
        <v>5.5804683607374186E-2</v>
      </c>
      <c r="AD45" s="109">
        <f>SUMIFS('Bilateral assistance, MAIN DATA'!S:S,'Bilateral assistance, MAIN DATA'!B:B,'Country summary'!B45,'Bilateral assistance, MAIN DATA'!AG:AG,1,'Bilateral assistance, MAIN DATA'!AH:AH,'Country summary'!$AD$4)/1000000000</f>
        <v>0</v>
      </c>
      <c r="AE45" s="109">
        <f>SUMIFS('Bilateral assistance, MAIN DATA'!S:S,'Bilateral assistance, MAIN DATA'!B:B,'Country summary'!B45,'Bilateral assistance, MAIN DATA'!AG:AG,1,'Bilateral assistance, MAIN DATA'!AH:AH,'Country summary'!$AE$4)/1000000000</f>
        <v>0</v>
      </c>
      <c r="AF45" s="109">
        <f t="shared" si="7"/>
        <v>6.8261086198305926E-2</v>
      </c>
      <c r="AG45" s="104">
        <f>SUMIFS('Bilateral assistance, MAIN DATA'!S:S,'Bilateral assistance, MAIN DATA'!B:B,'Country summary'!B45,'Bilateral assistance, MAIN DATA'!AG:AG,0)/1000000000</f>
        <v>0</v>
      </c>
    </row>
    <row r="46" spans="2:33">
      <c r="B46" s="325" t="s">
        <v>1369</v>
      </c>
      <c r="C46" s="331">
        <v>0</v>
      </c>
      <c r="D46" s="328">
        <f>SUMIFS('Bilateral assistance, MAIN DATA'!S:S,'Bilateral assistance, MAIN DATA'!D:D,"Financial",'Bilateral assistance, MAIN DATA'!B:B,'Country summary'!B46)/1000000000</f>
        <v>0</v>
      </c>
      <c r="E46" s="328">
        <f>SUMIFS('Bilateral assistance, MAIN DATA'!S:S,'Bilateral assistance, MAIN DATA'!D:D,"Humanitarian",'Bilateral assistance, MAIN DATA'!B:B,'Country summary'!B46)/1000000000</f>
        <v>1.9404583956153462E-3</v>
      </c>
      <c r="F46" s="497">
        <f>SUMIFS('Bilateral assistance, MAIN DATA'!S:S,'Bilateral assistance, MAIN DATA'!D:D,"Military",'Bilateral assistance, MAIN DATA'!B:B,'Country summary'!B46)/1000000000</f>
        <v>0</v>
      </c>
      <c r="G46" s="329">
        <f t="shared" si="3"/>
        <v>1.9404583956153462E-3</v>
      </c>
      <c r="H46" s="326">
        <f>2660245248867/1000000000</f>
        <v>2660.2452488670001</v>
      </c>
      <c r="I46" s="326">
        <f>H46/VLOOKUP("USD",'Exchange rates'!B:C,2,0)</f>
        <v>2650.9668648400598</v>
      </c>
      <c r="J46" s="338">
        <f t="shared" si="5"/>
        <v>7.3198138435895518E-5</v>
      </c>
      <c r="K46" s="325">
        <f>VLOOKUP(B46,'EU aid shares'!B:E,4,0)</f>
        <v>0</v>
      </c>
      <c r="L46" s="335">
        <f>VLOOKUP(B46,'EPF aid shares'!B:G,6,0)</f>
        <v>0</v>
      </c>
      <c r="M46" s="337">
        <f>VLOOKUP(B46,'EIB aid shares'!B:E,4,0)</f>
        <v>0</v>
      </c>
      <c r="N46" s="335">
        <f t="shared" si="0"/>
        <v>0</v>
      </c>
      <c r="O46" s="375">
        <f t="shared" si="1"/>
        <v>0</v>
      </c>
      <c r="P46" s="340">
        <f t="shared" si="2"/>
        <v>1.9404583956153462E-3</v>
      </c>
      <c r="Q46" s="341">
        <f t="shared" si="4"/>
        <v>7.3198138435895518E-5</v>
      </c>
      <c r="R46" s="343">
        <f>VLOOKUP(B46,'Military aid by type'!B:F,5,0)</f>
        <v>0</v>
      </c>
      <c r="S46" s="328">
        <f>VLOOKUP(B46,'Military aid by type'!B:G,6,0)</f>
        <v>0</v>
      </c>
      <c r="T46" s="455">
        <f>SUMIFS('Bilateral assistance, MAIN DATA'!S:S,'Bilateral assistance, MAIN DATA'!B:B,'Country summary'!B46,'Bilateral assistance, MAIN DATA'!AG:AG,1,'Bilateral assistance, MAIN DATA'!AH:AH,'Country summary'!$T$4)/1000000000</f>
        <v>0</v>
      </c>
      <c r="U46" s="455">
        <f>SUMIFS('Bilateral assistance, MAIN DATA'!S:S,'Bilateral assistance, MAIN DATA'!B:B,'Country summary'!B46,'Bilateral assistance, MAIN DATA'!AG:AG,1,'Bilateral assistance, MAIN DATA'!AH:AH,'Country summary'!$U$4)/1000000000</f>
        <v>0</v>
      </c>
      <c r="V46" s="455">
        <f>SUMIFS('Bilateral assistance, MAIN DATA'!S:S,'Bilateral assistance, MAIN DATA'!B:B,'Country summary'!B46,'Bilateral assistance, MAIN DATA'!AG:AG,1,'Bilateral assistance, MAIN DATA'!AH:AH,'Country summary'!$V$4)/1000000000</f>
        <v>0</v>
      </c>
      <c r="W46" s="455">
        <f>SUMIFS('Bilateral assistance, MAIN DATA'!S:S,'Bilateral assistance, MAIN DATA'!B:B,'Country summary'!B46,'Bilateral assistance, MAIN DATA'!AG:AG,1,'Bilateral assistance, MAIN DATA'!AH:AH,'Country summary'!$W$4)/1000000000</f>
        <v>0</v>
      </c>
      <c r="X46" s="455">
        <f>SUMIFS('Bilateral assistance, MAIN DATA'!S:S,'Bilateral assistance, MAIN DATA'!B:B,'Country summary'!B46,'Bilateral assistance, MAIN DATA'!AG:AG,1,'Bilateral assistance, MAIN DATA'!AH:AH,'Country summary'!$X$4)/1000000000</f>
        <v>0</v>
      </c>
      <c r="Y46" s="455">
        <f>SUMIFS('Bilateral assistance, MAIN DATA'!S:S,'Bilateral assistance, MAIN DATA'!B:B,'Country summary'!B46,'Bilateral assistance, MAIN DATA'!AG:AG,1,'Bilateral assistance, MAIN DATA'!AH:AH,'Country summary'!$Y$4)/1000000000</f>
        <v>0</v>
      </c>
      <c r="Z46" s="455">
        <f>SUMIFS('Bilateral assistance, MAIN DATA'!S:S,'Bilateral assistance, MAIN DATA'!B:B,'Country summary'!B46,'Bilateral assistance, MAIN DATA'!AG:AG,1,'Bilateral assistance, MAIN DATA'!AH:AH,'Country summary'!$Z$4)/1000000000</f>
        <v>0</v>
      </c>
      <c r="AA46" s="455">
        <f>SUMIFS('Bilateral assistance, MAIN DATA'!S:S,'Bilateral assistance, MAIN DATA'!B:B,'Country summary'!B46,'Bilateral assistance, MAIN DATA'!AG:AG,1,'Bilateral assistance, MAIN DATA'!AH:AH,'Country summary'!$AA$4)/1000000000</f>
        <v>0</v>
      </c>
      <c r="AB46" s="109">
        <f>SUMIFS('Bilateral assistance, MAIN DATA'!S:S,'Bilateral assistance, MAIN DATA'!B:B,'Country summary'!B46,'Bilateral assistance, MAIN DATA'!AG:AG,1,'Bilateral assistance, MAIN DATA'!AH:AH,'Country summary'!$AB$4)/1000000000</f>
        <v>7.6980568011958132E-5</v>
      </c>
      <c r="AC46" s="453">
        <f>SUMIFS('Bilateral assistance, MAIN DATA'!S:S,'Bilateral assistance, MAIN DATA'!B:B,'Country summary'!B46,'Bilateral assistance, MAIN DATA'!AG:AG,1,'Bilateral assistance, MAIN DATA'!AH:AH,'Country summary'!$AC$4)/1000000000</f>
        <v>0</v>
      </c>
      <c r="AD46" s="109">
        <f>SUMIFS('Bilateral assistance, MAIN DATA'!S:S,'Bilateral assistance, MAIN DATA'!B:B,'Country summary'!B46,'Bilateral assistance, MAIN DATA'!AG:AG,1,'Bilateral assistance, MAIN DATA'!AH:AH,'Country summary'!$AD$4)/1000000000</f>
        <v>0</v>
      </c>
      <c r="AE46" s="109">
        <f>SUMIFS('Bilateral assistance, MAIN DATA'!S:S,'Bilateral assistance, MAIN DATA'!B:B,'Country summary'!B46,'Bilateral assistance, MAIN DATA'!AG:AG,1,'Bilateral assistance, MAIN DATA'!AH:AH,'Country summary'!$AE$4)/1000000000</f>
        <v>0</v>
      </c>
      <c r="AF46" s="109">
        <f t="shared" si="7"/>
        <v>7.6980568011958132E-5</v>
      </c>
      <c r="AG46" s="104">
        <f>SUMIFS('Bilateral assistance, MAIN DATA'!S:S,'Bilateral assistance, MAIN DATA'!B:B,'Country summary'!B46,'Bilateral assistance, MAIN DATA'!AG:AG,0)/1000000000</f>
        <v>1.863477827603388E-3</v>
      </c>
    </row>
    <row r="47" spans="2:33">
      <c r="B47" s="344" t="s">
        <v>3026</v>
      </c>
      <c r="C47" s="345" t="s">
        <v>232</v>
      </c>
      <c r="D47" s="346">
        <f>SUM(D6:D46)</f>
        <v>53.377206993279458</v>
      </c>
      <c r="E47" s="346">
        <f>SUM(E6:E46)</f>
        <v>16.760880922449626</v>
      </c>
      <c r="F47" s="498">
        <f>SUM(F6:F46)</f>
        <v>37.86795518945992</v>
      </c>
      <c r="G47" s="346">
        <f t="shared" ref="G47:AG47" si="8">SUM(G6:G46)</f>
        <v>108.00604310518901</v>
      </c>
      <c r="H47" s="346">
        <f t="shared" si="8"/>
        <v>84005.863692455037</v>
      </c>
      <c r="I47" s="346">
        <f t="shared" si="8"/>
        <v>83712.86865217243</v>
      </c>
      <c r="J47" s="346">
        <f t="shared" si="8"/>
        <v>6.3456081425815931</v>
      </c>
      <c r="K47" s="346">
        <f t="shared" si="8"/>
        <v>29.89</v>
      </c>
      <c r="L47" s="346">
        <f t="shared" si="8"/>
        <v>3.0999999999999996</v>
      </c>
      <c r="M47" s="346">
        <f t="shared" si="8"/>
        <v>2.0024999999999995</v>
      </c>
      <c r="N47" s="346">
        <f t="shared" si="8"/>
        <v>34.992499999999986</v>
      </c>
      <c r="O47" s="346">
        <f t="shared" si="8"/>
        <v>6.2661673559053863</v>
      </c>
      <c r="P47" s="346">
        <f t="shared" si="8"/>
        <v>142.99854310518899</v>
      </c>
      <c r="Q47" s="346">
        <f t="shared" si="8"/>
        <v>12.611775498486974</v>
      </c>
      <c r="R47" s="346">
        <f t="shared" si="8"/>
        <v>30.057449884517965</v>
      </c>
      <c r="S47" s="346">
        <f t="shared" si="8"/>
        <v>7.8105053049419499</v>
      </c>
      <c r="T47" s="346">
        <f t="shared" si="8"/>
        <v>0.28729281767955805</v>
      </c>
      <c r="U47" s="346">
        <f t="shared" si="8"/>
        <v>6.1709456746220344</v>
      </c>
      <c r="V47" s="346">
        <f t="shared" si="8"/>
        <v>13.421188774620736</v>
      </c>
      <c r="W47" s="346">
        <f t="shared" si="8"/>
        <v>11.329384324908142</v>
      </c>
      <c r="X47" s="346">
        <f t="shared" si="8"/>
        <v>40.889923305036149</v>
      </c>
      <c r="Y47" s="346">
        <f t="shared" si="8"/>
        <v>2.9439524964658497</v>
      </c>
      <c r="Z47" s="346">
        <f t="shared" si="8"/>
        <v>1.0359736112205324</v>
      </c>
      <c r="AA47" s="346">
        <f t="shared" si="8"/>
        <v>0.77140981551233689</v>
      </c>
      <c r="AB47" s="346">
        <f t="shared" si="8"/>
        <v>13.389751124390541</v>
      </c>
      <c r="AC47" s="346">
        <f t="shared" si="8"/>
        <v>1.9221973318003081</v>
      </c>
      <c r="AD47" s="346">
        <f t="shared" si="8"/>
        <v>20.251829203766878</v>
      </c>
      <c r="AE47" s="346">
        <f t="shared" si="8"/>
        <v>0</v>
      </c>
      <c r="AF47" s="346">
        <f t="shared" si="8"/>
        <v>112.41384848002306</v>
      </c>
      <c r="AG47" s="346">
        <f t="shared" si="8"/>
        <v>2.6194625165928884E-2</v>
      </c>
    </row>
    <row r="48" spans="2:33">
      <c r="B48" s="2"/>
      <c r="C48" s="332"/>
      <c r="G48" s="327"/>
      <c r="H48" s="101"/>
      <c r="J48" s="109"/>
      <c r="W48" s="455"/>
      <c r="X48" s="455"/>
      <c r="Y48" s="455"/>
      <c r="Z48" s="455"/>
      <c r="AA48" s="455"/>
    </row>
    <row r="49" spans="2:27">
      <c r="G49" s="327"/>
      <c r="H49" s="102"/>
      <c r="J49" s="109"/>
      <c r="S49" s="2"/>
      <c r="T49" s="455"/>
      <c r="U49" s="455"/>
      <c r="V49" s="455"/>
      <c r="W49" s="455"/>
      <c r="X49" s="455"/>
      <c r="Y49" s="455"/>
      <c r="Z49" s="455"/>
      <c r="AA49" s="455"/>
    </row>
    <row r="50" spans="2:27">
      <c r="G50" s="327"/>
      <c r="H50" s="102"/>
      <c r="S50" s="2"/>
      <c r="T50" s="455"/>
      <c r="U50" s="455"/>
      <c r="V50" s="455"/>
      <c r="W50" s="455"/>
      <c r="X50" s="455"/>
      <c r="Y50" s="455"/>
      <c r="Z50" s="455"/>
      <c r="AA50" s="455"/>
    </row>
    <row r="51" spans="2:27">
      <c r="G51" s="327"/>
      <c r="H51" s="102"/>
      <c r="S51" s="2"/>
      <c r="T51" s="455"/>
      <c r="U51" s="455"/>
      <c r="V51" s="455"/>
      <c r="W51" s="455"/>
      <c r="X51" s="455"/>
      <c r="Y51" s="455"/>
      <c r="Z51" s="455"/>
      <c r="AA51" s="455"/>
    </row>
    <row r="52" spans="2:27">
      <c r="H52" s="102"/>
      <c r="S52" s="2"/>
      <c r="T52" s="455"/>
      <c r="U52" s="455"/>
      <c r="V52" s="455"/>
      <c r="W52" s="455"/>
      <c r="X52" s="455"/>
      <c r="Y52" s="455"/>
      <c r="Z52" s="455"/>
      <c r="AA52" s="455"/>
    </row>
    <row r="53" spans="2:27">
      <c r="H53" s="102"/>
      <c r="S53" s="2"/>
      <c r="T53" s="455"/>
      <c r="U53" s="455"/>
      <c r="V53" s="455"/>
      <c r="W53" s="455"/>
      <c r="X53" s="455"/>
      <c r="Y53" s="455"/>
      <c r="Z53" s="455"/>
      <c r="AA53" s="455"/>
    </row>
    <row r="54" spans="2:27">
      <c r="B54" s="110"/>
      <c r="C54" s="333"/>
      <c r="H54" s="102"/>
      <c r="S54" s="2"/>
      <c r="T54" s="455"/>
      <c r="U54" s="455"/>
      <c r="V54" s="455"/>
      <c r="W54" s="455"/>
      <c r="X54" s="455"/>
      <c r="Y54" s="455"/>
      <c r="Z54" s="455"/>
      <c r="AA54" s="455"/>
    </row>
    <row r="55" spans="2:27">
      <c r="H55" s="102"/>
      <c r="S55" s="2"/>
      <c r="T55" s="455"/>
      <c r="U55" s="455"/>
      <c r="V55" s="455"/>
      <c r="W55" s="455"/>
      <c r="X55" s="455"/>
      <c r="Y55" s="455"/>
      <c r="Z55" s="455"/>
      <c r="AA55" s="455"/>
    </row>
    <row r="56" spans="2:27">
      <c r="B56" s="98"/>
      <c r="C56" s="334"/>
      <c r="G56" s="327"/>
      <c r="H56" s="102"/>
      <c r="S56" s="2"/>
      <c r="T56" s="455"/>
      <c r="U56" s="455"/>
      <c r="V56" s="455"/>
      <c r="W56" s="455"/>
      <c r="X56" s="455"/>
      <c r="Y56" s="455"/>
      <c r="Z56" s="455"/>
      <c r="AA56" s="455"/>
    </row>
    <row r="57" spans="2:27">
      <c r="G57" s="179"/>
      <c r="H57" s="102"/>
      <c r="S57" s="2"/>
      <c r="T57" s="455"/>
      <c r="U57" s="455"/>
      <c r="V57" s="455"/>
      <c r="W57" s="455"/>
      <c r="X57" s="455"/>
      <c r="Y57" s="455"/>
      <c r="Z57" s="455"/>
      <c r="AA57" s="455"/>
    </row>
    <row r="58" spans="2:27">
      <c r="G58" s="562"/>
      <c r="S58" s="2"/>
      <c r="T58" s="455"/>
      <c r="U58" s="455"/>
      <c r="V58" s="455"/>
      <c r="W58" s="455"/>
      <c r="X58" s="455"/>
      <c r="Y58" s="455"/>
      <c r="Z58" s="455"/>
      <c r="AA58" s="455"/>
    </row>
    <row r="59" spans="2:27">
      <c r="G59" s="327"/>
      <c r="S59" s="2"/>
      <c r="T59" s="455"/>
      <c r="U59" s="455"/>
      <c r="V59" s="455"/>
      <c r="W59" s="455"/>
      <c r="X59" s="455"/>
      <c r="Y59" s="455"/>
      <c r="Z59" s="455"/>
      <c r="AA59" s="455"/>
    </row>
    <row r="60" spans="2:27">
      <c r="G60" s="327"/>
      <c r="S60" s="2"/>
      <c r="T60" s="455"/>
      <c r="U60" s="455"/>
      <c r="V60" s="455"/>
      <c r="W60" s="455"/>
      <c r="X60" s="455"/>
      <c r="Y60" s="455"/>
      <c r="Z60" s="455"/>
      <c r="AA60" s="455"/>
    </row>
    <row r="61" spans="2:27">
      <c r="S61" s="2"/>
      <c r="T61" s="455"/>
      <c r="U61" s="455"/>
      <c r="V61" s="455"/>
      <c r="W61" s="455"/>
      <c r="X61" s="455"/>
      <c r="Y61" s="455"/>
      <c r="Z61" s="455"/>
      <c r="AA61" s="455"/>
    </row>
    <row r="62" spans="2:27">
      <c r="S62" s="2"/>
      <c r="T62" s="455"/>
      <c r="U62" s="455"/>
      <c r="V62" s="455"/>
      <c r="W62" s="455"/>
      <c r="X62" s="455"/>
      <c r="Y62" s="455"/>
      <c r="Z62" s="455"/>
      <c r="AA62" s="455"/>
    </row>
    <row r="63" spans="2:27">
      <c r="S63" s="2"/>
      <c r="T63" s="455"/>
      <c r="U63" s="455"/>
      <c r="V63" s="455"/>
      <c r="W63" s="455"/>
      <c r="X63" s="455"/>
      <c r="Y63" s="455"/>
      <c r="Z63" s="455"/>
      <c r="AA63" s="455"/>
    </row>
    <row r="64" spans="2:27">
      <c r="S64" s="2"/>
      <c r="T64" s="455"/>
      <c r="U64" s="455"/>
      <c r="V64" s="455"/>
      <c r="W64" s="455"/>
      <c r="X64" s="455"/>
      <c r="Y64" s="455"/>
      <c r="Z64" s="455"/>
      <c r="AA64" s="455"/>
    </row>
    <row r="65" spans="19:27">
      <c r="S65" s="2"/>
      <c r="T65" s="455"/>
      <c r="U65" s="455"/>
      <c r="V65" s="455"/>
      <c r="W65" s="455"/>
      <c r="X65" s="455"/>
      <c r="Y65" s="455"/>
      <c r="Z65" s="455"/>
      <c r="AA65" s="455"/>
    </row>
    <row r="66" spans="19:27">
      <c r="S66" s="2"/>
      <c r="T66" s="455"/>
      <c r="U66" s="455"/>
      <c r="V66" s="455"/>
      <c r="W66" s="455"/>
      <c r="X66" s="455"/>
      <c r="Y66" s="455"/>
      <c r="Z66" s="455"/>
      <c r="AA66" s="455"/>
    </row>
    <row r="67" spans="19:27">
      <c r="S67" s="2"/>
      <c r="T67" s="455"/>
      <c r="U67" s="455"/>
      <c r="V67" s="455"/>
      <c r="W67" s="455"/>
      <c r="X67" s="455"/>
      <c r="Y67" s="455"/>
      <c r="Z67" s="455"/>
      <c r="AA67" s="455"/>
    </row>
    <row r="68" spans="19:27">
      <c r="S68" s="2"/>
      <c r="T68" s="455"/>
      <c r="U68" s="455"/>
      <c r="V68" s="455"/>
      <c r="W68" s="455"/>
      <c r="X68" s="455"/>
      <c r="Y68" s="455"/>
      <c r="Z68" s="455"/>
      <c r="AA68" s="455"/>
    </row>
    <row r="69" spans="19:27">
      <c r="S69" s="2"/>
      <c r="T69" s="455"/>
      <c r="U69" s="455"/>
      <c r="V69" s="455"/>
      <c r="W69" s="455"/>
      <c r="X69" s="455"/>
      <c r="Y69" s="455"/>
      <c r="Z69" s="455"/>
      <c r="AA69" s="455"/>
    </row>
    <row r="70" spans="19:27">
      <c r="S70" s="2"/>
      <c r="T70" s="455"/>
      <c r="U70" s="455"/>
      <c r="V70" s="455"/>
      <c r="W70" s="455"/>
      <c r="X70" s="455"/>
      <c r="Y70" s="455"/>
      <c r="Z70" s="455"/>
      <c r="AA70" s="455"/>
    </row>
    <row r="71" spans="19:27">
      <c r="S71" s="2"/>
      <c r="T71" s="455"/>
      <c r="U71" s="455"/>
      <c r="V71" s="455"/>
      <c r="W71" s="455"/>
      <c r="X71" s="455"/>
      <c r="Y71" s="455"/>
      <c r="Z71" s="455"/>
      <c r="AA71" s="455"/>
    </row>
    <row r="72" spans="19:27">
      <c r="S72" s="2"/>
      <c r="T72" s="455"/>
      <c r="U72" s="455"/>
      <c r="V72" s="455"/>
      <c r="W72" s="455"/>
      <c r="X72" s="455"/>
      <c r="Y72" s="455"/>
      <c r="Z72" s="455"/>
      <c r="AA72" s="455"/>
    </row>
    <row r="73" spans="19:27">
      <c r="S73" s="2"/>
      <c r="T73" s="455"/>
      <c r="U73" s="455"/>
      <c r="V73" s="455"/>
      <c r="W73" s="455"/>
      <c r="X73" s="455"/>
      <c r="Y73" s="455"/>
      <c r="Z73" s="455"/>
      <c r="AA73" s="455"/>
    </row>
    <row r="74" spans="19:27">
      <c r="S74" s="2"/>
      <c r="T74" s="455"/>
      <c r="U74" s="455"/>
      <c r="V74" s="455"/>
      <c r="W74" s="455"/>
      <c r="X74" s="455"/>
      <c r="Y74" s="455"/>
      <c r="Z74" s="455"/>
      <c r="AA74" s="455"/>
    </row>
    <row r="75" spans="19:27">
      <c r="S75" s="2"/>
      <c r="T75" s="455"/>
      <c r="U75" s="455"/>
      <c r="V75" s="455"/>
      <c r="W75" s="455"/>
      <c r="X75" s="455"/>
      <c r="Y75" s="455"/>
      <c r="Z75" s="455"/>
      <c r="AA75" s="455"/>
    </row>
    <row r="76" spans="19:27">
      <c r="S76" s="2"/>
      <c r="T76" s="455"/>
      <c r="U76" s="455"/>
      <c r="V76" s="455"/>
      <c r="W76" s="455"/>
      <c r="X76" s="455"/>
      <c r="Y76" s="455"/>
      <c r="Z76" s="455"/>
      <c r="AA76" s="455"/>
    </row>
    <row r="77" spans="19:27">
      <c r="S77" s="2"/>
      <c r="T77" s="455"/>
      <c r="U77" s="455"/>
      <c r="V77" s="455"/>
      <c r="W77" s="455"/>
      <c r="X77" s="455"/>
      <c r="Y77" s="455"/>
      <c r="Z77" s="455"/>
      <c r="AA77" s="455"/>
    </row>
    <row r="78" spans="19:27">
      <c r="S78" s="2"/>
      <c r="T78" s="455"/>
      <c r="U78" s="455"/>
      <c r="V78" s="455"/>
      <c r="W78" s="455"/>
      <c r="X78" s="455"/>
      <c r="Y78" s="455"/>
      <c r="Z78" s="455"/>
      <c r="AA78" s="455"/>
    </row>
    <row r="79" spans="19:27">
      <c r="S79" s="2"/>
      <c r="T79" s="455"/>
      <c r="U79" s="455"/>
      <c r="V79" s="455"/>
      <c r="W79" s="455"/>
      <c r="X79" s="455"/>
      <c r="Y79" s="455"/>
      <c r="Z79" s="455"/>
      <c r="AA79" s="455"/>
    </row>
    <row r="80" spans="19:27">
      <c r="S80" s="2"/>
      <c r="T80" s="455"/>
      <c r="U80" s="455"/>
      <c r="V80" s="455"/>
      <c r="W80" s="455"/>
      <c r="X80" s="455"/>
      <c r="Y80" s="455"/>
      <c r="Z80" s="455"/>
      <c r="AA80" s="455"/>
    </row>
    <row r="81" spans="19:27">
      <c r="S81" s="2"/>
      <c r="T81" s="455"/>
      <c r="U81" s="455"/>
      <c r="V81" s="455"/>
      <c r="W81" s="455"/>
      <c r="X81" s="455"/>
      <c r="Y81" s="455"/>
      <c r="Z81" s="455"/>
      <c r="AA81" s="455"/>
    </row>
    <row r="82" spans="19:27">
      <c r="S82" s="2"/>
      <c r="T82" s="455"/>
      <c r="U82" s="455"/>
      <c r="V82" s="455"/>
      <c r="W82" s="455"/>
      <c r="X82" s="455"/>
      <c r="Y82" s="455"/>
      <c r="Z82" s="455"/>
      <c r="AA82" s="455"/>
    </row>
    <row r="83" spans="19:27">
      <c r="S83" s="2"/>
      <c r="T83" s="455"/>
      <c r="U83" s="455"/>
      <c r="V83" s="455"/>
      <c r="W83" s="455"/>
      <c r="X83" s="455"/>
      <c r="Y83" s="455"/>
      <c r="Z83" s="455"/>
      <c r="AA83" s="455"/>
    </row>
    <row r="84" spans="19:27">
      <c r="S84" s="2"/>
      <c r="T84" s="455"/>
      <c r="U84" s="455"/>
      <c r="V84" s="455"/>
      <c r="W84" s="455"/>
      <c r="X84" s="455"/>
      <c r="Y84" s="455"/>
      <c r="Z84" s="455"/>
      <c r="AA84" s="455"/>
    </row>
    <row r="85" spans="19:27">
      <c r="S85" s="2"/>
      <c r="T85" s="455"/>
      <c r="U85" s="455"/>
      <c r="V85" s="455"/>
      <c r="W85" s="455"/>
      <c r="X85" s="455"/>
      <c r="Y85" s="455"/>
      <c r="Z85" s="455"/>
      <c r="AA85" s="455"/>
    </row>
    <row r="86" spans="19:27">
      <c r="S86" s="2"/>
      <c r="T86" s="455"/>
      <c r="U86" s="455"/>
      <c r="V86" s="455"/>
      <c r="W86" s="455"/>
      <c r="X86" s="455"/>
      <c r="Y86" s="455"/>
      <c r="Z86" s="455"/>
      <c r="AA86" s="455"/>
    </row>
    <row r="87" spans="19:27">
      <c r="S87" s="2"/>
      <c r="T87" s="455"/>
      <c r="U87" s="455"/>
      <c r="V87" s="455"/>
      <c r="W87" s="455"/>
      <c r="X87" s="455"/>
      <c r="Y87" s="455"/>
      <c r="Z87" s="455"/>
      <c r="AA87" s="455"/>
    </row>
    <row r="88" spans="19:27">
      <c r="S88" s="2"/>
      <c r="T88" s="455"/>
      <c r="U88" s="455"/>
      <c r="V88" s="455"/>
      <c r="W88" s="455"/>
      <c r="X88" s="455"/>
      <c r="Y88" s="455"/>
      <c r="Z88" s="455"/>
      <c r="AA88" s="455"/>
    </row>
    <row r="89" spans="19:27">
      <c r="S89" s="2"/>
      <c r="T89" s="455"/>
      <c r="U89" s="455"/>
      <c r="V89" s="455"/>
      <c r="W89" s="455"/>
      <c r="X89" s="455"/>
      <c r="Y89" s="455"/>
      <c r="Z89" s="455"/>
      <c r="AA89" s="455"/>
    </row>
    <row r="90" spans="19:27">
      <c r="S90" s="2"/>
      <c r="T90" s="455"/>
      <c r="U90" s="455"/>
      <c r="V90" s="455"/>
      <c r="W90" s="455"/>
      <c r="X90" s="455"/>
      <c r="Y90" s="455"/>
      <c r="Z90" s="455"/>
      <c r="AA90" s="455"/>
    </row>
    <row r="91" spans="19:27">
      <c r="S91" s="2"/>
      <c r="T91" s="455"/>
      <c r="U91" s="455"/>
      <c r="V91" s="455"/>
      <c r="W91" s="455"/>
      <c r="X91" s="455"/>
      <c r="Y91" s="455"/>
      <c r="Z91" s="455"/>
      <c r="AA91" s="455"/>
    </row>
    <row r="92" spans="19:27">
      <c r="S92" s="2"/>
      <c r="T92" s="455"/>
      <c r="U92" s="455"/>
      <c r="V92" s="455"/>
      <c r="W92" s="455"/>
      <c r="X92" s="455"/>
      <c r="Y92" s="455"/>
      <c r="Z92" s="455"/>
      <c r="AA92" s="455"/>
    </row>
    <row r="93" spans="19:27">
      <c r="S93" s="2"/>
      <c r="T93" s="455"/>
      <c r="U93" s="455"/>
      <c r="V93" s="455"/>
      <c r="W93" s="455"/>
      <c r="X93" s="455"/>
      <c r="Y93" s="455"/>
      <c r="Z93" s="455"/>
      <c r="AA93" s="455"/>
    </row>
    <row r="94" spans="19:27">
      <c r="S94" s="2"/>
      <c r="T94" s="455"/>
      <c r="U94" s="455"/>
      <c r="V94" s="455"/>
      <c r="W94" s="455"/>
      <c r="X94" s="455"/>
      <c r="Y94" s="455"/>
      <c r="Z94" s="455"/>
      <c r="AA94" s="455"/>
    </row>
    <row r="95" spans="19:27">
      <c r="S95" s="2"/>
      <c r="T95" s="455"/>
      <c r="U95" s="455"/>
      <c r="V95" s="455"/>
      <c r="W95" s="455"/>
      <c r="X95" s="455"/>
      <c r="Y95" s="455"/>
      <c r="Z95" s="455"/>
      <c r="AA95" s="455"/>
    </row>
    <row r="96" spans="19:27">
      <c r="S96" s="2"/>
      <c r="T96" s="455"/>
      <c r="U96" s="455"/>
      <c r="V96" s="455"/>
      <c r="W96" s="455"/>
      <c r="X96" s="455"/>
      <c r="Y96" s="455"/>
      <c r="Z96" s="455"/>
      <c r="AA96" s="455"/>
    </row>
    <row r="97" spans="19:27">
      <c r="S97" s="2"/>
      <c r="T97" s="455"/>
      <c r="U97" s="455"/>
      <c r="V97" s="455"/>
      <c r="W97" s="455"/>
      <c r="X97" s="455"/>
      <c r="Y97" s="455"/>
      <c r="Z97" s="455"/>
      <c r="AA97" s="455"/>
    </row>
    <row r="98" spans="19:27">
      <c r="S98" s="2"/>
      <c r="T98" s="455"/>
      <c r="U98" s="455"/>
      <c r="V98" s="455"/>
      <c r="W98" s="455"/>
      <c r="X98" s="455"/>
      <c r="Y98" s="455"/>
      <c r="Z98" s="455"/>
      <c r="AA98" s="455"/>
    </row>
    <row r="99" spans="19:27">
      <c r="S99" s="2"/>
      <c r="T99" s="455"/>
      <c r="U99" s="455"/>
      <c r="V99" s="455"/>
      <c r="W99" s="455"/>
      <c r="X99" s="455"/>
      <c r="Y99" s="455"/>
      <c r="Z99" s="455"/>
      <c r="AA99" s="455"/>
    </row>
    <row r="100" spans="19:27">
      <c r="S100" s="2"/>
      <c r="T100" s="455"/>
      <c r="U100" s="455"/>
      <c r="V100" s="455"/>
      <c r="W100" s="455"/>
      <c r="X100" s="455"/>
      <c r="Y100" s="455"/>
      <c r="Z100" s="455"/>
      <c r="AA100" s="455"/>
    </row>
    <row r="101" spans="19:27">
      <c r="S101" s="2"/>
      <c r="T101" s="455"/>
      <c r="U101" s="455"/>
      <c r="V101" s="455"/>
      <c r="W101" s="455"/>
      <c r="X101" s="455"/>
      <c r="Y101" s="455"/>
      <c r="Z101" s="455"/>
      <c r="AA101" s="455"/>
    </row>
    <row r="102" spans="19:27">
      <c r="S102" s="2"/>
      <c r="T102" s="455"/>
      <c r="U102" s="455"/>
      <c r="V102" s="455"/>
      <c r="W102" s="455"/>
      <c r="X102" s="455"/>
      <c r="Y102" s="455"/>
      <c r="Z102" s="455"/>
      <c r="AA102" s="455"/>
    </row>
    <row r="103" spans="19:27">
      <c r="S103" s="2"/>
      <c r="T103" s="455"/>
      <c r="U103" s="455"/>
      <c r="V103" s="455"/>
      <c r="W103" s="455"/>
      <c r="X103" s="455"/>
      <c r="Y103" s="455"/>
      <c r="Z103" s="455"/>
      <c r="AA103" s="455"/>
    </row>
    <row r="104" spans="19:27">
      <c r="S104" s="2"/>
      <c r="T104" s="455"/>
      <c r="U104" s="455"/>
      <c r="V104" s="455"/>
      <c r="W104" s="455"/>
      <c r="X104" s="455"/>
      <c r="Y104" s="455"/>
      <c r="Z104" s="455"/>
      <c r="AA104" s="455"/>
    </row>
    <row r="105" spans="19:27">
      <c r="S105" s="2"/>
      <c r="T105" s="455"/>
      <c r="U105" s="455"/>
      <c r="V105" s="455"/>
      <c r="W105" s="455"/>
      <c r="X105" s="455"/>
      <c r="Y105" s="455"/>
      <c r="Z105" s="455"/>
      <c r="AA105" s="455"/>
    </row>
    <row r="106" spans="19:27">
      <c r="S106" s="2"/>
      <c r="T106" s="455"/>
      <c r="U106" s="455"/>
      <c r="V106" s="455"/>
      <c r="W106" s="455"/>
      <c r="X106" s="455"/>
      <c r="Y106" s="455"/>
      <c r="Z106" s="455"/>
      <c r="AA106" s="455"/>
    </row>
    <row r="107" spans="19:27">
      <c r="S107" s="2"/>
      <c r="T107" s="455"/>
      <c r="U107" s="455"/>
      <c r="V107" s="455"/>
      <c r="W107" s="455"/>
      <c r="X107" s="455"/>
      <c r="Y107" s="455"/>
      <c r="Z107" s="455"/>
      <c r="AA107" s="455"/>
    </row>
    <row r="108" spans="19:27">
      <c r="S108" s="2"/>
      <c r="T108" s="455"/>
      <c r="U108" s="455"/>
      <c r="V108" s="455"/>
      <c r="W108" s="455"/>
      <c r="X108" s="455"/>
      <c r="Y108" s="455"/>
      <c r="Z108" s="455"/>
      <c r="AA108" s="455"/>
    </row>
    <row r="109" spans="19:27">
      <c r="S109" s="2"/>
      <c r="T109" s="455"/>
      <c r="U109" s="455"/>
      <c r="V109" s="455"/>
      <c r="W109" s="455"/>
      <c r="X109" s="455"/>
      <c r="Y109" s="455"/>
      <c r="Z109" s="455"/>
      <c r="AA109" s="455"/>
    </row>
    <row r="110" spans="19:27">
      <c r="S110" s="2"/>
      <c r="T110" s="455"/>
      <c r="U110" s="455"/>
      <c r="V110" s="455"/>
      <c r="W110" s="455"/>
      <c r="X110" s="455"/>
      <c r="Y110" s="455"/>
      <c r="Z110" s="455"/>
      <c r="AA110" s="455"/>
    </row>
    <row r="111" spans="19:27">
      <c r="S111" s="2"/>
      <c r="T111" s="455"/>
      <c r="U111" s="455"/>
      <c r="V111" s="455"/>
      <c r="W111" s="455"/>
      <c r="X111" s="455"/>
      <c r="Y111" s="455"/>
      <c r="Z111" s="455"/>
      <c r="AA111" s="455"/>
    </row>
    <row r="112" spans="19:27">
      <c r="S112" s="2"/>
      <c r="T112" s="455"/>
      <c r="U112" s="455"/>
      <c r="V112" s="455"/>
      <c r="W112" s="455"/>
      <c r="X112" s="455"/>
      <c r="Y112" s="455"/>
      <c r="Z112" s="455"/>
      <c r="AA112" s="455"/>
    </row>
    <row r="113" spans="19:27">
      <c r="S113" s="2"/>
      <c r="T113" s="455"/>
      <c r="U113" s="455"/>
      <c r="V113" s="455"/>
      <c r="W113" s="455"/>
      <c r="X113" s="455"/>
      <c r="Y113" s="455"/>
      <c r="Z113" s="455"/>
      <c r="AA113" s="455"/>
    </row>
    <row r="114" spans="19:27">
      <c r="S114" s="2"/>
      <c r="T114" s="455"/>
      <c r="U114" s="455"/>
      <c r="V114" s="455"/>
      <c r="W114" s="455"/>
      <c r="X114" s="455"/>
      <c r="Y114" s="455"/>
      <c r="Z114" s="455"/>
      <c r="AA114" s="455"/>
    </row>
    <row r="115" spans="19:27">
      <c r="S115" s="2"/>
      <c r="T115" s="455"/>
      <c r="U115" s="455"/>
      <c r="V115" s="459"/>
      <c r="W115" s="455"/>
      <c r="X115" s="455"/>
      <c r="Y115" s="455"/>
      <c r="Z115" s="455"/>
      <c r="AA115" s="455"/>
    </row>
    <row r="116" spans="19:27">
      <c r="S116" s="2"/>
      <c r="T116" s="455"/>
      <c r="U116" s="455"/>
      <c r="V116" s="455"/>
      <c r="W116" s="455"/>
      <c r="X116" s="455"/>
      <c r="Y116" s="455"/>
      <c r="Z116" s="455"/>
      <c r="AA116" s="455"/>
    </row>
    <row r="117" spans="19:27">
      <c r="S117" s="2"/>
      <c r="T117" s="455"/>
      <c r="U117" s="455"/>
      <c r="V117" s="455"/>
      <c r="W117" s="455"/>
      <c r="X117" s="455"/>
      <c r="Y117" s="455"/>
      <c r="Z117" s="455"/>
      <c r="AA117" s="455"/>
    </row>
    <row r="118" spans="19:27">
      <c r="S118" s="2"/>
      <c r="T118" s="455"/>
      <c r="U118" s="455"/>
      <c r="V118" s="455"/>
      <c r="W118" s="455"/>
      <c r="X118" s="455"/>
      <c r="Y118" s="455"/>
      <c r="Z118" s="455"/>
      <c r="AA118" s="455"/>
    </row>
    <row r="119" spans="19:27">
      <c r="S119" s="2"/>
      <c r="T119" s="455"/>
      <c r="U119" s="455"/>
      <c r="V119" s="455"/>
      <c r="W119" s="455"/>
      <c r="X119" s="455"/>
      <c r="Y119" s="455"/>
      <c r="Z119" s="455"/>
      <c r="AA119" s="455"/>
    </row>
    <row r="120" spans="19:27">
      <c r="S120" s="2"/>
      <c r="T120" s="455"/>
      <c r="U120" s="455"/>
      <c r="V120" s="460"/>
      <c r="W120" s="455"/>
      <c r="X120" s="455"/>
      <c r="Y120" s="455"/>
      <c r="Z120" s="455"/>
      <c r="AA120" s="455"/>
    </row>
    <row r="121" spans="19:27">
      <c r="S121" s="2"/>
      <c r="T121" s="455"/>
      <c r="U121" s="455"/>
      <c r="V121" s="455"/>
      <c r="W121" s="455"/>
      <c r="X121" s="455"/>
      <c r="Y121" s="455"/>
      <c r="Z121" s="455"/>
      <c r="AA121" s="455"/>
    </row>
    <row r="122" spans="19:27">
      <c r="S122" s="2"/>
      <c r="T122" s="455"/>
      <c r="U122" s="455"/>
      <c r="V122" s="455"/>
      <c r="W122" s="455"/>
      <c r="X122" s="455"/>
      <c r="Y122" s="455"/>
      <c r="Z122" s="455"/>
      <c r="AA122" s="455"/>
    </row>
    <row r="123" spans="19:27">
      <c r="S123" s="2"/>
      <c r="T123" s="455"/>
      <c r="U123" s="455"/>
      <c r="V123" s="455"/>
      <c r="W123" s="455"/>
      <c r="X123" s="455"/>
      <c r="Y123" s="455"/>
      <c r="Z123" s="455"/>
      <c r="AA123" s="455"/>
    </row>
    <row r="124" spans="19:27">
      <c r="W124" s="455"/>
      <c r="X124" s="455"/>
      <c r="Y124" s="455"/>
      <c r="Z124" s="455"/>
      <c r="AA124" s="455"/>
    </row>
    <row r="125" spans="19:27">
      <c r="S125" s="2"/>
      <c r="T125" s="455"/>
      <c r="U125" s="455"/>
      <c r="V125" s="455"/>
      <c r="W125" s="455"/>
      <c r="X125" s="455"/>
      <c r="Y125" s="455"/>
      <c r="Z125" s="455"/>
      <c r="AA125" s="455"/>
    </row>
    <row r="126" spans="19:27">
      <c r="S126" s="2"/>
      <c r="T126" s="455"/>
      <c r="U126" s="455"/>
      <c r="V126" s="455"/>
      <c r="W126" s="455"/>
      <c r="X126" s="455"/>
      <c r="Y126" s="455"/>
      <c r="Z126" s="455"/>
      <c r="AA126" s="455"/>
    </row>
    <row r="127" spans="19:27">
      <c r="S127" s="2"/>
      <c r="T127" s="455"/>
      <c r="U127" s="455"/>
      <c r="V127" s="455"/>
      <c r="W127" s="455"/>
      <c r="X127" s="455"/>
      <c r="Y127" s="455"/>
      <c r="Z127" s="455"/>
      <c r="AA127" s="455"/>
    </row>
    <row r="128" spans="19:27">
      <c r="S128" s="2"/>
      <c r="T128" s="455"/>
      <c r="U128" s="455"/>
      <c r="V128" s="455"/>
      <c r="W128" s="455"/>
      <c r="X128" s="455"/>
      <c r="Y128" s="455"/>
      <c r="Z128" s="455"/>
      <c r="AA128" s="455"/>
    </row>
    <row r="129" spans="19:27">
      <c r="S129" s="2"/>
      <c r="T129" s="455"/>
      <c r="U129" s="455"/>
      <c r="V129" s="455"/>
      <c r="W129" s="455"/>
      <c r="X129" s="455"/>
      <c r="Y129" s="455"/>
      <c r="Z129" s="455"/>
      <c r="AA129" s="455"/>
    </row>
    <row r="130" spans="19:27">
      <c r="S130" s="2"/>
      <c r="T130" s="455"/>
      <c r="U130" s="455"/>
      <c r="V130" s="455"/>
      <c r="W130" s="455"/>
      <c r="X130" s="455"/>
      <c r="Y130" s="455"/>
      <c r="Z130" s="455"/>
      <c r="AA130" s="455"/>
    </row>
    <row r="131" spans="19:27">
      <c r="S131" s="2"/>
      <c r="T131" s="455"/>
      <c r="U131" s="455"/>
      <c r="V131" s="455"/>
      <c r="W131" s="455"/>
      <c r="X131" s="455"/>
      <c r="Y131" s="455"/>
      <c r="Z131" s="455"/>
      <c r="AA131" s="455"/>
    </row>
    <row r="132" spans="19:27">
      <c r="S132" s="2"/>
      <c r="T132" s="455"/>
      <c r="U132" s="455"/>
      <c r="V132" s="455"/>
      <c r="W132" s="455"/>
      <c r="X132" s="455"/>
      <c r="Y132" s="455"/>
      <c r="Z132" s="455"/>
      <c r="AA132" s="455"/>
    </row>
    <row r="133" spans="19:27">
      <c r="S133" s="2"/>
      <c r="T133" s="455"/>
      <c r="U133" s="455"/>
      <c r="V133" s="455"/>
      <c r="W133" s="455"/>
      <c r="X133" s="455"/>
      <c r="Y133" s="455"/>
      <c r="Z133" s="455"/>
      <c r="AA133" s="455"/>
    </row>
    <row r="134" spans="19:27">
      <c r="S134" s="2"/>
      <c r="T134" s="455"/>
      <c r="U134" s="455"/>
      <c r="V134" s="455"/>
      <c r="W134" s="455"/>
      <c r="X134" s="455"/>
      <c r="Y134" s="455"/>
      <c r="Z134" s="455"/>
      <c r="AA134" s="455"/>
    </row>
    <row r="135" spans="19:27">
      <c r="S135" s="2"/>
      <c r="T135" s="455"/>
      <c r="U135" s="455"/>
      <c r="V135" s="455"/>
      <c r="W135" s="455"/>
      <c r="X135" s="455"/>
      <c r="Y135" s="455"/>
      <c r="Z135" s="455"/>
      <c r="AA135" s="455"/>
    </row>
    <row r="136" spans="19:27">
      <c r="S136" s="2"/>
      <c r="T136" s="455"/>
      <c r="U136" s="455"/>
      <c r="V136" s="455"/>
      <c r="W136" s="455"/>
      <c r="X136" s="455"/>
      <c r="Y136" s="455"/>
      <c r="Z136" s="455"/>
      <c r="AA136" s="455"/>
    </row>
    <row r="137" spans="19:27">
      <c r="S137" s="2"/>
      <c r="T137" s="455"/>
      <c r="U137" s="455"/>
      <c r="V137" s="455"/>
      <c r="W137" s="455"/>
      <c r="X137" s="455"/>
      <c r="Y137" s="455"/>
      <c r="Z137" s="455"/>
      <c r="AA137" s="455"/>
    </row>
    <row r="138" spans="19:27">
      <c r="S138" s="2"/>
      <c r="T138" s="455"/>
      <c r="U138" s="455"/>
      <c r="V138" s="455"/>
      <c r="W138" s="455"/>
      <c r="X138" s="455"/>
      <c r="Y138" s="455"/>
      <c r="Z138" s="455"/>
      <c r="AA138" s="455"/>
    </row>
    <row r="139" spans="19:27">
      <c r="S139" s="2"/>
      <c r="T139" s="455"/>
      <c r="U139" s="455"/>
      <c r="V139" s="455"/>
      <c r="W139" s="455"/>
      <c r="X139" s="455"/>
      <c r="Y139" s="455"/>
      <c r="Z139" s="455"/>
      <c r="AA139" s="455"/>
    </row>
    <row r="140" spans="19:27">
      <c r="S140" s="2"/>
      <c r="T140" s="455"/>
      <c r="U140" s="455"/>
      <c r="V140" s="455"/>
      <c r="W140" s="455"/>
      <c r="X140" s="455"/>
      <c r="Y140" s="455"/>
      <c r="Z140" s="455"/>
      <c r="AA140" s="455"/>
    </row>
    <row r="141" spans="19:27">
      <c r="S141" s="2"/>
      <c r="T141" s="455"/>
      <c r="U141" s="455"/>
      <c r="V141" s="455"/>
      <c r="W141" s="455"/>
      <c r="X141" s="455"/>
      <c r="Y141" s="455"/>
      <c r="Z141" s="455"/>
      <c r="AA141" s="455"/>
    </row>
    <row r="142" spans="19:27">
      <c r="S142" s="2"/>
      <c r="T142" s="455"/>
      <c r="U142" s="455"/>
      <c r="V142" s="455"/>
      <c r="W142" s="455"/>
      <c r="X142" s="455"/>
      <c r="Y142" s="455"/>
      <c r="Z142" s="455"/>
      <c r="AA142" s="455"/>
    </row>
    <row r="143" spans="19:27">
      <c r="S143" s="2"/>
      <c r="T143" s="455"/>
      <c r="U143" s="455"/>
      <c r="V143" s="455"/>
      <c r="W143" s="455"/>
      <c r="X143" s="455"/>
      <c r="Y143" s="455"/>
      <c r="Z143" s="455"/>
      <c r="AA143" s="455"/>
    </row>
    <row r="144" spans="19:27">
      <c r="S144" s="2"/>
      <c r="T144" s="455"/>
      <c r="U144" s="455"/>
      <c r="V144" s="455"/>
      <c r="W144" s="455"/>
      <c r="X144" s="455"/>
      <c r="Y144" s="455"/>
      <c r="Z144" s="455"/>
      <c r="AA144" s="455"/>
    </row>
    <row r="145" spans="19:27">
      <c r="S145" s="2"/>
      <c r="T145" s="455"/>
      <c r="U145" s="455"/>
      <c r="V145" s="455"/>
      <c r="W145" s="455"/>
      <c r="X145" s="455"/>
      <c r="Y145" s="455"/>
      <c r="Z145" s="455"/>
      <c r="AA145" s="455"/>
    </row>
    <row r="146" spans="19:27">
      <c r="S146" s="2"/>
      <c r="T146" s="455"/>
      <c r="U146" s="455"/>
      <c r="V146" s="455"/>
      <c r="W146" s="455"/>
      <c r="X146" s="455"/>
      <c r="Y146" s="455"/>
      <c r="Z146" s="455"/>
      <c r="AA146" s="455"/>
    </row>
    <row r="147" spans="19:27">
      <c r="S147" s="2"/>
      <c r="T147" s="455"/>
      <c r="U147" s="455"/>
      <c r="V147" s="455"/>
      <c r="W147" s="455"/>
      <c r="X147" s="455"/>
      <c r="Y147" s="455"/>
      <c r="Z147" s="455"/>
      <c r="AA147" s="455"/>
    </row>
    <row r="148" spans="19:27">
      <c r="S148" s="2"/>
      <c r="T148" s="455"/>
      <c r="U148" s="455"/>
      <c r="V148" s="455"/>
      <c r="W148" s="455"/>
      <c r="X148" s="455"/>
      <c r="Y148" s="455"/>
      <c r="Z148" s="455"/>
      <c r="AA148" s="455"/>
    </row>
    <row r="149" spans="19:27">
      <c r="S149" s="2"/>
      <c r="T149" s="455"/>
      <c r="U149" s="455"/>
      <c r="V149" s="455"/>
      <c r="W149" s="455"/>
      <c r="X149" s="455"/>
      <c r="Y149" s="455"/>
      <c r="Z149" s="455"/>
      <c r="AA149" s="455"/>
    </row>
    <row r="150" spans="19:27">
      <c r="S150" s="2"/>
      <c r="T150" s="455"/>
      <c r="U150" s="455"/>
      <c r="V150" s="455"/>
      <c r="W150" s="455"/>
      <c r="X150" s="455"/>
      <c r="Y150" s="455"/>
      <c r="Z150" s="455"/>
      <c r="AA150" s="455"/>
    </row>
    <row r="151" spans="19:27">
      <c r="S151" s="2"/>
      <c r="T151" s="455"/>
      <c r="U151" s="455"/>
      <c r="V151" s="455"/>
      <c r="W151" s="455"/>
      <c r="X151" s="455"/>
      <c r="Y151" s="455"/>
      <c r="Z151" s="455"/>
      <c r="AA151" s="455"/>
    </row>
    <row r="152" spans="19:27">
      <c r="S152" s="2"/>
      <c r="T152" s="455"/>
      <c r="U152" s="455"/>
      <c r="V152" s="455"/>
      <c r="W152" s="455"/>
      <c r="X152" s="455"/>
      <c r="Y152" s="455"/>
      <c r="Z152" s="455"/>
      <c r="AA152" s="455"/>
    </row>
    <row r="153" spans="19:27">
      <c r="S153" s="2"/>
      <c r="T153" s="455"/>
      <c r="U153" s="455"/>
      <c r="V153" s="455"/>
      <c r="W153" s="455"/>
      <c r="X153" s="455"/>
      <c r="Y153" s="455"/>
      <c r="Z153" s="455"/>
      <c r="AA153" s="455"/>
    </row>
    <row r="154" spans="19:27">
      <c r="S154" s="2"/>
      <c r="T154" s="455"/>
      <c r="U154" s="455"/>
      <c r="V154" s="455"/>
      <c r="W154" s="455"/>
      <c r="X154" s="455"/>
      <c r="Y154" s="455"/>
      <c r="Z154" s="455"/>
      <c r="AA154" s="455"/>
    </row>
    <row r="155" spans="19:27">
      <c r="S155" s="2"/>
      <c r="T155" s="455"/>
      <c r="U155" s="455"/>
      <c r="V155" s="455"/>
      <c r="W155" s="455"/>
      <c r="X155" s="455"/>
      <c r="Y155" s="455"/>
      <c r="Z155" s="455"/>
      <c r="AA155" s="455"/>
    </row>
    <row r="156" spans="19:27">
      <c r="S156" s="2"/>
      <c r="T156" s="455"/>
      <c r="U156" s="455"/>
      <c r="V156" s="455"/>
      <c r="W156" s="455"/>
      <c r="X156" s="455"/>
      <c r="Y156" s="455"/>
      <c r="Z156" s="455"/>
      <c r="AA156" s="455"/>
    </row>
    <row r="157" spans="19:27">
      <c r="S157" s="2"/>
      <c r="T157" s="455"/>
      <c r="U157" s="455"/>
      <c r="V157" s="455"/>
      <c r="W157" s="455"/>
      <c r="X157" s="455"/>
      <c r="Y157" s="455"/>
      <c r="Z157" s="455"/>
      <c r="AA157" s="455"/>
    </row>
    <row r="158" spans="19:27">
      <c r="S158" s="2"/>
      <c r="T158" s="455"/>
      <c r="U158" s="455"/>
      <c r="V158" s="455"/>
      <c r="W158" s="455"/>
      <c r="X158" s="455"/>
      <c r="Y158" s="455"/>
      <c r="Z158" s="455"/>
      <c r="AA158" s="455"/>
    </row>
    <row r="159" spans="19:27">
      <c r="W159" s="455"/>
      <c r="X159" s="455"/>
      <c r="Y159" s="455"/>
      <c r="Z159" s="455"/>
      <c r="AA159" s="455"/>
    </row>
    <row r="160" spans="19:27">
      <c r="W160" s="455"/>
      <c r="X160" s="455"/>
      <c r="Y160" s="455"/>
      <c r="Z160" s="455"/>
      <c r="AA160" s="455"/>
    </row>
    <row r="161" spans="23:27">
      <c r="W161" s="455"/>
      <c r="X161" s="455"/>
      <c r="Y161" s="455"/>
      <c r="Z161" s="455"/>
      <c r="AA161" s="455"/>
    </row>
    <row r="162" spans="23:27">
      <c r="W162" s="455"/>
      <c r="X162" s="455"/>
      <c r="Y162" s="455"/>
      <c r="Z162" s="455"/>
      <c r="AA162" s="455"/>
    </row>
    <row r="163" spans="23:27">
      <c r="W163" s="455"/>
      <c r="X163" s="455"/>
      <c r="Y163" s="455"/>
      <c r="Z163" s="455"/>
      <c r="AA163" s="455"/>
    </row>
    <row r="164" spans="23:27">
      <c r="W164" s="455"/>
      <c r="X164" s="455"/>
      <c r="Y164" s="455"/>
      <c r="Z164" s="455"/>
      <c r="AA164" s="455"/>
    </row>
    <row r="165" spans="23:27">
      <c r="W165" s="455"/>
      <c r="X165" s="455"/>
      <c r="Y165" s="455"/>
      <c r="Z165" s="455"/>
      <c r="AA165" s="455"/>
    </row>
    <row r="166" spans="23:27">
      <c r="W166" s="455"/>
      <c r="X166" s="455"/>
      <c r="Y166" s="455"/>
      <c r="Z166" s="455"/>
      <c r="AA166" s="455"/>
    </row>
    <row r="167" spans="23:27">
      <c r="W167" s="455"/>
      <c r="X167" s="455"/>
      <c r="Y167" s="455"/>
      <c r="Z167" s="455"/>
      <c r="AA167" s="455"/>
    </row>
  </sheetData>
  <sortState xmlns:xlrd2="http://schemas.microsoft.com/office/spreadsheetml/2017/richdata2" ref="B6:Q43">
    <sortCondition ref="B6:B43"/>
  </sortState>
  <mergeCells count="14">
    <mergeCell ref="AB4:AB5"/>
    <mergeCell ref="AC4:AC5"/>
    <mergeCell ref="AD4:AD5"/>
    <mergeCell ref="AE4:AE5"/>
    <mergeCell ref="W4:W5"/>
    <mergeCell ref="X4:X5"/>
    <mergeCell ref="Y4:Y5"/>
    <mergeCell ref="Z4:Z5"/>
    <mergeCell ref="AA4:AA5"/>
    <mergeCell ref="B4:B5"/>
    <mergeCell ref="C4:C5"/>
    <mergeCell ref="T4:T5"/>
    <mergeCell ref="U4:U5"/>
    <mergeCell ref="V4:V5"/>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2:Q109"/>
  <sheetViews>
    <sheetView showGridLines="0" zoomScaleNormal="100" workbookViewId="0">
      <pane ySplit="5" topLeftCell="A6" activePane="bottomLeft" state="frozen"/>
      <selection pane="bottomLeft" activeCell="B2" sqref="B2"/>
      <selection activeCell="D11" sqref="D11"/>
    </sheetView>
  </sheetViews>
  <sheetFormatPr defaultColWidth="8.5" defaultRowHeight="15.6"/>
  <cols>
    <col min="1" max="1" width="8.5" style="117"/>
    <col min="2" max="2" width="29" style="118" customWidth="1"/>
    <col min="3" max="3" width="21" style="397" customWidth="1"/>
    <col min="4" max="4" width="25.5" style="397" bestFit="1" customWidth="1"/>
    <col min="5" max="5" width="20" style="397" bestFit="1" customWidth="1"/>
    <col min="6" max="6" width="25.5" style="397" bestFit="1" customWidth="1"/>
    <col min="7" max="7" width="11" style="397" bestFit="1" customWidth="1"/>
    <col min="8" max="8" width="25.5" style="397" bestFit="1" customWidth="1"/>
    <col min="9" max="9" width="18.5" style="118" bestFit="1" customWidth="1"/>
    <col min="10" max="10" width="16" style="118" customWidth="1"/>
    <col min="11" max="16" width="8.5" style="118"/>
    <col min="17" max="17" width="8.5" style="33"/>
    <col min="18" max="16384" width="8.5" style="118"/>
  </cols>
  <sheetData>
    <row r="2" spans="1:15">
      <c r="B2" s="355" t="s">
        <v>3027</v>
      </c>
    </row>
    <row r="4" spans="1:15" s="116" customFormat="1" ht="16.5" customHeight="1">
      <c r="A4" s="114"/>
      <c r="B4" s="888" t="s">
        <v>3028</v>
      </c>
      <c r="C4" s="398" t="s">
        <v>3008</v>
      </c>
      <c r="D4" s="398" t="s">
        <v>3009</v>
      </c>
      <c r="E4" s="398" t="s">
        <v>3010</v>
      </c>
      <c r="F4" s="398" t="s">
        <v>3011</v>
      </c>
      <c r="G4" s="398"/>
      <c r="H4" s="398"/>
      <c r="I4" s="115"/>
      <c r="J4" s="115"/>
      <c r="K4" s="115"/>
      <c r="L4" s="115"/>
      <c r="M4" s="115"/>
      <c r="N4" s="115"/>
      <c r="O4" s="115"/>
    </row>
    <row r="5" spans="1:15" s="116" customFormat="1" ht="16.5" customHeight="1">
      <c r="A5" s="114"/>
      <c r="B5" s="888"/>
      <c r="C5" s="398" t="s">
        <v>3023</v>
      </c>
      <c r="D5" s="398" t="s">
        <v>3023</v>
      </c>
      <c r="E5" s="398" t="s">
        <v>3023</v>
      </c>
      <c r="F5" s="398" t="s">
        <v>3023</v>
      </c>
      <c r="G5" s="398"/>
      <c r="H5" s="398"/>
      <c r="I5" s="115"/>
      <c r="J5" s="115"/>
      <c r="K5" s="115"/>
      <c r="L5" s="115"/>
      <c r="M5" s="115"/>
      <c r="N5" s="115"/>
      <c r="O5" s="115"/>
    </row>
    <row r="6" spans="1:15">
      <c r="I6" s="8"/>
      <c r="J6" s="119"/>
      <c r="K6" s="8"/>
      <c r="L6" s="8"/>
      <c r="M6" s="8"/>
      <c r="N6" s="8"/>
      <c r="O6" s="8"/>
    </row>
    <row r="7" spans="1:15">
      <c r="B7" s="120" t="s">
        <v>3029</v>
      </c>
      <c r="C7" s="402">
        <f>C8+C9</f>
        <v>34.710324937451148</v>
      </c>
      <c r="D7" s="402">
        <f>D8+D9</f>
        <v>5.420247490718114</v>
      </c>
      <c r="E7" s="402">
        <f>E8+E9</f>
        <v>11.705989347670794</v>
      </c>
      <c r="F7" s="402">
        <f>F8+F9</f>
        <v>51.836561775840053</v>
      </c>
      <c r="G7" s="349"/>
      <c r="H7" s="349"/>
    </row>
    <row r="8" spans="1:15">
      <c r="B8" s="116" t="s">
        <v>3030</v>
      </c>
      <c r="C8" s="403">
        <f>SUMIFS('Country summary'!D:D,'Country summary'!$C:$C,1)</f>
        <v>4.3878249374511444</v>
      </c>
      <c r="D8" s="403">
        <f>SUMIFS('Country summary'!E:E,'Country summary'!$C:$C,1)</f>
        <v>3.8502474907181137</v>
      </c>
      <c r="E8" s="403">
        <f>SUMIFS('Country summary'!F:F,'Country summary'!$C:$C,1)</f>
        <v>8.6059893476707945</v>
      </c>
      <c r="F8" s="403">
        <f>SUMIFS('Country summary'!G:G,'Country summary'!$C:$C,1)</f>
        <v>16.844061775840053</v>
      </c>
      <c r="G8" s="399"/>
      <c r="H8" s="400"/>
      <c r="I8" s="8"/>
      <c r="J8" s="119"/>
      <c r="K8" s="8"/>
      <c r="L8" s="8"/>
      <c r="M8" s="8"/>
      <c r="N8" s="8"/>
      <c r="O8" s="8"/>
    </row>
    <row r="9" spans="1:15">
      <c r="B9" s="116" t="s">
        <v>3031</v>
      </c>
      <c r="C9" s="349">
        <f>SUM(C10:C12)</f>
        <v>30.322500000000002</v>
      </c>
      <c r="D9" s="349">
        <f t="shared" ref="D9:E9" si="0">SUM(D10:D12)</f>
        <v>1.57</v>
      </c>
      <c r="E9" s="349">
        <f t="shared" si="0"/>
        <v>3.1</v>
      </c>
      <c r="F9" s="350">
        <f t="shared" ref="F9:F12" si="1">SUM(C9:E9)</f>
        <v>34.9925</v>
      </c>
      <c r="G9" s="399"/>
      <c r="H9" s="400"/>
      <c r="I9" s="8"/>
      <c r="J9" s="119"/>
      <c r="K9" s="8"/>
      <c r="L9" s="8"/>
      <c r="M9" s="8"/>
      <c r="N9" s="8"/>
      <c r="O9" s="8"/>
    </row>
    <row r="10" spans="1:15">
      <c r="B10" s="347" t="s">
        <v>2861</v>
      </c>
      <c r="C10" s="352">
        <f>SUMIFS('Bilateral assistance, MAIN DATA'!S:S,'Bilateral assistance, MAIN DATA'!D:D,"Financial",'Bilateral assistance, MAIN DATA'!B:B,'Aggregates by country group'!B10)/1000000000</f>
        <v>0</v>
      </c>
      <c r="D10" s="352">
        <f>SUMIFS('Bilateral assistance, MAIN DATA'!S:S,'Bilateral assistance, MAIN DATA'!D:D,"Humanitarian",'Bilateral assistance, MAIN DATA'!B:B,'Aggregates by country group'!B10)/1000000000</f>
        <v>0</v>
      </c>
      <c r="E10" s="352">
        <f>SUMIFS('Bilateral assistance, MAIN DATA'!S:S,'Bilateral assistance, MAIN DATA'!D:D,"Military",'Bilateral assistance, MAIN DATA'!B:B,'Aggregates by country group'!B10)/1000000000</f>
        <v>3.1</v>
      </c>
      <c r="F10" s="353">
        <f t="shared" si="1"/>
        <v>3.1</v>
      </c>
      <c r="G10" s="351"/>
      <c r="H10" s="349"/>
      <c r="K10" s="8"/>
      <c r="L10" s="8"/>
      <c r="M10" s="8"/>
      <c r="N10" s="8"/>
      <c r="O10" s="8"/>
    </row>
    <row r="11" spans="1:15">
      <c r="B11" s="347" t="s">
        <v>2885</v>
      </c>
      <c r="C11" s="352">
        <f>SUMIFS('Bilateral assistance, MAIN DATA'!S:S,'Bilateral assistance, MAIN DATA'!D:D,"Financial",'Bilateral assistance, MAIN DATA'!B:B,'Aggregates by country group'!B11)/1000000000</f>
        <v>2.0024999999999999</v>
      </c>
      <c r="D11" s="352">
        <f>SUMIFS('Bilateral assistance, MAIN DATA'!S:S,'Bilateral assistance, MAIN DATA'!D:D,"Humanitarian",'Bilateral assistance, MAIN DATA'!B:B,'Aggregates by country group'!B11)/1000000000</f>
        <v>0</v>
      </c>
      <c r="E11" s="352">
        <f>SUMIFS('Bilateral assistance, MAIN DATA'!S:S,'Bilateral assistance, MAIN DATA'!D:D,"Military",'Bilateral assistance, MAIN DATA'!B:B,'Aggregates by country group'!B11)/1000000000</f>
        <v>0</v>
      </c>
      <c r="F11" s="353">
        <f t="shared" si="1"/>
        <v>2.0024999999999999</v>
      </c>
      <c r="G11" s="351"/>
      <c r="H11" s="349"/>
      <c r="I11" s="8"/>
      <c r="J11" s="119"/>
      <c r="K11" s="8"/>
      <c r="L11" s="8"/>
      <c r="M11" s="8"/>
      <c r="N11" s="8"/>
      <c r="O11" s="8"/>
    </row>
    <row r="12" spans="1:15">
      <c r="B12" s="347" t="s">
        <v>2825</v>
      </c>
      <c r="C12" s="352">
        <f>SUMIFS('Bilateral assistance, MAIN DATA'!S:S,'Bilateral assistance, MAIN DATA'!D:D,"Financial",'Bilateral assistance, MAIN DATA'!B:B,'Aggregates by country group'!B12)/1000000000</f>
        <v>28.32</v>
      </c>
      <c r="D12" s="352">
        <f>SUMIFS('Bilateral assistance, MAIN DATA'!S:S,'Bilateral assistance, MAIN DATA'!D:D,"Humanitarian",'Bilateral assistance, MAIN DATA'!B:B,'Aggregates by country group'!B12)/1000000000</f>
        <v>1.57</v>
      </c>
      <c r="E12" s="352">
        <f>SUMIFS('Bilateral assistance, MAIN DATA'!S:S,'Bilateral assistance, MAIN DATA'!D:D,"Military",'Bilateral assistance, MAIN DATA'!B:B,'Aggregates by country group'!B12)/1000000000</f>
        <v>0</v>
      </c>
      <c r="F12" s="353">
        <f t="shared" si="1"/>
        <v>29.89</v>
      </c>
      <c r="G12" s="351"/>
      <c r="H12" s="351"/>
      <c r="I12" s="8"/>
      <c r="J12" s="119"/>
      <c r="K12" s="8"/>
      <c r="L12" s="8"/>
      <c r="M12" s="8"/>
      <c r="N12" s="8"/>
      <c r="O12" s="8"/>
    </row>
    <row r="13" spans="1:15">
      <c r="B13" s="347"/>
      <c r="C13" s="352"/>
      <c r="D13" s="352"/>
      <c r="E13" s="352"/>
      <c r="F13" s="352"/>
      <c r="G13" s="351"/>
      <c r="H13" s="351"/>
      <c r="I13" s="8"/>
      <c r="J13" s="119"/>
      <c r="K13" s="8"/>
      <c r="L13" s="8"/>
      <c r="M13" s="8"/>
      <c r="N13" s="8"/>
      <c r="O13" s="8"/>
    </row>
    <row r="14" spans="1:15">
      <c r="B14" s="419" t="s">
        <v>3032</v>
      </c>
      <c r="C14" s="420">
        <f>SUM(C15:C20)</f>
        <v>19.747311508023195</v>
      </c>
      <c r="D14" s="420">
        <f t="shared" ref="D14:F14" si="2">SUM(D15:D20)</f>
        <v>10.64325620539379</v>
      </c>
      <c r="E14" s="420">
        <f t="shared" si="2"/>
        <v>28.631610350676251</v>
      </c>
      <c r="F14" s="420">
        <f t="shared" si="2"/>
        <v>59.022178064093247</v>
      </c>
      <c r="G14" s="351"/>
      <c r="H14" s="351"/>
      <c r="I14" s="8"/>
      <c r="J14" s="119"/>
      <c r="K14" s="8"/>
      <c r="L14" s="8"/>
      <c r="M14" s="8"/>
      <c r="N14" s="8"/>
      <c r="O14" s="8"/>
    </row>
    <row r="15" spans="1:15">
      <c r="B15" s="421" t="s">
        <v>2548</v>
      </c>
      <c r="C15" s="397">
        <f>VLOOKUP(B15,'Country summary'!B:G,3,0)</f>
        <v>15.053313403089188</v>
      </c>
      <c r="D15" s="397">
        <f>VLOOKUP(B15,'Country summary'!B:G,4,0)</f>
        <v>9.903936223218734</v>
      </c>
      <c r="E15" s="397">
        <f>VLOOKUP(B15,'Country summary'!B:G,5,0)</f>
        <v>22.861983059292474</v>
      </c>
      <c r="F15" s="313">
        <f>VLOOKUP(B15,'Country summary'!B:G,6,0)</f>
        <v>47.819232685600397</v>
      </c>
      <c r="G15" s="351"/>
      <c r="H15" s="351"/>
      <c r="I15" s="8"/>
      <c r="J15" s="119"/>
      <c r="K15" s="8"/>
      <c r="L15" s="8"/>
      <c r="M15" s="8"/>
      <c r="N15" s="8"/>
      <c r="O15" s="8"/>
    </row>
    <row r="16" spans="1:15">
      <c r="B16" s="421" t="s">
        <v>2392</v>
      </c>
      <c r="C16" s="397">
        <f>VLOOKUP(B16,'Country summary'!B:G,3,0)</f>
        <v>2.5548820828345602</v>
      </c>
      <c r="D16" s="397">
        <f>VLOOKUP(B16,'Country summary'!B:G,4,0)</f>
        <v>0.39777831531548291</v>
      </c>
      <c r="E16" s="397">
        <f>VLOOKUP(B16,'Country summary'!B:G,5,0)</f>
        <v>4.1291557278298399</v>
      </c>
      <c r="F16" s="313">
        <f>VLOOKUP(B16,'Country summary'!B:G,6,0)</f>
        <v>7.0818161259798824</v>
      </c>
      <c r="G16" s="351"/>
      <c r="H16" s="351"/>
      <c r="I16" s="8"/>
      <c r="J16" s="119"/>
      <c r="K16" s="8"/>
      <c r="L16" s="8"/>
      <c r="M16" s="8"/>
      <c r="N16" s="8"/>
      <c r="O16" s="8"/>
    </row>
    <row r="17" spans="2:15">
      <c r="B17" s="421" t="s">
        <v>452</v>
      </c>
      <c r="C17" s="397">
        <f>VLOOKUP(B17,'Country summary'!B:G,3,0)</f>
        <v>2.1391160220994476</v>
      </c>
      <c r="D17" s="397">
        <f>VLOOKUP(B17,'Country summary'!B:G,4,0)</f>
        <v>0.28780847145488037</v>
      </c>
      <c r="E17" s="397">
        <f>VLOOKUP(B17,'Country summary'!B:G,5,0)</f>
        <v>1.3567179918845094</v>
      </c>
      <c r="F17" s="313">
        <f>VLOOKUP(B17,'Country summary'!B:G,6,0)</f>
        <v>3.7836424854388375</v>
      </c>
      <c r="G17" s="351"/>
      <c r="H17" s="351"/>
      <c r="I17" s="8"/>
      <c r="J17" s="119"/>
      <c r="K17" s="8"/>
      <c r="L17" s="8"/>
      <c r="M17" s="8"/>
      <c r="N17" s="8"/>
      <c r="O17" s="8"/>
    </row>
    <row r="18" spans="2:15">
      <c r="B18" s="421" t="s">
        <v>227</v>
      </c>
      <c r="C18" s="397">
        <f>VLOOKUP(B18,'Country summary'!B:G,3,0)</f>
        <v>0</v>
      </c>
      <c r="D18" s="397">
        <f>VLOOKUP(B18,'Country summary'!B:G,4,0)</f>
        <v>5.1384674972564721E-2</v>
      </c>
      <c r="E18" s="397">
        <f>VLOOKUP(B18,'Country summary'!B:G,5,0)</f>
        <v>0.26905945387644442</v>
      </c>
      <c r="F18" s="313">
        <f>VLOOKUP(B18,'Country summary'!B:G,6,0)</f>
        <v>0.32044412884900914</v>
      </c>
      <c r="G18" s="351"/>
      <c r="H18" s="351"/>
      <c r="I18" s="8"/>
      <c r="J18" s="119"/>
      <c r="K18" s="8"/>
      <c r="L18" s="8"/>
      <c r="M18" s="8"/>
      <c r="N18" s="8"/>
      <c r="O18" s="8"/>
    </row>
    <row r="19" spans="2:15">
      <c r="B19" s="421" t="s">
        <v>1766</v>
      </c>
      <c r="C19" s="397">
        <f>VLOOKUP(B19,'Country summary'!B:G,3,0)</f>
        <v>0</v>
      </c>
      <c r="D19" s="397">
        <f>VLOOKUP(B19,'Country summary'!B:G,4,0)</f>
        <v>2.3485204321277591E-3</v>
      </c>
      <c r="E19" s="397">
        <f>VLOOKUP(B19,'Country summary'!B:G,5,0)</f>
        <v>1.4694117792985236E-2</v>
      </c>
      <c r="F19" s="313">
        <f>VLOOKUP(B19,'Country summary'!B:G,6,0)</f>
        <v>1.7042638225112997E-2</v>
      </c>
      <c r="G19" s="351"/>
      <c r="H19" s="351"/>
      <c r="I19" s="8"/>
      <c r="J19" s="119"/>
      <c r="K19" s="8"/>
      <c r="L19" s="8"/>
      <c r="M19" s="8"/>
      <c r="N19" s="8"/>
      <c r="O19" s="8"/>
    </row>
    <row r="20" spans="2:15">
      <c r="B20" s="148" t="s">
        <v>301</v>
      </c>
      <c r="G20" s="351"/>
      <c r="H20" s="351"/>
    </row>
    <row r="21" spans="2:15">
      <c r="B21" s="419" t="s">
        <v>3033</v>
      </c>
      <c r="C21" s="422">
        <f>SUM(C22:C29)</f>
        <v>0.92207054780511133</v>
      </c>
      <c r="D21" s="422">
        <f t="shared" ref="D21:F21" si="3">SUM(D22:D29)</f>
        <v>0.69737722633772203</v>
      </c>
      <c r="E21" s="422">
        <f t="shared" si="3"/>
        <v>0.63035549111287259</v>
      </c>
      <c r="F21" s="422">
        <f t="shared" si="3"/>
        <v>2.2498032652557063</v>
      </c>
      <c r="I21" s="8"/>
      <c r="J21" s="8"/>
      <c r="K21" s="8"/>
      <c r="L21" s="8"/>
      <c r="M21" s="8"/>
      <c r="N21" s="8"/>
      <c r="O21" s="8"/>
    </row>
    <row r="22" spans="2:15">
      <c r="B22" s="421" t="s">
        <v>583</v>
      </c>
      <c r="C22" s="313">
        <f>VLOOKUP(B22,'Country summary'!B:G,3,0)</f>
        <v>0</v>
      </c>
      <c r="D22" s="397">
        <f>VLOOKUP(B22,'Country summary'!B:G,4,0)</f>
        <v>2.0740003318400532E-3</v>
      </c>
      <c r="E22" s="397">
        <f>VLOOKUP(B22,'Country summary'!B:G,5,0)</f>
        <v>0</v>
      </c>
      <c r="F22" s="313">
        <f>VLOOKUP(B22,'Country summary'!B:G,6,0)</f>
        <v>2.0740003318400532E-3</v>
      </c>
      <c r="I22" s="8"/>
      <c r="J22" s="119"/>
      <c r="K22" s="8"/>
      <c r="L22" s="8"/>
      <c r="M22" s="8"/>
      <c r="N22" s="8"/>
      <c r="O22" s="8"/>
    </row>
    <row r="23" spans="2:15">
      <c r="B23" s="421" t="s">
        <v>1471</v>
      </c>
      <c r="C23" s="313">
        <f>VLOOKUP(B23,'Country summary'!B:G,3,0)</f>
        <v>0.59790732436472349</v>
      </c>
      <c r="D23" s="397">
        <f>VLOOKUP(B23,'Country summary'!B:G,4,0)</f>
        <v>5.6003986048829089E-3</v>
      </c>
      <c r="E23" s="397">
        <f>VLOOKUP(B23,'Country summary'!B:G,5,0)</f>
        <v>2.4434479322371699E-3</v>
      </c>
      <c r="F23" s="313">
        <f>VLOOKUP(B23,'Country summary'!B:G,6,0)</f>
        <v>0.60595117090184358</v>
      </c>
      <c r="I23" s="8"/>
      <c r="J23" s="119"/>
      <c r="K23" s="8"/>
      <c r="L23" s="8"/>
      <c r="M23" s="8"/>
      <c r="N23" s="8"/>
      <c r="O23" s="8"/>
    </row>
    <row r="24" spans="2:15">
      <c r="B24" s="421" t="s">
        <v>1804</v>
      </c>
      <c r="C24" s="313">
        <f>VLOOKUP(B24,'Country summary'!B:G,3,0)</f>
        <v>0.32416322344038784</v>
      </c>
      <c r="D24" s="397">
        <f>VLOOKUP(B24,'Country summary'!B:G,4,0)</f>
        <v>0.32561470056027014</v>
      </c>
      <c r="E24" s="397">
        <f>VLOOKUP(B24,'Country summary'!B:G,5,0)</f>
        <v>0.56014572529324125</v>
      </c>
      <c r="F24" s="313">
        <f>VLOOKUP(B24,'Country summary'!B:G,6,0)</f>
        <v>1.2099236492938994</v>
      </c>
      <c r="I24" s="8"/>
      <c r="J24" s="119"/>
      <c r="K24" s="8"/>
      <c r="L24" s="8"/>
      <c r="M24" s="8"/>
      <c r="N24" s="8"/>
      <c r="O24" s="8"/>
    </row>
    <row r="25" spans="2:15">
      <c r="B25" s="421" t="s">
        <v>2002</v>
      </c>
      <c r="C25" s="313">
        <f>VLOOKUP(B25,'Country summary'!B:G,3,0)</f>
        <v>0</v>
      </c>
      <c r="D25" s="397">
        <f>VLOOKUP(B25,'Country summary'!B:G,4,0)</f>
        <v>9.088191330343795E-2</v>
      </c>
      <c r="E25" s="397">
        <f>VLOOKUP(B25,'Country summary'!B:G,5,0)</f>
        <v>3.5675137020428497E-3</v>
      </c>
      <c r="F25" s="313">
        <f>VLOOKUP(B25,'Country summary'!B:G,6,0)</f>
        <v>9.4449427005480799E-2</v>
      </c>
      <c r="I25" s="8"/>
      <c r="J25" s="119"/>
      <c r="K25" s="8"/>
      <c r="L25" s="8"/>
      <c r="M25" s="8"/>
      <c r="N25" s="8"/>
      <c r="O25" s="8"/>
    </row>
    <row r="26" spans="2:15">
      <c r="B26" s="421" t="s">
        <v>2329</v>
      </c>
      <c r="C26" s="313">
        <f>VLOOKUP(B26,'Country summary'!B:G,3,0)</f>
        <v>0</v>
      </c>
      <c r="D26" s="397">
        <f>VLOOKUP(B26,'Country summary'!B:G,4,0)</f>
        <v>0.202757502027575</v>
      </c>
      <c r="E26" s="397">
        <f>VLOOKUP(B26,'Country summary'!B:G,5,0)</f>
        <v>0</v>
      </c>
      <c r="F26" s="313">
        <f>VLOOKUP(B26,'Country summary'!B:G,6,0)</f>
        <v>0.202757502027575</v>
      </c>
      <c r="I26" s="8"/>
      <c r="J26" s="119"/>
      <c r="K26" s="8"/>
      <c r="L26" s="8"/>
      <c r="M26" s="8"/>
      <c r="N26" s="8"/>
      <c r="O26" s="8"/>
    </row>
    <row r="27" spans="2:15">
      <c r="B27" s="421" t="s">
        <v>2368</v>
      </c>
      <c r="C27" s="313">
        <f>VLOOKUP(B27,'Country summary'!B:G,3,0)</f>
        <v>0</v>
      </c>
      <c r="D27" s="397">
        <f>VLOOKUP(B27,'Country summary'!B:G,4,0)</f>
        <v>6.8261086198305926E-2</v>
      </c>
      <c r="E27" s="397">
        <f>VLOOKUP(B27,'Country summary'!B:G,5,0)</f>
        <v>0</v>
      </c>
      <c r="F27" s="313">
        <f>VLOOKUP(B27,'Country summary'!B:G,6,0)</f>
        <v>6.8261086198305926E-2</v>
      </c>
      <c r="I27" s="8"/>
      <c r="J27" s="119"/>
      <c r="K27" s="8"/>
      <c r="L27" s="8"/>
      <c r="M27" s="8"/>
      <c r="N27" s="8"/>
      <c r="O27" s="8"/>
    </row>
    <row r="28" spans="2:15">
      <c r="B28" s="421" t="s">
        <v>2348</v>
      </c>
      <c r="C28" s="313">
        <f>VLOOKUP(B28,'Country summary'!B:G,3,0)</f>
        <v>0</v>
      </c>
      <c r="D28" s="397">
        <f>VLOOKUP(B28,'Country summary'!B:G,4,0)</f>
        <v>2.4716691579471843E-4</v>
      </c>
      <c r="E28" s="397">
        <f>VLOOKUP(B28,'Country summary'!B:G,5,0)</f>
        <v>6.4198804185351274E-2</v>
      </c>
      <c r="F28" s="313">
        <f>VLOOKUP(B28,'Country summary'!B:G,6,0)</f>
        <v>6.4445971101145999E-2</v>
      </c>
      <c r="I28" s="8"/>
      <c r="J28" s="119"/>
      <c r="K28" s="8"/>
      <c r="L28" s="8"/>
      <c r="M28" s="8"/>
      <c r="N28" s="8"/>
      <c r="O28" s="8"/>
    </row>
    <row r="29" spans="2:15">
      <c r="B29" s="421" t="s">
        <v>1369</v>
      </c>
      <c r="C29" s="313">
        <f>VLOOKUP(B29,'Country summary'!B:G,3,0)</f>
        <v>0</v>
      </c>
      <c r="D29" s="397">
        <f>VLOOKUP(B29,'Country summary'!B:G,4,0)</f>
        <v>1.9404583956153462E-3</v>
      </c>
      <c r="E29" s="397">
        <f>VLOOKUP(B29,'Country summary'!B:G,5,0)</f>
        <v>0</v>
      </c>
      <c r="F29" s="313">
        <f>VLOOKUP(B29,'Country summary'!B:G,6,0)</f>
        <v>1.9404583956153462E-3</v>
      </c>
      <c r="I29" s="8"/>
      <c r="J29" s="119"/>
      <c r="K29" s="8"/>
      <c r="L29" s="8"/>
      <c r="M29" s="8"/>
      <c r="N29" s="8"/>
      <c r="O29" s="8"/>
    </row>
    <row r="30" spans="2:15">
      <c r="I30" s="8"/>
      <c r="J30" s="119"/>
      <c r="K30" s="8"/>
      <c r="L30" s="8"/>
      <c r="M30" s="8"/>
      <c r="N30" s="8"/>
      <c r="O30" s="8"/>
    </row>
    <row r="31" spans="2:15">
      <c r="B31" s="120" t="s">
        <v>3034</v>
      </c>
      <c r="C31" s="348">
        <f>SUM(C32:C36)</f>
        <v>15.884630313240674</v>
      </c>
      <c r="D31" s="348">
        <f t="shared" ref="D31:F31" si="4">SUM(D32:D36)</f>
        <v>0</v>
      </c>
      <c r="E31" s="348">
        <f t="shared" si="4"/>
        <v>0</v>
      </c>
      <c r="F31" s="348">
        <f t="shared" si="4"/>
        <v>15.884630313240674</v>
      </c>
      <c r="I31" s="8"/>
      <c r="J31" s="119"/>
      <c r="K31" s="8"/>
      <c r="L31" s="8"/>
      <c r="M31" s="8"/>
      <c r="N31" s="8"/>
      <c r="O31" s="8"/>
    </row>
    <row r="32" spans="2:15">
      <c r="B32" s="347" t="s">
        <v>2913</v>
      </c>
      <c r="C32" s="352">
        <f>SUMIFS('Multilateral assistance'!S:S,'Multilateral assistance'!B:B,'Aggregates by country group'!B32,'Multilateral assistance'!D:D,"Financial")/1000000000</f>
        <v>3.4272312101016609</v>
      </c>
      <c r="D32" s="352">
        <f>SUMIFS('Multilateral assistance'!S:S,'Multilateral assistance'!B:B,'Aggregates by country group'!B32,'Multilateral assistance'!D:D,"Humanitarian")/1000000000</f>
        <v>0</v>
      </c>
      <c r="E32" s="352">
        <f>SUMIFS('Multilateral assistance'!S:S,'Multilateral assistance'!B:B,'Aggregates by country group'!B32,'Multilateral assistance'!D:D,"Military")/1000000000</f>
        <v>0</v>
      </c>
      <c r="F32" s="354">
        <f>SUM(C32:E32)</f>
        <v>3.4272312101016609</v>
      </c>
      <c r="I32" s="8"/>
      <c r="J32" s="119"/>
      <c r="K32" s="8"/>
      <c r="L32" s="8"/>
      <c r="M32" s="8"/>
      <c r="N32" s="8"/>
      <c r="O32" s="8"/>
    </row>
    <row r="33" spans="2:15">
      <c r="B33" s="347" t="s">
        <v>2903</v>
      </c>
      <c r="C33" s="352">
        <f>SUMIFS('Multilateral assistance'!S:S,'Multilateral assistance'!B:B,'Aggregates by country group'!B33,'Multilateral assistance'!D:D,"Financial")/1000000000</f>
        <v>4.9825610363726947</v>
      </c>
      <c r="D33" s="352">
        <f>SUMIFS('Multilateral assistance'!S:S,'Multilateral assistance'!B:B,'Aggregates by country group'!B33,'Multilateral assistance'!D:D,"Humanitarian")/1000000000</f>
        <v>0</v>
      </c>
      <c r="E33" s="352">
        <f>SUMIFS('Multilateral assistance'!S:S,'Multilateral assistance'!B:B,'Aggregates by country group'!B33,'Multilateral assistance'!D:D,"Military")/1000000000</f>
        <v>0</v>
      </c>
      <c r="F33" s="354">
        <f t="shared" ref="F33:F36" si="5">SUM(C33:E33)</f>
        <v>4.9825610363726947</v>
      </c>
      <c r="I33" s="8"/>
      <c r="J33" s="119"/>
      <c r="K33" s="8"/>
      <c r="L33" s="8"/>
      <c r="M33" s="8"/>
      <c r="N33" s="8"/>
      <c r="O33" s="8"/>
    </row>
    <row r="34" spans="2:15">
      <c r="B34" s="347" t="s">
        <v>2927</v>
      </c>
      <c r="C34" s="352">
        <f>SUMIFS('Multilateral assistance'!S:S,'Multilateral assistance'!B:B,'Aggregates by country group'!B34,'Multilateral assistance'!D:D,"Financial")/1000000000</f>
        <v>0</v>
      </c>
      <c r="D34" s="352">
        <f>SUMIFS('Multilateral assistance'!S:S,'Multilateral assistance'!B:B,'Aggregates by country group'!B34,'Multilateral assistance'!D:D,"Humanitarian")/1000000000</f>
        <v>0</v>
      </c>
      <c r="E34" s="352">
        <f>SUMIFS('Multilateral assistance'!S:S,'Multilateral assistance'!B:B,'Aggregates by country group'!B34,'Multilateral assistance'!D:D,"Military")/1000000000</f>
        <v>0</v>
      </c>
      <c r="F34" s="354">
        <f t="shared" si="5"/>
        <v>0</v>
      </c>
      <c r="I34" s="8"/>
      <c r="J34" s="119"/>
      <c r="K34" s="8"/>
      <c r="L34" s="8"/>
      <c r="M34" s="8"/>
      <c r="N34" s="8"/>
      <c r="O34" s="8"/>
    </row>
    <row r="35" spans="2:15">
      <c r="B35" s="347" t="s">
        <v>2933</v>
      </c>
      <c r="C35" s="352">
        <f>SUMIFS('Multilateral assistance'!S:S,'Multilateral assistance'!B:B,'Aggregates by country group'!B35,'Multilateral assistance'!D:D,"Financial")/1000000000</f>
        <v>5.7797708021923258E-2</v>
      </c>
      <c r="D35" s="352">
        <f>SUMIFS('Multilateral assistance'!S:S,'Multilateral assistance'!B:B,'Aggregates by country group'!B35,'Multilateral assistance'!D:D,"Humanitarian")/1000000000</f>
        <v>0</v>
      </c>
      <c r="E35" s="352">
        <f>SUMIFS('Multilateral assistance'!S:S,'Multilateral assistance'!B:B,'Aggregates by country group'!B35,'Multilateral assistance'!D:D,"Military")/1000000000</f>
        <v>0</v>
      </c>
      <c r="F35" s="354">
        <f t="shared" si="5"/>
        <v>5.7797708021923258E-2</v>
      </c>
      <c r="I35" s="8"/>
      <c r="J35" s="119"/>
      <c r="K35" s="8"/>
      <c r="L35" s="8"/>
      <c r="M35" s="8"/>
      <c r="N35" s="8"/>
      <c r="O35" s="8"/>
    </row>
    <row r="36" spans="2:15">
      <c r="B36" s="347" t="s">
        <v>2943</v>
      </c>
      <c r="C36" s="352">
        <f>SUMIFS('Multilateral assistance'!S:S,'Multilateral assistance'!B:B,'Aggregates by country group'!B36,'Multilateral assistance'!D:D,"Financial")/1000000000</f>
        <v>7.4170403587443952</v>
      </c>
      <c r="D36" s="352">
        <f>SUMIFS('Multilateral assistance'!S:S,'Multilateral assistance'!B:B,'Aggregates by country group'!B36,'Multilateral assistance'!D:D,"Humanitarian")/1000000000</f>
        <v>0</v>
      </c>
      <c r="E36" s="352">
        <f>SUMIFS('Multilateral assistance'!S:S,'Multilateral assistance'!B:B,'Aggregates by country group'!B36,'Multilateral assistance'!D:D,"Military")/1000000000</f>
        <v>0</v>
      </c>
      <c r="F36" s="354">
        <f t="shared" si="5"/>
        <v>7.4170403587443952</v>
      </c>
      <c r="I36" s="8"/>
      <c r="J36" s="119"/>
      <c r="K36" s="8"/>
      <c r="L36" s="8"/>
      <c r="M36" s="8"/>
      <c r="N36" s="8"/>
      <c r="O36" s="8"/>
    </row>
    <row r="37" spans="2:15">
      <c r="I37" s="8"/>
      <c r="J37" s="119"/>
      <c r="K37" s="8"/>
      <c r="L37" s="8"/>
      <c r="M37" s="8"/>
      <c r="N37" s="8"/>
      <c r="O37" s="8"/>
    </row>
    <row r="38" spans="2:15">
      <c r="I38" s="8"/>
      <c r="J38" s="119"/>
      <c r="K38" s="8"/>
      <c r="L38" s="8"/>
      <c r="M38" s="8"/>
      <c r="N38" s="8"/>
      <c r="O38" s="8"/>
    </row>
    <row r="39" spans="2:15">
      <c r="I39" s="8"/>
      <c r="J39" s="119"/>
      <c r="K39" s="8"/>
      <c r="L39" s="8"/>
      <c r="M39" s="8"/>
      <c r="N39" s="8"/>
      <c r="O39" s="8"/>
    </row>
    <row r="40" spans="2:15">
      <c r="I40" s="8"/>
      <c r="J40" s="119"/>
      <c r="K40" s="8"/>
      <c r="L40" s="8"/>
      <c r="M40" s="8"/>
      <c r="N40" s="8"/>
      <c r="O40" s="8"/>
    </row>
    <row r="41" spans="2:15">
      <c r="I41" s="8"/>
      <c r="J41" s="119"/>
      <c r="K41" s="8"/>
      <c r="L41" s="8"/>
      <c r="M41" s="8"/>
      <c r="N41" s="8"/>
      <c r="O41" s="8"/>
    </row>
    <row r="42" spans="2:15">
      <c r="I42" s="8"/>
      <c r="J42" s="119"/>
      <c r="K42" s="8"/>
      <c r="L42" s="8"/>
      <c r="M42" s="8"/>
      <c r="N42" s="8"/>
      <c r="O42" s="8"/>
    </row>
    <row r="43" spans="2:15">
      <c r="I43" s="8"/>
      <c r="J43" s="119"/>
      <c r="K43" s="8"/>
      <c r="L43" s="8"/>
      <c r="M43" s="8"/>
      <c r="N43" s="8"/>
      <c r="O43" s="8"/>
    </row>
    <row r="44" spans="2:15">
      <c r="I44" s="8"/>
      <c r="J44" s="119"/>
      <c r="K44" s="8"/>
      <c r="L44" s="8"/>
      <c r="M44" s="8"/>
      <c r="N44" s="8"/>
      <c r="O44" s="8"/>
    </row>
    <row r="45" spans="2:15">
      <c r="I45" s="8"/>
      <c r="J45" s="119"/>
      <c r="K45" s="8"/>
      <c r="L45" s="8"/>
      <c r="M45" s="8"/>
      <c r="N45" s="8"/>
      <c r="O45" s="8"/>
    </row>
    <row r="46" spans="2:15">
      <c r="I46" s="8"/>
      <c r="J46" s="119"/>
      <c r="K46" s="8"/>
      <c r="L46" s="8"/>
      <c r="M46" s="8"/>
      <c r="N46" s="8"/>
      <c r="O46" s="8"/>
    </row>
    <row r="47" spans="2:15">
      <c r="I47" s="8"/>
      <c r="J47" s="119"/>
      <c r="K47" s="8"/>
      <c r="L47" s="8"/>
      <c r="M47" s="8"/>
      <c r="N47" s="8"/>
      <c r="O47" s="8"/>
    </row>
    <row r="48" spans="2:15">
      <c r="I48" s="8"/>
      <c r="J48" s="119"/>
      <c r="K48" s="8"/>
      <c r="L48" s="8"/>
      <c r="M48" s="8"/>
      <c r="N48" s="8"/>
      <c r="O48" s="8"/>
    </row>
    <row r="49" spans="9:15">
      <c r="I49" s="8"/>
      <c r="J49" s="119"/>
      <c r="K49" s="8"/>
      <c r="L49" s="8"/>
      <c r="M49" s="8"/>
      <c r="N49" s="8"/>
      <c r="O49" s="8"/>
    </row>
    <row r="50" spans="9:15">
      <c r="I50" s="8"/>
      <c r="J50" s="119"/>
      <c r="K50" s="8"/>
      <c r="L50" s="8"/>
      <c r="M50" s="8"/>
      <c r="N50" s="8"/>
      <c r="O50" s="8"/>
    </row>
    <row r="51" spans="9:15">
      <c r="I51" s="8"/>
      <c r="J51" s="119"/>
      <c r="K51" s="8"/>
      <c r="L51" s="8"/>
      <c r="M51" s="8"/>
      <c r="N51" s="8"/>
      <c r="O51" s="8"/>
    </row>
    <row r="52" spans="9:15">
      <c r="I52" s="8"/>
      <c r="J52" s="119"/>
      <c r="K52" s="8"/>
      <c r="L52" s="8"/>
      <c r="M52" s="8"/>
      <c r="N52" s="8"/>
      <c r="O52" s="8"/>
    </row>
    <row r="53" spans="9:15">
      <c r="I53" s="8"/>
      <c r="J53" s="119"/>
      <c r="K53" s="8"/>
      <c r="L53" s="8"/>
      <c r="M53" s="8"/>
      <c r="N53" s="8"/>
      <c r="O53" s="8"/>
    </row>
    <row r="54" spans="9:15">
      <c r="I54" s="8"/>
      <c r="J54" s="119"/>
      <c r="K54" s="8"/>
      <c r="L54" s="8"/>
      <c r="M54" s="8"/>
      <c r="N54" s="8"/>
      <c r="O54" s="8"/>
    </row>
    <row r="55" spans="9:15">
      <c r="I55" s="8"/>
      <c r="J55" s="119"/>
      <c r="K55" s="8"/>
      <c r="L55" s="8"/>
      <c r="M55" s="8"/>
      <c r="N55" s="8"/>
      <c r="O55" s="8"/>
    </row>
    <row r="56" spans="9:15">
      <c r="I56" s="8"/>
      <c r="J56" s="8"/>
      <c r="K56" s="8"/>
      <c r="L56" s="8"/>
      <c r="M56" s="8"/>
      <c r="N56" s="8"/>
      <c r="O56" s="8"/>
    </row>
    <row r="57" spans="9:15">
      <c r="I57" s="8"/>
      <c r="J57" s="123"/>
      <c r="K57" s="8"/>
      <c r="L57" s="8"/>
      <c r="M57" s="8"/>
      <c r="N57" s="8"/>
      <c r="O57" s="8"/>
    </row>
    <row r="58" spans="9:15">
      <c r="I58" s="8"/>
      <c r="J58" s="119"/>
      <c r="K58" s="8"/>
      <c r="L58" s="8"/>
      <c r="M58" s="8"/>
      <c r="N58" s="8"/>
      <c r="O58" s="8"/>
    </row>
    <row r="59" spans="9:15">
      <c r="I59" s="8"/>
      <c r="J59" s="119"/>
      <c r="K59" s="8"/>
      <c r="L59" s="8"/>
      <c r="M59" s="8"/>
      <c r="N59" s="8"/>
      <c r="O59" s="8"/>
    </row>
    <row r="60" spans="9:15">
      <c r="I60" s="8"/>
      <c r="J60" s="119"/>
      <c r="K60" s="8"/>
      <c r="L60" s="8"/>
      <c r="M60" s="8"/>
      <c r="N60" s="8"/>
      <c r="O60" s="8"/>
    </row>
    <row r="61" spans="9:15">
      <c r="I61" s="8"/>
      <c r="J61" s="119"/>
      <c r="K61" s="8"/>
      <c r="L61" s="8"/>
      <c r="M61" s="8"/>
      <c r="N61" s="8"/>
      <c r="O61" s="8"/>
    </row>
    <row r="62" spans="9:15">
      <c r="I62" s="8"/>
      <c r="J62" s="124"/>
      <c r="K62" s="8"/>
      <c r="L62" s="8"/>
      <c r="M62" s="8"/>
      <c r="N62" s="8"/>
      <c r="O62" s="8"/>
    </row>
    <row r="63" spans="9:15">
      <c r="I63" s="8"/>
      <c r="J63" s="119"/>
      <c r="K63" s="8"/>
      <c r="L63" s="8"/>
      <c r="M63" s="8"/>
      <c r="N63" s="8"/>
      <c r="O63" s="8"/>
    </row>
    <row r="64" spans="9:15">
      <c r="I64" s="8"/>
      <c r="J64" s="119"/>
      <c r="K64" s="8"/>
      <c r="L64" s="8"/>
      <c r="M64" s="8"/>
      <c r="N64" s="8"/>
      <c r="O64" s="8"/>
    </row>
    <row r="65" spans="9:15">
      <c r="I65" s="8"/>
      <c r="J65" s="119"/>
      <c r="K65" s="8"/>
      <c r="L65" s="8"/>
      <c r="M65" s="8"/>
      <c r="N65" s="8"/>
      <c r="O65" s="8"/>
    </row>
    <row r="66" spans="9:15">
      <c r="K66" s="8"/>
      <c r="L66" s="8"/>
      <c r="M66" s="8"/>
      <c r="N66" s="8"/>
      <c r="O66" s="8"/>
    </row>
    <row r="67" spans="9:15">
      <c r="I67" s="8"/>
      <c r="J67" s="8"/>
      <c r="K67" s="8"/>
      <c r="L67" s="8"/>
      <c r="M67" s="8"/>
      <c r="N67" s="8"/>
      <c r="O67" s="8"/>
    </row>
    <row r="68" spans="9:15">
      <c r="I68" s="8"/>
      <c r="J68" s="8"/>
      <c r="K68" s="8"/>
      <c r="L68" s="8"/>
      <c r="M68" s="8"/>
      <c r="N68" s="8"/>
      <c r="O68" s="8"/>
    </row>
    <row r="69" spans="9:15">
      <c r="I69" s="8"/>
      <c r="J69" s="8"/>
      <c r="K69" s="8"/>
      <c r="L69" s="8"/>
      <c r="M69" s="8"/>
      <c r="N69" s="8"/>
      <c r="O69" s="8"/>
    </row>
    <row r="70" spans="9:15">
      <c r="I70" s="8"/>
      <c r="J70" s="8"/>
      <c r="K70" s="8"/>
      <c r="L70" s="8"/>
      <c r="M70" s="8"/>
      <c r="N70" s="8"/>
      <c r="O70" s="8"/>
    </row>
    <row r="71" spans="9:15">
      <c r="I71" s="8"/>
      <c r="J71" s="8"/>
      <c r="K71" s="8"/>
      <c r="L71" s="8"/>
      <c r="M71" s="8"/>
      <c r="N71" s="8"/>
      <c r="O71" s="8"/>
    </row>
    <row r="72" spans="9:15">
      <c r="I72" s="8"/>
      <c r="J72" s="8"/>
      <c r="K72" s="8"/>
      <c r="L72" s="8"/>
      <c r="M72" s="8"/>
      <c r="N72" s="8"/>
      <c r="O72" s="8"/>
    </row>
    <row r="73" spans="9:15">
      <c r="I73" s="8"/>
      <c r="J73" s="8"/>
      <c r="K73" s="8"/>
      <c r="L73" s="8"/>
      <c r="M73" s="8"/>
      <c r="N73" s="8"/>
      <c r="O73" s="8"/>
    </row>
    <row r="74" spans="9:15">
      <c r="I74" s="8"/>
      <c r="J74" s="8"/>
      <c r="K74" s="8"/>
      <c r="L74" s="8"/>
      <c r="M74" s="8"/>
      <c r="N74" s="8"/>
      <c r="O74" s="8"/>
    </row>
    <row r="75" spans="9:15">
      <c r="I75" s="8"/>
      <c r="J75" s="8"/>
      <c r="K75" s="8"/>
      <c r="L75" s="8"/>
      <c r="M75" s="8"/>
      <c r="N75" s="8"/>
      <c r="O75" s="8"/>
    </row>
    <row r="76" spans="9:15">
      <c r="I76" s="8"/>
      <c r="J76" s="8"/>
      <c r="K76" s="8"/>
      <c r="L76" s="8"/>
      <c r="M76" s="8"/>
      <c r="N76" s="8"/>
      <c r="O76" s="8"/>
    </row>
    <row r="77" spans="9:15">
      <c r="I77" s="8"/>
      <c r="J77" s="8"/>
      <c r="K77" s="8"/>
      <c r="L77" s="8"/>
      <c r="M77" s="8"/>
      <c r="N77" s="8"/>
      <c r="O77" s="8"/>
    </row>
    <row r="78" spans="9:15">
      <c r="I78" s="8"/>
      <c r="J78" s="8"/>
      <c r="K78" s="8"/>
      <c r="L78" s="8"/>
      <c r="M78" s="8"/>
      <c r="N78" s="8"/>
      <c r="O78" s="8"/>
    </row>
    <row r="79" spans="9:15">
      <c r="I79" s="8"/>
      <c r="J79" s="8"/>
      <c r="K79" s="8"/>
      <c r="L79" s="8"/>
      <c r="M79" s="8"/>
      <c r="N79" s="8"/>
      <c r="O79" s="8"/>
    </row>
    <row r="80" spans="9:15">
      <c r="I80" s="8"/>
      <c r="J80" s="8"/>
      <c r="K80" s="8"/>
      <c r="L80" s="8"/>
      <c r="M80" s="8"/>
      <c r="N80" s="8"/>
      <c r="O80" s="8"/>
    </row>
    <row r="81" spans="9:15">
      <c r="I81" s="8"/>
      <c r="J81" s="8"/>
      <c r="K81" s="8"/>
      <c r="L81" s="8"/>
      <c r="M81" s="8"/>
      <c r="N81" s="8"/>
      <c r="O81" s="8"/>
    </row>
    <row r="82" spans="9:15">
      <c r="I82" s="8"/>
      <c r="J82" s="8"/>
      <c r="K82" s="8"/>
      <c r="L82" s="8"/>
      <c r="M82" s="8"/>
      <c r="N82" s="8"/>
      <c r="O82" s="8"/>
    </row>
    <row r="83" spans="9:15">
      <c r="I83" s="8"/>
      <c r="J83" s="8"/>
      <c r="K83" s="8"/>
      <c r="L83" s="8"/>
      <c r="M83" s="8"/>
      <c r="N83" s="8"/>
      <c r="O83" s="8"/>
    </row>
    <row r="84" spans="9:15">
      <c r="I84" s="8"/>
      <c r="J84" s="8"/>
      <c r="K84" s="8"/>
      <c r="L84" s="8"/>
      <c r="M84" s="8"/>
      <c r="N84" s="8"/>
      <c r="O84" s="8"/>
    </row>
    <row r="85" spans="9:15">
      <c r="I85" s="8"/>
      <c r="J85" s="8"/>
      <c r="K85" s="8"/>
      <c r="L85" s="8"/>
      <c r="M85" s="8"/>
      <c r="N85" s="8"/>
      <c r="O85" s="8"/>
    </row>
    <row r="86" spans="9:15">
      <c r="I86" s="8"/>
      <c r="J86" s="8"/>
      <c r="K86" s="8"/>
      <c r="L86" s="8"/>
      <c r="M86" s="8"/>
      <c r="N86" s="8"/>
      <c r="O86" s="8"/>
    </row>
    <row r="87" spans="9:15">
      <c r="I87" s="8"/>
      <c r="J87" s="8"/>
      <c r="K87" s="8"/>
      <c r="L87" s="8"/>
      <c r="M87" s="8"/>
      <c r="N87" s="8"/>
      <c r="O87" s="8"/>
    </row>
    <row r="88" spans="9:15">
      <c r="I88" s="8"/>
      <c r="J88" s="8"/>
      <c r="K88" s="8"/>
      <c r="L88" s="8"/>
      <c r="M88" s="8"/>
      <c r="N88" s="8"/>
      <c r="O88" s="8"/>
    </row>
    <row r="89" spans="9:15">
      <c r="I89" s="8"/>
      <c r="J89" s="8"/>
      <c r="K89" s="8"/>
      <c r="L89" s="8"/>
      <c r="M89" s="8"/>
      <c r="N89" s="8"/>
      <c r="O89" s="8"/>
    </row>
    <row r="90" spans="9:15">
      <c r="I90" s="8"/>
      <c r="J90" s="8"/>
      <c r="K90" s="8"/>
      <c r="L90" s="8"/>
      <c r="M90" s="8"/>
      <c r="N90" s="8"/>
      <c r="O90" s="8"/>
    </row>
    <row r="91" spans="9:15">
      <c r="I91" s="8"/>
      <c r="J91" s="8"/>
      <c r="K91" s="8"/>
      <c r="L91" s="8"/>
      <c r="M91" s="8"/>
      <c r="N91" s="8"/>
      <c r="O91" s="8"/>
    </row>
    <row r="92" spans="9:15">
      <c r="I92" s="8"/>
      <c r="J92" s="8"/>
      <c r="K92" s="8"/>
      <c r="L92" s="8"/>
      <c r="M92" s="8"/>
      <c r="N92" s="8"/>
      <c r="O92" s="8"/>
    </row>
    <row r="93" spans="9:15">
      <c r="I93" s="8"/>
      <c r="J93" s="8"/>
      <c r="K93" s="8"/>
      <c r="L93" s="8"/>
      <c r="M93" s="8"/>
      <c r="N93" s="8"/>
      <c r="O93" s="8"/>
    </row>
    <row r="94" spans="9:15">
      <c r="I94" s="8"/>
      <c r="J94" s="8"/>
      <c r="K94" s="8"/>
      <c r="L94" s="8"/>
      <c r="M94" s="8"/>
      <c r="N94" s="8"/>
      <c r="O94" s="8"/>
    </row>
    <row r="95" spans="9:15">
      <c r="I95" s="8"/>
      <c r="J95" s="8"/>
      <c r="K95" s="8"/>
      <c r="L95" s="8"/>
      <c r="M95" s="8"/>
      <c r="N95" s="8"/>
      <c r="O95" s="8"/>
    </row>
    <row r="96" spans="9:15">
      <c r="I96" s="8"/>
      <c r="J96" s="8"/>
      <c r="K96" s="8"/>
      <c r="L96" s="8"/>
      <c r="M96" s="8"/>
      <c r="N96" s="8"/>
      <c r="O96" s="8"/>
    </row>
    <row r="97" spans="9:15">
      <c r="I97" s="8"/>
      <c r="J97" s="8"/>
      <c r="K97" s="8"/>
      <c r="L97" s="8"/>
      <c r="M97" s="8"/>
      <c r="N97" s="8"/>
      <c r="O97" s="8"/>
    </row>
    <row r="98" spans="9:15">
      <c r="I98" s="8"/>
      <c r="J98" s="8"/>
      <c r="K98" s="8"/>
      <c r="L98" s="8"/>
      <c r="M98" s="8"/>
      <c r="N98" s="8"/>
      <c r="O98" s="8"/>
    </row>
    <row r="99" spans="9:15">
      <c r="I99" s="8"/>
      <c r="J99" s="8"/>
      <c r="K99" s="8"/>
      <c r="L99" s="8"/>
      <c r="M99" s="8"/>
      <c r="N99" s="8"/>
      <c r="O99" s="8"/>
    </row>
    <row r="100" spans="9:15">
      <c r="I100" s="8"/>
      <c r="J100" s="8"/>
      <c r="K100" s="8"/>
      <c r="L100" s="8"/>
      <c r="M100" s="8"/>
      <c r="N100" s="8"/>
      <c r="O100" s="8"/>
    </row>
    <row r="101" spans="9:15">
      <c r="K101" s="8"/>
      <c r="L101" s="8"/>
      <c r="M101" s="8"/>
      <c r="N101" s="8"/>
      <c r="O101" s="8"/>
    </row>
    <row r="102" spans="9:15">
      <c r="K102" s="8"/>
      <c r="L102" s="8"/>
      <c r="M102" s="8"/>
      <c r="N102" s="8"/>
      <c r="O102" s="8"/>
    </row>
    <row r="103" spans="9:15">
      <c r="K103" s="8"/>
      <c r="L103" s="8"/>
      <c r="M103" s="8"/>
      <c r="N103" s="8"/>
      <c r="O103" s="8"/>
    </row>
    <row r="104" spans="9:15">
      <c r="K104" s="8"/>
      <c r="L104" s="8"/>
      <c r="M104" s="8"/>
      <c r="N104" s="8"/>
      <c r="O104" s="8"/>
    </row>
    <row r="105" spans="9:15">
      <c r="K105" s="8"/>
      <c r="L105" s="8"/>
      <c r="M105" s="8"/>
      <c r="N105" s="8"/>
      <c r="O105" s="8"/>
    </row>
    <row r="106" spans="9:15">
      <c r="K106" s="8"/>
      <c r="L106" s="8"/>
      <c r="M106" s="8"/>
      <c r="N106" s="8"/>
      <c r="O106" s="8"/>
    </row>
    <row r="107" spans="9:15">
      <c r="K107" s="8"/>
      <c r="L107" s="8"/>
      <c r="M107" s="8"/>
      <c r="N107" s="8"/>
      <c r="O107" s="8"/>
    </row>
    <row r="108" spans="9:15">
      <c r="K108" s="8"/>
      <c r="L108" s="8"/>
      <c r="M108" s="8"/>
      <c r="N108" s="8"/>
      <c r="O108" s="8"/>
    </row>
    <row r="109" spans="9:15">
      <c r="K109" s="8"/>
      <c r="L109" s="8"/>
      <c r="M109" s="8"/>
      <c r="N109" s="8"/>
      <c r="O109" s="8"/>
    </row>
  </sheetData>
  <sortState xmlns:xlrd2="http://schemas.microsoft.com/office/spreadsheetml/2017/richdata2" ref="B33:B36">
    <sortCondition ref="B32:B36"/>
  </sortState>
  <mergeCells count="1">
    <mergeCell ref="B4:B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9D4E-B649-4F17-A7BE-B1080D8D8BEE}">
  <sheetPr>
    <tabColor theme="4" tint="0.59999389629810485"/>
  </sheetPr>
  <dimension ref="B2:N71"/>
  <sheetViews>
    <sheetView showGridLines="0" zoomScaleNormal="100" workbookViewId="0">
      <selection activeCell="B3" sqref="B3"/>
    </sheetView>
  </sheetViews>
  <sheetFormatPr defaultColWidth="8.5" defaultRowHeight="15.6"/>
  <cols>
    <col min="1" max="1" width="8.5" style="104"/>
    <col min="2" max="2" width="25" style="104" customWidth="1"/>
    <col min="3" max="3" width="36.375" style="500" hidden="1" customWidth="1"/>
    <col min="4" max="4" width="33.5" style="638" hidden="1" customWidth="1"/>
    <col min="5" max="5" width="42.5" style="499" hidden="1" customWidth="1"/>
    <col min="6" max="6" width="41.875" style="336" hidden="1" customWidth="1"/>
    <col min="7" max="7" width="39" style="499" hidden="1" customWidth="1"/>
    <col min="8" max="10" width="19" style="501" customWidth="1"/>
    <col min="11" max="16384" width="8.5" style="104"/>
  </cols>
  <sheetData>
    <row r="2" spans="2:2">
      <c r="B2" s="116" t="s">
        <v>3035</v>
      </c>
    </row>
    <row r="4" spans="2:2">
      <c r="B4" s="104" t="s">
        <v>3036</v>
      </c>
    </row>
    <row r="6" spans="2:2">
      <c r="B6" s="104" t="s">
        <v>3037</v>
      </c>
    </row>
    <row r="8" spans="2:2">
      <c r="B8" s="104" t="s">
        <v>3038</v>
      </c>
    </row>
    <row r="9" spans="2:2">
      <c r="B9" s="797" t="s">
        <v>3039</v>
      </c>
    </row>
    <row r="11" spans="2:2">
      <c r="B11" s="104" t="s">
        <v>3040</v>
      </c>
    </row>
    <row r="12" spans="2:2">
      <c r="B12" s="797" t="s">
        <v>3041</v>
      </c>
    </row>
    <row r="14" spans="2:2">
      <c r="B14" s="104" t="s">
        <v>3042</v>
      </c>
    </row>
    <row r="15" spans="2:2">
      <c r="B15" s="797" t="s">
        <v>3043</v>
      </c>
    </row>
    <row r="17" spans="2:14">
      <c r="B17" s="104" t="s">
        <v>3044</v>
      </c>
    </row>
    <row r="18" spans="2:14">
      <c r="B18" s="797" t="s">
        <v>3045</v>
      </c>
    </row>
    <row r="20" spans="2:14">
      <c r="B20" s="104" t="s">
        <v>3046</v>
      </c>
    </row>
    <row r="21" spans="2:14">
      <c r="B21" s="797" t="s">
        <v>3047</v>
      </c>
    </row>
    <row r="23" spans="2:14" customFormat="1"/>
    <row r="26" spans="2:14" s="749" customFormat="1" ht="15.95" customHeight="1">
      <c r="B26" s="781" t="s">
        <v>3006</v>
      </c>
      <c r="C26" s="782" t="s">
        <v>3048</v>
      </c>
      <c r="D26" s="782" t="s">
        <v>3049</v>
      </c>
      <c r="E26" s="783" t="s">
        <v>3050</v>
      </c>
      <c r="F26" s="782" t="s">
        <v>3051</v>
      </c>
      <c r="G26" s="783" t="s">
        <v>3052</v>
      </c>
      <c r="H26" s="773" t="s">
        <v>3053</v>
      </c>
      <c r="N26" s="464" t="s">
        <v>3035</v>
      </c>
    </row>
    <row r="27" spans="2:14">
      <c r="B27" s="2" t="s">
        <v>2329</v>
      </c>
      <c r="C27" s="502">
        <f>VLOOKUP(B27,'Data transparency indices'!B:H,2,0)</f>
        <v>1</v>
      </c>
      <c r="D27" s="639">
        <f>VLOOKUP(B27,'Data transparency indices'!B:H,3,0)</f>
        <v>1</v>
      </c>
      <c r="E27" s="502">
        <f>VLOOKUP(B27,'Data transparency indices'!B:H,4,0)</f>
        <v>1</v>
      </c>
      <c r="F27" s="336">
        <f>VLOOKUP(B27,'Data transparency indices'!B:H,5,0)</f>
        <v>1</v>
      </c>
      <c r="G27" s="502">
        <f>VLOOKUP(B27,'Data transparency indices'!B:H,6,0)</f>
        <v>1</v>
      </c>
      <c r="H27" s="503">
        <f t="shared" ref="H27" si="0">SUM(C27:G27)</f>
        <v>5</v>
      </c>
      <c r="I27" s="503"/>
      <c r="J27" s="503"/>
    </row>
    <row r="28" spans="2:14">
      <c r="B28" s="104" t="s">
        <v>2258</v>
      </c>
      <c r="C28" s="502">
        <f>VLOOKUP(B28,'Data transparency indices'!B:H,2,0)</f>
        <v>1</v>
      </c>
      <c r="D28" s="639">
        <f>VLOOKUP(B28,'Data transparency indices'!B:H,3,0)</f>
        <v>1</v>
      </c>
      <c r="E28" s="502">
        <f>VLOOKUP(B28,'Data transparency indices'!B:H,4,0)</f>
        <v>0.875</v>
      </c>
      <c r="F28" s="336">
        <f>VLOOKUP(B28,'Data transparency indices'!B:H,5,0)</f>
        <v>1</v>
      </c>
      <c r="G28" s="502">
        <f>VLOOKUP(B28,'Data transparency indices'!B:H,6,0)</f>
        <v>0.8</v>
      </c>
      <c r="H28" s="503">
        <f t="shared" ref="H28:H67" si="1">SUM(C28:G28)</f>
        <v>4.6749999999999998</v>
      </c>
      <c r="I28" s="503"/>
      <c r="J28" s="503"/>
      <c r="K28" s="649"/>
      <c r="L28" s="649"/>
      <c r="M28" s="649"/>
      <c r="N28" s="649"/>
    </row>
    <row r="29" spans="2:14">
      <c r="B29" s="2" t="s">
        <v>227</v>
      </c>
      <c r="C29" s="502">
        <f>VLOOKUP(B29,'Data transparency indices'!B:H,2,0)</f>
        <v>1</v>
      </c>
      <c r="D29" s="639">
        <f>VLOOKUP(B29,'Data transparency indices'!B:H,3,0)</f>
        <v>1</v>
      </c>
      <c r="E29" s="502">
        <f>VLOOKUP(B29,'Data transparency indices'!B:H,4,0)</f>
        <v>0.95652173913043481</v>
      </c>
      <c r="F29" s="336">
        <f>VLOOKUP(B29,'Data transparency indices'!B:H,5,0)</f>
        <v>1</v>
      </c>
      <c r="G29" s="502">
        <f>VLOOKUP(B29,'Data transparency indices'!B:H,6,0)</f>
        <v>0.63157894736842102</v>
      </c>
      <c r="H29" s="503">
        <f t="shared" si="1"/>
        <v>4.5881006864988558</v>
      </c>
      <c r="I29" s="503"/>
      <c r="J29" s="503"/>
    </row>
    <row r="30" spans="2:14" ht="15.75" customHeight="1">
      <c r="B30" s="104" t="s">
        <v>767</v>
      </c>
      <c r="C30" s="502">
        <f>VLOOKUP(B30,'Data transparency indices'!B:H,2,0)</f>
        <v>1</v>
      </c>
      <c r="D30" s="639">
        <f>VLOOKUP(B30,'Data transparency indices'!B:H,3,0)</f>
        <v>1</v>
      </c>
      <c r="E30" s="502">
        <f>VLOOKUP(B30,'Data transparency indices'!B:H,4,0)</f>
        <v>1</v>
      </c>
      <c r="F30" s="336">
        <f>VLOOKUP(B30,'Data transparency indices'!B:H,5,0)</f>
        <v>1</v>
      </c>
      <c r="G30" s="502">
        <f>VLOOKUP(B30,'Data transparency indices'!B:H,6,0)</f>
        <v>0.58333333333333326</v>
      </c>
      <c r="H30" s="503">
        <f t="shared" si="1"/>
        <v>4.583333333333333</v>
      </c>
      <c r="I30" s="503"/>
      <c r="J30" s="503"/>
      <c r="K30" s="649"/>
      <c r="L30" s="649"/>
      <c r="M30" s="649"/>
      <c r="N30" s="649"/>
    </row>
    <row r="31" spans="2:14">
      <c r="B31" s="104" t="s">
        <v>917</v>
      </c>
      <c r="C31" s="502">
        <f>VLOOKUP(B31,'Data transparency indices'!B:H,2,0)</f>
        <v>1</v>
      </c>
      <c r="D31" s="639">
        <f>VLOOKUP(B31,'Data transparency indices'!B:H,3,0)</f>
        <v>1</v>
      </c>
      <c r="E31" s="502">
        <f>VLOOKUP(B31,'Data transparency indices'!B:H,4,0)</f>
        <v>0.48571428571428571</v>
      </c>
      <c r="F31" s="336">
        <f>VLOOKUP(B31,'Data transparency indices'!B:H,5,0)</f>
        <v>0.94285714285714284</v>
      </c>
      <c r="G31" s="502">
        <f>VLOOKUP(B31,'Data transparency indices'!B:H,6,0)</f>
        <v>1</v>
      </c>
      <c r="H31" s="503">
        <f t="shared" si="1"/>
        <v>4.4285714285714288</v>
      </c>
      <c r="I31" s="503"/>
      <c r="J31" s="503"/>
      <c r="K31" s="649"/>
      <c r="L31" s="649"/>
      <c r="M31" s="649"/>
      <c r="N31" s="649"/>
    </row>
    <row r="32" spans="2:14">
      <c r="B32" s="104" t="s">
        <v>452</v>
      </c>
      <c r="C32" s="502">
        <f>VLOOKUP(B32,'Data transparency indices'!B:H,2,0)</f>
        <v>1</v>
      </c>
      <c r="D32" s="639">
        <f>VLOOKUP(B32,'Data transparency indices'!B:H,3,0)</f>
        <v>1</v>
      </c>
      <c r="E32" s="502">
        <f>VLOOKUP(B32,'Data transparency indices'!B:H,4,0)</f>
        <v>0.78260869565217395</v>
      </c>
      <c r="F32" s="336">
        <f>VLOOKUP(B32,'Data transparency indices'!B:H,5,0)</f>
        <v>0.93478260869565222</v>
      </c>
      <c r="G32" s="502">
        <f>VLOOKUP(B32,'Data transparency indices'!B:H,6,0)</f>
        <v>0.7</v>
      </c>
      <c r="H32" s="503">
        <f t="shared" si="1"/>
        <v>4.4173913043478263</v>
      </c>
      <c r="I32" s="503"/>
      <c r="J32" s="503"/>
      <c r="K32" s="649"/>
      <c r="L32" s="649"/>
      <c r="M32" s="649"/>
      <c r="N32" s="649"/>
    </row>
    <row r="33" spans="2:10" ht="15.75" customHeight="1">
      <c r="B33" s="104" t="s">
        <v>1687</v>
      </c>
      <c r="C33" s="502">
        <f>VLOOKUP(B33,'Data transparency indices'!B:H,2,0)</f>
        <v>1</v>
      </c>
      <c r="D33" s="639">
        <f>VLOOKUP(B33,'Data transparency indices'!B:H,3,0)</f>
        <v>1</v>
      </c>
      <c r="E33" s="502">
        <f>VLOOKUP(B33,'Data transparency indices'!B:H,4,0)</f>
        <v>0.75757575757575757</v>
      </c>
      <c r="F33" s="336">
        <f>VLOOKUP(B33,'Data transparency indices'!B:H,5,0)</f>
        <v>0.84848484848484851</v>
      </c>
      <c r="G33" s="502">
        <f>VLOOKUP(B33,'Data transparency indices'!B:H,6,0)</f>
        <v>0.80952380952380953</v>
      </c>
      <c r="H33" s="503">
        <f t="shared" si="1"/>
        <v>4.4155844155844157</v>
      </c>
      <c r="I33" s="503"/>
      <c r="J33" s="503"/>
    </row>
    <row r="34" spans="2:10">
      <c r="B34" s="2" t="s">
        <v>1766</v>
      </c>
      <c r="C34" s="502">
        <f>VLOOKUP(B34,'Data transparency indices'!B:H,2,0)</f>
        <v>1</v>
      </c>
      <c r="D34" s="639">
        <f>VLOOKUP(B34,'Data transparency indices'!B:H,3,0)</f>
        <v>1</v>
      </c>
      <c r="E34" s="502">
        <f>VLOOKUP(B34,'Data transparency indices'!B:H,4,0)</f>
        <v>0.53846153846153844</v>
      </c>
      <c r="F34" s="336">
        <f>VLOOKUP(B34,'Data transparency indices'!B:H,5,0)</f>
        <v>0.92307692307692313</v>
      </c>
      <c r="G34" s="502">
        <f>VLOOKUP(B34,'Data transparency indices'!B:H,6,0)</f>
        <v>0.83333333333333337</v>
      </c>
      <c r="H34" s="503">
        <f t="shared" si="1"/>
        <v>4.2948717948717947</v>
      </c>
      <c r="I34" s="503"/>
      <c r="J34" s="503"/>
    </row>
    <row r="35" spans="2:10">
      <c r="B35" s="104" t="s">
        <v>1383</v>
      </c>
      <c r="C35" s="502">
        <f>VLOOKUP(B35,'Data transparency indices'!B:H,2,0)</f>
        <v>1</v>
      </c>
      <c r="D35" s="639">
        <f>VLOOKUP(B35,'Data transparency indices'!B:H,3,0)</f>
        <v>1</v>
      </c>
      <c r="E35" s="502">
        <f>VLOOKUP(B35,'Data transparency indices'!B:H,4,0)</f>
        <v>0.36363636363636365</v>
      </c>
      <c r="F35" s="336">
        <f>VLOOKUP(B35,'Data transparency indices'!B:H,5,0)</f>
        <v>0.72727272727272729</v>
      </c>
      <c r="G35" s="502">
        <f>VLOOKUP(B35,'Data transparency indices'!B:H,6,0)</f>
        <v>1</v>
      </c>
      <c r="H35" s="503">
        <f t="shared" si="1"/>
        <v>4.0909090909090908</v>
      </c>
      <c r="I35" s="503"/>
      <c r="J35" s="503"/>
    </row>
    <row r="36" spans="2:10">
      <c r="B36" s="2" t="s">
        <v>1804</v>
      </c>
      <c r="C36" s="502">
        <f>VLOOKUP(B36,'Data transparency indices'!B:H,2,0)</f>
        <v>1</v>
      </c>
      <c r="D36" s="639">
        <f>VLOOKUP(B36,'Data transparency indices'!B:H,3,0)</f>
        <v>1</v>
      </c>
      <c r="E36" s="502">
        <f>VLOOKUP(B36,'Data transparency indices'!B:H,4,0)</f>
        <v>0.25714285714285712</v>
      </c>
      <c r="F36" s="336">
        <f>VLOOKUP(B36,'Data transparency indices'!B:H,5,0)</f>
        <v>0.97142857142857142</v>
      </c>
      <c r="G36" s="502">
        <f>VLOOKUP(B36,'Data transparency indices'!B:H,6,0)</f>
        <v>0.78260869565217395</v>
      </c>
      <c r="H36" s="503">
        <f t="shared" si="1"/>
        <v>4.0111801242236025</v>
      </c>
      <c r="I36" s="503"/>
      <c r="J36" s="503"/>
    </row>
    <row r="37" spans="2:10">
      <c r="B37" s="104" t="s">
        <v>1682</v>
      </c>
      <c r="C37" s="502">
        <f>VLOOKUP(B37,'Data transparency indices'!B:H,2,0)</f>
        <v>1</v>
      </c>
      <c r="D37" s="639">
        <f>VLOOKUP(B37,'Data transparency indices'!B:H,3,0)</f>
        <v>0</v>
      </c>
      <c r="E37" s="502">
        <f>VLOOKUP(B37,'Data transparency indices'!B:H,4,0)</f>
        <v>1</v>
      </c>
      <c r="F37" s="336">
        <f>VLOOKUP(B37,'Data transparency indices'!B:H,5,0)</f>
        <v>1</v>
      </c>
      <c r="G37" s="502">
        <f>VLOOKUP(B37,'Data transparency indices'!B:H,6,0)</f>
        <v>1</v>
      </c>
      <c r="H37" s="503">
        <f t="shared" si="1"/>
        <v>4</v>
      </c>
      <c r="I37" s="503"/>
      <c r="J37" s="503"/>
    </row>
    <row r="38" spans="2:10">
      <c r="B38" s="104" t="s">
        <v>2548</v>
      </c>
      <c r="C38" s="502">
        <f>VLOOKUP(B38,'Data transparency indices'!B:H,2,0)</f>
        <v>1</v>
      </c>
      <c r="D38" s="639">
        <f>VLOOKUP(B38,'Data transparency indices'!B:H,3,0)</f>
        <v>1</v>
      </c>
      <c r="E38" s="502">
        <f>VLOOKUP(B38,'Data transparency indices'!B:H,4,0)</f>
        <v>0.31818181818181818</v>
      </c>
      <c r="F38" s="336">
        <f>VLOOKUP(B38,'Data transparency indices'!B:H,5,0)</f>
        <v>0.98863636363636365</v>
      </c>
      <c r="G38" s="502">
        <f>VLOOKUP(B38,'Data transparency indices'!B:H,6,0)</f>
        <v>0.68724279835390945</v>
      </c>
      <c r="H38" s="503">
        <f t="shared" si="1"/>
        <v>3.9940609801720917</v>
      </c>
      <c r="I38" s="503"/>
      <c r="J38" s="503"/>
    </row>
    <row r="39" spans="2:10">
      <c r="B39" s="104" t="s">
        <v>1136</v>
      </c>
      <c r="C39" s="502">
        <f>VLOOKUP(B39,'Data transparency indices'!B:H,2,0)</f>
        <v>1</v>
      </c>
      <c r="D39" s="639">
        <f>VLOOKUP(B39,'Data transparency indices'!B:H,3,0)</f>
        <v>0</v>
      </c>
      <c r="E39" s="502">
        <f>VLOOKUP(B39,'Data transparency indices'!B:H,4,0)</f>
        <v>0.9910714285714286</v>
      </c>
      <c r="F39" s="336">
        <f>VLOOKUP(B39,'Data transparency indices'!B:H,5,0)</f>
        <v>0.9732142857142857</v>
      </c>
      <c r="G39" s="502">
        <f>VLOOKUP(B39,'Data transparency indices'!B:H,6,0)</f>
        <v>0.86407766990291268</v>
      </c>
      <c r="H39" s="503">
        <f t="shared" si="1"/>
        <v>3.8283633841886271</v>
      </c>
      <c r="I39" s="503"/>
      <c r="J39" s="503"/>
    </row>
    <row r="40" spans="2:10">
      <c r="B40" s="35" t="s">
        <v>2825</v>
      </c>
      <c r="C40" s="502">
        <f>VLOOKUP(B40,'Data transparency indices'!B:H,2,0)</f>
        <v>1</v>
      </c>
      <c r="D40" s="639">
        <f>VLOOKUP(B40,'Data transparency indices'!B:H,3,0)</f>
        <v>0</v>
      </c>
      <c r="E40" s="502">
        <f>VLOOKUP(B40,'Data transparency indices'!B:H,4,0)</f>
        <v>0.9</v>
      </c>
      <c r="F40" s="336">
        <f>VLOOKUP(B40,'Data transparency indices'!B:H,5,0)</f>
        <v>0.9</v>
      </c>
      <c r="G40" s="502">
        <f>VLOOKUP(B40,'Data transparency indices'!B:H,6,0)</f>
        <v>1</v>
      </c>
      <c r="H40" s="503">
        <f t="shared" si="1"/>
        <v>3.8</v>
      </c>
      <c r="I40" s="503"/>
      <c r="J40" s="503"/>
    </row>
    <row r="41" spans="2:10">
      <c r="B41" s="104" t="s">
        <v>840</v>
      </c>
      <c r="C41" s="502">
        <f>VLOOKUP(B41,'Data transparency indices'!B:H,2,0)</f>
        <v>1</v>
      </c>
      <c r="D41" s="639">
        <f>VLOOKUP(B41,'Data transparency indices'!B:H,3,0)</f>
        <v>1</v>
      </c>
      <c r="E41" s="502">
        <f>VLOOKUP(B41,'Data transparency indices'!B:H,4,0)</f>
        <v>0.72222222222222221</v>
      </c>
      <c r="F41" s="336">
        <f>VLOOKUP(B41,'Data transparency indices'!B:H,5,0)</f>
        <v>0.80555555555555558</v>
      </c>
      <c r="G41" s="502">
        <f>VLOOKUP(B41,'Data transparency indices'!B:H,6,0)</f>
        <v>0.16666666666666663</v>
      </c>
      <c r="H41" s="503">
        <f t="shared" si="1"/>
        <v>3.6944444444444442</v>
      </c>
      <c r="I41" s="503"/>
      <c r="J41" s="503"/>
    </row>
    <row r="42" spans="2:10">
      <c r="B42" s="104" t="s">
        <v>1562</v>
      </c>
      <c r="C42" s="502">
        <f>VLOOKUP(B42,'Data transparency indices'!B:H,2,0)</f>
        <v>1</v>
      </c>
      <c r="D42" s="639">
        <f>VLOOKUP(B42,'Data transparency indices'!B:H,3,0)</f>
        <v>1</v>
      </c>
      <c r="E42" s="502">
        <f>VLOOKUP(B42,'Data transparency indices'!B:H,4,0)</f>
        <v>0.53125</v>
      </c>
      <c r="F42" s="336">
        <f>VLOOKUP(B42,'Data transparency indices'!B:H,5,0)</f>
        <v>0.625</v>
      </c>
      <c r="G42" s="502">
        <f>VLOOKUP(B42,'Data transparency indices'!B:H,6,0)</f>
        <v>0.39130434782608692</v>
      </c>
      <c r="H42" s="503">
        <f t="shared" si="1"/>
        <v>3.5475543478260869</v>
      </c>
      <c r="I42" s="503"/>
      <c r="J42" s="503"/>
    </row>
    <row r="43" spans="2:10">
      <c r="B43" s="104" t="s">
        <v>312</v>
      </c>
      <c r="C43" s="502">
        <f>VLOOKUP(B43,'Data transparency indices'!B:H,2,0)</f>
        <v>1</v>
      </c>
      <c r="D43" s="639">
        <f>VLOOKUP(B43,'Data transparency indices'!B:H,3,0)</f>
        <v>0</v>
      </c>
      <c r="E43" s="502">
        <f>VLOOKUP(B43,'Data transparency indices'!B:H,4,0)</f>
        <v>0.30434782608695654</v>
      </c>
      <c r="F43" s="336">
        <f>VLOOKUP(B43,'Data transparency indices'!B:H,5,0)</f>
        <v>1</v>
      </c>
      <c r="G43" s="502">
        <f>VLOOKUP(B43,'Data transparency indices'!B:H,6,0)</f>
        <v>1</v>
      </c>
      <c r="H43" s="503">
        <f t="shared" si="1"/>
        <v>3.3043478260869565</v>
      </c>
      <c r="I43" s="503"/>
      <c r="J43" s="503"/>
    </row>
    <row r="44" spans="2:10">
      <c r="B44" s="104" t="s">
        <v>1471</v>
      </c>
      <c r="C44" s="502">
        <f>VLOOKUP(B44,'Data transparency indices'!B:H,2,0)</f>
        <v>1</v>
      </c>
      <c r="D44" s="639">
        <f>VLOOKUP(B44,'Data transparency indices'!B:H,3,0)</f>
        <v>1</v>
      </c>
      <c r="E44" s="502">
        <f>VLOOKUP(B44,'Data transparency indices'!B:H,4,0)</f>
        <v>0.31578947368421051</v>
      </c>
      <c r="F44" s="336">
        <f>VLOOKUP(B44,'Data transparency indices'!B:H,5,0)</f>
        <v>0.73684210526315785</v>
      </c>
      <c r="G44" s="502">
        <f>VLOOKUP(B44,'Data transparency indices'!B:H,6,0)</f>
        <v>0.25</v>
      </c>
      <c r="H44" s="503">
        <f t="shared" si="1"/>
        <v>3.3026315789473686</v>
      </c>
      <c r="I44" s="503"/>
      <c r="J44" s="503"/>
    </row>
    <row r="45" spans="2:10">
      <c r="B45" s="104" t="s">
        <v>2392</v>
      </c>
      <c r="C45" s="502">
        <f>VLOOKUP(B45,'Data transparency indices'!B:H,2,0)</f>
        <v>1</v>
      </c>
      <c r="D45" s="639">
        <f>VLOOKUP(B45,'Data transparency indices'!B:H,3,0)</f>
        <v>0</v>
      </c>
      <c r="E45" s="502">
        <f>VLOOKUP(B45,'Data transparency indices'!B:H,4,0)</f>
        <v>0.70491803278688525</v>
      </c>
      <c r="F45" s="336">
        <f>VLOOKUP(B45,'Data transparency indices'!B:H,5,0)</f>
        <v>0.78688524590163933</v>
      </c>
      <c r="G45" s="502">
        <f>VLOOKUP(B45,'Data transparency indices'!B:H,6,0)</f>
        <v>0.68888888888888888</v>
      </c>
      <c r="H45" s="503">
        <f t="shared" si="1"/>
        <v>3.1806921675774138</v>
      </c>
      <c r="I45" s="503"/>
      <c r="J45" s="503"/>
    </row>
    <row r="46" spans="2:10">
      <c r="B46" s="104" t="s">
        <v>618</v>
      </c>
      <c r="C46" s="502">
        <f>VLOOKUP(B46,'Data transparency indices'!B:H,2,0)</f>
        <v>0</v>
      </c>
      <c r="D46" s="639">
        <f>VLOOKUP(B46,'Data transparency indices'!B:H,3,0)</f>
        <v>0</v>
      </c>
      <c r="E46" s="502">
        <f>VLOOKUP(B46,'Data transparency indices'!B:H,4,0)</f>
        <v>1</v>
      </c>
      <c r="F46" s="336">
        <f>VLOOKUP(B46,'Data transparency indices'!B:H,5,0)</f>
        <v>0.83333333333333337</v>
      </c>
      <c r="G46" s="502">
        <f>VLOOKUP(B46,'Data transparency indices'!B:H,6,0)</f>
        <v>1</v>
      </c>
      <c r="H46" s="503">
        <f t="shared" si="1"/>
        <v>2.8333333333333335</v>
      </c>
      <c r="I46" s="503"/>
      <c r="J46" s="503"/>
    </row>
    <row r="47" spans="2:10">
      <c r="B47" s="104" t="s">
        <v>370</v>
      </c>
      <c r="C47" s="502">
        <f>VLOOKUP(B47,'Data transparency indices'!B:H,2,0)</f>
        <v>0</v>
      </c>
      <c r="D47" s="639">
        <f>VLOOKUP(B47,'Data transparency indices'!B:H,3,0)</f>
        <v>0</v>
      </c>
      <c r="E47" s="502">
        <f>VLOOKUP(B47,'Data transparency indices'!B:H,4,0)</f>
        <v>1</v>
      </c>
      <c r="F47" s="336">
        <f>VLOOKUP(B47,'Data transparency indices'!B:H,5,0)</f>
        <v>0.8</v>
      </c>
      <c r="G47" s="502">
        <f>VLOOKUP(B47,'Data transparency indices'!B:H,6,0)</f>
        <v>1</v>
      </c>
      <c r="H47" s="503">
        <f t="shared" si="1"/>
        <v>2.8</v>
      </c>
      <c r="I47" s="503"/>
      <c r="J47" s="503"/>
    </row>
    <row r="48" spans="2:10">
      <c r="B48" s="104" t="s">
        <v>591</v>
      </c>
      <c r="C48" s="502">
        <f>VLOOKUP(B48,'Data transparency indices'!B:H,2,0)</f>
        <v>0</v>
      </c>
      <c r="D48" s="639">
        <f>VLOOKUP(B48,'Data transparency indices'!B:H,3,0)</f>
        <v>0</v>
      </c>
      <c r="E48" s="502">
        <f>VLOOKUP(B48,'Data transparency indices'!B:H,4,0)</f>
        <v>1</v>
      </c>
      <c r="F48" s="336">
        <f>VLOOKUP(B48,'Data transparency indices'!B:H,5,0)</f>
        <v>0.8</v>
      </c>
      <c r="G48" s="502">
        <f>VLOOKUP(B48,'Data transparency indices'!B:H,6,0)</f>
        <v>1</v>
      </c>
      <c r="H48" s="503">
        <f t="shared" si="1"/>
        <v>2.8</v>
      </c>
      <c r="I48" s="503"/>
      <c r="J48" s="503"/>
    </row>
    <row r="49" spans="2:10">
      <c r="B49" s="2" t="s">
        <v>2002</v>
      </c>
      <c r="C49" s="502">
        <f>VLOOKUP(B49,'Data transparency indices'!B:H,2,0)</f>
        <v>1</v>
      </c>
      <c r="D49" s="639">
        <f>VLOOKUP(B49,'Data transparency indices'!B:H,3,0)</f>
        <v>0</v>
      </c>
      <c r="E49" s="502">
        <f>VLOOKUP(B49,'Data transparency indices'!B:H,4,0)</f>
        <v>1</v>
      </c>
      <c r="F49" s="336">
        <f>VLOOKUP(B49,'Data transparency indices'!B:H,5,0)</f>
        <v>0.3</v>
      </c>
      <c r="G49" s="502">
        <f>VLOOKUP(B49,'Data transparency indices'!B:H,6,0)</f>
        <v>0.5</v>
      </c>
      <c r="H49" s="503">
        <f t="shared" si="1"/>
        <v>2.8</v>
      </c>
      <c r="I49" s="503"/>
      <c r="J49" s="503"/>
    </row>
    <row r="50" spans="2:10">
      <c r="B50" s="104" t="s">
        <v>1412</v>
      </c>
      <c r="C50" s="502">
        <f>VLOOKUP(B50,'Data transparency indices'!B:H,2,0)</f>
        <v>1</v>
      </c>
      <c r="D50" s="639">
        <f>VLOOKUP(B50,'Data transparency indices'!B:H,3,0)</f>
        <v>0</v>
      </c>
      <c r="E50" s="502">
        <f>VLOOKUP(B50,'Data transparency indices'!B:H,4,0)</f>
        <v>0.21739130434782608</v>
      </c>
      <c r="F50" s="336">
        <f>VLOOKUP(B50,'Data transparency indices'!B:H,5,0)</f>
        <v>0.78260869565217395</v>
      </c>
      <c r="G50" s="502">
        <f>VLOOKUP(B50,'Data transparency indices'!B:H,6,0)</f>
        <v>0.66666666666666674</v>
      </c>
      <c r="H50" s="503">
        <f t="shared" si="1"/>
        <v>2.666666666666667</v>
      </c>
      <c r="I50" s="503"/>
      <c r="J50" s="503"/>
    </row>
    <row r="51" spans="2:10">
      <c r="B51" s="104" t="s">
        <v>2063</v>
      </c>
      <c r="C51" s="502">
        <f>VLOOKUP(B51,'Data transparency indices'!B:H,2,0)</f>
        <v>0</v>
      </c>
      <c r="D51" s="639">
        <f>VLOOKUP(B51,'Data transparency indices'!B:H,3,0)</f>
        <v>0</v>
      </c>
      <c r="E51" s="502">
        <f>VLOOKUP(B51,'Data transparency indices'!B:H,4,0)</f>
        <v>0.58333333333333337</v>
      </c>
      <c r="F51" s="336">
        <f>VLOOKUP(B51,'Data transparency indices'!B:H,5,0)</f>
        <v>0.66666666666666663</v>
      </c>
      <c r="G51" s="502">
        <f>VLOOKUP(B51,'Data transparency indices'!B:H,6,0)</f>
        <v>1</v>
      </c>
      <c r="H51" s="503">
        <f t="shared" si="1"/>
        <v>2.25</v>
      </c>
      <c r="I51" s="503"/>
      <c r="J51" s="503"/>
    </row>
    <row r="52" spans="2:10">
      <c r="B52" s="104" t="s">
        <v>1516</v>
      </c>
      <c r="C52" s="502">
        <f>VLOOKUP(B52,'Data transparency indices'!B:H,2,0)</f>
        <v>0</v>
      </c>
      <c r="D52" s="639">
        <f>VLOOKUP(B52,'Data transparency indices'!B:H,3,0)</f>
        <v>0</v>
      </c>
      <c r="E52" s="502">
        <f>VLOOKUP(B52,'Data transparency indices'!B:H,4,0)</f>
        <v>0.8</v>
      </c>
      <c r="F52" s="336">
        <f>VLOOKUP(B52,'Data transparency indices'!B:H,5,0)</f>
        <v>0.93333333333333335</v>
      </c>
      <c r="G52" s="502">
        <f>VLOOKUP(B52,'Data transparency indices'!B:H,6,0)</f>
        <v>0.5</v>
      </c>
      <c r="H52" s="503">
        <f t="shared" si="1"/>
        <v>2.2333333333333334</v>
      </c>
      <c r="I52" s="503"/>
      <c r="J52" s="503"/>
    </row>
    <row r="53" spans="2:10">
      <c r="B53" s="104" t="s">
        <v>632</v>
      </c>
      <c r="C53" s="502">
        <f>VLOOKUP(B53,'Data transparency indices'!B:H,2,0)</f>
        <v>0</v>
      </c>
      <c r="D53" s="639">
        <f>VLOOKUP(B53,'Data transparency indices'!B:H,3,0)</f>
        <v>0</v>
      </c>
      <c r="E53" s="502">
        <f>VLOOKUP(B53,'Data transparency indices'!B:H,4,0)</f>
        <v>0.8</v>
      </c>
      <c r="F53" s="336">
        <f>VLOOKUP(B53,'Data transparency indices'!B:H,5,0)</f>
        <v>0.42</v>
      </c>
      <c r="G53" s="502">
        <f>VLOOKUP(B53,'Data transparency indices'!B:H,6,0)</f>
        <v>1</v>
      </c>
      <c r="H53" s="503">
        <f t="shared" si="1"/>
        <v>2.2199999999999998</v>
      </c>
      <c r="I53" s="503"/>
      <c r="J53" s="503"/>
    </row>
    <row r="54" spans="2:10">
      <c r="B54" s="104" t="s">
        <v>2034</v>
      </c>
      <c r="C54" s="502">
        <f>VLOOKUP(B54,'Data transparency indices'!B:H,2,0)</f>
        <v>0</v>
      </c>
      <c r="D54" s="639">
        <f>VLOOKUP(B54,'Data transparency indices'!B:H,3,0)</f>
        <v>0</v>
      </c>
      <c r="E54" s="502">
        <f>VLOOKUP(B54,'Data transparency indices'!B:H,4,0)</f>
        <v>0.33333333333333331</v>
      </c>
      <c r="F54" s="336">
        <f>VLOOKUP(B54,'Data transparency indices'!B:H,5,0)</f>
        <v>0.77777777777777779</v>
      </c>
      <c r="G54" s="502">
        <f>VLOOKUP(B54,'Data transparency indices'!B:H,6,0)</f>
        <v>1</v>
      </c>
      <c r="H54" s="503">
        <f t="shared" si="1"/>
        <v>2.1111111111111112</v>
      </c>
      <c r="I54" s="503"/>
      <c r="J54" s="503"/>
    </row>
    <row r="55" spans="2:10">
      <c r="B55" s="104" t="s">
        <v>2368</v>
      </c>
      <c r="C55" s="502">
        <f>VLOOKUP(B55,'Data transparency indices'!B:H,2,0)</f>
        <v>0</v>
      </c>
      <c r="D55" s="639">
        <f>VLOOKUP(B55,'Data transparency indices'!B:H,3,0)</f>
        <v>0</v>
      </c>
      <c r="E55" s="502">
        <f>VLOOKUP(B55,'Data transparency indices'!B:H,4,0)</f>
        <v>1</v>
      </c>
      <c r="F55" s="336">
        <f>VLOOKUP(B55,'Data transparency indices'!B:H,5,0)</f>
        <v>0.1111111111111111</v>
      </c>
      <c r="G55" s="502">
        <f>VLOOKUP(B55,'Data transparency indices'!B:H,6,0)</f>
        <v>1</v>
      </c>
      <c r="H55" s="503">
        <f t="shared" si="1"/>
        <v>2.1111111111111112</v>
      </c>
      <c r="I55" s="503"/>
      <c r="J55" s="503"/>
    </row>
    <row r="56" spans="2:10">
      <c r="B56" s="104" t="s">
        <v>1653</v>
      </c>
      <c r="C56" s="502">
        <f>VLOOKUP(B56,'Data transparency indices'!B:H,2,0)</f>
        <v>0</v>
      </c>
      <c r="D56" s="639">
        <f>VLOOKUP(B56,'Data transparency indices'!B:H,3,0)</f>
        <v>0</v>
      </c>
      <c r="E56" s="502">
        <f>VLOOKUP(B56,'Data transparency indices'!B:H,4,0)</f>
        <v>0.8</v>
      </c>
      <c r="F56" s="336">
        <f>VLOOKUP(B56,'Data transparency indices'!B:H,5,0)</f>
        <v>0.7</v>
      </c>
      <c r="G56" s="502">
        <f>VLOOKUP(B56,'Data transparency indices'!B:H,6,0)</f>
        <v>0.5714285714285714</v>
      </c>
      <c r="H56" s="503">
        <f t="shared" si="1"/>
        <v>2.0714285714285712</v>
      </c>
      <c r="I56" s="503"/>
      <c r="J56" s="503"/>
    </row>
    <row r="57" spans="2:10">
      <c r="B57" s="104" t="s">
        <v>1012</v>
      </c>
      <c r="C57" s="502">
        <f>VLOOKUP(B57,'Data transparency indices'!B:H,2,0)</f>
        <v>0</v>
      </c>
      <c r="D57" s="639">
        <f>VLOOKUP(B57,'Data transparency indices'!B:H,3,0)</f>
        <v>0</v>
      </c>
      <c r="E57" s="502">
        <f>VLOOKUP(B57,'Data transparency indices'!B:H,4,0)</f>
        <v>0.39655172413793105</v>
      </c>
      <c r="F57" s="336">
        <f>VLOOKUP(B57,'Data transparency indices'!B:H,5,0)</f>
        <v>0.82758620689655171</v>
      </c>
      <c r="G57" s="502">
        <f>VLOOKUP(B57,'Data transparency indices'!B:H,6,0)</f>
        <v>0.83333333333333337</v>
      </c>
      <c r="H57" s="503">
        <f t="shared" si="1"/>
        <v>2.0574712643678161</v>
      </c>
      <c r="I57" s="503"/>
      <c r="J57" s="503"/>
    </row>
    <row r="58" spans="2:10">
      <c r="B58" s="104" t="s">
        <v>583</v>
      </c>
      <c r="C58" s="502">
        <f>VLOOKUP(B58,'Data transparency indices'!B:H,2,0)</f>
        <v>0</v>
      </c>
      <c r="D58" s="639">
        <f>VLOOKUP(B58,'Data transparency indices'!B:H,3,0)</f>
        <v>0</v>
      </c>
      <c r="E58" s="502">
        <f>VLOOKUP(B58,'Data transparency indices'!B:H,4,0)</f>
        <v>1</v>
      </c>
      <c r="F58" s="336">
        <f>VLOOKUP(B58,'Data transparency indices'!B:H,5,0)</f>
        <v>0</v>
      </c>
      <c r="G58" s="502">
        <f>VLOOKUP(B58,'Data transparency indices'!B:H,6,0)</f>
        <v>1</v>
      </c>
      <c r="H58" s="503">
        <f t="shared" si="1"/>
        <v>2</v>
      </c>
      <c r="I58" s="503"/>
      <c r="J58" s="503"/>
    </row>
    <row r="59" spans="2:10">
      <c r="B59" s="104" t="s">
        <v>1335</v>
      </c>
      <c r="C59" s="502">
        <f>VLOOKUP(B59,'Data transparency indices'!B:H,2,0)</f>
        <v>0</v>
      </c>
      <c r="D59" s="639">
        <f>VLOOKUP(B59,'Data transparency indices'!B:H,3,0)</f>
        <v>0</v>
      </c>
      <c r="E59" s="502">
        <f>VLOOKUP(B59,'Data transparency indices'!B:H,4,0)</f>
        <v>0.35714285714285715</v>
      </c>
      <c r="F59" s="336">
        <f>VLOOKUP(B59,'Data transparency indices'!B:H,5,0)</f>
        <v>0.6428571428571429</v>
      </c>
      <c r="G59" s="502">
        <f>VLOOKUP(B59,'Data transparency indices'!B:H,6,0)</f>
        <v>1</v>
      </c>
      <c r="H59" s="503">
        <f t="shared" si="1"/>
        <v>2</v>
      </c>
      <c r="I59" s="503"/>
      <c r="J59" s="503"/>
    </row>
    <row r="60" spans="2:10">
      <c r="B60" s="104" t="s">
        <v>1369</v>
      </c>
      <c r="C60" s="502">
        <f>VLOOKUP(B60,'Data transparency indices'!B:H,2,0)</f>
        <v>0</v>
      </c>
      <c r="D60" s="639">
        <f>VLOOKUP(B60,'Data transparency indices'!B:H,3,0)</f>
        <v>0</v>
      </c>
      <c r="E60" s="502">
        <f>VLOOKUP(B60,'Data transparency indices'!B:H,4,0)</f>
        <v>0</v>
      </c>
      <c r="F60" s="336">
        <f>VLOOKUP(B60,'Data transparency indices'!B:H,5,0)</f>
        <v>1</v>
      </c>
      <c r="G60" s="502">
        <f>VLOOKUP(B60,'Data transparency indices'!B:H,6,0)</f>
        <v>1</v>
      </c>
      <c r="H60" s="503">
        <f t="shared" si="1"/>
        <v>2</v>
      </c>
      <c r="I60" s="503"/>
      <c r="J60" s="503"/>
    </row>
    <row r="61" spans="2:10">
      <c r="B61" s="2" t="s">
        <v>2348</v>
      </c>
      <c r="C61" s="502">
        <f>VLOOKUP(B61,'Data transparency indices'!B:H,2,0)</f>
        <v>0</v>
      </c>
      <c r="D61" s="639">
        <f>VLOOKUP(B61,'Data transparency indices'!B:H,3,0)</f>
        <v>0</v>
      </c>
      <c r="E61" s="502">
        <f>VLOOKUP(B61,'Data transparency indices'!B:H,4,0)</f>
        <v>0</v>
      </c>
      <c r="F61" s="336">
        <f>VLOOKUP(B61,'Data transparency indices'!B:H,5,0)</f>
        <v>0.77777777777777779</v>
      </c>
      <c r="G61" s="502">
        <f>VLOOKUP(B61,'Data transparency indices'!B:H,6,0)</f>
        <v>1</v>
      </c>
      <c r="H61" s="503">
        <f t="shared" si="1"/>
        <v>1.7777777777777777</v>
      </c>
      <c r="I61" s="503"/>
      <c r="J61" s="503"/>
    </row>
    <row r="62" spans="2:10">
      <c r="B62" s="104" t="s">
        <v>2106</v>
      </c>
      <c r="C62" s="502">
        <f>VLOOKUP(B62,'Data transparency indices'!B:H,2,0)</f>
        <v>0</v>
      </c>
      <c r="D62" s="639">
        <f>VLOOKUP(B62,'Data transparency indices'!B:H,3,0)</f>
        <v>0</v>
      </c>
      <c r="E62" s="502">
        <f>VLOOKUP(B62,'Data transparency indices'!B:H,4,0)</f>
        <v>0.8</v>
      </c>
      <c r="F62" s="336">
        <f>VLOOKUP(B62,'Data transparency indices'!B:H,5,0)</f>
        <v>0.5</v>
      </c>
      <c r="G62" s="502">
        <f>VLOOKUP(B62,'Data transparency indices'!B:H,6,0)</f>
        <v>0.4</v>
      </c>
      <c r="H62" s="503">
        <f t="shared" si="1"/>
        <v>1.7000000000000002</v>
      </c>
      <c r="I62" s="503"/>
      <c r="J62" s="503"/>
    </row>
    <row r="63" spans="2:10">
      <c r="B63" s="104" t="s">
        <v>1894</v>
      </c>
      <c r="C63" s="502">
        <f>VLOOKUP(B63,'Data transparency indices'!B:H,2,0)</f>
        <v>0</v>
      </c>
      <c r="D63" s="639">
        <f>VLOOKUP(B63,'Data transparency indices'!B:H,3,0)</f>
        <v>0</v>
      </c>
      <c r="E63" s="502">
        <f>VLOOKUP(B63,'Data transparency indices'!B:H,4,0)</f>
        <v>0.68181818181818177</v>
      </c>
      <c r="F63" s="336">
        <f>VLOOKUP(B63,'Data transparency indices'!B:H,5,0)</f>
        <v>0.40909090909090912</v>
      </c>
      <c r="G63" s="502">
        <f>VLOOKUP(B63,'Data transparency indices'!B:H,6,0)</f>
        <v>0.6</v>
      </c>
      <c r="H63" s="503">
        <f t="shared" si="1"/>
        <v>1.6909090909090909</v>
      </c>
      <c r="I63" s="503"/>
      <c r="J63" s="503"/>
    </row>
    <row r="64" spans="2:10">
      <c r="B64" s="104" t="s">
        <v>1294</v>
      </c>
      <c r="C64" s="502">
        <f>VLOOKUP(B64,'Data transparency indices'!B:H,2,0)</f>
        <v>0</v>
      </c>
      <c r="D64" s="639">
        <f>VLOOKUP(B64,'Data transparency indices'!B:H,3,0)</f>
        <v>0</v>
      </c>
      <c r="E64" s="502">
        <f>VLOOKUP(B64,'Data transparency indices'!B:H,4,0)</f>
        <v>0</v>
      </c>
      <c r="F64" s="336">
        <f>VLOOKUP(B64,'Data transparency indices'!B:H,5,0)</f>
        <v>0.53333333333333333</v>
      </c>
      <c r="G64" s="502">
        <f>VLOOKUP(B64,'Data transparency indices'!B:H,6,0)</f>
        <v>1</v>
      </c>
      <c r="H64" s="503">
        <f t="shared" si="1"/>
        <v>1.5333333333333332</v>
      </c>
      <c r="I64" s="503"/>
      <c r="J64" s="503"/>
    </row>
    <row r="65" spans="2:10">
      <c r="B65" s="104" t="s">
        <v>2162</v>
      </c>
      <c r="C65" s="502">
        <f>VLOOKUP(B65,'Data transparency indices'!B:H,2,0)</f>
        <v>0</v>
      </c>
      <c r="D65" s="639">
        <f>VLOOKUP(B65,'Data transparency indices'!B:H,3,0)</f>
        <v>0</v>
      </c>
      <c r="E65" s="502">
        <f>VLOOKUP(B65,'Data transparency indices'!B:H,4,0)</f>
        <v>0.17142857142857143</v>
      </c>
      <c r="F65" s="336">
        <f>VLOOKUP(B65,'Data transparency indices'!B:H,5,0)</f>
        <v>0.51428571428571423</v>
      </c>
      <c r="G65" s="502">
        <f>VLOOKUP(B65,'Data transparency indices'!B:H,6,0)</f>
        <v>0.69230769230769229</v>
      </c>
      <c r="H65" s="503">
        <f t="shared" si="1"/>
        <v>1.378021978021978</v>
      </c>
      <c r="I65" s="503"/>
      <c r="J65" s="503"/>
    </row>
    <row r="66" spans="2:10">
      <c r="B66" s="104" t="s">
        <v>428</v>
      </c>
      <c r="C66" s="502">
        <f>VLOOKUP(B66,'Data transparency indices'!B:H,2,0)</f>
        <v>0</v>
      </c>
      <c r="D66" s="639">
        <f>VLOOKUP(B66,'Data transparency indices'!B:H,3,0)</f>
        <v>0</v>
      </c>
      <c r="E66" s="502">
        <f>VLOOKUP(B66,'Data transparency indices'!B:H,4,0)</f>
        <v>0.16666666666666666</v>
      </c>
      <c r="F66" s="336">
        <f>VLOOKUP(B66,'Data transparency indices'!B:H,5,0)</f>
        <v>0.16666666666666666</v>
      </c>
      <c r="G66" s="502">
        <f>VLOOKUP(B66,'Data transparency indices'!B:H,6,0)</f>
        <v>1</v>
      </c>
      <c r="H66" s="503">
        <f t="shared" si="1"/>
        <v>1.3333333333333333</v>
      </c>
      <c r="I66" s="503"/>
      <c r="J66" s="503"/>
    </row>
    <row r="67" spans="2:10">
      <c r="B67" s="325" t="s">
        <v>1957</v>
      </c>
      <c r="C67" s="647">
        <f>VLOOKUP(B67,'Data transparency indices'!B:H,2,0)</f>
        <v>0</v>
      </c>
      <c r="D67" s="640">
        <f>VLOOKUP(B67,'Data transparency indices'!B:H,3,0)</f>
        <v>0</v>
      </c>
      <c r="E67" s="647">
        <f>VLOOKUP(B67,'Data transparency indices'!B:H,4,0)</f>
        <v>0.1875</v>
      </c>
      <c r="F67" s="337">
        <f>VLOOKUP(B67,'Data transparency indices'!B:H,5,0)</f>
        <v>0.625</v>
      </c>
      <c r="G67" s="647">
        <f>VLOOKUP(B67,'Data transparency indices'!B:H,6,0)</f>
        <v>0.46153846153846156</v>
      </c>
      <c r="H67" s="648">
        <f t="shared" si="1"/>
        <v>1.2740384615384617</v>
      </c>
      <c r="I67" s="503"/>
      <c r="J67" s="503"/>
    </row>
    <row r="68" spans="2:10" ht="14.25" customHeight="1">
      <c r="B68" s="509" t="s">
        <v>3054</v>
      </c>
      <c r="C68" s="510">
        <f>SUM(C27:C67)/40</f>
        <v>0.52500000000000002</v>
      </c>
      <c r="D68" s="510">
        <f>SUM(D27:D67)/40</f>
        <v>0.35</v>
      </c>
      <c r="E68" s="510">
        <f>SUM(E27:E67)/41</f>
        <v>0.61218556124525947</v>
      </c>
      <c r="F68" s="510">
        <f>SUM(F27:F67)/41</f>
        <v>0.73866987918705773</v>
      </c>
      <c r="G68" s="510">
        <f>SUM(G27:G67)/41</f>
        <v>0.79058129795425047</v>
      </c>
      <c r="H68" s="510">
        <f>SUM(H27:H67)/41</f>
        <v>2.9950952749719328</v>
      </c>
      <c r="I68" s="504"/>
      <c r="J68" s="504"/>
    </row>
    <row r="69" spans="2:10">
      <c r="C69" s="336"/>
    </row>
    <row r="70" spans="2:10">
      <c r="B70" s="98"/>
      <c r="C70" s="336"/>
      <c r="F70" s="507"/>
    </row>
    <row r="71" spans="2:10">
      <c r="C71" s="336"/>
    </row>
  </sheetData>
  <sortState xmlns:xlrd2="http://schemas.microsoft.com/office/spreadsheetml/2017/richdata2" ref="B28:H67">
    <sortCondition descending="1" ref="H27"/>
  </sortState>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E7B8-D6AE-4333-A5CD-4DAA6B4406B6}">
  <sheetPr>
    <tabColor theme="4" tint="0.59999389629810485"/>
  </sheetPr>
  <dimension ref="A2:Q25"/>
  <sheetViews>
    <sheetView showGridLines="0" zoomScaleNormal="100" workbookViewId="0">
      <selection activeCell="E3" sqref="E3"/>
    </sheetView>
  </sheetViews>
  <sheetFormatPr defaultColWidth="11.5" defaultRowHeight="15.6"/>
  <cols>
    <col min="1" max="1" width="11.5" style="465" customWidth="1"/>
    <col min="2" max="2" width="58.5" style="465" bestFit="1" customWidth="1"/>
    <col min="3" max="3" width="40.375" style="465" bestFit="1" customWidth="1"/>
    <col min="4" max="4" width="30" style="465" bestFit="1" customWidth="1"/>
    <col min="5" max="5" width="66.5" style="465" bestFit="1" customWidth="1"/>
    <col min="6" max="6" width="44.5" style="465" bestFit="1" customWidth="1"/>
    <col min="7" max="9" width="42" style="465" bestFit="1" customWidth="1"/>
    <col min="10" max="10" width="11.5" style="465" customWidth="1"/>
    <col min="11" max="16384" width="11.5" style="465"/>
  </cols>
  <sheetData>
    <row r="2" spans="1:17" s="462" customFormat="1" ht="15.95" customHeight="1">
      <c r="B2" s="463" t="s">
        <v>3055</v>
      </c>
      <c r="E2" s="464" t="s">
        <v>3056</v>
      </c>
    </row>
    <row r="3" spans="1:17" ht="16.5" customHeight="1"/>
    <row r="4" spans="1:17">
      <c r="B4" s="770" t="s">
        <v>3057</v>
      </c>
      <c r="C4" s="771" t="s">
        <v>3058</v>
      </c>
      <c r="D4" s="465" t="s">
        <v>3059</v>
      </c>
      <c r="H4" s="466"/>
      <c r="I4" s="466"/>
      <c r="J4" s="466"/>
      <c r="K4" s="466"/>
      <c r="L4" s="466"/>
      <c r="M4" s="466"/>
      <c r="N4" s="466"/>
      <c r="O4" s="466"/>
      <c r="P4" s="466"/>
      <c r="Q4" s="466"/>
    </row>
    <row r="5" spans="1:17" ht="18" customHeight="1">
      <c r="B5" s="136" t="s">
        <v>2994</v>
      </c>
      <c r="C5" s="467">
        <f>'Country summary'!T47</f>
        <v>0.28729281767955805</v>
      </c>
      <c r="D5" s="466"/>
      <c r="F5" s="466"/>
      <c r="G5" s="466"/>
      <c r="N5" s="466"/>
      <c r="O5" s="466"/>
      <c r="P5" s="468"/>
    </row>
    <row r="6" spans="1:17">
      <c r="B6" s="136" t="s">
        <v>2995</v>
      </c>
      <c r="C6" s="467">
        <f>'Country summary'!U47</f>
        <v>6.1709456746220344</v>
      </c>
    </row>
    <row r="7" spans="1:17">
      <c r="B7" s="136" t="s">
        <v>2996</v>
      </c>
      <c r="C7" s="467">
        <f>'Country summary'!V47</f>
        <v>13.421188774620736</v>
      </c>
      <c r="D7" s="469"/>
      <c r="E7" s="469"/>
      <c r="F7" s="469"/>
      <c r="G7" s="469"/>
      <c r="H7" s="469"/>
      <c r="I7" s="469"/>
    </row>
    <row r="8" spans="1:17">
      <c r="B8" s="136" t="s">
        <v>2997</v>
      </c>
      <c r="C8" s="467">
        <f>'Country summary'!W47</f>
        <v>11.329384324908142</v>
      </c>
      <c r="G8" s="125"/>
    </row>
    <row r="9" spans="1:17">
      <c r="B9" s="136" t="s">
        <v>2998</v>
      </c>
      <c r="C9" s="467">
        <f>'Country summary'!X47</f>
        <v>40.889923305036149</v>
      </c>
      <c r="G9" s="125"/>
    </row>
    <row r="10" spans="1:17">
      <c r="B10" s="136" t="s">
        <v>2999</v>
      </c>
      <c r="C10" s="467">
        <f>'Country summary'!Y47</f>
        <v>2.9439524964658497</v>
      </c>
      <c r="G10" s="125"/>
    </row>
    <row r="11" spans="1:17">
      <c r="A11" s="136"/>
      <c r="B11" s="136" t="s">
        <v>3000</v>
      </c>
      <c r="C11" s="467">
        <f>'Country summary'!Z47</f>
        <v>1.0359736112205324</v>
      </c>
    </row>
    <row r="12" spans="1:17">
      <c r="B12" s="136" t="s">
        <v>3001</v>
      </c>
      <c r="C12" s="470">
        <f>'Country summary'!AA47</f>
        <v>0.77140981551233689</v>
      </c>
    </row>
    <row r="13" spans="1:17">
      <c r="B13" s="136" t="s">
        <v>3002</v>
      </c>
      <c r="C13" s="470">
        <f>'Country summary'!AB47</f>
        <v>13.389751124390541</v>
      </c>
    </row>
    <row r="14" spans="1:17">
      <c r="B14" s="136" t="s">
        <v>3003</v>
      </c>
      <c r="C14" s="470">
        <f>'Country summary'!AC47</f>
        <v>1.9221973318003081</v>
      </c>
    </row>
    <row r="15" spans="1:17">
      <c r="B15" s="136" t="s">
        <v>3004</v>
      </c>
      <c r="C15" s="558">
        <f>'Country summary'!AD47</f>
        <v>20.251829203766878</v>
      </c>
    </row>
    <row r="16" spans="1:17">
      <c r="B16" s="136"/>
      <c r="C16" s="467"/>
    </row>
    <row r="17" spans="2:3">
      <c r="B17" s="435" t="s">
        <v>3060</v>
      </c>
      <c r="C17" s="471">
        <f>SUM(C5:C15)</f>
        <v>112.41384848002306</v>
      </c>
    </row>
    <row r="18" spans="2:3">
      <c r="B18" s="472" t="s">
        <v>3061</v>
      </c>
      <c r="C18" s="473">
        <f>'Figure 2 US vs Europe'!$C$9</f>
        <v>113.108543105189</v>
      </c>
    </row>
    <row r="19" spans="2:3">
      <c r="B19" s="768" t="s">
        <v>3062</v>
      </c>
      <c r="C19" s="769">
        <f>C18-C17</f>
        <v>0.69469462516593694</v>
      </c>
    </row>
    <row r="20" spans="2:3">
      <c r="B20" s="136"/>
      <c r="C20" s="467"/>
    </row>
    <row r="21" spans="2:3">
      <c r="B21" s="136"/>
    </row>
    <row r="22" spans="2:3">
      <c r="B22" s="136"/>
    </row>
    <row r="23" spans="2:3">
      <c r="B23" s="136"/>
    </row>
    <row r="24" spans="2:3">
      <c r="B24" s="136"/>
    </row>
    <row r="25" spans="2:3">
      <c r="B25" s="136"/>
    </row>
  </sheetData>
  <pageMargins left="0.7" right="0.7" top="0.78740157499999996" bottom="0.78740157499999996"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E423B73903DF54CA2C6660B97686D42" ma:contentTypeVersion="14" ma:contentTypeDescription="Ein neues Dokument erstellen." ma:contentTypeScope="" ma:versionID="3429abca57378634a8580ec28ae55484">
  <xsd:schema xmlns:xsd="http://www.w3.org/2001/XMLSchema" xmlns:xs="http://www.w3.org/2001/XMLSchema" xmlns:p="http://schemas.microsoft.com/office/2006/metadata/properties" xmlns:ns2="97730362-28ea-416b-a6a1-dc9545e4b212" xmlns:ns3="84ceb42c-ffa3-4866-bebc-19e83969e0fb" targetNamespace="http://schemas.microsoft.com/office/2006/metadata/properties" ma:root="true" ma:fieldsID="12150061d724a162be6e6b27b126a791" ns2:_="" ns3:_="">
    <xsd:import namespace="97730362-28ea-416b-a6a1-dc9545e4b212"/>
    <xsd:import namespace="84ceb42c-ffa3-4866-bebc-19e83969e0f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730362-28ea-416b-a6a1-dc9545e4b2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ierungen" ma:readOnly="false" ma:fieldId="{5cf76f15-5ced-4ddc-b409-7134ff3c332f}" ma:taxonomyMulti="true" ma:sspId="5fb31c55-fb86-43d7-9681-5a6ace919588"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ceb42c-ffa3-4866-bebc-19e83969e0fb"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0" nillable="true" ma:displayName="Taxonomy Catch All Column" ma:hidden="true" ma:list="{48aa6bb4-92c8-4904-ae77-739708c830e5}" ma:internalName="TaxCatchAll" ma:showField="CatchAllData" ma:web="84ceb42c-ffa3-4866-bebc-19e83969e0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E40424-D9DB-4C3A-86D5-9681E3E1F5F8}"/>
</file>

<file path=customXml/itemProps2.xml><?xml version="1.0" encoding="utf-8"?>
<ds:datastoreItem xmlns:ds="http://schemas.openxmlformats.org/officeDocument/2006/customXml" ds:itemID="{AC767CF3-F8F6-4A1A-A4C7-1C4F1907EAE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Kharitonov, Ivan</cp:lastModifiedBy>
  <cp:revision/>
  <dcterms:created xsi:type="dcterms:W3CDTF">2022-03-23T09:04:55Z</dcterms:created>
  <dcterms:modified xsi:type="dcterms:W3CDTF">2022-12-07T14:55:13Z</dcterms:modified>
  <cp:category/>
  <cp:contentStatus/>
</cp:coreProperties>
</file>